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threadedComments/threadedComment2.xml" ContentType="application/vnd.ms-excel.threaded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showInkAnnotation="0" autoCompressPictures="0"/>
  <mc:AlternateContent xmlns:mc="http://schemas.openxmlformats.org/markup-compatibility/2006">
    <mc:Choice Requires="x15">
      <x15ac:absPath xmlns:x15ac="http://schemas.microsoft.com/office/spreadsheetml/2010/11/ac" url="/Users/tove/Documents/Kurser/Skoleårets planlægning/2024-2025/Lærer/"/>
    </mc:Choice>
  </mc:AlternateContent>
  <xr:revisionPtr revIDLastSave="0" documentId="13_ncr:1_{107738F1-30FD-064A-BAC1-DAF476C1C410}" xr6:coauthVersionLast="47" xr6:coauthVersionMax="47" xr10:uidLastSave="{00000000-0000-0000-0000-000000000000}"/>
  <bookViews>
    <workbookView xWindow="0" yWindow="500" windowWidth="28000" windowHeight="17500" tabRatio="500" activeTab="18" xr2:uid="{00000000-000D-0000-FFFF-FFFF00000000}"/>
  </bookViews>
  <sheets>
    <sheet name="Vejledning" sheetId="21" r:id="rId1"/>
    <sheet name="Ændringer i forhold til 23-24" sheetId="80" r:id="rId2"/>
    <sheet name="Gode råd til check" sheetId="81" r:id="rId3"/>
    <sheet name="Opgørelse af arbejdstiden" sheetId="85" r:id="rId4"/>
    <sheet name="Stamoplysninger" sheetId="62" r:id="rId5"/>
    <sheet name="Skemaoplysninger" sheetId="43" r:id="rId6"/>
    <sheet name="August" sheetId="41" r:id="rId7"/>
    <sheet name="September" sheetId="63" r:id="rId8"/>
    <sheet name="Oktober" sheetId="64" r:id="rId9"/>
    <sheet name="November" sheetId="65" r:id="rId10"/>
    <sheet name="December" sheetId="66" r:id="rId11"/>
    <sheet name="Januar" sheetId="67" r:id="rId12"/>
    <sheet name="Februar" sheetId="68" r:id="rId13"/>
    <sheet name="Marts" sheetId="69" r:id="rId14"/>
    <sheet name="April" sheetId="70" r:id="rId15"/>
    <sheet name="Maj" sheetId="71" r:id="rId16"/>
    <sheet name="Juni" sheetId="72" r:id="rId17"/>
    <sheet name="Juli" sheetId="73" r:id="rId18"/>
    <sheet name="Arbejdstidsoversigt" sheetId="1" r:id="rId19"/>
    <sheet name="Opgaver" sheetId="44" r:id="rId20"/>
    <sheet name="Opgørelse" sheetId="50" r:id="rId21"/>
    <sheet name="Undervisningstillæg" sheetId="61" r:id="rId22"/>
    <sheet name="Ulempe-weekendtillæg" sheetId="74" r:id="rId23"/>
    <sheet name="Vejledning til arb.tidsoversigt" sheetId="20" state="hidden" r:id="rId24"/>
    <sheet name="Opgaveoversigt" sheetId="2" state="hidden" r:id="rId25"/>
    <sheet name="Aften-weekendtillæg" sheetId="5" state="hidden" r:id="rId26"/>
    <sheet name="Aar" sheetId="23" r:id="rId27"/>
    <sheet name="1.halvaar" sheetId="24" r:id="rId28"/>
    <sheet name="2.halvaar" sheetId="25" r:id="rId29"/>
    <sheet name="Skema 1 til print" sheetId="46" r:id="rId30"/>
    <sheet name="Skema 2 til print" sheetId="47" r:id="rId31"/>
    <sheet name="Skema 3 til print" sheetId="49" r:id="rId32"/>
    <sheet name="Skema 4 til print" sheetId="48" r:id="rId33"/>
    <sheet name="TOMT ÅR" sheetId="82" r:id="rId34"/>
    <sheet name="TOMT 1. HALVÅR" sheetId="83" r:id="rId35"/>
    <sheet name="TOMT 2. HALVÅR" sheetId="84" r:id="rId36"/>
  </sheets>
  <externalReferences>
    <externalReference r:id="rId37"/>
    <externalReference r:id="rId38"/>
    <externalReference r:id="rId39"/>
  </externalReferences>
  <definedNames>
    <definedName name="april" localSheetId="22">[1]Maaned!$AR$5:$AR$34</definedName>
    <definedName name="April">April!$C$9:$C$38</definedName>
    <definedName name="April1">[2]April!$C$10:$C$39</definedName>
    <definedName name="AUG" localSheetId="14">April!$D$9:$D$38</definedName>
    <definedName name="AUG" localSheetId="10">December!$D$9:$D$39</definedName>
    <definedName name="AUG" localSheetId="12">Februar!$D$9:$D$36</definedName>
    <definedName name="AUG" localSheetId="11">Januar!$D$9:$D$39</definedName>
    <definedName name="AUG" localSheetId="17">Juli!$D$9:$D$39</definedName>
    <definedName name="AUG" localSheetId="16">Juni!$D$9:$D$38</definedName>
    <definedName name="AUG" localSheetId="15">Maj!$D$9:$D$39</definedName>
    <definedName name="AUG" localSheetId="13">Marts!$D$9:$D$39</definedName>
    <definedName name="AUG" localSheetId="9">November!$D$9:$D$38</definedName>
    <definedName name="AUG" localSheetId="8">Oktober!$D$9:$D$39</definedName>
    <definedName name="AUG" localSheetId="7">September!$D$9:$D$38</definedName>
    <definedName name="AUG">August!$D$10:$D$40</definedName>
    <definedName name="august" localSheetId="14">April!$D$9:$D$38</definedName>
    <definedName name="august" localSheetId="6">August!$D$10:$D$40</definedName>
    <definedName name="august" localSheetId="10">December!$D$9:$D$39</definedName>
    <definedName name="august" localSheetId="12">Februar!$D$9:$D$36</definedName>
    <definedName name="august" localSheetId="11">Januar!$D$9:$D$39</definedName>
    <definedName name="august" localSheetId="17">Juli!$D$9:$D$39</definedName>
    <definedName name="august" localSheetId="16">Juni!$D$9:$D$38</definedName>
    <definedName name="august" localSheetId="15">Maj!$D$9:$D$39</definedName>
    <definedName name="august" localSheetId="13">Marts!$D$9:$D$39</definedName>
    <definedName name="august" localSheetId="9">November!$D$9:$D$38</definedName>
    <definedName name="august" localSheetId="8">Oktober!$D$9:$D$39</definedName>
    <definedName name="august" localSheetId="7">September!$D$9:$D$38</definedName>
    <definedName name="AUGUST">August!$C$10:$C$40</definedName>
    <definedName name="dagapr">[1]Maaned!$AQ$5:$AQ$34</definedName>
    <definedName name="dagaug">[1]Maaned!$C$5:$C$35</definedName>
    <definedName name="dagdec">[1]Maaned!$W$5:$W$35</definedName>
    <definedName name="dagfeb">[1]Maaned!$AG$5:$AG$33</definedName>
    <definedName name="dagjan">[1]Maaned!$AB$5:$AB$35</definedName>
    <definedName name="dagjul">[1]Maaned!$BF$5:$BF$35</definedName>
    <definedName name="dagjun">[1]Maaned!$BA$5:$BA$34</definedName>
    <definedName name="dagmaj">[1]Maaned!$AV$5:$AV$35</definedName>
    <definedName name="dagmar">[1]Maaned!$AL$5:$AL$35</definedName>
    <definedName name="dagnov">[1]Maaned!$R$5:$R$34</definedName>
    <definedName name="dagokt">[1]Maaned!$M$5:$M$35</definedName>
    <definedName name="dagsep">[1]Maaned!$H$5:$H$34</definedName>
    <definedName name="December">December!$C$9:$C$39</definedName>
    <definedName name="December1">[2]December!$C$10:$C$40</definedName>
    <definedName name="Februar">Februar!$C$9:$C$37</definedName>
    <definedName name="Februar1">[2]Februar!$C$10:$C$38</definedName>
    <definedName name="fridageGrå" localSheetId="33">'TOMT ÅR'!fridageGrå</definedName>
    <definedName name="fridageGrå" localSheetId="22">'Ulempe-weekendtillæg'!fridageGrå</definedName>
    <definedName name="fridageGrå" localSheetId="26">Aar!fridageGrå</definedName>
    <definedName name="fridageGrå">[0]!fridageGrå</definedName>
    <definedName name="Januar">Januar!$C$9:$C$39</definedName>
    <definedName name="Januar1">[2]Januar!$C$10:$C$40</definedName>
    <definedName name="Juli">Juli!$C$9:$C$39</definedName>
    <definedName name="Juli1">[2]Juli!$C$10:$C$40</definedName>
    <definedName name="Juni">Juni!$C$9:$C$38</definedName>
    <definedName name="Juni1">[2]Juni!$C$10:$C$39</definedName>
    <definedName name="Maj">Maj!$C$9:$C$39</definedName>
    <definedName name="Majmåned">[2]Maj!$C$10:$C$40</definedName>
    <definedName name="Marts">Marts!$C$9:$C$39</definedName>
    <definedName name="Marts1">[2]Marts!$C$10:$C$40</definedName>
    <definedName name="November">November!$C$9:$C$38</definedName>
    <definedName name="November1">[2]November!$C$10:$C$39</definedName>
    <definedName name="Oktober">Oktober!$C$9:$C$39</definedName>
    <definedName name="Oktober1">[2]Oktober!$C$10:$C$40</definedName>
    <definedName name="SEPTEMBER">September!$C$9:$C$38</definedName>
    <definedName name="September1">[2]September!$C$10:$C$39</definedName>
    <definedName name="Skema_1">Februar!$C$9:$C$37</definedName>
    <definedName name="skolenavn" localSheetId="22">#REF!</definedName>
    <definedName name="skolenavn">#REF!</definedName>
    <definedName name="_xlnm.Print_Area" localSheetId="27">'1.halvaar'!$A$1:$AD$41</definedName>
    <definedName name="_xlnm.Print_Area" localSheetId="28">'2.halvaar'!$A$1:$AD$40</definedName>
    <definedName name="_xlnm.Print_Area" localSheetId="14">April!$A$5:$R$39</definedName>
    <definedName name="_xlnm.Print_Area" localSheetId="18">Arbejdstidsoversigt!$A$8:$J$109</definedName>
    <definedName name="_xlnm.Print_Area" localSheetId="6">August!$A$6:$R$41</definedName>
    <definedName name="_xlnm.Print_Area" localSheetId="10">December!$A$5:$R$40</definedName>
    <definedName name="_xlnm.Print_Area" localSheetId="12">Februar!$A$5:$R$38</definedName>
    <definedName name="_xlnm.Print_Area" localSheetId="11">Januar!$A$5:$R$40</definedName>
    <definedName name="_xlnm.Print_Area" localSheetId="17">Juli!$A$5:$R$40</definedName>
    <definedName name="_xlnm.Print_Area" localSheetId="16">Juni!$A$5:$R$39</definedName>
    <definedName name="_xlnm.Print_Area" localSheetId="15">Maj!$A$5:$R$40</definedName>
    <definedName name="_xlnm.Print_Area" localSheetId="13">Marts!$A$5:$R$40</definedName>
    <definedName name="_xlnm.Print_Area" localSheetId="9">November!$A$5:$R$39</definedName>
    <definedName name="_xlnm.Print_Area" localSheetId="8">Oktober!$A$5:$R$40</definedName>
    <definedName name="_xlnm.Print_Area" localSheetId="19">Opgaver!$A$23:$K$117</definedName>
    <definedName name="_xlnm.Print_Area" localSheetId="20">Opgørelse!$A$1:$H$59</definedName>
    <definedName name="_xlnm.Print_Area" localSheetId="7">September!$A$5:$R$39</definedName>
    <definedName name="_xlnm.Print_Area" localSheetId="5">Skemaoplysninger!$A$5:$BC$91</definedName>
    <definedName name="_xlnm.Print_Area" localSheetId="4">Stamoplysninger!$A$5:$H$31</definedName>
    <definedName name="_xlnm.Print_Area" localSheetId="35">'TOMT 2. HALVÅR'!$A$1:$X$33</definedName>
    <definedName name="_xlnm.Print_Area" localSheetId="22">'Ulempe-weekendtillæg'!$A$1:$D$33</definedName>
    <definedName name="_xlnm.Print_Area" localSheetId="21">Undervisningstillæg!$A$1:$J$39</definedName>
    <definedName name="_xlnm.Print_Area" localSheetId="0">Vejledning!$B$3:$B$98</definedName>
    <definedName name="_xlnm.Print_Area" localSheetId="26">Aar!$A$1:$AV$37</definedName>
    <definedName name="Ugenr" localSheetId="33">'TOMT ÅR'!Ugenr</definedName>
    <definedName name="Ugenr" localSheetId="22">'Ulempe-weekendtillæg'!Ugenr</definedName>
    <definedName name="Ugenr">[0]!Ugenr</definedName>
    <definedName name="Årstal" localSheetId="26">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 i="23" l="1"/>
  <c r="G6" i="23"/>
  <c r="G7" i="23"/>
  <c r="G8" i="23"/>
  <c r="G9" i="23"/>
  <c r="G4" i="23"/>
  <c r="J19" i="1"/>
  <c r="J18" i="1"/>
  <c r="J17" i="1"/>
  <c r="B25" i="1" l="1"/>
  <c r="J20" i="1"/>
  <c r="J39" i="1"/>
  <c r="P22" i="43" l="1"/>
  <c r="A1" i="80" l="1"/>
  <c r="DO10" i="73" l="1"/>
  <c r="DO11" i="73"/>
  <c r="DO12" i="73"/>
  <c r="DO13" i="73"/>
  <c r="DO14" i="73"/>
  <c r="DO15" i="73"/>
  <c r="DO16" i="73"/>
  <c r="DO17" i="73"/>
  <c r="DO18" i="73"/>
  <c r="DO19" i="73"/>
  <c r="DO20" i="73"/>
  <c r="DO21" i="73"/>
  <c r="DO22" i="73"/>
  <c r="DO23" i="73"/>
  <c r="DO24" i="73"/>
  <c r="DO25" i="73"/>
  <c r="DO26" i="73"/>
  <c r="DO27" i="73"/>
  <c r="DO28" i="73"/>
  <c r="DO29" i="73"/>
  <c r="DO30" i="73"/>
  <c r="DO31" i="73"/>
  <c r="DO32" i="73"/>
  <c r="DO33" i="73"/>
  <c r="DO34" i="73"/>
  <c r="DO35" i="73"/>
  <c r="DO36" i="73"/>
  <c r="DO37" i="73"/>
  <c r="DO38" i="73"/>
  <c r="DO39" i="73"/>
  <c r="DO9" i="73"/>
  <c r="DO10" i="72"/>
  <c r="DO11" i="72"/>
  <c r="DO12" i="72"/>
  <c r="DO13" i="72"/>
  <c r="DO14" i="72"/>
  <c r="DO15" i="72"/>
  <c r="DO16" i="72"/>
  <c r="DO17" i="72"/>
  <c r="DO18" i="72"/>
  <c r="DO19" i="72"/>
  <c r="DO20" i="72"/>
  <c r="DO21" i="72"/>
  <c r="DO22" i="72"/>
  <c r="DO23" i="72"/>
  <c r="DO24" i="72"/>
  <c r="DO25" i="72"/>
  <c r="DO26" i="72"/>
  <c r="DO27" i="72"/>
  <c r="DO28" i="72"/>
  <c r="DO29" i="72"/>
  <c r="DO30" i="72"/>
  <c r="DO31" i="72"/>
  <c r="DO32" i="72"/>
  <c r="DO33" i="72"/>
  <c r="DO34" i="72"/>
  <c r="DO35" i="72"/>
  <c r="DO36" i="72"/>
  <c r="DO37" i="72"/>
  <c r="DO38" i="72"/>
  <c r="DO9" i="72"/>
  <c r="DO10" i="71"/>
  <c r="DO11" i="71"/>
  <c r="DO12" i="71"/>
  <c r="DO13" i="71"/>
  <c r="DO14" i="71"/>
  <c r="DO15" i="71"/>
  <c r="DO16" i="71"/>
  <c r="DO17" i="71"/>
  <c r="DO18" i="71"/>
  <c r="DO19" i="71"/>
  <c r="DO20" i="71"/>
  <c r="DO21" i="71"/>
  <c r="DO22" i="71"/>
  <c r="DO23" i="71"/>
  <c r="DO24" i="71"/>
  <c r="DO25" i="71"/>
  <c r="DO26" i="71"/>
  <c r="DO27" i="71"/>
  <c r="DO28" i="71"/>
  <c r="DO29" i="71"/>
  <c r="DO30" i="71"/>
  <c r="DO31" i="71"/>
  <c r="DO32" i="71"/>
  <c r="DO33" i="71"/>
  <c r="DO34" i="71"/>
  <c r="DO35" i="71"/>
  <c r="DO36" i="71"/>
  <c r="DO37" i="71"/>
  <c r="DO38" i="71"/>
  <c r="DO39" i="71"/>
  <c r="DO9" i="71"/>
  <c r="DO10" i="70"/>
  <c r="DO11" i="70"/>
  <c r="DO12" i="70"/>
  <c r="DO13" i="70"/>
  <c r="DO14" i="70"/>
  <c r="DO15" i="70"/>
  <c r="DO16" i="70"/>
  <c r="DO17" i="70"/>
  <c r="DO18" i="70"/>
  <c r="DO19" i="70"/>
  <c r="DO20" i="70"/>
  <c r="DO21" i="70"/>
  <c r="DO22" i="70"/>
  <c r="DO23" i="70"/>
  <c r="DO24" i="70"/>
  <c r="DO25" i="70"/>
  <c r="DO26" i="70"/>
  <c r="DO27" i="70"/>
  <c r="DO28" i="70"/>
  <c r="DO29" i="70"/>
  <c r="DO30" i="70"/>
  <c r="DO31" i="70"/>
  <c r="DO32" i="70"/>
  <c r="DO33" i="70"/>
  <c r="DO34" i="70"/>
  <c r="DO35" i="70"/>
  <c r="DO36" i="70"/>
  <c r="DO37" i="70"/>
  <c r="DO38" i="70"/>
  <c r="DO9" i="70"/>
  <c r="DO10" i="69"/>
  <c r="DO11" i="69"/>
  <c r="DO12" i="69"/>
  <c r="DO13" i="69"/>
  <c r="DO14" i="69"/>
  <c r="DO15" i="69"/>
  <c r="DO16" i="69"/>
  <c r="DO17" i="69"/>
  <c r="DO18" i="69"/>
  <c r="DO19" i="69"/>
  <c r="DO20" i="69"/>
  <c r="DO21" i="69"/>
  <c r="DO22" i="69"/>
  <c r="DO23" i="69"/>
  <c r="DO24" i="69"/>
  <c r="DO25" i="69"/>
  <c r="DO26" i="69"/>
  <c r="DO27" i="69"/>
  <c r="DO28" i="69"/>
  <c r="DO29" i="69"/>
  <c r="DO30" i="69"/>
  <c r="DO31" i="69"/>
  <c r="DO32" i="69"/>
  <c r="DO33" i="69"/>
  <c r="DO34" i="69"/>
  <c r="DO35" i="69"/>
  <c r="DO36" i="69"/>
  <c r="DO37" i="69"/>
  <c r="DO38" i="69"/>
  <c r="DO39" i="69"/>
  <c r="DO9" i="69"/>
  <c r="DO10" i="68"/>
  <c r="DO11" i="68"/>
  <c r="DO12" i="68"/>
  <c r="DO13" i="68"/>
  <c r="DO14" i="68"/>
  <c r="DO15" i="68"/>
  <c r="DO16" i="68"/>
  <c r="DO17" i="68"/>
  <c r="DO18" i="68"/>
  <c r="DO19" i="68"/>
  <c r="DO20" i="68"/>
  <c r="DO21" i="68"/>
  <c r="DO22" i="68"/>
  <c r="DO23" i="68"/>
  <c r="DO24" i="68"/>
  <c r="DO25" i="68"/>
  <c r="DO26" i="68"/>
  <c r="DO27" i="68"/>
  <c r="DO28" i="68"/>
  <c r="DO29" i="68"/>
  <c r="DO30" i="68"/>
  <c r="DO31" i="68"/>
  <c r="DO32" i="68"/>
  <c r="DO33" i="68"/>
  <c r="DO34" i="68"/>
  <c r="DO35" i="68"/>
  <c r="DO36" i="68"/>
  <c r="DO37" i="68"/>
  <c r="DO9" i="68"/>
  <c r="DO10" i="67"/>
  <c r="DO11" i="67"/>
  <c r="DO12" i="67"/>
  <c r="DO13" i="67"/>
  <c r="DO14" i="67"/>
  <c r="DO15" i="67"/>
  <c r="DO16" i="67"/>
  <c r="DO17" i="67"/>
  <c r="DO18" i="67"/>
  <c r="DO19" i="67"/>
  <c r="DO20" i="67"/>
  <c r="DO21" i="67"/>
  <c r="DO22" i="67"/>
  <c r="DO23" i="67"/>
  <c r="DO24" i="67"/>
  <c r="DO25" i="67"/>
  <c r="DO26" i="67"/>
  <c r="DO27" i="67"/>
  <c r="DO28" i="67"/>
  <c r="DO29" i="67"/>
  <c r="DO30" i="67"/>
  <c r="DO31" i="67"/>
  <c r="DO32" i="67"/>
  <c r="DO33" i="67"/>
  <c r="DO34" i="67"/>
  <c r="DO35" i="67"/>
  <c r="DO36" i="67"/>
  <c r="DO37" i="67"/>
  <c r="DO38" i="67"/>
  <c r="DO39" i="67"/>
  <c r="DO9" i="67"/>
  <c r="DO10" i="66"/>
  <c r="DO11" i="66"/>
  <c r="DO12" i="66"/>
  <c r="DO13" i="66"/>
  <c r="DO14" i="66"/>
  <c r="DO15" i="66"/>
  <c r="DO16" i="66"/>
  <c r="DO17" i="66"/>
  <c r="DO18" i="66"/>
  <c r="DO19" i="66"/>
  <c r="DO20" i="66"/>
  <c r="DO21" i="66"/>
  <c r="DO22" i="66"/>
  <c r="DO23" i="66"/>
  <c r="DO24" i="66"/>
  <c r="DO25" i="66"/>
  <c r="DO26" i="66"/>
  <c r="DO27" i="66"/>
  <c r="DO28" i="66"/>
  <c r="DO29" i="66"/>
  <c r="DO30" i="66"/>
  <c r="DO31" i="66"/>
  <c r="DO32" i="66"/>
  <c r="DO33" i="66"/>
  <c r="DO34" i="66"/>
  <c r="DO35" i="66"/>
  <c r="DO36" i="66"/>
  <c r="DO37" i="66"/>
  <c r="DO38" i="66"/>
  <c r="DO39" i="66"/>
  <c r="DO9" i="66"/>
  <c r="DO10" i="65"/>
  <c r="DO11" i="65"/>
  <c r="DO12" i="65"/>
  <c r="DO13" i="65"/>
  <c r="DO14" i="65"/>
  <c r="DO15" i="65"/>
  <c r="DO16" i="65"/>
  <c r="DO17" i="65"/>
  <c r="DO18" i="65"/>
  <c r="DO19" i="65"/>
  <c r="DO20" i="65"/>
  <c r="DO21" i="65"/>
  <c r="DO22" i="65"/>
  <c r="DO23" i="65"/>
  <c r="DO24" i="65"/>
  <c r="DO25" i="65"/>
  <c r="DO26" i="65"/>
  <c r="DO27" i="65"/>
  <c r="DO28" i="65"/>
  <c r="DO29" i="65"/>
  <c r="DO30" i="65"/>
  <c r="DO31" i="65"/>
  <c r="DO32" i="65"/>
  <c r="DO33" i="65"/>
  <c r="DO34" i="65"/>
  <c r="DO35" i="65"/>
  <c r="DO36" i="65"/>
  <c r="DO37" i="65"/>
  <c r="DO38" i="65"/>
  <c r="DO9" i="65"/>
  <c r="DO10" i="64"/>
  <c r="DO11" i="64"/>
  <c r="DO12" i="64"/>
  <c r="DO13" i="64"/>
  <c r="DO14" i="64"/>
  <c r="DO15" i="64"/>
  <c r="DO16" i="64"/>
  <c r="DO17" i="64"/>
  <c r="DO18" i="64"/>
  <c r="DO19" i="64"/>
  <c r="DO20" i="64"/>
  <c r="DO21" i="64"/>
  <c r="DO22" i="64"/>
  <c r="DO23" i="64"/>
  <c r="DO24" i="64"/>
  <c r="DO25" i="64"/>
  <c r="DO26" i="64"/>
  <c r="DO27" i="64"/>
  <c r="DO28" i="64"/>
  <c r="DO29" i="64"/>
  <c r="DO30" i="64"/>
  <c r="DO31" i="64"/>
  <c r="DO32" i="64"/>
  <c r="DO33" i="64"/>
  <c r="DO34" i="64"/>
  <c r="DO35" i="64"/>
  <c r="DO36" i="64"/>
  <c r="DO37" i="64"/>
  <c r="DO38" i="64"/>
  <c r="DO39" i="64"/>
  <c r="DO10" i="63"/>
  <c r="DO11" i="63"/>
  <c r="DO12" i="63"/>
  <c r="DO13" i="63"/>
  <c r="DO14" i="63"/>
  <c r="DO15" i="63"/>
  <c r="DO16" i="63"/>
  <c r="DO17" i="63"/>
  <c r="DO18" i="63"/>
  <c r="DO19" i="63"/>
  <c r="DO20" i="63"/>
  <c r="DO21" i="63"/>
  <c r="DO22" i="63"/>
  <c r="DO23" i="63"/>
  <c r="DO24" i="63"/>
  <c r="DO25" i="63"/>
  <c r="DO26" i="63"/>
  <c r="DO27" i="63"/>
  <c r="DO28" i="63"/>
  <c r="DO29" i="63"/>
  <c r="DO30" i="63"/>
  <c r="DO31" i="63"/>
  <c r="DO32" i="63"/>
  <c r="DO33" i="63"/>
  <c r="DO34" i="63"/>
  <c r="DO35" i="63"/>
  <c r="DO36" i="63"/>
  <c r="DO37" i="63"/>
  <c r="DO38" i="63"/>
  <c r="DO9" i="63"/>
  <c r="DO11" i="41"/>
  <c r="DO12" i="41"/>
  <c r="DO13" i="41"/>
  <c r="DO14" i="41"/>
  <c r="DO15" i="41"/>
  <c r="DO16" i="41"/>
  <c r="DO17" i="41"/>
  <c r="DO18" i="41"/>
  <c r="DO19" i="41"/>
  <c r="DO20" i="41"/>
  <c r="DO21" i="41"/>
  <c r="DO22" i="41"/>
  <c r="DO23" i="41"/>
  <c r="DO24" i="41"/>
  <c r="DO25" i="41"/>
  <c r="DO26" i="41"/>
  <c r="DO27" i="41"/>
  <c r="DO28" i="41"/>
  <c r="DO29" i="41"/>
  <c r="DO30" i="41"/>
  <c r="DO31" i="41"/>
  <c r="DO32" i="41"/>
  <c r="DO33" i="41"/>
  <c r="DO34" i="41"/>
  <c r="DO35" i="41"/>
  <c r="DO36" i="41"/>
  <c r="DO37" i="41"/>
  <c r="DO38" i="41"/>
  <c r="DO39" i="41"/>
  <c r="DO40" i="41"/>
  <c r="DO10" i="41"/>
  <c r="DO9" i="64"/>
  <c r="DR33" i="41"/>
  <c r="I47" i="72"/>
  <c r="FU37" i="68"/>
  <c r="FU36" i="68"/>
  <c r="FU35" i="68"/>
  <c r="FU34" i="68"/>
  <c r="FU33" i="68"/>
  <c r="FU32" i="68"/>
  <c r="FU31" i="68"/>
  <c r="FU30" i="68"/>
  <c r="FU29" i="68"/>
  <c r="FU28" i="68"/>
  <c r="FU27" i="68"/>
  <c r="FU26" i="68"/>
  <c r="FU25" i="68"/>
  <c r="FU24" i="68"/>
  <c r="FU23" i="68"/>
  <c r="FU22" i="68"/>
  <c r="FU21" i="68"/>
  <c r="FU20" i="68"/>
  <c r="FU19" i="68"/>
  <c r="FU18" i="68"/>
  <c r="FU17" i="68"/>
  <c r="FU16" i="68"/>
  <c r="FU15" i="68"/>
  <c r="FU14" i="68"/>
  <c r="FU13" i="68"/>
  <c r="FU12" i="68"/>
  <c r="FU11" i="68"/>
  <c r="FU10" i="68"/>
  <c r="FU9" i="68"/>
  <c r="FU38" i="72"/>
  <c r="FU37" i="72"/>
  <c r="FU36" i="72"/>
  <c r="FU35" i="72"/>
  <c r="FU34" i="72"/>
  <c r="FU33" i="72"/>
  <c r="FU32" i="72"/>
  <c r="FU31" i="72"/>
  <c r="FU30" i="72"/>
  <c r="FU29" i="72"/>
  <c r="FU28" i="72"/>
  <c r="FU27" i="72"/>
  <c r="FU26" i="72"/>
  <c r="FU25" i="72"/>
  <c r="FU24" i="72"/>
  <c r="FU23" i="72"/>
  <c r="FU22" i="72"/>
  <c r="FU21" i="72"/>
  <c r="FU20" i="72"/>
  <c r="FU19" i="72"/>
  <c r="FU18" i="72"/>
  <c r="FU17" i="72"/>
  <c r="FU16" i="72"/>
  <c r="FU15" i="72"/>
  <c r="FU14" i="72"/>
  <c r="FU13" i="72"/>
  <c r="FU12" i="72"/>
  <c r="FU11" i="72"/>
  <c r="FU10" i="72"/>
  <c r="FU9" i="72"/>
  <c r="FU38" i="70"/>
  <c r="FU37" i="70"/>
  <c r="FU36" i="70"/>
  <c r="FU35" i="70"/>
  <c r="FU34" i="70"/>
  <c r="FU33" i="70"/>
  <c r="FU32" i="70"/>
  <c r="FU31" i="70"/>
  <c r="FU30" i="70"/>
  <c r="FU29" i="70"/>
  <c r="FU28" i="70"/>
  <c r="FU27" i="70"/>
  <c r="FU26" i="70"/>
  <c r="FU25" i="70"/>
  <c r="FU24" i="70"/>
  <c r="FU23" i="70"/>
  <c r="FU22" i="70"/>
  <c r="FU21" i="70"/>
  <c r="FU20" i="70"/>
  <c r="FU19" i="70"/>
  <c r="FU18" i="70"/>
  <c r="FU17" i="70"/>
  <c r="FU16" i="70"/>
  <c r="FU15" i="70"/>
  <c r="FU14" i="70"/>
  <c r="FU13" i="70"/>
  <c r="FU12" i="70"/>
  <c r="FU11" i="70"/>
  <c r="FU10" i="70"/>
  <c r="FU9" i="70"/>
  <c r="FU38" i="63"/>
  <c r="FU37" i="63"/>
  <c r="FU36" i="63"/>
  <c r="FU35" i="63"/>
  <c r="FU34" i="63"/>
  <c r="FU33" i="63"/>
  <c r="FU32" i="63"/>
  <c r="FU31" i="63"/>
  <c r="FU30" i="63"/>
  <c r="FU29" i="63"/>
  <c r="FU28" i="63"/>
  <c r="FU27" i="63"/>
  <c r="FU26" i="63"/>
  <c r="FU25" i="63"/>
  <c r="FU24" i="63"/>
  <c r="FU23" i="63"/>
  <c r="FU22" i="63"/>
  <c r="FU21" i="63"/>
  <c r="FU20" i="63"/>
  <c r="FU19" i="63"/>
  <c r="FU18" i="63"/>
  <c r="FU17" i="63"/>
  <c r="FU16" i="63"/>
  <c r="FU15" i="63"/>
  <c r="FU14" i="63"/>
  <c r="FU13" i="63"/>
  <c r="FU12" i="63"/>
  <c r="FU11" i="63"/>
  <c r="FU10" i="63"/>
  <c r="FU9" i="63"/>
  <c r="FU39" i="73"/>
  <c r="FU38" i="73"/>
  <c r="FU37" i="73"/>
  <c r="FU36" i="73"/>
  <c r="FU35" i="73"/>
  <c r="FU34" i="73"/>
  <c r="FU33" i="73"/>
  <c r="FU32" i="73"/>
  <c r="FU31" i="73"/>
  <c r="FU30" i="73"/>
  <c r="FU29" i="73"/>
  <c r="FU28" i="73"/>
  <c r="FU27" i="73"/>
  <c r="FU26" i="73"/>
  <c r="FU25" i="73"/>
  <c r="FU24" i="73"/>
  <c r="FU23" i="73"/>
  <c r="FU22" i="73"/>
  <c r="FU21" i="73"/>
  <c r="FU20" i="73"/>
  <c r="FU19" i="73"/>
  <c r="FU18" i="73"/>
  <c r="FU17" i="73"/>
  <c r="FU16" i="73"/>
  <c r="FU15" i="73"/>
  <c r="FU14" i="73"/>
  <c r="FU13" i="73"/>
  <c r="FU12" i="73"/>
  <c r="FU11" i="73"/>
  <c r="FU10" i="73"/>
  <c r="FU9" i="73"/>
  <c r="FU39" i="71"/>
  <c r="FU38" i="71"/>
  <c r="FU37" i="71"/>
  <c r="FU36" i="71"/>
  <c r="FU35" i="71"/>
  <c r="FU34" i="71"/>
  <c r="FU33" i="71"/>
  <c r="FU32" i="71"/>
  <c r="FU31" i="71"/>
  <c r="FU30" i="71"/>
  <c r="FU29" i="71"/>
  <c r="FU28" i="71"/>
  <c r="FU27" i="71"/>
  <c r="FU26" i="71"/>
  <c r="FU25" i="71"/>
  <c r="FU24" i="71"/>
  <c r="FU23" i="71"/>
  <c r="FU22" i="71"/>
  <c r="FU21" i="71"/>
  <c r="FU20" i="71"/>
  <c r="FU19" i="71"/>
  <c r="FU18" i="71"/>
  <c r="FU17" i="71"/>
  <c r="FU16" i="71"/>
  <c r="FU15" i="71"/>
  <c r="FU14" i="71"/>
  <c r="FU13" i="71"/>
  <c r="FU12" i="71"/>
  <c r="FU11" i="71"/>
  <c r="FU10" i="71"/>
  <c r="FU9" i="71"/>
  <c r="FU39" i="69"/>
  <c r="FU38" i="69"/>
  <c r="FU37" i="69"/>
  <c r="FU36" i="69"/>
  <c r="FU35" i="69"/>
  <c r="FU34" i="69"/>
  <c r="FU33" i="69"/>
  <c r="FU32" i="69"/>
  <c r="FU31" i="69"/>
  <c r="FU30" i="69"/>
  <c r="FU29" i="69"/>
  <c r="FU28" i="69"/>
  <c r="FU27" i="69"/>
  <c r="FU26" i="69"/>
  <c r="FU25" i="69"/>
  <c r="FU24" i="69"/>
  <c r="FU23" i="69"/>
  <c r="FU22" i="69"/>
  <c r="FU21" i="69"/>
  <c r="FU20" i="69"/>
  <c r="FU19" i="69"/>
  <c r="FU18" i="69"/>
  <c r="FU17" i="69"/>
  <c r="FU16" i="69"/>
  <c r="FU15" i="69"/>
  <c r="FU14" i="69"/>
  <c r="FU13" i="69"/>
  <c r="FU12" i="69"/>
  <c r="FU11" i="69"/>
  <c r="FU10" i="69"/>
  <c r="FU9" i="69"/>
  <c r="FU39" i="67"/>
  <c r="FU38" i="67"/>
  <c r="FU37" i="67"/>
  <c r="FU36" i="67"/>
  <c r="FU35" i="67"/>
  <c r="FU34" i="67"/>
  <c r="FU33" i="67"/>
  <c r="FU32" i="67"/>
  <c r="FU31" i="67"/>
  <c r="FU30" i="67"/>
  <c r="FU29" i="67"/>
  <c r="FU28" i="67"/>
  <c r="FU27" i="67"/>
  <c r="FU26" i="67"/>
  <c r="FU25" i="67"/>
  <c r="FU24" i="67"/>
  <c r="FU23" i="67"/>
  <c r="FU22" i="67"/>
  <c r="FU21" i="67"/>
  <c r="FU20" i="67"/>
  <c r="FU19" i="67"/>
  <c r="FU18" i="67"/>
  <c r="FU17" i="67"/>
  <c r="FU16" i="67"/>
  <c r="FU15" i="67"/>
  <c r="FU14" i="67"/>
  <c r="FU13" i="67"/>
  <c r="FU12" i="67"/>
  <c r="FU11" i="67"/>
  <c r="FU10" i="67"/>
  <c r="FU9" i="67"/>
  <c r="FU40" i="41"/>
  <c r="FU39" i="41"/>
  <c r="FU38" i="41"/>
  <c r="FU37" i="41"/>
  <c r="FU36" i="41"/>
  <c r="FU35" i="41"/>
  <c r="FU34" i="41"/>
  <c r="FU33" i="41"/>
  <c r="FU32" i="41"/>
  <c r="FU31" i="41"/>
  <c r="FU30" i="41"/>
  <c r="FU29" i="41"/>
  <c r="FU28" i="41"/>
  <c r="FU27" i="41"/>
  <c r="FU26" i="41"/>
  <c r="FU25" i="41"/>
  <c r="FU24" i="41"/>
  <c r="FU23" i="41"/>
  <c r="FU22" i="41"/>
  <c r="FU21" i="41"/>
  <c r="FU20" i="41"/>
  <c r="FU19" i="41"/>
  <c r="FU18" i="41"/>
  <c r="FU17" i="41"/>
  <c r="FU16" i="41"/>
  <c r="FU15" i="41"/>
  <c r="FU14" i="41"/>
  <c r="FU13" i="41"/>
  <c r="FU12" i="41"/>
  <c r="FU11" i="41"/>
  <c r="FU10" i="41"/>
  <c r="FU39" i="64"/>
  <c r="FU38" i="64"/>
  <c r="FU37" i="64"/>
  <c r="FU36" i="64"/>
  <c r="FU35" i="64"/>
  <c r="FU34" i="64"/>
  <c r="FU33" i="64"/>
  <c r="FU32" i="64"/>
  <c r="FU31" i="64"/>
  <c r="FU30" i="64"/>
  <c r="FU29" i="64"/>
  <c r="FU28" i="64"/>
  <c r="FU27" i="64"/>
  <c r="FU26" i="64"/>
  <c r="FU25" i="64"/>
  <c r="FU24" i="64"/>
  <c r="FU23" i="64"/>
  <c r="FU22" i="64"/>
  <c r="FU21" i="64"/>
  <c r="FU20" i="64"/>
  <c r="FU19" i="64"/>
  <c r="FU18" i="64"/>
  <c r="FU17" i="64"/>
  <c r="FU16" i="64"/>
  <c r="FU15" i="64"/>
  <c r="FU14" i="64"/>
  <c r="FU13" i="64"/>
  <c r="FU12" i="64"/>
  <c r="FU11" i="64"/>
  <c r="FU10" i="64"/>
  <c r="FU9" i="64"/>
  <c r="FU34" i="65"/>
  <c r="FU38" i="65"/>
  <c r="FU37" i="65"/>
  <c r="FU36" i="65"/>
  <c r="FU35" i="65"/>
  <c r="FU33" i="65"/>
  <c r="FU32" i="65"/>
  <c r="FU31" i="65"/>
  <c r="FU30" i="65"/>
  <c r="FU29" i="65"/>
  <c r="FU28" i="65"/>
  <c r="FU27" i="65"/>
  <c r="FU26" i="65"/>
  <c r="FU25" i="65"/>
  <c r="FU24" i="65"/>
  <c r="FU23" i="65"/>
  <c r="FU22" i="65"/>
  <c r="FU21" i="65"/>
  <c r="FU20" i="65"/>
  <c r="FU19" i="65"/>
  <c r="FU18" i="65"/>
  <c r="FU17" i="65"/>
  <c r="FU16" i="65"/>
  <c r="FU15" i="65"/>
  <c r="FU14" i="65"/>
  <c r="FU13" i="65"/>
  <c r="FU12" i="65"/>
  <c r="FU11" i="65"/>
  <c r="FU10" i="65"/>
  <c r="FU9" i="65"/>
  <c r="FU9" i="66"/>
  <c r="FU10" i="66"/>
  <c r="FU11" i="66"/>
  <c r="FU12" i="66"/>
  <c r="FU13" i="66"/>
  <c r="FU14" i="66"/>
  <c r="FU15" i="66"/>
  <c r="FU16" i="66"/>
  <c r="FU17" i="66"/>
  <c r="FU18" i="66"/>
  <c r="FU19" i="66"/>
  <c r="FU20" i="66"/>
  <c r="FU21" i="66"/>
  <c r="FU22" i="66"/>
  <c r="FU23" i="66"/>
  <c r="FU24" i="66"/>
  <c r="FU25" i="66"/>
  <c r="FU26" i="66"/>
  <c r="FU27" i="66"/>
  <c r="FU28" i="66"/>
  <c r="FU30" i="66"/>
  <c r="FU31" i="66"/>
  <c r="FU32" i="66"/>
  <c r="FU33" i="66"/>
  <c r="FU34" i="66"/>
  <c r="FU35" i="66"/>
  <c r="FU36" i="66"/>
  <c r="FU37" i="66"/>
  <c r="FU38" i="66"/>
  <c r="FU39" i="66"/>
  <c r="FU29" i="66"/>
  <c r="EB41" i="41" l="1"/>
  <c r="EA41" i="41"/>
  <c r="DZ41" i="41"/>
  <c r="DY41" i="41"/>
  <c r="DX41" i="41"/>
  <c r="DW41" i="41"/>
  <c r="GC40" i="41"/>
  <c r="GB40" i="41"/>
  <c r="GA40" i="41"/>
  <c r="FZ40" i="41"/>
  <c r="FY40" i="41"/>
  <c r="FX40" i="41"/>
  <c r="FW40" i="41"/>
  <c r="FV40" i="41"/>
  <c r="FT40" i="41"/>
  <c r="FS40" i="41"/>
  <c r="FR40" i="41"/>
  <c r="FQ40" i="41"/>
  <c r="FP40" i="41"/>
  <c r="FO40" i="41"/>
  <c r="FN40" i="41"/>
  <c r="FM40" i="41"/>
  <c r="FK40" i="41"/>
  <c r="FI40" i="41"/>
  <c r="FD40" i="41"/>
  <c r="FC40" i="41"/>
  <c r="FB40" i="41"/>
  <c r="FA40" i="41"/>
  <c r="EZ40" i="41"/>
  <c r="EY40" i="41"/>
  <c r="EX40" i="41"/>
  <c r="EW40" i="41"/>
  <c r="EV40" i="41"/>
  <c r="EU40" i="41"/>
  <c r="ET40" i="41"/>
  <c r="ES40" i="41"/>
  <c r="ER40" i="41"/>
  <c r="EQ40" i="41"/>
  <c r="EP40" i="41"/>
  <c r="EO40" i="41"/>
  <c r="EN40" i="41"/>
  <c r="EM40" i="41"/>
  <c r="EL40" i="41"/>
  <c r="EK40" i="41"/>
  <c r="EJ40" i="41"/>
  <c r="EI40" i="41"/>
  <c r="EH40" i="41"/>
  <c r="EG40" i="41"/>
  <c r="EE40" i="41"/>
  <c r="ED40" i="41"/>
  <c r="EC40" i="41"/>
  <c r="DV40" i="41"/>
  <c r="DU40" i="41"/>
  <c r="DT40" i="41"/>
  <c r="DS40" i="41"/>
  <c r="DR40" i="41"/>
  <c r="DQ40" i="41"/>
  <c r="DP40" i="41"/>
  <c r="GC39" i="41"/>
  <c r="GB39" i="41"/>
  <c r="GA39" i="41"/>
  <c r="FZ39" i="41"/>
  <c r="FY39" i="41"/>
  <c r="FX39" i="41"/>
  <c r="FW39" i="41"/>
  <c r="FV39" i="41"/>
  <c r="FT39" i="41"/>
  <c r="FS39" i="41"/>
  <c r="FR39" i="41"/>
  <c r="FQ39" i="41"/>
  <c r="FP39" i="41"/>
  <c r="FO39" i="41"/>
  <c r="FN39" i="41"/>
  <c r="FM39" i="41"/>
  <c r="FK39" i="41"/>
  <c r="FI39" i="41"/>
  <c r="FD39" i="41"/>
  <c r="FC39" i="41"/>
  <c r="FB39" i="41"/>
  <c r="FA39" i="41"/>
  <c r="EZ39" i="41"/>
  <c r="EY39" i="41"/>
  <c r="EX39" i="41"/>
  <c r="EW39" i="41"/>
  <c r="EV39" i="41"/>
  <c r="EU39" i="41"/>
  <c r="ET39" i="41"/>
  <c r="ES39" i="41"/>
  <c r="ER39" i="41"/>
  <c r="EQ39" i="41"/>
  <c r="EP39" i="41"/>
  <c r="EO39" i="41"/>
  <c r="EN39" i="41"/>
  <c r="EM39" i="41"/>
  <c r="EL39" i="41"/>
  <c r="EK39" i="41"/>
  <c r="EJ39" i="41"/>
  <c r="EI39" i="41"/>
  <c r="EH39" i="41"/>
  <c r="EG39" i="41"/>
  <c r="EE39" i="41"/>
  <c r="ED39" i="41"/>
  <c r="EC39" i="41"/>
  <c r="DV39" i="41"/>
  <c r="DU39" i="41"/>
  <c r="DT39" i="41"/>
  <c r="DS39" i="41"/>
  <c r="DR39" i="41"/>
  <c r="DQ39" i="41"/>
  <c r="DP39" i="41"/>
  <c r="GC38" i="41"/>
  <c r="GB38" i="41"/>
  <c r="GA38" i="41"/>
  <c r="FZ38" i="41"/>
  <c r="FY38" i="41"/>
  <c r="FX38" i="41"/>
  <c r="FW38" i="41"/>
  <c r="FV38" i="41"/>
  <c r="FT38" i="41"/>
  <c r="FS38" i="41"/>
  <c r="FR38" i="41"/>
  <c r="FQ38" i="41"/>
  <c r="FP38" i="41"/>
  <c r="FO38" i="41"/>
  <c r="FN38" i="41"/>
  <c r="FM38" i="41"/>
  <c r="FK38" i="41"/>
  <c r="FI38" i="41"/>
  <c r="FD38" i="41"/>
  <c r="FC38" i="41"/>
  <c r="FB38" i="41"/>
  <c r="FA38" i="41"/>
  <c r="EZ38" i="41"/>
  <c r="EY38" i="41"/>
  <c r="EX38" i="41"/>
  <c r="EW38" i="41"/>
  <c r="EV38" i="41"/>
  <c r="EU38" i="41"/>
  <c r="ET38" i="41"/>
  <c r="ES38" i="41"/>
  <c r="ER38" i="41"/>
  <c r="EQ38" i="41"/>
  <c r="EP38" i="41"/>
  <c r="EO38" i="41"/>
  <c r="EN38" i="41"/>
  <c r="EM38" i="41"/>
  <c r="EL38" i="41"/>
  <c r="EK38" i="41"/>
  <c r="EJ38" i="41"/>
  <c r="EI38" i="41"/>
  <c r="EH38" i="41"/>
  <c r="EG38" i="41"/>
  <c r="EE38" i="41"/>
  <c r="ED38" i="41"/>
  <c r="EC38" i="41"/>
  <c r="DV38" i="41"/>
  <c r="DU38" i="41"/>
  <c r="DT38" i="41"/>
  <c r="DS38" i="41"/>
  <c r="DR38" i="41"/>
  <c r="DQ38" i="41"/>
  <c r="DP38" i="41"/>
  <c r="GC37" i="41"/>
  <c r="GB37" i="41"/>
  <c r="GA37" i="41"/>
  <c r="FZ37" i="41"/>
  <c r="FY37" i="41"/>
  <c r="FX37" i="41"/>
  <c r="FW37" i="41"/>
  <c r="FV37" i="41"/>
  <c r="FT37" i="41"/>
  <c r="FS37" i="41"/>
  <c r="FR37" i="41"/>
  <c r="FQ37" i="41"/>
  <c r="FP37" i="41"/>
  <c r="FO37" i="41"/>
  <c r="FN37" i="41"/>
  <c r="FM37" i="41"/>
  <c r="FK37" i="41"/>
  <c r="FI37" i="41"/>
  <c r="FH37" i="41"/>
  <c r="FG37" i="41"/>
  <c r="FF37" i="41"/>
  <c r="FE37" i="41"/>
  <c r="FD37" i="41"/>
  <c r="FC37" i="41"/>
  <c r="FB37" i="41"/>
  <c r="FA37" i="41"/>
  <c r="EZ37" i="41"/>
  <c r="EY37" i="41"/>
  <c r="EX37" i="41"/>
  <c r="EW37" i="41"/>
  <c r="EV37" i="41"/>
  <c r="EU37" i="41"/>
  <c r="ET37" i="41"/>
  <c r="ES37" i="41"/>
  <c r="ER37" i="41"/>
  <c r="EQ37" i="41"/>
  <c r="EP37" i="41"/>
  <c r="EO37" i="41"/>
  <c r="EN37" i="41"/>
  <c r="EM37" i="41"/>
  <c r="EL37" i="41"/>
  <c r="EK37" i="41"/>
  <c r="EJ37" i="41"/>
  <c r="EI37" i="41"/>
  <c r="EH37" i="41"/>
  <c r="EG37" i="41"/>
  <c r="EF37" i="41"/>
  <c r="EE37" i="41"/>
  <c r="ED37" i="41"/>
  <c r="EC37" i="41"/>
  <c r="DV37" i="41"/>
  <c r="DU37" i="41"/>
  <c r="DT37" i="41"/>
  <c r="DS37" i="41"/>
  <c r="DR37" i="41"/>
  <c r="DQ37" i="41"/>
  <c r="DP37" i="41"/>
  <c r="GC36" i="41"/>
  <c r="GB36" i="41"/>
  <c r="GA36" i="41"/>
  <c r="FZ36" i="41"/>
  <c r="FY36" i="41"/>
  <c r="FX36" i="41"/>
  <c r="FW36" i="41"/>
  <c r="FV36" i="41"/>
  <c r="FT36" i="41"/>
  <c r="FS36" i="41"/>
  <c r="FR36" i="41"/>
  <c r="FQ36" i="41"/>
  <c r="FP36" i="41"/>
  <c r="FO36" i="41"/>
  <c r="FN36" i="41"/>
  <c r="FM36" i="41"/>
  <c r="FK36" i="41"/>
  <c r="FI36" i="41"/>
  <c r="FH36" i="41"/>
  <c r="FG36" i="41"/>
  <c r="FF36" i="41"/>
  <c r="FE36" i="41"/>
  <c r="FD36" i="41"/>
  <c r="FC36" i="41"/>
  <c r="FB36" i="41"/>
  <c r="FA36" i="41"/>
  <c r="EZ36" i="41"/>
  <c r="EY36" i="41"/>
  <c r="EX36" i="41"/>
  <c r="EW36" i="41"/>
  <c r="EV36" i="41"/>
  <c r="EU36" i="41"/>
  <c r="ET36" i="41"/>
  <c r="ES36" i="41"/>
  <c r="ER36" i="41"/>
  <c r="EQ36" i="41"/>
  <c r="EP36" i="41"/>
  <c r="EO36" i="41"/>
  <c r="EN36" i="41"/>
  <c r="EM36" i="41"/>
  <c r="EL36" i="41"/>
  <c r="EK36" i="41"/>
  <c r="EJ36" i="41"/>
  <c r="EI36" i="41"/>
  <c r="EH36" i="41"/>
  <c r="EG36" i="41"/>
  <c r="EF36" i="41"/>
  <c r="EE36" i="41"/>
  <c r="ED36" i="41"/>
  <c r="EC36" i="41"/>
  <c r="DV36" i="41"/>
  <c r="DU36" i="41"/>
  <c r="DT36" i="41"/>
  <c r="DS36" i="41"/>
  <c r="DR36" i="41"/>
  <c r="DQ36" i="41"/>
  <c r="DP36" i="41"/>
  <c r="GC35" i="41"/>
  <c r="GB35" i="41"/>
  <c r="GA35" i="41"/>
  <c r="FZ35" i="41"/>
  <c r="FY35" i="41"/>
  <c r="FX35" i="41"/>
  <c r="FW35" i="41"/>
  <c r="FV35" i="41"/>
  <c r="FT35" i="41"/>
  <c r="FS35" i="41"/>
  <c r="FR35" i="41"/>
  <c r="FQ35" i="41"/>
  <c r="FP35" i="41"/>
  <c r="FO35" i="41"/>
  <c r="FN35" i="41"/>
  <c r="FM35" i="41"/>
  <c r="FK35" i="41"/>
  <c r="FI35" i="41"/>
  <c r="FH35" i="41"/>
  <c r="FG35" i="41"/>
  <c r="FF35" i="41"/>
  <c r="FE35" i="41"/>
  <c r="FD35" i="41"/>
  <c r="FC35" i="41"/>
  <c r="FB35" i="41"/>
  <c r="FA35" i="41"/>
  <c r="EZ35" i="41"/>
  <c r="EY35" i="41"/>
  <c r="EX35" i="41"/>
  <c r="EW35" i="41"/>
  <c r="EV35" i="41"/>
  <c r="EU35" i="41"/>
  <c r="ET35" i="41"/>
  <c r="ES35" i="41"/>
  <c r="ER35" i="41"/>
  <c r="EQ35" i="41"/>
  <c r="EP35" i="41"/>
  <c r="EO35" i="41"/>
  <c r="EN35" i="41"/>
  <c r="EM35" i="41"/>
  <c r="EL35" i="41"/>
  <c r="EK35" i="41"/>
  <c r="EJ35" i="41"/>
  <c r="EI35" i="41"/>
  <c r="EH35" i="41"/>
  <c r="EG35" i="41"/>
  <c r="EF35" i="41"/>
  <c r="EE35" i="41"/>
  <c r="ED35" i="41"/>
  <c r="EC35" i="41"/>
  <c r="DV35" i="41"/>
  <c r="DU35" i="41"/>
  <c r="DT35" i="41"/>
  <c r="DS35" i="41"/>
  <c r="DR35" i="41"/>
  <c r="DQ35" i="41"/>
  <c r="DP35" i="41"/>
  <c r="GC34" i="41"/>
  <c r="GB34" i="41"/>
  <c r="GA34" i="41"/>
  <c r="FZ34" i="41"/>
  <c r="FY34" i="41"/>
  <c r="FX34" i="41"/>
  <c r="FW34" i="41"/>
  <c r="FV34" i="41"/>
  <c r="FT34" i="41"/>
  <c r="FS34" i="41"/>
  <c r="FR34" i="41"/>
  <c r="FQ34" i="41"/>
  <c r="FP34" i="41"/>
  <c r="FO34" i="41"/>
  <c r="FN34" i="41"/>
  <c r="FM34" i="41"/>
  <c r="FK34" i="41"/>
  <c r="FI34" i="41"/>
  <c r="FH34" i="41"/>
  <c r="FG34" i="41"/>
  <c r="FF34" i="41"/>
  <c r="FE34" i="41"/>
  <c r="FD34" i="41"/>
  <c r="FC34" i="41"/>
  <c r="FB34" i="41"/>
  <c r="FA34" i="41"/>
  <c r="EZ34" i="41"/>
  <c r="EY34" i="41"/>
  <c r="EX34" i="41"/>
  <c r="EW34" i="41"/>
  <c r="EV34" i="41"/>
  <c r="EU34" i="41"/>
  <c r="ET34" i="41"/>
  <c r="ES34" i="41"/>
  <c r="ER34" i="41"/>
  <c r="EQ34" i="41"/>
  <c r="EP34" i="41"/>
  <c r="EO34" i="41"/>
  <c r="EN34" i="41"/>
  <c r="EM34" i="41"/>
  <c r="EL34" i="41"/>
  <c r="EK34" i="41"/>
  <c r="EJ34" i="41"/>
  <c r="EI34" i="41"/>
  <c r="EH34" i="41"/>
  <c r="EG34" i="41"/>
  <c r="EF34" i="41"/>
  <c r="EE34" i="41"/>
  <c r="ED34" i="41"/>
  <c r="EC34" i="41"/>
  <c r="DV34" i="41"/>
  <c r="DU34" i="41"/>
  <c r="DT34" i="41"/>
  <c r="DS34" i="41"/>
  <c r="DR34" i="41"/>
  <c r="DQ34" i="41"/>
  <c r="DP34" i="41"/>
  <c r="GC33" i="41"/>
  <c r="GB33" i="41"/>
  <c r="GA33" i="41"/>
  <c r="FZ33" i="41"/>
  <c r="FY33" i="41"/>
  <c r="FX33" i="41"/>
  <c r="FW33" i="41"/>
  <c r="FV33" i="41"/>
  <c r="FT33" i="41"/>
  <c r="FS33" i="41"/>
  <c r="FQ33" i="41"/>
  <c r="FO33" i="41"/>
  <c r="FN33" i="41"/>
  <c r="FM33" i="41"/>
  <c r="FK33" i="41"/>
  <c r="FI33" i="41"/>
  <c r="FH33" i="41"/>
  <c r="FG33" i="41"/>
  <c r="FF33" i="41"/>
  <c r="FE33" i="41"/>
  <c r="FD33" i="41"/>
  <c r="FC33" i="41"/>
  <c r="FB33" i="41"/>
  <c r="FA33" i="41"/>
  <c r="EZ33" i="41"/>
  <c r="EY33" i="41"/>
  <c r="EX33" i="41"/>
  <c r="EW33" i="41"/>
  <c r="EV33" i="41"/>
  <c r="EU33" i="41"/>
  <c r="ET33" i="41"/>
  <c r="ES33" i="41"/>
  <c r="ER33" i="41"/>
  <c r="EQ33" i="41"/>
  <c r="EP33" i="41"/>
  <c r="EO33" i="41"/>
  <c r="EN33" i="41"/>
  <c r="EM33" i="41"/>
  <c r="EL33" i="41"/>
  <c r="EK33" i="41"/>
  <c r="EJ33" i="41"/>
  <c r="EI33" i="41"/>
  <c r="EH33" i="41"/>
  <c r="EG33" i="41"/>
  <c r="EF33" i="41"/>
  <c r="EE33" i="41"/>
  <c r="ED33" i="41"/>
  <c r="EC33" i="41"/>
  <c r="DV33" i="41"/>
  <c r="DU33" i="41"/>
  <c r="DT33" i="41"/>
  <c r="DS33" i="41"/>
  <c r="DQ33" i="41"/>
  <c r="DP33" i="41"/>
  <c r="GC32" i="41"/>
  <c r="GB32" i="41"/>
  <c r="GA32" i="41"/>
  <c r="FZ32" i="41"/>
  <c r="FY32" i="41"/>
  <c r="FX32" i="41"/>
  <c r="FW32" i="41"/>
  <c r="FV32" i="41"/>
  <c r="FT32" i="41"/>
  <c r="FS32" i="41"/>
  <c r="FR32" i="41"/>
  <c r="FQ32" i="41"/>
  <c r="FP32" i="41"/>
  <c r="FO32" i="41"/>
  <c r="FN32" i="41"/>
  <c r="FM32" i="41"/>
  <c r="FK32" i="41"/>
  <c r="FI32" i="41"/>
  <c r="FH32" i="41"/>
  <c r="FG32" i="41"/>
  <c r="FF32" i="41"/>
  <c r="FE32" i="41"/>
  <c r="FD32" i="41"/>
  <c r="FC32" i="41"/>
  <c r="FB32" i="41"/>
  <c r="FA32" i="41"/>
  <c r="EZ32" i="41"/>
  <c r="EY32" i="41"/>
  <c r="EX32" i="41"/>
  <c r="EW32" i="41"/>
  <c r="EV32" i="41"/>
  <c r="EU32" i="41"/>
  <c r="ET32" i="41"/>
  <c r="ES32" i="41"/>
  <c r="ER32" i="41"/>
  <c r="EQ32" i="41"/>
  <c r="EP32" i="41"/>
  <c r="EO32" i="41"/>
  <c r="EN32" i="41"/>
  <c r="EM32" i="41"/>
  <c r="EL32" i="41"/>
  <c r="EK32" i="41"/>
  <c r="EJ32" i="41"/>
  <c r="EI32" i="41"/>
  <c r="EH32" i="41"/>
  <c r="EG32" i="41"/>
  <c r="EF32" i="41"/>
  <c r="EE32" i="41"/>
  <c r="ED32" i="41"/>
  <c r="EC32" i="41"/>
  <c r="DV32" i="41"/>
  <c r="DU32" i="41"/>
  <c r="DT32" i="41"/>
  <c r="DS32" i="41"/>
  <c r="DR32" i="41"/>
  <c r="DQ32" i="41"/>
  <c r="DP32" i="41"/>
  <c r="GC31" i="41"/>
  <c r="GB31" i="41"/>
  <c r="GA31" i="41"/>
  <c r="FZ31" i="41"/>
  <c r="FY31" i="41"/>
  <c r="FX31" i="41"/>
  <c r="FW31" i="41"/>
  <c r="FV31" i="41"/>
  <c r="FT31" i="41"/>
  <c r="FS31" i="41"/>
  <c r="FR31" i="41"/>
  <c r="FQ31" i="41"/>
  <c r="FP31" i="41"/>
  <c r="FO31" i="41"/>
  <c r="FN31" i="41"/>
  <c r="FM31" i="41"/>
  <c r="FK31" i="41"/>
  <c r="FI31" i="41"/>
  <c r="FH31" i="41"/>
  <c r="FG31" i="41"/>
  <c r="FF31" i="41"/>
  <c r="FE31" i="41"/>
  <c r="FD31" i="41"/>
  <c r="FC31" i="41"/>
  <c r="FB31" i="41"/>
  <c r="FA31" i="41"/>
  <c r="EZ31" i="41"/>
  <c r="EY31" i="41"/>
  <c r="EX31" i="41"/>
  <c r="EW31" i="41"/>
  <c r="EV31" i="41"/>
  <c r="EU31" i="41"/>
  <c r="ET31" i="41"/>
  <c r="ES31" i="41"/>
  <c r="ER31" i="41"/>
  <c r="EQ31" i="41"/>
  <c r="EP31" i="41"/>
  <c r="EO31" i="41"/>
  <c r="EN31" i="41"/>
  <c r="EM31" i="41"/>
  <c r="EL31" i="41"/>
  <c r="EK31" i="41"/>
  <c r="EJ31" i="41"/>
  <c r="EI31" i="41"/>
  <c r="EH31" i="41"/>
  <c r="EG31" i="41"/>
  <c r="EF31" i="41"/>
  <c r="EE31" i="41"/>
  <c r="ED31" i="41"/>
  <c r="EC31" i="41"/>
  <c r="DV31" i="41"/>
  <c r="DU31" i="41"/>
  <c r="DT31" i="41"/>
  <c r="DS31" i="41"/>
  <c r="DR31" i="41"/>
  <c r="DQ31" i="41"/>
  <c r="DP31" i="41"/>
  <c r="GC30" i="41"/>
  <c r="GB30" i="41"/>
  <c r="GA30" i="41"/>
  <c r="FZ30" i="41"/>
  <c r="FY30" i="41"/>
  <c r="FX30" i="41"/>
  <c r="FW30" i="41"/>
  <c r="FV30" i="41"/>
  <c r="FT30" i="41"/>
  <c r="FS30" i="41"/>
  <c r="FR30" i="41"/>
  <c r="FQ30" i="41"/>
  <c r="FP30" i="41"/>
  <c r="FO30" i="41"/>
  <c r="FN30" i="41"/>
  <c r="FM30" i="41"/>
  <c r="FK30" i="41"/>
  <c r="FI30" i="41"/>
  <c r="FH30" i="41"/>
  <c r="FG30" i="41"/>
  <c r="FF30" i="41"/>
  <c r="FE30" i="41"/>
  <c r="FD30" i="41"/>
  <c r="FC30" i="41"/>
  <c r="FB30" i="41"/>
  <c r="FA30" i="41"/>
  <c r="EZ30" i="41"/>
  <c r="EY30" i="41"/>
  <c r="EX30" i="41"/>
  <c r="EW30" i="41"/>
  <c r="EV30" i="41"/>
  <c r="EU30" i="41"/>
  <c r="ET30" i="41"/>
  <c r="ES30" i="41"/>
  <c r="ER30" i="41"/>
  <c r="EQ30" i="41"/>
  <c r="EP30" i="41"/>
  <c r="EO30" i="41"/>
  <c r="EN30" i="41"/>
  <c r="EM30" i="41"/>
  <c r="EL30" i="41"/>
  <c r="EK30" i="41"/>
  <c r="EJ30" i="41"/>
  <c r="EI30" i="41"/>
  <c r="EH30" i="41"/>
  <c r="EG30" i="41"/>
  <c r="EF30" i="41"/>
  <c r="EE30" i="41"/>
  <c r="ED30" i="41"/>
  <c r="EC30" i="41"/>
  <c r="DV30" i="41"/>
  <c r="DU30" i="41"/>
  <c r="DT30" i="41"/>
  <c r="DS30" i="41"/>
  <c r="DR30" i="41"/>
  <c r="DQ30" i="41"/>
  <c r="DP30" i="41"/>
  <c r="GC29" i="41"/>
  <c r="GB29" i="41"/>
  <c r="GA29" i="41"/>
  <c r="FZ29" i="41"/>
  <c r="FY29" i="41"/>
  <c r="FX29" i="41"/>
  <c r="FW29" i="41"/>
  <c r="FV29" i="41"/>
  <c r="FT29" i="41"/>
  <c r="FS29" i="41"/>
  <c r="FR29" i="41"/>
  <c r="FQ29" i="41"/>
  <c r="FP29" i="41"/>
  <c r="FO29" i="41"/>
  <c r="FN29" i="41"/>
  <c r="FM29" i="41"/>
  <c r="FK29" i="41"/>
  <c r="FI29" i="41"/>
  <c r="FH29" i="41"/>
  <c r="FG29" i="41"/>
  <c r="FF29" i="41"/>
  <c r="FE29" i="41"/>
  <c r="FD29" i="41"/>
  <c r="FC29" i="41"/>
  <c r="FB29" i="41"/>
  <c r="FA29" i="41"/>
  <c r="EZ29" i="41"/>
  <c r="EY29" i="41"/>
  <c r="EX29" i="41"/>
  <c r="EW29" i="41"/>
  <c r="EV29" i="41"/>
  <c r="EU29" i="41"/>
  <c r="ET29" i="41"/>
  <c r="ES29" i="41"/>
  <c r="ER29" i="41"/>
  <c r="EQ29" i="41"/>
  <c r="EP29" i="41"/>
  <c r="EO29" i="41"/>
  <c r="EN29" i="41"/>
  <c r="EM29" i="41"/>
  <c r="EL29" i="41"/>
  <c r="EK29" i="41"/>
  <c r="EJ29" i="41"/>
  <c r="EI29" i="41"/>
  <c r="EH29" i="41"/>
  <c r="EG29" i="41"/>
  <c r="EF29" i="41"/>
  <c r="EE29" i="41"/>
  <c r="ED29" i="41"/>
  <c r="EC29" i="41"/>
  <c r="DV29" i="41"/>
  <c r="DU29" i="41"/>
  <c r="DT29" i="41"/>
  <c r="DS29" i="41"/>
  <c r="DR29" i="41"/>
  <c r="DQ29" i="41"/>
  <c r="DP29" i="41"/>
  <c r="GC28" i="41"/>
  <c r="GB28" i="41"/>
  <c r="GA28" i="41"/>
  <c r="FZ28" i="41"/>
  <c r="FY28" i="41"/>
  <c r="FX28" i="41"/>
  <c r="FW28" i="41"/>
  <c r="FV28" i="41"/>
  <c r="FT28" i="41"/>
  <c r="FS28" i="41"/>
  <c r="FR28" i="41"/>
  <c r="FQ28" i="41"/>
  <c r="FP28" i="41"/>
  <c r="FO28" i="41"/>
  <c r="FN28" i="41"/>
  <c r="FM28" i="41"/>
  <c r="FK28" i="41"/>
  <c r="FI28" i="41"/>
  <c r="FH28" i="41"/>
  <c r="FG28" i="41"/>
  <c r="FF28" i="41"/>
  <c r="FE28" i="41"/>
  <c r="FD28" i="41"/>
  <c r="FC28" i="41"/>
  <c r="FB28" i="41"/>
  <c r="FA28" i="41"/>
  <c r="EZ28" i="41"/>
  <c r="EY28" i="41"/>
  <c r="EX28" i="41"/>
  <c r="EW28" i="41"/>
  <c r="EV28" i="41"/>
  <c r="EU28" i="41"/>
  <c r="ET28" i="41"/>
  <c r="ES28" i="41"/>
  <c r="ER28" i="41"/>
  <c r="EQ28" i="41"/>
  <c r="EP28" i="41"/>
  <c r="EO28" i="41"/>
  <c r="EN28" i="41"/>
  <c r="EM28" i="41"/>
  <c r="EL28" i="41"/>
  <c r="EK28" i="41"/>
  <c r="EJ28" i="41"/>
  <c r="EI28" i="41"/>
  <c r="EH28" i="41"/>
  <c r="EG28" i="41"/>
  <c r="EF28" i="41"/>
  <c r="EE28" i="41"/>
  <c r="ED28" i="41"/>
  <c r="EC28" i="41"/>
  <c r="DV28" i="41"/>
  <c r="DU28" i="41"/>
  <c r="DT28" i="41"/>
  <c r="DS28" i="41"/>
  <c r="DR28" i="41"/>
  <c r="DQ28" i="41"/>
  <c r="DP28" i="41"/>
  <c r="GC27" i="41"/>
  <c r="GB27" i="41"/>
  <c r="GA27" i="41"/>
  <c r="FZ27" i="41"/>
  <c r="FY27" i="41"/>
  <c r="FX27" i="41"/>
  <c r="FW27" i="41"/>
  <c r="FV27" i="41"/>
  <c r="FT27" i="41"/>
  <c r="FS27" i="41"/>
  <c r="FR27" i="41"/>
  <c r="FQ27" i="41"/>
  <c r="FP27" i="41"/>
  <c r="FO27" i="41"/>
  <c r="FN27" i="41"/>
  <c r="FM27" i="41"/>
  <c r="FK27" i="41"/>
  <c r="FI27" i="41"/>
  <c r="FH27" i="41"/>
  <c r="FG27" i="41"/>
  <c r="FF27" i="41"/>
  <c r="FE27" i="41"/>
  <c r="FD27" i="41"/>
  <c r="FC27" i="41"/>
  <c r="FB27" i="41"/>
  <c r="FA27" i="41"/>
  <c r="EZ27" i="41"/>
  <c r="EY27" i="41"/>
  <c r="EX27" i="41"/>
  <c r="EW27" i="41"/>
  <c r="EV27" i="41"/>
  <c r="EU27" i="41"/>
  <c r="ET27" i="41"/>
  <c r="ES27" i="41"/>
  <c r="ER27" i="41"/>
  <c r="EQ27" i="41"/>
  <c r="EP27" i="41"/>
  <c r="EO27" i="41"/>
  <c r="EN27" i="41"/>
  <c r="EM27" i="41"/>
  <c r="EL27" i="41"/>
  <c r="EK27" i="41"/>
  <c r="EJ27" i="41"/>
  <c r="EI27" i="41"/>
  <c r="EH27" i="41"/>
  <c r="EG27" i="41"/>
  <c r="EF27" i="41"/>
  <c r="EE27" i="41"/>
  <c r="ED27" i="41"/>
  <c r="EC27" i="41"/>
  <c r="DV27" i="41"/>
  <c r="DU27" i="41"/>
  <c r="DT27" i="41"/>
  <c r="DS27" i="41"/>
  <c r="DR27" i="41"/>
  <c r="DQ27" i="41"/>
  <c r="DP27" i="41"/>
  <c r="GC26" i="41"/>
  <c r="GB26" i="41"/>
  <c r="GA26" i="41"/>
  <c r="FZ26" i="41"/>
  <c r="FY26" i="41"/>
  <c r="FX26" i="41"/>
  <c r="FW26" i="41"/>
  <c r="FV26" i="41"/>
  <c r="FT26" i="41"/>
  <c r="FS26" i="41"/>
  <c r="FQ26" i="41"/>
  <c r="FO26" i="41"/>
  <c r="FN26" i="41"/>
  <c r="FM26" i="41"/>
  <c r="FK26" i="41"/>
  <c r="FI26" i="41"/>
  <c r="FH26" i="41"/>
  <c r="FG26" i="41"/>
  <c r="FF26" i="41"/>
  <c r="FE26" i="41"/>
  <c r="FD26" i="41"/>
  <c r="FC26" i="41"/>
  <c r="FB26" i="41"/>
  <c r="FA26" i="41"/>
  <c r="EZ26" i="41"/>
  <c r="EY26" i="41"/>
  <c r="EX26" i="41"/>
  <c r="EW26" i="41"/>
  <c r="EV26" i="41"/>
  <c r="EU26" i="41"/>
  <c r="ET26" i="41"/>
  <c r="ES26" i="41"/>
  <c r="ER26" i="41"/>
  <c r="EQ26" i="41"/>
  <c r="EP26" i="41"/>
  <c r="EO26" i="41"/>
  <c r="EN26" i="41"/>
  <c r="EM26" i="41"/>
  <c r="EL26" i="41"/>
  <c r="EK26" i="41"/>
  <c r="EJ26" i="41"/>
  <c r="EI26" i="41"/>
  <c r="EH26" i="41"/>
  <c r="EG26" i="41"/>
  <c r="EF26" i="41"/>
  <c r="EE26" i="41"/>
  <c r="ED26" i="41"/>
  <c r="EC26" i="41"/>
  <c r="DV26" i="41"/>
  <c r="DU26" i="41"/>
  <c r="DT26" i="41"/>
  <c r="DS26" i="41"/>
  <c r="DR26" i="41"/>
  <c r="DQ26" i="41"/>
  <c r="DP26" i="41"/>
  <c r="GC25" i="41"/>
  <c r="GB25" i="41"/>
  <c r="GA25" i="41"/>
  <c r="FZ25" i="41"/>
  <c r="FY25" i="41"/>
  <c r="FX25" i="41"/>
  <c r="FW25" i="41"/>
  <c r="FV25" i="41"/>
  <c r="FT25" i="41"/>
  <c r="FS25" i="41"/>
  <c r="FQ25" i="41"/>
  <c r="FO25" i="41"/>
  <c r="FN25" i="41"/>
  <c r="FM25" i="41"/>
  <c r="FK25" i="41"/>
  <c r="FI25" i="41"/>
  <c r="FH25" i="41"/>
  <c r="FG25" i="41"/>
  <c r="FF25" i="41"/>
  <c r="FE25" i="41"/>
  <c r="FD25" i="41"/>
  <c r="FC25" i="41"/>
  <c r="FB25" i="41"/>
  <c r="FA25" i="41"/>
  <c r="EZ25" i="41"/>
  <c r="EY25" i="41"/>
  <c r="EX25" i="41"/>
  <c r="EW25" i="41"/>
  <c r="EV25" i="41"/>
  <c r="EU25" i="41"/>
  <c r="ET25" i="41"/>
  <c r="ES25" i="41"/>
  <c r="ER25" i="41"/>
  <c r="EQ25" i="41"/>
  <c r="EP25" i="41"/>
  <c r="EO25" i="41"/>
  <c r="EN25" i="41"/>
  <c r="EM25" i="41"/>
  <c r="EL25" i="41"/>
  <c r="EK25" i="41"/>
  <c r="EJ25" i="41"/>
  <c r="EI25" i="41"/>
  <c r="EH25" i="41"/>
  <c r="EG25" i="41"/>
  <c r="EF25" i="41"/>
  <c r="EE25" i="41"/>
  <c r="ED25" i="41"/>
  <c r="EC25" i="41"/>
  <c r="DV25" i="41"/>
  <c r="DU25" i="41"/>
  <c r="DT25" i="41"/>
  <c r="DS25" i="41"/>
  <c r="DR25" i="41"/>
  <c r="DQ25" i="41"/>
  <c r="DP25" i="41"/>
  <c r="GC24" i="41"/>
  <c r="GB24" i="41"/>
  <c r="GA24" i="41"/>
  <c r="FZ24" i="41"/>
  <c r="FY24" i="41"/>
  <c r="FX24" i="41"/>
  <c r="FW24" i="41"/>
  <c r="FV24" i="41"/>
  <c r="FT24" i="41"/>
  <c r="FS24" i="41"/>
  <c r="FR24" i="41"/>
  <c r="FQ24" i="41"/>
  <c r="FP24" i="41"/>
  <c r="FO24" i="41"/>
  <c r="FN24" i="41"/>
  <c r="FM24" i="41"/>
  <c r="FK24" i="41"/>
  <c r="FI24" i="41"/>
  <c r="FH24" i="41"/>
  <c r="FG24" i="41"/>
  <c r="FF24" i="41"/>
  <c r="FE24" i="41"/>
  <c r="FD24" i="41"/>
  <c r="FC24" i="41"/>
  <c r="FB24" i="41"/>
  <c r="FA24" i="41"/>
  <c r="EZ24" i="41"/>
  <c r="EY24" i="41"/>
  <c r="EX24" i="41"/>
  <c r="EW24" i="41"/>
  <c r="EV24" i="41"/>
  <c r="EU24" i="41"/>
  <c r="ET24" i="41"/>
  <c r="ES24" i="41"/>
  <c r="ER24" i="41"/>
  <c r="EQ24" i="41"/>
  <c r="EP24" i="41"/>
  <c r="EO24" i="41"/>
  <c r="EN24" i="41"/>
  <c r="EM24" i="41"/>
  <c r="EL24" i="41"/>
  <c r="EK24" i="41"/>
  <c r="EJ24" i="41"/>
  <c r="EI24" i="41"/>
  <c r="EH24" i="41"/>
  <c r="EG24" i="41"/>
  <c r="EF24" i="41"/>
  <c r="EE24" i="41"/>
  <c r="ED24" i="41"/>
  <c r="EC24" i="41"/>
  <c r="DV24" i="41"/>
  <c r="DU24" i="41"/>
  <c r="DT24" i="41"/>
  <c r="DS24" i="41"/>
  <c r="DR24" i="41"/>
  <c r="DQ24" i="41"/>
  <c r="DP24" i="41"/>
  <c r="GC23" i="41"/>
  <c r="GB23" i="41"/>
  <c r="GA23" i="41"/>
  <c r="FZ23" i="41"/>
  <c r="FY23" i="41"/>
  <c r="FX23" i="41"/>
  <c r="FW23" i="41"/>
  <c r="FV23" i="41"/>
  <c r="FT23" i="41"/>
  <c r="FS23" i="41"/>
  <c r="FR23" i="41"/>
  <c r="FQ23" i="41"/>
  <c r="FP23" i="41"/>
  <c r="FO23" i="41"/>
  <c r="FN23" i="41"/>
  <c r="FM23" i="41"/>
  <c r="FK23" i="41"/>
  <c r="FI23" i="41"/>
  <c r="FH23" i="41"/>
  <c r="FG23" i="41"/>
  <c r="FF23" i="41"/>
  <c r="FE23" i="41"/>
  <c r="FD23" i="41"/>
  <c r="FC23" i="41"/>
  <c r="FB23" i="41"/>
  <c r="FA23" i="41"/>
  <c r="EZ23" i="41"/>
  <c r="EY23" i="41"/>
  <c r="EX23" i="41"/>
  <c r="EW23" i="41"/>
  <c r="EV23" i="41"/>
  <c r="EU23" i="41"/>
  <c r="ET23" i="41"/>
  <c r="ES23" i="41"/>
  <c r="ER23" i="41"/>
  <c r="EQ23" i="41"/>
  <c r="EP23" i="41"/>
  <c r="EO23" i="41"/>
  <c r="EN23" i="41"/>
  <c r="EM23" i="41"/>
  <c r="EL23" i="41"/>
  <c r="EK23" i="41"/>
  <c r="EJ23" i="41"/>
  <c r="EI23" i="41"/>
  <c r="EH23" i="41"/>
  <c r="EG23" i="41"/>
  <c r="EF23" i="41"/>
  <c r="EE23" i="41"/>
  <c r="ED23" i="41"/>
  <c r="EC23" i="41"/>
  <c r="DV23" i="41"/>
  <c r="DU23" i="41"/>
  <c r="DT23" i="41"/>
  <c r="DS23" i="41"/>
  <c r="DR23" i="41"/>
  <c r="DQ23" i="41"/>
  <c r="DP23" i="41"/>
  <c r="GC22" i="41"/>
  <c r="GB22" i="41"/>
  <c r="GA22" i="41"/>
  <c r="FZ22" i="41"/>
  <c r="FY22" i="41"/>
  <c r="FX22" i="41"/>
  <c r="FW22" i="41"/>
  <c r="FV22" i="41"/>
  <c r="FT22" i="41"/>
  <c r="FS22" i="41"/>
  <c r="FR22" i="41"/>
  <c r="FQ22" i="41"/>
  <c r="FP22" i="41"/>
  <c r="FO22" i="41"/>
  <c r="FN22" i="41"/>
  <c r="FM22" i="41"/>
  <c r="FK22" i="41"/>
  <c r="FI22" i="41"/>
  <c r="FH22" i="41"/>
  <c r="FG22" i="41"/>
  <c r="FF22" i="41"/>
  <c r="FE22" i="41"/>
  <c r="FD22" i="41"/>
  <c r="FC22" i="41"/>
  <c r="FB22" i="41"/>
  <c r="FA22" i="41"/>
  <c r="EZ22" i="41"/>
  <c r="EY22" i="41"/>
  <c r="EX22" i="41"/>
  <c r="EW22" i="41"/>
  <c r="EV22" i="41"/>
  <c r="EU22" i="41"/>
  <c r="ET22" i="41"/>
  <c r="ES22" i="41"/>
  <c r="ER22" i="41"/>
  <c r="EQ22" i="41"/>
  <c r="EP22" i="41"/>
  <c r="EO22" i="41"/>
  <c r="EN22" i="41"/>
  <c r="EM22" i="41"/>
  <c r="EL22" i="41"/>
  <c r="EK22" i="41"/>
  <c r="EJ22" i="41"/>
  <c r="EI22" i="41"/>
  <c r="EH22" i="41"/>
  <c r="EG22" i="41"/>
  <c r="EF22" i="41"/>
  <c r="EE22" i="41"/>
  <c r="ED22" i="41"/>
  <c r="EC22" i="41"/>
  <c r="DV22" i="41"/>
  <c r="DU22" i="41"/>
  <c r="DT22" i="41"/>
  <c r="DS22" i="41"/>
  <c r="DR22" i="41"/>
  <c r="DQ22" i="41"/>
  <c r="DP22" i="41"/>
  <c r="GC21" i="41"/>
  <c r="GB21" i="41"/>
  <c r="GA21" i="41"/>
  <c r="FZ21" i="41"/>
  <c r="FY21" i="41"/>
  <c r="FX21" i="41"/>
  <c r="FW21" i="41"/>
  <c r="FV21" i="41"/>
  <c r="FT21" i="41"/>
  <c r="FS21" i="41"/>
  <c r="FR21" i="41"/>
  <c r="FQ21" i="41"/>
  <c r="FP21" i="41"/>
  <c r="FO21" i="41"/>
  <c r="FN21" i="41"/>
  <c r="FM21" i="41"/>
  <c r="FK21" i="41"/>
  <c r="FI21" i="41"/>
  <c r="FH21" i="41"/>
  <c r="FG21" i="41"/>
  <c r="FF21" i="41"/>
  <c r="FE21" i="41"/>
  <c r="FD21" i="41"/>
  <c r="FC21" i="41"/>
  <c r="FB21" i="41"/>
  <c r="FA21" i="41"/>
  <c r="EZ21" i="41"/>
  <c r="EY21" i="41"/>
  <c r="EX21" i="41"/>
  <c r="EW21" i="41"/>
  <c r="EV21" i="41"/>
  <c r="EU21" i="41"/>
  <c r="ET21" i="41"/>
  <c r="ES21" i="41"/>
  <c r="ER21" i="41"/>
  <c r="EQ21" i="41"/>
  <c r="EP21" i="41"/>
  <c r="EO21" i="41"/>
  <c r="EN21" i="41"/>
  <c r="EM21" i="41"/>
  <c r="EL21" i="41"/>
  <c r="EK21" i="41"/>
  <c r="EJ21" i="41"/>
  <c r="EI21" i="41"/>
  <c r="EH21" i="41"/>
  <c r="EG21" i="41"/>
  <c r="EF21" i="41"/>
  <c r="EE21" i="41"/>
  <c r="ED21" i="41"/>
  <c r="EC21" i="41"/>
  <c r="DV21" i="41"/>
  <c r="DU21" i="41"/>
  <c r="DT21" i="41"/>
  <c r="DS21" i="41"/>
  <c r="DR21" i="41"/>
  <c r="DQ21" i="41"/>
  <c r="DP21" i="41"/>
  <c r="GC20" i="41"/>
  <c r="GB20" i="41"/>
  <c r="GA20" i="41"/>
  <c r="FZ20" i="41"/>
  <c r="FY20" i="41"/>
  <c r="FX20" i="41"/>
  <c r="FW20" i="41"/>
  <c r="FV20" i="41"/>
  <c r="FT20" i="41"/>
  <c r="FS20" i="41"/>
  <c r="FR20" i="41"/>
  <c r="FQ20" i="41"/>
  <c r="FP20" i="41"/>
  <c r="FO20" i="41"/>
  <c r="FN20" i="41"/>
  <c r="FM20" i="41"/>
  <c r="FK20" i="41"/>
  <c r="FI20" i="41"/>
  <c r="FH20" i="41"/>
  <c r="FG20" i="41"/>
  <c r="FF20" i="41"/>
  <c r="FE20" i="41"/>
  <c r="FD20" i="41"/>
  <c r="FC20" i="41"/>
  <c r="FB20" i="41"/>
  <c r="FA20" i="41"/>
  <c r="EZ20" i="41"/>
  <c r="EY20" i="41"/>
  <c r="EX20" i="41"/>
  <c r="EW20" i="41"/>
  <c r="EV20" i="41"/>
  <c r="EU20" i="41"/>
  <c r="ET20" i="41"/>
  <c r="ES20" i="41"/>
  <c r="ER20" i="41"/>
  <c r="EQ20" i="41"/>
  <c r="EP20" i="41"/>
  <c r="EO20" i="41"/>
  <c r="EN20" i="41"/>
  <c r="EM20" i="41"/>
  <c r="EL20" i="41"/>
  <c r="EK20" i="41"/>
  <c r="EJ20" i="41"/>
  <c r="EI20" i="41"/>
  <c r="EH20" i="41"/>
  <c r="EG20" i="41"/>
  <c r="EF20" i="41"/>
  <c r="EE20" i="41"/>
  <c r="ED20" i="41"/>
  <c r="EC20" i="41"/>
  <c r="DV20" i="41"/>
  <c r="DU20" i="41"/>
  <c r="DT20" i="41"/>
  <c r="DS20" i="41"/>
  <c r="DR20" i="41"/>
  <c r="DQ20" i="41"/>
  <c r="DP20" i="41"/>
  <c r="GC19" i="41"/>
  <c r="GB19" i="41"/>
  <c r="GA19" i="41"/>
  <c r="FZ19" i="41"/>
  <c r="FY19" i="41"/>
  <c r="FX19" i="41"/>
  <c r="FW19" i="41"/>
  <c r="FV19" i="41"/>
  <c r="FT19" i="41"/>
  <c r="FS19" i="41"/>
  <c r="FR19" i="41"/>
  <c r="FQ19" i="41"/>
  <c r="FP19" i="41"/>
  <c r="FO19" i="41"/>
  <c r="FN19" i="41"/>
  <c r="FM19" i="41"/>
  <c r="FK19" i="41"/>
  <c r="FI19" i="41"/>
  <c r="FH19" i="41"/>
  <c r="FG19" i="41"/>
  <c r="FF19" i="41"/>
  <c r="FE19" i="41"/>
  <c r="FD19" i="41"/>
  <c r="FC19" i="41"/>
  <c r="FB19" i="41"/>
  <c r="FA19" i="41"/>
  <c r="EZ19" i="41"/>
  <c r="EY19" i="41"/>
  <c r="EX19" i="41"/>
  <c r="EW19" i="41"/>
  <c r="EV19" i="41"/>
  <c r="EU19" i="41"/>
  <c r="ET19" i="41"/>
  <c r="ES19" i="41"/>
  <c r="ER19" i="41"/>
  <c r="EQ19" i="41"/>
  <c r="EP19" i="41"/>
  <c r="EO19" i="41"/>
  <c r="EN19" i="41"/>
  <c r="EM19" i="41"/>
  <c r="EL19" i="41"/>
  <c r="EK19" i="41"/>
  <c r="EJ19" i="41"/>
  <c r="EI19" i="41"/>
  <c r="EH19" i="41"/>
  <c r="EG19" i="41"/>
  <c r="EF19" i="41"/>
  <c r="EE19" i="41"/>
  <c r="ED19" i="41"/>
  <c r="EC19" i="41"/>
  <c r="DV19" i="41"/>
  <c r="DU19" i="41"/>
  <c r="DT19" i="41"/>
  <c r="DS19" i="41"/>
  <c r="DR19" i="41"/>
  <c r="DQ19" i="41"/>
  <c r="DP19" i="41"/>
  <c r="GC18" i="41"/>
  <c r="GB18" i="41"/>
  <c r="GA18" i="41"/>
  <c r="FZ18" i="41"/>
  <c r="FY18" i="41"/>
  <c r="FX18" i="41"/>
  <c r="FW18" i="41"/>
  <c r="FV18" i="41"/>
  <c r="FT18" i="41"/>
  <c r="FS18" i="41"/>
  <c r="FR18" i="41"/>
  <c r="FQ18" i="41"/>
  <c r="FP18" i="41"/>
  <c r="FO18" i="41"/>
  <c r="FN18" i="41"/>
  <c r="FM18" i="41"/>
  <c r="FK18" i="41"/>
  <c r="FI18" i="41"/>
  <c r="FH18" i="41"/>
  <c r="FG18" i="41"/>
  <c r="FF18" i="41"/>
  <c r="FE18" i="41"/>
  <c r="FD18" i="41"/>
  <c r="FC18" i="41"/>
  <c r="FB18" i="41"/>
  <c r="FA18" i="41"/>
  <c r="EZ18" i="41"/>
  <c r="EY18" i="41"/>
  <c r="EX18" i="41"/>
  <c r="EW18" i="41"/>
  <c r="EV18" i="41"/>
  <c r="EU18" i="41"/>
  <c r="ET18" i="41"/>
  <c r="ES18" i="41"/>
  <c r="ER18" i="41"/>
  <c r="EQ18" i="41"/>
  <c r="EP18" i="41"/>
  <c r="EO18" i="41"/>
  <c r="EN18" i="41"/>
  <c r="EM18" i="41"/>
  <c r="EL18" i="41"/>
  <c r="EK18" i="41"/>
  <c r="EJ18" i="41"/>
  <c r="EI18" i="41"/>
  <c r="EH18" i="41"/>
  <c r="EG18" i="41"/>
  <c r="EF18" i="41"/>
  <c r="EE18" i="41"/>
  <c r="ED18" i="41"/>
  <c r="EC18" i="41"/>
  <c r="DV18" i="41"/>
  <c r="DU18" i="41"/>
  <c r="DT18" i="41"/>
  <c r="DS18" i="41"/>
  <c r="DR18" i="41"/>
  <c r="DQ18" i="41"/>
  <c r="DP18" i="41"/>
  <c r="GC17" i="41"/>
  <c r="GB17" i="41"/>
  <c r="GA17" i="41"/>
  <c r="FZ17" i="41"/>
  <c r="FY17" i="41"/>
  <c r="FX17" i="41"/>
  <c r="FW17" i="41"/>
  <c r="FV17" i="41"/>
  <c r="FT17" i="41"/>
  <c r="FS17" i="41"/>
  <c r="FR17" i="41"/>
  <c r="FQ17" i="41"/>
  <c r="FP17" i="41"/>
  <c r="FO17" i="41"/>
  <c r="FN17" i="41"/>
  <c r="FM17" i="41"/>
  <c r="FK17" i="41"/>
  <c r="FI17" i="41"/>
  <c r="FH17" i="41"/>
  <c r="FG17" i="41"/>
  <c r="FF17" i="41"/>
  <c r="FE17" i="41"/>
  <c r="FD17" i="41"/>
  <c r="FC17" i="41"/>
  <c r="FB17" i="41"/>
  <c r="FA17" i="41"/>
  <c r="EZ17" i="41"/>
  <c r="EY17" i="41"/>
  <c r="EX17" i="41"/>
  <c r="EW17" i="41"/>
  <c r="EV17" i="41"/>
  <c r="EU17" i="41"/>
  <c r="ET17" i="41"/>
  <c r="ES17" i="41"/>
  <c r="ER17" i="41"/>
  <c r="EQ17" i="41"/>
  <c r="EP17" i="41"/>
  <c r="EO17" i="41"/>
  <c r="EN17" i="41"/>
  <c r="EM17" i="41"/>
  <c r="EL17" i="41"/>
  <c r="EK17" i="41"/>
  <c r="EJ17" i="41"/>
  <c r="EI17" i="41"/>
  <c r="EH17" i="41"/>
  <c r="EG17" i="41"/>
  <c r="EF17" i="41"/>
  <c r="EE17" i="41"/>
  <c r="ED17" i="41"/>
  <c r="EC17" i="41"/>
  <c r="DV17" i="41"/>
  <c r="DU17" i="41"/>
  <c r="DT17" i="41"/>
  <c r="DS17" i="41"/>
  <c r="DR17" i="41"/>
  <c r="DQ17" i="41"/>
  <c r="DP17" i="41"/>
  <c r="GC16" i="41"/>
  <c r="GB16" i="41"/>
  <c r="GA16" i="41"/>
  <c r="FZ16" i="41"/>
  <c r="FY16" i="41"/>
  <c r="FX16" i="41"/>
  <c r="FW16" i="41"/>
  <c r="FV16" i="41"/>
  <c r="FT16" i="41"/>
  <c r="FS16" i="41"/>
  <c r="FR16" i="41"/>
  <c r="FQ16" i="41"/>
  <c r="FP16" i="41"/>
  <c r="FO16" i="41"/>
  <c r="FN16" i="41"/>
  <c r="FM16" i="41"/>
  <c r="FK16" i="41"/>
  <c r="FI16" i="41"/>
  <c r="FH16" i="41"/>
  <c r="FG16" i="41"/>
  <c r="FF16" i="41"/>
  <c r="FE16" i="41"/>
  <c r="FD16" i="41"/>
  <c r="FC16" i="41"/>
  <c r="FB16" i="41"/>
  <c r="FA16" i="41"/>
  <c r="EZ16" i="41"/>
  <c r="EY16" i="41"/>
  <c r="EX16" i="41"/>
  <c r="EW16" i="41"/>
  <c r="EV16" i="41"/>
  <c r="EU16" i="41"/>
  <c r="ET16" i="41"/>
  <c r="ES16" i="41"/>
  <c r="ER16" i="41"/>
  <c r="EQ16" i="41"/>
  <c r="EP16" i="41"/>
  <c r="EO16" i="41"/>
  <c r="EN16" i="41"/>
  <c r="EM16" i="41"/>
  <c r="EL16" i="41"/>
  <c r="EK16" i="41"/>
  <c r="EJ16" i="41"/>
  <c r="EI16" i="41"/>
  <c r="EH16" i="41"/>
  <c r="EG16" i="41"/>
  <c r="EF16" i="41"/>
  <c r="EE16" i="41"/>
  <c r="ED16" i="41"/>
  <c r="EC16" i="41"/>
  <c r="DV16" i="41"/>
  <c r="DU16" i="41"/>
  <c r="DT16" i="41"/>
  <c r="DS16" i="41"/>
  <c r="DR16" i="41"/>
  <c r="DQ16" i="41"/>
  <c r="DP16" i="41"/>
  <c r="GC15" i="41"/>
  <c r="GB15" i="41"/>
  <c r="GA15" i="41"/>
  <c r="FZ15" i="41"/>
  <c r="FY15" i="41"/>
  <c r="FX15" i="41"/>
  <c r="FW15" i="41"/>
  <c r="FV15" i="41"/>
  <c r="FT15" i="41"/>
  <c r="FS15" i="41"/>
  <c r="FR15" i="41"/>
  <c r="FQ15" i="41"/>
  <c r="FP15" i="41"/>
  <c r="FO15" i="41"/>
  <c r="FN15" i="41"/>
  <c r="FM15" i="41"/>
  <c r="FK15" i="41"/>
  <c r="FI15" i="41"/>
  <c r="FH15" i="41"/>
  <c r="FG15" i="41"/>
  <c r="FF15" i="41"/>
  <c r="FE15" i="41"/>
  <c r="FD15" i="41"/>
  <c r="FC15" i="41"/>
  <c r="FB15" i="41"/>
  <c r="FA15" i="41"/>
  <c r="EZ15" i="41"/>
  <c r="EY15" i="41"/>
  <c r="EX15" i="41"/>
  <c r="EW15" i="41"/>
  <c r="EV15" i="41"/>
  <c r="EU15" i="41"/>
  <c r="ET15" i="41"/>
  <c r="ES15" i="41"/>
  <c r="ER15" i="41"/>
  <c r="EQ15" i="41"/>
  <c r="EP15" i="41"/>
  <c r="EO15" i="41"/>
  <c r="EN15" i="41"/>
  <c r="EM15" i="41"/>
  <c r="EL15" i="41"/>
  <c r="EK15" i="41"/>
  <c r="EJ15" i="41"/>
  <c r="EI15" i="41"/>
  <c r="EH15" i="41"/>
  <c r="EG15" i="41"/>
  <c r="EF15" i="41"/>
  <c r="EE15" i="41"/>
  <c r="ED15" i="41"/>
  <c r="EC15" i="41"/>
  <c r="DV15" i="41"/>
  <c r="DU15" i="41"/>
  <c r="DT15" i="41"/>
  <c r="DS15" i="41"/>
  <c r="DR15" i="41"/>
  <c r="DQ15" i="41"/>
  <c r="DP15" i="41"/>
  <c r="GC14" i="41"/>
  <c r="GB14" i="41"/>
  <c r="GA14" i="41"/>
  <c r="FZ14" i="41"/>
  <c r="FY14" i="41"/>
  <c r="FX14" i="41"/>
  <c r="FW14" i="41"/>
  <c r="FV14" i="41"/>
  <c r="FT14" i="41"/>
  <c r="FS14" i="41"/>
  <c r="FR14" i="41"/>
  <c r="FQ14" i="41"/>
  <c r="FP14" i="41"/>
  <c r="FO14" i="41"/>
  <c r="FN14" i="41"/>
  <c r="FM14" i="41"/>
  <c r="FK14" i="41"/>
  <c r="FI14" i="41"/>
  <c r="FH14" i="41"/>
  <c r="FG14" i="41"/>
  <c r="FF14" i="41"/>
  <c r="FE14" i="41"/>
  <c r="FD14" i="41"/>
  <c r="FC14" i="41"/>
  <c r="FB14" i="41"/>
  <c r="FA14" i="41"/>
  <c r="EZ14" i="41"/>
  <c r="EY14" i="41"/>
  <c r="EX14" i="41"/>
  <c r="EW14" i="41"/>
  <c r="EV14" i="41"/>
  <c r="EU14" i="41"/>
  <c r="ET14" i="41"/>
  <c r="ES14" i="41"/>
  <c r="ER14" i="41"/>
  <c r="EQ14" i="41"/>
  <c r="EP14" i="41"/>
  <c r="EO14" i="41"/>
  <c r="EN14" i="41"/>
  <c r="EM14" i="41"/>
  <c r="EL14" i="41"/>
  <c r="EK14" i="41"/>
  <c r="EJ14" i="41"/>
  <c r="EI14" i="41"/>
  <c r="EH14" i="41"/>
  <c r="EG14" i="41"/>
  <c r="EF14" i="41"/>
  <c r="EE14" i="41"/>
  <c r="ED14" i="41"/>
  <c r="EC14" i="41"/>
  <c r="DV14" i="41"/>
  <c r="DU14" i="41"/>
  <c r="DT14" i="41"/>
  <c r="DS14" i="41"/>
  <c r="DR14" i="41"/>
  <c r="DQ14" i="41"/>
  <c r="DP14" i="41"/>
  <c r="GC13" i="41"/>
  <c r="GB13" i="41"/>
  <c r="GA13" i="41"/>
  <c r="FZ13" i="41"/>
  <c r="FY13" i="41"/>
  <c r="FX13" i="41"/>
  <c r="FW13" i="41"/>
  <c r="FV13" i="41"/>
  <c r="FT13" i="41"/>
  <c r="FS13" i="41"/>
  <c r="FR13" i="41"/>
  <c r="FQ13" i="41"/>
  <c r="FP13" i="41"/>
  <c r="FO13" i="41"/>
  <c r="FN13" i="41"/>
  <c r="FM13" i="41"/>
  <c r="FK13" i="41"/>
  <c r="FI13" i="41"/>
  <c r="FH13" i="41"/>
  <c r="FG13" i="41"/>
  <c r="FF13" i="41"/>
  <c r="FE13" i="41"/>
  <c r="FD13" i="41"/>
  <c r="FC13" i="41"/>
  <c r="FB13" i="41"/>
  <c r="FA13" i="41"/>
  <c r="EZ13" i="41"/>
  <c r="EY13" i="41"/>
  <c r="EX13" i="41"/>
  <c r="EW13" i="41"/>
  <c r="EV13" i="41"/>
  <c r="EU13" i="41"/>
  <c r="ET13" i="41"/>
  <c r="ES13" i="41"/>
  <c r="ER13" i="41"/>
  <c r="EQ13" i="41"/>
  <c r="EP13" i="41"/>
  <c r="EO13" i="41"/>
  <c r="EN13" i="41"/>
  <c r="EM13" i="41"/>
  <c r="EL13" i="41"/>
  <c r="EK13" i="41"/>
  <c r="EJ13" i="41"/>
  <c r="EI13" i="41"/>
  <c r="EH13" i="41"/>
  <c r="EG13" i="41"/>
  <c r="EF13" i="41"/>
  <c r="EE13" i="41"/>
  <c r="ED13" i="41"/>
  <c r="EC13" i="41"/>
  <c r="DV13" i="41"/>
  <c r="DU13" i="41"/>
  <c r="DT13" i="41"/>
  <c r="DS13" i="41"/>
  <c r="DR13" i="41"/>
  <c r="DQ13" i="41"/>
  <c r="DP13" i="41"/>
  <c r="GC12" i="41"/>
  <c r="GB12" i="41"/>
  <c r="GA12" i="41"/>
  <c r="FZ12" i="41"/>
  <c r="FY12" i="41"/>
  <c r="FX12" i="41"/>
  <c r="FW12" i="41"/>
  <c r="FV12" i="41"/>
  <c r="FT12" i="41"/>
  <c r="FS12" i="41"/>
  <c r="FR12" i="41"/>
  <c r="FQ12" i="41"/>
  <c r="FP12" i="41"/>
  <c r="FO12" i="41"/>
  <c r="FN12" i="41"/>
  <c r="FM12" i="41"/>
  <c r="FK12" i="41"/>
  <c r="FI12" i="41"/>
  <c r="FH12" i="41"/>
  <c r="FG12" i="41"/>
  <c r="FF12" i="41"/>
  <c r="FE12" i="41"/>
  <c r="FD12" i="41"/>
  <c r="FC12" i="41"/>
  <c r="FB12" i="41"/>
  <c r="FA12" i="41"/>
  <c r="EZ12" i="41"/>
  <c r="EY12" i="41"/>
  <c r="EX12" i="41"/>
  <c r="EW12" i="41"/>
  <c r="EV12" i="41"/>
  <c r="EU12" i="41"/>
  <c r="ET12" i="41"/>
  <c r="ES12" i="41"/>
  <c r="ER12" i="41"/>
  <c r="EQ12" i="41"/>
  <c r="EP12" i="41"/>
  <c r="EO12" i="41"/>
  <c r="EN12" i="41"/>
  <c r="EM12" i="41"/>
  <c r="EL12" i="41"/>
  <c r="EK12" i="41"/>
  <c r="EJ12" i="41"/>
  <c r="EI12" i="41"/>
  <c r="EH12" i="41"/>
  <c r="EG12" i="41"/>
  <c r="EF12" i="41"/>
  <c r="EE12" i="41"/>
  <c r="ED12" i="41"/>
  <c r="EC12" i="41"/>
  <c r="DV12" i="41"/>
  <c r="DU12" i="41"/>
  <c r="DT12" i="41"/>
  <c r="DS12" i="41"/>
  <c r="DR12" i="41"/>
  <c r="DQ12" i="41"/>
  <c r="DP12" i="41"/>
  <c r="GC11" i="41"/>
  <c r="GB11" i="41"/>
  <c r="GA11" i="41"/>
  <c r="FZ11" i="41"/>
  <c r="FY11" i="41"/>
  <c r="FX11" i="41"/>
  <c r="FW11" i="41"/>
  <c r="FV11" i="41"/>
  <c r="FT11" i="41"/>
  <c r="FS11" i="41"/>
  <c r="FR11" i="41"/>
  <c r="FQ11" i="41"/>
  <c r="FP11" i="41"/>
  <c r="FO11" i="41"/>
  <c r="FN11" i="41"/>
  <c r="FM11" i="41"/>
  <c r="FK11" i="41"/>
  <c r="FI11" i="41"/>
  <c r="FH11" i="41"/>
  <c r="FG11" i="41"/>
  <c r="FF11" i="41"/>
  <c r="FE11" i="41"/>
  <c r="FD11" i="41"/>
  <c r="FC11" i="41"/>
  <c r="FB11" i="41"/>
  <c r="FA11" i="41"/>
  <c r="EZ11" i="41"/>
  <c r="EY11" i="41"/>
  <c r="EX11" i="41"/>
  <c r="EW11" i="41"/>
  <c r="EV11" i="41"/>
  <c r="EU11" i="41"/>
  <c r="ET11" i="41"/>
  <c r="ES11" i="41"/>
  <c r="ER11" i="41"/>
  <c r="EQ11" i="41"/>
  <c r="EP11" i="41"/>
  <c r="EO11" i="41"/>
  <c r="EN11" i="41"/>
  <c r="EM11" i="41"/>
  <c r="EL11" i="41"/>
  <c r="EK11" i="41"/>
  <c r="EJ11" i="41"/>
  <c r="EI11" i="41"/>
  <c r="EH11" i="41"/>
  <c r="EG11" i="41"/>
  <c r="EF11" i="41"/>
  <c r="EE11" i="41"/>
  <c r="ED11" i="41"/>
  <c r="EC11" i="41"/>
  <c r="DV11" i="41"/>
  <c r="DU11" i="41"/>
  <c r="DT11" i="41"/>
  <c r="DS11" i="41"/>
  <c r="DR11" i="41"/>
  <c r="DQ11" i="41"/>
  <c r="DP11" i="41"/>
  <c r="GC10" i="41"/>
  <c r="GB10" i="41"/>
  <c r="GA10" i="41"/>
  <c r="FZ10" i="41"/>
  <c r="FY10" i="41"/>
  <c r="FX10" i="41"/>
  <c r="FW10" i="41"/>
  <c r="FV10" i="41"/>
  <c r="FT10" i="41"/>
  <c r="FS10" i="41"/>
  <c r="FR10" i="41"/>
  <c r="FQ10" i="41"/>
  <c r="FP10" i="41"/>
  <c r="FO10" i="41"/>
  <c r="FN10" i="41"/>
  <c r="FM10" i="41"/>
  <c r="FL10" i="41"/>
  <c r="FK10" i="41"/>
  <c r="FJ10" i="41"/>
  <c r="FI10" i="41"/>
  <c r="FH10" i="41"/>
  <c r="FG10" i="41"/>
  <c r="FF10" i="41"/>
  <c r="FE10" i="41"/>
  <c r="FD10" i="41"/>
  <c r="FC10" i="41"/>
  <c r="FB10" i="41"/>
  <c r="FA10" i="41"/>
  <c r="EZ10" i="41"/>
  <c r="EY10" i="41"/>
  <c r="EX10" i="41"/>
  <c r="EW10" i="41"/>
  <c r="EV10" i="41"/>
  <c r="EU10" i="41"/>
  <c r="ET10" i="41"/>
  <c r="ES10" i="41"/>
  <c r="ER10" i="41"/>
  <c r="EQ10" i="41"/>
  <c r="EP10" i="41"/>
  <c r="EO10" i="41"/>
  <c r="EN10" i="41"/>
  <c r="EM10" i="41"/>
  <c r="EL10" i="41"/>
  <c r="EK10" i="41"/>
  <c r="EJ10" i="41"/>
  <c r="EI10" i="41"/>
  <c r="EH10" i="41"/>
  <c r="EG10" i="41"/>
  <c r="EF10" i="41"/>
  <c r="EE10" i="41"/>
  <c r="ED10" i="41"/>
  <c r="EC10" i="41"/>
  <c r="DV10" i="41"/>
  <c r="DU10" i="41"/>
  <c r="DT10" i="41"/>
  <c r="DS10" i="41"/>
  <c r="DR10" i="41"/>
  <c r="DQ10" i="41"/>
  <c r="DP10" i="41"/>
  <c r="FE8" i="41"/>
  <c r="EJ8" i="41"/>
  <c r="EH8" i="41"/>
  <c r="EB8" i="41"/>
  <c r="EA8" i="41"/>
  <c r="DZ8" i="41"/>
  <c r="DV8" i="41"/>
  <c r="DT8" i="41"/>
  <c r="EB40" i="73"/>
  <c r="EA40" i="73"/>
  <c r="DZ40" i="73"/>
  <c r="DY40" i="73"/>
  <c r="DX40" i="73"/>
  <c r="DW40" i="73"/>
  <c r="GC39" i="73"/>
  <c r="GB39" i="73"/>
  <c r="GA39" i="73"/>
  <c r="FZ39" i="73"/>
  <c r="FY39" i="73"/>
  <c r="FX39" i="73"/>
  <c r="FW39" i="73"/>
  <c r="FV39" i="73"/>
  <c r="FT39" i="73"/>
  <c r="FS39" i="73"/>
  <c r="FQ39" i="73"/>
  <c r="FO39" i="73"/>
  <c r="FN39" i="73"/>
  <c r="FM39" i="73"/>
  <c r="FK39" i="73"/>
  <c r="FI39" i="73"/>
  <c r="FD39" i="73"/>
  <c r="FC39" i="73"/>
  <c r="FB39" i="73"/>
  <c r="FA39" i="73"/>
  <c r="EZ39" i="73"/>
  <c r="EY39" i="73"/>
  <c r="EX39" i="73"/>
  <c r="EW39" i="73"/>
  <c r="EV39" i="73"/>
  <c r="EU39" i="73"/>
  <c r="ET39" i="73"/>
  <c r="ES39" i="73"/>
  <c r="ER39" i="73"/>
  <c r="EQ39" i="73"/>
  <c r="EP39" i="73"/>
  <c r="EO39" i="73"/>
  <c r="EN39" i="73"/>
  <c r="EM39" i="73"/>
  <c r="EL39" i="73"/>
  <c r="EK39" i="73"/>
  <c r="EJ39" i="73"/>
  <c r="EI39" i="73"/>
  <c r="EH39" i="73"/>
  <c r="EG39" i="73"/>
  <c r="EE39" i="73"/>
  <c r="ED39" i="73"/>
  <c r="EC39" i="73"/>
  <c r="DV39" i="73"/>
  <c r="DU39" i="73"/>
  <c r="DT39" i="73"/>
  <c r="DS39" i="73"/>
  <c r="DR39" i="73"/>
  <c r="DQ39" i="73"/>
  <c r="DP39" i="73"/>
  <c r="GC38" i="73"/>
  <c r="GB38" i="73"/>
  <c r="GA38" i="73"/>
  <c r="FZ38" i="73"/>
  <c r="FY38" i="73"/>
  <c r="FX38" i="73"/>
  <c r="FW38" i="73"/>
  <c r="FV38" i="73"/>
  <c r="FT38" i="73"/>
  <c r="FS38" i="73"/>
  <c r="FQ38" i="73"/>
  <c r="FO38" i="73"/>
  <c r="FN38" i="73"/>
  <c r="FM38" i="73"/>
  <c r="FK38" i="73"/>
  <c r="FI38" i="73"/>
  <c r="FD38" i="73"/>
  <c r="FC38" i="73"/>
  <c r="FB38" i="73"/>
  <c r="FA38" i="73"/>
  <c r="EZ38" i="73"/>
  <c r="EY38" i="73"/>
  <c r="EX38" i="73"/>
  <c r="EW38" i="73"/>
  <c r="EV38" i="73"/>
  <c r="EU38" i="73"/>
  <c r="ET38" i="73"/>
  <c r="ES38" i="73"/>
  <c r="ER38" i="73"/>
  <c r="EQ38" i="73"/>
  <c r="EP38" i="73"/>
  <c r="EO38" i="73"/>
  <c r="EN38" i="73"/>
  <c r="EM38" i="73"/>
  <c r="EL38" i="73"/>
  <c r="EK38" i="73"/>
  <c r="EJ38" i="73"/>
  <c r="EI38" i="73"/>
  <c r="EH38" i="73"/>
  <c r="EG38" i="73"/>
  <c r="EE38" i="73"/>
  <c r="ED38" i="73"/>
  <c r="EC38" i="73"/>
  <c r="DV38" i="73"/>
  <c r="DU38" i="73"/>
  <c r="DT38" i="73"/>
  <c r="DS38" i="73"/>
  <c r="DR38" i="73"/>
  <c r="DQ38" i="73"/>
  <c r="DP38" i="73"/>
  <c r="GC37" i="73"/>
  <c r="GB37" i="73"/>
  <c r="GA37" i="73"/>
  <c r="FZ37" i="73"/>
  <c r="FY37" i="73"/>
  <c r="FX37" i="73"/>
  <c r="FW37" i="73"/>
  <c r="FV37" i="73"/>
  <c r="FT37" i="73"/>
  <c r="FS37" i="73"/>
  <c r="FQ37" i="73"/>
  <c r="FO37" i="73"/>
  <c r="FN37" i="73"/>
  <c r="FM37" i="73"/>
  <c r="FK37" i="73"/>
  <c r="FI37" i="73"/>
  <c r="FD37" i="73"/>
  <c r="FC37" i="73"/>
  <c r="FB37" i="73"/>
  <c r="FA37" i="73"/>
  <c r="EZ37" i="73"/>
  <c r="EY37" i="73"/>
  <c r="EX37" i="73"/>
  <c r="EW37" i="73"/>
  <c r="EV37" i="73"/>
  <c r="EU37" i="73"/>
  <c r="ET37" i="73"/>
  <c r="ES37" i="73"/>
  <c r="ER37" i="73"/>
  <c r="EQ37" i="73"/>
  <c r="EP37" i="73"/>
  <c r="EO37" i="73"/>
  <c r="EN37" i="73"/>
  <c r="EM37" i="73"/>
  <c r="EL37" i="73"/>
  <c r="EK37" i="73"/>
  <c r="EJ37" i="73"/>
  <c r="EI37" i="73"/>
  <c r="EH37" i="73"/>
  <c r="EG37" i="73"/>
  <c r="EE37" i="73"/>
  <c r="ED37" i="73"/>
  <c r="EC37" i="73"/>
  <c r="DV37" i="73"/>
  <c r="DU37" i="73"/>
  <c r="DT37" i="73"/>
  <c r="DS37" i="73"/>
  <c r="DR37" i="73"/>
  <c r="DQ37" i="73"/>
  <c r="DP37" i="73"/>
  <c r="GC36" i="73"/>
  <c r="GB36" i="73"/>
  <c r="GA36" i="73"/>
  <c r="FZ36" i="73"/>
  <c r="FY36" i="73"/>
  <c r="FX36" i="73"/>
  <c r="FW36" i="73"/>
  <c r="FV36" i="73"/>
  <c r="FT36" i="73"/>
  <c r="FS36" i="73"/>
  <c r="FQ36" i="73"/>
  <c r="FO36" i="73"/>
  <c r="FN36" i="73"/>
  <c r="FM36" i="73"/>
  <c r="FK36" i="73"/>
  <c r="FI36" i="73"/>
  <c r="FH36" i="73"/>
  <c r="FG36" i="73"/>
  <c r="FF36" i="73"/>
  <c r="FE36" i="73"/>
  <c r="FD36" i="73"/>
  <c r="FC36" i="73"/>
  <c r="FB36" i="73"/>
  <c r="FA36" i="73"/>
  <c r="EZ36" i="73"/>
  <c r="EY36" i="73"/>
  <c r="EX36" i="73"/>
  <c r="EW36" i="73"/>
  <c r="EV36" i="73"/>
  <c r="EU36" i="73"/>
  <c r="ET36" i="73"/>
  <c r="ES36" i="73"/>
  <c r="ER36" i="73"/>
  <c r="EQ36" i="73"/>
  <c r="EP36" i="73"/>
  <c r="EO36" i="73"/>
  <c r="EN36" i="73"/>
  <c r="EM36" i="73"/>
  <c r="EL36" i="73"/>
  <c r="EK36" i="73"/>
  <c r="EJ36" i="73"/>
  <c r="EI36" i="73"/>
  <c r="EH36" i="73"/>
  <c r="EG36" i="73"/>
  <c r="EF36" i="73"/>
  <c r="EE36" i="73"/>
  <c r="ED36" i="73"/>
  <c r="EC36" i="73"/>
  <c r="DV36" i="73"/>
  <c r="DU36" i="73"/>
  <c r="DT36" i="73"/>
  <c r="DS36" i="73"/>
  <c r="DR36" i="73"/>
  <c r="DQ36" i="73"/>
  <c r="DP36" i="73"/>
  <c r="GC35" i="73"/>
  <c r="GB35" i="73"/>
  <c r="GA35" i="73"/>
  <c r="FZ35" i="73"/>
  <c r="FY35" i="73"/>
  <c r="FX35" i="73"/>
  <c r="FW35" i="73"/>
  <c r="FV35" i="73"/>
  <c r="FT35" i="73"/>
  <c r="FS35" i="73"/>
  <c r="FQ35" i="73"/>
  <c r="FO35" i="73"/>
  <c r="FN35" i="73"/>
  <c r="FM35" i="73"/>
  <c r="FK35" i="73"/>
  <c r="FI35" i="73"/>
  <c r="FH35" i="73"/>
  <c r="FG35" i="73"/>
  <c r="FF35" i="73"/>
  <c r="FE35" i="73"/>
  <c r="FD35" i="73"/>
  <c r="FC35" i="73"/>
  <c r="FB35" i="73"/>
  <c r="FA35" i="73"/>
  <c r="EZ35" i="73"/>
  <c r="EY35" i="73"/>
  <c r="EX35" i="73"/>
  <c r="EW35" i="73"/>
  <c r="EV35" i="73"/>
  <c r="EU35" i="73"/>
  <c r="ET35" i="73"/>
  <c r="ES35" i="73"/>
  <c r="ER35" i="73"/>
  <c r="EQ35" i="73"/>
  <c r="EP35" i="73"/>
  <c r="EO35" i="73"/>
  <c r="EN35" i="73"/>
  <c r="EM35" i="73"/>
  <c r="EL35" i="73"/>
  <c r="EK35" i="73"/>
  <c r="EJ35" i="73"/>
  <c r="EI35" i="73"/>
  <c r="EH35" i="73"/>
  <c r="EG35" i="73"/>
  <c r="EF35" i="73"/>
  <c r="EE35" i="73"/>
  <c r="ED35" i="73"/>
  <c r="EC35" i="73"/>
  <c r="DV35" i="73"/>
  <c r="DU35" i="73"/>
  <c r="DT35" i="73"/>
  <c r="DS35" i="73"/>
  <c r="DR35" i="73"/>
  <c r="DQ35" i="73"/>
  <c r="DP35" i="73"/>
  <c r="GC34" i="73"/>
  <c r="GB34" i="73"/>
  <c r="GA34" i="73"/>
  <c r="FZ34" i="73"/>
  <c r="FY34" i="73"/>
  <c r="FX34" i="73"/>
  <c r="FW34" i="73"/>
  <c r="FV34" i="73"/>
  <c r="FT34" i="73"/>
  <c r="FS34" i="73"/>
  <c r="FQ34" i="73"/>
  <c r="FO34" i="73"/>
  <c r="FN34" i="73"/>
  <c r="FM34" i="73"/>
  <c r="FK34" i="73"/>
  <c r="FI34" i="73"/>
  <c r="FH34" i="73"/>
  <c r="FG34" i="73"/>
  <c r="FF34" i="73"/>
  <c r="FE34" i="73"/>
  <c r="FD34" i="73"/>
  <c r="FC34" i="73"/>
  <c r="FB34" i="73"/>
  <c r="FA34" i="73"/>
  <c r="EZ34" i="73"/>
  <c r="EY34" i="73"/>
  <c r="EX34" i="73"/>
  <c r="EW34" i="73"/>
  <c r="EV34" i="73"/>
  <c r="EU34" i="73"/>
  <c r="ET34" i="73"/>
  <c r="ES34" i="73"/>
  <c r="ER34" i="73"/>
  <c r="EQ34" i="73"/>
  <c r="EP34" i="73"/>
  <c r="EO34" i="73"/>
  <c r="EN34" i="73"/>
  <c r="EM34" i="73"/>
  <c r="EL34" i="73"/>
  <c r="EK34" i="73"/>
  <c r="EJ34" i="73"/>
  <c r="EI34" i="73"/>
  <c r="EH34" i="73"/>
  <c r="EG34" i="73"/>
  <c r="EF34" i="73"/>
  <c r="EE34" i="73"/>
  <c r="ED34" i="73"/>
  <c r="EC34" i="73"/>
  <c r="DV34" i="73"/>
  <c r="DU34" i="73"/>
  <c r="DT34" i="73"/>
  <c r="DS34" i="73"/>
  <c r="DR34" i="73"/>
  <c r="DQ34" i="73"/>
  <c r="DP34" i="73"/>
  <c r="GC33" i="73"/>
  <c r="GB33" i="73"/>
  <c r="GA33" i="73"/>
  <c r="FZ33" i="73"/>
  <c r="FY33" i="73"/>
  <c r="FX33" i="73"/>
  <c r="FW33" i="73"/>
  <c r="FV33" i="73"/>
  <c r="FT33" i="73"/>
  <c r="FS33" i="73"/>
  <c r="FQ33" i="73"/>
  <c r="FO33" i="73"/>
  <c r="FN33" i="73"/>
  <c r="FM33" i="73"/>
  <c r="FK33" i="73"/>
  <c r="FI33" i="73"/>
  <c r="FH33" i="73"/>
  <c r="FG33" i="73"/>
  <c r="FF33" i="73"/>
  <c r="FE33" i="73"/>
  <c r="FD33" i="73"/>
  <c r="FC33" i="73"/>
  <c r="FB33" i="73"/>
  <c r="FA33" i="73"/>
  <c r="EZ33" i="73"/>
  <c r="EY33" i="73"/>
  <c r="EX33" i="73"/>
  <c r="EW33" i="73"/>
  <c r="EV33" i="73"/>
  <c r="EU33" i="73"/>
  <c r="ET33" i="73"/>
  <c r="ES33" i="73"/>
  <c r="ER33" i="73"/>
  <c r="EQ33" i="73"/>
  <c r="EP33" i="73"/>
  <c r="EO33" i="73"/>
  <c r="EN33" i="73"/>
  <c r="EM33" i="73"/>
  <c r="EL33" i="73"/>
  <c r="EK33" i="73"/>
  <c r="EJ33" i="73"/>
  <c r="EI33" i="73"/>
  <c r="EH33" i="73"/>
  <c r="EG33" i="73"/>
  <c r="EF33" i="73"/>
  <c r="EE33" i="73"/>
  <c r="ED33" i="73"/>
  <c r="EC33" i="73"/>
  <c r="DV33" i="73"/>
  <c r="DU33" i="73"/>
  <c r="DT33" i="73"/>
  <c r="DS33" i="73"/>
  <c r="DR33" i="73"/>
  <c r="DQ33" i="73"/>
  <c r="DP33" i="73"/>
  <c r="GC32" i="73"/>
  <c r="GB32" i="73"/>
  <c r="GA32" i="73"/>
  <c r="FZ32" i="73"/>
  <c r="FY32" i="73"/>
  <c r="FX32" i="73"/>
  <c r="FW32" i="73"/>
  <c r="FV32" i="73"/>
  <c r="FT32" i="73"/>
  <c r="FS32" i="73"/>
  <c r="FQ32" i="73"/>
  <c r="FO32" i="73"/>
  <c r="FN32" i="73"/>
  <c r="FM32" i="73"/>
  <c r="FK32" i="73"/>
  <c r="FI32" i="73"/>
  <c r="FH32" i="73"/>
  <c r="FG32" i="73"/>
  <c r="FF32" i="73"/>
  <c r="FE32" i="73"/>
  <c r="FD32" i="73"/>
  <c r="FC32" i="73"/>
  <c r="FB32" i="73"/>
  <c r="FA32" i="73"/>
  <c r="EZ32" i="73"/>
  <c r="EY32" i="73"/>
  <c r="EX32" i="73"/>
  <c r="EW32" i="73"/>
  <c r="EV32" i="73"/>
  <c r="EU32" i="73"/>
  <c r="ET32" i="73"/>
  <c r="ES32" i="73"/>
  <c r="ER32" i="73"/>
  <c r="EQ32" i="73"/>
  <c r="EP32" i="73"/>
  <c r="EO32" i="73"/>
  <c r="EN32" i="73"/>
  <c r="EM32" i="73"/>
  <c r="EL32" i="73"/>
  <c r="EK32" i="73"/>
  <c r="EJ32" i="73"/>
  <c r="EI32" i="73"/>
  <c r="EH32" i="73"/>
  <c r="EG32" i="73"/>
  <c r="EF32" i="73"/>
  <c r="EE32" i="73"/>
  <c r="ED32" i="73"/>
  <c r="EC32" i="73"/>
  <c r="DV32" i="73"/>
  <c r="DU32" i="73"/>
  <c r="DT32" i="73"/>
  <c r="DS32" i="73"/>
  <c r="DR32" i="73"/>
  <c r="DQ32" i="73"/>
  <c r="DP32" i="73"/>
  <c r="GC31" i="73"/>
  <c r="GB31" i="73"/>
  <c r="GA31" i="73"/>
  <c r="FZ31" i="73"/>
  <c r="FY31" i="73"/>
  <c r="FX31" i="73"/>
  <c r="FW31" i="73"/>
  <c r="FV31" i="73"/>
  <c r="FT31" i="73"/>
  <c r="FS31" i="73"/>
  <c r="FQ31" i="73"/>
  <c r="FO31" i="73"/>
  <c r="FN31" i="73"/>
  <c r="FM31" i="73"/>
  <c r="FK31" i="73"/>
  <c r="FI31" i="73"/>
  <c r="FH31" i="73"/>
  <c r="FG31" i="73"/>
  <c r="FF31" i="73"/>
  <c r="FE31" i="73"/>
  <c r="FD31" i="73"/>
  <c r="FC31" i="73"/>
  <c r="FB31" i="73"/>
  <c r="FA31" i="73"/>
  <c r="EZ31" i="73"/>
  <c r="EY31" i="73"/>
  <c r="EX31" i="73"/>
  <c r="EW31" i="73"/>
  <c r="EV31" i="73"/>
  <c r="EU31" i="73"/>
  <c r="ET31" i="73"/>
  <c r="ES31" i="73"/>
  <c r="ER31" i="73"/>
  <c r="EQ31" i="73"/>
  <c r="EP31" i="73"/>
  <c r="EO31" i="73"/>
  <c r="EN31" i="73"/>
  <c r="EM31" i="73"/>
  <c r="EL31" i="73"/>
  <c r="EK31" i="73"/>
  <c r="EJ31" i="73"/>
  <c r="EI31" i="73"/>
  <c r="EH31" i="73"/>
  <c r="EG31" i="73"/>
  <c r="EF31" i="73"/>
  <c r="EE31" i="73"/>
  <c r="ED31" i="73"/>
  <c r="EC31" i="73"/>
  <c r="DV31" i="73"/>
  <c r="DU31" i="73"/>
  <c r="DT31" i="73"/>
  <c r="DS31" i="73"/>
  <c r="DR31" i="73"/>
  <c r="DQ31" i="73"/>
  <c r="DP31" i="73"/>
  <c r="GC30" i="73"/>
  <c r="GB30" i="73"/>
  <c r="GA30" i="73"/>
  <c r="FZ30" i="73"/>
  <c r="FY30" i="73"/>
  <c r="FX30" i="73"/>
  <c r="FW30" i="73"/>
  <c r="FV30" i="73"/>
  <c r="FT30" i="73"/>
  <c r="FS30" i="73"/>
  <c r="FQ30" i="73"/>
  <c r="FO30" i="73"/>
  <c r="FN30" i="73"/>
  <c r="FM30" i="73"/>
  <c r="FK30" i="73"/>
  <c r="FI30" i="73"/>
  <c r="FH30" i="73"/>
  <c r="FG30" i="73"/>
  <c r="FF30" i="73"/>
  <c r="FE30" i="73"/>
  <c r="FD30" i="73"/>
  <c r="FC30" i="73"/>
  <c r="FB30" i="73"/>
  <c r="FA30" i="73"/>
  <c r="EZ30" i="73"/>
  <c r="EY30" i="73"/>
  <c r="EX30" i="73"/>
  <c r="EW30" i="73"/>
  <c r="EV30" i="73"/>
  <c r="EU30" i="73"/>
  <c r="ET30" i="73"/>
  <c r="ES30" i="73"/>
  <c r="ER30" i="73"/>
  <c r="EQ30" i="73"/>
  <c r="EP30" i="73"/>
  <c r="EO30" i="73"/>
  <c r="EN30" i="73"/>
  <c r="EM30" i="73"/>
  <c r="EL30" i="73"/>
  <c r="EK30" i="73"/>
  <c r="EJ30" i="73"/>
  <c r="EI30" i="73"/>
  <c r="EH30" i="73"/>
  <c r="EG30" i="73"/>
  <c r="EF30" i="73"/>
  <c r="EE30" i="73"/>
  <c r="ED30" i="73"/>
  <c r="EC30" i="73"/>
  <c r="DV30" i="73"/>
  <c r="DU30" i="73"/>
  <c r="DT30" i="73"/>
  <c r="DS30" i="73"/>
  <c r="DR30" i="73"/>
  <c r="DQ30" i="73"/>
  <c r="DP30" i="73"/>
  <c r="GC29" i="73"/>
  <c r="GB29" i="73"/>
  <c r="GA29" i="73"/>
  <c r="FZ29" i="73"/>
  <c r="FY29" i="73"/>
  <c r="FX29" i="73"/>
  <c r="FW29" i="73"/>
  <c r="FV29" i="73"/>
  <c r="FT29" i="73"/>
  <c r="FS29" i="73"/>
  <c r="FQ29" i="73"/>
  <c r="FO29" i="73"/>
  <c r="FN29" i="73"/>
  <c r="FM29" i="73"/>
  <c r="FK29" i="73"/>
  <c r="FI29" i="73"/>
  <c r="FH29" i="73"/>
  <c r="FG29" i="73"/>
  <c r="FF29" i="73"/>
  <c r="FE29" i="73"/>
  <c r="FD29" i="73"/>
  <c r="FC29" i="73"/>
  <c r="FB29" i="73"/>
  <c r="FA29" i="73"/>
  <c r="EZ29" i="73"/>
  <c r="EY29" i="73"/>
  <c r="EX29" i="73"/>
  <c r="EW29" i="73"/>
  <c r="EV29" i="73"/>
  <c r="EU29" i="73"/>
  <c r="ET29" i="73"/>
  <c r="ES29" i="73"/>
  <c r="ER29" i="73"/>
  <c r="EQ29" i="73"/>
  <c r="EP29" i="73"/>
  <c r="EO29" i="73"/>
  <c r="EN29" i="73"/>
  <c r="EM29" i="73"/>
  <c r="EL29" i="73"/>
  <c r="EK29" i="73"/>
  <c r="EJ29" i="73"/>
  <c r="EI29" i="73"/>
  <c r="EH29" i="73"/>
  <c r="EG29" i="73"/>
  <c r="EF29" i="73"/>
  <c r="EE29" i="73"/>
  <c r="ED29" i="73"/>
  <c r="EC29" i="73"/>
  <c r="DV29" i="73"/>
  <c r="DU29" i="73"/>
  <c r="DT29" i="73"/>
  <c r="DS29" i="73"/>
  <c r="DR29" i="73"/>
  <c r="DQ29" i="73"/>
  <c r="DP29" i="73"/>
  <c r="GC28" i="73"/>
  <c r="GB28" i="73"/>
  <c r="GA28" i="73"/>
  <c r="FZ28" i="73"/>
  <c r="FY28" i="73"/>
  <c r="FX28" i="73"/>
  <c r="FW28" i="73"/>
  <c r="FV28" i="73"/>
  <c r="FT28" i="73"/>
  <c r="FS28" i="73"/>
  <c r="FQ28" i="73"/>
  <c r="FO28" i="73"/>
  <c r="FN28" i="73"/>
  <c r="FM28" i="73"/>
  <c r="FK28" i="73"/>
  <c r="FI28" i="73"/>
  <c r="FH28" i="73"/>
  <c r="FG28" i="73"/>
  <c r="FF28" i="73"/>
  <c r="FE28" i="73"/>
  <c r="FD28" i="73"/>
  <c r="FC28" i="73"/>
  <c r="FB28" i="73"/>
  <c r="FA28" i="73"/>
  <c r="EZ28" i="73"/>
  <c r="EY28" i="73"/>
  <c r="EX28" i="73"/>
  <c r="EW28" i="73"/>
  <c r="EV28" i="73"/>
  <c r="EU28" i="73"/>
  <c r="ET28" i="73"/>
  <c r="ES28" i="73"/>
  <c r="ER28" i="73"/>
  <c r="EQ28" i="73"/>
  <c r="EP28" i="73"/>
  <c r="EO28" i="73"/>
  <c r="EN28" i="73"/>
  <c r="EM28" i="73"/>
  <c r="EL28" i="73"/>
  <c r="EK28" i="73"/>
  <c r="EJ28" i="73"/>
  <c r="EI28" i="73"/>
  <c r="EH28" i="73"/>
  <c r="EG28" i="73"/>
  <c r="EF28" i="73"/>
  <c r="EE28" i="73"/>
  <c r="ED28" i="73"/>
  <c r="EC28" i="73"/>
  <c r="DV28" i="73"/>
  <c r="DU28" i="73"/>
  <c r="DT28" i="73"/>
  <c r="DS28" i="73"/>
  <c r="DR28" i="73"/>
  <c r="DQ28" i="73"/>
  <c r="DP28" i="73"/>
  <c r="GC27" i="73"/>
  <c r="GB27" i="73"/>
  <c r="GA27" i="73"/>
  <c r="FZ27" i="73"/>
  <c r="FY27" i="73"/>
  <c r="FX27" i="73"/>
  <c r="FW27" i="73"/>
  <c r="FV27" i="73"/>
  <c r="FT27" i="73"/>
  <c r="FS27" i="73"/>
  <c r="FQ27" i="73"/>
  <c r="FO27" i="73"/>
  <c r="FN27" i="73"/>
  <c r="FM27" i="73"/>
  <c r="FK27" i="73"/>
  <c r="FI27" i="73"/>
  <c r="FH27" i="73"/>
  <c r="FG27" i="73"/>
  <c r="FF27" i="73"/>
  <c r="FE27" i="73"/>
  <c r="FD27" i="73"/>
  <c r="FC27" i="73"/>
  <c r="FB27" i="73"/>
  <c r="FA27" i="73"/>
  <c r="EZ27" i="73"/>
  <c r="EY27" i="73"/>
  <c r="EX27" i="73"/>
  <c r="EW27" i="73"/>
  <c r="EV27" i="73"/>
  <c r="EU27" i="73"/>
  <c r="ET27" i="73"/>
  <c r="ES27" i="73"/>
  <c r="ER27" i="73"/>
  <c r="EQ27" i="73"/>
  <c r="EP27" i="73"/>
  <c r="EO27" i="73"/>
  <c r="EN27" i="73"/>
  <c r="EM27" i="73"/>
  <c r="EL27" i="73"/>
  <c r="EK27" i="73"/>
  <c r="EJ27" i="73"/>
  <c r="EI27" i="73"/>
  <c r="EH27" i="73"/>
  <c r="EG27" i="73"/>
  <c r="EF27" i="73"/>
  <c r="EE27" i="73"/>
  <c r="ED27" i="73"/>
  <c r="EC27" i="73"/>
  <c r="DV27" i="73"/>
  <c r="DU27" i="73"/>
  <c r="DT27" i="73"/>
  <c r="DS27" i="73"/>
  <c r="DR27" i="73"/>
  <c r="DQ27" i="73"/>
  <c r="DP27" i="73"/>
  <c r="GC26" i="73"/>
  <c r="GB26" i="73"/>
  <c r="GA26" i="73"/>
  <c r="FZ26" i="73"/>
  <c r="FY26" i="73"/>
  <c r="FX26" i="73"/>
  <c r="FW26" i="73"/>
  <c r="FV26" i="73"/>
  <c r="FT26" i="73"/>
  <c r="FS26" i="73"/>
  <c r="FQ26" i="73"/>
  <c r="FO26" i="73"/>
  <c r="FN26" i="73"/>
  <c r="FM26" i="73"/>
  <c r="FK26" i="73"/>
  <c r="FI26" i="73"/>
  <c r="FH26" i="73"/>
  <c r="FG26" i="73"/>
  <c r="FF26" i="73"/>
  <c r="FE26" i="73"/>
  <c r="FD26" i="73"/>
  <c r="FC26" i="73"/>
  <c r="FB26" i="73"/>
  <c r="FA26" i="73"/>
  <c r="EZ26" i="73"/>
  <c r="EY26" i="73"/>
  <c r="EX26" i="73"/>
  <c r="EW26" i="73"/>
  <c r="EV26" i="73"/>
  <c r="EU26" i="73"/>
  <c r="ET26" i="73"/>
  <c r="ES26" i="73"/>
  <c r="ER26" i="73"/>
  <c r="EQ26" i="73"/>
  <c r="EP26" i="73"/>
  <c r="EO26" i="73"/>
  <c r="EN26" i="73"/>
  <c r="EM26" i="73"/>
  <c r="EL26" i="73"/>
  <c r="EK26" i="73"/>
  <c r="EJ26" i="73"/>
  <c r="EI26" i="73"/>
  <c r="EH26" i="73"/>
  <c r="EG26" i="73"/>
  <c r="EF26" i="73"/>
  <c r="EE26" i="73"/>
  <c r="ED26" i="73"/>
  <c r="EC26" i="73"/>
  <c r="DV26" i="73"/>
  <c r="DU26" i="73"/>
  <c r="DT26" i="73"/>
  <c r="DS26" i="73"/>
  <c r="DR26" i="73"/>
  <c r="DQ26" i="73"/>
  <c r="DP26" i="73"/>
  <c r="GC25" i="73"/>
  <c r="GB25" i="73"/>
  <c r="GA25" i="73"/>
  <c r="FZ25" i="73"/>
  <c r="FY25" i="73"/>
  <c r="FX25" i="73"/>
  <c r="FW25" i="73"/>
  <c r="FV25" i="73"/>
  <c r="FT25" i="73"/>
  <c r="FS25" i="73"/>
  <c r="FQ25" i="73"/>
  <c r="FO25" i="73"/>
  <c r="FN25" i="73"/>
  <c r="FM25" i="73"/>
  <c r="FK25" i="73"/>
  <c r="FI25" i="73"/>
  <c r="FH25" i="73"/>
  <c r="FG25" i="73"/>
  <c r="FF25" i="73"/>
  <c r="FE25" i="73"/>
  <c r="FD25" i="73"/>
  <c r="FC25" i="73"/>
  <c r="FB25" i="73"/>
  <c r="FA25" i="73"/>
  <c r="EZ25" i="73"/>
  <c r="EY25" i="73"/>
  <c r="EX25" i="73"/>
  <c r="EW25" i="73"/>
  <c r="EV25" i="73"/>
  <c r="EU25" i="73"/>
  <c r="ET25" i="73"/>
  <c r="ES25" i="73"/>
  <c r="ER25" i="73"/>
  <c r="EQ25" i="73"/>
  <c r="EP25" i="73"/>
  <c r="EO25" i="73"/>
  <c r="EN25" i="73"/>
  <c r="EM25" i="73"/>
  <c r="EL25" i="73"/>
  <c r="EK25" i="73"/>
  <c r="EJ25" i="73"/>
  <c r="EI25" i="73"/>
  <c r="EH25" i="73"/>
  <c r="EG25" i="73"/>
  <c r="EF25" i="73"/>
  <c r="EE25" i="73"/>
  <c r="ED25" i="73"/>
  <c r="EC25" i="73"/>
  <c r="DV25" i="73"/>
  <c r="DU25" i="73"/>
  <c r="DT25" i="73"/>
  <c r="DS25" i="73"/>
  <c r="DR25" i="73"/>
  <c r="DQ25" i="73"/>
  <c r="DP25" i="73"/>
  <c r="GC24" i="73"/>
  <c r="GB24" i="73"/>
  <c r="GA24" i="73"/>
  <c r="FZ24" i="73"/>
  <c r="FY24" i="73"/>
  <c r="FX24" i="73"/>
  <c r="FW24" i="73"/>
  <c r="FV24" i="73"/>
  <c r="FT24" i="73"/>
  <c r="FS24" i="73"/>
  <c r="FQ24" i="73"/>
  <c r="FO24" i="73"/>
  <c r="FN24" i="73"/>
  <c r="FM24" i="73"/>
  <c r="FK24" i="73"/>
  <c r="FI24" i="73"/>
  <c r="FH24" i="73"/>
  <c r="FG24" i="73"/>
  <c r="FF24" i="73"/>
  <c r="FE24" i="73"/>
  <c r="FD24" i="73"/>
  <c r="FC24" i="73"/>
  <c r="FB24" i="73"/>
  <c r="FA24" i="73"/>
  <c r="EZ24" i="73"/>
  <c r="EY24" i="73"/>
  <c r="EX24" i="73"/>
  <c r="EW24" i="73"/>
  <c r="EV24" i="73"/>
  <c r="EU24" i="73"/>
  <c r="ET24" i="73"/>
  <c r="ES24" i="73"/>
  <c r="ER24" i="73"/>
  <c r="EQ24" i="73"/>
  <c r="EP24" i="73"/>
  <c r="EO24" i="73"/>
  <c r="EN24" i="73"/>
  <c r="EM24" i="73"/>
  <c r="EL24" i="73"/>
  <c r="EK24" i="73"/>
  <c r="EJ24" i="73"/>
  <c r="EI24" i="73"/>
  <c r="EH24" i="73"/>
  <c r="EG24" i="73"/>
  <c r="EF24" i="73"/>
  <c r="EE24" i="73"/>
  <c r="ED24" i="73"/>
  <c r="EC24" i="73"/>
  <c r="DV24" i="73"/>
  <c r="DU24" i="73"/>
  <c r="DT24" i="73"/>
  <c r="DS24" i="73"/>
  <c r="DR24" i="73"/>
  <c r="DQ24" i="73"/>
  <c r="DP24" i="73"/>
  <c r="GC23" i="73"/>
  <c r="GB23" i="73"/>
  <c r="GA23" i="73"/>
  <c r="FZ23" i="73"/>
  <c r="FY23" i="73"/>
  <c r="FX23" i="73"/>
  <c r="FW23" i="73"/>
  <c r="FV23" i="73"/>
  <c r="FT23" i="73"/>
  <c r="FS23" i="73"/>
  <c r="FQ23" i="73"/>
  <c r="FO23" i="73"/>
  <c r="FN23" i="73"/>
  <c r="FM23" i="73"/>
  <c r="FK23" i="73"/>
  <c r="FI23" i="73"/>
  <c r="FH23" i="73"/>
  <c r="FG23" i="73"/>
  <c r="FF23" i="73"/>
  <c r="FE23" i="73"/>
  <c r="FD23" i="73"/>
  <c r="FC23" i="73"/>
  <c r="FB23" i="73"/>
  <c r="FA23" i="73"/>
  <c r="EZ23" i="73"/>
  <c r="EY23" i="73"/>
  <c r="EX23" i="73"/>
  <c r="EW23" i="73"/>
  <c r="EV23" i="73"/>
  <c r="EU23" i="73"/>
  <c r="ET23" i="73"/>
  <c r="ES23" i="73"/>
  <c r="ER23" i="73"/>
  <c r="EQ23" i="73"/>
  <c r="EP23" i="73"/>
  <c r="EO23" i="73"/>
  <c r="EN23" i="73"/>
  <c r="EM23" i="73"/>
  <c r="EL23" i="73"/>
  <c r="EK23" i="73"/>
  <c r="EJ23" i="73"/>
  <c r="EI23" i="73"/>
  <c r="EH23" i="73"/>
  <c r="EG23" i="73"/>
  <c r="EF23" i="73"/>
  <c r="EE23" i="73"/>
  <c r="ED23" i="73"/>
  <c r="EC23" i="73"/>
  <c r="DV23" i="73"/>
  <c r="DU23" i="73"/>
  <c r="DT23" i="73"/>
  <c r="DS23" i="73"/>
  <c r="DR23" i="73"/>
  <c r="DQ23" i="73"/>
  <c r="DP23" i="73"/>
  <c r="GC22" i="73"/>
  <c r="GB22" i="73"/>
  <c r="GA22" i="73"/>
  <c r="FZ22" i="73"/>
  <c r="FY22" i="73"/>
  <c r="FX22" i="73"/>
  <c r="FW22" i="73"/>
  <c r="FV22" i="73"/>
  <c r="FT22" i="73"/>
  <c r="FS22" i="73"/>
  <c r="FQ22" i="73"/>
  <c r="FO22" i="73"/>
  <c r="FN22" i="73"/>
  <c r="FM22" i="73"/>
  <c r="FK22" i="73"/>
  <c r="FI22" i="73"/>
  <c r="FH22" i="73"/>
  <c r="FG22" i="73"/>
  <c r="FF22" i="73"/>
  <c r="FE22" i="73"/>
  <c r="FD22" i="73"/>
  <c r="FC22" i="73"/>
  <c r="FB22" i="73"/>
  <c r="FA22" i="73"/>
  <c r="EZ22" i="73"/>
  <c r="EY22" i="73"/>
  <c r="EX22" i="73"/>
  <c r="EW22" i="73"/>
  <c r="EV22" i="73"/>
  <c r="EU22" i="73"/>
  <c r="ET22" i="73"/>
  <c r="ES22" i="73"/>
  <c r="ER22" i="73"/>
  <c r="EQ22" i="73"/>
  <c r="EP22" i="73"/>
  <c r="EO22" i="73"/>
  <c r="EN22" i="73"/>
  <c r="EM22" i="73"/>
  <c r="EL22" i="73"/>
  <c r="EK22" i="73"/>
  <c r="EJ22" i="73"/>
  <c r="EI22" i="73"/>
  <c r="EH22" i="73"/>
  <c r="EG22" i="73"/>
  <c r="EF22" i="73"/>
  <c r="EE22" i="73"/>
  <c r="ED22" i="73"/>
  <c r="EC22" i="73"/>
  <c r="DV22" i="73"/>
  <c r="DU22" i="73"/>
  <c r="DT22" i="73"/>
  <c r="DS22" i="73"/>
  <c r="DR22" i="73"/>
  <c r="DQ22" i="73"/>
  <c r="DP22" i="73"/>
  <c r="GC21" i="73"/>
  <c r="GB21" i="73"/>
  <c r="GA21" i="73"/>
  <c r="FZ21" i="73"/>
  <c r="FY21" i="73"/>
  <c r="FX21" i="73"/>
  <c r="FW21" i="73"/>
  <c r="FV21" i="73"/>
  <c r="FT21" i="73"/>
  <c r="FS21" i="73"/>
  <c r="FQ21" i="73"/>
  <c r="FO21" i="73"/>
  <c r="FN21" i="73"/>
  <c r="FM21" i="73"/>
  <c r="FK21" i="73"/>
  <c r="FI21" i="73"/>
  <c r="FH21" i="73"/>
  <c r="FG21" i="73"/>
  <c r="FF21" i="73"/>
  <c r="FE21" i="73"/>
  <c r="FD21" i="73"/>
  <c r="FC21" i="73"/>
  <c r="FB21" i="73"/>
  <c r="FA21" i="73"/>
  <c r="EZ21" i="73"/>
  <c r="EY21" i="73"/>
  <c r="EX21" i="73"/>
  <c r="EW21" i="73"/>
  <c r="EV21" i="73"/>
  <c r="EU21" i="73"/>
  <c r="ET21" i="73"/>
  <c r="ES21" i="73"/>
  <c r="ER21" i="73"/>
  <c r="EQ21" i="73"/>
  <c r="EP21" i="73"/>
  <c r="EO21" i="73"/>
  <c r="EN21" i="73"/>
  <c r="EM21" i="73"/>
  <c r="EL21" i="73"/>
  <c r="EK21" i="73"/>
  <c r="EJ21" i="73"/>
  <c r="EI21" i="73"/>
  <c r="EH21" i="73"/>
  <c r="EG21" i="73"/>
  <c r="EF21" i="73"/>
  <c r="EE21" i="73"/>
  <c r="ED21" i="73"/>
  <c r="EC21" i="73"/>
  <c r="DV21" i="73"/>
  <c r="DU21" i="73"/>
  <c r="DT21" i="73"/>
  <c r="DS21" i="73"/>
  <c r="DR21" i="73"/>
  <c r="DQ21" i="73"/>
  <c r="DP21" i="73"/>
  <c r="GC20" i="73"/>
  <c r="GB20" i="73"/>
  <c r="GA20" i="73"/>
  <c r="FZ20" i="73"/>
  <c r="FY20" i="73"/>
  <c r="FX20" i="73"/>
  <c r="FW20" i="73"/>
  <c r="FV20" i="73"/>
  <c r="FT20" i="73"/>
  <c r="FS20" i="73"/>
  <c r="FQ20" i="73"/>
  <c r="FO20" i="73"/>
  <c r="FN20" i="73"/>
  <c r="FM20" i="73"/>
  <c r="FK20" i="73"/>
  <c r="FI20" i="73"/>
  <c r="FH20" i="73"/>
  <c r="FG20" i="73"/>
  <c r="FF20" i="73"/>
  <c r="FE20" i="73"/>
  <c r="FD20" i="73"/>
  <c r="FC20" i="73"/>
  <c r="FB20" i="73"/>
  <c r="FA20" i="73"/>
  <c r="EZ20" i="73"/>
  <c r="EY20" i="73"/>
  <c r="EX20" i="73"/>
  <c r="EW20" i="73"/>
  <c r="EV20" i="73"/>
  <c r="EU20" i="73"/>
  <c r="ET20" i="73"/>
  <c r="ES20" i="73"/>
  <c r="ER20" i="73"/>
  <c r="EQ20" i="73"/>
  <c r="EP20" i="73"/>
  <c r="EO20" i="73"/>
  <c r="EN20" i="73"/>
  <c r="EM20" i="73"/>
  <c r="EL20" i="73"/>
  <c r="EK20" i="73"/>
  <c r="EJ20" i="73"/>
  <c r="EI20" i="73"/>
  <c r="EH20" i="73"/>
  <c r="EG20" i="73"/>
  <c r="EF20" i="73"/>
  <c r="EE20" i="73"/>
  <c r="ED20" i="73"/>
  <c r="EC20" i="73"/>
  <c r="DV20" i="73"/>
  <c r="DU20" i="73"/>
  <c r="DT20" i="73"/>
  <c r="DS20" i="73"/>
  <c r="DR20" i="73"/>
  <c r="DQ20" i="73"/>
  <c r="DP20" i="73"/>
  <c r="GC19" i="73"/>
  <c r="GB19" i="73"/>
  <c r="GA19" i="73"/>
  <c r="FZ19" i="73"/>
  <c r="FY19" i="73"/>
  <c r="FX19" i="73"/>
  <c r="FW19" i="73"/>
  <c r="FV19" i="73"/>
  <c r="FT19" i="73"/>
  <c r="FS19" i="73"/>
  <c r="FQ19" i="73"/>
  <c r="FO19" i="73"/>
  <c r="FN19" i="73"/>
  <c r="FM19" i="73"/>
  <c r="FK19" i="73"/>
  <c r="FI19" i="73"/>
  <c r="FH19" i="73"/>
  <c r="FG19" i="73"/>
  <c r="FF19" i="73"/>
  <c r="FE19" i="73"/>
  <c r="FD19" i="73"/>
  <c r="FC19" i="73"/>
  <c r="FB19" i="73"/>
  <c r="FA19" i="73"/>
  <c r="EZ19" i="73"/>
  <c r="EY19" i="73"/>
  <c r="EX19" i="73"/>
  <c r="EW19" i="73"/>
  <c r="EV19" i="73"/>
  <c r="EU19" i="73"/>
  <c r="ET19" i="73"/>
  <c r="ES19" i="73"/>
  <c r="ER19" i="73"/>
  <c r="EQ19" i="73"/>
  <c r="EP19" i="73"/>
  <c r="EO19" i="73"/>
  <c r="EN19" i="73"/>
  <c r="EM19" i="73"/>
  <c r="EL19" i="73"/>
  <c r="EK19" i="73"/>
  <c r="EJ19" i="73"/>
  <c r="EI19" i="73"/>
  <c r="EH19" i="73"/>
  <c r="EG19" i="73"/>
  <c r="EF19" i="73"/>
  <c r="EE19" i="73"/>
  <c r="ED19" i="73"/>
  <c r="EC19" i="73"/>
  <c r="DV19" i="73"/>
  <c r="DU19" i="73"/>
  <c r="DT19" i="73"/>
  <c r="DS19" i="73"/>
  <c r="DR19" i="73"/>
  <c r="DQ19" i="73"/>
  <c r="DP19" i="73"/>
  <c r="GC18" i="73"/>
  <c r="GB18" i="73"/>
  <c r="GA18" i="73"/>
  <c r="FZ18" i="73"/>
  <c r="FY18" i="73"/>
  <c r="FX18" i="73"/>
  <c r="FW18" i="73"/>
  <c r="FV18" i="73"/>
  <c r="FT18" i="73"/>
  <c r="FS18" i="73"/>
  <c r="FQ18" i="73"/>
  <c r="FO18" i="73"/>
  <c r="FN18" i="73"/>
  <c r="FM18" i="73"/>
  <c r="FK18" i="73"/>
  <c r="FI18" i="73"/>
  <c r="FH18" i="73"/>
  <c r="FG18" i="73"/>
  <c r="FF18" i="73"/>
  <c r="FE18" i="73"/>
  <c r="FD18" i="73"/>
  <c r="FC18" i="73"/>
  <c r="FB18" i="73"/>
  <c r="FA18" i="73"/>
  <c r="EZ18" i="73"/>
  <c r="EY18" i="73"/>
  <c r="EX18" i="73"/>
  <c r="EW18" i="73"/>
  <c r="EV18" i="73"/>
  <c r="EU18" i="73"/>
  <c r="ET18" i="73"/>
  <c r="ES18" i="73"/>
  <c r="ER18" i="73"/>
  <c r="EQ18" i="73"/>
  <c r="EP18" i="73"/>
  <c r="EO18" i="73"/>
  <c r="EN18" i="73"/>
  <c r="EM18" i="73"/>
  <c r="EL18" i="73"/>
  <c r="EK18" i="73"/>
  <c r="EJ18" i="73"/>
  <c r="EI18" i="73"/>
  <c r="EH18" i="73"/>
  <c r="EG18" i="73"/>
  <c r="EF18" i="73"/>
  <c r="EE18" i="73"/>
  <c r="ED18" i="73"/>
  <c r="EC18" i="73"/>
  <c r="DV18" i="73"/>
  <c r="DU18" i="73"/>
  <c r="DT18" i="73"/>
  <c r="DS18" i="73"/>
  <c r="DR18" i="73"/>
  <c r="DQ18" i="73"/>
  <c r="DP18" i="73"/>
  <c r="GC17" i="73"/>
  <c r="GB17" i="73"/>
  <c r="GA17" i="73"/>
  <c r="FZ17" i="73"/>
  <c r="FY17" i="73"/>
  <c r="FX17" i="73"/>
  <c r="FW17" i="73"/>
  <c r="FV17" i="73"/>
  <c r="FT17" i="73"/>
  <c r="FS17" i="73"/>
  <c r="FQ17" i="73"/>
  <c r="FO17" i="73"/>
  <c r="FN17" i="73"/>
  <c r="FM17" i="73"/>
  <c r="FK17" i="73"/>
  <c r="FI17" i="73"/>
  <c r="FH17" i="73"/>
  <c r="FG17" i="73"/>
  <c r="FF17" i="73"/>
  <c r="FE17" i="73"/>
  <c r="FD17" i="73"/>
  <c r="FC17" i="73"/>
  <c r="FB17" i="73"/>
  <c r="FA17" i="73"/>
  <c r="EZ17" i="73"/>
  <c r="EY17" i="73"/>
  <c r="EX17" i="73"/>
  <c r="EW17" i="73"/>
  <c r="EV17" i="73"/>
  <c r="EU17" i="73"/>
  <c r="ET17" i="73"/>
  <c r="ES17" i="73"/>
  <c r="ER17" i="73"/>
  <c r="EQ17" i="73"/>
  <c r="EP17" i="73"/>
  <c r="EO17" i="73"/>
  <c r="EN17" i="73"/>
  <c r="EM17" i="73"/>
  <c r="EL17" i="73"/>
  <c r="EK17" i="73"/>
  <c r="EJ17" i="73"/>
  <c r="EI17" i="73"/>
  <c r="EH17" i="73"/>
  <c r="EG17" i="73"/>
  <c r="EF17" i="73"/>
  <c r="EE17" i="73"/>
  <c r="ED17" i="73"/>
  <c r="EC17" i="73"/>
  <c r="DV17" i="73"/>
  <c r="DU17" i="73"/>
  <c r="DT17" i="73"/>
  <c r="DS17" i="73"/>
  <c r="DR17" i="73"/>
  <c r="DQ17" i="73"/>
  <c r="DP17" i="73"/>
  <c r="GC16" i="73"/>
  <c r="GB16" i="73"/>
  <c r="GA16" i="73"/>
  <c r="FZ16" i="73"/>
  <c r="FY16" i="73"/>
  <c r="FX16" i="73"/>
  <c r="FW16" i="73"/>
  <c r="FV16" i="73"/>
  <c r="FT16" i="73"/>
  <c r="FS16" i="73"/>
  <c r="FQ16" i="73"/>
  <c r="FO16" i="73"/>
  <c r="FN16" i="73"/>
  <c r="FM16" i="73"/>
  <c r="FK16" i="73"/>
  <c r="FI16" i="73"/>
  <c r="FH16" i="73"/>
  <c r="FG16" i="73"/>
  <c r="FF16" i="73"/>
  <c r="FE16" i="73"/>
  <c r="FD16" i="73"/>
  <c r="FC16" i="73"/>
  <c r="FB16" i="73"/>
  <c r="FA16" i="73"/>
  <c r="EZ16" i="73"/>
  <c r="EY16" i="73"/>
  <c r="EX16" i="73"/>
  <c r="EW16" i="73"/>
  <c r="EV16" i="73"/>
  <c r="EU16" i="73"/>
  <c r="ET16" i="73"/>
  <c r="ES16" i="73"/>
  <c r="ER16" i="73"/>
  <c r="EQ16" i="73"/>
  <c r="EP16" i="73"/>
  <c r="EO16" i="73"/>
  <c r="EN16" i="73"/>
  <c r="EM16" i="73"/>
  <c r="EL16" i="73"/>
  <c r="EK16" i="73"/>
  <c r="EJ16" i="73"/>
  <c r="EI16" i="73"/>
  <c r="EH16" i="73"/>
  <c r="EG16" i="73"/>
  <c r="EF16" i="73"/>
  <c r="EE16" i="73"/>
  <c r="ED16" i="73"/>
  <c r="EC16" i="73"/>
  <c r="DV16" i="73"/>
  <c r="DU16" i="73"/>
  <c r="DT16" i="73"/>
  <c r="DS16" i="73"/>
  <c r="DR16" i="73"/>
  <c r="DQ16" i="73"/>
  <c r="DP16" i="73"/>
  <c r="GC15" i="73"/>
  <c r="GB15" i="73"/>
  <c r="GA15" i="73"/>
  <c r="FZ15" i="73"/>
  <c r="FY15" i="73"/>
  <c r="FX15" i="73"/>
  <c r="FW15" i="73"/>
  <c r="FV15" i="73"/>
  <c r="FT15" i="73"/>
  <c r="FS15" i="73"/>
  <c r="FQ15" i="73"/>
  <c r="FO15" i="73"/>
  <c r="FN15" i="73"/>
  <c r="FM15" i="73"/>
  <c r="FK15" i="73"/>
  <c r="FI15" i="73"/>
  <c r="FH15" i="73"/>
  <c r="FG15" i="73"/>
  <c r="FF15" i="73"/>
  <c r="FE15" i="73"/>
  <c r="FD15" i="73"/>
  <c r="FC15" i="73"/>
  <c r="FB15" i="73"/>
  <c r="FA15" i="73"/>
  <c r="EZ15" i="73"/>
  <c r="EY15" i="73"/>
  <c r="EX15" i="73"/>
  <c r="EW15" i="73"/>
  <c r="EV15" i="73"/>
  <c r="EU15" i="73"/>
  <c r="ET15" i="73"/>
  <c r="ES15" i="73"/>
  <c r="ER15" i="73"/>
  <c r="EQ15" i="73"/>
  <c r="EP15" i="73"/>
  <c r="EO15" i="73"/>
  <c r="EN15" i="73"/>
  <c r="EM15" i="73"/>
  <c r="EL15" i="73"/>
  <c r="EK15" i="73"/>
  <c r="EJ15" i="73"/>
  <c r="EI15" i="73"/>
  <c r="EH15" i="73"/>
  <c r="EG15" i="73"/>
  <c r="EF15" i="73"/>
  <c r="EE15" i="73"/>
  <c r="ED15" i="73"/>
  <c r="EC15" i="73"/>
  <c r="DV15" i="73"/>
  <c r="DU15" i="73"/>
  <c r="DT15" i="73"/>
  <c r="DS15" i="73"/>
  <c r="DR15" i="73"/>
  <c r="DQ15" i="73"/>
  <c r="DP15" i="73"/>
  <c r="GC14" i="73"/>
  <c r="GB14" i="73"/>
  <c r="GA14" i="73"/>
  <c r="FZ14" i="73"/>
  <c r="FY14" i="73"/>
  <c r="FX14" i="73"/>
  <c r="FW14" i="73"/>
  <c r="FV14" i="73"/>
  <c r="FT14" i="73"/>
  <c r="FS14" i="73"/>
  <c r="FQ14" i="73"/>
  <c r="FO14" i="73"/>
  <c r="FN14" i="73"/>
  <c r="FM14" i="73"/>
  <c r="FK14" i="73"/>
  <c r="FI14" i="73"/>
  <c r="FH14" i="73"/>
  <c r="FG14" i="73"/>
  <c r="FF14" i="73"/>
  <c r="FE14" i="73"/>
  <c r="FD14" i="73"/>
  <c r="FC14" i="73"/>
  <c r="FB14" i="73"/>
  <c r="FA14" i="73"/>
  <c r="EZ14" i="73"/>
  <c r="EY14" i="73"/>
  <c r="EX14" i="73"/>
  <c r="EW14" i="73"/>
  <c r="EV14" i="73"/>
  <c r="EU14" i="73"/>
  <c r="ET14" i="73"/>
  <c r="ES14" i="73"/>
  <c r="ER14" i="73"/>
  <c r="EQ14" i="73"/>
  <c r="EP14" i="73"/>
  <c r="EO14" i="73"/>
  <c r="EN14" i="73"/>
  <c r="EM14" i="73"/>
  <c r="EL14" i="73"/>
  <c r="EK14" i="73"/>
  <c r="EJ14" i="73"/>
  <c r="EI14" i="73"/>
  <c r="EH14" i="73"/>
  <c r="EG14" i="73"/>
  <c r="EF14" i="73"/>
  <c r="EE14" i="73"/>
  <c r="ED14" i="73"/>
  <c r="EC14" i="73"/>
  <c r="DV14" i="73"/>
  <c r="DU14" i="73"/>
  <c r="DT14" i="73"/>
  <c r="DS14" i="73"/>
  <c r="DR14" i="73"/>
  <c r="DQ14" i="73"/>
  <c r="DP14" i="73"/>
  <c r="GC13" i="73"/>
  <c r="GB13" i="73"/>
  <c r="GA13" i="73"/>
  <c r="FZ13" i="73"/>
  <c r="FY13" i="73"/>
  <c r="FX13" i="73"/>
  <c r="FW13" i="73"/>
  <c r="FV13" i="73"/>
  <c r="FT13" i="73"/>
  <c r="FS13" i="73"/>
  <c r="FQ13" i="73"/>
  <c r="FO13" i="73"/>
  <c r="FN13" i="73"/>
  <c r="FM13" i="73"/>
  <c r="FK13" i="73"/>
  <c r="FI13" i="73"/>
  <c r="FH13" i="73"/>
  <c r="FG13" i="73"/>
  <c r="FF13" i="73"/>
  <c r="FE13" i="73"/>
  <c r="FD13" i="73"/>
  <c r="FC13" i="73"/>
  <c r="FB13" i="73"/>
  <c r="FA13" i="73"/>
  <c r="EZ13" i="73"/>
  <c r="EY13" i="73"/>
  <c r="EX13" i="73"/>
  <c r="EW13" i="73"/>
  <c r="EV13" i="73"/>
  <c r="EU13" i="73"/>
  <c r="ET13" i="73"/>
  <c r="ES13" i="73"/>
  <c r="ER13" i="73"/>
  <c r="EQ13" i="73"/>
  <c r="EP13" i="73"/>
  <c r="EO13" i="73"/>
  <c r="EN13" i="73"/>
  <c r="EM13" i="73"/>
  <c r="EL13" i="73"/>
  <c r="EK13" i="73"/>
  <c r="EJ13" i="73"/>
  <c r="EI13" i="73"/>
  <c r="EH13" i="73"/>
  <c r="EG13" i="73"/>
  <c r="EF13" i="73"/>
  <c r="EE13" i="73"/>
  <c r="ED13" i="73"/>
  <c r="EC13" i="73"/>
  <c r="DV13" i="73"/>
  <c r="DU13" i="73"/>
  <c r="DT13" i="73"/>
  <c r="DS13" i="73"/>
  <c r="DR13" i="73"/>
  <c r="DQ13" i="73"/>
  <c r="DP13" i="73"/>
  <c r="GC12" i="73"/>
  <c r="GB12" i="73"/>
  <c r="GA12" i="73"/>
  <c r="FZ12" i="73"/>
  <c r="FY12" i="73"/>
  <c r="FX12" i="73"/>
  <c r="FW12" i="73"/>
  <c r="FV12" i="73"/>
  <c r="FT12" i="73"/>
  <c r="FS12" i="73"/>
  <c r="FQ12" i="73"/>
  <c r="FO12" i="73"/>
  <c r="FN12" i="73"/>
  <c r="FM12" i="73"/>
  <c r="FK12" i="73"/>
  <c r="FI12" i="73"/>
  <c r="FH12" i="73"/>
  <c r="FG12" i="73"/>
  <c r="FF12" i="73"/>
  <c r="FE12" i="73"/>
  <c r="FD12" i="73"/>
  <c r="FC12" i="73"/>
  <c r="FB12" i="73"/>
  <c r="FA12" i="73"/>
  <c r="EZ12" i="73"/>
  <c r="EY12" i="73"/>
  <c r="EX12" i="73"/>
  <c r="EW12" i="73"/>
  <c r="EV12" i="73"/>
  <c r="EU12" i="73"/>
  <c r="ET12" i="73"/>
  <c r="ES12" i="73"/>
  <c r="ER12" i="73"/>
  <c r="EQ12" i="73"/>
  <c r="EP12" i="73"/>
  <c r="EO12" i="73"/>
  <c r="EN12" i="73"/>
  <c r="EM12" i="73"/>
  <c r="EL12" i="73"/>
  <c r="EK12" i="73"/>
  <c r="EJ12" i="73"/>
  <c r="EI12" i="73"/>
  <c r="EH12" i="73"/>
  <c r="EG12" i="73"/>
  <c r="EF12" i="73"/>
  <c r="EE12" i="73"/>
  <c r="ED12" i="73"/>
  <c r="EC12" i="73"/>
  <c r="DV12" i="73"/>
  <c r="DU12" i="73"/>
  <c r="DT12" i="73"/>
  <c r="DS12" i="73"/>
  <c r="DR12" i="73"/>
  <c r="DQ12" i="73"/>
  <c r="DP12" i="73"/>
  <c r="GC11" i="73"/>
  <c r="GB11" i="73"/>
  <c r="GA11" i="73"/>
  <c r="FZ11" i="73"/>
  <c r="FY11" i="73"/>
  <c r="FX11" i="73"/>
  <c r="FW11" i="73"/>
  <c r="FV11" i="73"/>
  <c r="FT11" i="73"/>
  <c r="FS11" i="73"/>
  <c r="FQ11" i="73"/>
  <c r="FO11" i="73"/>
  <c r="FN11" i="73"/>
  <c r="FM11" i="73"/>
  <c r="FK11" i="73"/>
  <c r="FI11" i="73"/>
  <c r="FH11" i="73"/>
  <c r="FG11" i="73"/>
  <c r="FF11" i="73"/>
  <c r="FE11" i="73"/>
  <c r="FD11" i="73"/>
  <c r="FC11" i="73"/>
  <c r="FB11" i="73"/>
  <c r="FA11" i="73"/>
  <c r="EZ11" i="73"/>
  <c r="EY11" i="73"/>
  <c r="EX11" i="73"/>
  <c r="EW11" i="73"/>
  <c r="EV11" i="73"/>
  <c r="EU11" i="73"/>
  <c r="ET11" i="73"/>
  <c r="ES11" i="73"/>
  <c r="ER11" i="73"/>
  <c r="EQ11" i="73"/>
  <c r="EP11" i="73"/>
  <c r="EO11" i="73"/>
  <c r="EN11" i="73"/>
  <c r="EM11" i="73"/>
  <c r="EL11" i="73"/>
  <c r="EK11" i="73"/>
  <c r="EJ11" i="73"/>
  <c r="EI11" i="73"/>
  <c r="EH11" i="73"/>
  <c r="EG11" i="73"/>
  <c r="EF11" i="73"/>
  <c r="EE11" i="73"/>
  <c r="ED11" i="73"/>
  <c r="EC11" i="73"/>
  <c r="DV11" i="73"/>
  <c r="DU11" i="73"/>
  <c r="DT11" i="73"/>
  <c r="DS11" i="73"/>
  <c r="DR11" i="73"/>
  <c r="DQ11" i="73"/>
  <c r="DP11" i="73"/>
  <c r="GC10" i="73"/>
  <c r="GB10" i="73"/>
  <c r="GA10" i="73"/>
  <c r="FZ10" i="73"/>
  <c r="FY10" i="73"/>
  <c r="FX10" i="73"/>
  <c r="FW10" i="73"/>
  <c r="FV10" i="73"/>
  <c r="FT10" i="73"/>
  <c r="FS10" i="73"/>
  <c r="FQ10" i="73"/>
  <c r="FO10" i="73"/>
  <c r="FN10" i="73"/>
  <c r="FM10" i="73"/>
  <c r="FK10" i="73"/>
  <c r="FI10" i="73"/>
  <c r="FH10" i="73"/>
  <c r="FG10" i="73"/>
  <c r="FF10" i="73"/>
  <c r="FE10" i="73"/>
  <c r="FD10" i="73"/>
  <c r="FC10" i="73"/>
  <c r="FB10" i="73"/>
  <c r="FA10" i="73"/>
  <c r="EZ10" i="73"/>
  <c r="EY10" i="73"/>
  <c r="EX10" i="73"/>
  <c r="EW10" i="73"/>
  <c r="EV10" i="73"/>
  <c r="EU10" i="73"/>
  <c r="ET10" i="73"/>
  <c r="ES10" i="73"/>
  <c r="ER10" i="73"/>
  <c r="EQ10" i="73"/>
  <c r="EP10" i="73"/>
  <c r="EO10" i="73"/>
  <c r="EN10" i="73"/>
  <c r="EM10" i="73"/>
  <c r="EL10" i="73"/>
  <c r="EK10" i="73"/>
  <c r="EJ10" i="73"/>
  <c r="EI10" i="73"/>
  <c r="EH10" i="73"/>
  <c r="EG10" i="73"/>
  <c r="EF10" i="73"/>
  <c r="EE10" i="73"/>
  <c r="ED10" i="73"/>
  <c r="EC10" i="73"/>
  <c r="DV10" i="73"/>
  <c r="DU10" i="73"/>
  <c r="DT10" i="73"/>
  <c r="DS10" i="73"/>
  <c r="DR10" i="73"/>
  <c r="DQ10" i="73"/>
  <c r="DP10" i="73"/>
  <c r="GC9" i="73"/>
  <c r="GB9" i="73"/>
  <c r="GA9" i="73"/>
  <c r="FZ9" i="73"/>
  <c r="FY9" i="73"/>
  <c r="FX9" i="73"/>
  <c r="FW9" i="73"/>
  <c r="FV9" i="73"/>
  <c r="FU40" i="73"/>
  <c r="FT9" i="73"/>
  <c r="FS9" i="73"/>
  <c r="FS40" i="73" s="1"/>
  <c r="FQ9" i="73"/>
  <c r="FO9" i="73"/>
  <c r="FN9" i="73"/>
  <c r="FM9" i="73"/>
  <c r="FL9" i="73"/>
  <c r="FK9" i="73"/>
  <c r="FJ9" i="73"/>
  <c r="FI9" i="73"/>
  <c r="FH9" i="73"/>
  <c r="FG9" i="73"/>
  <c r="FF9" i="73"/>
  <c r="FE9" i="73"/>
  <c r="FD9" i="73"/>
  <c r="FC9" i="73"/>
  <c r="FB9" i="73"/>
  <c r="FA9" i="73"/>
  <c r="EZ9" i="73"/>
  <c r="EY9" i="73"/>
  <c r="EX9" i="73"/>
  <c r="EW9" i="73"/>
  <c r="EV9" i="73"/>
  <c r="EU9" i="73"/>
  <c r="ET9" i="73"/>
  <c r="ES9" i="73"/>
  <c r="ER9" i="73"/>
  <c r="EQ9" i="73"/>
  <c r="EP9" i="73"/>
  <c r="EO9" i="73"/>
  <c r="EN9" i="73"/>
  <c r="EM9" i="73"/>
  <c r="EL9" i="73"/>
  <c r="EK9" i="73"/>
  <c r="EJ9" i="73"/>
  <c r="EI9" i="73"/>
  <c r="EH9" i="73"/>
  <c r="EG9" i="73"/>
  <c r="EF9" i="73"/>
  <c r="EE9" i="73"/>
  <c r="ED9" i="73"/>
  <c r="EC9" i="73"/>
  <c r="DV9" i="73"/>
  <c r="DU9" i="73"/>
  <c r="DT9" i="73"/>
  <c r="DS9" i="73"/>
  <c r="DR9" i="73"/>
  <c r="DQ9" i="73"/>
  <c r="DP9" i="73"/>
  <c r="FE7" i="73"/>
  <c r="EJ7" i="73"/>
  <c r="EH7" i="73"/>
  <c r="EB7" i="73"/>
  <c r="EA7" i="73"/>
  <c r="DZ7" i="73"/>
  <c r="DV7" i="73"/>
  <c r="DT7" i="73"/>
  <c r="EB40" i="72"/>
  <c r="EA40" i="72"/>
  <c r="DZ40" i="72"/>
  <c r="DY40" i="72"/>
  <c r="DX40" i="72"/>
  <c r="DW40" i="72"/>
  <c r="GC38" i="72"/>
  <c r="GB38" i="72"/>
  <c r="GA38" i="72"/>
  <c r="FZ38" i="72"/>
  <c r="FY38" i="72"/>
  <c r="FX38" i="72"/>
  <c r="FW38" i="72"/>
  <c r="FV38" i="72"/>
  <c r="FT38" i="72"/>
  <c r="FS38" i="72"/>
  <c r="FQ38" i="72"/>
  <c r="FO38" i="72"/>
  <c r="FN38" i="72"/>
  <c r="FM38" i="72"/>
  <c r="FK38" i="72"/>
  <c r="FI38" i="72"/>
  <c r="FD38" i="72"/>
  <c r="FC38" i="72"/>
  <c r="FB38" i="72"/>
  <c r="FA38" i="72"/>
  <c r="EZ38" i="72"/>
  <c r="EY38" i="72"/>
  <c r="EX38" i="72"/>
  <c r="EW38" i="72"/>
  <c r="EV38" i="72"/>
  <c r="EU38" i="72"/>
  <c r="ET38" i="72"/>
  <c r="ES38" i="72"/>
  <c r="ER38" i="72"/>
  <c r="EQ38" i="72"/>
  <c r="EP38" i="72"/>
  <c r="EO38" i="72"/>
  <c r="EN38" i="72"/>
  <c r="EM38" i="72"/>
  <c r="EL38" i="72"/>
  <c r="EK38" i="72"/>
  <c r="EJ38" i="72"/>
  <c r="EI38" i="72"/>
  <c r="EH38" i="72"/>
  <c r="EG38" i="72"/>
  <c r="EE38" i="72"/>
  <c r="ED38" i="72"/>
  <c r="EC38" i="72"/>
  <c r="DV38" i="72"/>
  <c r="DU38" i="72"/>
  <c r="DT38" i="72"/>
  <c r="DS38" i="72"/>
  <c r="DR38" i="72"/>
  <c r="DQ38" i="72"/>
  <c r="DP38" i="72"/>
  <c r="GC37" i="72"/>
  <c r="GB37" i="72"/>
  <c r="GA37" i="72"/>
  <c r="FZ37" i="72"/>
  <c r="FY37" i="72"/>
  <c r="FX37" i="72"/>
  <c r="FW37" i="72"/>
  <c r="FV37" i="72"/>
  <c r="FT37" i="72"/>
  <c r="FS37" i="72"/>
  <c r="FQ37" i="72"/>
  <c r="FO37" i="72"/>
  <c r="FN37" i="72"/>
  <c r="FM37" i="72"/>
  <c r="FK37" i="72"/>
  <c r="FI37" i="72"/>
  <c r="FD37" i="72"/>
  <c r="FC37" i="72"/>
  <c r="FB37" i="72"/>
  <c r="FA37" i="72"/>
  <c r="EZ37" i="72"/>
  <c r="EY37" i="72"/>
  <c r="EX37" i="72"/>
  <c r="EW37" i="72"/>
  <c r="EV37" i="72"/>
  <c r="EU37" i="72"/>
  <c r="ET37" i="72"/>
  <c r="ES37" i="72"/>
  <c r="ER37" i="72"/>
  <c r="EQ37" i="72"/>
  <c r="EP37" i="72"/>
  <c r="EO37" i="72"/>
  <c r="EN37" i="72"/>
  <c r="EM37" i="72"/>
  <c r="EL37" i="72"/>
  <c r="EK37" i="72"/>
  <c r="EJ37" i="72"/>
  <c r="EI37" i="72"/>
  <c r="EH37" i="72"/>
  <c r="EG37" i="72"/>
  <c r="EE37" i="72"/>
  <c r="ED37" i="72"/>
  <c r="EC37" i="72"/>
  <c r="DV37" i="72"/>
  <c r="DU37" i="72"/>
  <c r="DT37" i="72"/>
  <c r="DS37" i="72"/>
  <c r="DR37" i="72"/>
  <c r="DQ37" i="72"/>
  <c r="DP37" i="72"/>
  <c r="GC36" i="72"/>
  <c r="GB36" i="72"/>
  <c r="GA36" i="72"/>
  <c r="FZ36" i="72"/>
  <c r="FY36" i="72"/>
  <c r="FX36" i="72"/>
  <c r="FW36" i="72"/>
  <c r="FV36" i="72"/>
  <c r="FT36" i="72"/>
  <c r="FS36" i="72"/>
  <c r="FQ36" i="72"/>
  <c r="FO36" i="72"/>
  <c r="FN36" i="72"/>
  <c r="FM36" i="72"/>
  <c r="FK36" i="72"/>
  <c r="FI36" i="72"/>
  <c r="FH36" i="72"/>
  <c r="FG36" i="72"/>
  <c r="FF36" i="72"/>
  <c r="FE36" i="72"/>
  <c r="FD36" i="72"/>
  <c r="FC36" i="72"/>
  <c r="FB36" i="72"/>
  <c r="FA36" i="72"/>
  <c r="EZ36" i="72"/>
  <c r="EY36" i="72"/>
  <c r="EX36" i="72"/>
  <c r="EW36" i="72"/>
  <c r="EV36" i="72"/>
  <c r="EU36" i="72"/>
  <c r="ET36" i="72"/>
  <c r="ES36" i="72"/>
  <c r="ER36" i="72"/>
  <c r="EQ36" i="72"/>
  <c r="EP36" i="72"/>
  <c r="EO36" i="72"/>
  <c r="EN36" i="72"/>
  <c r="EM36" i="72"/>
  <c r="EL36" i="72"/>
  <c r="EK36" i="72"/>
  <c r="EJ36" i="72"/>
  <c r="EI36" i="72"/>
  <c r="EH36" i="72"/>
  <c r="EG36" i="72"/>
  <c r="EF36" i="72"/>
  <c r="EE36" i="72"/>
  <c r="ED36" i="72"/>
  <c r="EC36" i="72"/>
  <c r="DV36" i="72"/>
  <c r="DU36" i="72"/>
  <c r="DT36" i="72"/>
  <c r="DS36" i="72"/>
  <c r="DR36" i="72"/>
  <c r="DQ36" i="72"/>
  <c r="DP36" i="72"/>
  <c r="GC35" i="72"/>
  <c r="GB35" i="72"/>
  <c r="GA35" i="72"/>
  <c r="FZ35" i="72"/>
  <c r="FY35" i="72"/>
  <c r="FX35" i="72"/>
  <c r="FW35" i="72"/>
  <c r="FV35" i="72"/>
  <c r="FT35" i="72"/>
  <c r="FS35" i="72"/>
  <c r="FQ35" i="72"/>
  <c r="FO35" i="72"/>
  <c r="FN35" i="72"/>
  <c r="FM35" i="72"/>
  <c r="FK35" i="72"/>
  <c r="FI35" i="72"/>
  <c r="FH35" i="72"/>
  <c r="FG35" i="72"/>
  <c r="FF35" i="72"/>
  <c r="FE35" i="72"/>
  <c r="FD35" i="72"/>
  <c r="FC35" i="72"/>
  <c r="FB35" i="72"/>
  <c r="FA35" i="72"/>
  <c r="EZ35" i="72"/>
  <c r="EY35" i="72"/>
  <c r="EX35" i="72"/>
  <c r="EW35" i="72"/>
  <c r="EV35" i="72"/>
  <c r="EU35" i="72"/>
  <c r="ET35" i="72"/>
  <c r="ES35" i="72"/>
  <c r="ER35" i="72"/>
  <c r="EQ35" i="72"/>
  <c r="EP35" i="72"/>
  <c r="EO35" i="72"/>
  <c r="EN35" i="72"/>
  <c r="EM35" i="72"/>
  <c r="EL35" i="72"/>
  <c r="EK35" i="72"/>
  <c r="EJ35" i="72"/>
  <c r="EI35" i="72"/>
  <c r="EH35" i="72"/>
  <c r="EG35" i="72"/>
  <c r="EF35" i="72"/>
  <c r="EE35" i="72"/>
  <c r="ED35" i="72"/>
  <c r="EC35" i="72"/>
  <c r="DV35" i="72"/>
  <c r="DU35" i="72"/>
  <c r="DT35" i="72"/>
  <c r="DS35" i="72"/>
  <c r="DR35" i="72"/>
  <c r="DQ35" i="72"/>
  <c r="DP35" i="72"/>
  <c r="GC34" i="72"/>
  <c r="GB34" i="72"/>
  <c r="GA34" i="72"/>
  <c r="FZ34" i="72"/>
  <c r="FY34" i="72"/>
  <c r="FX34" i="72"/>
  <c r="FW34" i="72"/>
  <c r="FV34" i="72"/>
  <c r="FT34" i="72"/>
  <c r="FS34" i="72"/>
  <c r="FQ34" i="72"/>
  <c r="FO34" i="72"/>
  <c r="FN34" i="72"/>
  <c r="FM34" i="72"/>
  <c r="FK34" i="72"/>
  <c r="FI34" i="72"/>
  <c r="FH34" i="72"/>
  <c r="FG34" i="72"/>
  <c r="FF34" i="72"/>
  <c r="FE34" i="72"/>
  <c r="FD34" i="72"/>
  <c r="FC34" i="72"/>
  <c r="FB34" i="72"/>
  <c r="FA34" i="72"/>
  <c r="EZ34" i="72"/>
  <c r="EY34" i="72"/>
  <c r="EX34" i="72"/>
  <c r="EW34" i="72"/>
  <c r="EV34" i="72"/>
  <c r="EU34" i="72"/>
  <c r="ET34" i="72"/>
  <c r="ES34" i="72"/>
  <c r="ER34" i="72"/>
  <c r="EQ34" i="72"/>
  <c r="EP34" i="72"/>
  <c r="EO34" i="72"/>
  <c r="EN34" i="72"/>
  <c r="EM34" i="72"/>
  <c r="EL34" i="72"/>
  <c r="EK34" i="72"/>
  <c r="EJ34" i="72"/>
  <c r="EI34" i="72"/>
  <c r="EH34" i="72"/>
  <c r="EG34" i="72"/>
  <c r="EF34" i="72"/>
  <c r="EE34" i="72"/>
  <c r="ED34" i="72"/>
  <c r="EC34" i="72"/>
  <c r="DV34" i="72"/>
  <c r="DU34" i="72"/>
  <c r="DT34" i="72"/>
  <c r="DS34" i="72"/>
  <c r="DR34" i="72"/>
  <c r="DQ34" i="72"/>
  <c r="DP34" i="72"/>
  <c r="GC33" i="72"/>
  <c r="GB33" i="72"/>
  <c r="GA33" i="72"/>
  <c r="FZ33" i="72"/>
  <c r="FY33" i="72"/>
  <c r="FX33" i="72"/>
  <c r="FW33" i="72"/>
  <c r="FV33" i="72"/>
  <c r="FT33" i="72"/>
  <c r="FS33" i="72"/>
  <c r="FQ33" i="72"/>
  <c r="FO33" i="72"/>
  <c r="FN33" i="72"/>
  <c r="FM33" i="72"/>
  <c r="FK33" i="72"/>
  <c r="FI33" i="72"/>
  <c r="FH33" i="72"/>
  <c r="FG33" i="72"/>
  <c r="FF33" i="72"/>
  <c r="FE33" i="72"/>
  <c r="FD33" i="72"/>
  <c r="FC33" i="72"/>
  <c r="FB33" i="72"/>
  <c r="FA33" i="72"/>
  <c r="EZ33" i="72"/>
  <c r="EY33" i="72"/>
  <c r="EX33" i="72"/>
  <c r="EW33" i="72"/>
  <c r="EV33" i="72"/>
  <c r="EU33" i="72"/>
  <c r="ET33" i="72"/>
  <c r="ES33" i="72"/>
  <c r="ER33" i="72"/>
  <c r="EQ33" i="72"/>
  <c r="EP33" i="72"/>
  <c r="EO33" i="72"/>
  <c r="EN33" i="72"/>
  <c r="EM33" i="72"/>
  <c r="EL33" i="72"/>
  <c r="EK33" i="72"/>
  <c r="EJ33" i="72"/>
  <c r="EI33" i="72"/>
  <c r="EH33" i="72"/>
  <c r="EG33" i="72"/>
  <c r="EF33" i="72"/>
  <c r="EE33" i="72"/>
  <c r="ED33" i="72"/>
  <c r="EC33" i="72"/>
  <c r="DV33" i="72"/>
  <c r="DU33" i="72"/>
  <c r="DT33" i="72"/>
  <c r="DS33" i="72"/>
  <c r="DR33" i="72"/>
  <c r="DQ33" i="72"/>
  <c r="DP33" i="72"/>
  <c r="GC32" i="72"/>
  <c r="GB32" i="72"/>
  <c r="GA32" i="72"/>
  <c r="FZ32" i="72"/>
  <c r="FY32" i="72"/>
  <c r="FX32" i="72"/>
  <c r="FW32" i="72"/>
  <c r="FV32" i="72"/>
  <c r="FT32" i="72"/>
  <c r="FS32" i="72"/>
  <c r="FQ32" i="72"/>
  <c r="FO32" i="72"/>
  <c r="FN32" i="72"/>
  <c r="FM32" i="72"/>
  <c r="FK32" i="72"/>
  <c r="FI32" i="72"/>
  <c r="FH32" i="72"/>
  <c r="FG32" i="72"/>
  <c r="FF32" i="72"/>
  <c r="FE32" i="72"/>
  <c r="FD32" i="72"/>
  <c r="FC32" i="72"/>
  <c r="FB32" i="72"/>
  <c r="FA32" i="72"/>
  <c r="EZ32" i="72"/>
  <c r="EY32" i="72"/>
  <c r="EX32" i="72"/>
  <c r="EW32" i="72"/>
  <c r="EV32" i="72"/>
  <c r="EU32" i="72"/>
  <c r="ET32" i="72"/>
  <c r="ES32" i="72"/>
  <c r="ER32" i="72"/>
  <c r="EQ32" i="72"/>
  <c r="EP32" i="72"/>
  <c r="EO32" i="72"/>
  <c r="EN32" i="72"/>
  <c r="EM32" i="72"/>
  <c r="EL32" i="72"/>
  <c r="EK32" i="72"/>
  <c r="EJ32" i="72"/>
  <c r="EI32" i="72"/>
  <c r="EH32" i="72"/>
  <c r="EG32" i="72"/>
  <c r="EF32" i="72"/>
  <c r="EE32" i="72"/>
  <c r="ED32" i="72"/>
  <c r="EC32" i="72"/>
  <c r="DV32" i="72"/>
  <c r="DU32" i="72"/>
  <c r="DT32" i="72"/>
  <c r="DS32" i="72"/>
  <c r="DR32" i="72"/>
  <c r="DQ32" i="72"/>
  <c r="DP32" i="72"/>
  <c r="GC31" i="72"/>
  <c r="GB31" i="72"/>
  <c r="GA31" i="72"/>
  <c r="FZ31" i="72"/>
  <c r="FY31" i="72"/>
  <c r="FX31" i="72"/>
  <c r="FW31" i="72"/>
  <c r="FV31" i="72"/>
  <c r="FT31" i="72"/>
  <c r="FS31" i="72"/>
  <c r="FQ31" i="72"/>
  <c r="FO31" i="72"/>
  <c r="FN31" i="72"/>
  <c r="FM31" i="72"/>
  <c r="FK31" i="72"/>
  <c r="FI31" i="72"/>
  <c r="FH31" i="72"/>
  <c r="FG31" i="72"/>
  <c r="FF31" i="72"/>
  <c r="FE31" i="72"/>
  <c r="FD31" i="72"/>
  <c r="FC31" i="72"/>
  <c r="FB31" i="72"/>
  <c r="FA31" i="72"/>
  <c r="EZ31" i="72"/>
  <c r="EY31" i="72"/>
  <c r="EX31" i="72"/>
  <c r="EW31" i="72"/>
  <c r="EV31" i="72"/>
  <c r="EU31" i="72"/>
  <c r="ET31" i="72"/>
  <c r="ES31" i="72"/>
  <c r="ER31" i="72"/>
  <c r="EQ31" i="72"/>
  <c r="EP31" i="72"/>
  <c r="EO31" i="72"/>
  <c r="EN31" i="72"/>
  <c r="EM31" i="72"/>
  <c r="EL31" i="72"/>
  <c r="EK31" i="72"/>
  <c r="EJ31" i="72"/>
  <c r="EI31" i="72"/>
  <c r="EH31" i="72"/>
  <c r="EG31" i="72"/>
  <c r="EF31" i="72"/>
  <c r="EE31" i="72"/>
  <c r="ED31" i="72"/>
  <c r="EC31" i="72"/>
  <c r="DV31" i="72"/>
  <c r="DU31" i="72"/>
  <c r="DT31" i="72"/>
  <c r="DS31" i="72"/>
  <c r="DR31" i="72"/>
  <c r="DQ31" i="72"/>
  <c r="DP31" i="72"/>
  <c r="GC30" i="72"/>
  <c r="GB30" i="72"/>
  <c r="GA30" i="72"/>
  <c r="FZ30" i="72"/>
  <c r="FY30" i="72"/>
  <c r="FX30" i="72"/>
  <c r="FW30" i="72"/>
  <c r="FV30" i="72"/>
  <c r="FT30" i="72"/>
  <c r="FS30" i="72"/>
  <c r="FQ30" i="72"/>
  <c r="FO30" i="72"/>
  <c r="FN30" i="72"/>
  <c r="FM30" i="72"/>
  <c r="FK30" i="72"/>
  <c r="FI30" i="72"/>
  <c r="FH30" i="72"/>
  <c r="FG30" i="72"/>
  <c r="FF30" i="72"/>
  <c r="FE30" i="72"/>
  <c r="FD30" i="72"/>
  <c r="FC30" i="72"/>
  <c r="FB30" i="72"/>
  <c r="FA30" i="72"/>
  <c r="EZ30" i="72"/>
  <c r="EY30" i="72"/>
  <c r="EX30" i="72"/>
  <c r="EW30" i="72"/>
  <c r="EV30" i="72"/>
  <c r="EU30" i="72"/>
  <c r="ET30" i="72"/>
  <c r="ES30" i="72"/>
  <c r="ER30" i="72"/>
  <c r="EQ30" i="72"/>
  <c r="EP30" i="72"/>
  <c r="EO30" i="72"/>
  <c r="EN30" i="72"/>
  <c r="EM30" i="72"/>
  <c r="EL30" i="72"/>
  <c r="EK30" i="72"/>
  <c r="EJ30" i="72"/>
  <c r="EI30" i="72"/>
  <c r="EH30" i="72"/>
  <c r="EG30" i="72"/>
  <c r="EF30" i="72"/>
  <c r="EE30" i="72"/>
  <c r="ED30" i="72"/>
  <c r="EC30" i="72"/>
  <c r="DV30" i="72"/>
  <c r="DU30" i="72"/>
  <c r="DT30" i="72"/>
  <c r="DS30" i="72"/>
  <c r="DR30" i="72"/>
  <c r="DQ30" i="72"/>
  <c r="DP30" i="72"/>
  <c r="GC29" i="72"/>
  <c r="GB29" i="72"/>
  <c r="GA29" i="72"/>
  <c r="FZ29" i="72"/>
  <c r="FY29" i="72"/>
  <c r="FX29" i="72"/>
  <c r="FW29" i="72"/>
  <c r="FV29" i="72"/>
  <c r="FT29" i="72"/>
  <c r="FS29" i="72"/>
  <c r="FQ29" i="72"/>
  <c r="FO29" i="72"/>
  <c r="FN29" i="72"/>
  <c r="FM29" i="72"/>
  <c r="FK29" i="72"/>
  <c r="FI29" i="72"/>
  <c r="FH29" i="72"/>
  <c r="FG29" i="72"/>
  <c r="FF29" i="72"/>
  <c r="FE29" i="72"/>
  <c r="FD29" i="72"/>
  <c r="FC29" i="72"/>
  <c r="FB29" i="72"/>
  <c r="FA29" i="72"/>
  <c r="EZ29" i="72"/>
  <c r="EY29" i="72"/>
  <c r="EX29" i="72"/>
  <c r="EW29" i="72"/>
  <c r="EV29" i="72"/>
  <c r="EU29" i="72"/>
  <c r="ET29" i="72"/>
  <c r="ES29" i="72"/>
  <c r="ER29" i="72"/>
  <c r="EQ29" i="72"/>
  <c r="EP29" i="72"/>
  <c r="EO29" i="72"/>
  <c r="EN29" i="72"/>
  <c r="EM29" i="72"/>
  <c r="EL29" i="72"/>
  <c r="EK29" i="72"/>
  <c r="EJ29" i="72"/>
  <c r="EI29" i="72"/>
  <c r="EH29" i="72"/>
  <c r="EG29" i="72"/>
  <c r="EF29" i="72"/>
  <c r="EE29" i="72"/>
  <c r="ED29" i="72"/>
  <c r="EC29" i="72"/>
  <c r="DV29" i="72"/>
  <c r="DU29" i="72"/>
  <c r="DT29" i="72"/>
  <c r="DS29" i="72"/>
  <c r="DR29" i="72"/>
  <c r="DQ29" i="72"/>
  <c r="DP29" i="72"/>
  <c r="GC28" i="72"/>
  <c r="GB28" i="72"/>
  <c r="GA28" i="72"/>
  <c r="FZ28" i="72"/>
  <c r="FY28" i="72"/>
  <c r="FX28" i="72"/>
  <c r="FW28" i="72"/>
  <c r="FV28" i="72"/>
  <c r="FT28" i="72"/>
  <c r="FS28" i="72"/>
  <c r="FQ28" i="72"/>
  <c r="FO28" i="72"/>
  <c r="FN28" i="72"/>
  <c r="FM28" i="72"/>
  <c r="FK28" i="72"/>
  <c r="FI28" i="72"/>
  <c r="FH28" i="72"/>
  <c r="FG28" i="72"/>
  <c r="FF28" i="72"/>
  <c r="FE28" i="72"/>
  <c r="FD28" i="72"/>
  <c r="FC28" i="72"/>
  <c r="FB28" i="72"/>
  <c r="FA28" i="72"/>
  <c r="EZ28" i="72"/>
  <c r="EY28" i="72"/>
  <c r="EX28" i="72"/>
  <c r="EW28" i="72"/>
  <c r="EV28" i="72"/>
  <c r="EU28" i="72"/>
  <c r="ET28" i="72"/>
  <c r="ES28" i="72"/>
  <c r="ER28" i="72"/>
  <c r="EQ28" i="72"/>
  <c r="EP28" i="72"/>
  <c r="EO28" i="72"/>
  <c r="EN28" i="72"/>
  <c r="EM28" i="72"/>
  <c r="EL28" i="72"/>
  <c r="EK28" i="72"/>
  <c r="EJ28" i="72"/>
  <c r="EI28" i="72"/>
  <c r="EH28" i="72"/>
  <c r="EG28" i="72"/>
  <c r="EF28" i="72"/>
  <c r="EE28" i="72"/>
  <c r="ED28" i="72"/>
  <c r="EC28" i="72"/>
  <c r="DV28" i="72"/>
  <c r="DU28" i="72"/>
  <c r="DT28" i="72"/>
  <c r="DS28" i="72"/>
  <c r="DR28" i="72"/>
  <c r="DQ28" i="72"/>
  <c r="DP28" i="72"/>
  <c r="GC27" i="72"/>
  <c r="GB27" i="72"/>
  <c r="GA27" i="72"/>
  <c r="FZ27" i="72"/>
  <c r="FY27" i="72"/>
  <c r="FX27" i="72"/>
  <c r="FW27" i="72"/>
  <c r="FV27" i="72"/>
  <c r="FT27" i="72"/>
  <c r="FS27" i="72"/>
  <c r="FQ27" i="72"/>
  <c r="FO27" i="72"/>
  <c r="FN27" i="72"/>
  <c r="FM27" i="72"/>
  <c r="FK27" i="72"/>
  <c r="FI27" i="72"/>
  <c r="FH27" i="72"/>
  <c r="FG27" i="72"/>
  <c r="FF27" i="72"/>
  <c r="FE27" i="72"/>
  <c r="FD27" i="72"/>
  <c r="FC27" i="72"/>
  <c r="FB27" i="72"/>
  <c r="FA27" i="72"/>
  <c r="EZ27" i="72"/>
  <c r="EY27" i="72"/>
  <c r="EX27" i="72"/>
  <c r="EW27" i="72"/>
  <c r="EV27" i="72"/>
  <c r="EU27" i="72"/>
  <c r="ET27" i="72"/>
  <c r="ES27" i="72"/>
  <c r="ER27" i="72"/>
  <c r="EQ27" i="72"/>
  <c r="EP27" i="72"/>
  <c r="EO27" i="72"/>
  <c r="EN27" i="72"/>
  <c r="EM27" i="72"/>
  <c r="EL27" i="72"/>
  <c r="EK27" i="72"/>
  <c r="EJ27" i="72"/>
  <c r="EI27" i="72"/>
  <c r="EH27" i="72"/>
  <c r="EG27" i="72"/>
  <c r="EF27" i="72"/>
  <c r="EE27" i="72"/>
  <c r="ED27" i="72"/>
  <c r="EC27" i="72"/>
  <c r="DV27" i="72"/>
  <c r="DU27" i="72"/>
  <c r="DT27" i="72"/>
  <c r="DS27" i="72"/>
  <c r="DR27" i="72"/>
  <c r="DQ27" i="72"/>
  <c r="DP27" i="72"/>
  <c r="GC26" i="72"/>
  <c r="GB26" i="72"/>
  <c r="GA26" i="72"/>
  <c r="FZ26" i="72"/>
  <c r="FY26" i="72"/>
  <c r="FX26" i="72"/>
  <c r="FW26" i="72"/>
  <c r="FV26" i="72"/>
  <c r="FT26" i="72"/>
  <c r="FS26" i="72"/>
  <c r="FQ26" i="72"/>
  <c r="FO26" i="72"/>
  <c r="FN26" i="72"/>
  <c r="FM26" i="72"/>
  <c r="FK26" i="72"/>
  <c r="FI26" i="72"/>
  <c r="FH26" i="72"/>
  <c r="FG26" i="72"/>
  <c r="FF26" i="72"/>
  <c r="FE26" i="72"/>
  <c r="FD26" i="72"/>
  <c r="FC26" i="72"/>
  <c r="FB26" i="72"/>
  <c r="FA26" i="72"/>
  <c r="EZ26" i="72"/>
  <c r="EY26" i="72"/>
  <c r="EX26" i="72"/>
  <c r="EW26" i="72"/>
  <c r="EV26" i="72"/>
  <c r="EU26" i="72"/>
  <c r="ET26" i="72"/>
  <c r="ES26" i="72"/>
  <c r="ER26" i="72"/>
  <c r="EQ26" i="72"/>
  <c r="EP26" i="72"/>
  <c r="EO26" i="72"/>
  <c r="EN26" i="72"/>
  <c r="EM26" i="72"/>
  <c r="EL26" i="72"/>
  <c r="EK26" i="72"/>
  <c r="EJ26" i="72"/>
  <c r="EI26" i="72"/>
  <c r="EH26" i="72"/>
  <c r="EG26" i="72"/>
  <c r="EF26" i="72"/>
  <c r="EE26" i="72"/>
  <c r="ED26" i="72"/>
  <c r="EC26" i="72"/>
  <c r="DV26" i="72"/>
  <c r="DU26" i="72"/>
  <c r="DT26" i="72"/>
  <c r="DS26" i="72"/>
  <c r="DR26" i="72"/>
  <c r="DQ26" i="72"/>
  <c r="DP26" i="72"/>
  <c r="GC25" i="72"/>
  <c r="GB25" i="72"/>
  <c r="GA25" i="72"/>
  <c r="FZ25" i="72"/>
  <c r="FY25" i="72"/>
  <c r="FX25" i="72"/>
  <c r="FW25" i="72"/>
  <c r="FV25" i="72"/>
  <c r="FT25" i="72"/>
  <c r="FS25" i="72"/>
  <c r="FQ25" i="72"/>
  <c r="FO25" i="72"/>
  <c r="FN25" i="72"/>
  <c r="FM25" i="72"/>
  <c r="FK25" i="72"/>
  <c r="FI25" i="72"/>
  <c r="FH25" i="72"/>
  <c r="FG25" i="72"/>
  <c r="FF25" i="72"/>
  <c r="FE25" i="72"/>
  <c r="FD25" i="72"/>
  <c r="FC25" i="72"/>
  <c r="FB25" i="72"/>
  <c r="FA25" i="72"/>
  <c r="EZ25" i="72"/>
  <c r="EY25" i="72"/>
  <c r="EX25" i="72"/>
  <c r="EW25" i="72"/>
  <c r="EV25" i="72"/>
  <c r="EU25" i="72"/>
  <c r="ET25" i="72"/>
  <c r="ES25" i="72"/>
  <c r="ER25" i="72"/>
  <c r="EQ25" i="72"/>
  <c r="EP25" i="72"/>
  <c r="EO25" i="72"/>
  <c r="EN25" i="72"/>
  <c r="EM25" i="72"/>
  <c r="EL25" i="72"/>
  <c r="EK25" i="72"/>
  <c r="EJ25" i="72"/>
  <c r="EI25" i="72"/>
  <c r="EH25" i="72"/>
  <c r="EG25" i="72"/>
  <c r="EF25" i="72"/>
  <c r="EE25" i="72"/>
  <c r="ED25" i="72"/>
  <c r="EC25" i="72"/>
  <c r="DV25" i="72"/>
  <c r="DU25" i="72"/>
  <c r="DT25" i="72"/>
  <c r="DS25" i="72"/>
  <c r="DR25" i="72"/>
  <c r="DQ25" i="72"/>
  <c r="DP25" i="72"/>
  <c r="GC24" i="72"/>
  <c r="GB24" i="72"/>
  <c r="GA24" i="72"/>
  <c r="FZ24" i="72"/>
  <c r="FY24" i="72"/>
  <c r="FX24" i="72"/>
  <c r="FW24" i="72"/>
  <c r="FV24" i="72"/>
  <c r="FT24" i="72"/>
  <c r="FS24" i="72"/>
  <c r="FQ24" i="72"/>
  <c r="FO24" i="72"/>
  <c r="FN24" i="72"/>
  <c r="FM24" i="72"/>
  <c r="FK24" i="72"/>
  <c r="FI24" i="72"/>
  <c r="FH24" i="72"/>
  <c r="FG24" i="72"/>
  <c r="FF24" i="72"/>
  <c r="FE24" i="72"/>
  <c r="FD24" i="72"/>
  <c r="FC24" i="72"/>
  <c r="FB24" i="72"/>
  <c r="FA24" i="72"/>
  <c r="EZ24" i="72"/>
  <c r="EY24" i="72"/>
  <c r="EX24" i="72"/>
  <c r="EW24" i="72"/>
  <c r="EV24" i="72"/>
  <c r="EU24" i="72"/>
  <c r="ET24" i="72"/>
  <c r="ES24" i="72"/>
  <c r="ER24" i="72"/>
  <c r="EQ24" i="72"/>
  <c r="EP24" i="72"/>
  <c r="EO24" i="72"/>
  <c r="EN24" i="72"/>
  <c r="EM24" i="72"/>
  <c r="EL24" i="72"/>
  <c r="EK24" i="72"/>
  <c r="EJ24" i="72"/>
  <c r="EI24" i="72"/>
  <c r="EH24" i="72"/>
  <c r="EG24" i="72"/>
  <c r="EF24" i="72"/>
  <c r="EE24" i="72"/>
  <c r="ED24" i="72"/>
  <c r="EC24" i="72"/>
  <c r="DV24" i="72"/>
  <c r="DU24" i="72"/>
  <c r="DT24" i="72"/>
  <c r="DS24" i="72"/>
  <c r="DR24" i="72"/>
  <c r="DQ24" i="72"/>
  <c r="DP24" i="72"/>
  <c r="GC23" i="72"/>
  <c r="GB23" i="72"/>
  <c r="GA23" i="72"/>
  <c r="FZ23" i="72"/>
  <c r="FY23" i="72"/>
  <c r="FX23" i="72"/>
  <c r="FW23" i="72"/>
  <c r="FV23" i="72"/>
  <c r="FT23" i="72"/>
  <c r="FS23" i="72"/>
  <c r="FQ23" i="72"/>
  <c r="FO23" i="72"/>
  <c r="FN23" i="72"/>
  <c r="FM23" i="72"/>
  <c r="FK23" i="72"/>
  <c r="FI23" i="72"/>
  <c r="FH23" i="72"/>
  <c r="FG23" i="72"/>
  <c r="FF23" i="72"/>
  <c r="FE23" i="72"/>
  <c r="FD23" i="72"/>
  <c r="FC23" i="72"/>
  <c r="FB23" i="72"/>
  <c r="FA23" i="72"/>
  <c r="EZ23" i="72"/>
  <c r="EY23" i="72"/>
  <c r="EX23" i="72"/>
  <c r="EW23" i="72"/>
  <c r="EV23" i="72"/>
  <c r="EU23" i="72"/>
  <c r="ET23" i="72"/>
  <c r="ES23" i="72"/>
  <c r="ER23" i="72"/>
  <c r="EQ23" i="72"/>
  <c r="EP23" i="72"/>
  <c r="EO23" i="72"/>
  <c r="EN23" i="72"/>
  <c r="EM23" i="72"/>
  <c r="EL23" i="72"/>
  <c r="EK23" i="72"/>
  <c r="EJ23" i="72"/>
  <c r="EI23" i="72"/>
  <c r="EH23" i="72"/>
  <c r="EG23" i="72"/>
  <c r="EF23" i="72"/>
  <c r="EE23" i="72"/>
  <c r="ED23" i="72"/>
  <c r="EC23" i="72"/>
  <c r="DV23" i="72"/>
  <c r="DU23" i="72"/>
  <c r="DT23" i="72"/>
  <c r="DS23" i="72"/>
  <c r="DR23" i="72"/>
  <c r="DQ23" i="72"/>
  <c r="DP23" i="72"/>
  <c r="GC22" i="72"/>
  <c r="GB22" i="72"/>
  <c r="GA22" i="72"/>
  <c r="FZ22" i="72"/>
  <c r="FY22" i="72"/>
  <c r="FX22" i="72"/>
  <c r="FW22" i="72"/>
  <c r="FV22" i="72"/>
  <c r="FT22" i="72"/>
  <c r="FS22" i="72"/>
  <c r="FQ22" i="72"/>
  <c r="FO22" i="72"/>
  <c r="FN22" i="72"/>
  <c r="FM22" i="72"/>
  <c r="FK22" i="72"/>
  <c r="FI22" i="72"/>
  <c r="FH22" i="72"/>
  <c r="FG22" i="72"/>
  <c r="FF22" i="72"/>
  <c r="FE22" i="72"/>
  <c r="FD22" i="72"/>
  <c r="FC22" i="72"/>
  <c r="FB22" i="72"/>
  <c r="FA22" i="72"/>
  <c r="EZ22" i="72"/>
  <c r="EY22" i="72"/>
  <c r="EX22" i="72"/>
  <c r="EW22" i="72"/>
  <c r="EV22" i="72"/>
  <c r="EU22" i="72"/>
  <c r="ET22" i="72"/>
  <c r="ES22" i="72"/>
  <c r="ER22" i="72"/>
  <c r="EQ22" i="72"/>
  <c r="EP22" i="72"/>
  <c r="EO22" i="72"/>
  <c r="EN22" i="72"/>
  <c r="EM22" i="72"/>
  <c r="EL22" i="72"/>
  <c r="EK22" i="72"/>
  <c r="EJ22" i="72"/>
  <c r="EI22" i="72"/>
  <c r="EH22" i="72"/>
  <c r="EG22" i="72"/>
  <c r="EF22" i="72"/>
  <c r="EE22" i="72"/>
  <c r="ED22" i="72"/>
  <c r="EC22" i="72"/>
  <c r="DV22" i="72"/>
  <c r="DU22" i="72"/>
  <c r="DT22" i="72"/>
  <c r="DS22" i="72"/>
  <c r="DR22" i="72"/>
  <c r="DQ22" i="72"/>
  <c r="DP22" i="72"/>
  <c r="GC21" i="72"/>
  <c r="GB21" i="72"/>
  <c r="GA21" i="72"/>
  <c r="FZ21" i="72"/>
  <c r="FY21" i="72"/>
  <c r="FX21" i="72"/>
  <c r="FW21" i="72"/>
  <c r="FV21" i="72"/>
  <c r="FT21" i="72"/>
  <c r="FS21" i="72"/>
  <c r="FQ21" i="72"/>
  <c r="FO21" i="72"/>
  <c r="FN21" i="72"/>
  <c r="FM21" i="72"/>
  <c r="FK21" i="72"/>
  <c r="FI21" i="72"/>
  <c r="FH21" i="72"/>
  <c r="FG21" i="72"/>
  <c r="FF21" i="72"/>
  <c r="FE21" i="72"/>
  <c r="FD21" i="72"/>
  <c r="FC21" i="72"/>
  <c r="FB21" i="72"/>
  <c r="FA21" i="72"/>
  <c r="EZ21" i="72"/>
  <c r="EY21" i="72"/>
  <c r="EX21" i="72"/>
  <c r="EW21" i="72"/>
  <c r="EV21" i="72"/>
  <c r="EU21" i="72"/>
  <c r="ET21" i="72"/>
  <c r="ES21" i="72"/>
  <c r="ER21" i="72"/>
  <c r="EQ21" i="72"/>
  <c r="EP21" i="72"/>
  <c r="EO21" i="72"/>
  <c r="EN21" i="72"/>
  <c r="EM21" i="72"/>
  <c r="EL21" i="72"/>
  <c r="EK21" i="72"/>
  <c r="EJ21" i="72"/>
  <c r="EI21" i="72"/>
  <c r="EH21" i="72"/>
  <c r="EG21" i="72"/>
  <c r="EF21" i="72"/>
  <c r="EE21" i="72"/>
  <c r="ED21" i="72"/>
  <c r="EC21" i="72"/>
  <c r="DV21" i="72"/>
  <c r="DU21" i="72"/>
  <c r="DT21" i="72"/>
  <c r="DS21" i="72"/>
  <c r="DR21" i="72"/>
  <c r="DQ21" i="72"/>
  <c r="DP21" i="72"/>
  <c r="GC20" i="72"/>
  <c r="GB20" i="72"/>
  <c r="GA20" i="72"/>
  <c r="FZ20" i="72"/>
  <c r="FY20" i="72"/>
  <c r="FX20" i="72"/>
  <c r="FW20" i="72"/>
  <c r="FV20" i="72"/>
  <c r="FT20" i="72"/>
  <c r="FS20" i="72"/>
  <c r="FQ20" i="72"/>
  <c r="FO20" i="72"/>
  <c r="FN20" i="72"/>
  <c r="FM20" i="72"/>
  <c r="FK20" i="72"/>
  <c r="FI20" i="72"/>
  <c r="FH20" i="72"/>
  <c r="FG20" i="72"/>
  <c r="FF20" i="72"/>
  <c r="FE20" i="72"/>
  <c r="FD20" i="72"/>
  <c r="FC20" i="72"/>
  <c r="FB20" i="72"/>
  <c r="FA20" i="72"/>
  <c r="EZ20" i="72"/>
  <c r="EY20" i="72"/>
  <c r="EX20" i="72"/>
  <c r="EW20" i="72"/>
  <c r="EV20" i="72"/>
  <c r="EU20" i="72"/>
  <c r="ET20" i="72"/>
  <c r="ES20" i="72"/>
  <c r="ER20" i="72"/>
  <c r="EQ20" i="72"/>
  <c r="EP20" i="72"/>
  <c r="EO20" i="72"/>
  <c r="EN20" i="72"/>
  <c r="EM20" i="72"/>
  <c r="EL20" i="72"/>
  <c r="EK20" i="72"/>
  <c r="EJ20" i="72"/>
  <c r="EI20" i="72"/>
  <c r="EH20" i="72"/>
  <c r="EG20" i="72"/>
  <c r="EF20" i="72"/>
  <c r="EE20" i="72"/>
  <c r="ED20" i="72"/>
  <c r="EC20" i="72"/>
  <c r="DV20" i="72"/>
  <c r="DU20" i="72"/>
  <c r="DT20" i="72"/>
  <c r="DS20" i="72"/>
  <c r="DR20" i="72"/>
  <c r="DQ20" i="72"/>
  <c r="DP20" i="72"/>
  <c r="GC19" i="72"/>
  <c r="GB19" i="72"/>
  <c r="GA19" i="72"/>
  <c r="FZ19" i="72"/>
  <c r="FY19" i="72"/>
  <c r="FX19" i="72"/>
  <c r="FW19" i="72"/>
  <c r="FV19" i="72"/>
  <c r="FT19" i="72"/>
  <c r="FS19" i="72"/>
  <c r="FQ19" i="72"/>
  <c r="FO19" i="72"/>
  <c r="FN19" i="72"/>
  <c r="FM19" i="72"/>
  <c r="FK19" i="72"/>
  <c r="FI19" i="72"/>
  <c r="FH19" i="72"/>
  <c r="FG19" i="72"/>
  <c r="FF19" i="72"/>
  <c r="FE19" i="72"/>
  <c r="FD19" i="72"/>
  <c r="FC19" i="72"/>
  <c r="FB19" i="72"/>
  <c r="FA19" i="72"/>
  <c r="EZ19" i="72"/>
  <c r="EY19" i="72"/>
  <c r="EX19" i="72"/>
  <c r="EW19" i="72"/>
  <c r="EV19" i="72"/>
  <c r="EU19" i="72"/>
  <c r="ET19" i="72"/>
  <c r="ES19" i="72"/>
  <c r="ER19" i="72"/>
  <c r="EQ19" i="72"/>
  <c r="EP19" i="72"/>
  <c r="EO19" i="72"/>
  <c r="EN19" i="72"/>
  <c r="EM19" i="72"/>
  <c r="EL19" i="72"/>
  <c r="EK19" i="72"/>
  <c r="EJ19" i="72"/>
  <c r="EI19" i="72"/>
  <c r="EH19" i="72"/>
  <c r="EG19" i="72"/>
  <c r="EF19" i="72"/>
  <c r="EE19" i="72"/>
  <c r="ED19" i="72"/>
  <c r="EC19" i="72"/>
  <c r="DV19" i="72"/>
  <c r="DU19" i="72"/>
  <c r="DT19" i="72"/>
  <c r="DS19" i="72"/>
  <c r="DR19" i="72"/>
  <c r="DQ19" i="72"/>
  <c r="DP19" i="72"/>
  <c r="GC18" i="72"/>
  <c r="GB18" i="72"/>
  <c r="GA18" i="72"/>
  <c r="FZ18" i="72"/>
  <c r="FY18" i="72"/>
  <c r="FX18" i="72"/>
  <c r="FW18" i="72"/>
  <c r="FV18" i="72"/>
  <c r="FT18" i="72"/>
  <c r="FS18" i="72"/>
  <c r="FQ18" i="72"/>
  <c r="FO18" i="72"/>
  <c r="FN18" i="72"/>
  <c r="FM18" i="72"/>
  <c r="FK18" i="72"/>
  <c r="FI18" i="72"/>
  <c r="FH18" i="72"/>
  <c r="FG18" i="72"/>
  <c r="FF18" i="72"/>
  <c r="FE18" i="72"/>
  <c r="FD18" i="72"/>
  <c r="FC18" i="72"/>
  <c r="FB18" i="72"/>
  <c r="FA18" i="72"/>
  <c r="EZ18" i="72"/>
  <c r="EY18" i="72"/>
  <c r="EX18" i="72"/>
  <c r="EW18" i="72"/>
  <c r="EV18" i="72"/>
  <c r="EU18" i="72"/>
  <c r="ET18" i="72"/>
  <c r="ES18" i="72"/>
  <c r="ER18" i="72"/>
  <c r="EQ18" i="72"/>
  <c r="EP18" i="72"/>
  <c r="EO18" i="72"/>
  <c r="EN18" i="72"/>
  <c r="EM18" i="72"/>
  <c r="EL18" i="72"/>
  <c r="EK18" i="72"/>
  <c r="EJ18" i="72"/>
  <c r="EI18" i="72"/>
  <c r="EH18" i="72"/>
  <c r="EG18" i="72"/>
  <c r="EF18" i="72"/>
  <c r="EE18" i="72"/>
  <c r="ED18" i="72"/>
  <c r="EC18" i="72"/>
  <c r="DV18" i="72"/>
  <c r="DU18" i="72"/>
  <c r="DT18" i="72"/>
  <c r="DS18" i="72"/>
  <c r="DR18" i="72"/>
  <c r="DQ18" i="72"/>
  <c r="DP18" i="72"/>
  <c r="GC17" i="72"/>
  <c r="GB17" i="72"/>
  <c r="GA17" i="72"/>
  <c r="FZ17" i="72"/>
  <c r="FY17" i="72"/>
  <c r="FX17" i="72"/>
  <c r="FW17" i="72"/>
  <c r="FV17" i="72"/>
  <c r="FT17" i="72"/>
  <c r="FS17" i="72"/>
  <c r="FQ17" i="72"/>
  <c r="FO17" i="72"/>
  <c r="FN17" i="72"/>
  <c r="FM17" i="72"/>
  <c r="FK17" i="72"/>
  <c r="FI17" i="72"/>
  <c r="FH17" i="72"/>
  <c r="FG17" i="72"/>
  <c r="FF17" i="72"/>
  <c r="FE17" i="72"/>
  <c r="FD17" i="72"/>
  <c r="FC17" i="72"/>
  <c r="FB17" i="72"/>
  <c r="FA17" i="72"/>
  <c r="EZ17" i="72"/>
  <c r="EY17" i="72"/>
  <c r="EX17" i="72"/>
  <c r="EW17" i="72"/>
  <c r="EV17" i="72"/>
  <c r="EU17" i="72"/>
  <c r="ET17" i="72"/>
  <c r="ES17" i="72"/>
  <c r="ER17" i="72"/>
  <c r="EQ17" i="72"/>
  <c r="EP17" i="72"/>
  <c r="EO17" i="72"/>
  <c r="EN17" i="72"/>
  <c r="EM17" i="72"/>
  <c r="EL17" i="72"/>
  <c r="EK17" i="72"/>
  <c r="EJ17" i="72"/>
  <c r="EI17" i="72"/>
  <c r="EH17" i="72"/>
  <c r="EG17" i="72"/>
  <c r="EF17" i="72"/>
  <c r="EE17" i="72"/>
  <c r="ED17" i="72"/>
  <c r="EC17" i="72"/>
  <c r="DV17" i="72"/>
  <c r="DU17" i="72"/>
  <c r="DT17" i="72"/>
  <c r="DS17" i="72"/>
  <c r="DR17" i="72"/>
  <c r="DQ17" i="72"/>
  <c r="DP17" i="72"/>
  <c r="GC16" i="72"/>
  <c r="GB16" i="72"/>
  <c r="GA16" i="72"/>
  <c r="FZ16" i="72"/>
  <c r="FY16" i="72"/>
  <c r="FX16" i="72"/>
  <c r="FW16" i="72"/>
  <c r="FV16" i="72"/>
  <c r="FT16" i="72"/>
  <c r="FS16" i="72"/>
  <c r="FQ16" i="72"/>
  <c r="FO16" i="72"/>
  <c r="FN16" i="72"/>
  <c r="FM16" i="72"/>
  <c r="FK16" i="72"/>
  <c r="FI16" i="72"/>
  <c r="FH16" i="72"/>
  <c r="FG16" i="72"/>
  <c r="FF16" i="72"/>
  <c r="FE16" i="72"/>
  <c r="FD16" i="72"/>
  <c r="FC16" i="72"/>
  <c r="FB16" i="72"/>
  <c r="FA16" i="72"/>
  <c r="EZ16" i="72"/>
  <c r="EY16" i="72"/>
  <c r="EX16" i="72"/>
  <c r="EW16" i="72"/>
  <c r="EV16" i="72"/>
  <c r="EU16" i="72"/>
  <c r="ET16" i="72"/>
  <c r="ES16" i="72"/>
  <c r="ER16" i="72"/>
  <c r="EQ16" i="72"/>
  <c r="EP16" i="72"/>
  <c r="EO16" i="72"/>
  <c r="EN16" i="72"/>
  <c r="EM16" i="72"/>
  <c r="EL16" i="72"/>
  <c r="EK16" i="72"/>
  <c r="EJ16" i="72"/>
  <c r="EI16" i="72"/>
  <c r="EH16" i="72"/>
  <c r="EG16" i="72"/>
  <c r="EF16" i="72"/>
  <c r="EE16" i="72"/>
  <c r="ED16" i="72"/>
  <c r="EC16" i="72"/>
  <c r="DV16" i="72"/>
  <c r="DU16" i="72"/>
  <c r="DT16" i="72"/>
  <c r="DS16" i="72"/>
  <c r="DR16" i="72"/>
  <c r="DQ16" i="72"/>
  <c r="DP16" i="72"/>
  <c r="GC15" i="72"/>
  <c r="GB15" i="72"/>
  <c r="GA15" i="72"/>
  <c r="FZ15" i="72"/>
  <c r="FY15" i="72"/>
  <c r="FX15" i="72"/>
  <c r="FW15" i="72"/>
  <c r="FV15" i="72"/>
  <c r="FT15" i="72"/>
  <c r="FS15" i="72"/>
  <c r="FQ15" i="72"/>
  <c r="FO15" i="72"/>
  <c r="FN15" i="72"/>
  <c r="FM15" i="72"/>
  <c r="FK15" i="72"/>
  <c r="FI15" i="72"/>
  <c r="FH15" i="72"/>
  <c r="FG15" i="72"/>
  <c r="FF15" i="72"/>
  <c r="FE15" i="72"/>
  <c r="FD15" i="72"/>
  <c r="FC15" i="72"/>
  <c r="FB15" i="72"/>
  <c r="FA15" i="72"/>
  <c r="EZ15" i="72"/>
  <c r="EY15" i="72"/>
  <c r="EX15" i="72"/>
  <c r="EW15" i="72"/>
  <c r="EV15" i="72"/>
  <c r="EU15" i="72"/>
  <c r="ET15" i="72"/>
  <c r="ES15" i="72"/>
  <c r="ER15" i="72"/>
  <c r="EQ15" i="72"/>
  <c r="EP15" i="72"/>
  <c r="EO15" i="72"/>
  <c r="EN15" i="72"/>
  <c r="EM15" i="72"/>
  <c r="EL15" i="72"/>
  <c r="EK15" i="72"/>
  <c r="EJ15" i="72"/>
  <c r="EI15" i="72"/>
  <c r="EH15" i="72"/>
  <c r="EG15" i="72"/>
  <c r="EF15" i="72"/>
  <c r="EE15" i="72"/>
  <c r="ED15" i="72"/>
  <c r="EC15" i="72"/>
  <c r="DV15" i="72"/>
  <c r="DU15" i="72"/>
  <c r="DT15" i="72"/>
  <c r="DS15" i="72"/>
  <c r="DR15" i="72"/>
  <c r="DQ15" i="72"/>
  <c r="DP15" i="72"/>
  <c r="GC14" i="72"/>
  <c r="GB14" i="72"/>
  <c r="GA14" i="72"/>
  <c r="FZ14" i="72"/>
  <c r="FY14" i="72"/>
  <c r="FX14" i="72"/>
  <c r="FW14" i="72"/>
  <c r="FV14" i="72"/>
  <c r="FT14" i="72"/>
  <c r="FS14" i="72"/>
  <c r="FQ14" i="72"/>
  <c r="FO14" i="72"/>
  <c r="FN14" i="72"/>
  <c r="FM14" i="72"/>
  <c r="FK14" i="72"/>
  <c r="FI14" i="72"/>
  <c r="FH14" i="72"/>
  <c r="FG14" i="72"/>
  <c r="FF14" i="72"/>
  <c r="FE14" i="72"/>
  <c r="FD14" i="72"/>
  <c r="FC14" i="72"/>
  <c r="FB14" i="72"/>
  <c r="FA14" i="72"/>
  <c r="EZ14" i="72"/>
  <c r="EY14" i="72"/>
  <c r="EX14" i="72"/>
  <c r="EW14" i="72"/>
  <c r="EV14" i="72"/>
  <c r="EU14" i="72"/>
  <c r="ET14" i="72"/>
  <c r="ES14" i="72"/>
  <c r="ER14" i="72"/>
  <c r="EQ14" i="72"/>
  <c r="EP14" i="72"/>
  <c r="EO14" i="72"/>
  <c r="EN14" i="72"/>
  <c r="EM14" i="72"/>
  <c r="EL14" i="72"/>
  <c r="EK14" i="72"/>
  <c r="EJ14" i="72"/>
  <c r="EI14" i="72"/>
  <c r="EH14" i="72"/>
  <c r="EG14" i="72"/>
  <c r="EF14" i="72"/>
  <c r="EE14" i="72"/>
  <c r="ED14" i="72"/>
  <c r="EC14" i="72"/>
  <c r="DV14" i="72"/>
  <c r="DU14" i="72"/>
  <c r="DT14" i="72"/>
  <c r="DS14" i="72"/>
  <c r="DR14" i="72"/>
  <c r="DQ14" i="72"/>
  <c r="DP14" i="72"/>
  <c r="GC13" i="72"/>
  <c r="GB13" i="72"/>
  <c r="GA13" i="72"/>
  <c r="FZ13" i="72"/>
  <c r="FY13" i="72"/>
  <c r="FX13" i="72"/>
  <c r="FW13" i="72"/>
  <c r="FV13" i="72"/>
  <c r="FT13" i="72"/>
  <c r="FS13" i="72"/>
  <c r="FQ13" i="72"/>
  <c r="FO13" i="72"/>
  <c r="FN13" i="72"/>
  <c r="FM13" i="72"/>
  <c r="FK13" i="72"/>
  <c r="FI13" i="72"/>
  <c r="FH13" i="72"/>
  <c r="FG13" i="72"/>
  <c r="FF13" i="72"/>
  <c r="FE13" i="72"/>
  <c r="FD13" i="72"/>
  <c r="FC13" i="72"/>
  <c r="FB13" i="72"/>
  <c r="FA13" i="72"/>
  <c r="EZ13" i="72"/>
  <c r="EY13" i="72"/>
  <c r="EX13" i="72"/>
  <c r="EW13" i="72"/>
  <c r="EV13" i="72"/>
  <c r="EU13" i="72"/>
  <c r="ET13" i="72"/>
  <c r="ES13" i="72"/>
  <c r="ER13" i="72"/>
  <c r="EQ13" i="72"/>
  <c r="EP13" i="72"/>
  <c r="EO13" i="72"/>
  <c r="EN13" i="72"/>
  <c r="EM13" i="72"/>
  <c r="EL13" i="72"/>
  <c r="EK13" i="72"/>
  <c r="EJ13" i="72"/>
  <c r="EI13" i="72"/>
  <c r="EH13" i="72"/>
  <c r="EG13" i="72"/>
  <c r="EF13" i="72"/>
  <c r="EE13" i="72"/>
  <c r="ED13" i="72"/>
  <c r="EC13" i="72"/>
  <c r="DV13" i="72"/>
  <c r="DU13" i="72"/>
  <c r="DT13" i="72"/>
  <c r="DS13" i="72"/>
  <c r="DR13" i="72"/>
  <c r="DQ13" i="72"/>
  <c r="DP13" i="72"/>
  <c r="GC12" i="72"/>
  <c r="GB12" i="72"/>
  <c r="GA12" i="72"/>
  <c r="FZ12" i="72"/>
  <c r="FY12" i="72"/>
  <c r="FX12" i="72"/>
  <c r="FW12" i="72"/>
  <c r="FV12" i="72"/>
  <c r="FT12" i="72"/>
  <c r="FS12" i="72"/>
  <c r="FQ12" i="72"/>
  <c r="FO12" i="72"/>
  <c r="FN12" i="72"/>
  <c r="FM12" i="72"/>
  <c r="FK12" i="72"/>
  <c r="FI12" i="72"/>
  <c r="FH12" i="72"/>
  <c r="FG12" i="72"/>
  <c r="FF12" i="72"/>
  <c r="FE12" i="72"/>
  <c r="FD12" i="72"/>
  <c r="FC12" i="72"/>
  <c r="FB12" i="72"/>
  <c r="FA12" i="72"/>
  <c r="EZ12" i="72"/>
  <c r="EY12" i="72"/>
  <c r="EX12" i="72"/>
  <c r="EW12" i="72"/>
  <c r="EV12" i="72"/>
  <c r="EU12" i="72"/>
  <c r="ET12" i="72"/>
  <c r="ES12" i="72"/>
  <c r="ER12" i="72"/>
  <c r="EQ12" i="72"/>
  <c r="EP12" i="72"/>
  <c r="EO12" i="72"/>
  <c r="EN12" i="72"/>
  <c r="EM12" i="72"/>
  <c r="EL12" i="72"/>
  <c r="EK12" i="72"/>
  <c r="EJ12" i="72"/>
  <c r="EI12" i="72"/>
  <c r="EH12" i="72"/>
  <c r="EG12" i="72"/>
  <c r="EF12" i="72"/>
  <c r="EE12" i="72"/>
  <c r="ED12" i="72"/>
  <c r="EC12" i="72"/>
  <c r="DV12" i="72"/>
  <c r="DU12" i="72"/>
  <c r="DT12" i="72"/>
  <c r="DS12" i="72"/>
  <c r="DR12" i="72"/>
  <c r="DQ12" i="72"/>
  <c r="DP12" i="72"/>
  <c r="GC11" i="72"/>
  <c r="GB11" i="72"/>
  <c r="GA11" i="72"/>
  <c r="FZ11" i="72"/>
  <c r="FY11" i="72"/>
  <c r="FX11" i="72"/>
  <c r="FW11" i="72"/>
  <c r="FV11" i="72"/>
  <c r="FT11" i="72"/>
  <c r="FS11" i="72"/>
  <c r="FQ11" i="72"/>
  <c r="FO11" i="72"/>
  <c r="FN11" i="72"/>
  <c r="FM11" i="72"/>
  <c r="FK11" i="72"/>
  <c r="FI11" i="72"/>
  <c r="FH11" i="72"/>
  <c r="FG11" i="72"/>
  <c r="FF11" i="72"/>
  <c r="FE11" i="72"/>
  <c r="FD11" i="72"/>
  <c r="FC11" i="72"/>
  <c r="FB11" i="72"/>
  <c r="FA11" i="72"/>
  <c r="EZ11" i="72"/>
  <c r="EY11" i="72"/>
  <c r="EX11" i="72"/>
  <c r="EW11" i="72"/>
  <c r="EV11" i="72"/>
  <c r="EU11" i="72"/>
  <c r="ET11" i="72"/>
  <c r="ES11" i="72"/>
  <c r="ER11" i="72"/>
  <c r="EQ11" i="72"/>
  <c r="EP11" i="72"/>
  <c r="EO11" i="72"/>
  <c r="EN11" i="72"/>
  <c r="EM11" i="72"/>
  <c r="EL11" i="72"/>
  <c r="EK11" i="72"/>
  <c r="EJ11" i="72"/>
  <c r="EI11" i="72"/>
  <c r="EH11" i="72"/>
  <c r="EG11" i="72"/>
  <c r="EF11" i="72"/>
  <c r="EE11" i="72"/>
  <c r="ED11" i="72"/>
  <c r="EC11" i="72"/>
  <c r="DV11" i="72"/>
  <c r="DU11" i="72"/>
  <c r="DT11" i="72"/>
  <c r="DS11" i="72"/>
  <c r="DR11" i="72"/>
  <c r="DQ11" i="72"/>
  <c r="DP11" i="72"/>
  <c r="GC10" i="72"/>
  <c r="GB10" i="72"/>
  <c r="GA10" i="72"/>
  <c r="FZ10" i="72"/>
  <c r="FY10" i="72"/>
  <c r="FX10" i="72"/>
  <c r="FW10" i="72"/>
  <c r="FV10" i="72"/>
  <c r="FT10" i="72"/>
  <c r="FS10" i="72"/>
  <c r="FQ10" i="72"/>
  <c r="FO10" i="72"/>
  <c r="FN10" i="72"/>
  <c r="FM10" i="72"/>
  <c r="FK10" i="72"/>
  <c r="FI10" i="72"/>
  <c r="FH10" i="72"/>
  <c r="FG10" i="72"/>
  <c r="FF10" i="72"/>
  <c r="FE10" i="72"/>
  <c r="FD10" i="72"/>
  <c r="FC10" i="72"/>
  <c r="FB10" i="72"/>
  <c r="FA10" i="72"/>
  <c r="EZ10" i="72"/>
  <c r="EY10" i="72"/>
  <c r="EX10" i="72"/>
  <c r="EW10" i="72"/>
  <c r="EV10" i="72"/>
  <c r="EU10" i="72"/>
  <c r="ET10" i="72"/>
  <c r="ES10" i="72"/>
  <c r="ER10" i="72"/>
  <c r="EQ10" i="72"/>
  <c r="EP10" i="72"/>
  <c r="EO10" i="72"/>
  <c r="EN10" i="72"/>
  <c r="EM10" i="72"/>
  <c r="EL10" i="72"/>
  <c r="EK10" i="72"/>
  <c r="EJ10" i="72"/>
  <c r="EI10" i="72"/>
  <c r="EH10" i="72"/>
  <c r="EG10" i="72"/>
  <c r="EF10" i="72"/>
  <c r="EE10" i="72"/>
  <c r="ED10" i="72"/>
  <c r="EC10" i="72"/>
  <c r="DV10" i="72"/>
  <c r="DU10" i="72"/>
  <c r="DT10" i="72"/>
  <c r="DS10" i="72"/>
  <c r="DR10" i="72"/>
  <c r="DQ10" i="72"/>
  <c r="DP10" i="72"/>
  <c r="GC9" i="72"/>
  <c r="GB9" i="72"/>
  <c r="GA9" i="72"/>
  <c r="FZ9" i="72"/>
  <c r="FY9" i="72"/>
  <c r="FX9" i="72"/>
  <c r="FW9" i="72"/>
  <c r="FV9" i="72"/>
  <c r="FT9" i="72"/>
  <c r="FS9" i="72"/>
  <c r="FQ9" i="72"/>
  <c r="FO9" i="72"/>
  <c r="FN9" i="72"/>
  <c r="FM9" i="72"/>
  <c r="FL9" i="72"/>
  <c r="FK9" i="72"/>
  <c r="FJ9" i="72"/>
  <c r="FI9" i="72"/>
  <c r="FH9" i="72"/>
  <c r="FG9" i="72"/>
  <c r="FF9" i="72"/>
  <c r="FE9" i="72"/>
  <c r="FD9" i="72"/>
  <c r="FC9" i="72"/>
  <c r="FB9" i="72"/>
  <c r="FA9" i="72"/>
  <c r="EZ9" i="72"/>
  <c r="EY9" i="72"/>
  <c r="EX9" i="72"/>
  <c r="EW9" i="72"/>
  <c r="EV9" i="72"/>
  <c r="EU9" i="72"/>
  <c r="ET9" i="72"/>
  <c r="ES9" i="72"/>
  <c r="ER9" i="72"/>
  <c r="EQ9" i="72"/>
  <c r="EP9" i="72"/>
  <c r="EO9" i="72"/>
  <c r="EN9" i="72"/>
  <c r="EM9" i="72"/>
  <c r="EL9" i="72"/>
  <c r="EK9" i="72"/>
  <c r="EJ9" i="72"/>
  <c r="EI9" i="72"/>
  <c r="EH9" i="72"/>
  <c r="EG9" i="72"/>
  <c r="EF9" i="72"/>
  <c r="EE9" i="72"/>
  <c r="ED9" i="72"/>
  <c r="EC9" i="72"/>
  <c r="DV9" i="72"/>
  <c r="DU9" i="72"/>
  <c r="DT9" i="72"/>
  <c r="DS9" i="72"/>
  <c r="DR9" i="72"/>
  <c r="DQ9" i="72"/>
  <c r="DP9" i="72"/>
  <c r="FE7" i="72"/>
  <c r="EJ7" i="72"/>
  <c r="EH7" i="72"/>
  <c r="EB7" i="72"/>
  <c r="EA7" i="72"/>
  <c r="DZ7" i="72"/>
  <c r="DV7" i="72"/>
  <c r="DT7" i="72"/>
  <c r="EB40" i="71"/>
  <c r="EA40" i="71"/>
  <c r="DZ40" i="71"/>
  <c r="DY40" i="71"/>
  <c r="DX40" i="71"/>
  <c r="DW40" i="71"/>
  <c r="GC39" i="71"/>
  <c r="GB39" i="71"/>
  <c r="GA39" i="71"/>
  <c r="FZ39" i="71"/>
  <c r="FY39" i="71"/>
  <c r="FX39" i="71"/>
  <c r="FW39" i="71"/>
  <c r="FV39" i="71"/>
  <c r="FT39" i="71"/>
  <c r="FS39" i="71"/>
  <c r="FQ39" i="71"/>
  <c r="FO39" i="71"/>
  <c r="FN39" i="71"/>
  <c r="FM39" i="71"/>
  <c r="FK39" i="71"/>
  <c r="FI39" i="71"/>
  <c r="FD39" i="71"/>
  <c r="FC39" i="71"/>
  <c r="FB39" i="71"/>
  <c r="FA39" i="71"/>
  <c r="EZ39" i="71"/>
  <c r="EY39" i="71"/>
  <c r="EX39" i="71"/>
  <c r="EW39" i="71"/>
  <c r="EV39" i="71"/>
  <c r="EU39" i="71"/>
  <c r="ET39" i="71"/>
  <c r="ES39" i="71"/>
  <c r="ER39" i="71"/>
  <c r="EQ39" i="71"/>
  <c r="EP39" i="71"/>
  <c r="EO39" i="71"/>
  <c r="EN39" i="71"/>
  <c r="EM39" i="71"/>
  <c r="EL39" i="71"/>
  <c r="EK39" i="71"/>
  <c r="EJ39" i="71"/>
  <c r="EI39" i="71"/>
  <c r="EH39" i="71"/>
  <c r="EG39" i="71"/>
  <c r="EE39" i="71"/>
  <c r="ED39" i="71"/>
  <c r="EC39" i="71"/>
  <c r="DV39" i="71"/>
  <c r="DU39" i="71"/>
  <c r="DT39" i="71"/>
  <c r="DS39" i="71"/>
  <c r="DR39" i="71"/>
  <c r="DQ39" i="71"/>
  <c r="DP39" i="71"/>
  <c r="GC38" i="71"/>
  <c r="GB38" i="71"/>
  <c r="GA38" i="71"/>
  <c r="FZ38" i="71"/>
  <c r="FY38" i="71"/>
  <c r="FX38" i="71"/>
  <c r="FW38" i="71"/>
  <c r="FV38" i="71"/>
  <c r="FT38" i="71"/>
  <c r="FS38" i="71"/>
  <c r="FQ38" i="71"/>
  <c r="FO38" i="71"/>
  <c r="FN38" i="71"/>
  <c r="FM38" i="71"/>
  <c r="FK38" i="71"/>
  <c r="FI38" i="71"/>
  <c r="FD38" i="71"/>
  <c r="FC38" i="71"/>
  <c r="FB38" i="71"/>
  <c r="FA38" i="71"/>
  <c r="EZ38" i="71"/>
  <c r="EY38" i="71"/>
  <c r="EX38" i="71"/>
  <c r="EW38" i="71"/>
  <c r="EV38" i="71"/>
  <c r="EU38" i="71"/>
  <c r="ET38" i="71"/>
  <c r="ES38" i="71"/>
  <c r="ER38" i="71"/>
  <c r="EQ38" i="71"/>
  <c r="EP38" i="71"/>
  <c r="EO38" i="71"/>
  <c r="EN38" i="71"/>
  <c r="EM38" i="71"/>
  <c r="EL38" i="71"/>
  <c r="EK38" i="71"/>
  <c r="EJ38" i="71"/>
  <c r="EI38" i="71"/>
  <c r="EH38" i="71"/>
  <c r="EG38" i="71"/>
  <c r="EE38" i="71"/>
  <c r="ED38" i="71"/>
  <c r="EC38" i="71"/>
  <c r="DV38" i="71"/>
  <c r="DU38" i="71"/>
  <c r="DT38" i="71"/>
  <c r="DS38" i="71"/>
  <c r="DR38" i="71"/>
  <c r="DQ38" i="71"/>
  <c r="DP38" i="71"/>
  <c r="GC37" i="71"/>
  <c r="GB37" i="71"/>
  <c r="GA37" i="71"/>
  <c r="FZ37" i="71"/>
  <c r="FY37" i="71"/>
  <c r="FX37" i="71"/>
  <c r="FW37" i="71"/>
  <c r="FV37" i="71"/>
  <c r="FT37" i="71"/>
  <c r="FS37" i="71"/>
  <c r="FQ37" i="71"/>
  <c r="FO37" i="71"/>
  <c r="FN37" i="71"/>
  <c r="FM37" i="71"/>
  <c r="FK37" i="71"/>
  <c r="FI37" i="71"/>
  <c r="FD37" i="71"/>
  <c r="FC37" i="71"/>
  <c r="FB37" i="71"/>
  <c r="FA37" i="71"/>
  <c r="EZ37" i="71"/>
  <c r="EY37" i="71"/>
  <c r="EX37" i="71"/>
  <c r="EW37" i="71"/>
  <c r="EV37" i="71"/>
  <c r="EU37" i="71"/>
  <c r="ET37" i="71"/>
  <c r="ES37" i="71"/>
  <c r="ER37" i="71"/>
  <c r="EQ37" i="71"/>
  <c r="EP37" i="71"/>
  <c r="EO37" i="71"/>
  <c r="EN37" i="71"/>
  <c r="EM37" i="71"/>
  <c r="EL37" i="71"/>
  <c r="EK37" i="71"/>
  <c r="EJ37" i="71"/>
  <c r="EI37" i="71"/>
  <c r="EH37" i="71"/>
  <c r="EG37" i="71"/>
  <c r="EE37" i="71"/>
  <c r="ED37" i="71"/>
  <c r="EC37" i="71"/>
  <c r="DV37" i="71"/>
  <c r="DU37" i="71"/>
  <c r="DT37" i="71"/>
  <c r="DS37" i="71"/>
  <c r="DR37" i="71"/>
  <c r="DQ37" i="71"/>
  <c r="DP37" i="71"/>
  <c r="GC36" i="71"/>
  <c r="GB36" i="71"/>
  <c r="GA36" i="71"/>
  <c r="FZ36" i="71"/>
  <c r="FY36" i="71"/>
  <c r="FX36" i="71"/>
  <c r="FW36" i="71"/>
  <c r="FV36" i="71"/>
  <c r="FT36" i="71"/>
  <c r="FS36" i="71"/>
  <c r="FQ36" i="71"/>
  <c r="FO36" i="71"/>
  <c r="FN36" i="71"/>
  <c r="FM36" i="71"/>
  <c r="FK36" i="71"/>
  <c r="FI36" i="71"/>
  <c r="FH36" i="71"/>
  <c r="FG36" i="71"/>
  <c r="FF36" i="71"/>
  <c r="FE36" i="71"/>
  <c r="FD36" i="71"/>
  <c r="FC36" i="71"/>
  <c r="FB36" i="71"/>
  <c r="FA36" i="71"/>
  <c r="EZ36" i="71"/>
  <c r="EY36" i="71"/>
  <c r="EX36" i="71"/>
  <c r="EW36" i="71"/>
  <c r="EV36" i="71"/>
  <c r="EU36" i="71"/>
  <c r="ET36" i="71"/>
  <c r="ES36" i="71"/>
  <c r="ER36" i="71"/>
  <c r="EQ36" i="71"/>
  <c r="EP36" i="71"/>
  <c r="EO36" i="71"/>
  <c r="EN36" i="71"/>
  <c r="EM36" i="71"/>
  <c r="EL36" i="71"/>
  <c r="EK36" i="71"/>
  <c r="EJ36" i="71"/>
  <c r="EI36" i="71"/>
  <c r="EH36" i="71"/>
  <c r="EG36" i="71"/>
  <c r="EF36" i="71"/>
  <c r="EE36" i="71"/>
  <c r="ED36" i="71"/>
  <c r="EC36" i="71"/>
  <c r="DV36" i="71"/>
  <c r="DU36" i="71"/>
  <c r="DT36" i="71"/>
  <c r="DS36" i="71"/>
  <c r="DR36" i="71"/>
  <c r="DQ36" i="71"/>
  <c r="DP36" i="71"/>
  <c r="GC35" i="71"/>
  <c r="GB35" i="71"/>
  <c r="GA35" i="71"/>
  <c r="FZ35" i="71"/>
  <c r="FY35" i="71"/>
  <c r="FX35" i="71"/>
  <c r="FW35" i="71"/>
  <c r="FV35" i="71"/>
  <c r="FT35" i="71"/>
  <c r="FS35" i="71"/>
  <c r="FQ35" i="71"/>
  <c r="FO35" i="71"/>
  <c r="FN35" i="71"/>
  <c r="FM35" i="71"/>
  <c r="FK35" i="71"/>
  <c r="FI35" i="71"/>
  <c r="FH35" i="71"/>
  <c r="FG35" i="71"/>
  <c r="FF35" i="71"/>
  <c r="FE35" i="71"/>
  <c r="FD35" i="71"/>
  <c r="FC35" i="71"/>
  <c r="FB35" i="71"/>
  <c r="FA35" i="71"/>
  <c r="EZ35" i="71"/>
  <c r="EY35" i="71"/>
  <c r="EX35" i="71"/>
  <c r="EW35" i="71"/>
  <c r="EV35" i="71"/>
  <c r="EU35" i="71"/>
  <c r="ET35" i="71"/>
  <c r="ES35" i="71"/>
  <c r="ER35" i="71"/>
  <c r="EQ35" i="71"/>
  <c r="EP35" i="71"/>
  <c r="EO35" i="71"/>
  <c r="EN35" i="71"/>
  <c r="EM35" i="71"/>
  <c r="EL35" i="71"/>
  <c r="EK35" i="71"/>
  <c r="EJ35" i="71"/>
  <c r="EI35" i="71"/>
  <c r="EH35" i="71"/>
  <c r="EG35" i="71"/>
  <c r="EF35" i="71"/>
  <c r="EE35" i="71"/>
  <c r="ED35" i="71"/>
  <c r="EC35" i="71"/>
  <c r="DV35" i="71"/>
  <c r="DU35" i="71"/>
  <c r="DT35" i="71"/>
  <c r="DS35" i="71"/>
  <c r="DR35" i="71"/>
  <c r="DQ35" i="71"/>
  <c r="DP35" i="71"/>
  <c r="GC34" i="71"/>
  <c r="GB34" i="71"/>
  <c r="GA34" i="71"/>
  <c r="FZ34" i="71"/>
  <c r="FY34" i="71"/>
  <c r="FX34" i="71"/>
  <c r="FW34" i="71"/>
  <c r="FV34" i="71"/>
  <c r="FT34" i="71"/>
  <c r="FS34" i="71"/>
  <c r="FQ34" i="71"/>
  <c r="FO34" i="71"/>
  <c r="FN34" i="71"/>
  <c r="FM34" i="71"/>
  <c r="FK34" i="71"/>
  <c r="FI34" i="71"/>
  <c r="FH34" i="71"/>
  <c r="FG34" i="71"/>
  <c r="FF34" i="71"/>
  <c r="FE34" i="71"/>
  <c r="FD34" i="71"/>
  <c r="FC34" i="71"/>
  <c r="FB34" i="71"/>
  <c r="FA34" i="71"/>
  <c r="EZ34" i="71"/>
  <c r="EY34" i="71"/>
  <c r="EX34" i="71"/>
  <c r="EW34" i="71"/>
  <c r="EV34" i="71"/>
  <c r="EU34" i="71"/>
  <c r="ET34" i="71"/>
  <c r="ES34" i="71"/>
  <c r="ER34" i="71"/>
  <c r="EQ34" i="71"/>
  <c r="EP34" i="71"/>
  <c r="EO34" i="71"/>
  <c r="EN34" i="71"/>
  <c r="EM34" i="71"/>
  <c r="EL34" i="71"/>
  <c r="EK34" i="71"/>
  <c r="EJ34" i="71"/>
  <c r="EI34" i="71"/>
  <c r="EH34" i="71"/>
  <c r="EG34" i="71"/>
  <c r="EF34" i="71"/>
  <c r="EE34" i="71"/>
  <c r="ED34" i="71"/>
  <c r="EC34" i="71"/>
  <c r="DV34" i="71"/>
  <c r="DU34" i="71"/>
  <c r="DT34" i="71"/>
  <c r="DS34" i="71"/>
  <c r="DR34" i="71"/>
  <c r="DQ34" i="71"/>
  <c r="DP34" i="71"/>
  <c r="GC33" i="71"/>
  <c r="GB33" i="71"/>
  <c r="GA33" i="71"/>
  <c r="FZ33" i="71"/>
  <c r="FY33" i="71"/>
  <c r="FX33" i="71"/>
  <c r="FW33" i="71"/>
  <c r="FV33" i="71"/>
  <c r="FT33" i="71"/>
  <c r="FS33" i="71"/>
  <c r="FQ33" i="71"/>
  <c r="FO33" i="71"/>
  <c r="FN33" i="71"/>
  <c r="FM33" i="71"/>
  <c r="FK33" i="71"/>
  <c r="FI33" i="71"/>
  <c r="FH33" i="71"/>
  <c r="FG33" i="71"/>
  <c r="FF33" i="71"/>
  <c r="FE33" i="71"/>
  <c r="FD33" i="71"/>
  <c r="FC33" i="71"/>
  <c r="FB33" i="71"/>
  <c r="FA33" i="71"/>
  <c r="EZ33" i="71"/>
  <c r="EY33" i="71"/>
  <c r="EX33" i="71"/>
  <c r="EW33" i="71"/>
  <c r="EV33" i="71"/>
  <c r="EU33" i="71"/>
  <c r="ET33" i="71"/>
  <c r="ES33" i="71"/>
  <c r="ER33" i="71"/>
  <c r="EQ33" i="71"/>
  <c r="EP33" i="71"/>
  <c r="EO33" i="71"/>
  <c r="EN33" i="71"/>
  <c r="EM33" i="71"/>
  <c r="EL33" i="71"/>
  <c r="EK33" i="71"/>
  <c r="EJ33" i="71"/>
  <c r="EI33" i="71"/>
  <c r="EH33" i="71"/>
  <c r="EG33" i="71"/>
  <c r="EF33" i="71"/>
  <c r="EE33" i="71"/>
  <c r="ED33" i="71"/>
  <c r="EC33" i="71"/>
  <c r="DV33" i="71"/>
  <c r="DU33" i="71"/>
  <c r="DT33" i="71"/>
  <c r="DS33" i="71"/>
  <c r="DR33" i="71"/>
  <c r="DQ33" i="71"/>
  <c r="DP33" i="71"/>
  <c r="GC32" i="71"/>
  <c r="GB32" i="71"/>
  <c r="GA32" i="71"/>
  <c r="FZ32" i="71"/>
  <c r="FY32" i="71"/>
  <c r="FX32" i="71"/>
  <c r="FW32" i="71"/>
  <c r="FV32" i="71"/>
  <c r="FT32" i="71"/>
  <c r="FS32" i="71"/>
  <c r="FQ32" i="71"/>
  <c r="FO32" i="71"/>
  <c r="FN32" i="71"/>
  <c r="FM32" i="71"/>
  <c r="FK32" i="71"/>
  <c r="FI32" i="71"/>
  <c r="FH32" i="71"/>
  <c r="FG32" i="71"/>
  <c r="FF32" i="71"/>
  <c r="FE32" i="71"/>
  <c r="FD32" i="71"/>
  <c r="FC32" i="71"/>
  <c r="FB32" i="71"/>
  <c r="FA32" i="71"/>
  <c r="EZ32" i="71"/>
  <c r="EY32" i="71"/>
  <c r="EX32" i="71"/>
  <c r="EW32" i="71"/>
  <c r="EV32" i="71"/>
  <c r="EU32" i="71"/>
  <c r="ET32" i="71"/>
  <c r="ES32" i="71"/>
  <c r="ER32" i="71"/>
  <c r="EQ32" i="71"/>
  <c r="EP32" i="71"/>
  <c r="EO32" i="71"/>
  <c r="EN32" i="71"/>
  <c r="EM32" i="71"/>
  <c r="EL32" i="71"/>
  <c r="EK32" i="71"/>
  <c r="EJ32" i="71"/>
  <c r="EI32" i="71"/>
  <c r="EH32" i="71"/>
  <c r="EG32" i="71"/>
  <c r="EF32" i="71"/>
  <c r="EE32" i="71"/>
  <c r="ED32" i="71"/>
  <c r="EC32" i="71"/>
  <c r="DV32" i="71"/>
  <c r="DU32" i="71"/>
  <c r="DT32" i="71"/>
  <c r="DS32" i="71"/>
  <c r="DR32" i="71"/>
  <c r="DQ32" i="71"/>
  <c r="DP32" i="71"/>
  <c r="GC31" i="71"/>
  <c r="GB31" i="71"/>
  <c r="GA31" i="71"/>
  <c r="FZ31" i="71"/>
  <c r="FY31" i="71"/>
  <c r="FX31" i="71"/>
  <c r="FW31" i="71"/>
  <c r="FV31" i="71"/>
  <c r="FT31" i="71"/>
  <c r="FS31" i="71"/>
  <c r="FQ31" i="71"/>
  <c r="FO31" i="71"/>
  <c r="FN31" i="71"/>
  <c r="FM31" i="71"/>
  <c r="FK31" i="71"/>
  <c r="FI31" i="71"/>
  <c r="FH31" i="71"/>
  <c r="FG31" i="71"/>
  <c r="FF31" i="71"/>
  <c r="FE31" i="71"/>
  <c r="FD31" i="71"/>
  <c r="FC31" i="71"/>
  <c r="FB31" i="71"/>
  <c r="FA31" i="71"/>
  <c r="EZ31" i="71"/>
  <c r="EY31" i="71"/>
  <c r="EX31" i="71"/>
  <c r="EW31" i="71"/>
  <c r="EV31" i="71"/>
  <c r="EU31" i="71"/>
  <c r="ET31" i="71"/>
  <c r="ES31" i="71"/>
  <c r="ER31" i="71"/>
  <c r="EQ31" i="71"/>
  <c r="EP31" i="71"/>
  <c r="EO31" i="71"/>
  <c r="EN31" i="71"/>
  <c r="EM31" i="71"/>
  <c r="EL31" i="71"/>
  <c r="EK31" i="71"/>
  <c r="EJ31" i="71"/>
  <c r="EI31" i="71"/>
  <c r="EH31" i="71"/>
  <c r="EG31" i="71"/>
  <c r="EF31" i="71"/>
  <c r="EE31" i="71"/>
  <c r="ED31" i="71"/>
  <c r="EC31" i="71"/>
  <c r="DV31" i="71"/>
  <c r="DU31" i="71"/>
  <c r="DT31" i="71"/>
  <c r="DS31" i="71"/>
  <c r="DR31" i="71"/>
  <c r="DQ31" i="71"/>
  <c r="DP31" i="71"/>
  <c r="GC30" i="71"/>
  <c r="GB30" i="71"/>
  <c r="GA30" i="71"/>
  <c r="FZ30" i="71"/>
  <c r="FY30" i="71"/>
  <c r="FX30" i="71"/>
  <c r="FW30" i="71"/>
  <c r="FV30" i="71"/>
  <c r="FT30" i="71"/>
  <c r="FS30" i="71"/>
  <c r="FQ30" i="71"/>
  <c r="FO30" i="71"/>
  <c r="FN30" i="71"/>
  <c r="FM30" i="71"/>
  <c r="FK30" i="71"/>
  <c r="FI30" i="71"/>
  <c r="FH30" i="71"/>
  <c r="FG30" i="71"/>
  <c r="FF30" i="71"/>
  <c r="FE30" i="71"/>
  <c r="FD30" i="71"/>
  <c r="FC30" i="71"/>
  <c r="FB30" i="71"/>
  <c r="FA30" i="71"/>
  <c r="EZ30" i="71"/>
  <c r="EY30" i="71"/>
  <c r="EX30" i="71"/>
  <c r="EW30" i="71"/>
  <c r="EV30" i="71"/>
  <c r="EU30" i="71"/>
  <c r="ET30" i="71"/>
  <c r="ES30" i="71"/>
  <c r="ER30" i="71"/>
  <c r="EQ30" i="71"/>
  <c r="EP30" i="71"/>
  <c r="EO30" i="71"/>
  <c r="EN30" i="71"/>
  <c r="EM30" i="71"/>
  <c r="EL30" i="71"/>
  <c r="EK30" i="71"/>
  <c r="EJ30" i="71"/>
  <c r="EI30" i="71"/>
  <c r="EH30" i="71"/>
  <c r="EG30" i="71"/>
  <c r="EF30" i="71"/>
  <c r="EE30" i="71"/>
  <c r="ED30" i="71"/>
  <c r="EC30" i="71"/>
  <c r="DV30" i="71"/>
  <c r="DU30" i="71"/>
  <c r="DT30" i="71"/>
  <c r="DS30" i="71"/>
  <c r="DR30" i="71"/>
  <c r="DQ30" i="71"/>
  <c r="DP30" i="71"/>
  <c r="GC29" i="71"/>
  <c r="GB29" i="71"/>
  <c r="GA29" i="71"/>
  <c r="FZ29" i="71"/>
  <c r="FY29" i="71"/>
  <c r="FX29" i="71"/>
  <c r="FW29" i="71"/>
  <c r="FV29" i="71"/>
  <c r="FT29" i="71"/>
  <c r="FS29" i="71"/>
  <c r="FQ29" i="71"/>
  <c r="FO29" i="71"/>
  <c r="FN29" i="71"/>
  <c r="FM29" i="71"/>
  <c r="FK29" i="71"/>
  <c r="FI29" i="71"/>
  <c r="FH29" i="71"/>
  <c r="FG29" i="71"/>
  <c r="FF29" i="71"/>
  <c r="FE29" i="71"/>
  <c r="FD29" i="71"/>
  <c r="FC29" i="71"/>
  <c r="FB29" i="71"/>
  <c r="FA29" i="71"/>
  <c r="EZ29" i="71"/>
  <c r="EY29" i="71"/>
  <c r="EX29" i="71"/>
  <c r="EW29" i="71"/>
  <c r="EV29" i="71"/>
  <c r="EU29" i="71"/>
  <c r="ET29" i="71"/>
  <c r="ES29" i="71"/>
  <c r="ER29" i="71"/>
  <c r="EQ29" i="71"/>
  <c r="EP29" i="71"/>
  <c r="EO29" i="71"/>
  <c r="EN29" i="71"/>
  <c r="EM29" i="71"/>
  <c r="EL29" i="71"/>
  <c r="EK29" i="71"/>
  <c r="EJ29" i="71"/>
  <c r="EI29" i="71"/>
  <c r="EH29" i="71"/>
  <c r="EG29" i="71"/>
  <c r="EF29" i="71"/>
  <c r="EE29" i="71"/>
  <c r="ED29" i="71"/>
  <c r="EC29" i="71"/>
  <c r="DV29" i="71"/>
  <c r="DU29" i="71"/>
  <c r="DT29" i="71"/>
  <c r="DS29" i="71"/>
  <c r="DR29" i="71"/>
  <c r="DQ29" i="71"/>
  <c r="DP29" i="71"/>
  <c r="GC28" i="71"/>
  <c r="GB28" i="71"/>
  <c r="GA28" i="71"/>
  <c r="FZ28" i="71"/>
  <c r="FY28" i="71"/>
  <c r="FX28" i="71"/>
  <c r="FW28" i="71"/>
  <c r="FV28" i="71"/>
  <c r="FT28" i="71"/>
  <c r="FS28" i="71"/>
  <c r="FQ28" i="71"/>
  <c r="FO28" i="71"/>
  <c r="FN28" i="71"/>
  <c r="FM28" i="71"/>
  <c r="FK28" i="71"/>
  <c r="FI28" i="71"/>
  <c r="FH28" i="71"/>
  <c r="FG28" i="71"/>
  <c r="FF28" i="71"/>
  <c r="FE28" i="71"/>
  <c r="FD28" i="71"/>
  <c r="FC28" i="71"/>
  <c r="FB28" i="71"/>
  <c r="FA28" i="71"/>
  <c r="EZ28" i="71"/>
  <c r="EY28" i="71"/>
  <c r="EX28" i="71"/>
  <c r="EW28" i="71"/>
  <c r="EV28" i="71"/>
  <c r="EU28" i="71"/>
  <c r="ET28" i="71"/>
  <c r="ES28" i="71"/>
  <c r="ER28" i="71"/>
  <c r="EQ28" i="71"/>
  <c r="EP28" i="71"/>
  <c r="EO28" i="71"/>
  <c r="EN28" i="71"/>
  <c r="EM28" i="71"/>
  <c r="EL28" i="71"/>
  <c r="EK28" i="71"/>
  <c r="EJ28" i="71"/>
  <c r="EI28" i="71"/>
  <c r="EH28" i="71"/>
  <c r="EG28" i="71"/>
  <c r="EF28" i="71"/>
  <c r="EE28" i="71"/>
  <c r="ED28" i="71"/>
  <c r="EC28" i="71"/>
  <c r="DV28" i="71"/>
  <c r="DU28" i="71"/>
  <c r="DT28" i="71"/>
  <c r="DS28" i="71"/>
  <c r="DR28" i="71"/>
  <c r="DQ28" i="71"/>
  <c r="DP28" i="71"/>
  <c r="GC27" i="71"/>
  <c r="GB27" i="71"/>
  <c r="GA27" i="71"/>
  <c r="FZ27" i="71"/>
  <c r="FY27" i="71"/>
  <c r="FX27" i="71"/>
  <c r="FW27" i="71"/>
  <c r="FV27" i="71"/>
  <c r="FT27" i="71"/>
  <c r="FS27" i="71"/>
  <c r="FQ27" i="71"/>
  <c r="FO27" i="71"/>
  <c r="FN27" i="71"/>
  <c r="FM27" i="71"/>
  <c r="FK27" i="71"/>
  <c r="FI27" i="71"/>
  <c r="FH27" i="71"/>
  <c r="FG27" i="71"/>
  <c r="FF27" i="71"/>
  <c r="FE27" i="71"/>
  <c r="FD27" i="71"/>
  <c r="FC27" i="71"/>
  <c r="FB27" i="71"/>
  <c r="FA27" i="71"/>
  <c r="EZ27" i="71"/>
  <c r="EY27" i="71"/>
  <c r="EX27" i="71"/>
  <c r="EW27" i="71"/>
  <c r="EV27" i="71"/>
  <c r="EU27" i="71"/>
  <c r="ET27" i="71"/>
  <c r="ES27" i="71"/>
  <c r="ER27" i="71"/>
  <c r="EQ27" i="71"/>
  <c r="EP27" i="71"/>
  <c r="EO27" i="71"/>
  <c r="EN27" i="71"/>
  <c r="EM27" i="71"/>
  <c r="EL27" i="71"/>
  <c r="EK27" i="71"/>
  <c r="EJ27" i="71"/>
  <c r="EI27" i="71"/>
  <c r="EH27" i="71"/>
  <c r="EG27" i="71"/>
  <c r="EF27" i="71"/>
  <c r="EE27" i="71"/>
  <c r="ED27" i="71"/>
  <c r="EC27" i="71"/>
  <c r="DV27" i="71"/>
  <c r="DU27" i="71"/>
  <c r="DT27" i="71"/>
  <c r="DS27" i="71"/>
  <c r="DR27" i="71"/>
  <c r="DQ27" i="71"/>
  <c r="DP27" i="71"/>
  <c r="GC26" i="71"/>
  <c r="GB26" i="71"/>
  <c r="GA26" i="71"/>
  <c r="FZ26" i="71"/>
  <c r="FY26" i="71"/>
  <c r="FX26" i="71"/>
  <c r="FW26" i="71"/>
  <c r="FV26" i="71"/>
  <c r="FT26" i="71"/>
  <c r="FS26" i="71"/>
  <c r="FQ26" i="71"/>
  <c r="FO26" i="71"/>
  <c r="FN26" i="71"/>
  <c r="FM26" i="71"/>
  <c r="FK26" i="71"/>
  <c r="FI26" i="71"/>
  <c r="FH26" i="71"/>
  <c r="FG26" i="71"/>
  <c r="FF26" i="71"/>
  <c r="FE26" i="71"/>
  <c r="FD26" i="71"/>
  <c r="FC26" i="71"/>
  <c r="FB26" i="71"/>
  <c r="FA26" i="71"/>
  <c r="EZ26" i="71"/>
  <c r="EY26" i="71"/>
  <c r="EX26" i="71"/>
  <c r="EW26" i="71"/>
  <c r="EV26" i="71"/>
  <c r="EU26" i="71"/>
  <c r="ET26" i="71"/>
  <c r="ES26" i="71"/>
  <c r="ER26" i="71"/>
  <c r="EQ26" i="71"/>
  <c r="EP26" i="71"/>
  <c r="EO26" i="71"/>
  <c r="EN26" i="71"/>
  <c r="EM26" i="71"/>
  <c r="EL26" i="71"/>
  <c r="EK26" i="71"/>
  <c r="EJ26" i="71"/>
  <c r="EI26" i="71"/>
  <c r="EH26" i="71"/>
  <c r="EG26" i="71"/>
  <c r="EF26" i="71"/>
  <c r="EE26" i="71"/>
  <c r="ED26" i="71"/>
  <c r="EC26" i="71"/>
  <c r="DV26" i="71"/>
  <c r="DU26" i="71"/>
  <c r="DT26" i="71"/>
  <c r="DS26" i="71"/>
  <c r="DR26" i="71"/>
  <c r="DQ26" i="71"/>
  <c r="DP26" i="71"/>
  <c r="GC25" i="71"/>
  <c r="GB25" i="71"/>
  <c r="GA25" i="71"/>
  <c r="FZ25" i="71"/>
  <c r="FY25" i="71"/>
  <c r="FX25" i="71"/>
  <c r="FW25" i="71"/>
  <c r="FV25" i="71"/>
  <c r="FT25" i="71"/>
  <c r="FS25" i="71"/>
  <c r="FQ25" i="71"/>
  <c r="FO25" i="71"/>
  <c r="FN25" i="71"/>
  <c r="FM25" i="71"/>
  <c r="FK25" i="71"/>
  <c r="FI25" i="71"/>
  <c r="FH25" i="71"/>
  <c r="FG25" i="71"/>
  <c r="FF25" i="71"/>
  <c r="FE25" i="71"/>
  <c r="FD25" i="71"/>
  <c r="FC25" i="71"/>
  <c r="FB25" i="71"/>
  <c r="FA25" i="71"/>
  <c r="EZ25" i="71"/>
  <c r="EY25" i="71"/>
  <c r="EX25" i="71"/>
  <c r="EW25" i="71"/>
  <c r="EV25" i="71"/>
  <c r="EU25" i="71"/>
  <c r="ET25" i="71"/>
  <c r="ES25" i="71"/>
  <c r="ER25" i="71"/>
  <c r="EQ25" i="71"/>
  <c r="EP25" i="71"/>
  <c r="EO25" i="71"/>
  <c r="EN25" i="71"/>
  <c r="EM25" i="71"/>
  <c r="EL25" i="71"/>
  <c r="EK25" i="71"/>
  <c r="EJ25" i="71"/>
  <c r="EI25" i="71"/>
  <c r="EH25" i="71"/>
  <c r="EG25" i="71"/>
  <c r="EF25" i="71"/>
  <c r="EE25" i="71"/>
  <c r="ED25" i="71"/>
  <c r="EC25" i="71"/>
  <c r="DV25" i="71"/>
  <c r="DU25" i="71"/>
  <c r="DT25" i="71"/>
  <c r="DS25" i="71"/>
  <c r="DR25" i="71"/>
  <c r="DQ25" i="71"/>
  <c r="DP25" i="71"/>
  <c r="GC24" i="71"/>
  <c r="GB24" i="71"/>
  <c r="GA24" i="71"/>
  <c r="FZ24" i="71"/>
  <c r="FY24" i="71"/>
  <c r="FX24" i="71"/>
  <c r="FW24" i="71"/>
  <c r="FV24" i="71"/>
  <c r="FT24" i="71"/>
  <c r="FS24" i="71"/>
  <c r="FQ24" i="71"/>
  <c r="FO24" i="71"/>
  <c r="FN24" i="71"/>
  <c r="FM24" i="71"/>
  <c r="FK24" i="71"/>
  <c r="FI24" i="71"/>
  <c r="FH24" i="71"/>
  <c r="FG24" i="71"/>
  <c r="FF24" i="71"/>
  <c r="FE24" i="71"/>
  <c r="FD24" i="71"/>
  <c r="FC24" i="71"/>
  <c r="FB24" i="71"/>
  <c r="FA24" i="71"/>
  <c r="EZ24" i="71"/>
  <c r="EY24" i="71"/>
  <c r="EX24" i="71"/>
  <c r="EW24" i="71"/>
  <c r="EV24" i="71"/>
  <c r="EU24" i="71"/>
  <c r="ET24" i="71"/>
  <c r="ES24" i="71"/>
  <c r="ER24" i="71"/>
  <c r="EQ24" i="71"/>
  <c r="EP24" i="71"/>
  <c r="EO24" i="71"/>
  <c r="EN24" i="71"/>
  <c r="EM24" i="71"/>
  <c r="EL24" i="71"/>
  <c r="EK24" i="71"/>
  <c r="EJ24" i="71"/>
  <c r="EI24" i="71"/>
  <c r="EH24" i="71"/>
  <c r="EG24" i="71"/>
  <c r="EF24" i="71"/>
  <c r="EE24" i="71"/>
  <c r="ED24" i="71"/>
  <c r="EC24" i="71"/>
  <c r="DV24" i="71"/>
  <c r="DU24" i="71"/>
  <c r="DT24" i="71"/>
  <c r="DS24" i="71"/>
  <c r="DR24" i="71"/>
  <c r="DQ24" i="71"/>
  <c r="DP24" i="71"/>
  <c r="GC23" i="71"/>
  <c r="GB23" i="71"/>
  <c r="GA23" i="71"/>
  <c r="FZ23" i="71"/>
  <c r="FY23" i="71"/>
  <c r="FX23" i="71"/>
  <c r="FW23" i="71"/>
  <c r="FV23" i="71"/>
  <c r="FT23" i="71"/>
  <c r="FS23" i="71"/>
  <c r="FQ23" i="71"/>
  <c r="FO23" i="71"/>
  <c r="FN23" i="71"/>
  <c r="FM23" i="71"/>
  <c r="FK23" i="71"/>
  <c r="FI23" i="71"/>
  <c r="FH23" i="71"/>
  <c r="FG23" i="71"/>
  <c r="FF23" i="71"/>
  <c r="FE23" i="71"/>
  <c r="FD23" i="71"/>
  <c r="FC23" i="71"/>
  <c r="FB23" i="71"/>
  <c r="FA23" i="71"/>
  <c r="EZ23" i="71"/>
  <c r="EY23" i="71"/>
  <c r="EX23" i="71"/>
  <c r="EW23" i="71"/>
  <c r="EV23" i="71"/>
  <c r="EU23" i="71"/>
  <c r="ET23" i="71"/>
  <c r="ES23" i="71"/>
  <c r="ER23" i="71"/>
  <c r="EQ23" i="71"/>
  <c r="EP23" i="71"/>
  <c r="EO23" i="71"/>
  <c r="EN23" i="71"/>
  <c r="EM23" i="71"/>
  <c r="EL23" i="71"/>
  <c r="EK23" i="71"/>
  <c r="EJ23" i="71"/>
  <c r="EI23" i="71"/>
  <c r="EH23" i="71"/>
  <c r="EG23" i="71"/>
  <c r="EF23" i="71"/>
  <c r="EE23" i="71"/>
  <c r="ED23" i="71"/>
  <c r="EC23" i="71"/>
  <c r="DV23" i="71"/>
  <c r="DU23" i="71"/>
  <c r="DT23" i="71"/>
  <c r="DS23" i="71"/>
  <c r="DR23" i="71"/>
  <c r="DQ23" i="71"/>
  <c r="DP23" i="71"/>
  <c r="GC22" i="71"/>
  <c r="GB22" i="71"/>
  <c r="GA22" i="71"/>
  <c r="FZ22" i="71"/>
  <c r="FY22" i="71"/>
  <c r="FX22" i="71"/>
  <c r="FW22" i="71"/>
  <c r="FV22" i="71"/>
  <c r="FT22" i="71"/>
  <c r="FS22" i="71"/>
  <c r="FQ22" i="71"/>
  <c r="FO22" i="71"/>
  <c r="FN22" i="71"/>
  <c r="FM22" i="71"/>
  <c r="FK22" i="71"/>
  <c r="FI22" i="71"/>
  <c r="FH22" i="71"/>
  <c r="FG22" i="71"/>
  <c r="FF22" i="71"/>
  <c r="FE22" i="71"/>
  <c r="FD22" i="71"/>
  <c r="FC22" i="71"/>
  <c r="FB22" i="71"/>
  <c r="FA22" i="71"/>
  <c r="EZ22" i="71"/>
  <c r="EY22" i="71"/>
  <c r="EX22" i="71"/>
  <c r="EW22" i="71"/>
  <c r="EV22" i="71"/>
  <c r="EU22" i="71"/>
  <c r="ET22" i="71"/>
  <c r="ES22" i="71"/>
  <c r="ER22" i="71"/>
  <c r="EQ22" i="71"/>
  <c r="EP22" i="71"/>
  <c r="EO22" i="71"/>
  <c r="EN22" i="71"/>
  <c r="EM22" i="71"/>
  <c r="EL22" i="71"/>
  <c r="EK22" i="71"/>
  <c r="EJ22" i="71"/>
  <c r="EI22" i="71"/>
  <c r="EH22" i="71"/>
  <c r="EG22" i="71"/>
  <c r="EF22" i="71"/>
  <c r="EE22" i="71"/>
  <c r="ED22" i="71"/>
  <c r="EC22" i="71"/>
  <c r="DV22" i="71"/>
  <c r="DU22" i="71"/>
  <c r="DT22" i="71"/>
  <c r="DS22" i="71"/>
  <c r="DR22" i="71"/>
  <c r="DQ22" i="71"/>
  <c r="DP22" i="71"/>
  <c r="GC21" i="71"/>
  <c r="GB21" i="71"/>
  <c r="GA21" i="71"/>
  <c r="FZ21" i="71"/>
  <c r="FY21" i="71"/>
  <c r="FX21" i="71"/>
  <c r="FW21" i="71"/>
  <c r="FV21" i="71"/>
  <c r="FT21" i="71"/>
  <c r="FS21" i="71"/>
  <c r="FQ21" i="71"/>
  <c r="FO21" i="71"/>
  <c r="FN21" i="71"/>
  <c r="FM21" i="71"/>
  <c r="FK21" i="71"/>
  <c r="FI21" i="71"/>
  <c r="FH21" i="71"/>
  <c r="FG21" i="71"/>
  <c r="FF21" i="71"/>
  <c r="FE21" i="71"/>
  <c r="FD21" i="71"/>
  <c r="FC21" i="71"/>
  <c r="FB21" i="71"/>
  <c r="FA21" i="71"/>
  <c r="EZ21" i="71"/>
  <c r="EY21" i="71"/>
  <c r="EX21" i="71"/>
  <c r="EW21" i="71"/>
  <c r="EV21" i="71"/>
  <c r="EU21" i="71"/>
  <c r="ET21" i="71"/>
  <c r="ES21" i="71"/>
  <c r="ER21" i="71"/>
  <c r="EQ21" i="71"/>
  <c r="EP21" i="71"/>
  <c r="EO21" i="71"/>
  <c r="EN21" i="71"/>
  <c r="EM21" i="71"/>
  <c r="EL21" i="71"/>
  <c r="EK21" i="71"/>
  <c r="EJ21" i="71"/>
  <c r="EI21" i="71"/>
  <c r="EH21" i="71"/>
  <c r="EG21" i="71"/>
  <c r="EF21" i="71"/>
  <c r="EE21" i="71"/>
  <c r="ED21" i="71"/>
  <c r="EC21" i="71"/>
  <c r="DV21" i="71"/>
  <c r="DU21" i="71"/>
  <c r="DT21" i="71"/>
  <c r="DS21" i="71"/>
  <c r="DR21" i="71"/>
  <c r="DQ21" i="71"/>
  <c r="DP21" i="71"/>
  <c r="GC20" i="71"/>
  <c r="GB20" i="71"/>
  <c r="GA20" i="71"/>
  <c r="FZ20" i="71"/>
  <c r="FY20" i="71"/>
  <c r="FX20" i="71"/>
  <c r="FW20" i="71"/>
  <c r="FV20" i="71"/>
  <c r="FT20" i="71"/>
  <c r="FS20" i="71"/>
  <c r="FQ20" i="71"/>
  <c r="FO20" i="71"/>
  <c r="FN20" i="71"/>
  <c r="FM20" i="71"/>
  <c r="FK20" i="71"/>
  <c r="FI20" i="71"/>
  <c r="FH20" i="71"/>
  <c r="FG20" i="71"/>
  <c r="FF20" i="71"/>
  <c r="FE20" i="71"/>
  <c r="FD20" i="71"/>
  <c r="FC20" i="71"/>
  <c r="FB20" i="71"/>
  <c r="FA20" i="71"/>
  <c r="EZ20" i="71"/>
  <c r="EY20" i="71"/>
  <c r="EX20" i="71"/>
  <c r="EW20" i="71"/>
  <c r="EV20" i="71"/>
  <c r="EU20" i="71"/>
  <c r="ET20" i="71"/>
  <c r="ES20" i="71"/>
  <c r="ER20" i="71"/>
  <c r="EQ20" i="71"/>
  <c r="EP20" i="71"/>
  <c r="EO20" i="71"/>
  <c r="EN20" i="71"/>
  <c r="EM20" i="71"/>
  <c r="EL20" i="71"/>
  <c r="EK20" i="71"/>
  <c r="EJ20" i="71"/>
  <c r="EI20" i="71"/>
  <c r="EH20" i="71"/>
  <c r="EG20" i="71"/>
  <c r="EF20" i="71"/>
  <c r="EE20" i="71"/>
  <c r="ED20" i="71"/>
  <c r="EC20" i="71"/>
  <c r="DV20" i="71"/>
  <c r="DU20" i="71"/>
  <c r="DT20" i="71"/>
  <c r="DS20" i="71"/>
  <c r="DR20" i="71"/>
  <c r="DQ20" i="71"/>
  <c r="DP20" i="71"/>
  <c r="GC19" i="71"/>
  <c r="GB19" i="71"/>
  <c r="GA19" i="71"/>
  <c r="FZ19" i="71"/>
  <c r="FY19" i="71"/>
  <c r="FX19" i="71"/>
  <c r="FW19" i="71"/>
  <c r="FV19" i="71"/>
  <c r="FT19" i="71"/>
  <c r="FS19" i="71"/>
  <c r="FQ19" i="71"/>
  <c r="FO19" i="71"/>
  <c r="FN19" i="71"/>
  <c r="FM19" i="71"/>
  <c r="FK19" i="71"/>
  <c r="FI19" i="71"/>
  <c r="FH19" i="71"/>
  <c r="FG19" i="71"/>
  <c r="FF19" i="71"/>
  <c r="FE19" i="71"/>
  <c r="FD19" i="71"/>
  <c r="FC19" i="71"/>
  <c r="FB19" i="71"/>
  <c r="FA19" i="71"/>
  <c r="EZ19" i="71"/>
  <c r="EY19" i="71"/>
  <c r="EX19" i="71"/>
  <c r="EW19" i="71"/>
  <c r="EV19" i="71"/>
  <c r="EU19" i="71"/>
  <c r="ET19" i="71"/>
  <c r="ES19" i="71"/>
  <c r="ER19" i="71"/>
  <c r="EQ19" i="71"/>
  <c r="EP19" i="71"/>
  <c r="EO19" i="71"/>
  <c r="EN19" i="71"/>
  <c r="EM19" i="71"/>
  <c r="EL19" i="71"/>
  <c r="EK19" i="71"/>
  <c r="EJ19" i="71"/>
  <c r="EI19" i="71"/>
  <c r="EH19" i="71"/>
  <c r="EG19" i="71"/>
  <c r="EF19" i="71"/>
  <c r="EE19" i="71"/>
  <c r="ED19" i="71"/>
  <c r="EC19" i="71"/>
  <c r="DV19" i="71"/>
  <c r="DU19" i="71"/>
  <c r="DT19" i="71"/>
  <c r="DS19" i="71"/>
  <c r="DR19" i="71"/>
  <c r="DQ19" i="71"/>
  <c r="DP19" i="71"/>
  <c r="GC18" i="71"/>
  <c r="GB18" i="71"/>
  <c r="GA18" i="71"/>
  <c r="FZ18" i="71"/>
  <c r="FY18" i="71"/>
  <c r="FX18" i="71"/>
  <c r="FW18" i="71"/>
  <c r="FV18" i="71"/>
  <c r="FT18" i="71"/>
  <c r="FS18" i="71"/>
  <c r="FQ18" i="71"/>
  <c r="FO18" i="71"/>
  <c r="FN18" i="71"/>
  <c r="FM18" i="71"/>
  <c r="FK18" i="71"/>
  <c r="FI18" i="71"/>
  <c r="FH18" i="71"/>
  <c r="FG18" i="71"/>
  <c r="FF18" i="71"/>
  <c r="FE18" i="71"/>
  <c r="FD18" i="71"/>
  <c r="FC18" i="71"/>
  <c r="FB18" i="71"/>
  <c r="FA18" i="71"/>
  <c r="EZ18" i="71"/>
  <c r="EY18" i="71"/>
  <c r="EX18" i="71"/>
  <c r="EW18" i="71"/>
  <c r="EV18" i="71"/>
  <c r="EU18" i="71"/>
  <c r="ET18" i="71"/>
  <c r="ES18" i="71"/>
  <c r="ER18" i="71"/>
  <c r="EQ18" i="71"/>
  <c r="EP18" i="71"/>
  <c r="EO18" i="71"/>
  <c r="EN18" i="71"/>
  <c r="EM18" i="71"/>
  <c r="EL18" i="71"/>
  <c r="EK18" i="71"/>
  <c r="EJ18" i="71"/>
  <c r="EI18" i="71"/>
  <c r="EH18" i="71"/>
  <c r="EG18" i="71"/>
  <c r="EF18" i="71"/>
  <c r="EE18" i="71"/>
  <c r="ED18" i="71"/>
  <c r="EC18" i="71"/>
  <c r="DV18" i="71"/>
  <c r="DU18" i="71"/>
  <c r="DT18" i="71"/>
  <c r="DS18" i="71"/>
  <c r="DR18" i="71"/>
  <c r="DQ18" i="71"/>
  <c r="DP18" i="71"/>
  <c r="GC17" i="71"/>
  <c r="GB17" i="71"/>
  <c r="GA17" i="71"/>
  <c r="FZ17" i="71"/>
  <c r="FY17" i="71"/>
  <c r="FX17" i="71"/>
  <c r="FW17" i="71"/>
  <c r="FV17" i="71"/>
  <c r="FT17" i="71"/>
  <c r="FS17" i="71"/>
  <c r="FQ17" i="71"/>
  <c r="FO17" i="71"/>
  <c r="FN17" i="71"/>
  <c r="FM17" i="71"/>
  <c r="FK17" i="71"/>
  <c r="FI17" i="71"/>
  <c r="FH17" i="71"/>
  <c r="FG17" i="71"/>
  <c r="FF17" i="71"/>
  <c r="FE17" i="71"/>
  <c r="FD17" i="71"/>
  <c r="FC17" i="71"/>
  <c r="FB17" i="71"/>
  <c r="FA17" i="71"/>
  <c r="EZ17" i="71"/>
  <c r="EY17" i="71"/>
  <c r="EX17" i="71"/>
  <c r="EW17" i="71"/>
  <c r="EV17" i="71"/>
  <c r="EU17" i="71"/>
  <c r="ET17" i="71"/>
  <c r="ES17" i="71"/>
  <c r="ER17" i="71"/>
  <c r="EQ17" i="71"/>
  <c r="EP17" i="71"/>
  <c r="EO17" i="71"/>
  <c r="EN17" i="71"/>
  <c r="EM17" i="71"/>
  <c r="EL17" i="71"/>
  <c r="EK17" i="71"/>
  <c r="EJ17" i="71"/>
  <c r="EI17" i="71"/>
  <c r="EH17" i="71"/>
  <c r="EG17" i="71"/>
  <c r="EF17" i="71"/>
  <c r="EE17" i="71"/>
  <c r="ED17" i="71"/>
  <c r="EC17" i="71"/>
  <c r="DV17" i="71"/>
  <c r="DU17" i="71"/>
  <c r="DT17" i="71"/>
  <c r="DS17" i="71"/>
  <c r="DR17" i="71"/>
  <c r="DQ17" i="71"/>
  <c r="DP17" i="71"/>
  <c r="GC16" i="71"/>
  <c r="GB16" i="71"/>
  <c r="GA16" i="71"/>
  <c r="FZ16" i="71"/>
  <c r="FY16" i="71"/>
  <c r="FX16" i="71"/>
  <c r="FW16" i="71"/>
  <c r="FV16" i="71"/>
  <c r="FT16" i="71"/>
  <c r="FS16" i="71"/>
  <c r="FQ16" i="71"/>
  <c r="FO16" i="71"/>
  <c r="FN16" i="71"/>
  <c r="FM16" i="71"/>
  <c r="FK16" i="71"/>
  <c r="FI16" i="71"/>
  <c r="FH16" i="71"/>
  <c r="FG16" i="71"/>
  <c r="FF16" i="71"/>
  <c r="FE16" i="71"/>
  <c r="FD16" i="71"/>
  <c r="FC16" i="71"/>
  <c r="FB16" i="71"/>
  <c r="FA16" i="71"/>
  <c r="EZ16" i="71"/>
  <c r="EY16" i="71"/>
  <c r="EX16" i="71"/>
  <c r="EW16" i="71"/>
  <c r="EV16" i="71"/>
  <c r="EU16" i="71"/>
  <c r="ET16" i="71"/>
  <c r="ES16" i="71"/>
  <c r="ER16" i="71"/>
  <c r="EQ16" i="71"/>
  <c r="EP16" i="71"/>
  <c r="EO16" i="71"/>
  <c r="EN16" i="71"/>
  <c r="EM16" i="71"/>
  <c r="EL16" i="71"/>
  <c r="EK16" i="71"/>
  <c r="EJ16" i="71"/>
  <c r="EI16" i="71"/>
  <c r="EH16" i="71"/>
  <c r="EG16" i="71"/>
  <c r="EF16" i="71"/>
  <c r="EE16" i="71"/>
  <c r="ED16" i="71"/>
  <c r="EC16" i="71"/>
  <c r="DV16" i="71"/>
  <c r="DU16" i="71"/>
  <c r="DT16" i="71"/>
  <c r="DS16" i="71"/>
  <c r="DR16" i="71"/>
  <c r="DQ16" i="71"/>
  <c r="DP16" i="71"/>
  <c r="GC15" i="71"/>
  <c r="GB15" i="71"/>
  <c r="GA15" i="71"/>
  <c r="FZ15" i="71"/>
  <c r="FY15" i="71"/>
  <c r="FX15" i="71"/>
  <c r="FW15" i="71"/>
  <c r="FV15" i="71"/>
  <c r="FT15" i="71"/>
  <c r="FS15" i="71"/>
  <c r="FQ15" i="71"/>
  <c r="FO15" i="71"/>
  <c r="FN15" i="71"/>
  <c r="FM15" i="71"/>
  <c r="FK15" i="71"/>
  <c r="FI15" i="71"/>
  <c r="FH15" i="71"/>
  <c r="FG15" i="71"/>
  <c r="FF15" i="71"/>
  <c r="FE15" i="71"/>
  <c r="FD15" i="71"/>
  <c r="FC15" i="71"/>
  <c r="FB15" i="71"/>
  <c r="FA15" i="71"/>
  <c r="EZ15" i="71"/>
  <c r="EY15" i="71"/>
  <c r="EX15" i="71"/>
  <c r="EW15" i="71"/>
  <c r="EV15" i="71"/>
  <c r="EU15" i="71"/>
  <c r="ET15" i="71"/>
  <c r="ES15" i="71"/>
  <c r="ER15" i="71"/>
  <c r="EQ15" i="71"/>
  <c r="EP15" i="71"/>
  <c r="EO15" i="71"/>
  <c r="EN15" i="71"/>
  <c r="EM15" i="71"/>
  <c r="EL15" i="71"/>
  <c r="EK15" i="71"/>
  <c r="EJ15" i="71"/>
  <c r="EI15" i="71"/>
  <c r="EH15" i="71"/>
  <c r="EG15" i="71"/>
  <c r="EF15" i="71"/>
  <c r="EE15" i="71"/>
  <c r="ED15" i="71"/>
  <c r="EC15" i="71"/>
  <c r="DV15" i="71"/>
  <c r="DU15" i="71"/>
  <c r="DT15" i="71"/>
  <c r="DS15" i="71"/>
  <c r="DR15" i="71"/>
  <c r="DQ15" i="71"/>
  <c r="DP15" i="71"/>
  <c r="GC14" i="71"/>
  <c r="GB14" i="71"/>
  <c r="GA14" i="71"/>
  <c r="FZ14" i="71"/>
  <c r="FY14" i="71"/>
  <c r="FX14" i="71"/>
  <c r="FW14" i="71"/>
  <c r="FV14" i="71"/>
  <c r="FT14" i="71"/>
  <c r="FS14" i="71"/>
  <c r="FQ14" i="71"/>
  <c r="FO14" i="71"/>
  <c r="FN14" i="71"/>
  <c r="FM14" i="71"/>
  <c r="FK14" i="71"/>
  <c r="FI14" i="71"/>
  <c r="FH14" i="71"/>
  <c r="FG14" i="71"/>
  <c r="FF14" i="71"/>
  <c r="FE14" i="71"/>
  <c r="FD14" i="71"/>
  <c r="FC14" i="71"/>
  <c r="FB14" i="71"/>
  <c r="FA14" i="71"/>
  <c r="EZ14" i="71"/>
  <c r="EY14" i="71"/>
  <c r="EX14" i="71"/>
  <c r="EW14" i="71"/>
  <c r="EV14" i="71"/>
  <c r="EU14" i="71"/>
  <c r="ET14" i="71"/>
  <c r="ES14" i="71"/>
  <c r="ER14" i="71"/>
  <c r="EQ14" i="71"/>
  <c r="EP14" i="71"/>
  <c r="EO14" i="71"/>
  <c r="EN14" i="71"/>
  <c r="EM14" i="71"/>
  <c r="EL14" i="71"/>
  <c r="EK14" i="71"/>
  <c r="EJ14" i="71"/>
  <c r="EI14" i="71"/>
  <c r="EH14" i="71"/>
  <c r="EG14" i="71"/>
  <c r="EF14" i="71"/>
  <c r="EE14" i="71"/>
  <c r="ED14" i="71"/>
  <c r="EC14" i="71"/>
  <c r="DV14" i="71"/>
  <c r="DU14" i="71"/>
  <c r="DT14" i="71"/>
  <c r="DS14" i="71"/>
  <c r="DR14" i="71"/>
  <c r="DQ14" i="71"/>
  <c r="DP14" i="71"/>
  <c r="GC13" i="71"/>
  <c r="GB13" i="71"/>
  <c r="GA13" i="71"/>
  <c r="FZ13" i="71"/>
  <c r="FY13" i="71"/>
  <c r="FX13" i="71"/>
  <c r="FW13" i="71"/>
  <c r="FV13" i="71"/>
  <c r="FT13" i="71"/>
  <c r="FS13" i="71"/>
  <c r="FQ13" i="71"/>
  <c r="FO13" i="71"/>
  <c r="FN13" i="71"/>
  <c r="FM13" i="71"/>
  <c r="FK13" i="71"/>
  <c r="FI13" i="71"/>
  <c r="FH13" i="71"/>
  <c r="FG13" i="71"/>
  <c r="FF13" i="71"/>
  <c r="FE13" i="71"/>
  <c r="FD13" i="71"/>
  <c r="FC13" i="71"/>
  <c r="FB13" i="71"/>
  <c r="FA13" i="71"/>
  <c r="EZ13" i="71"/>
  <c r="EY13" i="71"/>
  <c r="EX13" i="71"/>
  <c r="EW13" i="71"/>
  <c r="EV13" i="71"/>
  <c r="EU13" i="71"/>
  <c r="ET13" i="71"/>
  <c r="ES13" i="71"/>
  <c r="ER13" i="71"/>
  <c r="EQ13" i="71"/>
  <c r="EP13" i="71"/>
  <c r="EO13" i="71"/>
  <c r="EN13" i="71"/>
  <c r="EM13" i="71"/>
  <c r="EL13" i="71"/>
  <c r="EK13" i="71"/>
  <c r="EJ13" i="71"/>
  <c r="EI13" i="71"/>
  <c r="EH13" i="71"/>
  <c r="EG13" i="71"/>
  <c r="EF13" i="71"/>
  <c r="EE13" i="71"/>
  <c r="ED13" i="71"/>
  <c r="EC13" i="71"/>
  <c r="DV13" i="71"/>
  <c r="DU13" i="71"/>
  <c r="DT13" i="71"/>
  <c r="DS13" i="71"/>
  <c r="DR13" i="71"/>
  <c r="DQ13" i="71"/>
  <c r="DP13" i="71"/>
  <c r="GC12" i="71"/>
  <c r="GB12" i="71"/>
  <c r="GA12" i="71"/>
  <c r="FZ12" i="71"/>
  <c r="FY12" i="71"/>
  <c r="FX12" i="71"/>
  <c r="FW12" i="71"/>
  <c r="FV12" i="71"/>
  <c r="FT12" i="71"/>
  <c r="FS12" i="71"/>
  <c r="FQ12" i="71"/>
  <c r="FO12" i="71"/>
  <c r="FN12" i="71"/>
  <c r="FM12" i="71"/>
  <c r="FK12" i="71"/>
  <c r="FI12" i="71"/>
  <c r="FH12" i="71"/>
  <c r="FG12" i="71"/>
  <c r="FF12" i="71"/>
  <c r="FE12" i="71"/>
  <c r="FD12" i="71"/>
  <c r="FC12" i="71"/>
  <c r="FB12" i="71"/>
  <c r="FA12" i="71"/>
  <c r="EZ12" i="71"/>
  <c r="EY12" i="71"/>
  <c r="EX12" i="71"/>
  <c r="EW12" i="71"/>
  <c r="EV12" i="71"/>
  <c r="EU12" i="71"/>
  <c r="ET12" i="71"/>
  <c r="ES12" i="71"/>
  <c r="ER12" i="71"/>
  <c r="EQ12" i="71"/>
  <c r="EP12" i="71"/>
  <c r="EO12" i="71"/>
  <c r="EN12" i="71"/>
  <c r="EM12" i="71"/>
  <c r="EL12" i="71"/>
  <c r="EK12" i="71"/>
  <c r="EJ12" i="71"/>
  <c r="EI12" i="71"/>
  <c r="EH12" i="71"/>
  <c r="EG12" i="71"/>
  <c r="EF12" i="71"/>
  <c r="EE12" i="71"/>
  <c r="ED12" i="71"/>
  <c r="EC12" i="71"/>
  <c r="DV12" i="71"/>
  <c r="DU12" i="71"/>
  <c r="DT12" i="71"/>
  <c r="DS12" i="71"/>
  <c r="DR12" i="71"/>
  <c r="DQ12" i="71"/>
  <c r="DP12" i="71"/>
  <c r="GC11" i="71"/>
  <c r="GB11" i="71"/>
  <c r="GA11" i="71"/>
  <c r="FZ11" i="71"/>
  <c r="FY11" i="71"/>
  <c r="FX11" i="71"/>
  <c r="FW11" i="71"/>
  <c r="FV11" i="71"/>
  <c r="FT11" i="71"/>
  <c r="FS11" i="71"/>
  <c r="FQ11" i="71"/>
  <c r="FO11" i="71"/>
  <c r="FN11" i="71"/>
  <c r="FM11" i="71"/>
  <c r="FK11" i="71"/>
  <c r="FI11" i="71"/>
  <c r="FH11" i="71"/>
  <c r="FG11" i="71"/>
  <c r="FF11" i="71"/>
  <c r="FE11" i="71"/>
  <c r="FD11" i="71"/>
  <c r="FC11" i="71"/>
  <c r="FB11" i="71"/>
  <c r="FA11" i="71"/>
  <c r="EZ11" i="71"/>
  <c r="EY11" i="71"/>
  <c r="EX11" i="71"/>
  <c r="EW11" i="71"/>
  <c r="EV11" i="71"/>
  <c r="EU11" i="71"/>
  <c r="ET11" i="71"/>
  <c r="ES11" i="71"/>
  <c r="ER11" i="71"/>
  <c r="EQ11" i="71"/>
  <c r="EP11" i="71"/>
  <c r="EO11" i="71"/>
  <c r="EN11" i="71"/>
  <c r="EM11" i="71"/>
  <c r="EL11" i="71"/>
  <c r="EK11" i="71"/>
  <c r="EJ11" i="71"/>
  <c r="EI11" i="71"/>
  <c r="EH11" i="71"/>
  <c r="EG11" i="71"/>
  <c r="EF11" i="71"/>
  <c r="EE11" i="71"/>
  <c r="ED11" i="71"/>
  <c r="EC11" i="71"/>
  <c r="DV11" i="71"/>
  <c r="DU11" i="71"/>
  <c r="DT11" i="71"/>
  <c r="DS11" i="71"/>
  <c r="DR11" i="71"/>
  <c r="DQ11" i="71"/>
  <c r="DP11" i="71"/>
  <c r="GC10" i="71"/>
  <c r="GB10" i="71"/>
  <c r="GA10" i="71"/>
  <c r="FZ10" i="71"/>
  <c r="FY10" i="71"/>
  <c r="FX10" i="71"/>
  <c r="FW10" i="71"/>
  <c r="FV10" i="71"/>
  <c r="FT10" i="71"/>
  <c r="FS10" i="71"/>
  <c r="FQ10" i="71"/>
  <c r="FO10" i="71"/>
  <c r="FN10" i="71"/>
  <c r="FM10" i="71"/>
  <c r="FK10" i="71"/>
  <c r="FI10" i="71"/>
  <c r="FH10" i="71"/>
  <c r="FG10" i="71"/>
  <c r="FF10" i="71"/>
  <c r="FE10" i="71"/>
  <c r="FD10" i="71"/>
  <c r="FC10" i="71"/>
  <c r="FB10" i="71"/>
  <c r="FA10" i="71"/>
  <c r="EZ10" i="71"/>
  <c r="EY10" i="71"/>
  <c r="EX10" i="71"/>
  <c r="EW10" i="71"/>
  <c r="EV10" i="71"/>
  <c r="EU10" i="71"/>
  <c r="ET10" i="71"/>
  <c r="ES10" i="71"/>
  <c r="ER10" i="71"/>
  <c r="EQ10" i="71"/>
  <c r="EP10" i="71"/>
  <c r="EO10" i="71"/>
  <c r="EN10" i="71"/>
  <c r="EM10" i="71"/>
  <c r="EL10" i="71"/>
  <c r="EK10" i="71"/>
  <c r="EJ10" i="71"/>
  <c r="EI10" i="71"/>
  <c r="EH10" i="71"/>
  <c r="EG10" i="71"/>
  <c r="EF10" i="71"/>
  <c r="EE10" i="71"/>
  <c r="ED10" i="71"/>
  <c r="EC10" i="71"/>
  <c r="DV10" i="71"/>
  <c r="DU10" i="71"/>
  <c r="DT10" i="71"/>
  <c r="DS10" i="71"/>
  <c r="DR10" i="71"/>
  <c r="DQ10" i="71"/>
  <c r="DP10" i="71"/>
  <c r="GC9" i="71"/>
  <c r="GB9" i="71"/>
  <c r="GA9" i="71"/>
  <c r="FZ9" i="71"/>
  <c r="FY9" i="71"/>
  <c r="FX9" i="71"/>
  <c r="FW9" i="71"/>
  <c r="FV9" i="71"/>
  <c r="FT9" i="71"/>
  <c r="FS9" i="71"/>
  <c r="FQ9" i="71"/>
  <c r="FO9" i="71"/>
  <c r="FN9" i="71"/>
  <c r="FM9" i="71"/>
  <c r="FL9" i="71"/>
  <c r="FK9" i="71"/>
  <c r="FJ9" i="71"/>
  <c r="FI9" i="71"/>
  <c r="FH9" i="71"/>
  <c r="FG9" i="71"/>
  <c r="FF9" i="71"/>
  <c r="FE9" i="71"/>
  <c r="FD9" i="71"/>
  <c r="FC9" i="71"/>
  <c r="FB9" i="71"/>
  <c r="FA9" i="71"/>
  <c r="EZ9" i="71"/>
  <c r="EY9" i="71"/>
  <c r="EX9" i="71"/>
  <c r="EW9" i="71"/>
  <c r="EV9" i="71"/>
  <c r="EU9" i="71"/>
  <c r="ET9" i="71"/>
  <c r="ES9" i="71"/>
  <c r="ER9" i="71"/>
  <c r="EQ9" i="71"/>
  <c r="EP9" i="71"/>
  <c r="EO9" i="71"/>
  <c r="EN9" i="71"/>
  <c r="EM9" i="71"/>
  <c r="EL9" i="71"/>
  <c r="EK9" i="71"/>
  <c r="EJ9" i="71"/>
  <c r="EI9" i="71"/>
  <c r="EH9" i="71"/>
  <c r="EG9" i="71"/>
  <c r="EF9" i="71"/>
  <c r="EE9" i="71"/>
  <c r="ED9" i="71"/>
  <c r="EC9" i="71"/>
  <c r="DV9" i="71"/>
  <c r="DU9" i="71"/>
  <c r="DT9" i="71"/>
  <c r="DS9" i="71"/>
  <c r="DR9" i="71"/>
  <c r="DQ9" i="71"/>
  <c r="DP9" i="71"/>
  <c r="FE7" i="71"/>
  <c r="EJ7" i="71"/>
  <c r="EH7" i="71"/>
  <c r="EB7" i="71"/>
  <c r="EA7" i="71"/>
  <c r="DZ7" i="71"/>
  <c r="DV7" i="71"/>
  <c r="DT7" i="71"/>
  <c r="EB40" i="70"/>
  <c r="EA40" i="70"/>
  <c r="DZ40" i="70"/>
  <c r="DY40" i="70"/>
  <c r="DX40" i="70"/>
  <c r="DW40" i="70"/>
  <c r="GC38" i="70"/>
  <c r="GB38" i="70"/>
  <c r="GA38" i="70"/>
  <c r="FZ38" i="70"/>
  <c r="FY38" i="70"/>
  <c r="FX38" i="70"/>
  <c r="FW38" i="70"/>
  <c r="FV38" i="70"/>
  <c r="FT38" i="70"/>
  <c r="FS38" i="70"/>
  <c r="FQ38" i="70"/>
  <c r="FO38" i="70"/>
  <c r="FN38" i="70"/>
  <c r="FM38" i="70"/>
  <c r="FK38" i="70"/>
  <c r="FI38" i="70"/>
  <c r="FD38" i="70"/>
  <c r="FC38" i="70"/>
  <c r="FB38" i="70"/>
  <c r="FA38" i="70"/>
  <c r="EZ38" i="70"/>
  <c r="EY38" i="70"/>
  <c r="EX38" i="70"/>
  <c r="EW38" i="70"/>
  <c r="EV38" i="70"/>
  <c r="EU38" i="70"/>
  <c r="ET38" i="70"/>
  <c r="ES38" i="70"/>
  <c r="ER38" i="70"/>
  <c r="EQ38" i="70"/>
  <c r="EP38" i="70"/>
  <c r="EO38" i="70"/>
  <c r="EN38" i="70"/>
  <c r="EM38" i="70"/>
  <c r="EL38" i="70"/>
  <c r="EK38" i="70"/>
  <c r="EJ38" i="70"/>
  <c r="EI38" i="70"/>
  <c r="EH38" i="70"/>
  <c r="EG38" i="70"/>
  <c r="EE38" i="70"/>
  <c r="ED38" i="70"/>
  <c r="EC38" i="70"/>
  <c r="DV38" i="70"/>
  <c r="DU38" i="70"/>
  <c r="DT38" i="70"/>
  <c r="DS38" i="70"/>
  <c r="DR38" i="70"/>
  <c r="DQ38" i="70"/>
  <c r="DP38" i="70"/>
  <c r="GC37" i="70"/>
  <c r="GB37" i="70"/>
  <c r="GA37" i="70"/>
  <c r="FZ37" i="70"/>
  <c r="FY37" i="70"/>
  <c r="FX37" i="70"/>
  <c r="FW37" i="70"/>
  <c r="FV37" i="70"/>
  <c r="FT37" i="70"/>
  <c r="FS37" i="70"/>
  <c r="FQ37" i="70"/>
  <c r="FO37" i="70"/>
  <c r="FN37" i="70"/>
  <c r="FM37" i="70"/>
  <c r="FK37" i="70"/>
  <c r="FI37" i="70"/>
  <c r="FD37" i="70"/>
  <c r="FC37" i="70"/>
  <c r="FB37" i="70"/>
  <c r="FA37" i="70"/>
  <c r="EZ37" i="70"/>
  <c r="EY37" i="70"/>
  <c r="EX37" i="70"/>
  <c r="EW37" i="70"/>
  <c r="EV37" i="70"/>
  <c r="EU37" i="70"/>
  <c r="ET37" i="70"/>
  <c r="ES37" i="70"/>
  <c r="ER37" i="70"/>
  <c r="EQ37" i="70"/>
  <c r="EP37" i="70"/>
  <c r="EO37" i="70"/>
  <c r="EN37" i="70"/>
  <c r="EM37" i="70"/>
  <c r="EL37" i="70"/>
  <c r="EK37" i="70"/>
  <c r="EJ37" i="70"/>
  <c r="EI37" i="70"/>
  <c r="EH37" i="70"/>
  <c r="EG37" i="70"/>
  <c r="EE37" i="70"/>
  <c r="ED37" i="70"/>
  <c r="EC37" i="70"/>
  <c r="DV37" i="70"/>
  <c r="DU37" i="70"/>
  <c r="DT37" i="70"/>
  <c r="DS37" i="70"/>
  <c r="DR37" i="70"/>
  <c r="DQ37" i="70"/>
  <c r="DP37" i="70"/>
  <c r="GC36" i="70"/>
  <c r="GB36" i="70"/>
  <c r="GA36" i="70"/>
  <c r="FZ36" i="70"/>
  <c r="FY36" i="70"/>
  <c r="FX36" i="70"/>
  <c r="FW36" i="70"/>
  <c r="FV36" i="70"/>
  <c r="FT36" i="70"/>
  <c r="FS36" i="70"/>
  <c r="FQ36" i="70"/>
  <c r="FO36" i="70"/>
  <c r="FN36" i="70"/>
  <c r="FM36" i="70"/>
  <c r="FK36" i="70"/>
  <c r="FI36" i="70"/>
  <c r="FH36" i="70"/>
  <c r="FG36" i="70"/>
  <c r="FF36" i="70"/>
  <c r="FE36" i="70"/>
  <c r="FD36" i="70"/>
  <c r="FC36" i="70"/>
  <c r="FB36" i="70"/>
  <c r="FA36" i="70"/>
  <c r="EZ36" i="70"/>
  <c r="EY36" i="70"/>
  <c r="EX36" i="70"/>
  <c r="EW36" i="70"/>
  <c r="EV36" i="70"/>
  <c r="EU36" i="70"/>
  <c r="ET36" i="70"/>
  <c r="ES36" i="70"/>
  <c r="ER36" i="70"/>
  <c r="EQ36" i="70"/>
  <c r="EP36" i="70"/>
  <c r="EO36" i="70"/>
  <c r="EN36" i="70"/>
  <c r="EM36" i="70"/>
  <c r="EL36" i="70"/>
  <c r="EK36" i="70"/>
  <c r="EJ36" i="70"/>
  <c r="EI36" i="70"/>
  <c r="EH36" i="70"/>
  <c r="EG36" i="70"/>
  <c r="EF36" i="70"/>
  <c r="EE36" i="70"/>
  <c r="ED36" i="70"/>
  <c r="EC36" i="70"/>
  <c r="DV36" i="70"/>
  <c r="DU36" i="70"/>
  <c r="DT36" i="70"/>
  <c r="DS36" i="70"/>
  <c r="DR36" i="70"/>
  <c r="DQ36" i="70"/>
  <c r="DP36" i="70"/>
  <c r="GC35" i="70"/>
  <c r="GB35" i="70"/>
  <c r="GA35" i="70"/>
  <c r="FZ35" i="70"/>
  <c r="FY35" i="70"/>
  <c r="FX35" i="70"/>
  <c r="FW35" i="70"/>
  <c r="FV35" i="70"/>
  <c r="FT35" i="70"/>
  <c r="FS35" i="70"/>
  <c r="FQ35" i="70"/>
  <c r="FO35" i="70"/>
  <c r="FN35" i="70"/>
  <c r="FM35" i="70"/>
  <c r="FK35" i="70"/>
  <c r="FI35" i="70"/>
  <c r="FH35" i="70"/>
  <c r="FG35" i="70"/>
  <c r="FF35" i="70"/>
  <c r="FE35" i="70"/>
  <c r="FD35" i="70"/>
  <c r="FC35" i="70"/>
  <c r="FB35" i="70"/>
  <c r="FA35" i="70"/>
  <c r="EZ35" i="70"/>
  <c r="EY35" i="70"/>
  <c r="EX35" i="70"/>
  <c r="EW35" i="70"/>
  <c r="EV35" i="70"/>
  <c r="EU35" i="70"/>
  <c r="ET35" i="70"/>
  <c r="ES35" i="70"/>
  <c r="ER35" i="70"/>
  <c r="EQ35" i="70"/>
  <c r="EP35" i="70"/>
  <c r="EO35" i="70"/>
  <c r="EN35" i="70"/>
  <c r="EM35" i="70"/>
  <c r="EL35" i="70"/>
  <c r="EK35" i="70"/>
  <c r="EJ35" i="70"/>
  <c r="EI35" i="70"/>
  <c r="EH35" i="70"/>
  <c r="EG35" i="70"/>
  <c r="EF35" i="70"/>
  <c r="EE35" i="70"/>
  <c r="ED35" i="70"/>
  <c r="EC35" i="70"/>
  <c r="DV35" i="70"/>
  <c r="DU35" i="70"/>
  <c r="DT35" i="70"/>
  <c r="DS35" i="70"/>
  <c r="DR35" i="70"/>
  <c r="DQ35" i="70"/>
  <c r="DP35" i="70"/>
  <c r="GC34" i="70"/>
  <c r="GB34" i="70"/>
  <c r="GA34" i="70"/>
  <c r="FZ34" i="70"/>
  <c r="FY34" i="70"/>
  <c r="FX34" i="70"/>
  <c r="FW34" i="70"/>
  <c r="FV34" i="70"/>
  <c r="FT34" i="70"/>
  <c r="FS34" i="70"/>
  <c r="FQ34" i="70"/>
  <c r="FO34" i="70"/>
  <c r="FN34" i="70"/>
  <c r="FM34" i="70"/>
  <c r="FK34" i="70"/>
  <c r="FI34" i="70"/>
  <c r="FH34" i="70"/>
  <c r="FG34" i="70"/>
  <c r="FF34" i="70"/>
  <c r="FE34" i="70"/>
  <c r="FD34" i="70"/>
  <c r="FC34" i="70"/>
  <c r="FB34" i="70"/>
  <c r="FA34" i="70"/>
  <c r="EZ34" i="70"/>
  <c r="EY34" i="70"/>
  <c r="EX34" i="70"/>
  <c r="EW34" i="70"/>
  <c r="EV34" i="70"/>
  <c r="EU34" i="70"/>
  <c r="ET34" i="70"/>
  <c r="ES34" i="70"/>
  <c r="ER34" i="70"/>
  <c r="EQ34" i="70"/>
  <c r="EP34" i="70"/>
  <c r="EO34" i="70"/>
  <c r="EN34" i="70"/>
  <c r="EM34" i="70"/>
  <c r="EL34" i="70"/>
  <c r="EK34" i="70"/>
  <c r="EJ34" i="70"/>
  <c r="EI34" i="70"/>
  <c r="EH34" i="70"/>
  <c r="EG34" i="70"/>
  <c r="EF34" i="70"/>
  <c r="EE34" i="70"/>
  <c r="ED34" i="70"/>
  <c r="EC34" i="70"/>
  <c r="DV34" i="70"/>
  <c r="DU34" i="70"/>
  <c r="DT34" i="70"/>
  <c r="DS34" i="70"/>
  <c r="DR34" i="70"/>
  <c r="DQ34" i="70"/>
  <c r="DP34" i="70"/>
  <c r="GC33" i="70"/>
  <c r="GB33" i="70"/>
  <c r="GA33" i="70"/>
  <c r="FZ33" i="70"/>
  <c r="FY33" i="70"/>
  <c r="FX33" i="70"/>
  <c r="FW33" i="70"/>
  <c r="FV33" i="70"/>
  <c r="FT33" i="70"/>
  <c r="FS33" i="70"/>
  <c r="FQ33" i="70"/>
  <c r="FO33" i="70"/>
  <c r="FN33" i="70"/>
  <c r="FM33" i="70"/>
  <c r="FK33" i="70"/>
  <c r="FI33" i="70"/>
  <c r="FH33" i="70"/>
  <c r="FG33" i="70"/>
  <c r="FF33" i="70"/>
  <c r="FE33" i="70"/>
  <c r="FD33" i="70"/>
  <c r="FC33" i="70"/>
  <c r="FB33" i="70"/>
  <c r="FA33" i="70"/>
  <c r="EZ33" i="70"/>
  <c r="EY33" i="70"/>
  <c r="EX33" i="70"/>
  <c r="EW33" i="70"/>
  <c r="EV33" i="70"/>
  <c r="EU33" i="70"/>
  <c r="ET33" i="70"/>
  <c r="ES33" i="70"/>
  <c r="ER33" i="70"/>
  <c r="EQ33" i="70"/>
  <c r="EP33" i="70"/>
  <c r="EO33" i="70"/>
  <c r="EN33" i="70"/>
  <c r="EM33" i="70"/>
  <c r="EL33" i="70"/>
  <c r="EK33" i="70"/>
  <c r="EJ33" i="70"/>
  <c r="EI33" i="70"/>
  <c r="EH33" i="70"/>
  <c r="EG33" i="70"/>
  <c r="EF33" i="70"/>
  <c r="EE33" i="70"/>
  <c r="ED33" i="70"/>
  <c r="EC33" i="70"/>
  <c r="DV33" i="70"/>
  <c r="DU33" i="70"/>
  <c r="DT33" i="70"/>
  <c r="DS33" i="70"/>
  <c r="DR33" i="70"/>
  <c r="DQ33" i="70"/>
  <c r="DP33" i="70"/>
  <c r="GC32" i="70"/>
  <c r="GB32" i="70"/>
  <c r="GA32" i="70"/>
  <c r="FZ32" i="70"/>
  <c r="FY32" i="70"/>
  <c r="FX32" i="70"/>
  <c r="FW32" i="70"/>
  <c r="FV32" i="70"/>
  <c r="FT32" i="70"/>
  <c r="FS32" i="70"/>
  <c r="FQ32" i="70"/>
  <c r="FO32" i="70"/>
  <c r="FN32" i="70"/>
  <c r="FM32" i="70"/>
  <c r="FK32" i="70"/>
  <c r="FI32" i="70"/>
  <c r="FH32" i="70"/>
  <c r="FG32" i="70"/>
  <c r="FF32" i="70"/>
  <c r="FE32" i="70"/>
  <c r="FD32" i="70"/>
  <c r="FC32" i="70"/>
  <c r="FB32" i="70"/>
  <c r="FA32" i="70"/>
  <c r="EZ32" i="70"/>
  <c r="EY32" i="70"/>
  <c r="EX32" i="70"/>
  <c r="EW32" i="70"/>
  <c r="EV32" i="70"/>
  <c r="EU32" i="70"/>
  <c r="ET32" i="70"/>
  <c r="ES32" i="70"/>
  <c r="ER32" i="70"/>
  <c r="EQ32" i="70"/>
  <c r="EP32" i="70"/>
  <c r="EO32" i="70"/>
  <c r="EN32" i="70"/>
  <c r="EM32" i="70"/>
  <c r="EL32" i="70"/>
  <c r="EK32" i="70"/>
  <c r="EJ32" i="70"/>
  <c r="EI32" i="70"/>
  <c r="EH32" i="70"/>
  <c r="EG32" i="70"/>
  <c r="EF32" i="70"/>
  <c r="EE32" i="70"/>
  <c r="ED32" i="70"/>
  <c r="EC32" i="70"/>
  <c r="DV32" i="70"/>
  <c r="DU32" i="70"/>
  <c r="DT32" i="70"/>
  <c r="DS32" i="70"/>
  <c r="DR32" i="70"/>
  <c r="DQ32" i="70"/>
  <c r="DP32" i="70"/>
  <c r="GC31" i="70"/>
  <c r="GB31" i="70"/>
  <c r="GA31" i="70"/>
  <c r="FZ31" i="70"/>
  <c r="FY31" i="70"/>
  <c r="FX31" i="70"/>
  <c r="FW31" i="70"/>
  <c r="FV31" i="70"/>
  <c r="FT31" i="70"/>
  <c r="FS31" i="70"/>
  <c r="FQ31" i="70"/>
  <c r="FO31" i="70"/>
  <c r="FN31" i="70"/>
  <c r="FM31" i="70"/>
  <c r="FK31" i="70"/>
  <c r="FI31" i="70"/>
  <c r="FH31" i="70"/>
  <c r="FG31" i="70"/>
  <c r="FF31" i="70"/>
  <c r="FE31" i="70"/>
  <c r="FD31" i="70"/>
  <c r="FC31" i="70"/>
  <c r="FB31" i="70"/>
  <c r="FA31" i="70"/>
  <c r="EZ31" i="70"/>
  <c r="EY31" i="70"/>
  <c r="EX31" i="70"/>
  <c r="EW31" i="70"/>
  <c r="EV31" i="70"/>
  <c r="EU31" i="70"/>
  <c r="ET31" i="70"/>
  <c r="ES31" i="70"/>
  <c r="ER31" i="70"/>
  <c r="EQ31" i="70"/>
  <c r="EP31" i="70"/>
  <c r="EO31" i="70"/>
  <c r="EN31" i="70"/>
  <c r="EM31" i="70"/>
  <c r="EL31" i="70"/>
  <c r="EK31" i="70"/>
  <c r="EJ31" i="70"/>
  <c r="EI31" i="70"/>
  <c r="EH31" i="70"/>
  <c r="EG31" i="70"/>
  <c r="EF31" i="70"/>
  <c r="EE31" i="70"/>
  <c r="ED31" i="70"/>
  <c r="EC31" i="70"/>
  <c r="DV31" i="70"/>
  <c r="DU31" i="70"/>
  <c r="DT31" i="70"/>
  <c r="DS31" i="70"/>
  <c r="DR31" i="70"/>
  <c r="DQ31" i="70"/>
  <c r="DP31" i="70"/>
  <c r="GC30" i="70"/>
  <c r="GB30" i="70"/>
  <c r="GA30" i="70"/>
  <c r="FZ30" i="70"/>
  <c r="FY30" i="70"/>
  <c r="FX30" i="70"/>
  <c r="FW30" i="70"/>
  <c r="FV30" i="70"/>
  <c r="FT30" i="70"/>
  <c r="FS30" i="70"/>
  <c r="FQ30" i="70"/>
  <c r="FO30" i="70"/>
  <c r="FN30" i="70"/>
  <c r="FM30" i="70"/>
  <c r="FK30" i="70"/>
  <c r="FI30" i="70"/>
  <c r="FH30" i="70"/>
  <c r="FG30" i="70"/>
  <c r="FF30" i="70"/>
  <c r="FE30" i="70"/>
  <c r="FD30" i="70"/>
  <c r="FC30" i="70"/>
  <c r="FB30" i="70"/>
  <c r="FA30" i="70"/>
  <c r="EZ30" i="70"/>
  <c r="EY30" i="70"/>
  <c r="EX30" i="70"/>
  <c r="EW30" i="70"/>
  <c r="EV30" i="70"/>
  <c r="EU30" i="70"/>
  <c r="ET30" i="70"/>
  <c r="ES30" i="70"/>
  <c r="ER30" i="70"/>
  <c r="EQ30" i="70"/>
  <c r="EP30" i="70"/>
  <c r="EO30" i="70"/>
  <c r="EN30" i="70"/>
  <c r="EM30" i="70"/>
  <c r="EL30" i="70"/>
  <c r="EK30" i="70"/>
  <c r="EJ30" i="70"/>
  <c r="EI30" i="70"/>
  <c r="EH30" i="70"/>
  <c r="EG30" i="70"/>
  <c r="EF30" i="70"/>
  <c r="EE30" i="70"/>
  <c r="ED30" i="70"/>
  <c r="EC30" i="70"/>
  <c r="DV30" i="70"/>
  <c r="DU30" i="70"/>
  <c r="DT30" i="70"/>
  <c r="DS30" i="70"/>
  <c r="DR30" i="70"/>
  <c r="DQ30" i="70"/>
  <c r="DP30" i="70"/>
  <c r="GC29" i="70"/>
  <c r="GB29" i="70"/>
  <c r="GA29" i="70"/>
  <c r="FZ29" i="70"/>
  <c r="FY29" i="70"/>
  <c r="FX29" i="70"/>
  <c r="FW29" i="70"/>
  <c r="FV29" i="70"/>
  <c r="FT29" i="70"/>
  <c r="FS29" i="70"/>
  <c r="FQ29" i="70"/>
  <c r="FO29" i="70"/>
  <c r="FN29" i="70"/>
  <c r="FM29" i="70"/>
  <c r="FK29" i="70"/>
  <c r="FI29" i="70"/>
  <c r="FH29" i="70"/>
  <c r="FG29" i="70"/>
  <c r="FF29" i="70"/>
  <c r="FE29" i="70"/>
  <c r="FD29" i="70"/>
  <c r="FC29" i="70"/>
  <c r="FB29" i="70"/>
  <c r="FA29" i="70"/>
  <c r="EZ29" i="70"/>
  <c r="EY29" i="70"/>
  <c r="EX29" i="70"/>
  <c r="EW29" i="70"/>
  <c r="EV29" i="70"/>
  <c r="EU29" i="70"/>
  <c r="ET29" i="70"/>
  <c r="ES29" i="70"/>
  <c r="ER29" i="70"/>
  <c r="EQ29" i="70"/>
  <c r="EP29" i="70"/>
  <c r="EO29" i="70"/>
  <c r="EN29" i="70"/>
  <c r="EM29" i="70"/>
  <c r="EL29" i="70"/>
  <c r="EK29" i="70"/>
  <c r="EJ29" i="70"/>
  <c r="EI29" i="70"/>
  <c r="EH29" i="70"/>
  <c r="EG29" i="70"/>
  <c r="EF29" i="70"/>
  <c r="EE29" i="70"/>
  <c r="ED29" i="70"/>
  <c r="EC29" i="70"/>
  <c r="DV29" i="70"/>
  <c r="DU29" i="70"/>
  <c r="DT29" i="70"/>
  <c r="DS29" i="70"/>
  <c r="DR29" i="70"/>
  <c r="DQ29" i="70"/>
  <c r="DP29" i="70"/>
  <c r="GC28" i="70"/>
  <c r="GB28" i="70"/>
  <c r="GA28" i="70"/>
  <c r="FZ28" i="70"/>
  <c r="FY28" i="70"/>
  <c r="FX28" i="70"/>
  <c r="FW28" i="70"/>
  <c r="FV28" i="70"/>
  <c r="FT28" i="70"/>
  <c r="FS28" i="70"/>
  <c r="FQ28" i="70"/>
  <c r="FO28" i="70"/>
  <c r="FN28" i="70"/>
  <c r="FM28" i="70"/>
  <c r="FK28" i="70"/>
  <c r="FI28" i="70"/>
  <c r="FH28" i="70"/>
  <c r="FG28" i="70"/>
  <c r="FF28" i="70"/>
  <c r="FE28" i="70"/>
  <c r="FD28" i="70"/>
  <c r="FC28" i="70"/>
  <c r="FB28" i="70"/>
  <c r="FA28" i="70"/>
  <c r="EZ28" i="70"/>
  <c r="EY28" i="70"/>
  <c r="EX28" i="70"/>
  <c r="EW28" i="70"/>
  <c r="EV28" i="70"/>
  <c r="EU28" i="70"/>
  <c r="ET28" i="70"/>
  <c r="ES28" i="70"/>
  <c r="ER28" i="70"/>
  <c r="EQ28" i="70"/>
  <c r="EP28" i="70"/>
  <c r="EO28" i="70"/>
  <c r="EN28" i="70"/>
  <c r="EM28" i="70"/>
  <c r="EL28" i="70"/>
  <c r="EK28" i="70"/>
  <c r="EJ28" i="70"/>
  <c r="EI28" i="70"/>
  <c r="EH28" i="70"/>
  <c r="EG28" i="70"/>
  <c r="EF28" i="70"/>
  <c r="EE28" i="70"/>
  <c r="ED28" i="70"/>
  <c r="EC28" i="70"/>
  <c r="DV28" i="70"/>
  <c r="DU28" i="70"/>
  <c r="DT28" i="70"/>
  <c r="DS28" i="70"/>
  <c r="DR28" i="70"/>
  <c r="DQ28" i="70"/>
  <c r="DP28" i="70"/>
  <c r="GC27" i="70"/>
  <c r="GB27" i="70"/>
  <c r="GA27" i="70"/>
  <c r="FZ27" i="70"/>
  <c r="FY27" i="70"/>
  <c r="FX27" i="70"/>
  <c r="FW27" i="70"/>
  <c r="FV27" i="70"/>
  <c r="FT27" i="70"/>
  <c r="FS27" i="70"/>
  <c r="FQ27" i="70"/>
  <c r="FO27" i="70"/>
  <c r="FN27" i="70"/>
  <c r="FM27" i="70"/>
  <c r="FK27" i="70"/>
  <c r="FI27" i="70"/>
  <c r="FH27" i="70"/>
  <c r="FG27" i="70"/>
  <c r="FF27" i="70"/>
  <c r="FE27" i="70"/>
  <c r="FD27" i="70"/>
  <c r="FC27" i="70"/>
  <c r="FB27" i="70"/>
  <c r="FA27" i="70"/>
  <c r="EZ27" i="70"/>
  <c r="EY27" i="70"/>
  <c r="EX27" i="70"/>
  <c r="EW27" i="70"/>
  <c r="EV27" i="70"/>
  <c r="EU27" i="70"/>
  <c r="ET27" i="70"/>
  <c r="ES27" i="70"/>
  <c r="ER27" i="70"/>
  <c r="EQ27" i="70"/>
  <c r="EP27" i="70"/>
  <c r="EO27" i="70"/>
  <c r="EN27" i="70"/>
  <c r="EM27" i="70"/>
  <c r="EL27" i="70"/>
  <c r="EK27" i="70"/>
  <c r="EJ27" i="70"/>
  <c r="EI27" i="70"/>
  <c r="EH27" i="70"/>
  <c r="EG27" i="70"/>
  <c r="EF27" i="70"/>
  <c r="EE27" i="70"/>
  <c r="ED27" i="70"/>
  <c r="EC27" i="70"/>
  <c r="DV27" i="70"/>
  <c r="DU27" i="70"/>
  <c r="DT27" i="70"/>
  <c r="DS27" i="70"/>
  <c r="DR27" i="70"/>
  <c r="DQ27" i="70"/>
  <c r="DP27" i="70"/>
  <c r="GC26" i="70"/>
  <c r="GB26" i="70"/>
  <c r="GA26" i="70"/>
  <c r="FZ26" i="70"/>
  <c r="FY26" i="70"/>
  <c r="FX26" i="70"/>
  <c r="FW26" i="70"/>
  <c r="FV26" i="70"/>
  <c r="FT26" i="70"/>
  <c r="FS26" i="70"/>
  <c r="FQ26" i="70"/>
  <c r="FO26" i="70"/>
  <c r="FN26" i="70"/>
  <c r="FM26" i="70"/>
  <c r="FK26" i="70"/>
  <c r="FI26" i="70"/>
  <c r="FH26" i="70"/>
  <c r="FG26" i="70"/>
  <c r="FF26" i="70"/>
  <c r="FE26" i="70"/>
  <c r="FD26" i="70"/>
  <c r="FC26" i="70"/>
  <c r="FB26" i="70"/>
  <c r="FA26" i="70"/>
  <c r="EZ26" i="70"/>
  <c r="EY26" i="70"/>
  <c r="EX26" i="70"/>
  <c r="EW26" i="70"/>
  <c r="EV26" i="70"/>
  <c r="EU26" i="70"/>
  <c r="ET26" i="70"/>
  <c r="ES26" i="70"/>
  <c r="ER26" i="70"/>
  <c r="EQ26" i="70"/>
  <c r="EP26" i="70"/>
  <c r="EO26" i="70"/>
  <c r="EN26" i="70"/>
  <c r="EM26" i="70"/>
  <c r="EL26" i="70"/>
  <c r="EK26" i="70"/>
  <c r="EJ26" i="70"/>
  <c r="EI26" i="70"/>
  <c r="EH26" i="70"/>
  <c r="EG26" i="70"/>
  <c r="EF26" i="70"/>
  <c r="EE26" i="70"/>
  <c r="ED26" i="70"/>
  <c r="EC26" i="70"/>
  <c r="DV26" i="70"/>
  <c r="DU26" i="70"/>
  <c r="DT26" i="70"/>
  <c r="DS26" i="70"/>
  <c r="DR26" i="70"/>
  <c r="DQ26" i="70"/>
  <c r="DP26" i="70"/>
  <c r="GC25" i="70"/>
  <c r="GB25" i="70"/>
  <c r="GA25" i="70"/>
  <c r="FZ25" i="70"/>
  <c r="FY25" i="70"/>
  <c r="FX25" i="70"/>
  <c r="FW25" i="70"/>
  <c r="FV25" i="70"/>
  <c r="FT25" i="70"/>
  <c r="FS25" i="70"/>
  <c r="FQ25" i="70"/>
  <c r="FO25" i="70"/>
  <c r="FN25" i="70"/>
  <c r="FM25" i="70"/>
  <c r="FK25" i="70"/>
  <c r="FI25" i="70"/>
  <c r="FH25" i="70"/>
  <c r="FG25" i="70"/>
  <c r="FF25" i="70"/>
  <c r="FE25" i="70"/>
  <c r="FD25" i="70"/>
  <c r="FC25" i="70"/>
  <c r="FB25" i="70"/>
  <c r="FA25" i="70"/>
  <c r="EZ25" i="70"/>
  <c r="EY25" i="70"/>
  <c r="EX25" i="70"/>
  <c r="EW25" i="70"/>
  <c r="EV25" i="70"/>
  <c r="EU25" i="70"/>
  <c r="ET25" i="70"/>
  <c r="ES25" i="70"/>
  <c r="ER25" i="70"/>
  <c r="EQ25" i="70"/>
  <c r="EP25" i="70"/>
  <c r="EO25" i="70"/>
  <c r="EN25" i="70"/>
  <c r="EM25" i="70"/>
  <c r="EL25" i="70"/>
  <c r="EK25" i="70"/>
  <c r="EJ25" i="70"/>
  <c r="EI25" i="70"/>
  <c r="EH25" i="70"/>
  <c r="EG25" i="70"/>
  <c r="EF25" i="70"/>
  <c r="EE25" i="70"/>
  <c r="ED25" i="70"/>
  <c r="EC25" i="70"/>
  <c r="DV25" i="70"/>
  <c r="DU25" i="70"/>
  <c r="DT25" i="70"/>
  <c r="DS25" i="70"/>
  <c r="DR25" i="70"/>
  <c r="DQ25" i="70"/>
  <c r="DP25" i="70"/>
  <c r="GC24" i="70"/>
  <c r="GB24" i="70"/>
  <c r="GA24" i="70"/>
  <c r="FZ24" i="70"/>
  <c r="FY24" i="70"/>
  <c r="FX24" i="70"/>
  <c r="FW24" i="70"/>
  <c r="FV24" i="70"/>
  <c r="FT24" i="70"/>
  <c r="FS24" i="70"/>
  <c r="FQ24" i="70"/>
  <c r="FO24" i="70"/>
  <c r="FN24" i="70"/>
  <c r="FM24" i="70"/>
  <c r="FK24" i="70"/>
  <c r="FI24" i="70"/>
  <c r="FH24" i="70"/>
  <c r="FG24" i="70"/>
  <c r="FF24" i="70"/>
  <c r="FE24" i="70"/>
  <c r="FD24" i="70"/>
  <c r="FC24" i="70"/>
  <c r="FB24" i="70"/>
  <c r="FA24" i="70"/>
  <c r="EZ24" i="70"/>
  <c r="EY24" i="70"/>
  <c r="EX24" i="70"/>
  <c r="EW24" i="70"/>
  <c r="EV24" i="70"/>
  <c r="EU24" i="70"/>
  <c r="ET24" i="70"/>
  <c r="ES24" i="70"/>
  <c r="ER24" i="70"/>
  <c r="EQ24" i="70"/>
  <c r="EP24" i="70"/>
  <c r="EO24" i="70"/>
  <c r="EN24" i="70"/>
  <c r="EM24" i="70"/>
  <c r="EL24" i="70"/>
  <c r="EK24" i="70"/>
  <c r="EJ24" i="70"/>
  <c r="EI24" i="70"/>
  <c r="EH24" i="70"/>
  <c r="EG24" i="70"/>
  <c r="EF24" i="70"/>
  <c r="EE24" i="70"/>
  <c r="ED24" i="70"/>
  <c r="EC24" i="70"/>
  <c r="DV24" i="70"/>
  <c r="DU24" i="70"/>
  <c r="DT24" i="70"/>
  <c r="DS24" i="70"/>
  <c r="DR24" i="70"/>
  <c r="DQ24" i="70"/>
  <c r="DP24" i="70"/>
  <c r="GC23" i="70"/>
  <c r="GB23" i="70"/>
  <c r="GA23" i="70"/>
  <c r="FZ23" i="70"/>
  <c r="FY23" i="70"/>
  <c r="FX23" i="70"/>
  <c r="FW23" i="70"/>
  <c r="FV23" i="70"/>
  <c r="FT23" i="70"/>
  <c r="FS23" i="70"/>
  <c r="FQ23" i="70"/>
  <c r="FO23" i="70"/>
  <c r="FN23" i="70"/>
  <c r="FM23" i="70"/>
  <c r="FK23" i="70"/>
  <c r="FI23" i="70"/>
  <c r="FH23" i="70"/>
  <c r="FG23" i="70"/>
  <c r="FF23" i="70"/>
  <c r="FE23" i="70"/>
  <c r="FD23" i="70"/>
  <c r="FC23" i="70"/>
  <c r="FB23" i="70"/>
  <c r="FA23" i="70"/>
  <c r="EZ23" i="70"/>
  <c r="EY23" i="70"/>
  <c r="EX23" i="70"/>
  <c r="EW23" i="70"/>
  <c r="EV23" i="70"/>
  <c r="EU23" i="70"/>
  <c r="ET23" i="70"/>
  <c r="ES23" i="70"/>
  <c r="ER23" i="70"/>
  <c r="EQ23" i="70"/>
  <c r="EP23" i="70"/>
  <c r="EO23" i="70"/>
  <c r="EN23" i="70"/>
  <c r="EM23" i="70"/>
  <c r="EL23" i="70"/>
  <c r="EK23" i="70"/>
  <c r="EJ23" i="70"/>
  <c r="EI23" i="70"/>
  <c r="EH23" i="70"/>
  <c r="EG23" i="70"/>
  <c r="EF23" i="70"/>
  <c r="EE23" i="70"/>
  <c r="ED23" i="70"/>
  <c r="EC23" i="70"/>
  <c r="DV23" i="70"/>
  <c r="DU23" i="70"/>
  <c r="DT23" i="70"/>
  <c r="DS23" i="70"/>
  <c r="DR23" i="70"/>
  <c r="DQ23" i="70"/>
  <c r="DP23" i="70"/>
  <c r="GC22" i="70"/>
  <c r="GB22" i="70"/>
  <c r="GA22" i="70"/>
  <c r="FZ22" i="70"/>
  <c r="FY22" i="70"/>
  <c r="FX22" i="70"/>
  <c r="FW22" i="70"/>
  <c r="FV22" i="70"/>
  <c r="FT22" i="70"/>
  <c r="FS22" i="70"/>
  <c r="FQ22" i="70"/>
  <c r="FO22" i="70"/>
  <c r="FN22" i="70"/>
  <c r="FM22" i="70"/>
  <c r="FK22" i="70"/>
  <c r="FI22" i="70"/>
  <c r="FH22" i="70"/>
  <c r="FG22" i="70"/>
  <c r="FF22" i="70"/>
  <c r="FE22" i="70"/>
  <c r="FD22" i="70"/>
  <c r="FC22" i="70"/>
  <c r="FB22" i="70"/>
  <c r="FA22" i="70"/>
  <c r="EZ22" i="70"/>
  <c r="EY22" i="70"/>
  <c r="EX22" i="70"/>
  <c r="EW22" i="70"/>
  <c r="EV22" i="70"/>
  <c r="EU22" i="70"/>
  <c r="ET22" i="70"/>
  <c r="ES22" i="70"/>
  <c r="ER22" i="70"/>
  <c r="EQ22" i="70"/>
  <c r="EP22" i="70"/>
  <c r="EO22" i="70"/>
  <c r="EN22" i="70"/>
  <c r="EM22" i="70"/>
  <c r="EL22" i="70"/>
  <c r="EK22" i="70"/>
  <c r="EJ22" i="70"/>
  <c r="EI22" i="70"/>
  <c r="EH22" i="70"/>
  <c r="EG22" i="70"/>
  <c r="EF22" i="70"/>
  <c r="EE22" i="70"/>
  <c r="ED22" i="70"/>
  <c r="EC22" i="70"/>
  <c r="DV22" i="70"/>
  <c r="DU22" i="70"/>
  <c r="DT22" i="70"/>
  <c r="DS22" i="70"/>
  <c r="DR22" i="70"/>
  <c r="DQ22" i="70"/>
  <c r="DP22" i="70"/>
  <c r="GC21" i="70"/>
  <c r="GB21" i="70"/>
  <c r="GA21" i="70"/>
  <c r="FZ21" i="70"/>
  <c r="FY21" i="70"/>
  <c r="FX21" i="70"/>
  <c r="FW21" i="70"/>
  <c r="FV21" i="70"/>
  <c r="FT21" i="70"/>
  <c r="FS21" i="70"/>
  <c r="FQ21" i="70"/>
  <c r="FO21" i="70"/>
  <c r="FN21" i="70"/>
  <c r="FM21" i="70"/>
  <c r="FK21" i="70"/>
  <c r="FI21" i="70"/>
  <c r="FH21" i="70"/>
  <c r="FG21" i="70"/>
  <c r="FF21" i="70"/>
  <c r="FE21" i="70"/>
  <c r="FD21" i="70"/>
  <c r="FC21" i="70"/>
  <c r="FB21" i="70"/>
  <c r="FA21" i="70"/>
  <c r="EZ21" i="70"/>
  <c r="EY21" i="70"/>
  <c r="EX21" i="70"/>
  <c r="EW21" i="70"/>
  <c r="EV21" i="70"/>
  <c r="EU21" i="70"/>
  <c r="ET21" i="70"/>
  <c r="ES21" i="70"/>
  <c r="ER21" i="70"/>
  <c r="EQ21" i="70"/>
  <c r="EP21" i="70"/>
  <c r="EO21" i="70"/>
  <c r="EN21" i="70"/>
  <c r="EM21" i="70"/>
  <c r="EL21" i="70"/>
  <c r="EK21" i="70"/>
  <c r="EJ21" i="70"/>
  <c r="EI21" i="70"/>
  <c r="EH21" i="70"/>
  <c r="EG21" i="70"/>
  <c r="EF21" i="70"/>
  <c r="EE21" i="70"/>
  <c r="ED21" i="70"/>
  <c r="EC21" i="70"/>
  <c r="DV21" i="70"/>
  <c r="DU21" i="70"/>
  <c r="DT21" i="70"/>
  <c r="DS21" i="70"/>
  <c r="DR21" i="70"/>
  <c r="DQ21" i="70"/>
  <c r="DP21" i="70"/>
  <c r="GC20" i="70"/>
  <c r="GB20" i="70"/>
  <c r="GA20" i="70"/>
  <c r="FZ20" i="70"/>
  <c r="FY20" i="70"/>
  <c r="FX20" i="70"/>
  <c r="FW20" i="70"/>
  <c r="FV20" i="70"/>
  <c r="FT20" i="70"/>
  <c r="FS20" i="70"/>
  <c r="FQ20" i="70"/>
  <c r="FO20" i="70"/>
  <c r="FN20" i="70"/>
  <c r="FM20" i="70"/>
  <c r="FK20" i="70"/>
  <c r="FI20" i="70"/>
  <c r="FH20" i="70"/>
  <c r="FG20" i="70"/>
  <c r="FF20" i="70"/>
  <c r="FE20" i="70"/>
  <c r="FD20" i="70"/>
  <c r="FC20" i="70"/>
  <c r="FB20" i="70"/>
  <c r="FA20" i="70"/>
  <c r="EZ20" i="70"/>
  <c r="EY20" i="70"/>
  <c r="EX20" i="70"/>
  <c r="EW20" i="70"/>
  <c r="EV20" i="70"/>
  <c r="EU20" i="70"/>
  <c r="ET20" i="70"/>
  <c r="ES20" i="70"/>
  <c r="ER20" i="70"/>
  <c r="EQ20" i="70"/>
  <c r="EP20" i="70"/>
  <c r="EO20" i="70"/>
  <c r="EN20" i="70"/>
  <c r="EM20" i="70"/>
  <c r="EL20" i="70"/>
  <c r="EK20" i="70"/>
  <c r="EJ20" i="70"/>
  <c r="EI20" i="70"/>
  <c r="EH20" i="70"/>
  <c r="EG20" i="70"/>
  <c r="EF20" i="70"/>
  <c r="EE20" i="70"/>
  <c r="ED20" i="70"/>
  <c r="EC20" i="70"/>
  <c r="DV20" i="70"/>
  <c r="DU20" i="70"/>
  <c r="DT20" i="70"/>
  <c r="DS20" i="70"/>
  <c r="DR20" i="70"/>
  <c r="DQ20" i="70"/>
  <c r="DP20" i="70"/>
  <c r="GC19" i="70"/>
  <c r="GB19" i="70"/>
  <c r="GA19" i="70"/>
  <c r="FZ19" i="70"/>
  <c r="FY19" i="70"/>
  <c r="FX19" i="70"/>
  <c r="FW19" i="70"/>
  <c r="FV19" i="70"/>
  <c r="FT19" i="70"/>
  <c r="FS19" i="70"/>
  <c r="FQ19" i="70"/>
  <c r="FO19" i="70"/>
  <c r="FN19" i="70"/>
  <c r="FM19" i="70"/>
  <c r="FK19" i="70"/>
  <c r="FI19" i="70"/>
  <c r="FH19" i="70"/>
  <c r="FG19" i="70"/>
  <c r="FF19" i="70"/>
  <c r="FE19" i="70"/>
  <c r="FD19" i="70"/>
  <c r="FC19" i="70"/>
  <c r="FB19" i="70"/>
  <c r="FA19" i="70"/>
  <c r="EZ19" i="70"/>
  <c r="EY19" i="70"/>
  <c r="EX19" i="70"/>
  <c r="EW19" i="70"/>
  <c r="EV19" i="70"/>
  <c r="EU19" i="70"/>
  <c r="ET19" i="70"/>
  <c r="ES19" i="70"/>
  <c r="ER19" i="70"/>
  <c r="EQ19" i="70"/>
  <c r="EP19" i="70"/>
  <c r="EO19" i="70"/>
  <c r="EN19" i="70"/>
  <c r="EM19" i="70"/>
  <c r="EL19" i="70"/>
  <c r="EK19" i="70"/>
  <c r="EJ19" i="70"/>
  <c r="EI19" i="70"/>
  <c r="EH19" i="70"/>
  <c r="EG19" i="70"/>
  <c r="EF19" i="70"/>
  <c r="EE19" i="70"/>
  <c r="ED19" i="70"/>
  <c r="EC19" i="70"/>
  <c r="DV19" i="70"/>
  <c r="DU19" i="70"/>
  <c r="DT19" i="70"/>
  <c r="DS19" i="70"/>
  <c r="DR19" i="70"/>
  <c r="DQ19" i="70"/>
  <c r="DP19" i="70"/>
  <c r="GC18" i="70"/>
  <c r="GB18" i="70"/>
  <c r="GA18" i="70"/>
  <c r="FZ18" i="70"/>
  <c r="FY18" i="70"/>
  <c r="FX18" i="70"/>
  <c r="FW18" i="70"/>
  <c r="FV18" i="70"/>
  <c r="FT18" i="70"/>
  <c r="FS18" i="70"/>
  <c r="FQ18" i="70"/>
  <c r="FO18" i="70"/>
  <c r="FN18" i="70"/>
  <c r="FM18" i="70"/>
  <c r="FK18" i="70"/>
  <c r="FI18" i="70"/>
  <c r="FH18" i="70"/>
  <c r="FG18" i="70"/>
  <c r="FF18" i="70"/>
  <c r="FE18" i="70"/>
  <c r="FD18" i="70"/>
  <c r="FC18" i="70"/>
  <c r="FB18" i="70"/>
  <c r="FA18" i="70"/>
  <c r="EZ18" i="70"/>
  <c r="EY18" i="70"/>
  <c r="EX18" i="70"/>
  <c r="EW18" i="70"/>
  <c r="EV18" i="70"/>
  <c r="EU18" i="70"/>
  <c r="ET18" i="70"/>
  <c r="ES18" i="70"/>
  <c r="ER18" i="70"/>
  <c r="EQ18" i="70"/>
  <c r="EP18" i="70"/>
  <c r="EO18" i="70"/>
  <c r="EN18" i="70"/>
  <c r="EM18" i="70"/>
  <c r="EL18" i="70"/>
  <c r="EK18" i="70"/>
  <c r="EJ18" i="70"/>
  <c r="EI18" i="70"/>
  <c r="EH18" i="70"/>
  <c r="EG18" i="70"/>
  <c r="EF18" i="70"/>
  <c r="EE18" i="70"/>
  <c r="ED18" i="70"/>
  <c r="EC18" i="70"/>
  <c r="DV18" i="70"/>
  <c r="DU18" i="70"/>
  <c r="DT18" i="70"/>
  <c r="DS18" i="70"/>
  <c r="DR18" i="70"/>
  <c r="DQ18" i="70"/>
  <c r="DP18" i="70"/>
  <c r="GC17" i="70"/>
  <c r="GB17" i="70"/>
  <c r="GA17" i="70"/>
  <c r="FZ17" i="70"/>
  <c r="FY17" i="70"/>
  <c r="FX17" i="70"/>
  <c r="FW17" i="70"/>
  <c r="FV17" i="70"/>
  <c r="FT17" i="70"/>
  <c r="FS17" i="70"/>
  <c r="FQ17" i="70"/>
  <c r="FO17" i="70"/>
  <c r="FN17" i="70"/>
  <c r="FM17" i="70"/>
  <c r="FK17" i="70"/>
  <c r="FI17" i="70"/>
  <c r="FH17" i="70"/>
  <c r="FG17" i="70"/>
  <c r="FF17" i="70"/>
  <c r="FE17" i="70"/>
  <c r="FD17" i="70"/>
  <c r="FC17" i="70"/>
  <c r="FB17" i="70"/>
  <c r="FA17" i="70"/>
  <c r="EZ17" i="70"/>
  <c r="EY17" i="70"/>
  <c r="EX17" i="70"/>
  <c r="EW17" i="70"/>
  <c r="EV17" i="70"/>
  <c r="EU17" i="70"/>
  <c r="ET17" i="70"/>
  <c r="ES17" i="70"/>
  <c r="ER17" i="70"/>
  <c r="EQ17" i="70"/>
  <c r="EP17" i="70"/>
  <c r="EO17" i="70"/>
  <c r="EN17" i="70"/>
  <c r="EM17" i="70"/>
  <c r="EL17" i="70"/>
  <c r="EK17" i="70"/>
  <c r="EJ17" i="70"/>
  <c r="EI17" i="70"/>
  <c r="EH17" i="70"/>
  <c r="EG17" i="70"/>
  <c r="EF17" i="70"/>
  <c r="EE17" i="70"/>
  <c r="ED17" i="70"/>
  <c r="EC17" i="70"/>
  <c r="DV17" i="70"/>
  <c r="DU17" i="70"/>
  <c r="DT17" i="70"/>
  <c r="DS17" i="70"/>
  <c r="DR17" i="70"/>
  <c r="DQ17" i="70"/>
  <c r="DP17" i="70"/>
  <c r="GC16" i="70"/>
  <c r="GB16" i="70"/>
  <c r="GA16" i="70"/>
  <c r="FZ16" i="70"/>
  <c r="FY16" i="70"/>
  <c r="FX16" i="70"/>
  <c r="FW16" i="70"/>
  <c r="FV16" i="70"/>
  <c r="FT16" i="70"/>
  <c r="FS16" i="70"/>
  <c r="FQ16" i="70"/>
  <c r="FO16" i="70"/>
  <c r="FN16" i="70"/>
  <c r="FM16" i="70"/>
  <c r="FK16" i="70"/>
  <c r="FI16" i="70"/>
  <c r="FH16" i="70"/>
  <c r="FG16" i="70"/>
  <c r="FF16" i="70"/>
  <c r="FE16" i="70"/>
  <c r="FD16" i="70"/>
  <c r="FC16" i="70"/>
  <c r="FB16" i="70"/>
  <c r="FA16" i="70"/>
  <c r="EZ16" i="70"/>
  <c r="EY16" i="70"/>
  <c r="EX16" i="70"/>
  <c r="EW16" i="70"/>
  <c r="EV16" i="70"/>
  <c r="EU16" i="70"/>
  <c r="ET16" i="70"/>
  <c r="ES16" i="70"/>
  <c r="ER16" i="70"/>
  <c r="EQ16" i="70"/>
  <c r="EP16" i="70"/>
  <c r="EO16" i="70"/>
  <c r="EN16" i="70"/>
  <c r="EM16" i="70"/>
  <c r="EL16" i="70"/>
  <c r="EK16" i="70"/>
  <c r="EJ16" i="70"/>
  <c r="EI16" i="70"/>
  <c r="EH16" i="70"/>
  <c r="EG16" i="70"/>
  <c r="EF16" i="70"/>
  <c r="EE16" i="70"/>
  <c r="ED16" i="70"/>
  <c r="EC16" i="70"/>
  <c r="DV16" i="70"/>
  <c r="DU16" i="70"/>
  <c r="DT16" i="70"/>
  <c r="DS16" i="70"/>
  <c r="DR16" i="70"/>
  <c r="DQ16" i="70"/>
  <c r="DP16" i="70"/>
  <c r="GC15" i="70"/>
  <c r="GB15" i="70"/>
  <c r="GA15" i="70"/>
  <c r="FZ15" i="70"/>
  <c r="FY15" i="70"/>
  <c r="FX15" i="70"/>
  <c r="FW15" i="70"/>
  <c r="FV15" i="70"/>
  <c r="FT15" i="70"/>
  <c r="FS15" i="70"/>
  <c r="FQ15" i="70"/>
  <c r="FO15" i="70"/>
  <c r="FN15" i="70"/>
  <c r="FM15" i="70"/>
  <c r="FK15" i="70"/>
  <c r="FI15" i="70"/>
  <c r="FH15" i="70"/>
  <c r="FG15" i="70"/>
  <c r="FF15" i="70"/>
  <c r="FE15" i="70"/>
  <c r="FD15" i="70"/>
  <c r="FC15" i="70"/>
  <c r="FB15" i="70"/>
  <c r="FA15" i="70"/>
  <c r="EZ15" i="70"/>
  <c r="EY15" i="70"/>
  <c r="EX15" i="70"/>
  <c r="EW15" i="70"/>
  <c r="EV15" i="70"/>
  <c r="EU15" i="70"/>
  <c r="ET15" i="70"/>
  <c r="ES15" i="70"/>
  <c r="ER15" i="70"/>
  <c r="EQ15" i="70"/>
  <c r="EP15" i="70"/>
  <c r="EO15" i="70"/>
  <c r="EN15" i="70"/>
  <c r="EM15" i="70"/>
  <c r="EL15" i="70"/>
  <c r="EK15" i="70"/>
  <c r="EJ15" i="70"/>
  <c r="EI15" i="70"/>
  <c r="EH15" i="70"/>
  <c r="EG15" i="70"/>
  <c r="EF15" i="70"/>
  <c r="EE15" i="70"/>
  <c r="ED15" i="70"/>
  <c r="EC15" i="70"/>
  <c r="DV15" i="70"/>
  <c r="DU15" i="70"/>
  <c r="DT15" i="70"/>
  <c r="DS15" i="70"/>
  <c r="DR15" i="70"/>
  <c r="DQ15" i="70"/>
  <c r="DP15" i="70"/>
  <c r="GC14" i="70"/>
  <c r="GB14" i="70"/>
  <c r="GA14" i="70"/>
  <c r="FZ14" i="70"/>
  <c r="FY14" i="70"/>
  <c r="FX14" i="70"/>
  <c r="FW14" i="70"/>
  <c r="FV14" i="70"/>
  <c r="FT14" i="70"/>
  <c r="FS14" i="70"/>
  <c r="FQ14" i="70"/>
  <c r="FO14" i="70"/>
  <c r="FN14" i="70"/>
  <c r="FM14" i="70"/>
  <c r="FK14" i="70"/>
  <c r="FI14" i="70"/>
  <c r="FH14" i="70"/>
  <c r="FG14" i="70"/>
  <c r="FF14" i="70"/>
  <c r="FE14" i="70"/>
  <c r="FD14" i="70"/>
  <c r="FC14" i="70"/>
  <c r="FB14" i="70"/>
  <c r="FA14" i="70"/>
  <c r="EZ14" i="70"/>
  <c r="EY14" i="70"/>
  <c r="EX14" i="70"/>
  <c r="EW14" i="70"/>
  <c r="EV14" i="70"/>
  <c r="EU14" i="70"/>
  <c r="ET14" i="70"/>
  <c r="ES14" i="70"/>
  <c r="ER14" i="70"/>
  <c r="EQ14" i="70"/>
  <c r="EP14" i="70"/>
  <c r="EO14" i="70"/>
  <c r="EN14" i="70"/>
  <c r="EM14" i="70"/>
  <c r="EL14" i="70"/>
  <c r="EK14" i="70"/>
  <c r="EJ14" i="70"/>
  <c r="EI14" i="70"/>
  <c r="EH14" i="70"/>
  <c r="EG14" i="70"/>
  <c r="EF14" i="70"/>
  <c r="EE14" i="70"/>
  <c r="ED14" i="70"/>
  <c r="EC14" i="70"/>
  <c r="DV14" i="70"/>
  <c r="DU14" i="70"/>
  <c r="DT14" i="70"/>
  <c r="DS14" i="70"/>
  <c r="DR14" i="70"/>
  <c r="DQ14" i="70"/>
  <c r="DP14" i="70"/>
  <c r="GC13" i="70"/>
  <c r="GB13" i="70"/>
  <c r="GA13" i="70"/>
  <c r="FZ13" i="70"/>
  <c r="FY13" i="70"/>
  <c r="FX13" i="70"/>
  <c r="FW13" i="70"/>
  <c r="FV13" i="70"/>
  <c r="FT13" i="70"/>
  <c r="FS13" i="70"/>
  <c r="FQ13" i="70"/>
  <c r="FO13" i="70"/>
  <c r="FN13" i="70"/>
  <c r="FM13" i="70"/>
  <c r="FK13" i="70"/>
  <c r="FI13" i="70"/>
  <c r="FH13" i="70"/>
  <c r="FG13" i="70"/>
  <c r="FF13" i="70"/>
  <c r="FE13" i="70"/>
  <c r="FD13" i="70"/>
  <c r="FC13" i="70"/>
  <c r="FB13" i="70"/>
  <c r="FA13" i="70"/>
  <c r="EZ13" i="70"/>
  <c r="EY13" i="70"/>
  <c r="EX13" i="70"/>
  <c r="EW13" i="70"/>
  <c r="EV13" i="70"/>
  <c r="EU13" i="70"/>
  <c r="ET13" i="70"/>
  <c r="ES13" i="70"/>
  <c r="ER13" i="70"/>
  <c r="EQ13" i="70"/>
  <c r="EP13" i="70"/>
  <c r="EO13" i="70"/>
  <c r="EN13" i="70"/>
  <c r="EM13" i="70"/>
  <c r="EL13" i="70"/>
  <c r="EK13" i="70"/>
  <c r="EJ13" i="70"/>
  <c r="EI13" i="70"/>
  <c r="EH13" i="70"/>
  <c r="EG13" i="70"/>
  <c r="EF13" i="70"/>
  <c r="EE13" i="70"/>
  <c r="ED13" i="70"/>
  <c r="EC13" i="70"/>
  <c r="DV13" i="70"/>
  <c r="DU13" i="70"/>
  <c r="DT13" i="70"/>
  <c r="DS13" i="70"/>
  <c r="DR13" i="70"/>
  <c r="DQ13" i="70"/>
  <c r="DP13" i="70"/>
  <c r="GC12" i="70"/>
  <c r="GB12" i="70"/>
  <c r="GA12" i="70"/>
  <c r="FZ12" i="70"/>
  <c r="FY12" i="70"/>
  <c r="FX12" i="70"/>
  <c r="FW12" i="70"/>
  <c r="FV12" i="70"/>
  <c r="FT12" i="70"/>
  <c r="FS12" i="70"/>
  <c r="FQ12" i="70"/>
  <c r="FO12" i="70"/>
  <c r="FN12" i="70"/>
  <c r="FM12" i="70"/>
  <c r="FK12" i="70"/>
  <c r="FI12" i="70"/>
  <c r="FH12" i="70"/>
  <c r="FG12" i="70"/>
  <c r="FF12" i="70"/>
  <c r="FE12" i="70"/>
  <c r="FD12" i="70"/>
  <c r="FC12" i="70"/>
  <c r="FB12" i="70"/>
  <c r="FA12" i="70"/>
  <c r="EZ12" i="70"/>
  <c r="EY12" i="70"/>
  <c r="EX12" i="70"/>
  <c r="EW12" i="70"/>
  <c r="EV12" i="70"/>
  <c r="EU12" i="70"/>
  <c r="ET12" i="70"/>
  <c r="ES12" i="70"/>
  <c r="ER12" i="70"/>
  <c r="EQ12" i="70"/>
  <c r="EP12" i="70"/>
  <c r="EO12" i="70"/>
  <c r="EN12" i="70"/>
  <c r="EM12" i="70"/>
  <c r="EL12" i="70"/>
  <c r="EK12" i="70"/>
  <c r="EJ12" i="70"/>
  <c r="EI12" i="70"/>
  <c r="EH12" i="70"/>
  <c r="EG12" i="70"/>
  <c r="EF12" i="70"/>
  <c r="EE12" i="70"/>
  <c r="ED12" i="70"/>
  <c r="EC12" i="70"/>
  <c r="DV12" i="70"/>
  <c r="DU12" i="70"/>
  <c r="DT12" i="70"/>
  <c r="DS12" i="70"/>
  <c r="DR12" i="70"/>
  <c r="DQ12" i="70"/>
  <c r="DP12" i="70"/>
  <c r="GC11" i="70"/>
  <c r="GB11" i="70"/>
  <c r="GA11" i="70"/>
  <c r="FZ11" i="70"/>
  <c r="FY11" i="70"/>
  <c r="FX11" i="70"/>
  <c r="FW11" i="70"/>
  <c r="FV11" i="70"/>
  <c r="FT11" i="70"/>
  <c r="FS11" i="70"/>
  <c r="FQ11" i="70"/>
  <c r="FO11" i="70"/>
  <c r="FN11" i="70"/>
  <c r="FM11" i="70"/>
  <c r="FK11" i="70"/>
  <c r="FI11" i="70"/>
  <c r="FH11" i="70"/>
  <c r="FG11" i="70"/>
  <c r="FF11" i="70"/>
  <c r="FE11" i="70"/>
  <c r="FD11" i="70"/>
  <c r="FC11" i="70"/>
  <c r="FB11" i="70"/>
  <c r="FA11" i="70"/>
  <c r="EZ11" i="70"/>
  <c r="EY11" i="70"/>
  <c r="EX11" i="70"/>
  <c r="EW11" i="70"/>
  <c r="EV11" i="70"/>
  <c r="EU11" i="70"/>
  <c r="ET11" i="70"/>
  <c r="ES11" i="70"/>
  <c r="ER11" i="70"/>
  <c r="EQ11" i="70"/>
  <c r="EP11" i="70"/>
  <c r="EO11" i="70"/>
  <c r="EN11" i="70"/>
  <c r="EM11" i="70"/>
  <c r="EL11" i="70"/>
  <c r="EK11" i="70"/>
  <c r="EJ11" i="70"/>
  <c r="EI11" i="70"/>
  <c r="EH11" i="70"/>
  <c r="EG11" i="70"/>
  <c r="EF11" i="70"/>
  <c r="EE11" i="70"/>
  <c r="ED11" i="70"/>
  <c r="EC11" i="70"/>
  <c r="DV11" i="70"/>
  <c r="DU11" i="70"/>
  <c r="DT11" i="70"/>
  <c r="DS11" i="70"/>
  <c r="DR11" i="70"/>
  <c r="DQ11" i="70"/>
  <c r="DP11" i="70"/>
  <c r="GC10" i="70"/>
  <c r="GB10" i="70"/>
  <c r="GA10" i="70"/>
  <c r="FZ10" i="70"/>
  <c r="FY10" i="70"/>
  <c r="FX10" i="70"/>
  <c r="FW10" i="70"/>
  <c r="FV10" i="70"/>
  <c r="FT10" i="70"/>
  <c r="FS10" i="70"/>
  <c r="FQ10" i="70"/>
  <c r="FO10" i="70"/>
  <c r="FN10" i="70"/>
  <c r="FM10" i="70"/>
  <c r="FK10" i="70"/>
  <c r="FI10" i="70"/>
  <c r="FH10" i="70"/>
  <c r="FG10" i="70"/>
  <c r="FF10" i="70"/>
  <c r="FE10" i="70"/>
  <c r="FD10" i="70"/>
  <c r="FC10" i="70"/>
  <c r="FB10" i="70"/>
  <c r="FA10" i="70"/>
  <c r="EZ10" i="70"/>
  <c r="EY10" i="70"/>
  <c r="EX10" i="70"/>
  <c r="EW10" i="70"/>
  <c r="EV10" i="70"/>
  <c r="EU10" i="70"/>
  <c r="ET10" i="70"/>
  <c r="ES10" i="70"/>
  <c r="ER10" i="70"/>
  <c r="EQ10" i="70"/>
  <c r="EP10" i="70"/>
  <c r="EO10" i="70"/>
  <c r="EN10" i="70"/>
  <c r="EM10" i="70"/>
  <c r="EL10" i="70"/>
  <c r="EK10" i="70"/>
  <c r="EJ10" i="70"/>
  <c r="EI10" i="70"/>
  <c r="EH10" i="70"/>
  <c r="EG10" i="70"/>
  <c r="EF10" i="70"/>
  <c r="EE10" i="70"/>
  <c r="ED10" i="70"/>
  <c r="EC10" i="70"/>
  <c r="DV10" i="70"/>
  <c r="DU10" i="70"/>
  <c r="DT10" i="70"/>
  <c r="DS10" i="70"/>
  <c r="DR10" i="70"/>
  <c r="DQ10" i="70"/>
  <c r="DP10" i="70"/>
  <c r="GC9" i="70"/>
  <c r="GB9" i="70"/>
  <c r="GA9" i="70"/>
  <c r="FZ9" i="70"/>
  <c r="FY9" i="70"/>
  <c r="FX9" i="70"/>
  <c r="FW9" i="70"/>
  <c r="FV9" i="70"/>
  <c r="FT9" i="70"/>
  <c r="FS9" i="70"/>
  <c r="FQ9" i="70"/>
  <c r="FO9" i="70"/>
  <c r="FN9" i="70"/>
  <c r="FM9" i="70"/>
  <c r="FL9" i="70"/>
  <c r="FK9" i="70"/>
  <c r="FJ9" i="70"/>
  <c r="FI9" i="70"/>
  <c r="FH9" i="70"/>
  <c r="FG9" i="70"/>
  <c r="FF9" i="70"/>
  <c r="FE9" i="70"/>
  <c r="FD9" i="70"/>
  <c r="FC9" i="70"/>
  <c r="FB9" i="70"/>
  <c r="FA9" i="70"/>
  <c r="EZ9" i="70"/>
  <c r="EY9" i="70"/>
  <c r="EX9" i="70"/>
  <c r="EW9" i="70"/>
  <c r="EV9" i="70"/>
  <c r="EU9" i="70"/>
  <c r="ET9" i="70"/>
  <c r="ES9" i="70"/>
  <c r="ER9" i="70"/>
  <c r="EQ9" i="70"/>
  <c r="EP9" i="70"/>
  <c r="EO9" i="70"/>
  <c r="EN9" i="70"/>
  <c r="EM9" i="70"/>
  <c r="EL9" i="70"/>
  <c r="EK9" i="70"/>
  <c r="EJ9" i="70"/>
  <c r="EI9" i="70"/>
  <c r="EH9" i="70"/>
  <c r="EG9" i="70"/>
  <c r="EF9" i="70"/>
  <c r="EE9" i="70"/>
  <c r="ED9" i="70"/>
  <c r="EC9" i="70"/>
  <c r="DV9" i="70"/>
  <c r="DU9" i="70"/>
  <c r="DT9" i="70"/>
  <c r="DS9" i="70"/>
  <c r="DR9" i="70"/>
  <c r="DQ9" i="70"/>
  <c r="DP9" i="70"/>
  <c r="FE7" i="70"/>
  <c r="EJ7" i="70"/>
  <c r="EH7" i="70"/>
  <c r="EB7" i="70"/>
  <c r="EA7" i="70"/>
  <c r="DZ7" i="70"/>
  <c r="DV7" i="70"/>
  <c r="DT7" i="70"/>
  <c r="EB40" i="63"/>
  <c r="EA40" i="63"/>
  <c r="DZ40" i="63"/>
  <c r="DY40" i="63"/>
  <c r="DX40" i="63"/>
  <c r="DW40" i="63"/>
  <c r="GC38" i="63"/>
  <c r="GB38" i="63"/>
  <c r="GA38" i="63"/>
  <c r="FZ38" i="63"/>
  <c r="FY38" i="63"/>
  <c r="FX38" i="63"/>
  <c r="FW38" i="63"/>
  <c r="FV38" i="63"/>
  <c r="FT38" i="63"/>
  <c r="FS38" i="63"/>
  <c r="FR38" i="63"/>
  <c r="FQ38" i="63"/>
  <c r="FP38" i="63"/>
  <c r="FO38" i="63"/>
  <c r="FN38" i="63"/>
  <c r="FM38" i="63"/>
  <c r="FK38" i="63"/>
  <c r="FI38" i="63"/>
  <c r="FD38" i="63"/>
  <c r="FC38" i="63"/>
  <c r="FB38" i="63"/>
  <c r="FA38" i="63"/>
  <c r="EZ38" i="63"/>
  <c r="EY38" i="63"/>
  <c r="EX38" i="63"/>
  <c r="EW38" i="63"/>
  <c r="EV38" i="63"/>
  <c r="EU38" i="63"/>
  <c r="ET38" i="63"/>
  <c r="ES38" i="63"/>
  <c r="ER38" i="63"/>
  <c r="EQ38" i="63"/>
  <c r="EP38" i="63"/>
  <c r="EO38" i="63"/>
  <c r="EN38" i="63"/>
  <c r="EM38" i="63"/>
  <c r="EL38" i="63"/>
  <c r="EK38" i="63"/>
  <c r="EJ38" i="63"/>
  <c r="EI38" i="63"/>
  <c r="EH38" i="63"/>
  <c r="EG38" i="63"/>
  <c r="EE38" i="63"/>
  <c r="ED38" i="63"/>
  <c r="EC38" i="63"/>
  <c r="DV38" i="63"/>
  <c r="DU38" i="63"/>
  <c r="DT38" i="63"/>
  <c r="DS38" i="63"/>
  <c r="DR38" i="63"/>
  <c r="DQ38" i="63"/>
  <c r="DP38" i="63"/>
  <c r="GC37" i="63"/>
  <c r="GB37" i="63"/>
  <c r="GA37" i="63"/>
  <c r="FZ37" i="63"/>
  <c r="FY37" i="63"/>
  <c r="FX37" i="63"/>
  <c r="FW37" i="63"/>
  <c r="FV37" i="63"/>
  <c r="FT37" i="63"/>
  <c r="FS37" i="63"/>
  <c r="FR37" i="63"/>
  <c r="FQ37" i="63"/>
  <c r="FP37" i="63"/>
  <c r="FO37" i="63"/>
  <c r="FN37" i="63"/>
  <c r="FM37" i="63"/>
  <c r="FK37" i="63"/>
  <c r="FI37" i="63"/>
  <c r="FD37" i="63"/>
  <c r="FC37" i="63"/>
  <c r="FB37" i="63"/>
  <c r="FA37" i="63"/>
  <c r="EZ37" i="63"/>
  <c r="EY37" i="63"/>
  <c r="EX37" i="63"/>
  <c r="EW37" i="63"/>
  <c r="EV37" i="63"/>
  <c r="EU37" i="63"/>
  <c r="ET37" i="63"/>
  <c r="ES37" i="63"/>
  <c r="ER37" i="63"/>
  <c r="EQ37" i="63"/>
  <c r="EP37" i="63"/>
  <c r="EO37" i="63"/>
  <c r="EN37" i="63"/>
  <c r="EM37" i="63"/>
  <c r="EL37" i="63"/>
  <c r="EK37" i="63"/>
  <c r="EJ37" i="63"/>
  <c r="EI37" i="63"/>
  <c r="EH37" i="63"/>
  <c r="EG37" i="63"/>
  <c r="EE37" i="63"/>
  <c r="ED37" i="63"/>
  <c r="EC37" i="63"/>
  <c r="DV37" i="63"/>
  <c r="DU37" i="63"/>
  <c r="DT37" i="63"/>
  <c r="DS37" i="63"/>
  <c r="DR37" i="63"/>
  <c r="DQ37" i="63"/>
  <c r="DP37" i="63"/>
  <c r="GC36" i="63"/>
  <c r="GB36" i="63"/>
  <c r="GA36" i="63"/>
  <c r="FZ36" i="63"/>
  <c r="FY36" i="63"/>
  <c r="FX36" i="63"/>
  <c r="FW36" i="63"/>
  <c r="FV36" i="63"/>
  <c r="FT36" i="63"/>
  <c r="FS36" i="63"/>
  <c r="FR36" i="63"/>
  <c r="FQ36" i="63"/>
  <c r="FP36" i="63"/>
  <c r="FO36" i="63"/>
  <c r="FN36" i="63"/>
  <c r="FM36" i="63"/>
  <c r="FK36" i="63"/>
  <c r="FI36" i="63"/>
  <c r="FH36" i="63"/>
  <c r="FG36" i="63"/>
  <c r="FF36" i="63"/>
  <c r="FE36" i="63"/>
  <c r="FD36" i="63"/>
  <c r="FC36" i="63"/>
  <c r="FB36" i="63"/>
  <c r="FA36" i="63"/>
  <c r="EZ36" i="63"/>
  <c r="EY36" i="63"/>
  <c r="EX36" i="63"/>
  <c r="EW36" i="63"/>
  <c r="EV36" i="63"/>
  <c r="EU36" i="63"/>
  <c r="ET36" i="63"/>
  <c r="ES36" i="63"/>
  <c r="ER36" i="63"/>
  <c r="EQ36" i="63"/>
  <c r="EP36" i="63"/>
  <c r="EO36" i="63"/>
  <c r="EN36" i="63"/>
  <c r="EM36" i="63"/>
  <c r="EL36" i="63"/>
  <c r="EK36" i="63"/>
  <c r="EJ36" i="63"/>
  <c r="EI36" i="63"/>
  <c r="EH36" i="63"/>
  <c r="EG36" i="63"/>
  <c r="EF36" i="63"/>
  <c r="EE36" i="63"/>
  <c r="ED36" i="63"/>
  <c r="EC36" i="63"/>
  <c r="DV36" i="63"/>
  <c r="DU36" i="63"/>
  <c r="DT36" i="63"/>
  <c r="DS36" i="63"/>
  <c r="DR36" i="63"/>
  <c r="DQ36" i="63"/>
  <c r="DP36" i="63"/>
  <c r="GC35" i="63"/>
  <c r="GB35" i="63"/>
  <c r="GA35" i="63"/>
  <c r="FZ35" i="63"/>
  <c r="FY35" i="63"/>
  <c r="FX35" i="63"/>
  <c r="FW35" i="63"/>
  <c r="FV35" i="63"/>
  <c r="FT35" i="63"/>
  <c r="FS35" i="63"/>
  <c r="FR35" i="63"/>
  <c r="FQ35" i="63"/>
  <c r="FP35" i="63"/>
  <c r="FO35" i="63"/>
  <c r="FN35" i="63"/>
  <c r="FM35" i="63"/>
  <c r="FK35" i="63"/>
  <c r="FI35" i="63"/>
  <c r="FH35" i="63"/>
  <c r="FG35" i="63"/>
  <c r="FF35" i="63"/>
  <c r="FE35" i="63"/>
  <c r="FD35" i="63"/>
  <c r="FC35" i="63"/>
  <c r="FB35" i="63"/>
  <c r="FA35" i="63"/>
  <c r="EZ35" i="63"/>
  <c r="EY35" i="63"/>
  <c r="EX35" i="63"/>
  <c r="EW35" i="63"/>
  <c r="EV35" i="63"/>
  <c r="EU35" i="63"/>
  <c r="ET35" i="63"/>
  <c r="ES35" i="63"/>
  <c r="ER35" i="63"/>
  <c r="EQ35" i="63"/>
  <c r="EP35" i="63"/>
  <c r="EO35" i="63"/>
  <c r="EN35" i="63"/>
  <c r="EM35" i="63"/>
  <c r="EL35" i="63"/>
  <c r="EK35" i="63"/>
  <c r="EJ35" i="63"/>
  <c r="EI35" i="63"/>
  <c r="EH35" i="63"/>
  <c r="EG35" i="63"/>
  <c r="EF35" i="63"/>
  <c r="EE35" i="63"/>
  <c r="ED35" i="63"/>
  <c r="EC35" i="63"/>
  <c r="DV35" i="63"/>
  <c r="DU35" i="63"/>
  <c r="DT35" i="63"/>
  <c r="DS35" i="63"/>
  <c r="DR35" i="63"/>
  <c r="DQ35" i="63"/>
  <c r="DP35" i="63"/>
  <c r="GC34" i="63"/>
  <c r="GB34" i="63"/>
  <c r="GA34" i="63"/>
  <c r="FZ34" i="63"/>
  <c r="FY34" i="63"/>
  <c r="FX34" i="63"/>
  <c r="FW34" i="63"/>
  <c r="FV34" i="63"/>
  <c r="FT34" i="63"/>
  <c r="FS34" i="63"/>
  <c r="FR34" i="63"/>
  <c r="FQ34" i="63"/>
  <c r="FP34" i="63"/>
  <c r="FO34" i="63"/>
  <c r="FN34" i="63"/>
  <c r="FM34" i="63"/>
  <c r="FK34" i="63"/>
  <c r="FI34" i="63"/>
  <c r="FH34" i="63"/>
  <c r="FG34" i="63"/>
  <c r="FF34" i="63"/>
  <c r="FE34" i="63"/>
  <c r="FD34" i="63"/>
  <c r="FC34" i="63"/>
  <c r="FB34" i="63"/>
  <c r="FA34" i="63"/>
  <c r="EZ34" i="63"/>
  <c r="EY34" i="63"/>
  <c r="EX34" i="63"/>
  <c r="EW34" i="63"/>
  <c r="EV34" i="63"/>
  <c r="EU34" i="63"/>
  <c r="ET34" i="63"/>
  <c r="ES34" i="63"/>
  <c r="ER34" i="63"/>
  <c r="EQ34" i="63"/>
  <c r="EP34" i="63"/>
  <c r="EO34" i="63"/>
  <c r="EN34" i="63"/>
  <c r="EM34" i="63"/>
  <c r="EL34" i="63"/>
  <c r="EK34" i="63"/>
  <c r="EJ34" i="63"/>
  <c r="EI34" i="63"/>
  <c r="EH34" i="63"/>
  <c r="EG34" i="63"/>
  <c r="EF34" i="63"/>
  <c r="EE34" i="63"/>
  <c r="ED34" i="63"/>
  <c r="EC34" i="63"/>
  <c r="DV34" i="63"/>
  <c r="DU34" i="63"/>
  <c r="DT34" i="63"/>
  <c r="DS34" i="63"/>
  <c r="DR34" i="63"/>
  <c r="DQ34" i="63"/>
  <c r="DP34" i="63"/>
  <c r="GC33" i="63"/>
  <c r="GB33" i="63"/>
  <c r="GA33" i="63"/>
  <c r="FZ33" i="63"/>
  <c r="FY33" i="63"/>
  <c r="FX33" i="63"/>
  <c r="FW33" i="63"/>
  <c r="FV33" i="63"/>
  <c r="FT33" i="63"/>
  <c r="FS33" i="63"/>
  <c r="FR33" i="63"/>
  <c r="FQ33" i="63"/>
  <c r="FP33" i="63"/>
  <c r="FO33" i="63"/>
  <c r="FN33" i="63"/>
  <c r="FM33" i="63"/>
  <c r="FK33" i="63"/>
  <c r="FI33" i="63"/>
  <c r="FH33" i="63"/>
  <c r="FG33" i="63"/>
  <c r="FF33" i="63"/>
  <c r="FE33" i="63"/>
  <c r="FD33" i="63"/>
  <c r="FC33" i="63"/>
  <c r="FB33" i="63"/>
  <c r="FA33" i="63"/>
  <c r="EZ33" i="63"/>
  <c r="EY33" i="63"/>
  <c r="EX33" i="63"/>
  <c r="EW33" i="63"/>
  <c r="EV33" i="63"/>
  <c r="EU33" i="63"/>
  <c r="ET33" i="63"/>
  <c r="ES33" i="63"/>
  <c r="ER33" i="63"/>
  <c r="EQ33" i="63"/>
  <c r="EP33" i="63"/>
  <c r="EO33" i="63"/>
  <c r="EN33" i="63"/>
  <c r="EM33" i="63"/>
  <c r="EL33" i="63"/>
  <c r="EK33" i="63"/>
  <c r="EJ33" i="63"/>
  <c r="EI33" i="63"/>
  <c r="EH33" i="63"/>
  <c r="EG33" i="63"/>
  <c r="EF33" i="63"/>
  <c r="EE33" i="63"/>
  <c r="ED33" i="63"/>
  <c r="EC33" i="63"/>
  <c r="DV33" i="63"/>
  <c r="DU33" i="63"/>
  <c r="DT33" i="63"/>
  <c r="DS33" i="63"/>
  <c r="DR33" i="63"/>
  <c r="DQ33" i="63"/>
  <c r="DP33" i="63"/>
  <c r="GC32" i="63"/>
  <c r="GB32" i="63"/>
  <c r="GA32" i="63"/>
  <c r="FZ32" i="63"/>
  <c r="FY32" i="63"/>
  <c r="FX32" i="63"/>
  <c r="FW32" i="63"/>
  <c r="FV32" i="63"/>
  <c r="FT32" i="63"/>
  <c r="FS32" i="63"/>
  <c r="FR32" i="63"/>
  <c r="FQ32" i="63"/>
  <c r="FP32" i="63"/>
  <c r="FO32" i="63"/>
  <c r="FN32" i="63"/>
  <c r="FM32" i="63"/>
  <c r="FK32" i="63"/>
  <c r="FI32" i="63"/>
  <c r="FH32" i="63"/>
  <c r="FG32" i="63"/>
  <c r="FF32" i="63"/>
  <c r="FE32" i="63"/>
  <c r="FD32" i="63"/>
  <c r="FC32" i="63"/>
  <c r="FB32" i="63"/>
  <c r="FA32" i="63"/>
  <c r="EZ32" i="63"/>
  <c r="EY32" i="63"/>
  <c r="EX32" i="63"/>
  <c r="EW32" i="63"/>
  <c r="EV32" i="63"/>
  <c r="EU32" i="63"/>
  <c r="ET32" i="63"/>
  <c r="ES32" i="63"/>
  <c r="ER32" i="63"/>
  <c r="EQ32" i="63"/>
  <c r="EP32" i="63"/>
  <c r="EO32" i="63"/>
  <c r="EN32" i="63"/>
  <c r="EM32" i="63"/>
  <c r="EL32" i="63"/>
  <c r="EK32" i="63"/>
  <c r="EJ32" i="63"/>
  <c r="EI32" i="63"/>
  <c r="EH32" i="63"/>
  <c r="EG32" i="63"/>
  <c r="EF32" i="63"/>
  <c r="EE32" i="63"/>
  <c r="ED32" i="63"/>
  <c r="EC32" i="63"/>
  <c r="DV32" i="63"/>
  <c r="DU32" i="63"/>
  <c r="DT32" i="63"/>
  <c r="DS32" i="63"/>
  <c r="DR32" i="63"/>
  <c r="DQ32" i="63"/>
  <c r="DP32" i="63"/>
  <c r="GC31" i="63"/>
  <c r="GB31" i="63"/>
  <c r="GA31" i="63"/>
  <c r="FZ31" i="63"/>
  <c r="FY31" i="63"/>
  <c r="FX31" i="63"/>
  <c r="FW31" i="63"/>
  <c r="FV31" i="63"/>
  <c r="FT31" i="63"/>
  <c r="FS31" i="63"/>
  <c r="FR31" i="63"/>
  <c r="FQ31" i="63"/>
  <c r="FP31" i="63"/>
  <c r="FO31" i="63"/>
  <c r="FN31" i="63"/>
  <c r="FM31" i="63"/>
  <c r="FK31" i="63"/>
  <c r="FI31" i="63"/>
  <c r="FH31" i="63"/>
  <c r="FG31" i="63"/>
  <c r="FF31" i="63"/>
  <c r="FE31" i="63"/>
  <c r="FD31" i="63"/>
  <c r="FC31" i="63"/>
  <c r="FB31" i="63"/>
  <c r="FA31" i="63"/>
  <c r="EZ31" i="63"/>
  <c r="EY31" i="63"/>
  <c r="EX31" i="63"/>
  <c r="EW31" i="63"/>
  <c r="EV31" i="63"/>
  <c r="EU31" i="63"/>
  <c r="ET31" i="63"/>
  <c r="ES31" i="63"/>
  <c r="ER31" i="63"/>
  <c r="EQ31" i="63"/>
  <c r="EP31" i="63"/>
  <c r="EO31" i="63"/>
  <c r="EN31" i="63"/>
  <c r="EM31" i="63"/>
  <c r="EL31" i="63"/>
  <c r="EK31" i="63"/>
  <c r="EJ31" i="63"/>
  <c r="EI31" i="63"/>
  <c r="EH31" i="63"/>
  <c r="EG31" i="63"/>
  <c r="EF31" i="63"/>
  <c r="EE31" i="63"/>
  <c r="ED31" i="63"/>
  <c r="EC31" i="63"/>
  <c r="DV31" i="63"/>
  <c r="DU31" i="63"/>
  <c r="DT31" i="63"/>
  <c r="DS31" i="63"/>
  <c r="DR31" i="63"/>
  <c r="DQ31" i="63"/>
  <c r="DP31" i="63"/>
  <c r="GC30" i="63"/>
  <c r="GB30" i="63"/>
  <c r="GA30" i="63"/>
  <c r="FZ30" i="63"/>
  <c r="FY30" i="63"/>
  <c r="FX30" i="63"/>
  <c r="FW30" i="63"/>
  <c r="FV30" i="63"/>
  <c r="FT30" i="63"/>
  <c r="FS30" i="63"/>
  <c r="FR30" i="63"/>
  <c r="FQ30" i="63"/>
  <c r="FP30" i="63"/>
  <c r="FO30" i="63"/>
  <c r="FN30" i="63"/>
  <c r="FM30" i="63"/>
  <c r="FK30" i="63"/>
  <c r="FI30" i="63"/>
  <c r="FH30" i="63"/>
  <c r="FG30" i="63"/>
  <c r="FF30" i="63"/>
  <c r="FE30" i="63"/>
  <c r="FD30" i="63"/>
  <c r="FC30" i="63"/>
  <c r="FB30" i="63"/>
  <c r="FA30" i="63"/>
  <c r="EZ30" i="63"/>
  <c r="EY30" i="63"/>
  <c r="EX30" i="63"/>
  <c r="EW30" i="63"/>
  <c r="EV30" i="63"/>
  <c r="EU30" i="63"/>
  <c r="ET30" i="63"/>
  <c r="ES30" i="63"/>
  <c r="ER30" i="63"/>
  <c r="EQ30" i="63"/>
  <c r="EP30" i="63"/>
  <c r="EO30" i="63"/>
  <c r="EN30" i="63"/>
  <c r="EM30" i="63"/>
  <c r="EL30" i="63"/>
  <c r="EK30" i="63"/>
  <c r="EJ30" i="63"/>
  <c r="EI30" i="63"/>
  <c r="EH30" i="63"/>
  <c r="EG30" i="63"/>
  <c r="EF30" i="63"/>
  <c r="EE30" i="63"/>
  <c r="ED30" i="63"/>
  <c r="EC30" i="63"/>
  <c r="DV30" i="63"/>
  <c r="DU30" i="63"/>
  <c r="DT30" i="63"/>
  <c r="DS30" i="63"/>
  <c r="DR30" i="63"/>
  <c r="DQ30" i="63"/>
  <c r="DP30" i="63"/>
  <c r="GC29" i="63"/>
  <c r="GB29" i="63"/>
  <c r="GA29" i="63"/>
  <c r="FZ29" i="63"/>
  <c r="FY29" i="63"/>
  <c r="FX29" i="63"/>
  <c r="FW29" i="63"/>
  <c r="FV29" i="63"/>
  <c r="FT29" i="63"/>
  <c r="FS29" i="63"/>
  <c r="FQ29" i="63"/>
  <c r="FO29" i="63"/>
  <c r="FN29" i="63"/>
  <c r="FM29" i="63"/>
  <c r="FK29" i="63"/>
  <c r="FI29" i="63"/>
  <c r="FH29" i="63"/>
  <c r="FG29" i="63"/>
  <c r="FF29" i="63"/>
  <c r="FE29" i="63"/>
  <c r="FD29" i="63"/>
  <c r="FC29" i="63"/>
  <c r="FB29" i="63"/>
  <c r="FA29" i="63"/>
  <c r="EZ29" i="63"/>
  <c r="EY29" i="63"/>
  <c r="EX29" i="63"/>
  <c r="EW29" i="63"/>
  <c r="EV29" i="63"/>
  <c r="EU29" i="63"/>
  <c r="ET29" i="63"/>
  <c r="ES29" i="63"/>
  <c r="ER29" i="63"/>
  <c r="EQ29" i="63"/>
  <c r="EP29" i="63"/>
  <c r="EO29" i="63"/>
  <c r="EN29" i="63"/>
  <c r="EM29" i="63"/>
  <c r="EL29" i="63"/>
  <c r="EK29" i="63"/>
  <c r="EJ29" i="63"/>
  <c r="EI29" i="63"/>
  <c r="EH29" i="63"/>
  <c r="EG29" i="63"/>
  <c r="EF29" i="63"/>
  <c r="EE29" i="63"/>
  <c r="ED29" i="63"/>
  <c r="EC29" i="63"/>
  <c r="DV29" i="63"/>
  <c r="DU29" i="63"/>
  <c r="DT29" i="63"/>
  <c r="DS29" i="63"/>
  <c r="DR29" i="63"/>
  <c r="DQ29" i="63"/>
  <c r="DP29" i="63"/>
  <c r="GC28" i="63"/>
  <c r="GB28" i="63"/>
  <c r="GA28" i="63"/>
  <c r="FZ28" i="63"/>
  <c r="FY28" i="63"/>
  <c r="FX28" i="63"/>
  <c r="FW28" i="63"/>
  <c r="FV28" i="63"/>
  <c r="FT28" i="63"/>
  <c r="FS28" i="63"/>
  <c r="FR28" i="63"/>
  <c r="FQ28" i="63"/>
  <c r="FP28" i="63"/>
  <c r="FO28" i="63"/>
  <c r="FN28" i="63"/>
  <c r="FM28" i="63"/>
  <c r="FK28" i="63"/>
  <c r="FI28" i="63"/>
  <c r="FH28" i="63"/>
  <c r="FG28" i="63"/>
  <c r="FF28" i="63"/>
  <c r="FE28" i="63"/>
  <c r="FD28" i="63"/>
  <c r="FC28" i="63"/>
  <c r="FB28" i="63"/>
  <c r="FA28" i="63"/>
  <c r="EZ28" i="63"/>
  <c r="EY28" i="63"/>
  <c r="EX28" i="63"/>
  <c r="EW28" i="63"/>
  <c r="EV28" i="63"/>
  <c r="EU28" i="63"/>
  <c r="ET28" i="63"/>
  <c r="ES28" i="63"/>
  <c r="ER28" i="63"/>
  <c r="EQ28" i="63"/>
  <c r="EP28" i="63"/>
  <c r="EO28" i="63"/>
  <c r="EN28" i="63"/>
  <c r="EM28" i="63"/>
  <c r="EL28" i="63"/>
  <c r="EK28" i="63"/>
  <c r="EJ28" i="63"/>
  <c r="EI28" i="63"/>
  <c r="EH28" i="63"/>
  <c r="EG28" i="63"/>
  <c r="EF28" i="63"/>
  <c r="EE28" i="63"/>
  <c r="ED28" i="63"/>
  <c r="EC28" i="63"/>
  <c r="DV28" i="63"/>
  <c r="DU28" i="63"/>
  <c r="DT28" i="63"/>
  <c r="DS28" i="63"/>
  <c r="DR28" i="63"/>
  <c r="DQ28" i="63"/>
  <c r="DP28" i="63"/>
  <c r="GC27" i="63"/>
  <c r="GB27" i="63"/>
  <c r="GA27" i="63"/>
  <c r="FZ27" i="63"/>
  <c r="FY27" i="63"/>
  <c r="FX27" i="63"/>
  <c r="FW27" i="63"/>
  <c r="FV27" i="63"/>
  <c r="FT27" i="63"/>
  <c r="FS27" i="63"/>
  <c r="FR27" i="63"/>
  <c r="FQ27" i="63"/>
  <c r="FP27" i="63"/>
  <c r="FO27" i="63"/>
  <c r="FN27" i="63"/>
  <c r="FM27" i="63"/>
  <c r="FK27" i="63"/>
  <c r="FI27" i="63"/>
  <c r="FH27" i="63"/>
  <c r="FG27" i="63"/>
  <c r="FF27" i="63"/>
  <c r="FE27" i="63"/>
  <c r="FD27" i="63"/>
  <c r="FC27" i="63"/>
  <c r="FB27" i="63"/>
  <c r="FA27" i="63"/>
  <c r="EZ27" i="63"/>
  <c r="EY27" i="63"/>
  <c r="EX27" i="63"/>
  <c r="EW27" i="63"/>
  <c r="EV27" i="63"/>
  <c r="EU27" i="63"/>
  <c r="ET27" i="63"/>
  <c r="ES27" i="63"/>
  <c r="ER27" i="63"/>
  <c r="EQ27" i="63"/>
  <c r="EP27" i="63"/>
  <c r="EO27" i="63"/>
  <c r="EN27" i="63"/>
  <c r="EM27" i="63"/>
  <c r="EL27" i="63"/>
  <c r="EK27" i="63"/>
  <c r="EJ27" i="63"/>
  <c r="EI27" i="63"/>
  <c r="EH27" i="63"/>
  <c r="EG27" i="63"/>
  <c r="EF27" i="63"/>
  <c r="EE27" i="63"/>
  <c r="ED27" i="63"/>
  <c r="EC27" i="63"/>
  <c r="DV27" i="63"/>
  <c r="DU27" i="63"/>
  <c r="DT27" i="63"/>
  <c r="DS27" i="63"/>
  <c r="DR27" i="63"/>
  <c r="DQ27" i="63"/>
  <c r="DP27" i="63"/>
  <c r="GC26" i="63"/>
  <c r="GB26" i="63"/>
  <c r="GA26" i="63"/>
  <c r="FZ26" i="63"/>
  <c r="FY26" i="63"/>
  <c r="FX26" i="63"/>
  <c r="FW26" i="63"/>
  <c r="FV26" i="63"/>
  <c r="FT26" i="63"/>
  <c r="FS26" i="63"/>
  <c r="FR26" i="63"/>
  <c r="FQ26" i="63"/>
  <c r="FP26" i="63"/>
  <c r="FO26" i="63"/>
  <c r="FN26" i="63"/>
  <c r="FM26" i="63"/>
  <c r="FK26" i="63"/>
  <c r="FI26" i="63"/>
  <c r="FH26" i="63"/>
  <c r="FG26" i="63"/>
  <c r="FF26" i="63"/>
  <c r="FE26" i="63"/>
  <c r="FD26" i="63"/>
  <c r="FC26" i="63"/>
  <c r="FB26" i="63"/>
  <c r="FA26" i="63"/>
  <c r="EZ26" i="63"/>
  <c r="EY26" i="63"/>
  <c r="EX26" i="63"/>
  <c r="EW26" i="63"/>
  <c r="EV26" i="63"/>
  <c r="EU26" i="63"/>
  <c r="ET26" i="63"/>
  <c r="ES26" i="63"/>
  <c r="ER26" i="63"/>
  <c r="EQ26" i="63"/>
  <c r="EP26" i="63"/>
  <c r="EO26" i="63"/>
  <c r="EN26" i="63"/>
  <c r="EM26" i="63"/>
  <c r="EL26" i="63"/>
  <c r="EK26" i="63"/>
  <c r="EJ26" i="63"/>
  <c r="EI26" i="63"/>
  <c r="EH26" i="63"/>
  <c r="EG26" i="63"/>
  <c r="EF26" i="63"/>
  <c r="EE26" i="63"/>
  <c r="ED26" i="63"/>
  <c r="EC26" i="63"/>
  <c r="DV26" i="63"/>
  <c r="DU26" i="63"/>
  <c r="DT26" i="63"/>
  <c r="DS26" i="63"/>
  <c r="DR26" i="63"/>
  <c r="DQ26" i="63"/>
  <c r="DP26" i="63"/>
  <c r="GC25" i="63"/>
  <c r="GB25" i="63"/>
  <c r="GA25" i="63"/>
  <c r="FZ25" i="63"/>
  <c r="FY25" i="63"/>
  <c r="FX25" i="63"/>
  <c r="FW25" i="63"/>
  <c r="FV25" i="63"/>
  <c r="FT25" i="63"/>
  <c r="FS25" i="63"/>
  <c r="FR25" i="63"/>
  <c r="FQ25" i="63"/>
  <c r="FP25" i="63"/>
  <c r="FO25" i="63"/>
  <c r="FN25" i="63"/>
  <c r="FM25" i="63"/>
  <c r="FK25" i="63"/>
  <c r="FI25" i="63"/>
  <c r="FH25" i="63"/>
  <c r="FG25" i="63"/>
  <c r="FF25" i="63"/>
  <c r="FE25" i="63"/>
  <c r="FD25" i="63"/>
  <c r="FC25" i="63"/>
  <c r="FB25" i="63"/>
  <c r="FA25" i="63"/>
  <c r="EZ25" i="63"/>
  <c r="EY25" i="63"/>
  <c r="EX25" i="63"/>
  <c r="EW25" i="63"/>
  <c r="EV25" i="63"/>
  <c r="EU25" i="63"/>
  <c r="ET25" i="63"/>
  <c r="ES25" i="63"/>
  <c r="ER25" i="63"/>
  <c r="EQ25" i="63"/>
  <c r="EP25" i="63"/>
  <c r="EO25" i="63"/>
  <c r="EN25" i="63"/>
  <c r="EM25" i="63"/>
  <c r="EL25" i="63"/>
  <c r="EK25" i="63"/>
  <c r="EJ25" i="63"/>
  <c r="EI25" i="63"/>
  <c r="EH25" i="63"/>
  <c r="EG25" i="63"/>
  <c r="EF25" i="63"/>
  <c r="EE25" i="63"/>
  <c r="ED25" i="63"/>
  <c r="EC25" i="63"/>
  <c r="DV25" i="63"/>
  <c r="DU25" i="63"/>
  <c r="DT25" i="63"/>
  <c r="DS25" i="63"/>
  <c r="DR25" i="63"/>
  <c r="DQ25" i="63"/>
  <c r="DP25" i="63"/>
  <c r="GC24" i="63"/>
  <c r="GB24" i="63"/>
  <c r="GA24" i="63"/>
  <c r="FZ24" i="63"/>
  <c r="FY24" i="63"/>
  <c r="FX24" i="63"/>
  <c r="FW24" i="63"/>
  <c r="FV24" i="63"/>
  <c r="FT24" i="63"/>
  <c r="FS24" i="63"/>
  <c r="FR24" i="63"/>
  <c r="FQ24" i="63"/>
  <c r="FP24" i="63"/>
  <c r="FO24" i="63"/>
  <c r="FN24" i="63"/>
  <c r="FM24" i="63"/>
  <c r="FK24" i="63"/>
  <c r="FI24" i="63"/>
  <c r="FH24" i="63"/>
  <c r="FG24" i="63"/>
  <c r="FF24" i="63"/>
  <c r="FE24" i="63"/>
  <c r="FD24" i="63"/>
  <c r="FC24" i="63"/>
  <c r="FB24" i="63"/>
  <c r="FA24" i="63"/>
  <c r="EZ24" i="63"/>
  <c r="EY24" i="63"/>
  <c r="EX24" i="63"/>
  <c r="EW24" i="63"/>
  <c r="EV24" i="63"/>
  <c r="EU24" i="63"/>
  <c r="ET24" i="63"/>
  <c r="ES24" i="63"/>
  <c r="ER24" i="63"/>
  <c r="EQ24" i="63"/>
  <c r="EP24" i="63"/>
  <c r="EO24" i="63"/>
  <c r="EN24" i="63"/>
  <c r="EM24" i="63"/>
  <c r="EL24" i="63"/>
  <c r="EK24" i="63"/>
  <c r="EJ24" i="63"/>
  <c r="EI24" i="63"/>
  <c r="EH24" i="63"/>
  <c r="EG24" i="63"/>
  <c r="EF24" i="63"/>
  <c r="EE24" i="63"/>
  <c r="ED24" i="63"/>
  <c r="EC24" i="63"/>
  <c r="DV24" i="63"/>
  <c r="DU24" i="63"/>
  <c r="DT24" i="63"/>
  <c r="DS24" i="63"/>
  <c r="DR24" i="63"/>
  <c r="DQ24" i="63"/>
  <c r="DP24" i="63"/>
  <c r="GC23" i="63"/>
  <c r="GB23" i="63"/>
  <c r="GA23" i="63"/>
  <c r="FZ23" i="63"/>
  <c r="FY23" i="63"/>
  <c r="FX23" i="63"/>
  <c r="FW23" i="63"/>
  <c r="FV23" i="63"/>
  <c r="FT23" i="63"/>
  <c r="FS23" i="63"/>
  <c r="FQ23" i="63"/>
  <c r="FO23" i="63"/>
  <c r="FN23" i="63"/>
  <c r="FM23" i="63"/>
  <c r="FK23" i="63"/>
  <c r="FI23" i="63"/>
  <c r="FH23" i="63"/>
  <c r="FG23" i="63"/>
  <c r="FF23" i="63"/>
  <c r="FE23" i="63"/>
  <c r="FD23" i="63"/>
  <c r="FC23" i="63"/>
  <c r="FB23" i="63"/>
  <c r="FA23" i="63"/>
  <c r="EZ23" i="63"/>
  <c r="EY23" i="63"/>
  <c r="EX23" i="63"/>
  <c r="EW23" i="63"/>
  <c r="EV23" i="63"/>
  <c r="EU23" i="63"/>
  <c r="ET23" i="63"/>
  <c r="ES23" i="63"/>
  <c r="ER23" i="63"/>
  <c r="EQ23" i="63"/>
  <c r="EP23" i="63"/>
  <c r="EO23" i="63"/>
  <c r="EN23" i="63"/>
  <c r="EM23" i="63"/>
  <c r="EL23" i="63"/>
  <c r="EK23" i="63"/>
  <c r="EJ23" i="63"/>
  <c r="EI23" i="63"/>
  <c r="EH23" i="63"/>
  <c r="EG23" i="63"/>
  <c r="EF23" i="63"/>
  <c r="EE23" i="63"/>
  <c r="ED23" i="63"/>
  <c r="EC23" i="63"/>
  <c r="DV23" i="63"/>
  <c r="DU23" i="63"/>
  <c r="DT23" i="63"/>
  <c r="DS23" i="63"/>
  <c r="DR23" i="63"/>
  <c r="DQ23" i="63"/>
  <c r="DP23" i="63"/>
  <c r="GC22" i="63"/>
  <c r="GB22" i="63"/>
  <c r="GA22" i="63"/>
  <c r="FZ22" i="63"/>
  <c r="FY22" i="63"/>
  <c r="FX22" i="63"/>
  <c r="FW22" i="63"/>
  <c r="FV22" i="63"/>
  <c r="FT22" i="63"/>
  <c r="FS22" i="63"/>
  <c r="FR22" i="63"/>
  <c r="FQ22" i="63"/>
  <c r="FP22" i="63"/>
  <c r="FO22" i="63"/>
  <c r="FN22" i="63"/>
  <c r="FM22" i="63"/>
  <c r="FK22" i="63"/>
  <c r="FI22" i="63"/>
  <c r="FH22" i="63"/>
  <c r="FG22" i="63"/>
  <c r="FF22" i="63"/>
  <c r="FE22" i="63"/>
  <c r="FD22" i="63"/>
  <c r="FC22" i="63"/>
  <c r="FB22" i="63"/>
  <c r="FA22" i="63"/>
  <c r="EZ22" i="63"/>
  <c r="EY22" i="63"/>
  <c r="EX22" i="63"/>
  <c r="EW22" i="63"/>
  <c r="EV22" i="63"/>
  <c r="EU22" i="63"/>
  <c r="ET22" i="63"/>
  <c r="ES22" i="63"/>
  <c r="ER22" i="63"/>
  <c r="EQ22" i="63"/>
  <c r="EP22" i="63"/>
  <c r="EO22" i="63"/>
  <c r="EN22" i="63"/>
  <c r="EM22" i="63"/>
  <c r="EL22" i="63"/>
  <c r="EK22" i="63"/>
  <c r="EJ22" i="63"/>
  <c r="EI22" i="63"/>
  <c r="EH22" i="63"/>
  <c r="EG22" i="63"/>
  <c r="EF22" i="63"/>
  <c r="EE22" i="63"/>
  <c r="ED22" i="63"/>
  <c r="EC22" i="63"/>
  <c r="DV22" i="63"/>
  <c r="DU22" i="63"/>
  <c r="DT22" i="63"/>
  <c r="DS22" i="63"/>
  <c r="DR22" i="63"/>
  <c r="DQ22" i="63"/>
  <c r="DP22" i="63"/>
  <c r="GC21" i="63"/>
  <c r="GB21" i="63"/>
  <c r="GA21" i="63"/>
  <c r="FZ21" i="63"/>
  <c r="FY21" i="63"/>
  <c r="FX21" i="63"/>
  <c r="FW21" i="63"/>
  <c r="FV21" i="63"/>
  <c r="FT21" i="63"/>
  <c r="FS21" i="63"/>
  <c r="FR21" i="63"/>
  <c r="FQ21" i="63"/>
  <c r="FP21" i="63"/>
  <c r="FO21" i="63"/>
  <c r="FN21" i="63"/>
  <c r="FM21" i="63"/>
  <c r="FK21" i="63"/>
  <c r="FI21" i="63"/>
  <c r="FH21" i="63"/>
  <c r="FG21" i="63"/>
  <c r="FF21" i="63"/>
  <c r="FE21" i="63"/>
  <c r="FD21" i="63"/>
  <c r="FC21" i="63"/>
  <c r="FB21" i="63"/>
  <c r="FA21" i="63"/>
  <c r="EZ21" i="63"/>
  <c r="EY21" i="63"/>
  <c r="EX21" i="63"/>
  <c r="EW21" i="63"/>
  <c r="EV21" i="63"/>
  <c r="EU21" i="63"/>
  <c r="ET21" i="63"/>
  <c r="ES21" i="63"/>
  <c r="ER21" i="63"/>
  <c r="EQ21" i="63"/>
  <c r="EP21" i="63"/>
  <c r="EO21" i="63"/>
  <c r="EN21" i="63"/>
  <c r="EM21" i="63"/>
  <c r="EL21" i="63"/>
  <c r="EK21" i="63"/>
  <c r="EJ21" i="63"/>
  <c r="EI21" i="63"/>
  <c r="EH21" i="63"/>
  <c r="EG21" i="63"/>
  <c r="EF21" i="63"/>
  <c r="EE21" i="63"/>
  <c r="ED21" i="63"/>
  <c r="EC21" i="63"/>
  <c r="DV21" i="63"/>
  <c r="DU21" i="63"/>
  <c r="DT21" i="63"/>
  <c r="DS21" i="63"/>
  <c r="DR21" i="63"/>
  <c r="DQ21" i="63"/>
  <c r="DP21" i="63"/>
  <c r="GC20" i="63"/>
  <c r="GB20" i="63"/>
  <c r="GA20" i="63"/>
  <c r="FZ20" i="63"/>
  <c r="FY20" i="63"/>
  <c r="FX20" i="63"/>
  <c r="FW20" i="63"/>
  <c r="FV20" i="63"/>
  <c r="FT20" i="63"/>
  <c r="FS20" i="63"/>
  <c r="FR20" i="63"/>
  <c r="FQ20" i="63"/>
  <c r="FP20" i="63"/>
  <c r="FO20" i="63"/>
  <c r="FN20" i="63"/>
  <c r="FM20" i="63"/>
  <c r="FK20" i="63"/>
  <c r="FI20" i="63"/>
  <c r="FH20" i="63"/>
  <c r="FG20" i="63"/>
  <c r="FF20" i="63"/>
  <c r="FE20" i="63"/>
  <c r="FD20" i="63"/>
  <c r="FC20" i="63"/>
  <c r="FB20" i="63"/>
  <c r="FA20" i="63"/>
  <c r="EZ20" i="63"/>
  <c r="EY20" i="63"/>
  <c r="EX20" i="63"/>
  <c r="EW20" i="63"/>
  <c r="EV20" i="63"/>
  <c r="EU20" i="63"/>
  <c r="ET20" i="63"/>
  <c r="ES20" i="63"/>
  <c r="ER20" i="63"/>
  <c r="EQ20" i="63"/>
  <c r="EP20" i="63"/>
  <c r="EO20" i="63"/>
  <c r="EN20" i="63"/>
  <c r="EM20" i="63"/>
  <c r="EL20" i="63"/>
  <c r="EK20" i="63"/>
  <c r="EJ20" i="63"/>
  <c r="EI20" i="63"/>
  <c r="EH20" i="63"/>
  <c r="EG20" i="63"/>
  <c r="EF20" i="63"/>
  <c r="EE20" i="63"/>
  <c r="ED20" i="63"/>
  <c r="EC20" i="63"/>
  <c r="DV20" i="63"/>
  <c r="DU20" i="63"/>
  <c r="DT20" i="63"/>
  <c r="DS20" i="63"/>
  <c r="DR20" i="63"/>
  <c r="DQ20" i="63"/>
  <c r="DP20" i="63"/>
  <c r="GC19" i="63"/>
  <c r="GB19" i="63"/>
  <c r="GA19" i="63"/>
  <c r="FZ19" i="63"/>
  <c r="FY19" i="63"/>
  <c r="FX19" i="63"/>
  <c r="FW19" i="63"/>
  <c r="FV19" i="63"/>
  <c r="FT19" i="63"/>
  <c r="FS19" i="63"/>
  <c r="FR19" i="63"/>
  <c r="FQ19" i="63"/>
  <c r="FP19" i="63"/>
  <c r="FO19" i="63"/>
  <c r="FN19" i="63"/>
  <c r="FM19" i="63"/>
  <c r="FK19" i="63"/>
  <c r="FI19" i="63"/>
  <c r="FH19" i="63"/>
  <c r="FG19" i="63"/>
  <c r="FF19" i="63"/>
  <c r="FE19" i="63"/>
  <c r="FD19" i="63"/>
  <c r="FC19" i="63"/>
  <c r="FB19" i="63"/>
  <c r="FA19" i="63"/>
  <c r="EZ19" i="63"/>
  <c r="EY19" i="63"/>
  <c r="EX19" i="63"/>
  <c r="EW19" i="63"/>
  <c r="EV19" i="63"/>
  <c r="EU19" i="63"/>
  <c r="ET19" i="63"/>
  <c r="ES19" i="63"/>
  <c r="ER19" i="63"/>
  <c r="EQ19" i="63"/>
  <c r="EP19" i="63"/>
  <c r="EO19" i="63"/>
  <c r="EN19" i="63"/>
  <c r="EM19" i="63"/>
  <c r="EL19" i="63"/>
  <c r="EK19" i="63"/>
  <c r="EJ19" i="63"/>
  <c r="EI19" i="63"/>
  <c r="EH19" i="63"/>
  <c r="EG19" i="63"/>
  <c r="EF19" i="63"/>
  <c r="EE19" i="63"/>
  <c r="ED19" i="63"/>
  <c r="EC19" i="63"/>
  <c r="DV19" i="63"/>
  <c r="DU19" i="63"/>
  <c r="DT19" i="63"/>
  <c r="DS19" i="63"/>
  <c r="DR19" i="63"/>
  <c r="DQ19" i="63"/>
  <c r="DP19" i="63"/>
  <c r="GC18" i="63"/>
  <c r="GB18" i="63"/>
  <c r="GA18" i="63"/>
  <c r="FZ18" i="63"/>
  <c r="FY18" i="63"/>
  <c r="FX18" i="63"/>
  <c r="FW18" i="63"/>
  <c r="FV18" i="63"/>
  <c r="FT18" i="63"/>
  <c r="FS18" i="63"/>
  <c r="FR18" i="63"/>
  <c r="FQ18" i="63"/>
  <c r="FP18" i="63"/>
  <c r="FO18" i="63"/>
  <c r="FN18" i="63"/>
  <c r="FM18" i="63"/>
  <c r="FK18" i="63"/>
  <c r="FI18" i="63"/>
  <c r="FH18" i="63"/>
  <c r="FG18" i="63"/>
  <c r="FF18" i="63"/>
  <c r="FE18" i="63"/>
  <c r="FD18" i="63"/>
  <c r="FC18" i="63"/>
  <c r="FB18" i="63"/>
  <c r="FA18" i="63"/>
  <c r="EZ18" i="63"/>
  <c r="EY18" i="63"/>
  <c r="EX18" i="63"/>
  <c r="EW18" i="63"/>
  <c r="EV18" i="63"/>
  <c r="EU18" i="63"/>
  <c r="ET18" i="63"/>
  <c r="ES18" i="63"/>
  <c r="ER18" i="63"/>
  <c r="EQ18" i="63"/>
  <c r="EP18" i="63"/>
  <c r="EO18" i="63"/>
  <c r="EN18" i="63"/>
  <c r="EM18" i="63"/>
  <c r="EL18" i="63"/>
  <c r="EK18" i="63"/>
  <c r="EJ18" i="63"/>
  <c r="EI18" i="63"/>
  <c r="EH18" i="63"/>
  <c r="EG18" i="63"/>
  <c r="EF18" i="63"/>
  <c r="EE18" i="63"/>
  <c r="ED18" i="63"/>
  <c r="EC18" i="63"/>
  <c r="DV18" i="63"/>
  <c r="DU18" i="63"/>
  <c r="DT18" i="63"/>
  <c r="DS18" i="63"/>
  <c r="DR18" i="63"/>
  <c r="DQ18" i="63"/>
  <c r="DP18" i="63"/>
  <c r="GC17" i="63"/>
  <c r="GB17" i="63"/>
  <c r="GA17" i="63"/>
  <c r="FZ17" i="63"/>
  <c r="FY17" i="63"/>
  <c r="FX17" i="63"/>
  <c r="FW17" i="63"/>
  <c r="FV17" i="63"/>
  <c r="FT17" i="63"/>
  <c r="FS17" i="63"/>
  <c r="FR17" i="63"/>
  <c r="FQ17" i="63"/>
  <c r="FP17" i="63"/>
  <c r="FO17" i="63"/>
  <c r="FN17" i="63"/>
  <c r="FM17" i="63"/>
  <c r="FK17" i="63"/>
  <c r="FI17" i="63"/>
  <c r="FH17" i="63"/>
  <c r="FG17" i="63"/>
  <c r="FF17" i="63"/>
  <c r="FE17" i="63"/>
  <c r="FD17" i="63"/>
  <c r="FC17" i="63"/>
  <c r="FB17" i="63"/>
  <c r="FA17" i="63"/>
  <c r="EZ17" i="63"/>
  <c r="EY17" i="63"/>
  <c r="EX17" i="63"/>
  <c r="EW17" i="63"/>
  <c r="EV17" i="63"/>
  <c r="EU17" i="63"/>
  <c r="ET17" i="63"/>
  <c r="ES17" i="63"/>
  <c r="ER17" i="63"/>
  <c r="EQ17" i="63"/>
  <c r="EP17" i="63"/>
  <c r="EO17" i="63"/>
  <c r="EN17" i="63"/>
  <c r="EM17" i="63"/>
  <c r="EL17" i="63"/>
  <c r="EK17" i="63"/>
  <c r="EJ17" i="63"/>
  <c r="EI17" i="63"/>
  <c r="EH17" i="63"/>
  <c r="EG17" i="63"/>
  <c r="EF17" i="63"/>
  <c r="EE17" i="63"/>
  <c r="ED17" i="63"/>
  <c r="EC17" i="63"/>
  <c r="DV17" i="63"/>
  <c r="DU17" i="63"/>
  <c r="DT17" i="63"/>
  <c r="DS17" i="63"/>
  <c r="DR17" i="63"/>
  <c r="DQ17" i="63"/>
  <c r="DP17" i="63"/>
  <c r="GC16" i="63"/>
  <c r="GB16" i="63"/>
  <c r="GA16" i="63"/>
  <c r="FZ16" i="63"/>
  <c r="FY16" i="63"/>
  <c r="FX16" i="63"/>
  <c r="FW16" i="63"/>
  <c r="FV16" i="63"/>
  <c r="FT16" i="63"/>
  <c r="FS16" i="63"/>
  <c r="FR16" i="63"/>
  <c r="FQ16" i="63"/>
  <c r="FP16" i="63"/>
  <c r="FO16" i="63"/>
  <c r="FN16" i="63"/>
  <c r="FM16" i="63"/>
  <c r="FK16" i="63"/>
  <c r="FI16" i="63"/>
  <c r="FH16" i="63"/>
  <c r="FG16" i="63"/>
  <c r="FF16" i="63"/>
  <c r="FE16" i="63"/>
  <c r="FD16" i="63"/>
  <c r="FC16" i="63"/>
  <c r="FB16" i="63"/>
  <c r="FA16" i="63"/>
  <c r="EZ16" i="63"/>
  <c r="EY16" i="63"/>
  <c r="EX16" i="63"/>
  <c r="EW16" i="63"/>
  <c r="EV16" i="63"/>
  <c r="EU16" i="63"/>
  <c r="ET16" i="63"/>
  <c r="ES16" i="63"/>
  <c r="ER16" i="63"/>
  <c r="EQ16" i="63"/>
  <c r="EP16" i="63"/>
  <c r="EO16" i="63"/>
  <c r="EN16" i="63"/>
  <c r="EM16" i="63"/>
  <c r="EL16" i="63"/>
  <c r="EK16" i="63"/>
  <c r="EJ16" i="63"/>
  <c r="EI16" i="63"/>
  <c r="EH16" i="63"/>
  <c r="EG16" i="63"/>
  <c r="EF16" i="63"/>
  <c r="EE16" i="63"/>
  <c r="ED16" i="63"/>
  <c r="EC16" i="63"/>
  <c r="DV16" i="63"/>
  <c r="DU16" i="63"/>
  <c r="DT16" i="63"/>
  <c r="DS16" i="63"/>
  <c r="DR16" i="63"/>
  <c r="DQ16" i="63"/>
  <c r="DP16" i="63"/>
  <c r="GC15" i="63"/>
  <c r="GB15" i="63"/>
  <c r="GA15" i="63"/>
  <c r="FZ15" i="63"/>
  <c r="FY15" i="63"/>
  <c r="FX15" i="63"/>
  <c r="FW15" i="63"/>
  <c r="FV15" i="63"/>
  <c r="FT15" i="63"/>
  <c r="FS15" i="63"/>
  <c r="FR15" i="63"/>
  <c r="FQ15" i="63"/>
  <c r="FP15" i="63"/>
  <c r="FO15" i="63"/>
  <c r="FN15" i="63"/>
  <c r="FM15" i="63"/>
  <c r="FK15" i="63"/>
  <c r="FI15" i="63"/>
  <c r="FH15" i="63"/>
  <c r="FG15" i="63"/>
  <c r="FF15" i="63"/>
  <c r="FE15" i="63"/>
  <c r="FD15" i="63"/>
  <c r="FC15" i="63"/>
  <c r="FB15" i="63"/>
  <c r="FA15" i="63"/>
  <c r="EZ15" i="63"/>
  <c r="EY15" i="63"/>
  <c r="EX15" i="63"/>
  <c r="EW15" i="63"/>
  <c r="EV15" i="63"/>
  <c r="EU15" i="63"/>
  <c r="ET15" i="63"/>
  <c r="ES15" i="63"/>
  <c r="ER15" i="63"/>
  <c r="EQ15" i="63"/>
  <c r="EP15" i="63"/>
  <c r="EO15" i="63"/>
  <c r="EN15" i="63"/>
  <c r="EM15" i="63"/>
  <c r="EL15" i="63"/>
  <c r="EK15" i="63"/>
  <c r="EJ15" i="63"/>
  <c r="EI15" i="63"/>
  <c r="EH15" i="63"/>
  <c r="EG15" i="63"/>
  <c r="EF15" i="63"/>
  <c r="EE15" i="63"/>
  <c r="ED15" i="63"/>
  <c r="EC15" i="63"/>
  <c r="DV15" i="63"/>
  <c r="DU15" i="63"/>
  <c r="DT15" i="63"/>
  <c r="DS15" i="63"/>
  <c r="DR15" i="63"/>
  <c r="DQ15" i="63"/>
  <c r="DP15" i="63"/>
  <c r="GC14" i="63"/>
  <c r="GB14" i="63"/>
  <c r="GA14" i="63"/>
  <c r="FZ14" i="63"/>
  <c r="FY14" i="63"/>
  <c r="FX14" i="63"/>
  <c r="FW14" i="63"/>
  <c r="FV14" i="63"/>
  <c r="FT14" i="63"/>
  <c r="FS14" i="63"/>
  <c r="FR14" i="63"/>
  <c r="FQ14" i="63"/>
  <c r="FP14" i="63"/>
  <c r="FO14" i="63"/>
  <c r="FN14" i="63"/>
  <c r="FM14" i="63"/>
  <c r="FK14" i="63"/>
  <c r="FI14" i="63"/>
  <c r="FH14" i="63"/>
  <c r="FG14" i="63"/>
  <c r="FF14" i="63"/>
  <c r="FE14" i="63"/>
  <c r="FD14" i="63"/>
  <c r="FC14" i="63"/>
  <c r="FB14" i="63"/>
  <c r="FA14" i="63"/>
  <c r="EZ14" i="63"/>
  <c r="EY14" i="63"/>
  <c r="EX14" i="63"/>
  <c r="EW14" i="63"/>
  <c r="EV14" i="63"/>
  <c r="EU14" i="63"/>
  <c r="ET14" i="63"/>
  <c r="ES14" i="63"/>
  <c r="ER14" i="63"/>
  <c r="EQ14" i="63"/>
  <c r="EP14" i="63"/>
  <c r="EO14" i="63"/>
  <c r="EN14" i="63"/>
  <c r="EM14" i="63"/>
  <c r="EL14" i="63"/>
  <c r="EK14" i="63"/>
  <c r="EJ14" i="63"/>
  <c r="EI14" i="63"/>
  <c r="EH14" i="63"/>
  <c r="EG14" i="63"/>
  <c r="EF14" i="63"/>
  <c r="EE14" i="63"/>
  <c r="ED14" i="63"/>
  <c r="EC14" i="63"/>
  <c r="DV14" i="63"/>
  <c r="DU14" i="63"/>
  <c r="DT14" i="63"/>
  <c r="DS14" i="63"/>
  <c r="DR14" i="63"/>
  <c r="DQ14" i="63"/>
  <c r="DP14" i="63"/>
  <c r="GC13" i="63"/>
  <c r="GB13" i="63"/>
  <c r="GA13" i="63"/>
  <c r="FZ13" i="63"/>
  <c r="FY13" i="63"/>
  <c r="FX13" i="63"/>
  <c r="FW13" i="63"/>
  <c r="FV13" i="63"/>
  <c r="FT13" i="63"/>
  <c r="FS13" i="63"/>
  <c r="FR13" i="63"/>
  <c r="FQ13" i="63"/>
  <c r="FP13" i="63"/>
  <c r="FO13" i="63"/>
  <c r="FN13" i="63"/>
  <c r="FM13" i="63"/>
  <c r="FK13" i="63"/>
  <c r="FI13" i="63"/>
  <c r="FH13" i="63"/>
  <c r="FG13" i="63"/>
  <c r="FF13" i="63"/>
  <c r="FE13" i="63"/>
  <c r="FD13" i="63"/>
  <c r="FC13" i="63"/>
  <c r="FB13" i="63"/>
  <c r="FA13" i="63"/>
  <c r="EZ13" i="63"/>
  <c r="EY13" i="63"/>
  <c r="EX13" i="63"/>
  <c r="EW13" i="63"/>
  <c r="EV13" i="63"/>
  <c r="EU13" i="63"/>
  <c r="ET13" i="63"/>
  <c r="ES13" i="63"/>
  <c r="ER13" i="63"/>
  <c r="EQ13" i="63"/>
  <c r="EP13" i="63"/>
  <c r="EO13" i="63"/>
  <c r="EN13" i="63"/>
  <c r="EM13" i="63"/>
  <c r="EL13" i="63"/>
  <c r="EK13" i="63"/>
  <c r="EJ13" i="63"/>
  <c r="EI13" i="63"/>
  <c r="EH13" i="63"/>
  <c r="EG13" i="63"/>
  <c r="EF13" i="63"/>
  <c r="EE13" i="63"/>
  <c r="ED13" i="63"/>
  <c r="EC13" i="63"/>
  <c r="DV13" i="63"/>
  <c r="DU13" i="63"/>
  <c r="DT13" i="63"/>
  <c r="DS13" i="63"/>
  <c r="DR13" i="63"/>
  <c r="DQ13" i="63"/>
  <c r="DP13" i="63"/>
  <c r="GC12" i="63"/>
  <c r="GB12" i="63"/>
  <c r="GA12" i="63"/>
  <c r="FZ12" i="63"/>
  <c r="FY12" i="63"/>
  <c r="FX12" i="63"/>
  <c r="FW12" i="63"/>
  <c r="FV12" i="63"/>
  <c r="FT12" i="63"/>
  <c r="FS12" i="63"/>
  <c r="FR12" i="63"/>
  <c r="FQ12" i="63"/>
  <c r="FP12" i="63"/>
  <c r="FO12" i="63"/>
  <c r="FN12" i="63"/>
  <c r="FM12" i="63"/>
  <c r="FK12" i="63"/>
  <c r="FI12" i="63"/>
  <c r="FH12" i="63"/>
  <c r="FG12" i="63"/>
  <c r="FF12" i="63"/>
  <c r="FE12" i="63"/>
  <c r="FD12" i="63"/>
  <c r="FC12" i="63"/>
  <c r="FB12" i="63"/>
  <c r="FA12" i="63"/>
  <c r="EZ12" i="63"/>
  <c r="EY12" i="63"/>
  <c r="EX12" i="63"/>
  <c r="EW12" i="63"/>
  <c r="EV12" i="63"/>
  <c r="EU12" i="63"/>
  <c r="ET12" i="63"/>
  <c r="ES12" i="63"/>
  <c r="ER12" i="63"/>
  <c r="EQ12" i="63"/>
  <c r="EP12" i="63"/>
  <c r="EO12" i="63"/>
  <c r="EN12" i="63"/>
  <c r="EM12" i="63"/>
  <c r="EL12" i="63"/>
  <c r="EK12" i="63"/>
  <c r="EJ12" i="63"/>
  <c r="EI12" i="63"/>
  <c r="EH12" i="63"/>
  <c r="EG12" i="63"/>
  <c r="EF12" i="63"/>
  <c r="EE12" i="63"/>
  <c r="ED12" i="63"/>
  <c r="EC12" i="63"/>
  <c r="DV12" i="63"/>
  <c r="DU12" i="63"/>
  <c r="DT12" i="63"/>
  <c r="DS12" i="63"/>
  <c r="DR12" i="63"/>
  <c r="DQ12" i="63"/>
  <c r="DP12" i="63"/>
  <c r="GC11" i="63"/>
  <c r="GB11" i="63"/>
  <c r="GA11" i="63"/>
  <c r="FZ11" i="63"/>
  <c r="FY11" i="63"/>
  <c r="FX11" i="63"/>
  <c r="FW11" i="63"/>
  <c r="FV11" i="63"/>
  <c r="FT11" i="63"/>
  <c r="FS11" i="63"/>
  <c r="FR11" i="63"/>
  <c r="FQ11" i="63"/>
  <c r="FP11" i="63"/>
  <c r="FO11" i="63"/>
  <c r="FN11" i="63"/>
  <c r="FM11" i="63"/>
  <c r="FK11" i="63"/>
  <c r="FI11" i="63"/>
  <c r="FH11" i="63"/>
  <c r="FG11" i="63"/>
  <c r="FF11" i="63"/>
  <c r="FE11" i="63"/>
  <c r="FD11" i="63"/>
  <c r="FC11" i="63"/>
  <c r="FB11" i="63"/>
  <c r="FA11" i="63"/>
  <c r="EZ11" i="63"/>
  <c r="EY11" i="63"/>
  <c r="EX11" i="63"/>
  <c r="EW11" i="63"/>
  <c r="EV11" i="63"/>
  <c r="EU11" i="63"/>
  <c r="ET11" i="63"/>
  <c r="ES11" i="63"/>
  <c r="ER11" i="63"/>
  <c r="EQ11" i="63"/>
  <c r="EP11" i="63"/>
  <c r="EO11" i="63"/>
  <c r="EN11" i="63"/>
  <c r="EM11" i="63"/>
  <c r="EL11" i="63"/>
  <c r="EK11" i="63"/>
  <c r="EJ11" i="63"/>
  <c r="EI11" i="63"/>
  <c r="EH11" i="63"/>
  <c r="EG11" i="63"/>
  <c r="EF11" i="63"/>
  <c r="EE11" i="63"/>
  <c r="ED11" i="63"/>
  <c r="EC11" i="63"/>
  <c r="DV11" i="63"/>
  <c r="DU11" i="63"/>
  <c r="DT11" i="63"/>
  <c r="DS11" i="63"/>
  <c r="DR11" i="63"/>
  <c r="DQ11" i="63"/>
  <c r="DP11" i="63"/>
  <c r="GC10" i="63"/>
  <c r="GB10" i="63"/>
  <c r="GA10" i="63"/>
  <c r="FZ10" i="63"/>
  <c r="FY10" i="63"/>
  <c r="FX10" i="63"/>
  <c r="FW10" i="63"/>
  <c r="FV10" i="63"/>
  <c r="FT10" i="63"/>
  <c r="FS10" i="63"/>
  <c r="FR10" i="63"/>
  <c r="FQ10" i="63"/>
  <c r="FP10" i="63"/>
  <c r="FO10" i="63"/>
  <c r="FN10" i="63"/>
  <c r="FM10" i="63"/>
  <c r="FK10" i="63"/>
  <c r="FI10" i="63"/>
  <c r="FH10" i="63"/>
  <c r="FG10" i="63"/>
  <c r="FF10" i="63"/>
  <c r="FE10" i="63"/>
  <c r="FD10" i="63"/>
  <c r="FC10" i="63"/>
  <c r="FB10" i="63"/>
  <c r="FA10" i="63"/>
  <c r="EZ10" i="63"/>
  <c r="EY10" i="63"/>
  <c r="EX10" i="63"/>
  <c r="EW10" i="63"/>
  <c r="EV10" i="63"/>
  <c r="EU10" i="63"/>
  <c r="ET10" i="63"/>
  <c r="ES10" i="63"/>
  <c r="ER10" i="63"/>
  <c r="EQ10" i="63"/>
  <c r="EP10" i="63"/>
  <c r="EO10" i="63"/>
  <c r="EN10" i="63"/>
  <c r="EM10" i="63"/>
  <c r="EL10" i="63"/>
  <c r="EK10" i="63"/>
  <c r="EJ10" i="63"/>
  <c r="EI10" i="63"/>
  <c r="EH10" i="63"/>
  <c r="EG10" i="63"/>
  <c r="EF10" i="63"/>
  <c r="EE10" i="63"/>
  <c r="ED10" i="63"/>
  <c r="EC10" i="63"/>
  <c r="DV10" i="63"/>
  <c r="DU10" i="63"/>
  <c r="DT10" i="63"/>
  <c r="DS10" i="63"/>
  <c r="DR10" i="63"/>
  <c r="DQ10" i="63"/>
  <c r="DP10" i="63"/>
  <c r="GC9" i="63"/>
  <c r="GB9" i="63"/>
  <c r="GA9" i="63"/>
  <c r="FZ9" i="63"/>
  <c r="FY9" i="63"/>
  <c r="FX9" i="63"/>
  <c r="FW9" i="63"/>
  <c r="FV9" i="63"/>
  <c r="FT9" i="63"/>
  <c r="FT40" i="63" s="1"/>
  <c r="FS9" i="63"/>
  <c r="FR9" i="63"/>
  <c r="FQ9" i="63"/>
  <c r="FP9" i="63"/>
  <c r="FO9" i="63"/>
  <c r="FN9" i="63"/>
  <c r="FM9" i="63"/>
  <c r="FL9" i="63"/>
  <c r="FK9" i="63"/>
  <c r="FJ9" i="63"/>
  <c r="FI9" i="63"/>
  <c r="FH9" i="63"/>
  <c r="FG9" i="63"/>
  <c r="FF9" i="63"/>
  <c r="FE9" i="63"/>
  <c r="FD9" i="63"/>
  <c r="FC9" i="63"/>
  <c r="FB9" i="63"/>
  <c r="FA9" i="63"/>
  <c r="EZ9" i="63"/>
  <c r="EY9" i="63"/>
  <c r="EX9" i="63"/>
  <c r="EW9" i="63"/>
  <c r="EV9" i="63"/>
  <c r="EU9" i="63"/>
  <c r="ET9" i="63"/>
  <c r="ES9" i="63"/>
  <c r="ER9" i="63"/>
  <c r="EQ9" i="63"/>
  <c r="EP9" i="63"/>
  <c r="EO9" i="63"/>
  <c r="EN9" i="63"/>
  <c r="EM9" i="63"/>
  <c r="EL9" i="63"/>
  <c r="EK9" i="63"/>
  <c r="EJ9" i="63"/>
  <c r="EI9" i="63"/>
  <c r="EH9" i="63"/>
  <c r="EG9" i="63"/>
  <c r="EF9" i="63"/>
  <c r="EE9" i="63"/>
  <c r="ED9" i="63"/>
  <c r="EC9" i="63"/>
  <c r="DV9" i="63"/>
  <c r="DU9" i="63"/>
  <c r="DT9" i="63"/>
  <c r="DS9" i="63"/>
  <c r="DR9" i="63"/>
  <c r="DR40" i="63" s="1"/>
  <c r="DQ9" i="63"/>
  <c r="DP9" i="63"/>
  <c r="FE7" i="63"/>
  <c r="EJ7" i="63"/>
  <c r="EH7" i="63"/>
  <c r="EB7" i="63"/>
  <c r="EA7" i="63"/>
  <c r="DZ7" i="63"/>
  <c r="DV7" i="63"/>
  <c r="DT7" i="63"/>
  <c r="EB40" i="65"/>
  <c r="EA40" i="65"/>
  <c r="DZ40" i="65"/>
  <c r="DY40" i="65"/>
  <c r="DX40" i="65"/>
  <c r="DW40" i="65"/>
  <c r="GC38" i="65"/>
  <c r="GB38" i="65"/>
  <c r="GA38" i="65"/>
  <c r="FZ38" i="65"/>
  <c r="FY38" i="65"/>
  <c r="FX38" i="65"/>
  <c r="FW38" i="65"/>
  <c r="FV38" i="65"/>
  <c r="FT38" i="65"/>
  <c r="FS38" i="65"/>
  <c r="FR38" i="65"/>
  <c r="FQ38" i="65"/>
  <c r="FP38" i="65"/>
  <c r="FO38" i="65"/>
  <c r="FN38" i="65"/>
  <c r="FM38" i="65"/>
  <c r="FK38" i="65"/>
  <c r="FI38" i="65"/>
  <c r="FD38" i="65"/>
  <c r="FC38" i="65"/>
  <c r="FB38" i="65"/>
  <c r="FA38" i="65"/>
  <c r="EZ38" i="65"/>
  <c r="EY38" i="65"/>
  <c r="EX38" i="65"/>
  <c r="EW38" i="65"/>
  <c r="EV38" i="65"/>
  <c r="EU38" i="65"/>
  <c r="ET38" i="65"/>
  <c r="ES38" i="65"/>
  <c r="ER38" i="65"/>
  <c r="EQ38" i="65"/>
  <c r="EP38" i="65"/>
  <c r="EO38" i="65"/>
  <c r="EN38" i="65"/>
  <c r="EM38" i="65"/>
  <c r="EL38" i="65"/>
  <c r="EK38" i="65"/>
  <c r="EJ38" i="65"/>
  <c r="EI38" i="65"/>
  <c r="EH38" i="65"/>
  <c r="EG38" i="65"/>
  <c r="EE38" i="65"/>
  <c r="ED38" i="65"/>
  <c r="EC38" i="65"/>
  <c r="DV38" i="65"/>
  <c r="DU38" i="65"/>
  <c r="DT38" i="65"/>
  <c r="DS38" i="65"/>
  <c r="DR38" i="65"/>
  <c r="DQ38" i="65"/>
  <c r="DP38" i="65"/>
  <c r="GC37" i="65"/>
  <c r="GB37" i="65"/>
  <c r="GA37" i="65"/>
  <c r="FZ37" i="65"/>
  <c r="FY37" i="65"/>
  <c r="FX37" i="65"/>
  <c r="FW37" i="65"/>
  <c r="FV37" i="65"/>
  <c r="FT37" i="65"/>
  <c r="FS37" i="65"/>
  <c r="FR37" i="65"/>
  <c r="FQ37" i="65"/>
  <c r="FP37" i="65"/>
  <c r="FO37" i="65"/>
  <c r="FN37" i="65"/>
  <c r="FM37" i="65"/>
  <c r="FK37" i="65"/>
  <c r="FI37" i="65"/>
  <c r="FD37" i="65"/>
  <c r="FC37" i="65"/>
  <c r="FB37" i="65"/>
  <c r="FA37" i="65"/>
  <c r="EZ37" i="65"/>
  <c r="EY37" i="65"/>
  <c r="EX37" i="65"/>
  <c r="EW37" i="65"/>
  <c r="EV37" i="65"/>
  <c r="EU37" i="65"/>
  <c r="ET37" i="65"/>
  <c r="ES37" i="65"/>
  <c r="ER37" i="65"/>
  <c r="EQ37" i="65"/>
  <c r="EP37" i="65"/>
  <c r="EO37" i="65"/>
  <c r="EN37" i="65"/>
  <c r="EM37" i="65"/>
  <c r="EL37" i="65"/>
  <c r="EK37" i="65"/>
  <c r="EJ37" i="65"/>
  <c r="EI37" i="65"/>
  <c r="EH37" i="65"/>
  <c r="EG37" i="65"/>
  <c r="EE37" i="65"/>
  <c r="ED37" i="65"/>
  <c r="EC37" i="65"/>
  <c r="DV37" i="65"/>
  <c r="DU37" i="65"/>
  <c r="DT37" i="65"/>
  <c r="DS37" i="65"/>
  <c r="DR37" i="65"/>
  <c r="DQ37" i="65"/>
  <c r="DP37" i="65"/>
  <c r="GC36" i="65"/>
  <c r="GB36" i="65"/>
  <c r="GA36" i="65"/>
  <c r="FZ36" i="65"/>
  <c r="FY36" i="65"/>
  <c r="FX36" i="65"/>
  <c r="FW36" i="65"/>
  <c r="FV36" i="65"/>
  <c r="FT36" i="65"/>
  <c r="FS36" i="65"/>
  <c r="FR36" i="65"/>
  <c r="FQ36" i="65"/>
  <c r="FP36" i="65"/>
  <c r="FO36" i="65"/>
  <c r="FN36" i="65"/>
  <c r="FM36" i="65"/>
  <c r="FK36" i="65"/>
  <c r="FI36" i="65"/>
  <c r="FH36" i="65"/>
  <c r="FG36" i="65"/>
  <c r="FF36" i="65"/>
  <c r="FE36" i="65"/>
  <c r="FD36" i="65"/>
  <c r="FC36" i="65"/>
  <c r="FB36" i="65"/>
  <c r="FA36" i="65"/>
  <c r="EZ36" i="65"/>
  <c r="EY36" i="65"/>
  <c r="EX36" i="65"/>
  <c r="EW36" i="65"/>
  <c r="EV36" i="65"/>
  <c r="EU36" i="65"/>
  <c r="ET36" i="65"/>
  <c r="ES36" i="65"/>
  <c r="ER36" i="65"/>
  <c r="EQ36" i="65"/>
  <c r="EP36" i="65"/>
  <c r="EO36" i="65"/>
  <c r="EN36" i="65"/>
  <c r="EM36" i="65"/>
  <c r="EL36" i="65"/>
  <c r="EK36" i="65"/>
  <c r="EJ36" i="65"/>
  <c r="EI36" i="65"/>
  <c r="EH36" i="65"/>
  <c r="EG36" i="65"/>
  <c r="EF36" i="65"/>
  <c r="EE36" i="65"/>
  <c r="ED36" i="65"/>
  <c r="EC36" i="65"/>
  <c r="DV36" i="65"/>
  <c r="DU36" i="65"/>
  <c r="DT36" i="65"/>
  <c r="DS36" i="65"/>
  <c r="DR36" i="65"/>
  <c r="DQ36" i="65"/>
  <c r="DP36" i="65"/>
  <c r="GC35" i="65"/>
  <c r="GB35" i="65"/>
  <c r="GA35" i="65"/>
  <c r="FZ35" i="65"/>
  <c r="FY35" i="65"/>
  <c r="FX35" i="65"/>
  <c r="FW35" i="65"/>
  <c r="FV35" i="65"/>
  <c r="FT35" i="65"/>
  <c r="FS35" i="65"/>
  <c r="FR35" i="65"/>
  <c r="FQ35" i="65"/>
  <c r="FP35" i="65"/>
  <c r="FO35" i="65"/>
  <c r="FN35" i="65"/>
  <c r="FM35" i="65"/>
  <c r="FK35" i="65"/>
  <c r="FI35" i="65"/>
  <c r="FH35" i="65"/>
  <c r="FG35" i="65"/>
  <c r="FF35" i="65"/>
  <c r="FE35" i="65"/>
  <c r="FD35" i="65"/>
  <c r="FC35" i="65"/>
  <c r="FB35" i="65"/>
  <c r="FA35" i="65"/>
  <c r="EZ35" i="65"/>
  <c r="EY35" i="65"/>
  <c r="EX35" i="65"/>
  <c r="EW35" i="65"/>
  <c r="EV35" i="65"/>
  <c r="EU35" i="65"/>
  <c r="ET35" i="65"/>
  <c r="ES35" i="65"/>
  <c r="ER35" i="65"/>
  <c r="EQ35" i="65"/>
  <c r="EP35" i="65"/>
  <c r="EO35" i="65"/>
  <c r="EN35" i="65"/>
  <c r="EM35" i="65"/>
  <c r="EL35" i="65"/>
  <c r="EK35" i="65"/>
  <c r="EJ35" i="65"/>
  <c r="EI35" i="65"/>
  <c r="EH35" i="65"/>
  <c r="EG35" i="65"/>
  <c r="EF35" i="65"/>
  <c r="EE35" i="65"/>
  <c r="ED35" i="65"/>
  <c r="EC35" i="65"/>
  <c r="DV35" i="65"/>
  <c r="DU35" i="65"/>
  <c r="DT35" i="65"/>
  <c r="DS35" i="65"/>
  <c r="DR35" i="65"/>
  <c r="DQ35" i="65"/>
  <c r="DP35" i="65"/>
  <c r="GC34" i="65"/>
  <c r="GB34" i="65"/>
  <c r="GA34" i="65"/>
  <c r="FZ34" i="65"/>
  <c r="FY34" i="65"/>
  <c r="FX34" i="65"/>
  <c r="FW34" i="65"/>
  <c r="FV34" i="65"/>
  <c r="FT34" i="65"/>
  <c r="FS34" i="65"/>
  <c r="FR34" i="65"/>
  <c r="FQ34" i="65"/>
  <c r="FP34" i="65"/>
  <c r="FO34" i="65"/>
  <c r="FN34" i="65"/>
  <c r="FM34" i="65"/>
  <c r="FK34" i="65"/>
  <c r="FI34" i="65"/>
  <c r="FH34" i="65"/>
  <c r="FG34" i="65"/>
  <c r="FF34" i="65"/>
  <c r="FE34" i="65"/>
  <c r="FD34" i="65"/>
  <c r="FC34" i="65"/>
  <c r="FB34" i="65"/>
  <c r="FA34" i="65"/>
  <c r="EZ34" i="65"/>
  <c r="EY34" i="65"/>
  <c r="EX34" i="65"/>
  <c r="EW34" i="65"/>
  <c r="EV34" i="65"/>
  <c r="EU34" i="65"/>
  <c r="ET34" i="65"/>
  <c r="ES34" i="65"/>
  <c r="ER34" i="65"/>
  <c r="EQ34" i="65"/>
  <c r="EP34" i="65"/>
  <c r="EO34" i="65"/>
  <c r="EN34" i="65"/>
  <c r="EM34" i="65"/>
  <c r="EL34" i="65"/>
  <c r="EK34" i="65"/>
  <c r="EJ34" i="65"/>
  <c r="EI34" i="65"/>
  <c r="EH34" i="65"/>
  <c r="EG34" i="65"/>
  <c r="EF34" i="65"/>
  <c r="EE34" i="65"/>
  <c r="ED34" i="65"/>
  <c r="EC34" i="65"/>
  <c r="DV34" i="65"/>
  <c r="DU34" i="65"/>
  <c r="DT34" i="65"/>
  <c r="DS34" i="65"/>
  <c r="DR34" i="65"/>
  <c r="DQ34" i="65"/>
  <c r="DP34" i="65"/>
  <c r="GC33" i="65"/>
  <c r="GB33" i="65"/>
  <c r="GA33" i="65"/>
  <c r="FZ33" i="65"/>
  <c r="FY33" i="65"/>
  <c r="FX33" i="65"/>
  <c r="FW33" i="65"/>
  <c r="FV33" i="65"/>
  <c r="FT33" i="65"/>
  <c r="FS33" i="65"/>
  <c r="FR33" i="65"/>
  <c r="FQ33" i="65"/>
  <c r="FP33" i="65"/>
  <c r="FO33" i="65"/>
  <c r="FN33" i="65"/>
  <c r="FM33" i="65"/>
  <c r="FK33" i="65"/>
  <c r="FI33" i="65"/>
  <c r="FH33" i="65"/>
  <c r="FG33" i="65"/>
  <c r="FF33" i="65"/>
  <c r="FE33" i="65"/>
  <c r="FD33" i="65"/>
  <c r="FC33" i="65"/>
  <c r="FB33" i="65"/>
  <c r="FA33" i="65"/>
  <c r="EZ33" i="65"/>
  <c r="EY33" i="65"/>
  <c r="EX33" i="65"/>
  <c r="EW33" i="65"/>
  <c r="EV33" i="65"/>
  <c r="EU33" i="65"/>
  <c r="ET33" i="65"/>
  <c r="ES33" i="65"/>
  <c r="ER33" i="65"/>
  <c r="EQ33" i="65"/>
  <c r="EP33" i="65"/>
  <c r="EO33" i="65"/>
  <c r="EN33" i="65"/>
  <c r="EM33" i="65"/>
  <c r="EL33" i="65"/>
  <c r="EK33" i="65"/>
  <c r="EJ33" i="65"/>
  <c r="EI33" i="65"/>
  <c r="EH33" i="65"/>
  <c r="EG33" i="65"/>
  <c r="EF33" i="65"/>
  <c r="EE33" i="65"/>
  <c r="ED33" i="65"/>
  <c r="EC33" i="65"/>
  <c r="DV33" i="65"/>
  <c r="DU33" i="65"/>
  <c r="DT33" i="65"/>
  <c r="DS33" i="65"/>
  <c r="DR33" i="65"/>
  <c r="DQ33" i="65"/>
  <c r="DP33" i="65"/>
  <c r="GC32" i="65"/>
  <c r="GB32" i="65"/>
  <c r="GA32" i="65"/>
  <c r="FZ32" i="65"/>
  <c r="FY32" i="65"/>
  <c r="FX32" i="65"/>
  <c r="FW32" i="65"/>
  <c r="FV32" i="65"/>
  <c r="FT32" i="65"/>
  <c r="FS32" i="65"/>
  <c r="FR32" i="65"/>
  <c r="FQ32" i="65"/>
  <c r="FP32" i="65"/>
  <c r="FO32" i="65"/>
  <c r="FN32" i="65"/>
  <c r="FM32" i="65"/>
  <c r="FK32" i="65"/>
  <c r="FI32" i="65"/>
  <c r="FH32" i="65"/>
  <c r="FG32" i="65"/>
  <c r="FF32" i="65"/>
  <c r="FE32" i="65"/>
  <c r="FD32" i="65"/>
  <c r="FC32" i="65"/>
  <c r="FB32" i="65"/>
  <c r="FA32" i="65"/>
  <c r="EZ32" i="65"/>
  <c r="EY32" i="65"/>
  <c r="EX32" i="65"/>
  <c r="EW32" i="65"/>
  <c r="EV32" i="65"/>
  <c r="EU32" i="65"/>
  <c r="ET32" i="65"/>
  <c r="ES32" i="65"/>
  <c r="ER32" i="65"/>
  <c r="EQ32" i="65"/>
  <c r="EP32" i="65"/>
  <c r="EO32" i="65"/>
  <c r="EN32" i="65"/>
  <c r="EM32" i="65"/>
  <c r="EL32" i="65"/>
  <c r="EK32" i="65"/>
  <c r="EJ32" i="65"/>
  <c r="EI32" i="65"/>
  <c r="EH32" i="65"/>
  <c r="EG32" i="65"/>
  <c r="EF32" i="65"/>
  <c r="EE32" i="65"/>
  <c r="ED32" i="65"/>
  <c r="EC32" i="65"/>
  <c r="DV32" i="65"/>
  <c r="DU32" i="65"/>
  <c r="DT32" i="65"/>
  <c r="DS32" i="65"/>
  <c r="DR32" i="65"/>
  <c r="DQ32" i="65"/>
  <c r="DP32" i="65"/>
  <c r="GC31" i="65"/>
  <c r="GB31" i="65"/>
  <c r="GA31" i="65"/>
  <c r="FZ31" i="65"/>
  <c r="FY31" i="65"/>
  <c r="FX31" i="65"/>
  <c r="FW31" i="65"/>
  <c r="FV31" i="65"/>
  <c r="FT31" i="65"/>
  <c r="FS31" i="65"/>
  <c r="FR31" i="65"/>
  <c r="FQ31" i="65"/>
  <c r="FP31" i="65"/>
  <c r="FO31" i="65"/>
  <c r="FN31" i="65"/>
  <c r="FM31" i="65"/>
  <c r="FK31" i="65"/>
  <c r="FI31" i="65"/>
  <c r="FH31" i="65"/>
  <c r="FG31" i="65"/>
  <c r="FF31" i="65"/>
  <c r="FE31" i="65"/>
  <c r="FD31" i="65"/>
  <c r="FC31" i="65"/>
  <c r="FB31" i="65"/>
  <c r="FA31" i="65"/>
  <c r="EZ31" i="65"/>
  <c r="EY31" i="65"/>
  <c r="EX31" i="65"/>
  <c r="EW31" i="65"/>
  <c r="EV31" i="65"/>
  <c r="EU31" i="65"/>
  <c r="ET31" i="65"/>
  <c r="ES31" i="65"/>
  <c r="ER31" i="65"/>
  <c r="EQ31" i="65"/>
  <c r="EP31" i="65"/>
  <c r="EO31" i="65"/>
  <c r="EN31" i="65"/>
  <c r="EM31" i="65"/>
  <c r="EL31" i="65"/>
  <c r="EK31" i="65"/>
  <c r="EJ31" i="65"/>
  <c r="EI31" i="65"/>
  <c r="EH31" i="65"/>
  <c r="EG31" i="65"/>
  <c r="EF31" i="65"/>
  <c r="EE31" i="65"/>
  <c r="ED31" i="65"/>
  <c r="EC31" i="65"/>
  <c r="DV31" i="65"/>
  <c r="DU31" i="65"/>
  <c r="DT31" i="65"/>
  <c r="DS31" i="65"/>
  <c r="DR31" i="65"/>
  <c r="DQ31" i="65"/>
  <c r="DP31" i="65"/>
  <c r="GC30" i="65"/>
  <c r="GB30" i="65"/>
  <c r="GA30" i="65"/>
  <c r="FZ30" i="65"/>
  <c r="FY30" i="65"/>
  <c r="FX30" i="65"/>
  <c r="FW30" i="65"/>
  <c r="FV30" i="65"/>
  <c r="FT30" i="65"/>
  <c r="FS30" i="65"/>
  <c r="FR30" i="65"/>
  <c r="FQ30" i="65"/>
  <c r="FP30" i="65"/>
  <c r="FO30" i="65"/>
  <c r="FN30" i="65"/>
  <c r="FM30" i="65"/>
  <c r="FK30" i="65"/>
  <c r="FI30" i="65"/>
  <c r="FH30" i="65"/>
  <c r="FG30" i="65"/>
  <c r="FF30" i="65"/>
  <c r="FE30" i="65"/>
  <c r="FD30" i="65"/>
  <c r="FC30" i="65"/>
  <c r="FB30" i="65"/>
  <c r="FA30" i="65"/>
  <c r="EZ30" i="65"/>
  <c r="EY30" i="65"/>
  <c r="EX30" i="65"/>
  <c r="EW30" i="65"/>
  <c r="EV30" i="65"/>
  <c r="EU30" i="65"/>
  <c r="ET30" i="65"/>
  <c r="ES30" i="65"/>
  <c r="ER30" i="65"/>
  <c r="EQ30" i="65"/>
  <c r="EP30" i="65"/>
  <c r="EO30" i="65"/>
  <c r="EN30" i="65"/>
  <c r="EM30" i="65"/>
  <c r="EL30" i="65"/>
  <c r="EK30" i="65"/>
  <c r="EJ30" i="65"/>
  <c r="EI30" i="65"/>
  <c r="EH30" i="65"/>
  <c r="EG30" i="65"/>
  <c r="EF30" i="65"/>
  <c r="EE30" i="65"/>
  <c r="ED30" i="65"/>
  <c r="EC30" i="65"/>
  <c r="DV30" i="65"/>
  <c r="DU30" i="65"/>
  <c r="DT30" i="65"/>
  <c r="DS30" i="65"/>
  <c r="DR30" i="65"/>
  <c r="DQ30" i="65"/>
  <c r="DP30" i="65"/>
  <c r="GC29" i="65"/>
  <c r="GB29" i="65"/>
  <c r="GA29" i="65"/>
  <c r="FZ29" i="65"/>
  <c r="FY29" i="65"/>
  <c r="FX29" i="65"/>
  <c r="FW29" i="65"/>
  <c r="FV29" i="65"/>
  <c r="FT29" i="65"/>
  <c r="FS29" i="65"/>
  <c r="FR29" i="65"/>
  <c r="FQ29" i="65"/>
  <c r="FP29" i="65"/>
  <c r="FO29" i="65"/>
  <c r="FN29" i="65"/>
  <c r="FM29" i="65"/>
  <c r="FK29" i="65"/>
  <c r="FI29" i="65"/>
  <c r="FH29" i="65"/>
  <c r="FG29" i="65"/>
  <c r="FF29" i="65"/>
  <c r="FE29" i="65"/>
  <c r="FD29" i="65"/>
  <c r="FC29" i="65"/>
  <c r="FB29" i="65"/>
  <c r="FA29" i="65"/>
  <c r="EZ29" i="65"/>
  <c r="EY29" i="65"/>
  <c r="EX29" i="65"/>
  <c r="EW29" i="65"/>
  <c r="EV29" i="65"/>
  <c r="EU29" i="65"/>
  <c r="ET29" i="65"/>
  <c r="ES29" i="65"/>
  <c r="ER29" i="65"/>
  <c r="EQ29" i="65"/>
  <c r="EP29" i="65"/>
  <c r="EO29" i="65"/>
  <c r="EN29" i="65"/>
  <c r="EM29" i="65"/>
  <c r="EL29" i="65"/>
  <c r="EK29" i="65"/>
  <c r="EJ29" i="65"/>
  <c r="EI29" i="65"/>
  <c r="EH29" i="65"/>
  <c r="EG29" i="65"/>
  <c r="EF29" i="65"/>
  <c r="EE29" i="65"/>
  <c r="ED29" i="65"/>
  <c r="EC29" i="65"/>
  <c r="DV29" i="65"/>
  <c r="DU29" i="65"/>
  <c r="DT29" i="65"/>
  <c r="DS29" i="65"/>
  <c r="DR29" i="65"/>
  <c r="DQ29" i="65"/>
  <c r="DP29" i="65"/>
  <c r="GC28" i="65"/>
  <c r="GB28" i="65"/>
  <c r="GA28" i="65"/>
  <c r="FZ28" i="65"/>
  <c r="FY28" i="65"/>
  <c r="FX28" i="65"/>
  <c r="FW28" i="65"/>
  <c r="FV28" i="65"/>
  <c r="FT28" i="65"/>
  <c r="FS28" i="65"/>
  <c r="FR28" i="65"/>
  <c r="FQ28" i="65"/>
  <c r="FP28" i="65"/>
  <c r="FO28" i="65"/>
  <c r="FN28" i="65"/>
  <c r="FM28" i="65"/>
  <c r="FK28" i="65"/>
  <c r="FI28" i="65"/>
  <c r="FH28" i="65"/>
  <c r="FG28" i="65"/>
  <c r="FF28" i="65"/>
  <c r="FE28" i="65"/>
  <c r="FD28" i="65"/>
  <c r="FC28" i="65"/>
  <c r="FB28" i="65"/>
  <c r="FA28" i="65"/>
  <c r="EZ28" i="65"/>
  <c r="EY28" i="65"/>
  <c r="EX28" i="65"/>
  <c r="EW28" i="65"/>
  <c r="EV28" i="65"/>
  <c r="EU28" i="65"/>
  <c r="ET28" i="65"/>
  <c r="ES28" i="65"/>
  <c r="ER28" i="65"/>
  <c r="EQ28" i="65"/>
  <c r="EP28" i="65"/>
  <c r="EO28" i="65"/>
  <c r="EN28" i="65"/>
  <c r="EM28" i="65"/>
  <c r="EL28" i="65"/>
  <c r="EK28" i="65"/>
  <c r="EJ28" i="65"/>
  <c r="EI28" i="65"/>
  <c r="EH28" i="65"/>
  <c r="EG28" i="65"/>
  <c r="EF28" i="65"/>
  <c r="EE28" i="65"/>
  <c r="ED28" i="65"/>
  <c r="EC28" i="65"/>
  <c r="DV28" i="65"/>
  <c r="DU28" i="65"/>
  <c r="DT28" i="65"/>
  <c r="DS28" i="65"/>
  <c r="DR28" i="65"/>
  <c r="DQ28" i="65"/>
  <c r="DP28" i="65"/>
  <c r="GC27" i="65"/>
  <c r="GB27" i="65"/>
  <c r="GA27" i="65"/>
  <c r="FZ27" i="65"/>
  <c r="FY27" i="65"/>
  <c r="FX27" i="65"/>
  <c r="FW27" i="65"/>
  <c r="FV27" i="65"/>
  <c r="FT27" i="65"/>
  <c r="FS27" i="65"/>
  <c r="FR27" i="65"/>
  <c r="FQ27" i="65"/>
  <c r="FP27" i="65"/>
  <c r="FO27" i="65"/>
  <c r="FN27" i="65"/>
  <c r="FM27" i="65"/>
  <c r="FK27" i="65"/>
  <c r="FI27" i="65"/>
  <c r="FH27" i="65"/>
  <c r="FG27" i="65"/>
  <c r="FF27" i="65"/>
  <c r="FE27" i="65"/>
  <c r="FD27" i="65"/>
  <c r="FC27" i="65"/>
  <c r="FB27" i="65"/>
  <c r="FA27" i="65"/>
  <c r="EZ27" i="65"/>
  <c r="EY27" i="65"/>
  <c r="EX27" i="65"/>
  <c r="EW27" i="65"/>
  <c r="EV27" i="65"/>
  <c r="EU27" i="65"/>
  <c r="ET27" i="65"/>
  <c r="ES27" i="65"/>
  <c r="ER27" i="65"/>
  <c r="EQ27" i="65"/>
  <c r="EP27" i="65"/>
  <c r="EO27" i="65"/>
  <c r="EN27" i="65"/>
  <c r="EM27" i="65"/>
  <c r="EL27" i="65"/>
  <c r="EK27" i="65"/>
  <c r="EJ27" i="65"/>
  <c r="EI27" i="65"/>
  <c r="EH27" i="65"/>
  <c r="EG27" i="65"/>
  <c r="EF27" i="65"/>
  <c r="EE27" i="65"/>
  <c r="ED27" i="65"/>
  <c r="EC27" i="65"/>
  <c r="DV27" i="65"/>
  <c r="DU27" i="65"/>
  <c r="DT27" i="65"/>
  <c r="DS27" i="65"/>
  <c r="DR27" i="65"/>
  <c r="DQ27" i="65"/>
  <c r="DP27" i="65"/>
  <c r="GC26" i="65"/>
  <c r="GB26" i="65"/>
  <c r="GA26" i="65"/>
  <c r="FZ26" i="65"/>
  <c r="FY26" i="65"/>
  <c r="FX26" i="65"/>
  <c r="FW26" i="65"/>
  <c r="FV26" i="65"/>
  <c r="FT26" i="65"/>
  <c r="FS26" i="65"/>
  <c r="FR26" i="65"/>
  <c r="FQ26" i="65"/>
  <c r="FP26" i="65"/>
  <c r="FO26" i="65"/>
  <c r="FN26" i="65"/>
  <c r="FM26" i="65"/>
  <c r="FK26" i="65"/>
  <c r="FI26" i="65"/>
  <c r="FH26" i="65"/>
  <c r="FG26" i="65"/>
  <c r="FF26" i="65"/>
  <c r="FE26" i="65"/>
  <c r="FD26" i="65"/>
  <c r="FC26" i="65"/>
  <c r="FB26" i="65"/>
  <c r="FA26" i="65"/>
  <c r="EZ26" i="65"/>
  <c r="EY26" i="65"/>
  <c r="EX26" i="65"/>
  <c r="EW26" i="65"/>
  <c r="EV26" i="65"/>
  <c r="EU26" i="65"/>
  <c r="ET26" i="65"/>
  <c r="ES26" i="65"/>
  <c r="ER26" i="65"/>
  <c r="EQ26" i="65"/>
  <c r="EP26" i="65"/>
  <c r="EO26" i="65"/>
  <c r="EN26" i="65"/>
  <c r="EM26" i="65"/>
  <c r="EL26" i="65"/>
  <c r="EK26" i="65"/>
  <c r="EJ26" i="65"/>
  <c r="EI26" i="65"/>
  <c r="EH26" i="65"/>
  <c r="EG26" i="65"/>
  <c r="EF26" i="65"/>
  <c r="EE26" i="65"/>
  <c r="ED26" i="65"/>
  <c r="EC26" i="65"/>
  <c r="DV26" i="65"/>
  <c r="DU26" i="65"/>
  <c r="DT26" i="65"/>
  <c r="DS26" i="65"/>
  <c r="DR26" i="65"/>
  <c r="DQ26" i="65"/>
  <c r="DP26" i="65"/>
  <c r="GC25" i="65"/>
  <c r="GB25" i="65"/>
  <c r="GA25" i="65"/>
  <c r="FZ25" i="65"/>
  <c r="FY25" i="65"/>
  <c r="FX25" i="65"/>
  <c r="FW25" i="65"/>
  <c r="FV25" i="65"/>
  <c r="FT25" i="65"/>
  <c r="FS25" i="65"/>
  <c r="FR25" i="65"/>
  <c r="FQ25" i="65"/>
  <c r="FP25" i="65"/>
  <c r="FO25" i="65"/>
  <c r="FN25" i="65"/>
  <c r="FM25" i="65"/>
  <c r="FK25" i="65"/>
  <c r="FI25" i="65"/>
  <c r="FH25" i="65"/>
  <c r="FG25" i="65"/>
  <c r="FF25" i="65"/>
  <c r="FE25" i="65"/>
  <c r="FD25" i="65"/>
  <c r="FC25" i="65"/>
  <c r="FB25" i="65"/>
  <c r="FA25" i="65"/>
  <c r="EZ25" i="65"/>
  <c r="EY25" i="65"/>
  <c r="EX25" i="65"/>
  <c r="EW25" i="65"/>
  <c r="EV25" i="65"/>
  <c r="EU25" i="65"/>
  <c r="ET25" i="65"/>
  <c r="ES25" i="65"/>
  <c r="ER25" i="65"/>
  <c r="EQ25" i="65"/>
  <c r="EP25" i="65"/>
  <c r="EO25" i="65"/>
  <c r="EN25" i="65"/>
  <c r="EM25" i="65"/>
  <c r="EL25" i="65"/>
  <c r="EK25" i="65"/>
  <c r="EJ25" i="65"/>
  <c r="EI25" i="65"/>
  <c r="EH25" i="65"/>
  <c r="EG25" i="65"/>
  <c r="EF25" i="65"/>
  <c r="EE25" i="65"/>
  <c r="ED25" i="65"/>
  <c r="EC25" i="65"/>
  <c r="DV25" i="65"/>
  <c r="DU25" i="65"/>
  <c r="DT25" i="65"/>
  <c r="DS25" i="65"/>
  <c r="DR25" i="65"/>
  <c r="DQ25" i="65"/>
  <c r="DP25" i="65"/>
  <c r="GC24" i="65"/>
  <c r="GB24" i="65"/>
  <c r="GA24" i="65"/>
  <c r="FZ24" i="65"/>
  <c r="FY24" i="65"/>
  <c r="FX24" i="65"/>
  <c r="FW24" i="65"/>
  <c r="FV24" i="65"/>
  <c r="FT24" i="65"/>
  <c r="FS24" i="65"/>
  <c r="FQ24" i="65"/>
  <c r="FO24" i="65"/>
  <c r="FN24" i="65"/>
  <c r="FM24" i="65"/>
  <c r="FK24" i="65"/>
  <c r="FI24" i="65"/>
  <c r="FH24" i="65"/>
  <c r="FG24" i="65"/>
  <c r="FF24" i="65"/>
  <c r="FE24" i="65"/>
  <c r="FD24" i="65"/>
  <c r="FC24" i="65"/>
  <c r="FB24" i="65"/>
  <c r="FA24" i="65"/>
  <c r="EZ24" i="65"/>
  <c r="EY24" i="65"/>
  <c r="EX24" i="65"/>
  <c r="EW24" i="65"/>
  <c r="EV24" i="65"/>
  <c r="EU24" i="65"/>
  <c r="ET24" i="65"/>
  <c r="ES24" i="65"/>
  <c r="ER24" i="65"/>
  <c r="EQ24" i="65"/>
  <c r="EP24" i="65"/>
  <c r="EO24" i="65"/>
  <c r="EN24" i="65"/>
  <c r="EM24" i="65"/>
  <c r="EL24" i="65"/>
  <c r="EK24" i="65"/>
  <c r="EJ24" i="65"/>
  <c r="EI24" i="65"/>
  <c r="EH24" i="65"/>
  <c r="EG24" i="65"/>
  <c r="EF24" i="65"/>
  <c r="EE24" i="65"/>
  <c r="ED24" i="65"/>
  <c r="EC24" i="65"/>
  <c r="DV24" i="65"/>
  <c r="DU24" i="65"/>
  <c r="DT24" i="65"/>
  <c r="DS24" i="65"/>
  <c r="DR24" i="65"/>
  <c r="DQ24" i="65"/>
  <c r="DP24" i="65"/>
  <c r="GC23" i="65"/>
  <c r="GB23" i="65"/>
  <c r="GA23" i="65"/>
  <c r="FZ23" i="65"/>
  <c r="FY23" i="65"/>
  <c r="FX23" i="65"/>
  <c r="FW23" i="65"/>
  <c r="FV23" i="65"/>
  <c r="FT23" i="65"/>
  <c r="FS23" i="65"/>
  <c r="FR23" i="65"/>
  <c r="FQ23" i="65"/>
  <c r="FP23" i="65"/>
  <c r="FO23" i="65"/>
  <c r="FN23" i="65"/>
  <c r="FM23" i="65"/>
  <c r="FK23" i="65"/>
  <c r="FI23" i="65"/>
  <c r="FH23" i="65"/>
  <c r="FG23" i="65"/>
  <c r="FF23" i="65"/>
  <c r="FE23" i="65"/>
  <c r="FD23" i="65"/>
  <c r="FC23" i="65"/>
  <c r="FB23" i="65"/>
  <c r="FA23" i="65"/>
  <c r="EZ23" i="65"/>
  <c r="EY23" i="65"/>
  <c r="EX23" i="65"/>
  <c r="EW23" i="65"/>
  <c r="EV23" i="65"/>
  <c r="EU23" i="65"/>
  <c r="ET23" i="65"/>
  <c r="ES23" i="65"/>
  <c r="ER23" i="65"/>
  <c r="EQ23" i="65"/>
  <c r="EP23" i="65"/>
  <c r="EO23" i="65"/>
  <c r="EN23" i="65"/>
  <c r="EM23" i="65"/>
  <c r="EL23" i="65"/>
  <c r="EK23" i="65"/>
  <c r="EJ23" i="65"/>
  <c r="EI23" i="65"/>
  <c r="EH23" i="65"/>
  <c r="EG23" i="65"/>
  <c r="EF23" i="65"/>
  <c r="EE23" i="65"/>
  <c r="ED23" i="65"/>
  <c r="EC23" i="65"/>
  <c r="DV23" i="65"/>
  <c r="DU23" i="65"/>
  <c r="DT23" i="65"/>
  <c r="DS23" i="65"/>
  <c r="DR23" i="65"/>
  <c r="DQ23" i="65"/>
  <c r="DP23" i="65"/>
  <c r="GC22" i="65"/>
  <c r="GB22" i="65"/>
  <c r="GA22" i="65"/>
  <c r="FZ22" i="65"/>
  <c r="FY22" i="65"/>
  <c r="FX22" i="65"/>
  <c r="FW22" i="65"/>
  <c r="FV22" i="65"/>
  <c r="FT22" i="65"/>
  <c r="FS22" i="65"/>
  <c r="FR22" i="65"/>
  <c r="FQ22" i="65"/>
  <c r="FP22" i="65"/>
  <c r="FO22" i="65"/>
  <c r="FN22" i="65"/>
  <c r="FM22" i="65"/>
  <c r="FK22" i="65"/>
  <c r="FI22" i="65"/>
  <c r="FH22" i="65"/>
  <c r="FG22" i="65"/>
  <c r="FF22" i="65"/>
  <c r="FE22" i="65"/>
  <c r="FD22" i="65"/>
  <c r="FC22" i="65"/>
  <c r="FB22" i="65"/>
  <c r="FA22" i="65"/>
  <c r="EZ22" i="65"/>
  <c r="EY22" i="65"/>
  <c r="EX22" i="65"/>
  <c r="EW22" i="65"/>
  <c r="EV22" i="65"/>
  <c r="EU22" i="65"/>
  <c r="ET22" i="65"/>
  <c r="ES22" i="65"/>
  <c r="ER22" i="65"/>
  <c r="EQ22" i="65"/>
  <c r="EP22" i="65"/>
  <c r="EO22" i="65"/>
  <c r="EN22" i="65"/>
  <c r="EM22" i="65"/>
  <c r="EL22" i="65"/>
  <c r="EK22" i="65"/>
  <c r="EJ22" i="65"/>
  <c r="EI22" i="65"/>
  <c r="EH22" i="65"/>
  <c r="EG22" i="65"/>
  <c r="EF22" i="65"/>
  <c r="EE22" i="65"/>
  <c r="ED22" i="65"/>
  <c r="EC22" i="65"/>
  <c r="DV22" i="65"/>
  <c r="DU22" i="65"/>
  <c r="DT22" i="65"/>
  <c r="DS22" i="65"/>
  <c r="DR22" i="65"/>
  <c r="DQ22" i="65"/>
  <c r="DP22" i="65"/>
  <c r="GC21" i="65"/>
  <c r="GB21" i="65"/>
  <c r="GA21" i="65"/>
  <c r="FZ21" i="65"/>
  <c r="FY21" i="65"/>
  <c r="FX21" i="65"/>
  <c r="FW21" i="65"/>
  <c r="FV21" i="65"/>
  <c r="FT21" i="65"/>
  <c r="FS21" i="65"/>
  <c r="FR21" i="65"/>
  <c r="FQ21" i="65"/>
  <c r="FP21" i="65"/>
  <c r="FO21" i="65"/>
  <c r="FN21" i="65"/>
  <c r="FM21" i="65"/>
  <c r="FK21" i="65"/>
  <c r="FI21" i="65"/>
  <c r="FH21" i="65"/>
  <c r="FG21" i="65"/>
  <c r="FF21" i="65"/>
  <c r="FE21" i="65"/>
  <c r="FD21" i="65"/>
  <c r="FC21" i="65"/>
  <c r="FB21" i="65"/>
  <c r="FA21" i="65"/>
  <c r="EZ21" i="65"/>
  <c r="EY21" i="65"/>
  <c r="EX21" i="65"/>
  <c r="EW21" i="65"/>
  <c r="EV21" i="65"/>
  <c r="EU21" i="65"/>
  <c r="ET21" i="65"/>
  <c r="ES21" i="65"/>
  <c r="ER21" i="65"/>
  <c r="EQ21" i="65"/>
  <c r="EP21" i="65"/>
  <c r="EO21" i="65"/>
  <c r="EN21" i="65"/>
  <c r="EM21" i="65"/>
  <c r="EL21" i="65"/>
  <c r="EK21" i="65"/>
  <c r="EJ21" i="65"/>
  <c r="EI21" i="65"/>
  <c r="EH21" i="65"/>
  <c r="EG21" i="65"/>
  <c r="EF21" i="65"/>
  <c r="EE21" i="65"/>
  <c r="ED21" i="65"/>
  <c r="EC21" i="65"/>
  <c r="DV21" i="65"/>
  <c r="DU21" i="65"/>
  <c r="DT21" i="65"/>
  <c r="DS21" i="65"/>
  <c r="DR21" i="65"/>
  <c r="DQ21" i="65"/>
  <c r="DP21" i="65"/>
  <c r="GC20" i="65"/>
  <c r="GB20" i="65"/>
  <c r="GA20" i="65"/>
  <c r="FZ20" i="65"/>
  <c r="FY20" i="65"/>
  <c r="FX20" i="65"/>
  <c r="FW20" i="65"/>
  <c r="FV20" i="65"/>
  <c r="FT20" i="65"/>
  <c r="FS20" i="65"/>
  <c r="FR20" i="65"/>
  <c r="FQ20" i="65"/>
  <c r="FP20" i="65"/>
  <c r="FO20" i="65"/>
  <c r="FN20" i="65"/>
  <c r="FM20" i="65"/>
  <c r="FK20" i="65"/>
  <c r="FI20" i="65"/>
  <c r="FH20" i="65"/>
  <c r="FG20" i="65"/>
  <c r="FF20" i="65"/>
  <c r="FE20" i="65"/>
  <c r="FD20" i="65"/>
  <c r="FC20" i="65"/>
  <c r="FB20" i="65"/>
  <c r="FA20" i="65"/>
  <c r="EZ20" i="65"/>
  <c r="EY20" i="65"/>
  <c r="EX20" i="65"/>
  <c r="EW20" i="65"/>
  <c r="EV20" i="65"/>
  <c r="EU20" i="65"/>
  <c r="ET20" i="65"/>
  <c r="ES20" i="65"/>
  <c r="ER20" i="65"/>
  <c r="EQ20" i="65"/>
  <c r="EP20" i="65"/>
  <c r="EO20" i="65"/>
  <c r="EN20" i="65"/>
  <c r="EM20" i="65"/>
  <c r="EL20" i="65"/>
  <c r="EK20" i="65"/>
  <c r="EJ20" i="65"/>
  <c r="EI20" i="65"/>
  <c r="EH20" i="65"/>
  <c r="EG20" i="65"/>
  <c r="EF20" i="65"/>
  <c r="EE20" i="65"/>
  <c r="ED20" i="65"/>
  <c r="EC20" i="65"/>
  <c r="DV20" i="65"/>
  <c r="DU20" i="65"/>
  <c r="DT20" i="65"/>
  <c r="DS20" i="65"/>
  <c r="DR20" i="65"/>
  <c r="DQ20" i="65"/>
  <c r="DP20" i="65"/>
  <c r="GC19" i="65"/>
  <c r="GB19" i="65"/>
  <c r="GA19" i="65"/>
  <c r="FZ19" i="65"/>
  <c r="FY19" i="65"/>
  <c r="FX19" i="65"/>
  <c r="FW19" i="65"/>
  <c r="FV19" i="65"/>
  <c r="FT19" i="65"/>
  <c r="FS19" i="65"/>
  <c r="FR19" i="65"/>
  <c r="FQ19" i="65"/>
  <c r="FP19" i="65"/>
  <c r="FO19" i="65"/>
  <c r="FN19" i="65"/>
  <c r="FM19" i="65"/>
  <c r="FK19" i="65"/>
  <c r="FI19" i="65"/>
  <c r="FH19" i="65"/>
  <c r="FG19" i="65"/>
  <c r="FF19" i="65"/>
  <c r="FE19" i="65"/>
  <c r="FD19" i="65"/>
  <c r="FC19" i="65"/>
  <c r="FB19" i="65"/>
  <c r="FA19" i="65"/>
  <c r="EZ19" i="65"/>
  <c r="EY19" i="65"/>
  <c r="EX19" i="65"/>
  <c r="EW19" i="65"/>
  <c r="EV19" i="65"/>
  <c r="EU19" i="65"/>
  <c r="ET19" i="65"/>
  <c r="ES19" i="65"/>
  <c r="ER19" i="65"/>
  <c r="EQ19" i="65"/>
  <c r="EP19" i="65"/>
  <c r="EO19" i="65"/>
  <c r="EN19" i="65"/>
  <c r="EM19" i="65"/>
  <c r="EL19" i="65"/>
  <c r="EK19" i="65"/>
  <c r="EJ19" i="65"/>
  <c r="EI19" i="65"/>
  <c r="EH19" i="65"/>
  <c r="EG19" i="65"/>
  <c r="EF19" i="65"/>
  <c r="EE19" i="65"/>
  <c r="ED19" i="65"/>
  <c r="EC19" i="65"/>
  <c r="DV19" i="65"/>
  <c r="DU19" i="65"/>
  <c r="DT19" i="65"/>
  <c r="DS19" i="65"/>
  <c r="DR19" i="65"/>
  <c r="DQ19" i="65"/>
  <c r="DP19" i="65"/>
  <c r="GC18" i="65"/>
  <c r="GB18" i="65"/>
  <c r="GA18" i="65"/>
  <c r="FZ18" i="65"/>
  <c r="FY18" i="65"/>
  <c r="FX18" i="65"/>
  <c r="FW18" i="65"/>
  <c r="FV18" i="65"/>
  <c r="FT18" i="65"/>
  <c r="FS18" i="65"/>
  <c r="FR18" i="65"/>
  <c r="FQ18" i="65"/>
  <c r="FP18" i="65"/>
  <c r="FO18" i="65"/>
  <c r="FN18" i="65"/>
  <c r="FM18" i="65"/>
  <c r="FK18" i="65"/>
  <c r="FI18" i="65"/>
  <c r="FH18" i="65"/>
  <c r="FG18" i="65"/>
  <c r="FF18" i="65"/>
  <c r="FE18" i="65"/>
  <c r="FD18" i="65"/>
  <c r="FC18" i="65"/>
  <c r="FB18" i="65"/>
  <c r="FA18" i="65"/>
  <c r="EZ18" i="65"/>
  <c r="EY18" i="65"/>
  <c r="EX18" i="65"/>
  <c r="EW18" i="65"/>
  <c r="EV18" i="65"/>
  <c r="EU18" i="65"/>
  <c r="ET18" i="65"/>
  <c r="ES18" i="65"/>
  <c r="ER18" i="65"/>
  <c r="EQ18" i="65"/>
  <c r="EP18" i="65"/>
  <c r="EO18" i="65"/>
  <c r="EN18" i="65"/>
  <c r="EM18" i="65"/>
  <c r="EL18" i="65"/>
  <c r="EK18" i="65"/>
  <c r="EJ18" i="65"/>
  <c r="EI18" i="65"/>
  <c r="EH18" i="65"/>
  <c r="EG18" i="65"/>
  <c r="EF18" i="65"/>
  <c r="EE18" i="65"/>
  <c r="ED18" i="65"/>
  <c r="EC18" i="65"/>
  <c r="DV18" i="65"/>
  <c r="DU18" i="65"/>
  <c r="DT18" i="65"/>
  <c r="DS18" i="65"/>
  <c r="DR18" i="65"/>
  <c r="DQ18" i="65"/>
  <c r="DP18" i="65"/>
  <c r="GC17" i="65"/>
  <c r="GB17" i="65"/>
  <c r="GA17" i="65"/>
  <c r="FZ17" i="65"/>
  <c r="FY17" i="65"/>
  <c r="FX17" i="65"/>
  <c r="FW17" i="65"/>
  <c r="FV17" i="65"/>
  <c r="FT17" i="65"/>
  <c r="FS17" i="65"/>
  <c r="FR17" i="65"/>
  <c r="FQ17" i="65"/>
  <c r="FP17" i="65"/>
  <c r="FO17" i="65"/>
  <c r="FN17" i="65"/>
  <c r="FM17" i="65"/>
  <c r="FK17" i="65"/>
  <c r="FI17" i="65"/>
  <c r="FH17" i="65"/>
  <c r="FG17" i="65"/>
  <c r="FF17" i="65"/>
  <c r="FE17" i="65"/>
  <c r="FD17" i="65"/>
  <c r="FC17" i="65"/>
  <c r="FB17" i="65"/>
  <c r="FA17" i="65"/>
  <c r="EZ17" i="65"/>
  <c r="EY17" i="65"/>
  <c r="EX17" i="65"/>
  <c r="EW17" i="65"/>
  <c r="EV17" i="65"/>
  <c r="EU17" i="65"/>
  <c r="ET17" i="65"/>
  <c r="ES17" i="65"/>
  <c r="ER17" i="65"/>
  <c r="EQ17" i="65"/>
  <c r="EP17" i="65"/>
  <c r="EO17" i="65"/>
  <c r="EN17" i="65"/>
  <c r="EM17" i="65"/>
  <c r="EL17" i="65"/>
  <c r="EK17" i="65"/>
  <c r="EJ17" i="65"/>
  <c r="EI17" i="65"/>
  <c r="EH17" i="65"/>
  <c r="EG17" i="65"/>
  <c r="EF17" i="65"/>
  <c r="EE17" i="65"/>
  <c r="ED17" i="65"/>
  <c r="EC17" i="65"/>
  <c r="DV17" i="65"/>
  <c r="DU17" i="65"/>
  <c r="DT17" i="65"/>
  <c r="DS17" i="65"/>
  <c r="DR17" i="65"/>
  <c r="DQ17" i="65"/>
  <c r="DP17" i="65"/>
  <c r="GC16" i="65"/>
  <c r="GB16" i="65"/>
  <c r="GA16" i="65"/>
  <c r="FZ16" i="65"/>
  <c r="FY16" i="65"/>
  <c r="FX16" i="65"/>
  <c r="FW16" i="65"/>
  <c r="FV16" i="65"/>
  <c r="FT16" i="65"/>
  <c r="FS16" i="65"/>
  <c r="FR16" i="65"/>
  <c r="FQ16" i="65"/>
  <c r="FP16" i="65"/>
  <c r="FO16" i="65"/>
  <c r="FN16" i="65"/>
  <c r="FM16" i="65"/>
  <c r="FK16" i="65"/>
  <c r="FI16" i="65"/>
  <c r="FH16" i="65"/>
  <c r="FG16" i="65"/>
  <c r="FF16" i="65"/>
  <c r="FE16" i="65"/>
  <c r="FD16" i="65"/>
  <c r="FC16" i="65"/>
  <c r="FB16" i="65"/>
  <c r="FA16" i="65"/>
  <c r="EZ16" i="65"/>
  <c r="EY16" i="65"/>
  <c r="EX16" i="65"/>
  <c r="EW16" i="65"/>
  <c r="EV16" i="65"/>
  <c r="EU16" i="65"/>
  <c r="ET16" i="65"/>
  <c r="ES16" i="65"/>
  <c r="ER16" i="65"/>
  <c r="EQ16" i="65"/>
  <c r="EP16" i="65"/>
  <c r="EO16" i="65"/>
  <c r="EN16" i="65"/>
  <c r="EM16" i="65"/>
  <c r="EL16" i="65"/>
  <c r="EK16" i="65"/>
  <c r="EJ16" i="65"/>
  <c r="EI16" i="65"/>
  <c r="EH16" i="65"/>
  <c r="EG16" i="65"/>
  <c r="EF16" i="65"/>
  <c r="EE16" i="65"/>
  <c r="ED16" i="65"/>
  <c r="EC16" i="65"/>
  <c r="DV16" i="65"/>
  <c r="DU16" i="65"/>
  <c r="DT16" i="65"/>
  <c r="DS16" i="65"/>
  <c r="DR16" i="65"/>
  <c r="DQ16" i="65"/>
  <c r="DP16" i="65"/>
  <c r="GC15" i="65"/>
  <c r="GB15" i="65"/>
  <c r="GA15" i="65"/>
  <c r="FZ15" i="65"/>
  <c r="FY15" i="65"/>
  <c r="FX15" i="65"/>
  <c r="FW15" i="65"/>
  <c r="FV15" i="65"/>
  <c r="FT15" i="65"/>
  <c r="FS15" i="65"/>
  <c r="FR15" i="65"/>
  <c r="FQ15" i="65"/>
  <c r="FP15" i="65"/>
  <c r="FO15" i="65"/>
  <c r="FN15" i="65"/>
  <c r="FM15" i="65"/>
  <c r="FK15" i="65"/>
  <c r="FI15" i="65"/>
  <c r="FH15" i="65"/>
  <c r="FG15" i="65"/>
  <c r="FF15" i="65"/>
  <c r="FE15" i="65"/>
  <c r="FD15" i="65"/>
  <c r="FC15" i="65"/>
  <c r="FB15" i="65"/>
  <c r="FA15" i="65"/>
  <c r="EZ15" i="65"/>
  <c r="EY15" i="65"/>
  <c r="EX15" i="65"/>
  <c r="EW15" i="65"/>
  <c r="EV15" i="65"/>
  <c r="EU15" i="65"/>
  <c r="ET15" i="65"/>
  <c r="ES15" i="65"/>
  <c r="ER15" i="65"/>
  <c r="EQ15" i="65"/>
  <c r="EP15" i="65"/>
  <c r="EO15" i="65"/>
  <c r="EN15" i="65"/>
  <c r="EM15" i="65"/>
  <c r="EL15" i="65"/>
  <c r="EK15" i="65"/>
  <c r="EJ15" i="65"/>
  <c r="EI15" i="65"/>
  <c r="EH15" i="65"/>
  <c r="EG15" i="65"/>
  <c r="EF15" i="65"/>
  <c r="EE15" i="65"/>
  <c r="ED15" i="65"/>
  <c r="EC15" i="65"/>
  <c r="DV15" i="65"/>
  <c r="DU15" i="65"/>
  <c r="DT15" i="65"/>
  <c r="DS15" i="65"/>
  <c r="DR15" i="65"/>
  <c r="DQ15" i="65"/>
  <c r="DP15" i="65"/>
  <c r="GC14" i="65"/>
  <c r="GB14" i="65"/>
  <c r="GA14" i="65"/>
  <c r="FZ14" i="65"/>
  <c r="FY14" i="65"/>
  <c r="FX14" i="65"/>
  <c r="FW14" i="65"/>
  <c r="FV14" i="65"/>
  <c r="FT14" i="65"/>
  <c r="FS14" i="65"/>
  <c r="FR14" i="65"/>
  <c r="FQ14" i="65"/>
  <c r="FP14" i="65"/>
  <c r="FO14" i="65"/>
  <c r="FN14" i="65"/>
  <c r="FM14" i="65"/>
  <c r="FK14" i="65"/>
  <c r="FI14" i="65"/>
  <c r="FH14" i="65"/>
  <c r="FG14" i="65"/>
  <c r="FF14" i="65"/>
  <c r="FE14" i="65"/>
  <c r="FD14" i="65"/>
  <c r="FC14" i="65"/>
  <c r="FB14" i="65"/>
  <c r="FA14" i="65"/>
  <c r="EZ14" i="65"/>
  <c r="EY14" i="65"/>
  <c r="EX14" i="65"/>
  <c r="EW14" i="65"/>
  <c r="EV14" i="65"/>
  <c r="EU14" i="65"/>
  <c r="ET14" i="65"/>
  <c r="ES14" i="65"/>
  <c r="ER14" i="65"/>
  <c r="EQ14" i="65"/>
  <c r="EP14" i="65"/>
  <c r="EO14" i="65"/>
  <c r="EN14" i="65"/>
  <c r="EM14" i="65"/>
  <c r="EL14" i="65"/>
  <c r="EK14" i="65"/>
  <c r="EJ14" i="65"/>
  <c r="EI14" i="65"/>
  <c r="EH14" i="65"/>
  <c r="EG14" i="65"/>
  <c r="EF14" i="65"/>
  <c r="EE14" i="65"/>
  <c r="ED14" i="65"/>
  <c r="EC14" i="65"/>
  <c r="DV14" i="65"/>
  <c r="DU14" i="65"/>
  <c r="DT14" i="65"/>
  <c r="DS14" i="65"/>
  <c r="DR14" i="65"/>
  <c r="DQ14" i="65"/>
  <c r="DP14" i="65"/>
  <c r="GC13" i="65"/>
  <c r="GB13" i="65"/>
  <c r="GA13" i="65"/>
  <c r="FZ13" i="65"/>
  <c r="FY13" i="65"/>
  <c r="FX13" i="65"/>
  <c r="FW13" i="65"/>
  <c r="FV13" i="65"/>
  <c r="FT13" i="65"/>
  <c r="FS13" i="65"/>
  <c r="FR13" i="65"/>
  <c r="FQ13" i="65"/>
  <c r="FP13" i="65"/>
  <c r="FO13" i="65"/>
  <c r="FN13" i="65"/>
  <c r="FM13" i="65"/>
  <c r="FK13" i="65"/>
  <c r="FI13" i="65"/>
  <c r="FH13" i="65"/>
  <c r="FG13" i="65"/>
  <c r="FF13" i="65"/>
  <c r="FE13" i="65"/>
  <c r="FD13" i="65"/>
  <c r="FC13" i="65"/>
  <c r="FB13" i="65"/>
  <c r="FA13" i="65"/>
  <c r="EZ13" i="65"/>
  <c r="EY13" i="65"/>
  <c r="EX13" i="65"/>
  <c r="EW13" i="65"/>
  <c r="EV13" i="65"/>
  <c r="EU13" i="65"/>
  <c r="ET13" i="65"/>
  <c r="ES13" i="65"/>
  <c r="ER13" i="65"/>
  <c r="EQ13" i="65"/>
  <c r="EP13" i="65"/>
  <c r="EO13" i="65"/>
  <c r="EN13" i="65"/>
  <c r="EM13" i="65"/>
  <c r="EL13" i="65"/>
  <c r="EK13" i="65"/>
  <c r="EJ13" i="65"/>
  <c r="EI13" i="65"/>
  <c r="EH13" i="65"/>
  <c r="EG13" i="65"/>
  <c r="EF13" i="65"/>
  <c r="EE13" i="65"/>
  <c r="ED13" i="65"/>
  <c r="EC13" i="65"/>
  <c r="DV13" i="65"/>
  <c r="DU13" i="65"/>
  <c r="DT13" i="65"/>
  <c r="DS13" i="65"/>
  <c r="DR13" i="65"/>
  <c r="DQ13" i="65"/>
  <c r="DP13" i="65"/>
  <c r="GC12" i="65"/>
  <c r="GB12" i="65"/>
  <c r="GA12" i="65"/>
  <c r="FZ12" i="65"/>
  <c r="FY12" i="65"/>
  <c r="FX12" i="65"/>
  <c r="FW12" i="65"/>
  <c r="FV12" i="65"/>
  <c r="FT12" i="65"/>
  <c r="FS12" i="65"/>
  <c r="FR12" i="65"/>
  <c r="FQ12" i="65"/>
  <c r="FP12" i="65"/>
  <c r="FO12" i="65"/>
  <c r="FN12" i="65"/>
  <c r="FM12" i="65"/>
  <c r="FK12" i="65"/>
  <c r="FI12" i="65"/>
  <c r="FH12" i="65"/>
  <c r="FG12" i="65"/>
  <c r="FF12" i="65"/>
  <c r="FE12" i="65"/>
  <c r="FD12" i="65"/>
  <c r="FC12" i="65"/>
  <c r="FB12" i="65"/>
  <c r="FA12" i="65"/>
  <c r="EZ12" i="65"/>
  <c r="EY12" i="65"/>
  <c r="EX12" i="65"/>
  <c r="EW12" i="65"/>
  <c r="EV12" i="65"/>
  <c r="EU12" i="65"/>
  <c r="ET12" i="65"/>
  <c r="ES12" i="65"/>
  <c r="ER12" i="65"/>
  <c r="EQ12" i="65"/>
  <c r="EP12" i="65"/>
  <c r="EO12" i="65"/>
  <c r="EN12" i="65"/>
  <c r="EM12" i="65"/>
  <c r="EL12" i="65"/>
  <c r="EK12" i="65"/>
  <c r="EJ12" i="65"/>
  <c r="EI12" i="65"/>
  <c r="EH12" i="65"/>
  <c r="EG12" i="65"/>
  <c r="EF12" i="65"/>
  <c r="EE12" i="65"/>
  <c r="ED12" i="65"/>
  <c r="EC12" i="65"/>
  <c r="DV12" i="65"/>
  <c r="DU12" i="65"/>
  <c r="DT12" i="65"/>
  <c r="DS12" i="65"/>
  <c r="DR12" i="65"/>
  <c r="DQ12" i="65"/>
  <c r="DP12" i="65"/>
  <c r="GC11" i="65"/>
  <c r="GB11" i="65"/>
  <c r="GA11" i="65"/>
  <c r="FZ11" i="65"/>
  <c r="FY11" i="65"/>
  <c r="FX11" i="65"/>
  <c r="FW11" i="65"/>
  <c r="FV11" i="65"/>
  <c r="FT11" i="65"/>
  <c r="FS11" i="65"/>
  <c r="FR11" i="65"/>
  <c r="FQ11" i="65"/>
  <c r="FP11" i="65"/>
  <c r="FO11" i="65"/>
  <c r="FN11" i="65"/>
  <c r="FM11" i="65"/>
  <c r="FK11" i="65"/>
  <c r="FI11" i="65"/>
  <c r="FH11" i="65"/>
  <c r="FG11" i="65"/>
  <c r="FF11" i="65"/>
  <c r="FE11" i="65"/>
  <c r="FD11" i="65"/>
  <c r="FC11" i="65"/>
  <c r="FB11" i="65"/>
  <c r="FA11" i="65"/>
  <c r="EZ11" i="65"/>
  <c r="EY11" i="65"/>
  <c r="EX11" i="65"/>
  <c r="EW11" i="65"/>
  <c r="EV11" i="65"/>
  <c r="EU11" i="65"/>
  <c r="ET11" i="65"/>
  <c r="ES11" i="65"/>
  <c r="ER11" i="65"/>
  <c r="EQ11" i="65"/>
  <c r="EP11" i="65"/>
  <c r="EO11" i="65"/>
  <c r="EN11" i="65"/>
  <c r="EM11" i="65"/>
  <c r="EL11" i="65"/>
  <c r="EK11" i="65"/>
  <c r="EJ11" i="65"/>
  <c r="EI11" i="65"/>
  <c r="EH11" i="65"/>
  <c r="EG11" i="65"/>
  <c r="EF11" i="65"/>
  <c r="EE11" i="65"/>
  <c r="ED11" i="65"/>
  <c r="EC11" i="65"/>
  <c r="DV11" i="65"/>
  <c r="DU11" i="65"/>
  <c r="DT11" i="65"/>
  <c r="DS11" i="65"/>
  <c r="DR11" i="65"/>
  <c r="DQ11" i="65"/>
  <c r="DP11" i="65"/>
  <c r="GC10" i="65"/>
  <c r="GB10" i="65"/>
  <c r="GA10" i="65"/>
  <c r="FZ10" i="65"/>
  <c r="FY10" i="65"/>
  <c r="FX10" i="65"/>
  <c r="FW10" i="65"/>
  <c r="FV10" i="65"/>
  <c r="FT10" i="65"/>
  <c r="FS10" i="65"/>
  <c r="FR10" i="65"/>
  <c r="FQ10" i="65"/>
  <c r="FP10" i="65"/>
  <c r="FO10" i="65"/>
  <c r="FN10" i="65"/>
  <c r="FM10" i="65"/>
  <c r="FK10" i="65"/>
  <c r="FI10" i="65"/>
  <c r="FH10" i="65"/>
  <c r="FG10" i="65"/>
  <c r="FF10" i="65"/>
  <c r="FE10" i="65"/>
  <c r="FD10" i="65"/>
  <c r="FC10" i="65"/>
  <c r="FB10" i="65"/>
  <c r="FA10" i="65"/>
  <c r="EZ10" i="65"/>
  <c r="EY10" i="65"/>
  <c r="EX10" i="65"/>
  <c r="EW10" i="65"/>
  <c r="EV10" i="65"/>
  <c r="EU10" i="65"/>
  <c r="ET10" i="65"/>
  <c r="ES10" i="65"/>
  <c r="ER10" i="65"/>
  <c r="EQ10" i="65"/>
  <c r="EP10" i="65"/>
  <c r="EO10" i="65"/>
  <c r="EN10" i="65"/>
  <c r="EM10" i="65"/>
  <c r="EL10" i="65"/>
  <c r="EK10" i="65"/>
  <c r="EJ10" i="65"/>
  <c r="EI10" i="65"/>
  <c r="EH10" i="65"/>
  <c r="EG10" i="65"/>
  <c r="EF10" i="65"/>
  <c r="EE10" i="65"/>
  <c r="ED10" i="65"/>
  <c r="EC10" i="65"/>
  <c r="DV10" i="65"/>
  <c r="DU10" i="65"/>
  <c r="DT10" i="65"/>
  <c r="DS10" i="65"/>
  <c r="DR10" i="65"/>
  <c r="DQ10" i="65"/>
  <c r="DP10" i="65"/>
  <c r="GC9" i="65"/>
  <c r="GB9" i="65"/>
  <c r="GA9" i="65"/>
  <c r="FZ9" i="65"/>
  <c r="FY9" i="65"/>
  <c r="FX9" i="65"/>
  <c r="FW9" i="65"/>
  <c r="FV9" i="65"/>
  <c r="FU40" i="65"/>
  <c r="FT9" i="65"/>
  <c r="FS9" i="65"/>
  <c r="FR9" i="65"/>
  <c r="FQ9" i="65"/>
  <c r="FP9" i="65"/>
  <c r="FO9" i="65"/>
  <c r="FN9" i="65"/>
  <c r="FM9" i="65"/>
  <c r="FL9" i="65"/>
  <c r="FK9" i="65"/>
  <c r="FJ9" i="65"/>
  <c r="FI9" i="65"/>
  <c r="FH9" i="65"/>
  <c r="FG9" i="65"/>
  <c r="FF9" i="65"/>
  <c r="FE9" i="65"/>
  <c r="FD9" i="65"/>
  <c r="FC9" i="65"/>
  <c r="FB9" i="65"/>
  <c r="FA9" i="65"/>
  <c r="EZ9" i="65"/>
  <c r="EY9" i="65"/>
  <c r="EX9" i="65"/>
  <c r="EW9" i="65"/>
  <c r="EV9" i="65"/>
  <c r="EU9" i="65"/>
  <c r="ET9" i="65"/>
  <c r="ES9" i="65"/>
  <c r="ER9" i="65"/>
  <c r="EQ9" i="65"/>
  <c r="EP9" i="65"/>
  <c r="EO9" i="65"/>
  <c r="EN9" i="65"/>
  <c r="EM9" i="65"/>
  <c r="EL9" i="65"/>
  <c r="EK9" i="65"/>
  <c r="EJ9" i="65"/>
  <c r="EI9" i="65"/>
  <c r="EH9" i="65"/>
  <c r="EG9" i="65"/>
  <c r="EF9" i="65"/>
  <c r="EE9" i="65"/>
  <c r="ED9" i="65"/>
  <c r="EC9" i="65"/>
  <c r="DV9" i="65"/>
  <c r="DU9" i="65"/>
  <c r="DT9" i="65"/>
  <c r="DS9" i="65"/>
  <c r="DR9" i="65"/>
  <c r="DQ9" i="65"/>
  <c r="DP9" i="65"/>
  <c r="FE7" i="65"/>
  <c r="EJ7" i="65"/>
  <c r="EH7" i="65"/>
  <c r="EB7" i="65"/>
  <c r="EA7" i="65"/>
  <c r="DZ7" i="65"/>
  <c r="DV7" i="65"/>
  <c r="DT7" i="65"/>
  <c r="EB40" i="69"/>
  <c r="EA40" i="69"/>
  <c r="DZ40" i="69"/>
  <c r="DY40" i="69"/>
  <c r="DX40" i="69"/>
  <c r="DW40" i="69"/>
  <c r="GC39" i="69"/>
  <c r="GB39" i="69"/>
  <c r="GA39" i="69"/>
  <c r="FZ39" i="69"/>
  <c r="FY39" i="69"/>
  <c r="FX39" i="69"/>
  <c r="FW39" i="69"/>
  <c r="FV39" i="69"/>
  <c r="FT39" i="69"/>
  <c r="FS39" i="69"/>
  <c r="FQ39" i="69"/>
  <c r="FO39" i="69"/>
  <c r="FN39" i="69"/>
  <c r="FM39" i="69"/>
  <c r="FK39" i="69"/>
  <c r="FI39" i="69"/>
  <c r="FD39" i="69"/>
  <c r="FC39" i="69"/>
  <c r="FB39" i="69"/>
  <c r="FA39" i="69"/>
  <c r="EZ39" i="69"/>
  <c r="EY39" i="69"/>
  <c r="EX39" i="69"/>
  <c r="EW39" i="69"/>
  <c r="EV39" i="69"/>
  <c r="EU39" i="69"/>
  <c r="ET39" i="69"/>
  <c r="ES39" i="69"/>
  <c r="ER39" i="69"/>
  <c r="EQ39" i="69"/>
  <c r="EP39" i="69"/>
  <c r="EO39" i="69"/>
  <c r="EN39" i="69"/>
  <c r="EM39" i="69"/>
  <c r="EL39" i="69"/>
  <c r="EK39" i="69"/>
  <c r="EJ39" i="69"/>
  <c r="EI39" i="69"/>
  <c r="EH39" i="69"/>
  <c r="EG39" i="69"/>
  <c r="EE39" i="69"/>
  <c r="ED39" i="69"/>
  <c r="EC39" i="69"/>
  <c r="DV39" i="69"/>
  <c r="DU39" i="69"/>
  <c r="DT39" i="69"/>
  <c r="DS39" i="69"/>
  <c r="DR39" i="69"/>
  <c r="DQ39" i="69"/>
  <c r="DP39" i="69"/>
  <c r="GC38" i="69"/>
  <c r="GB38" i="69"/>
  <c r="GA38" i="69"/>
  <c r="FZ38" i="69"/>
  <c r="FY38" i="69"/>
  <c r="FX38" i="69"/>
  <c r="FW38" i="69"/>
  <c r="FV38" i="69"/>
  <c r="FT38" i="69"/>
  <c r="FS38" i="69"/>
  <c r="FQ38" i="69"/>
  <c r="FO38" i="69"/>
  <c r="FN38" i="69"/>
  <c r="FM38" i="69"/>
  <c r="FK38" i="69"/>
  <c r="FI38" i="69"/>
  <c r="FD38" i="69"/>
  <c r="FC38" i="69"/>
  <c r="FB38" i="69"/>
  <c r="FA38" i="69"/>
  <c r="EZ38" i="69"/>
  <c r="EY38" i="69"/>
  <c r="EX38" i="69"/>
  <c r="EW38" i="69"/>
  <c r="EV38" i="69"/>
  <c r="EU38" i="69"/>
  <c r="ET38" i="69"/>
  <c r="ES38" i="69"/>
  <c r="ER38" i="69"/>
  <c r="EQ38" i="69"/>
  <c r="EP38" i="69"/>
  <c r="EO38" i="69"/>
  <c r="EN38" i="69"/>
  <c r="EM38" i="69"/>
  <c r="EL38" i="69"/>
  <c r="EK38" i="69"/>
  <c r="EJ38" i="69"/>
  <c r="EI38" i="69"/>
  <c r="EH38" i="69"/>
  <c r="EG38" i="69"/>
  <c r="EE38" i="69"/>
  <c r="ED38" i="69"/>
  <c r="EC38" i="69"/>
  <c r="DV38" i="69"/>
  <c r="DU38" i="69"/>
  <c r="DT38" i="69"/>
  <c r="DS38" i="69"/>
  <c r="DR38" i="69"/>
  <c r="DQ38" i="69"/>
  <c r="DP38" i="69"/>
  <c r="GC37" i="69"/>
  <c r="GB37" i="69"/>
  <c r="GA37" i="69"/>
  <c r="FZ37" i="69"/>
  <c r="FY37" i="69"/>
  <c r="FX37" i="69"/>
  <c r="FW37" i="69"/>
  <c r="FV37" i="69"/>
  <c r="FT37" i="69"/>
  <c r="FS37" i="69"/>
  <c r="FQ37" i="69"/>
  <c r="FO37" i="69"/>
  <c r="FN37" i="69"/>
  <c r="FM37" i="69"/>
  <c r="FK37" i="69"/>
  <c r="FI37" i="69"/>
  <c r="FD37" i="69"/>
  <c r="FC37" i="69"/>
  <c r="FB37" i="69"/>
  <c r="FA37" i="69"/>
  <c r="EZ37" i="69"/>
  <c r="EY37" i="69"/>
  <c r="EX37" i="69"/>
  <c r="EW37" i="69"/>
  <c r="EV37" i="69"/>
  <c r="EU37" i="69"/>
  <c r="ET37" i="69"/>
  <c r="ES37" i="69"/>
  <c r="ER37" i="69"/>
  <c r="EQ37" i="69"/>
  <c r="EP37" i="69"/>
  <c r="EO37" i="69"/>
  <c r="EN37" i="69"/>
  <c r="EM37" i="69"/>
  <c r="EL37" i="69"/>
  <c r="EK37" i="69"/>
  <c r="EJ37" i="69"/>
  <c r="EI37" i="69"/>
  <c r="EH37" i="69"/>
  <c r="EG37" i="69"/>
  <c r="EE37" i="69"/>
  <c r="ED37" i="69"/>
  <c r="EC37" i="69"/>
  <c r="DV37" i="69"/>
  <c r="DU37" i="69"/>
  <c r="DT37" i="69"/>
  <c r="DS37" i="69"/>
  <c r="DR37" i="69"/>
  <c r="DQ37" i="69"/>
  <c r="DP37" i="69"/>
  <c r="GC36" i="69"/>
  <c r="GB36" i="69"/>
  <c r="GA36" i="69"/>
  <c r="FZ36" i="69"/>
  <c r="FY36" i="69"/>
  <c r="FX36" i="69"/>
  <c r="FW36" i="69"/>
  <c r="FV36" i="69"/>
  <c r="FT36" i="69"/>
  <c r="FS36" i="69"/>
  <c r="FQ36" i="69"/>
  <c r="FO36" i="69"/>
  <c r="FN36" i="69"/>
  <c r="FM36" i="69"/>
  <c r="FK36" i="69"/>
  <c r="FI36" i="69"/>
  <c r="FH36" i="69"/>
  <c r="FG36" i="69"/>
  <c r="FF36" i="69"/>
  <c r="FE36" i="69"/>
  <c r="FD36" i="69"/>
  <c r="FC36" i="69"/>
  <c r="FB36" i="69"/>
  <c r="FA36" i="69"/>
  <c r="EZ36" i="69"/>
  <c r="EY36" i="69"/>
  <c r="EX36" i="69"/>
  <c r="EW36" i="69"/>
  <c r="EV36" i="69"/>
  <c r="EU36" i="69"/>
  <c r="ET36" i="69"/>
  <c r="ES36" i="69"/>
  <c r="ER36" i="69"/>
  <c r="EQ36" i="69"/>
  <c r="EP36" i="69"/>
  <c r="EO36" i="69"/>
  <c r="EN36" i="69"/>
  <c r="EM36" i="69"/>
  <c r="EL36" i="69"/>
  <c r="EK36" i="69"/>
  <c r="EJ36" i="69"/>
  <c r="EI36" i="69"/>
  <c r="EH36" i="69"/>
  <c r="EG36" i="69"/>
  <c r="EF36" i="69"/>
  <c r="EE36" i="69"/>
  <c r="ED36" i="69"/>
  <c r="EC36" i="69"/>
  <c r="DV36" i="69"/>
  <c r="DU36" i="69"/>
  <c r="DT36" i="69"/>
  <c r="DS36" i="69"/>
  <c r="DR36" i="69"/>
  <c r="DQ36" i="69"/>
  <c r="DP36" i="69"/>
  <c r="GC35" i="69"/>
  <c r="GB35" i="69"/>
  <c r="GA35" i="69"/>
  <c r="FZ35" i="69"/>
  <c r="FY35" i="69"/>
  <c r="FX35" i="69"/>
  <c r="FW35" i="69"/>
  <c r="FV35" i="69"/>
  <c r="FT35" i="69"/>
  <c r="FS35" i="69"/>
  <c r="FQ35" i="69"/>
  <c r="FO35" i="69"/>
  <c r="FN35" i="69"/>
  <c r="FM35" i="69"/>
  <c r="FK35" i="69"/>
  <c r="FI35" i="69"/>
  <c r="FH35" i="69"/>
  <c r="FG35" i="69"/>
  <c r="FF35" i="69"/>
  <c r="FE35" i="69"/>
  <c r="FD35" i="69"/>
  <c r="FC35" i="69"/>
  <c r="FB35" i="69"/>
  <c r="FA35" i="69"/>
  <c r="EZ35" i="69"/>
  <c r="EY35" i="69"/>
  <c r="EX35" i="69"/>
  <c r="EW35" i="69"/>
  <c r="EV35" i="69"/>
  <c r="EU35" i="69"/>
  <c r="ET35" i="69"/>
  <c r="ES35" i="69"/>
  <c r="ER35" i="69"/>
  <c r="EQ35" i="69"/>
  <c r="EP35" i="69"/>
  <c r="EO35" i="69"/>
  <c r="EN35" i="69"/>
  <c r="EM35" i="69"/>
  <c r="EL35" i="69"/>
  <c r="EK35" i="69"/>
  <c r="EJ35" i="69"/>
  <c r="EI35" i="69"/>
  <c r="EH35" i="69"/>
  <c r="EG35" i="69"/>
  <c r="EF35" i="69"/>
  <c r="EE35" i="69"/>
  <c r="ED35" i="69"/>
  <c r="EC35" i="69"/>
  <c r="DV35" i="69"/>
  <c r="DU35" i="69"/>
  <c r="DT35" i="69"/>
  <c r="DS35" i="69"/>
  <c r="DR35" i="69"/>
  <c r="DQ35" i="69"/>
  <c r="DP35" i="69"/>
  <c r="GC34" i="69"/>
  <c r="GB34" i="69"/>
  <c r="GA34" i="69"/>
  <c r="FZ34" i="69"/>
  <c r="FY34" i="69"/>
  <c r="FX34" i="69"/>
  <c r="FW34" i="69"/>
  <c r="FV34" i="69"/>
  <c r="FT34" i="69"/>
  <c r="FS34" i="69"/>
  <c r="FQ34" i="69"/>
  <c r="FO34" i="69"/>
  <c r="FN34" i="69"/>
  <c r="FM34" i="69"/>
  <c r="FK34" i="69"/>
  <c r="FI34" i="69"/>
  <c r="FH34" i="69"/>
  <c r="FG34" i="69"/>
  <c r="FF34" i="69"/>
  <c r="FE34" i="69"/>
  <c r="FD34" i="69"/>
  <c r="FC34" i="69"/>
  <c r="FB34" i="69"/>
  <c r="FA34" i="69"/>
  <c r="EZ34" i="69"/>
  <c r="EY34" i="69"/>
  <c r="EX34" i="69"/>
  <c r="EW34" i="69"/>
  <c r="EV34" i="69"/>
  <c r="EU34" i="69"/>
  <c r="ET34" i="69"/>
  <c r="ES34" i="69"/>
  <c r="ER34" i="69"/>
  <c r="EQ34" i="69"/>
  <c r="EP34" i="69"/>
  <c r="EO34" i="69"/>
  <c r="EN34" i="69"/>
  <c r="EM34" i="69"/>
  <c r="EL34" i="69"/>
  <c r="EK34" i="69"/>
  <c r="EJ34" i="69"/>
  <c r="EI34" i="69"/>
  <c r="EH34" i="69"/>
  <c r="EG34" i="69"/>
  <c r="EF34" i="69"/>
  <c r="EE34" i="69"/>
  <c r="ED34" i="69"/>
  <c r="EC34" i="69"/>
  <c r="DV34" i="69"/>
  <c r="DU34" i="69"/>
  <c r="DT34" i="69"/>
  <c r="DS34" i="69"/>
  <c r="DR34" i="69"/>
  <c r="DQ34" i="69"/>
  <c r="DP34" i="69"/>
  <c r="GC33" i="69"/>
  <c r="GB33" i="69"/>
  <c r="GA33" i="69"/>
  <c r="FZ33" i="69"/>
  <c r="FY33" i="69"/>
  <c r="FX33" i="69"/>
  <c r="FW33" i="69"/>
  <c r="FV33" i="69"/>
  <c r="FT33" i="69"/>
  <c r="FS33" i="69"/>
  <c r="FQ33" i="69"/>
  <c r="FO33" i="69"/>
  <c r="FN33" i="69"/>
  <c r="FM33" i="69"/>
  <c r="FK33" i="69"/>
  <c r="FI33" i="69"/>
  <c r="FH33" i="69"/>
  <c r="FG33" i="69"/>
  <c r="FF33" i="69"/>
  <c r="FE33" i="69"/>
  <c r="FD33" i="69"/>
  <c r="FC33" i="69"/>
  <c r="FB33" i="69"/>
  <c r="FA33" i="69"/>
  <c r="EZ33" i="69"/>
  <c r="EY33" i="69"/>
  <c r="EX33" i="69"/>
  <c r="EW33" i="69"/>
  <c r="EV33" i="69"/>
  <c r="EU33" i="69"/>
  <c r="ET33" i="69"/>
  <c r="ES33" i="69"/>
  <c r="ER33" i="69"/>
  <c r="EQ33" i="69"/>
  <c r="EP33" i="69"/>
  <c r="EO33" i="69"/>
  <c r="EN33" i="69"/>
  <c r="EM33" i="69"/>
  <c r="EL33" i="69"/>
  <c r="EK33" i="69"/>
  <c r="EJ33" i="69"/>
  <c r="EI33" i="69"/>
  <c r="EH33" i="69"/>
  <c r="EG33" i="69"/>
  <c r="EF33" i="69"/>
  <c r="EE33" i="69"/>
  <c r="ED33" i="69"/>
  <c r="EC33" i="69"/>
  <c r="DV33" i="69"/>
  <c r="DU33" i="69"/>
  <c r="DT33" i="69"/>
  <c r="DS33" i="69"/>
  <c r="DR33" i="69"/>
  <c r="DQ33" i="69"/>
  <c r="DP33" i="69"/>
  <c r="GC32" i="69"/>
  <c r="GB32" i="69"/>
  <c r="GA32" i="69"/>
  <c r="FZ32" i="69"/>
  <c r="FY32" i="69"/>
  <c r="FX32" i="69"/>
  <c r="FW32" i="69"/>
  <c r="FV32" i="69"/>
  <c r="FT32" i="69"/>
  <c r="FS32" i="69"/>
  <c r="FQ32" i="69"/>
  <c r="FO32" i="69"/>
  <c r="FN32" i="69"/>
  <c r="FM32" i="69"/>
  <c r="FK32" i="69"/>
  <c r="FI32" i="69"/>
  <c r="FH32" i="69"/>
  <c r="FG32" i="69"/>
  <c r="FF32" i="69"/>
  <c r="FE32" i="69"/>
  <c r="FD32" i="69"/>
  <c r="FC32" i="69"/>
  <c r="FB32" i="69"/>
  <c r="FA32" i="69"/>
  <c r="EZ32" i="69"/>
  <c r="EY32" i="69"/>
  <c r="EX32" i="69"/>
  <c r="EW32" i="69"/>
  <c r="EV32" i="69"/>
  <c r="EU32" i="69"/>
  <c r="ET32" i="69"/>
  <c r="ES32" i="69"/>
  <c r="ER32" i="69"/>
  <c r="EQ32" i="69"/>
  <c r="EP32" i="69"/>
  <c r="EO32" i="69"/>
  <c r="EN32" i="69"/>
  <c r="EM32" i="69"/>
  <c r="EL32" i="69"/>
  <c r="EK32" i="69"/>
  <c r="EJ32" i="69"/>
  <c r="EI32" i="69"/>
  <c r="EH32" i="69"/>
  <c r="EG32" i="69"/>
  <c r="EF32" i="69"/>
  <c r="EE32" i="69"/>
  <c r="ED32" i="69"/>
  <c r="EC32" i="69"/>
  <c r="DV32" i="69"/>
  <c r="DU32" i="69"/>
  <c r="DT32" i="69"/>
  <c r="DS32" i="69"/>
  <c r="DR32" i="69"/>
  <c r="DQ32" i="69"/>
  <c r="DP32" i="69"/>
  <c r="GC31" i="69"/>
  <c r="GB31" i="69"/>
  <c r="GA31" i="69"/>
  <c r="FZ31" i="69"/>
  <c r="FY31" i="69"/>
  <c r="FX31" i="69"/>
  <c r="FW31" i="69"/>
  <c r="FV31" i="69"/>
  <c r="FT31" i="69"/>
  <c r="FS31" i="69"/>
  <c r="FQ31" i="69"/>
  <c r="FO31" i="69"/>
  <c r="FN31" i="69"/>
  <c r="FM31" i="69"/>
  <c r="FK31" i="69"/>
  <c r="FI31" i="69"/>
  <c r="FH31" i="69"/>
  <c r="FG31" i="69"/>
  <c r="FF31" i="69"/>
  <c r="FE31" i="69"/>
  <c r="FD31" i="69"/>
  <c r="FC31" i="69"/>
  <c r="FB31" i="69"/>
  <c r="FA31" i="69"/>
  <c r="EZ31" i="69"/>
  <c r="EY31" i="69"/>
  <c r="EX31" i="69"/>
  <c r="EW31" i="69"/>
  <c r="EV31" i="69"/>
  <c r="EU31" i="69"/>
  <c r="ET31" i="69"/>
  <c r="ES31" i="69"/>
  <c r="ER31" i="69"/>
  <c r="EQ31" i="69"/>
  <c r="EP31" i="69"/>
  <c r="EO31" i="69"/>
  <c r="EN31" i="69"/>
  <c r="EM31" i="69"/>
  <c r="EL31" i="69"/>
  <c r="EK31" i="69"/>
  <c r="EJ31" i="69"/>
  <c r="EI31" i="69"/>
  <c r="EH31" i="69"/>
  <c r="EG31" i="69"/>
  <c r="EF31" i="69"/>
  <c r="EE31" i="69"/>
  <c r="ED31" i="69"/>
  <c r="EC31" i="69"/>
  <c r="DV31" i="69"/>
  <c r="DU31" i="69"/>
  <c r="DT31" i="69"/>
  <c r="DS31" i="69"/>
  <c r="DR31" i="69"/>
  <c r="DQ31" i="69"/>
  <c r="DP31" i="69"/>
  <c r="GC30" i="69"/>
  <c r="GB30" i="69"/>
  <c r="GA30" i="69"/>
  <c r="FZ30" i="69"/>
  <c r="FY30" i="69"/>
  <c r="FX30" i="69"/>
  <c r="FW30" i="69"/>
  <c r="FV30" i="69"/>
  <c r="FT30" i="69"/>
  <c r="FS30" i="69"/>
  <c r="FQ30" i="69"/>
  <c r="FO30" i="69"/>
  <c r="FN30" i="69"/>
  <c r="FM30" i="69"/>
  <c r="FK30" i="69"/>
  <c r="FI30" i="69"/>
  <c r="FH30" i="69"/>
  <c r="FG30" i="69"/>
  <c r="FF30" i="69"/>
  <c r="FE30" i="69"/>
  <c r="FD30" i="69"/>
  <c r="FC30" i="69"/>
  <c r="FB30" i="69"/>
  <c r="FA30" i="69"/>
  <c r="EZ30" i="69"/>
  <c r="EY30" i="69"/>
  <c r="EX30" i="69"/>
  <c r="EW30" i="69"/>
  <c r="EV30" i="69"/>
  <c r="EU30" i="69"/>
  <c r="ET30" i="69"/>
  <c r="ES30" i="69"/>
  <c r="ER30" i="69"/>
  <c r="EQ30" i="69"/>
  <c r="EP30" i="69"/>
  <c r="EO30" i="69"/>
  <c r="EN30" i="69"/>
  <c r="EM30" i="69"/>
  <c r="EL30" i="69"/>
  <c r="EK30" i="69"/>
  <c r="EJ30" i="69"/>
  <c r="EI30" i="69"/>
  <c r="EH30" i="69"/>
  <c r="EG30" i="69"/>
  <c r="EF30" i="69"/>
  <c r="EE30" i="69"/>
  <c r="ED30" i="69"/>
  <c r="EC30" i="69"/>
  <c r="DV30" i="69"/>
  <c r="DU30" i="69"/>
  <c r="DT30" i="69"/>
  <c r="DS30" i="69"/>
  <c r="DR30" i="69"/>
  <c r="DQ30" i="69"/>
  <c r="DP30" i="69"/>
  <c r="GC29" i="69"/>
  <c r="GB29" i="69"/>
  <c r="GA29" i="69"/>
  <c r="FZ29" i="69"/>
  <c r="FY29" i="69"/>
  <c r="FX29" i="69"/>
  <c r="FW29" i="69"/>
  <c r="FV29" i="69"/>
  <c r="FT29" i="69"/>
  <c r="FS29" i="69"/>
  <c r="FQ29" i="69"/>
  <c r="FO29" i="69"/>
  <c r="FN29" i="69"/>
  <c r="FM29" i="69"/>
  <c r="FK29" i="69"/>
  <c r="FI29" i="69"/>
  <c r="FH29" i="69"/>
  <c r="FG29" i="69"/>
  <c r="FF29" i="69"/>
  <c r="FE29" i="69"/>
  <c r="FD29" i="69"/>
  <c r="FC29" i="69"/>
  <c r="FB29" i="69"/>
  <c r="FA29" i="69"/>
  <c r="EZ29" i="69"/>
  <c r="EY29" i="69"/>
  <c r="EX29" i="69"/>
  <c r="EW29" i="69"/>
  <c r="EV29" i="69"/>
  <c r="EU29" i="69"/>
  <c r="ET29" i="69"/>
  <c r="ES29" i="69"/>
  <c r="ER29" i="69"/>
  <c r="EQ29" i="69"/>
  <c r="EP29" i="69"/>
  <c r="EO29" i="69"/>
  <c r="EN29" i="69"/>
  <c r="EM29" i="69"/>
  <c r="EL29" i="69"/>
  <c r="EK29" i="69"/>
  <c r="EJ29" i="69"/>
  <c r="EI29" i="69"/>
  <c r="EH29" i="69"/>
  <c r="EG29" i="69"/>
  <c r="EF29" i="69"/>
  <c r="EE29" i="69"/>
  <c r="ED29" i="69"/>
  <c r="EC29" i="69"/>
  <c r="DV29" i="69"/>
  <c r="DU29" i="69"/>
  <c r="DT29" i="69"/>
  <c r="DS29" i="69"/>
  <c r="DR29" i="69"/>
  <c r="DQ29" i="69"/>
  <c r="DP29" i="69"/>
  <c r="GC28" i="69"/>
  <c r="GB28" i="69"/>
  <c r="GA28" i="69"/>
  <c r="FZ28" i="69"/>
  <c r="FY28" i="69"/>
  <c r="FX28" i="69"/>
  <c r="FW28" i="69"/>
  <c r="FV28" i="69"/>
  <c r="FT28" i="69"/>
  <c r="FS28" i="69"/>
  <c r="FQ28" i="69"/>
  <c r="FO28" i="69"/>
  <c r="FN28" i="69"/>
  <c r="FM28" i="69"/>
  <c r="FK28" i="69"/>
  <c r="FI28" i="69"/>
  <c r="FH28" i="69"/>
  <c r="FG28" i="69"/>
  <c r="FF28" i="69"/>
  <c r="FE28" i="69"/>
  <c r="FD28" i="69"/>
  <c r="FC28" i="69"/>
  <c r="FB28" i="69"/>
  <c r="FA28" i="69"/>
  <c r="EZ28" i="69"/>
  <c r="EY28" i="69"/>
  <c r="EX28" i="69"/>
  <c r="EW28" i="69"/>
  <c r="EV28" i="69"/>
  <c r="EU28" i="69"/>
  <c r="ET28" i="69"/>
  <c r="ES28" i="69"/>
  <c r="ER28" i="69"/>
  <c r="EQ28" i="69"/>
  <c r="EP28" i="69"/>
  <c r="EO28" i="69"/>
  <c r="EN28" i="69"/>
  <c r="EM28" i="69"/>
  <c r="EL28" i="69"/>
  <c r="EK28" i="69"/>
  <c r="EJ28" i="69"/>
  <c r="EI28" i="69"/>
  <c r="EH28" i="69"/>
  <c r="EG28" i="69"/>
  <c r="EF28" i="69"/>
  <c r="EE28" i="69"/>
  <c r="ED28" i="69"/>
  <c r="EC28" i="69"/>
  <c r="DV28" i="69"/>
  <c r="DU28" i="69"/>
  <c r="DT28" i="69"/>
  <c r="DS28" i="69"/>
  <c r="DR28" i="69"/>
  <c r="DQ28" i="69"/>
  <c r="DP28" i="69"/>
  <c r="GC27" i="69"/>
  <c r="GB27" i="69"/>
  <c r="GA27" i="69"/>
  <c r="FZ27" i="69"/>
  <c r="FY27" i="69"/>
  <c r="FX27" i="69"/>
  <c r="FW27" i="69"/>
  <c r="FV27" i="69"/>
  <c r="FT27" i="69"/>
  <c r="FS27" i="69"/>
  <c r="FQ27" i="69"/>
  <c r="FO27" i="69"/>
  <c r="FN27" i="69"/>
  <c r="FM27" i="69"/>
  <c r="FK27" i="69"/>
  <c r="FI27" i="69"/>
  <c r="FH27" i="69"/>
  <c r="FG27" i="69"/>
  <c r="FF27" i="69"/>
  <c r="FE27" i="69"/>
  <c r="FD27" i="69"/>
  <c r="FC27" i="69"/>
  <c r="FB27" i="69"/>
  <c r="FA27" i="69"/>
  <c r="EZ27" i="69"/>
  <c r="EY27" i="69"/>
  <c r="EX27" i="69"/>
  <c r="EW27" i="69"/>
  <c r="EV27" i="69"/>
  <c r="EU27" i="69"/>
  <c r="ET27" i="69"/>
  <c r="ES27" i="69"/>
  <c r="ER27" i="69"/>
  <c r="EQ27" i="69"/>
  <c r="EP27" i="69"/>
  <c r="EO27" i="69"/>
  <c r="EN27" i="69"/>
  <c r="EM27" i="69"/>
  <c r="EL27" i="69"/>
  <c r="EK27" i="69"/>
  <c r="EJ27" i="69"/>
  <c r="EI27" i="69"/>
  <c r="EH27" i="69"/>
  <c r="EG27" i="69"/>
  <c r="EF27" i="69"/>
  <c r="EE27" i="69"/>
  <c r="ED27" i="69"/>
  <c r="EC27" i="69"/>
  <c r="DV27" i="69"/>
  <c r="DU27" i="69"/>
  <c r="DT27" i="69"/>
  <c r="DS27" i="69"/>
  <c r="DR27" i="69"/>
  <c r="DQ27" i="69"/>
  <c r="DP27" i="69"/>
  <c r="GC26" i="69"/>
  <c r="GB26" i="69"/>
  <c r="GA26" i="69"/>
  <c r="FZ26" i="69"/>
  <c r="FY26" i="69"/>
  <c r="FX26" i="69"/>
  <c r="FW26" i="69"/>
  <c r="FV26" i="69"/>
  <c r="FT26" i="69"/>
  <c r="FS26" i="69"/>
  <c r="FQ26" i="69"/>
  <c r="FO26" i="69"/>
  <c r="FN26" i="69"/>
  <c r="FM26" i="69"/>
  <c r="FK26" i="69"/>
  <c r="FI26" i="69"/>
  <c r="FH26" i="69"/>
  <c r="FG26" i="69"/>
  <c r="FF26" i="69"/>
  <c r="FE26" i="69"/>
  <c r="FD26" i="69"/>
  <c r="FC26" i="69"/>
  <c r="FB26" i="69"/>
  <c r="FA26" i="69"/>
  <c r="EZ26" i="69"/>
  <c r="EY26" i="69"/>
  <c r="EX26" i="69"/>
  <c r="EW26" i="69"/>
  <c r="EV26" i="69"/>
  <c r="EU26" i="69"/>
  <c r="ET26" i="69"/>
  <c r="ES26" i="69"/>
  <c r="ER26" i="69"/>
  <c r="EQ26" i="69"/>
  <c r="EP26" i="69"/>
  <c r="EO26" i="69"/>
  <c r="EN26" i="69"/>
  <c r="EM26" i="69"/>
  <c r="EL26" i="69"/>
  <c r="EK26" i="69"/>
  <c r="EJ26" i="69"/>
  <c r="EI26" i="69"/>
  <c r="EH26" i="69"/>
  <c r="EG26" i="69"/>
  <c r="EF26" i="69"/>
  <c r="EE26" i="69"/>
  <c r="ED26" i="69"/>
  <c r="EC26" i="69"/>
  <c r="DV26" i="69"/>
  <c r="DU26" i="69"/>
  <c r="DT26" i="69"/>
  <c r="DS26" i="69"/>
  <c r="DR26" i="69"/>
  <c r="DQ26" i="69"/>
  <c r="DP26" i="69"/>
  <c r="GC25" i="69"/>
  <c r="GB25" i="69"/>
  <c r="GA25" i="69"/>
  <c r="FZ25" i="69"/>
  <c r="FY25" i="69"/>
  <c r="FX25" i="69"/>
  <c r="FW25" i="69"/>
  <c r="FV25" i="69"/>
  <c r="FT25" i="69"/>
  <c r="FS25" i="69"/>
  <c r="FQ25" i="69"/>
  <c r="FO25" i="69"/>
  <c r="FN25" i="69"/>
  <c r="FM25" i="69"/>
  <c r="FK25" i="69"/>
  <c r="FI25" i="69"/>
  <c r="FH25" i="69"/>
  <c r="FG25" i="69"/>
  <c r="FF25" i="69"/>
  <c r="FE25" i="69"/>
  <c r="FD25" i="69"/>
  <c r="FC25" i="69"/>
  <c r="FB25" i="69"/>
  <c r="FA25" i="69"/>
  <c r="EZ25" i="69"/>
  <c r="EY25" i="69"/>
  <c r="EX25" i="69"/>
  <c r="EW25" i="69"/>
  <c r="EV25" i="69"/>
  <c r="EU25" i="69"/>
  <c r="ET25" i="69"/>
  <c r="ES25" i="69"/>
  <c r="ER25" i="69"/>
  <c r="EQ25" i="69"/>
  <c r="EP25" i="69"/>
  <c r="EO25" i="69"/>
  <c r="EN25" i="69"/>
  <c r="EM25" i="69"/>
  <c r="EL25" i="69"/>
  <c r="EK25" i="69"/>
  <c r="EJ25" i="69"/>
  <c r="EI25" i="69"/>
  <c r="EH25" i="69"/>
  <c r="EG25" i="69"/>
  <c r="EF25" i="69"/>
  <c r="EE25" i="69"/>
  <c r="ED25" i="69"/>
  <c r="EC25" i="69"/>
  <c r="DV25" i="69"/>
  <c r="DU25" i="69"/>
  <c r="DT25" i="69"/>
  <c r="DS25" i="69"/>
  <c r="DR25" i="69"/>
  <c r="DQ25" i="69"/>
  <c r="DP25" i="69"/>
  <c r="GC24" i="69"/>
  <c r="GB24" i="69"/>
  <c r="GA24" i="69"/>
  <c r="FZ24" i="69"/>
  <c r="FY24" i="69"/>
  <c r="FX24" i="69"/>
  <c r="FW24" i="69"/>
  <c r="FV24" i="69"/>
  <c r="FT24" i="69"/>
  <c r="FS24" i="69"/>
  <c r="FQ24" i="69"/>
  <c r="FO24" i="69"/>
  <c r="FN24" i="69"/>
  <c r="FM24" i="69"/>
  <c r="FK24" i="69"/>
  <c r="FI24" i="69"/>
  <c r="FH24" i="69"/>
  <c r="FG24" i="69"/>
  <c r="FF24" i="69"/>
  <c r="FE24" i="69"/>
  <c r="FD24" i="69"/>
  <c r="FC24" i="69"/>
  <c r="FB24" i="69"/>
  <c r="FA24" i="69"/>
  <c r="EZ24" i="69"/>
  <c r="EY24" i="69"/>
  <c r="EX24" i="69"/>
  <c r="EW24" i="69"/>
  <c r="EV24" i="69"/>
  <c r="EU24" i="69"/>
  <c r="ET24" i="69"/>
  <c r="ES24" i="69"/>
  <c r="ER24" i="69"/>
  <c r="EQ24" i="69"/>
  <c r="EP24" i="69"/>
  <c r="EO24" i="69"/>
  <c r="EN24" i="69"/>
  <c r="EM24" i="69"/>
  <c r="EL24" i="69"/>
  <c r="EK24" i="69"/>
  <c r="EJ24" i="69"/>
  <c r="EI24" i="69"/>
  <c r="EH24" i="69"/>
  <c r="EG24" i="69"/>
  <c r="EF24" i="69"/>
  <c r="EE24" i="69"/>
  <c r="ED24" i="69"/>
  <c r="EC24" i="69"/>
  <c r="DV24" i="69"/>
  <c r="DU24" i="69"/>
  <c r="DT24" i="69"/>
  <c r="DS24" i="69"/>
  <c r="DR24" i="69"/>
  <c r="DQ24" i="69"/>
  <c r="DP24" i="69"/>
  <c r="GC23" i="69"/>
  <c r="GB23" i="69"/>
  <c r="GA23" i="69"/>
  <c r="FZ23" i="69"/>
  <c r="FY23" i="69"/>
  <c r="FX23" i="69"/>
  <c r="FW23" i="69"/>
  <c r="FV23" i="69"/>
  <c r="FT23" i="69"/>
  <c r="FS23" i="69"/>
  <c r="FQ23" i="69"/>
  <c r="FO23" i="69"/>
  <c r="FN23" i="69"/>
  <c r="FM23" i="69"/>
  <c r="FK23" i="69"/>
  <c r="FI23" i="69"/>
  <c r="FH23" i="69"/>
  <c r="FG23" i="69"/>
  <c r="FF23" i="69"/>
  <c r="FE23" i="69"/>
  <c r="FD23" i="69"/>
  <c r="FC23" i="69"/>
  <c r="FB23" i="69"/>
  <c r="FA23" i="69"/>
  <c r="EZ23" i="69"/>
  <c r="EY23" i="69"/>
  <c r="EX23" i="69"/>
  <c r="EW23" i="69"/>
  <c r="EV23" i="69"/>
  <c r="EU23" i="69"/>
  <c r="ET23" i="69"/>
  <c r="ES23" i="69"/>
  <c r="ER23" i="69"/>
  <c r="EQ23" i="69"/>
  <c r="EP23" i="69"/>
  <c r="EO23" i="69"/>
  <c r="EN23" i="69"/>
  <c r="EM23" i="69"/>
  <c r="EL23" i="69"/>
  <c r="EK23" i="69"/>
  <c r="EJ23" i="69"/>
  <c r="EI23" i="69"/>
  <c r="EH23" i="69"/>
  <c r="EG23" i="69"/>
  <c r="EF23" i="69"/>
  <c r="EE23" i="69"/>
  <c r="ED23" i="69"/>
  <c r="EC23" i="69"/>
  <c r="DV23" i="69"/>
  <c r="DU23" i="69"/>
  <c r="DT23" i="69"/>
  <c r="DS23" i="69"/>
  <c r="DR23" i="69"/>
  <c r="DQ23" i="69"/>
  <c r="DP23" i="69"/>
  <c r="GC22" i="69"/>
  <c r="GB22" i="69"/>
  <c r="GA22" i="69"/>
  <c r="FZ22" i="69"/>
  <c r="FY22" i="69"/>
  <c r="FX22" i="69"/>
  <c r="FW22" i="69"/>
  <c r="FV22" i="69"/>
  <c r="FT22" i="69"/>
  <c r="FS22" i="69"/>
  <c r="FQ22" i="69"/>
  <c r="FO22" i="69"/>
  <c r="FN22" i="69"/>
  <c r="FM22" i="69"/>
  <c r="FK22" i="69"/>
  <c r="FI22" i="69"/>
  <c r="FH22" i="69"/>
  <c r="FG22" i="69"/>
  <c r="FF22" i="69"/>
  <c r="FE22" i="69"/>
  <c r="FD22" i="69"/>
  <c r="FC22" i="69"/>
  <c r="FB22" i="69"/>
  <c r="FA22" i="69"/>
  <c r="EZ22" i="69"/>
  <c r="EY22" i="69"/>
  <c r="EX22" i="69"/>
  <c r="EW22" i="69"/>
  <c r="EV22" i="69"/>
  <c r="EU22" i="69"/>
  <c r="ET22" i="69"/>
  <c r="ES22" i="69"/>
  <c r="ER22" i="69"/>
  <c r="EQ22" i="69"/>
  <c r="EP22" i="69"/>
  <c r="EO22" i="69"/>
  <c r="EN22" i="69"/>
  <c r="EM22" i="69"/>
  <c r="EL22" i="69"/>
  <c r="EK22" i="69"/>
  <c r="EJ22" i="69"/>
  <c r="EI22" i="69"/>
  <c r="EH22" i="69"/>
  <c r="EG22" i="69"/>
  <c r="EF22" i="69"/>
  <c r="EE22" i="69"/>
  <c r="ED22" i="69"/>
  <c r="EC22" i="69"/>
  <c r="DV22" i="69"/>
  <c r="DU22" i="69"/>
  <c r="DT22" i="69"/>
  <c r="DS22" i="69"/>
  <c r="DR22" i="69"/>
  <c r="DQ22" i="69"/>
  <c r="DP22" i="69"/>
  <c r="GC21" i="69"/>
  <c r="GB21" i="69"/>
  <c r="GA21" i="69"/>
  <c r="FZ21" i="69"/>
  <c r="FY21" i="69"/>
  <c r="FX21" i="69"/>
  <c r="FW21" i="69"/>
  <c r="FV21" i="69"/>
  <c r="FT21" i="69"/>
  <c r="FS21" i="69"/>
  <c r="FQ21" i="69"/>
  <c r="FO21" i="69"/>
  <c r="FN21" i="69"/>
  <c r="FM21" i="69"/>
  <c r="FK21" i="69"/>
  <c r="FI21" i="69"/>
  <c r="FH21" i="69"/>
  <c r="FG21" i="69"/>
  <c r="FF21" i="69"/>
  <c r="FE21" i="69"/>
  <c r="FD21" i="69"/>
  <c r="FC21" i="69"/>
  <c r="FB21" i="69"/>
  <c r="FA21" i="69"/>
  <c r="EZ21" i="69"/>
  <c r="EY21" i="69"/>
  <c r="EX21" i="69"/>
  <c r="EW21" i="69"/>
  <c r="EV21" i="69"/>
  <c r="EU21" i="69"/>
  <c r="ET21" i="69"/>
  <c r="ES21" i="69"/>
  <c r="ER21" i="69"/>
  <c r="EQ21" i="69"/>
  <c r="EP21" i="69"/>
  <c r="EO21" i="69"/>
  <c r="EN21" i="69"/>
  <c r="EM21" i="69"/>
  <c r="EL21" i="69"/>
  <c r="EK21" i="69"/>
  <c r="EJ21" i="69"/>
  <c r="EI21" i="69"/>
  <c r="EH21" i="69"/>
  <c r="EG21" i="69"/>
  <c r="EF21" i="69"/>
  <c r="EE21" i="69"/>
  <c r="ED21" i="69"/>
  <c r="EC21" i="69"/>
  <c r="DV21" i="69"/>
  <c r="DU21" i="69"/>
  <c r="DT21" i="69"/>
  <c r="DS21" i="69"/>
  <c r="DR21" i="69"/>
  <c r="DQ21" i="69"/>
  <c r="DP21" i="69"/>
  <c r="GC20" i="69"/>
  <c r="GB20" i="69"/>
  <c r="GA20" i="69"/>
  <c r="FZ20" i="69"/>
  <c r="FY20" i="69"/>
  <c r="FX20" i="69"/>
  <c r="FW20" i="69"/>
  <c r="FV20" i="69"/>
  <c r="FT20" i="69"/>
  <c r="FS20" i="69"/>
  <c r="FQ20" i="69"/>
  <c r="FO20" i="69"/>
  <c r="FN20" i="69"/>
  <c r="FM20" i="69"/>
  <c r="FK20" i="69"/>
  <c r="FI20" i="69"/>
  <c r="FH20" i="69"/>
  <c r="FG20" i="69"/>
  <c r="FF20" i="69"/>
  <c r="FE20" i="69"/>
  <c r="FD20" i="69"/>
  <c r="FC20" i="69"/>
  <c r="FB20" i="69"/>
  <c r="FA20" i="69"/>
  <c r="EZ20" i="69"/>
  <c r="EY20" i="69"/>
  <c r="EX20" i="69"/>
  <c r="EW20" i="69"/>
  <c r="EV20" i="69"/>
  <c r="EU20" i="69"/>
  <c r="ET20" i="69"/>
  <c r="ES20" i="69"/>
  <c r="ER20" i="69"/>
  <c r="EQ20" i="69"/>
  <c r="EP20" i="69"/>
  <c r="EO20" i="69"/>
  <c r="EN20" i="69"/>
  <c r="EM20" i="69"/>
  <c r="EL20" i="69"/>
  <c r="EK20" i="69"/>
  <c r="EJ20" i="69"/>
  <c r="EI20" i="69"/>
  <c r="EH20" i="69"/>
  <c r="EG20" i="69"/>
  <c r="EF20" i="69"/>
  <c r="EE20" i="69"/>
  <c r="ED20" i="69"/>
  <c r="EC20" i="69"/>
  <c r="DV20" i="69"/>
  <c r="DU20" i="69"/>
  <c r="DT20" i="69"/>
  <c r="DS20" i="69"/>
  <c r="DR20" i="69"/>
  <c r="DQ20" i="69"/>
  <c r="DP20" i="69"/>
  <c r="GC19" i="69"/>
  <c r="GB19" i="69"/>
  <c r="GA19" i="69"/>
  <c r="FZ19" i="69"/>
  <c r="FY19" i="69"/>
  <c r="FX19" i="69"/>
  <c r="FW19" i="69"/>
  <c r="FV19" i="69"/>
  <c r="FT19" i="69"/>
  <c r="FS19" i="69"/>
  <c r="FQ19" i="69"/>
  <c r="FO19" i="69"/>
  <c r="FN19" i="69"/>
  <c r="FM19" i="69"/>
  <c r="FK19" i="69"/>
  <c r="FI19" i="69"/>
  <c r="FH19" i="69"/>
  <c r="FG19" i="69"/>
  <c r="FF19" i="69"/>
  <c r="FE19" i="69"/>
  <c r="FD19" i="69"/>
  <c r="FC19" i="69"/>
  <c r="FB19" i="69"/>
  <c r="FA19" i="69"/>
  <c r="EZ19" i="69"/>
  <c r="EY19" i="69"/>
  <c r="EX19" i="69"/>
  <c r="EW19" i="69"/>
  <c r="EV19" i="69"/>
  <c r="EU19" i="69"/>
  <c r="ET19" i="69"/>
  <c r="ES19" i="69"/>
  <c r="ER19" i="69"/>
  <c r="EQ19" i="69"/>
  <c r="EP19" i="69"/>
  <c r="EO19" i="69"/>
  <c r="EN19" i="69"/>
  <c r="EM19" i="69"/>
  <c r="EL19" i="69"/>
  <c r="EK19" i="69"/>
  <c r="EJ19" i="69"/>
  <c r="EI19" i="69"/>
  <c r="EH19" i="69"/>
  <c r="EG19" i="69"/>
  <c r="EF19" i="69"/>
  <c r="EE19" i="69"/>
  <c r="ED19" i="69"/>
  <c r="EC19" i="69"/>
  <c r="DV19" i="69"/>
  <c r="DU19" i="69"/>
  <c r="DT19" i="69"/>
  <c r="DS19" i="69"/>
  <c r="DR19" i="69"/>
  <c r="DQ19" i="69"/>
  <c r="DP19" i="69"/>
  <c r="GC18" i="69"/>
  <c r="GB18" i="69"/>
  <c r="GA18" i="69"/>
  <c r="FZ18" i="69"/>
  <c r="FY18" i="69"/>
  <c r="FX18" i="69"/>
  <c r="FW18" i="69"/>
  <c r="FV18" i="69"/>
  <c r="FT18" i="69"/>
  <c r="FS18" i="69"/>
  <c r="FQ18" i="69"/>
  <c r="FO18" i="69"/>
  <c r="FN18" i="69"/>
  <c r="FM18" i="69"/>
  <c r="FK18" i="69"/>
  <c r="FI18" i="69"/>
  <c r="FH18" i="69"/>
  <c r="FG18" i="69"/>
  <c r="FF18" i="69"/>
  <c r="FE18" i="69"/>
  <c r="FD18" i="69"/>
  <c r="FC18" i="69"/>
  <c r="FB18" i="69"/>
  <c r="FA18" i="69"/>
  <c r="EZ18" i="69"/>
  <c r="EY18" i="69"/>
  <c r="EX18" i="69"/>
  <c r="EW18" i="69"/>
  <c r="EV18" i="69"/>
  <c r="EU18" i="69"/>
  <c r="ET18" i="69"/>
  <c r="ES18" i="69"/>
  <c r="ER18" i="69"/>
  <c r="EQ18" i="69"/>
  <c r="EP18" i="69"/>
  <c r="EO18" i="69"/>
  <c r="EN18" i="69"/>
  <c r="EM18" i="69"/>
  <c r="EL18" i="69"/>
  <c r="EK18" i="69"/>
  <c r="EJ18" i="69"/>
  <c r="EI18" i="69"/>
  <c r="EH18" i="69"/>
  <c r="EG18" i="69"/>
  <c r="EF18" i="69"/>
  <c r="EE18" i="69"/>
  <c r="ED18" i="69"/>
  <c r="EC18" i="69"/>
  <c r="DV18" i="69"/>
  <c r="DU18" i="69"/>
  <c r="DT18" i="69"/>
  <c r="DS18" i="69"/>
  <c r="DR18" i="69"/>
  <c r="DQ18" i="69"/>
  <c r="DP18" i="69"/>
  <c r="GC17" i="69"/>
  <c r="GB17" i="69"/>
  <c r="GA17" i="69"/>
  <c r="FZ17" i="69"/>
  <c r="FY17" i="69"/>
  <c r="FX17" i="69"/>
  <c r="FW17" i="69"/>
  <c r="FV17" i="69"/>
  <c r="FT17" i="69"/>
  <c r="FS17" i="69"/>
  <c r="FQ17" i="69"/>
  <c r="FO17" i="69"/>
  <c r="FN17" i="69"/>
  <c r="FM17" i="69"/>
  <c r="FK17" i="69"/>
  <c r="FI17" i="69"/>
  <c r="FH17" i="69"/>
  <c r="FG17" i="69"/>
  <c r="FF17" i="69"/>
  <c r="FE17" i="69"/>
  <c r="FD17" i="69"/>
  <c r="FC17" i="69"/>
  <c r="FB17" i="69"/>
  <c r="FA17" i="69"/>
  <c r="EZ17" i="69"/>
  <c r="EY17" i="69"/>
  <c r="EX17" i="69"/>
  <c r="EW17" i="69"/>
  <c r="EV17" i="69"/>
  <c r="EU17" i="69"/>
  <c r="ET17" i="69"/>
  <c r="ES17" i="69"/>
  <c r="ER17" i="69"/>
  <c r="EQ17" i="69"/>
  <c r="EP17" i="69"/>
  <c r="EO17" i="69"/>
  <c r="EN17" i="69"/>
  <c r="EM17" i="69"/>
  <c r="EL17" i="69"/>
  <c r="EK17" i="69"/>
  <c r="EJ17" i="69"/>
  <c r="EI17" i="69"/>
  <c r="EH17" i="69"/>
  <c r="EG17" i="69"/>
  <c r="EF17" i="69"/>
  <c r="EE17" i="69"/>
  <c r="ED17" i="69"/>
  <c r="EC17" i="69"/>
  <c r="DV17" i="69"/>
  <c r="DU17" i="69"/>
  <c r="DT17" i="69"/>
  <c r="DS17" i="69"/>
  <c r="DR17" i="69"/>
  <c r="DQ17" i="69"/>
  <c r="DP17" i="69"/>
  <c r="GC16" i="69"/>
  <c r="GB16" i="69"/>
  <c r="GA16" i="69"/>
  <c r="FZ16" i="69"/>
  <c r="FY16" i="69"/>
  <c r="FX16" i="69"/>
  <c r="FW16" i="69"/>
  <c r="FV16" i="69"/>
  <c r="FT16" i="69"/>
  <c r="FS16" i="69"/>
  <c r="FQ16" i="69"/>
  <c r="FO16" i="69"/>
  <c r="FN16" i="69"/>
  <c r="FM16" i="69"/>
  <c r="FK16" i="69"/>
  <c r="FI16" i="69"/>
  <c r="FH16" i="69"/>
  <c r="FG16" i="69"/>
  <c r="FF16" i="69"/>
  <c r="FE16" i="69"/>
  <c r="FD16" i="69"/>
  <c r="FC16" i="69"/>
  <c r="FB16" i="69"/>
  <c r="FA16" i="69"/>
  <c r="EZ16" i="69"/>
  <c r="EY16" i="69"/>
  <c r="EX16" i="69"/>
  <c r="EW16" i="69"/>
  <c r="EV16" i="69"/>
  <c r="EU16" i="69"/>
  <c r="ET16" i="69"/>
  <c r="ES16" i="69"/>
  <c r="ER16" i="69"/>
  <c r="EQ16" i="69"/>
  <c r="EP16" i="69"/>
  <c r="EO16" i="69"/>
  <c r="EN16" i="69"/>
  <c r="EM16" i="69"/>
  <c r="EL16" i="69"/>
  <c r="EK16" i="69"/>
  <c r="EJ16" i="69"/>
  <c r="EI16" i="69"/>
  <c r="EH16" i="69"/>
  <c r="EG16" i="69"/>
  <c r="EF16" i="69"/>
  <c r="EE16" i="69"/>
  <c r="ED16" i="69"/>
  <c r="EC16" i="69"/>
  <c r="DV16" i="69"/>
  <c r="DU16" i="69"/>
  <c r="DT16" i="69"/>
  <c r="DS16" i="69"/>
  <c r="DR16" i="69"/>
  <c r="DQ16" i="69"/>
  <c r="DP16" i="69"/>
  <c r="GC15" i="69"/>
  <c r="GB15" i="69"/>
  <c r="GA15" i="69"/>
  <c r="FZ15" i="69"/>
  <c r="FY15" i="69"/>
  <c r="FX15" i="69"/>
  <c r="FW15" i="69"/>
  <c r="FV15" i="69"/>
  <c r="FT15" i="69"/>
  <c r="FS15" i="69"/>
  <c r="FQ15" i="69"/>
  <c r="FO15" i="69"/>
  <c r="FN15" i="69"/>
  <c r="FM15" i="69"/>
  <c r="FK15" i="69"/>
  <c r="FI15" i="69"/>
  <c r="FH15" i="69"/>
  <c r="FG15" i="69"/>
  <c r="FF15" i="69"/>
  <c r="FE15" i="69"/>
  <c r="FD15" i="69"/>
  <c r="FC15" i="69"/>
  <c r="FB15" i="69"/>
  <c r="FA15" i="69"/>
  <c r="EZ15" i="69"/>
  <c r="EY15" i="69"/>
  <c r="EX15" i="69"/>
  <c r="EW15" i="69"/>
  <c r="EV15" i="69"/>
  <c r="EU15" i="69"/>
  <c r="ET15" i="69"/>
  <c r="ES15" i="69"/>
  <c r="ER15" i="69"/>
  <c r="EQ15" i="69"/>
  <c r="EP15" i="69"/>
  <c r="EO15" i="69"/>
  <c r="EN15" i="69"/>
  <c r="EM15" i="69"/>
  <c r="EL15" i="69"/>
  <c r="EK15" i="69"/>
  <c r="EJ15" i="69"/>
  <c r="EI15" i="69"/>
  <c r="EH15" i="69"/>
  <c r="EG15" i="69"/>
  <c r="EF15" i="69"/>
  <c r="EE15" i="69"/>
  <c r="ED15" i="69"/>
  <c r="EC15" i="69"/>
  <c r="DV15" i="69"/>
  <c r="DU15" i="69"/>
  <c r="DT15" i="69"/>
  <c r="DS15" i="69"/>
  <c r="DR15" i="69"/>
  <c r="DQ15" i="69"/>
  <c r="DP15" i="69"/>
  <c r="GC14" i="69"/>
  <c r="GB14" i="69"/>
  <c r="GA14" i="69"/>
  <c r="FZ14" i="69"/>
  <c r="FY14" i="69"/>
  <c r="FX14" i="69"/>
  <c r="FW14" i="69"/>
  <c r="FV14" i="69"/>
  <c r="FT14" i="69"/>
  <c r="FS14" i="69"/>
  <c r="FQ14" i="69"/>
  <c r="FO14" i="69"/>
  <c r="FN14" i="69"/>
  <c r="FM14" i="69"/>
  <c r="FK14" i="69"/>
  <c r="FI14" i="69"/>
  <c r="FH14" i="69"/>
  <c r="FG14" i="69"/>
  <c r="FF14" i="69"/>
  <c r="FE14" i="69"/>
  <c r="FD14" i="69"/>
  <c r="FC14" i="69"/>
  <c r="FB14" i="69"/>
  <c r="FA14" i="69"/>
  <c r="EZ14" i="69"/>
  <c r="EY14" i="69"/>
  <c r="EX14" i="69"/>
  <c r="EW14" i="69"/>
  <c r="EV14" i="69"/>
  <c r="EU14" i="69"/>
  <c r="ET14" i="69"/>
  <c r="ES14" i="69"/>
  <c r="ER14" i="69"/>
  <c r="EQ14" i="69"/>
  <c r="EP14" i="69"/>
  <c r="EO14" i="69"/>
  <c r="EN14" i="69"/>
  <c r="EM14" i="69"/>
  <c r="EL14" i="69"/>
  <c r="EK14" i="69"/>
  <c r="EJ14" i="69"/>
  <c r="EI14" i="69"/>
  <c r="EH14" i="69"/>
  <c r="EG14" i="69"/>
  <c r="EF14" i="69"/>
  <c r="EE14" i="69"/>
  <c r="ED14" i="69"/>
  <c r="EC14" i="69"/>
  <c r="DV14" i="69"/>
  <c r="DU14" i="69"/>
  <c r="DT14" i="69"/>
  <c r="DS14" i="69"/>
  <c r="DR14" i="69"/>
  <c r="DQ14" i="69"/>
  <c r="DP14" i="69"/>
  <c r="GC13" i="69"/>
  <c r="GB13" i="69"/>
  <c r="GA13" i="69"/>
  <c r="FZ13" i="69"/>
  <c r="FY13" i="69"/>
  <c r="FX13" i="69"/>
  <c r="FW13" i="69"/>
  <c r="FV13" i="69"/>
  <c r="FT13" i="69"/>
  <c r="FS13" i="69"/>
  <c r="FQ13" i="69"/>
  <c r="FO13" i="69"/>
  <c r="FN13" i="69"/>
  <c r="FM13" i="69"/>
  <c r="FK13" i="69"/>
  <c r="FI13" i="69"/>
  <c r="FH13" i="69"/>
  <c r="FG13" i="69"/>
  <c r="FF13" i="69"/>
  <c r="FE13" i="69"/>
  <c r="FD13" i="69"/>
  <c r="FC13" i="69"/>
  <c r="FB13" i="69"/>
  <c r="FA13" i="69"/>
  <c r="EZ13" i="69"/>
  <c r="EY13" i="69"/>
  <c r="EX13" i="69"/>
  <c r="EW13" i="69"/>
  <c r="EV13" i="69"/>
  <c r="EU13" i="69"/>
  <c r="ET13" i="69"/>
  <c r="ES13" i="69"/>
  <c r="ER13" i="69"/>
  <c r="EQ13" i="69"/>
  <c r="EP13" i="69"/>
  <c r="EO13" i="69"/>
  <c r="EN13" i="69"/>
  <c r="EM13" i="69"/>
  <c r="EL13" i="69"/>
  <c r="EK13" i="69"/>
  <c r="EJ13" i="69"/>
  <c r="EI13" i="69"/>
  <c r="EH13" i="69"/>
  <c r="EG13" i="69"/>
  <c r="EF13" i="69"/>
  <c r="EE13" i="69"/>
  <c r="ED13" i="69"/>
  <c r="EC13" i="69"/>
  <c r="DV13" i="69"/>
  <c r="DU13" i="69"/>
  <c r="DT13" i="69"/>
  <c r="DS13" i="69"/>
  <c r="DR13" i="69"/>
  <c r="DQ13" i="69"/>
  <c r="DP13" i="69"/>
  <c r="GC12" i="69"/>
  <c r="GB12" i="69"/>
  <c r="GA12" i="69"/>
  <c r="FZ12" i="69"/>
  <c r="FY12" i="69"/>
  <c r="FX12" i="69"/>
  <c r="FW12" i="69"/>
  <c r="FV12" i="69"/>
  <c r="FT12" i="69"/>
  <c r="FS12" i="69"/>
  <c r="FQ12" i="69"/>
  <c r="FO12" i="69"/>
  <c r="FN12" i="69"/>
  <c r="FM12" i="69"/>
  <c r="FK12" i="69"/>
  <c r="FI12" i="69"/>
  <c r="FH12" i="69"/>
  <c r="FG12" i="69"/>
  <c r="FF12" i="69"/>
  <c r="FE12" i="69"/>
  <c r="FD12" i="69"/>
  <c r="FC12" i="69"/>
  <c r="FB12" i="69"/>
  <c r="FA12" i="69"/>
  <c r="EZ12" i="69"/>
  <c r="EY12" i="69"/>
  <c r="EX12" i="69"/>
  <c r="EW12" i="69"/>
  <c r="EV12" i="69"/>
  <c r="EU12" i="69"/>
  <c r="ET12" i="69"/>
  <c r="ES12" i="69"/>
  <c r="ER12" i="69"/>
  <c r="EQ12" i="69"/>
  <c r="EP12" i="69"/>
  <c r="EO12" i="69"/>
  <c r="EN12" i="69"/>
  <c r="EM12" i="69"/>
  <c r="EL12" i="69"/>
  <c r="EK12" i="69"/>
  <c r="EJ12" i="69"/>
  <c r="EI12" i="69"/>
  <c r="EH12" i="69"/>
  <c r="EG12" i="69"/>
  <c r="EF12" i="69"/>
  <c r="EE12" i="69"/>
  <c r="ED12" i="69"/>
  <c r="EC12" i="69"/>
  <c r="DV12" i="69"/>
  <c r="DU12" i="69"/>
  <c r="DT12" i="69"/>
  <c r="DS12" i="69"/>
  <c r="DR12" i="69"/>
  <c r="DQ12" i="69"/>
  <c r="DP12" i="69"/>
  <c r="GC11" i="69"/>
  <c r="GB11" i="69"/>
  <c r="GA11" i="69"/>
  <c r="FZ11" i="69"/>
  <c r="FY11" i="69"/>
  <c r="FX11" i="69"/>
  <c r="FW11" i="69"/>
  <c r="FV11" i="69"/>
  <c r="FT11" i="69"/>
  <c r="FS11" i="69"/>
  <c r="FQ11" i="69"/>
  <c r="FO11" i="69"/>
  <c r="FN11" i="69"/>
  <c r="FM11" i="69"/>
  <c r="FK11" i="69"/>
  <c r="FI11" i="69"/>
  <c r="FH11" i="69"/>
  <c r="FG11" i="69"/>
  <c r="FF11" i="69"/>
  <c r="FE11" i="69"/>
  <c r="FD11" i="69"/>
  <c r="FC11" i="69"/>
  <c r="FB11" i="69"/>
  <c r="FA11" i="69"/>
  <c r="EZ11" i="69"/>
  <c r="EY11" i="69"/>
  <c r="EX11" i="69"/>
  <c r="EW11" i="69"/>
  <c r="EV11" i="69"/>
  <c r="EU11" i="69"/>
  <c r="ET11" i="69"/>
  <c r="ES11" i="69"/>
  <c r="ER11" i="69"/>
  <c r="EQ11" i="69"/>
  <c r="EP11" i="69"/>
  <c r="EO11" i="69"/>
  <c r="EN11" i="69"/>
  <c r="EM11" i="69"/>
  <c r="EL11" i="69"/>
  <c r="EK11" i="69"/>
  <c r="EJ11" i="69"/>
  <c r="EI11" i="69"/>
  <c r="EH11" i="69"/>
  <c r="EG11" i="69"/>
  <c r="EF11" i="69"/>
  <c r="EE11" i="69"/>
  <c r="ED11" i="69"/>
  <c r="EC11" i="69"/>
  <c r="DV11" i="69"/>
  <c r="DU11" i="69"/>
  <c r="DT11" i="69"/>
  <c r="DS11" i="69"/>
  <c r="DR11" i="69"/>
  <c r="DQ11" i="69"/>
  <c r="DP11" i="69"/>
  <c r="GC10" i="69"/>
  <c r="GB10" i="69"/>
  <c r="GA10" i="69"/>
  <c r="FZ10" i="69"/>
  <c r="FY10" i="69"/>
  <c r="FX10" i="69"/>
  <c r="FW10" i="69"/>
  <c r="FV10" i="69"/>
  <c r="FT10" i="69"/>
  <c r="FS10" i="69"/>
  <c r="FQ10" i="69"/>
  <c r="FO10" i="69"/>
  <c r="FN10" i="69"/>
  <c r="FM10" i="69"/>
  <c r="FK10" i="69"/>
  <c r="FI10" i="69"/>
  <c r="FH10" i="69"/>
  <c r="FG10" i="69"/>
  <c r="FF10" i="69"/>
  <c r="FE10" i="69"/>
  <c r="FD10" i="69"/>
  <c r="FC10" i="69"/>
  <c r="FB10" i="69"/>
  <c r="FA10" i="69"/>
  <c r="EZ10" i="69"/>
  <c r="EY10" i="69"/>
  <c r="EX10" i="69"/>
  <c r="EW10" i="69"/>
  <c r="EV10" i="69"/>
  <c r="EU10" i="69"/>
  <c r="ET10" i="69"/>
  <c r="ES10" i="69"/>
  <c r="ER10" i="69"/>
  <c r="EQ10" i="69"/>
  <c r="EP10" i="69"/>
  <c r="EO10" i="69"/>
  <c r="EN10" i="69"/>
  <c r="EM10" i="69"/>
  <c r="EL10" i="69"/>
  <c r="EK10" i="69"/>
  <c r="EJ10" i="69"/>
  <c r="EI10" i="69"/>
  <c r="EH10" i="69"/>
  <c r="EG10" i="69"/>
  <c r="EF10" i="69"/>
  <c r="EE10" i="69"/>
  <c r="ED10" i="69"/>
  <c r="EC10" i="69"/>
  <c r="DV10" i="69"/>
  <c r="DU10" i="69"/>
  <c r="DT10" i="69"/>
  <c r="DS10" i="69"/>
  <c r="DR10" i="69"/>
  <c r="DQ10" i="69"/>
  <c r="DP10" i="69"/>
  <c r="GC9" i="69"/>
  <c r="GB9" i="69"/>
  <c r="GA9" i="69"/>
  <c r="FZ9" i="69"/>
  <c r="FY9" i="69"/>
  <c r="FX9" i="69"/>
  <c r="FW9" i="69"/>
  <c r="FV9" i="69"/>
  <c r="FU40" i="69"/>
  <c r="FT9" i="69"/>
  <c r="FS9" i="69"/>
  <c r="FQ9" i="69"/>
  <c r="FO9" i="69"/>
  <c r="FN9" i="69"/>
  <c r="FM9" i="69"/>
  <c r="FL9" i="69"/>
  <c r="FK9" i="69"/>
  <c r="FJ9" i="69"/>
  <c r="FI9" i="69"/>
  <c r="FH9" i="69"/>
  <c r="FG9" i="69"/>
  <c r="FF9" i="69"/>
  <c r="FE9" i="69"/>
  <c r="FD9" i="69"/>
  <c r="FC9" i="69"/>
  <c r="FB9" i="69"/>
  <c r="FA9" i="69"/>
  <c r="EZ9" i="69"/>
  <c r="EY9" i="69"/>
  <c r="EX9" i="69"/>
  <c r="EW9" i="69"/>
  <c r="EV9" i="69"/>
  <c r="EU9" i="69"/>
  <c r="ET9" i="69"/>
  <c r="ES9" i="69"/>
  <c r="ER9" i="69"/>
  <c r="EQ9" i="69"/>
  <c r="EP9" i="69"/>
  <c r="EO9" i="69"/>
  <c r="EN9" i="69"/>
  <c r="EM9" i="69"/>
  <c r="EL9" i="69"/>
  <c r="EK9" i="69"/>
  <c r="EJ9" i="69"/>
  <c r="EI9" i="69"/>
  <c r="EH9" i="69"/>
  <c r="EG9" i="69"/>
  <c r="EF9" i="69"/>
  <c r="EE9" i="69"/>
  <c r="ED9" i="69"/>
  <c r="EC9" i="69"/>
  <c r="DV9" i="69"/>
  <c r="DU9" i="69"/>
  <c r="DT9" i="69"/>
  <c r="DS9" i="69"/>
  <c r="DR9" i="69"/>
  <c r="DQ9" i="69"/>
  <c r="DP9" i="69"/>
  <c r="FE7" i="69"/>
  <c r="EJ7" i="69"/>
  <c r="EH7" i="69"/>
  <c r="EB7" i="69"/>
  <c r="EA7" i="69"/>
  <c r="DZ7" i="69"/>
  <c r="DV7" i="69"/>
  <c r="DT7" i="69"/>
  <c r="EB40" i="64"/>
  <c r="EA40" i="64"/>
  <c r="DZ40" i="64"/>
  <c r="DY40" i="64"/>
  <c r="DX40" i="64"/>
  <c r="DW40" i="64"/>
  <c r="GC39" i="64"/>
  <c r="GB39" i="64"/>
  <c r="GA39" i="64"/>
  <c r="FZ39" i="64"/>
  <c r="FY39" i="64"/>
  <c r="FX39" i="64"/>
  <c r="FW39" i="64"/>
  <c r="FV39" i="64"/>
  <c r="FT39" i="64"/>
  <c r="FS39" i="64"/>
  <c r="FR39" i="64"/>
  <c r="FQ39" i="64"/>
  <c r="FP39" i="64"/>
  <c r="FO39" i="64"/>
  <c r="FN39" i="64"/>
  <c r="FM39" i="64"/>
  <c r="FK39" i="64"/>
  <c r="FI39" i="64"/>
  <c r="FD39" i="64"/>
  <c r="FC39" i="64"/>
  <c r="FB39" i="64"/>
  <c r="FA39" i="64"/>
  <c r="EZ39" i="64"/>
  <c r="EY39" i="64"/>
  <c r="EX39" i="64"/>
  <c r="EW39" i="64"/>
  <c r="EV39" i="64"/>
  <c r="EU39" i="64"/>
  <c r="ET39" i="64"/>
  <c r="ES39" i="64"/>
  <c r="ER39" i="64"/>
  <c r="EQ39" i="64"/>
  <c r="EP39" i="64"/>
  <c r="EO39" i="64"/>
  <c r="EN39" i="64"/>
  <c r="EM39" i="64"/>
  <c r="EL39" i="64"/>
  <c r="EK39" i="64"/>
  <c r="EJ39" i="64"/>
  <c r="EI39" i="64"/>
  <c r="EH39" i="64"/>
  <c r="EG39" i="64"/>
  <c r="EE39" i="64"/>
  <c r="ED39" i="64"/>
  <c r="EC39" i="64"/>
  <c r="DV39" i="64"/>
  <c r="DU39" i="64"/>
  <c r="DT39" i="64"/>
  <c r="DS39" i="64"/>
  <c r="DR39" i="64"/>
  <c r="DQ39" i="64"/>
  <c r="DP39" i="64"/>
  <c r="GC38" i="64"/>
  <c r="GB38" i="64"/>
  <c r="GA38" i="64"/>
  <c r="FZ38" i="64"/>
  <c r="FY38" i="64"/>
  <c r="FX38" i="64"/>
  <c r="FW38" i="64"/>
  <c r="FV38" i="64"/>
  <c r="FT38" i="64"/>
  <c r="FS38" i="64"/>
  <c r="FR38" i="64"/>
  <c r="FQ38" i="64"/>
  <c r="FP38" i="64"/>
  <c r="FO38" i="64"/>
  <c r="FN38" i="64"/>
  <c r="FM38" i="64"/>
  <c r="FK38" i="64"/>
  <c r="FI38" i="64"/>
  <c r="FD38" i="64"/>
  <c r="FC38" i="64"/>
  <c r="FB38" i="64"/>
  <c r="FA38" i="64"/>
  <c r="EZ38" i="64"/>
  <c r="EY38" i="64"/>
  <c r="EX38" i="64"/>
  <c r="EW38" i="64"/>
  <c r="EV38" i="64"/>
  <c r="EU38" i="64"/>
  <c r="ET38" i="64"/>
  <c r="ES38" i="64"/>
  <c r="ER38" i="64"/>
  <c r="EQ38" i="64"/>
  <c r="EP38" i="64"/>
  <c r="EO38" i="64"/>
  <c r="EN38" i="64"/>
  <c r="EM38" i="64"/>
  <c r="EL38" i="64"/>
  <c r="EK38" i="64"/>
  <c r="EJ38" i="64"/>
  <c r="EI38" i="64"/>
  <c r="EH38" i="64"/>
  <c r="EG38" i="64"/>
  <c r="EE38" i="64"/>
  <c r="ED38" i="64"/>
  <c r="EC38" i="64"/>
  <c r="DV38" i="64"/>
  <c r="DU38" i="64"/>
  <c r="DT38" i="64"/>
  <c r="DS38" i="64"/>
  <c r="DR38" i="64"/>
  <c r="DQ38" i="64"/>
  <c r="DP38" i="64"/>
  <c r="GC37" i="64"/>
  <c r="GB37" i="64"/>
  <c r="GA37" i="64"/>
  <c r="FZ37" i="64"/>
  <c r="FY37" i="64"/>
  <c r="FX37" i="64"/>
  <c r="FW37" i="64"/>
  <c r="FV37" i="64"/>
  <c r="FT37" i="64"/>
  <c r="FS37" i="64"/>
  <c r="FR37" i="64"/>
  <c r="FQ37" i="64"/>
  <c r="FP37" i="64"/>
  <c r="FO37" i="64"/>
  <c r="FN37" i="64"/>
  <c r="FM37" i="64"/>
  <c r="FK37" i="64"/>
  <c r="FI37" i="64"/>
  <c r="FD37" i="64"/>
  <c r="FC37" i="64"/>
  <c r="FB37" i="64"/>
  <c r="FA37" i="64"/>
  <c r="EZ37" i="64"/>
  <c r="EY37" i="64"/>
  <c r="EX37" i="64"/>
  <c r="EW37" i="64"/>
  <c r="EV37" i="64"/>
  <c r="EU37" i="64"/>
  <c r="ET37" i="64"/>
  <c r="ES37" i="64"/>
  <c r="ER37" i="64"/>
  <c r="EQ37" i="64"/>
  <c r="EP37" i="64"/>
  <c r="EO37" i="64"/>
  <c r="EN37" i="64"/>
  <c r="EM37" i="64"/>
  <c r="EL37" i="64"/>
  <c r="EK37" i="64"/>
  <c r="EJ37" i="64"/>
  <c r="EI37" i="64"/>
  <c r="EH37" i="64"/>
  <c r="EG37" i="64"/>
  <c r="EE37" i="64"/>
  <c r="ED37" i="64"/>
  <c r="EC37" i="64"/>
  <c r="DV37" i="64"/>
  <c r="DU37" i="64"/>
  <c r="DT37" i="64"/>
  <c r="DS37" i="64"/>
  <c r="DR37" i="64"/>
  <c r="DQ37" i="64"/>
  <c r="DP37" i="64"/>
  <c r="GC36" i="64"/>
  <c r="GB36" i="64"/>
  <c r="GA36" i="64"/>
  <c r="FZ36" i="64"/>
  <c r="FY36" i="64"/>
  <c r="FX36" i="64"/>
  <c r="FW36" i="64"/>
  <c r="FV36" i="64"/>
  <c r="FT36" i="64"/>
  <c r="FS36" i="64"/>
  <c r="FR36" i="64"/>
  <c r="FQ36" i="64"/>
  <c r="FP36" i="64"/>
  <c r="FO36" i="64"/>
  <c r="FN36" i="64"/>
  <c r="FM36" i="64"/>
  <c r="FK36" i="64"/>
  <c r="FI36" i="64"/>
  <c r="FH36" i="64"/>
  <c r="FG36" i="64"/>
  <c r="FF36" i="64"/>
  <c r="FE36" i="64"/>
  <c r="FD36" i="64"/>
  <c r="FC36" i="64"/>
  <c r="FB36" i="64"/>
  <c r="FA36" i="64"/>
  <c r="EZ36" i="64"/>
  <c r="EY36" i="64"/>
  <c r="EX36" i="64"/>
  <c r="EW36" i="64"/>
  <c r="EV36" i="64"/>
  <c r="EU36" i="64"/>
  <c r="ET36" i="64"/>
  <c r="ES36" i="64"/>
  <c r="ER36" i="64"/>
  <c r="EQ36" i="64"/>
  <c r="EP36" i="64"/>
  <c r="EO36" i="64"/>
  <c r="EN36" i="64"/>
  <c r="EM36" i="64"/>
  <c r="EL36" i="64"/>
  <c r="EK36" i="64"/>
  <c r="EJ36" i="64"/>
  <c r="EI36" i="64"/>
  <c r="EH36" i="64"/>
  <c r="EG36" i="64"/>
  <c r="EF36" i="64"/>
  <c r="EE36" i="64"/>
  <c r="ED36" i="64"/>
  <c r="EC36" i="64"/>
  <c r="DV36" i="64"/>
  <c r="DU36" i="64"/>
  <c r="DT36" i="64"/>
  <c r="DS36" i="64"/>
  <c r="DR36" i="64"/>
  <c r="DQ36" i="64"/>
  <c r="DP36" i="64"/>
  <c r="GC35" i="64"/>
  <c r="GB35" i="64"/>
  <c r="GA35" i="64"/>
  <c r="FZ35" i="64"/>
  <c r="FY35" i="64"/>
  <c r="FX35" i="64"/>
  <c r="FW35" i="64"/>
  <c r="FV35" i="64"/>
  <c r="FT35" i="64"/>
  <c r="FS35" i="64"/>
  <c r="FR35" i="64"/>
  <c r="FQ35" i="64"/>
  <c r="FP35" i="64"/>
  <c r="FO35" i="64"/>
  <c r="FN35" i="64"/>
  <c r="FM35" i="64"/>
  <c r="FK35" i="64"/>
  <c r="FI35" i="64"/>
  <c r="FH35" i="64"/>
  <c r="FG35" i="64"/>
  <c r="FF35" i="64"/>
  <c r="FE35" i="64"/>
  <c r="FD35" i="64"/>
  <c r="FC35" i="64"/>
  <c r="FB35" i="64"/>
  <c r="FA35" i="64"/>
  <c r="EZ35" i="64"/>
  <c r="EY35" i="64"/>
  <c r="EX35" i="64"/>
  <c r="EW35" i="64"/>
  <c r="EV35" i="64"/>
  <c r="EU35" i="64"/>
  <c r="ET35" i="64"/>
  <c r="ES35" i="64"/>
  <c r="ER35" i="64"/>
  <c r="EQ35" i="64"/>
  <c r="EP35" i="64"/>
  <c r="EO35" i="64"/>
  <c r="EN35" i="64"/>
  <c r="EM35" i="64"/>
  <c r="EL35" i="64"/>
  <c r="EK35" i="64"/>
  <c r="EJ35" i="64"/>
  <c r="EI35" i="64"/>
  <c r="EH35" i="64"/>
  <c r="EG35" i="64"/>
  <c r="EF35" i="64"/>
  <c r="EE35" i="64"/>
  <c r="ED35" i="64"/>
  <c r="EC35" i="64"/>
  <c r="DV35" i="64"/>
  <c r="DU35" i="64"/>
  <c r="DT35" i="64"/>
  <c r="DS35" i="64"/>
  <c r="DR35" i="64"/>
  <c r="DQ35" i="64"/>
  <c r="DP35" i="64"/>
  <c r="GC34" i="64"/>
  <c r="GB34" i="64"/>
  <c r="GA34" i="64"/>
  <c r="FZ34" i="64"/>
  <c r="FY34" i="64"/>
  <c r="FX34" i="64"/>
  <c r="FW34" i="64"/>
  <c r="FV34" i="64"/>
  <c r="FT34" i="64"/>
  <c r="FS34" i="64"/>
  <c r="FR34" i="64"/>
  <c r="FQ34" i="64"/>
  <c r="FP34" i="64"/>
  <c r="FO34" i="64"/>
  <c r="FN34" i="64"/>
  <c r="FM34" i="64"/>
  <c r="FK34" i="64"/>
  <c r="FI34" i="64"/>
  <c r="FH34" i="64"/>
  <c r="FG34" i="64"/>
  <c r="FF34" i="64"/>
  <c r="FE34" i="64"/>
  <c r="FD34" i="64"/>
  <c r="FC34" i="64"/>
  <c r="FB34" i="64"/>
  <c r="FA34" i="64"/>
  <c r="EZ34" i="64"/>
  <c r="EY34" i="64"/>
  <c r="EX34" i="64"/>
  <c r="EW34" i="64"/>
  <c r="EV34" i="64"/>
  <c r="EU34" i="64"/>
  <c r="ET34" i="64"/>
  <c r="ES34" i="64"/>
  <c r="ER34" i="64"/>
  <c r="EQ34" i="64"/>
  <c r="EP34" i="64"/>
  <c r="EO34" i="64"/>
  <c r="EN34" i="64"/>
  <c r="EM34" i="64"/>
  <c r="EL34" i="64"/>
  <c r="EK34" i="64"/>
  <c r="EJ34" i="64"/>
  <c r="EI34" i="64"/>
  <c r="EH34" i="64"/>
  <c r="EG34" i="64"/>
  <c r="EF34" i="64"/>
  <c r="EE34" i="64"/>
  <c r="ED34" i="64"/>
  <c r="EC34" i="64"/>
  <c r="DV34" i="64"/>
  <c r="DU34" i="64"/>
  <c r="DT34" i="64"/>
  <c r="DS34" i="64"/>
  <c r="DR34" i="64"/>
  <c r="DQ34" i="64"/>
  <c r="DP34" i="64"/>
  <c r="GC33" i="64"/>
  <c r="GB33" i="64"/>
  <c r="GA33" i="64"/>
  <c r="FZ33" i="64"/>
  <c r="FY33" i="64"/>
  <c r="FX33" i="64"/>
  <c r="FW33" i="64"/>
  <c r="FV33" i="64"/>
  <c r="FT33" i="64"/>
  <c r="FS33" i="64"/>
  <c r="FR33" i="64"/>
  <c r="FQ33" i="64"/>
  <c r="FP33" i="64"/>
  <c r="FO33" i="64"/>
  <c r="FN33" i="64"/>
  <c r="FM33" i="64"/>
  <c r="FK33" i="64"/>
  <c r="FI33" i="64"/>
  <c r="FH33" i="64"/>
  <c r="FG33" i="64"/>
  <c r="FF33" i="64"/>
  <c r="FE33" i="64"/>
  <c r="FD33" i="64"/>
  <c r="FC33" i="64"/>
  <c r="FB33" i="64"/>
  <c r="FA33" i="64"/>
  <c r="EZ33" i="64"/>
  <c r="EY33" i="64"/>
  <c r="EX33" i="64"/>
  <c r="EW33" i="64"/>
  <c r="EV33" i="64"/>
  <c r="EU33" i="64"/>
  <c r="ET33" i="64"/>
  <c r="ES33" i="64"/>
  <c r="ER33" i="64"/>
  <c r="EQ33" i="64"/>
  <c r="EP33" i="64"/>
  <c r="EO33" i="64"/>
  <c r="EN33" i="64"/>
  <c r="EM33" i="64"/>
  <c r="EL33" i="64"/>
  <c r="EK33" i="64"/>
  <c r="EJ33" i="64"/>
  <c r="EI33" i="64"/>
  <c r="EH33" i="64"/>
  <c r="EG33" i="64"/>
  <c r="EF33" i="64"/>
  <c r="EE33" i="64"/>
  <c r="ED33" i="64"/>
  <c r="EC33" i="64"/>
  <c r="DV33" i="64"/>
  <c r="DU33" i="64"/>
  <c r="DT33" i="64"/>
  <c r="DS33" i="64"/>
  <c r="DR33" i="64"/>
  <c r="DQ33" i="64"/>
  <c r="DP33" i="64"/>
  <c r="GC32" i="64"/>
  <c r="GB32" i="64"/>
  <c r="GA32" i="64"/>
  <c r="FZ32" i="64"/>
  <c r="FY32" i="64"/>
  <c r="FX32" i="64"/>
  <c r="FW32" i="64"/>
  <c r="FV32" i="64"/>
  <c r="FT32" i="64"/>
  <c r="FS32" i="64"/>
  <c r="FR32" i="64"/>
  <c r="FQ32" i="64"/>
  <c r="FP32" i="64"/>
  <c r="FO32" i="64"/>
  <c r="FN32" i="64"/>
  <c r="FM32" i="64"/>
  <c r="FK32" i="64"/>
  <c r="FI32" i="64"/>
  <c r="FH32" i="64"/>
  <c r="FG32" i="64"/>
  <c r="FF32" i="64"/>
  <c r="FE32" i="64"/>
  <c r="FD32" i="64"/>
  <c r="FC32" i="64"/>
  <c r="FB32" i="64"/>
  <c r="FA32" i="64"/>
  <c r="EZ32" i="64"/>
  <c r="EY32" i="64"/>
  <c r="EX32" i="64"/>
  <c r="EW32" i="64"/>
  <c r="EV32" i="64"/>
  <c r="EU32" i="64"/>
  <c r="ET32" i="64"/>
  <c r="ES32" i="64"/>
  <c r="ER32" i="64"/>
  <c r="EQ32" i="64"/>
  <c r="EP32" i="64"/>
  <c r="EO32" i="64"/>
  <c r="EN32" i="64"/>
  <c r="EM32" i="64"/>
  <c r="EL32" i="64"/>
  <c r="EK32" i="64"/>
  <c r="EJ32" i="64"/>
  <c r="EI32" i="64"/>
  <c r="EH32" i="64"/>
  <c r="EG32" i="64"/>
  <c r="EF32" i="64"/>
  <c r="EE32" i="64"/>
  <c r="ED32" i="64"/>
  <c r="EC32" i="64"/>
  <c r="DV32" i="64"/>
  <c r="DU32" i="64"/>
  <c r="DT32" i="64"/>
  <c r="DS32" i="64"/>
  <c r="DR32" i="64"/>
  <c r="DQ32" i="64"/>
  <c r="DP32" i="64"/>
  <c r="GC31" i="64"/>
  <c r="GB31" i="64"/>
  <c r="GA31" i="64"/>
  <c r="FZ31" i="64"/>
  <c r="FY31" i="64"/>
  <c r="FX31" i="64"/>
  <c r="FW31" i="64"/>
  <c r="FV31" i="64"/>
  <c r="FT31" i="64"/>
  <c r="FS31" i="64"/>
  <c r="FR31" i="64"/>
  <c r="FQ31" i="64"/>
  <c r="FP31" i="64"/>
  <c r="FO31" i="64"/>
  <c r="FN31" i="64"/>
  <c r="FM31" i="64"/>
  <c r="FK31" i="64"/>
  <c r="FI31" i="64"/>
  <c r="FH31" i="64"/>
  <c r="FG31" i="64"/>
  <c r="FF31" i="64"/>
  <c r="FE31" i="64"/>
  <c r="FD31" i="64"/>
  <c r="FC31" i="64"/>
  <c r="FB31" i="64"/>
  <c r="FA31" i="64"/>
  <c r="EZ31" i="64"/>
  <c r="EY31" i="64"/>
  <c r="EX31" i="64"/>
  <c r="EW31" i="64"/>
  <c r="EV31" i="64"/>
  <c r="EU31" i="64"/>
  <c r="ET31" i="64"/>
  <c r="ES31" i="64"/>
  <c r="ER31" i="64"/>
  <c r="EQ31" i="64"/>
  <c r="EP31" i="64"/>
  <c r="EO31" i="64"/>
  <c r="EN31" i="64"/>
  <c r="EM31" i="64"/>
  <c r="EL31" i="64"/>
  <c r="EK31" i="64"/>
  <c r="EJ31" i="64"/>
  <c r="EI31" i="64"/>
  <c r="EH31" i="64"/>
  <c r="EG31" i="64"/>
  <c r="EF31" i="64"/>
  <c r="EE31" i="64"/>
  <c r="ED31" i="64"/>
  <c r="EC31" i="64"/>
  <c r="DV31" i="64"/>
  <c r="DU31" i="64"/>
  <c r="DT31" i="64"/>
  <c r="DS31" i="64"/>
  <c r="DR31" i="64"/>
  <c r="DQ31" i="64"/>
  <c r="DP31" i="64"/>
  <c r="GC30" i="64"/>
  <c r="GB30" i="64"/>
  <c r="GA30" i="64"/>
  <c r="FZ30" i="64"/>
  <c r="FY30" i="64"/>
  <c r="FX30" i="64"/>
  <c r="FW30" i="64"/>
  <c r="FV30" i="64"/>
  <c r="FT30" i="64"/>
  <c r="FS30" i="64"/>
  <c r="FR30" i="64"/>
  <c r="FQ30" i="64"/>
  <c r="FP30" i="64"/>
  <c r="FO30" i="64"/>
  <c r="FN30" i="64"/>
  <c r="FM30" i="64"/>
  <c r="FK30" i="64"/>
  <c r="FI30" i="64"/>
  <c r="FH30" i="64"/>
  <c r="FG30" i="64"/>
  <c r="FF30" i="64"/>
  <c r="FE30" i="64"/>
  <c r="FD30" i="64"/>
  <c r="FC30" i="64"/>
  <c r="FB30" i="64"/>
  <c r="FA30" i="64"/>
  <c r="EZ30" i="64"/>
  <c r="EY30" i="64"/>
  <c r="EX30" i="64"/>
  <c r="EW30" i="64"/>
  <c r="EV30" i="64"/>
  <c r="EU30" i="64"/>
  <c r="ET30" i="64"/>
  <c r="ES30" i="64"/>
  <c r="ER30" i="64"/>
  <c r="EQ30" i="64"/>
  <c r="EP30" i="64"/>
  <c r="EO30" i="64"/>
  <c r="EN30" i="64"/>
  <c r="EM30" i="64"/>
  <c r="EL30" i="64"/>
  <c r="EK30" i="64"/>
  <c r="EJ30" i="64"/>
  <c r="EI30" i="64"/>
  <c r="EH30" i="64"/>
  <c r="EG30" i="64"/>
  <c r="EF30" i="64"/>
  <c r="EE30" i="64"/>
  <c r="ED30" i="64"/>
  <c r="EC30" i="64"/>
  <c r="DV30" i="64"/>
  <c r="DU30" i="64"/>
  <c r="DT30" i="64"/>
  <c r="DS30" i="64"/>
  <c r="DR30" i="64"/>
  <c r="DQ30" i="64"/>
  <c r="DP30" i="64"/>
  <c r="GC29" i="64"/>
  <c r="GB29" i="64"/>
  <c r="GA29" i="64"/>
  <c r="FZ29" i="64"/>
  <c r="FY29" i="64"/>
  <c r="FX29" i="64"/>
  <c r="FW29" i="64"/>
  <c r="FV29" i="64"/>
  <c r="FT29" i="64"/>
  <c r="FS29" i="64"/>
  <c r="FR29" i="64"/>
  <c r="FQ29" i="64"/>
  <c r="FP29" i="64"/>
  <c r="FO29" i="64"/>
  <c r="FN29" i="64"/>
  <c r="FM29" i="64"/>
  <c r="FK29" i="64"/>
  <c r="FI29" i="64"/>
  <c r="FH29" i="64"/>
  <c r="FG29" i="64"/>
  <c r="FF29" i="64"/>
  <c r="FE29" i="64"/>
  <c r="FD29" i="64"/>
  <c r="FC29" i="64"/>
  <c r="FB29" i="64"/>
  <c r="FA29" i="64"/>
  <c r="EZ29" i="64"/>
  <c r="EY29" i="64"/>
  <c r="EX29" i="64"/>
  <c r="EW29" i="64"/>
  <c r="EV29" i="64"/>
  <c r="EU29" i="64"/>
  <c r="ET29" i="64"/>
  <c r="ES29" i="64"/>
  <c r="ER29" i="64"/>
  <c r="EQ29" i="64"/>
  <c r="EP29" i="64"/>
  <c r="EO29" i="64"/>
  <c r="EN29" i="64"/>
  <c r="EM29" i="64"/>
  <c r="EL29" i="64"/>
  <c r="EK29" i="64"/>
  <c r="EJ29" i="64"/>
  <c r="EI29" i="64"/>
  <c r="EH29" i="64"/>
  <c r="EG29" i="64"/>
  <c r="EF29" i="64"/>
  <c r="EE29" i="64"/>
  <c r="ED29" i="64"/>
  <c r="EC29" i="64"/>
  <c r="DV29" i="64"/>
  <c r="DU29" i="64"/>
  <c r="DT29" i="64"/>
  <c r="DS29" i="64"/>
  <c r="DR29" i="64"/>
  <c r="DQ29" i="64"/>
  <c r="DP29" i="64"/>
  <c r="GC28" i="64"/>
  <c r="GB28" i="64"/>
  <c r="GA28" i="64"/>
  <c r="FZ28" i="64"/>
  <c r="FY28" i="64"/>
  <c r="FX28" i="64"/>
  <c r="FW28" i="64"/>
  <c r="FV28" i="64"/>
  <c r="FT28" i="64"/>
  <c r="FS28" i="64"/>
  <c r="FR28" i="64"/>
  <c r="FQ28" i="64"/>
  <c r="FP28" i="64"/>
  <c r="FO28" i="64"/>
  <c r="FN28" i="64"/>
  <c r="FM28" i="64"/>
  <c r="FK28" i="64"/>
  <c r="FI28" i="64"/>
  <c r="FH28" i="64"/>
  <c r="FG28" i="64"/>
  <c r="FF28" i="64"/>
  <c r="FE28" i="64"/>
  <c r="FD28" i="64"/>
  <c r="FC28" i="64"/>
  <c r="FB28" i="64"/>
  <c r="FA28" i="64"/>
  <c r="EZ28" i="64"/>
  <c r="EY28" i="64"/>
  <c r="EX28" i="64"/>
  <c r="EW28" i="64"/>
  <c r="EV28" i="64"/>
  <c r="EU28" i="64"/>
  <c r="ET28" i="64"/>
  <c r="ES28" i="64"/>
  <c r="ER28" i="64"/>
  <c r="EQ28" i="64"/>
  <c r="EP28" i="64"/>
  <c r="EO28" i="64"/>
  <c r="EN28" i="64"/>
  <c r="EM28" i="64"/>
  <c r="EL28" i="64"/>
  <c r="EK28" i="64"/>
  <c r="EJ28" i="64"/>
  <c r="EI28" i="64"/>
  <c r="EH28" i="64"/>
  <c r="EG28" i="64"/>
  <c r="EF28" i="64"/>
  <c r="EE28" i="64"/>
  <c r="ED28" i="64"/>
  <c r="EC28" i="64"/>
  <c r="DV28" i="64"/>
  <c r="DU28" i="64"/>
  <c r="DT28" i="64"/>
  <c r="DS28" i="64"/>
  <c r="DR28" i="64"/>
  <c r="DQ28" i="64"/>
  <c r="DP28" i="64"/>
  <c r="GC27" i="64"/>
  <c r="GB27" i="64"/>
  <c r="GA27" i="64"/>
  <c r="FZ27" i="64"/>
  <c r="FY27" i="64"/>
  <c r="FX27" i="64"/>
  <c r="FW27" i="64"/>
  <c r="FV27" i="64"/>
  <c r="FT27" i="64"/>
  <c r="FS27" i="64"/>
  <c r="FQ27" i="64"/>
  <c r="FO27" i="64"/>
  <c r="FN27" i="64"/>
  <c r="FM27" i="64"/>
  <c r="FK27" i="64"/>
  <c r="FI27" i="64"/>
  <c r="FH27" i="64"/>
  <c r="FG27" i="64"/>
  <c r="FF27" i="64"/>
  <c r="FE27" i="64"/>
  <c r="FD27" i="64"/>
  <c r="FC27" i="64"/>
  <c r="FB27" i="64"/>
  <c r="FA27" i="64"/>
  <c r="EZ27" i="64"/>
  <c r="EY27" i="64"/>
  <c r="EX27" i="64"/>
  <c r="EW27" i="64"/>
  <c r="EV27" i="64"/>
  <c r="EU27" i="64"/>
  <c r="ET27" i="64"/>
  <c r="ES27" i="64"/>
  <c r="ER27" i="64"/>
  <c r="EQ27" i="64"/>
  <c r="EP27" i="64"/>
  <c r="EO27" i="64"/>
  <c r="EN27" i="64"/>
  <c r="EM27" i="64"/>
  <c r="EL27" i="64"/>
  <c r="EK27" i="64"/>
  <c r="EJ27" i="64"/>
  <c r="EI27" i="64"/>
  <c r="EH27" i="64"/>
  <c r="EG27" i="64"/>
  <c r="EF27" i="64"/>
  <c r="EE27" i="64"/>
  <c r="ED27" i="64"/>
  <c r="EC27" i="64"/>
  <c r="DV27" i="64"/>
  <c r="DU27" i="64"/>
  <c r="DT27" i="64"/>
  <c r="DS27" i="64"/>
  <c r="DR27" i="64"/>
  <c r="DQ27" i="64"/>
  <c r="DP27" i="64"/>
  <c r="GC26" i="64"/>
  <c r="GB26" i="64"/>
  <c r="GA26" i="64"/>
  <c r="FZ26" i="64"/>
  <c r="FY26" i="64"/>
  <c r="FX26" i="64"/>
  <c r="FW26" i="64"/>
  <c r="FV26" i="64"/>
  <c r="FT26" i="64"/>
  <c r="FS26" i="64"/>
  <c r="FR26" i="64"/>
  <c r="FQ26" i="64"/>
  <c r="FP26" i="64"/>
  <c r="FO26" i="64"/>
  <c r="FN26" i="64"/>
  <c r="FM26" i="64"/>
  <c r="FK26" i="64"/>
  <c r="FI26" i="64"/>
  <c r="FH26" i="64"/>
  <c r="FG26" i="64"/>
  <c r="FF26" i="64"/>
  <c r="FE26" i="64"/>
  <c r="FD26" i="64"/>
  <c r="FC26" i="64"/>
  <c r="FB26" i="64"/>
  <c r="FA26" i="64"/>
  <c r="EZ26" i="64"/>
  <c r="EY26" i="64"/>
  <c r="EX26" i="64"/>
  <c r="EW26" i="64"/>
  <c r="EV26" i="64"/>
  <c r="EU26" i="64"/>
  <c r="ET26" i="64"/>
  <c r="ES26" i="64"/>
  <c r="ER26" i="64"/>
  <c r="EQ26" i="64"/>
  <c r="EP26" i="64"/>
  <c r="EO26" i="64"/>
  <c r="EN26" i="64"/>
  <c r="EM26" i="64"/>
  <c r="EL26" i="64"/>
  <c r="EK26" i="64"/>
  <c r="EJ26" i="64"/>
  <c r="EI26" i="64"/>
  <c r="EH26" i="64"/>
  <c r="EG26" i="64"/>
  <c r="EF26" i="64"/>
  <c r="EE26" i="64"/>
  <c r="ED26" i="64"/>
  <c r="EC26" i="64"/>
  <c r="DV26" i="64"/>
  <c r="DU26" i="64"/>
  <c r="DT26" i="64"/>
  <c r="DS26" i="64"/>
  <c r="DR26" i="64"/>
  <c r="DQ26" i="64"/>
  <c r="DP26" i="64"/>
  <c r="GC25" i="64"/>
  <c r="GB25" i="64"/>
  <c r="GA25" i="64"/>
  <c r="FZ25" i="64"/>
  <c r="FY25" i="64"/>
  <c r="FX25" i="64"/>
  <c r="FW25" i="64"/>
  <c r="FV25" i="64"/>
  <c r="FT25" i="64"/>
  <c r="FS25" i="64"/>
  <c r="FR25" i="64"/>
  <c r="FQ25" i="64"/>
  <c r="FP25" i="64"/>
  <c r="FO25" i="64"/>
  <c r="FN25" i="64"/>
  <c r="FM25" i="64"/>
  <c r="FK25" i="64"/>
  <c r="FI25" i="64"/>
  <c r="FH25" i="64"/>
  <c r="FG25" i="64"/>
  <c r="FF25" i="64"/>
  <c r="FE25" i="64"/>
  <c r="FD25" i="64"/>
  <c r="FC25" i="64"/>
  <c r="FB25" i="64"/>
  <c r="FA25" i="64"/>
  <c r="EZ25" i="64"/>
  <c r="EY25" i="64"/>
  <c r="EX25" i="64"/>
  <c r="EW25" i="64"/>
  <c r="EV25" i="64"/>
  <c r="EU25" i="64"/>
  <c r="ET25" i="64"/>
  <c r="ES25" i="64"/>
  <c r="ER25" i="64"/>
  <c r="EQ25" i="64"/>
  <c r="EP25" i="64"/>
  <c r="EO25" i="64"/>
  <c r="EN25" i="64"/>
  <c r="EM25" i="64"/>
  <c r="EL25" i="64"/>
  <c r="EK25" i="64"/>
  <c r="EJ25" i="64"/>
  <c r="EI25" i="64"/>
  <c r="EH25" i="64"/>
  <c r="EG25" i="64"/>
  <c r="EF25" i="64"/>
  <c r="EE25" i="64"/>
  <c r="ED25" i="64"/>
  <c r="EC25" i="64"/>
  <c r="DV25" i="64"/>
  <c r="DU25" i="64"/>
  <c r="DT25" i="64"/>
  <c r="DS25" i="64"/>
  <c r="DR25" i="64"/>
  <c r="DQ25" i="64"/>
  <c r="DP25" i="64"/>
  <c r="GC24" i="64"/>
  <c r="GB24" i="64"/>
  <c r="GA24" i="64"/>
  <c r="FZ24" i="64"/>
  <c r="FY24" i="64"/>
  <c r="FX24" i="64"/>
  <c r="FW24" i="64"/>
  <c r="FV24" i="64"/>
  <c r="FT24" i="64"/>
  <c r="FS24" i="64"/>
  <c r="FR24" i="64"/>
  <c r="FQ24" i="64"/>
  <c r="FP24" i="64"/>
  <c r="FO24" i="64"/>
  <c r="FN24" i="64"/>
  <c r="FM24" i="64"/>
  <c r="FK24" i="64"/>
  <c r="FI24" i="64"/>
  <c r="FH24" i="64"/>
  <c r="FG24" i="64"/>
  <c r="FF24" i="64"/>
  <c r="FE24" i="64"/>
  <c r="FD24" i="64"/>
  <c r="FC24" i="64"/>
  <c r="FB24" i="64"/>
  <c r="FA24" i="64"/>
  <c r="EZ24" i="64"/>
  <c r="EY24" i="64"/>
  <c r="EX24" i="64"/>
  <c r="EW24" i="64"/>
  <c r="EV24" i="64"/>
  <c r="EU24" i="64"/>
  <c r="ET24" i="64"/>
  <c r="ES24" i="64"/>
  <c r="ER24" i="64"/>
  <c r="EQ24" i="64"/>
  <c r="EP24" i="64"/>
  <c r="EO24" i="64"/>
  <c r="EN24" i="64"/>
  <c r="EM24" i="64"/>
  <c r="EL24" i="64"/>
  <c r="EK24" i="64"/>
  <c r="EJ24" i="64"/>
  <c r="EI24" i="64"/>
  <c r="EH24" i="64"/>
  <c r="EG24" i="64"/>
  <c r="EF24" i="64"/>
  <c r="EE24" i="64"/>
  <c r="ED24" i="64"/>
  <c r="EC24" i="64"/>
  <c r="DV24" i="64"/>
  <c r="DU24" i="64"/>
  <c r="DT24" i="64"/>
  <c r="DS24" i="64"/>
  <c r="DR24" i="64"/>
  <c r="DQ24" i="64"/>
  <c r="DP24" i="64"/>
  <c r="GC23" i="64"/>
  <c r="GB23" i="64"/>
  <c r="GA23" i="64"/>
  <c r="FZ23" i="64"/>
  <c r="FY23" i="64"/>
  <c r="FX23" i="64"/>
  <c r="FW23" i="64"/>
  <c r="FV23" i="64"/>
  <c r="FT23" i="64"/>
  <c r="FS23" i="64"/>
  <c r="FR23" i="64"/>
  <c r="FQ23" i="64"/>
  <c r="FP23" i="64"/>
  <c r="FO23" i="64"/>
  <c r="FN23" i="64"/>
  <c r="FM23" i="64"/>
  <c r="FK23" i="64"/>
  <c r="FI23" i="64"/>
  <c r="FH23" i="64"/>
  <c r="FG23" i="64"/>
  <c r="FF23" i="64"/>
  <c r="FE23" i="64"/>
  <c r="FD23" i="64"/>
  <c r="FC23" i="64"/>
  <c r="FB23" i="64"/>
  <c r="FA23" i="64"/>
  <c r="EZ23" i="64"/>
  <c r="EY23" i="64"/>
  <c r="EX23" i="64"/>
  <c r="EW23" i="64"/>
  <c r="EV23" i="64"/>
  <c r="EU23" i="64"/>
  <c r="ET23" i="64"/>
  <c r="ES23" i="64"/>
  <c r="ER23" i="64"/>
  <c r="EQ23" i="64"/>
  <c r="EP23" i="64"/>
  <c r="EO23" i="64"/>
  <c r="EN23" i="64"/>
  <c r="EM23" i="64"/>
  <c r="EL23" i="64"/>
  <c r="EK23" i="64"/>
  <c r="EJ23" i="64"/>
  <c r="EI23" i="64"/>
  <c r="EH23" i="64"/>
  <c r="EG23" i="64"/>
  <c r="EF23" i="64"/>
  <c r="EE23" i="64"/>
  <c r="ED23" i="64"/>
  <c r="EC23" i="64"/>
  <c r="DV23" i="64"/>
  <c r="DU23" i="64"/>
  <c r="DT23" i="64"/>
  <c r="DS23" i="64"/>
  <c r="DR23" i="64"/>
  <c r="DQ23" i="64"/>
  <c r="DP23" i="64"/>
  <c r="GC22" i="64"/>
  <c r="GB22" i="64"/>
  <c r="GA22" i="64"/>
  <c r="FZ22" i="64"/>
  <c r="FY22" i="64"/>
  <c r="FX22" i="64"/>
  <c r="FW22" i="64"/>
  <c r="FV22" i="64"/>
  <c r="FT22" i="64"/>
  <c r="FS22" i="64"/>
  <c r="FR22" i="64"/>
  <c r="FQ22" i="64"/>
  <c r="FP22" i="64"/>
  <c r="FO22" i="64"/>
  <c r="FN22" i="64"/>
  <c r="FM22" i="64"/>
  <c r="FK22" i="64"/>
  <c r="FI22" i="64"/>
  <c r="FH22" i="64"/>
  <c r="FG22" i="64"/>
  <c r="FF22" i="64"/>
  <c r="FE22" i="64"/>
  <c r="FD22" i="64"/>
  <c r="FC22" i="64"/>
  <c r="FB22" i="64"/>
  <c r="FA22" i="64"/>
  <c r="EZ22" i="64"/>
  <c r="EY22" i="64"/>
  <c r="EX22" i="64"/>
  <c r="EW22" i="64"/>
  <c r="EV22" i="64"/>
  <c r="EU22" i="64"/>
  <c r="ET22" i="64"/>
  <c r="ES22" i="64"/>
  <c r="ER22" i="64"/>
  <c r="EQ22" i="64"/>
  <c r="EP22" i="64"/>
  <c r="EO22" i="64"/>
  <c r="EN22" i="64"/>
  <c r="EM22" i="64"/>
  <c r="EL22" i="64"/>
  <c r="EK22" i="64"/>
  <c r="EJ22" i="64"/>
  <c r="EI22" i="64"/>
  <c r="EH22" i="64"/>
  <c r="EG22" i="64"/>
  <c r="EF22" i="64"/>
  <c r="EE22" i="64"/>
  <c r="ED22" i="64"/>
  <c r="EC22" i="64"/>
  <c r="DV22" i="64"/>
  <c r="DU22" i="64"/>
  <c r="DT22" i="64"/>
  <c r="DS22" i="64"/>
  <c r="DR22" i="64"/>
  <c r="DQ22" i="64"/>
  <c r="DP22" i="64"/>
  <c r="GC21" i="64"/>
  <c r="GB21" i="64"/>
  <c r="GA21" i="64"/>
  <c r="FZ21" i="64"/>
  <c r="FY21" i="64"/>
  <c r="FX21" i="64"/>
  <c r="FW21" i="64"/>
  <c r="FV21" i="64"/>
  <c r="FT21" i="64"/>
  <c r="FS21" i="64"/>
  <c r="FR21" i="64"/>
  <c r="FQ21" i="64"/>
  <c r="FP21" i="64"/>
  <c r="FO21" i="64"/>
  <c r="FN21" i="64"/>
  <c r="FM21" i="64"/>
  <c r="FK21" i="64"/>
  <c r="FI21" i="64"/>
  <c r="FH21" i="64"/>
  <c r="FG21" i="64"/>
  <c r="FF21" i="64"/>
  <c r="FE21" i="64"/>
  <c r="FD21" i="64"/>
  <c r="FC21" i="64"/>
  <c r="FB21" i="64"/>
  <c r="FA21" i="64"/>
  <c r="EZ21" i="64"/>
  <c r="EY21" i="64"/>
  <c r="EX21" i="64"/>
  <c r="EW21" i="64"/>
  <c r="EV21" i="64"/>
  <c r="EU21" i="64"/>
  <c r="ET21" i="64"/>
  <c r="ES21" i="64"/>
  <c r="ER21" i="64"/>
  <c r="EQ21" i="64"/>
  <c r="EP21" i="64"/>
  <c r="EO21" i="64"/>
  <c r="EN21" i="64"/>
  <c r="EM21" i="64"/>
  <c r="EL21" i="64"/>
  <c r="EK21" i="64"/>
  <c r="EJ21" i="64"/>
  <c r="EI21" i="64"/>
  <c r="EH21" i="64"/>
  <c r="EG21" i="64"/>
  <c r="EF21" i="64"/>
  <c r="EE21" i="64"/>
  <c r="ED21" i="64"/>
  <c r="EC21" i="64"/>
  <c r="DV21" i="64"/>
  <c r="DU21" i="64"/>
  <c r="DT21" i="64"/>
  <c r="DS21" i="64"/>
  <c r="DR21" i="64"/>
  <c r="DQ21" i="64"/>
  <c r="DP21" i="64"/>
  <c r="GC20" i="64"/>
  <c r="GB20" i="64"/>
  <c r="GA20" i="64"/>
  <c r="FZ20" i="64"/>
  <c r="FY20" i="64"/>
  <c r="FX20" i="64"/>
  <c r="FW20" i="64"/>
  <c r="FV20" i="64"/>
  <c r="FT20" i="64"/>
  <c r="FS20" i="64"/>
  <c r="FR20" i="64"/>
  <c r="FQ20" i="64"/>
  <c r="FP20" i="64"/>
  <c r="FO20" i="64"/>
  <c r="FN20" i="64"/>
  <c r="FM20" i="64"/>
  <c r="FK20" i="64"/>
  <c r="FI20" i="64"/>
  <c r="FH20" i="64"/>
  <c r="FG20" i="64"/>
  <c r="FF20" i="64"/>
  <c r="FE20" i="64"/>
  <c r="FD20" i="64"/>
  <c r="FC20" i="64"/>
  <c r="FB20" i="64"/>
  <c r="FA20" i="64"/>
  <c r="EZ20" i="64"/>
  <c r="EY20" i="64"/>
  <c r="EX20" i="64"/>
  <c r="EW20" i="64"/>
  <c r="EV20" i="64"/>
  <c r="EU20" i="64"/>
  <c r="ET20" i="64"/>
  <c r="ES20" i="64"/>
  <c r="ER20" i="64"/>
  <c r="EQ20" i="64"/>
  <c r="EP20" i="64"/>
  <c r="EO20" i="64"/>
  <c r="EN20" i="64"/>
  <c r="EM20" i="64"/>
  <c r="EL20" i="64"/>
  <c r="EK20" i="64"/>
  <c r="EJ20" i="64"/>
  <c r="EI20" i="64"/>
  <c r="EH20" i="64"/>
  <c r="EG20" i="64"/>
  <c r="EF20" i="64"/>
  <c r="EE20" i="64"/>
  <c r="ED20" i="64"/>
  <c r="EC20" i="64"/>
  <c r="DV20" i="64"/>
  <c r="DU20" i="64"/>
  <c r="DT20" i="64"/>
  <c r="DS20" i="64"/>
  <c r="DR20" i="64"/>
  <c r="DQ20" i="64"/>
  <c r="DP20" i="64"/>
  <c r="GC19" i="64"/>
  <c r="GB19" i="64"/>
  <c r="GA19" i="64"/>
  <c r="FZ19" i="64"/>
  <c r="FY19" i="64"/>
  <c r="FX19" i="64"/>
  <c r="FW19" i="64"/>
  <c r="FV19" i="64"/>
  <c r="FT19" i="64"/>
  <c r="FS19" i="64"/>
  <c r="FR19" i="64"/>
  <c r="FQ19" i="64"/>
  <c r="FP19" i="64"/>
  <c r="FO19" i="64"/>
  <c r="FN19" i="64"/>
  <c r="FM19" i="64"/>
  <c r="FK19" i="64"/>
  <c r="FI19" i="64"/>
  <c r="FH19" i="64"/>
  <c r="FG19" i="64"/>
  <c r="FF19" i="64"/>
  <c r="FE19" i="64"/>
  <c r="FD19" i="64"/>
  <c r="FC19" i="64"/>
  <c r="FB19" i="64"/>
  <c r="FA19" i="64"/>
  <c r="EZ19" i="64"/>
  <c r="EY19" i="64"/>
  <c r="EX19" i="64"/>
  <c r="EW19" i="64"/>
  <c r="EV19" i="64"/>
  <c r="EU19" i="64"/>
  <c r="ET19" i="64"/>
  <c r="ES19" i="64"/>
  <c r="ER19" i="64"/>
  <c r="EQ19" i="64"/>
  <c r="EP19" i="64"/>
  <c r="EO19" i="64"/>
  <c r="EN19" i="64"/>
  <c r="EM19" i="64"/>
  <c r="EL19" i="64"/>
  <c r="EK19" i="64"/>
  <c r="EJ19" i="64"/>
  <c r="EI19" i="64"/>
  <c r="EH19" i="64"/>
  <c r="EG19" i="64"/>
  <c r="EF19" i="64"/>
  <c r="EE19" i="64"/>
  <c r="ED19" i="64"/>
  <c r="EC19" i="64"/>
  <c r="DV19" i="64"/>
  <c r="DU19" i="64"/>
  <c r="DT19" i="64"/>
  <c r="DS19" i="64"/>
  <c r="DR19" i="64"/>
  <c r="DQ19" i="64"/>
  <c r="DP19" i="64"/>
  <c r="GC18" i="64"/>
  <c r="GB18" i="64"/>
  <c r="GA18" i="64"/>
  <c r="FZ18" i="64"/>
  <c r="FY18" i="64"/>
  <c r="FX18" i="64"/>
  <c r="FW18" i="64"/>
  <c r="FV18" i="64"/>
  <c r="FT18" i="64"/>
  <c r="FS18" i="64"/>
  <c r="FR18" i="64"/>
  <c r="FQ18" i="64"/>
  <c r="FP18" i="64"/>
  <c r="FO18" i="64"/>
  <c r="FN18" i="64"/>
  <c r="FM18" i="64"/>
  <c r="FK18" i="64"/>
  <c r="FI18" i="64"/>
  <c r="FH18" i="64"/>
  <c r="FG18" i="64"/>
  <c r="FF18" i="64"/>
  <c r="FE18" i="64"/>
  <c r="FD18" i="64"/>
  <c r="FC18" i="64"/>
  <c r="FB18" i="64"/>
  <c r="FA18" i="64"/>
  <c r="EZ18" i="64"/>
  <c r="EY18" i="64"/>
  <c r="EX18" i="64"/>
  <c r="EW18" i="64"/>
  <c r="EV18" i="64"/>
  <c r="EU18" i="64"/>
  <c r="ET18" i="64"/>
  <c r="ES18" i="64"/>
  <c r="ER18" i="64"/>
  <c r="EQ18" i="64"/>
  <c r="EP18" i="64"/>
  <c r="EO18" i="64"/>
  <c r="EN18" i="64"/>
  <c r="EM18" i="64"/>
  <c r="EL18" i="64"/>
  <c r="EK18" i="64"/>
  <c r="EJ18" i="64"/>
  <c r="EI18" i="64"/>
  <c r="EH18" i="64"/>
  <c r="EG18" i="64"/>
  <c r="EF18" i="64"/>
  <c r="EE18" i="64"/>
  <c r="ED18" i="64"/>
  <c r="EC18" i="64"/>
  <c r="DV18" i="64"/>
  <c r="DU18" i="64"/>
  <c r="DT18" i="64"/>
  <c r="DS18" i="64"/>
  <c r="DR18" i="64"/>
  <c r="DQ18" i="64"/>
  <c r="DP18" i="64"/>
  <c r="GC17" i="64"/>
  <c r="GB17" i="64"/>
  <c r="GA17" i="64"/>
  <c r="FZ17" i="64"/>
  <c r="FY17" i="64"/>
  <c r="FX17" i="64"/>
  <c r="FW17" i="64"/>
  <c r="FV17" i="64"/>
  <c r="FT17" i="64"/>
  <c r="FS17" i="64"/>
  <c r="FR17" i="64"/>
  <c r="FQ17" i="64"/>
  <c r="FP17" i="64"/>
  <c r="FO17" i="64"/>
  <c r="FN17" i="64"/>
  <c r="FM17" i="64"/>
  <c r="FK17" i="64"/>
  <c r="FI17" i="64"/>
  <c r="FH17" i="64"/>
  <c r="FG17" i="64"/>
  <c r="FF17" i="64"/>
  <c r="FE17" i="64"/>
  <c r="FD17" i="64"/>
  <c r="FC17" i="64"/>
  <c r="FB17" i="64"/>
  <c r="FA17" i="64"/>
  <c r="EZ17" i="64"/>
  <c r="EY17" i="64"/>
  <c r="EX17" i="64"/>
  <c r="EW17" i="64"/>
  <c r="EV17" i="64"/>
  <c r="EU17" i="64"/>
  <c r="ET17" i="64"/>
  <c r="ES17" i="64"/>
  <c r="ER17" i="64"/>
  <c r="EQ17" i="64"/>
  <c r="EP17" i="64"/>
  <c r="EO17" i="64"/>
  <c r="EN17" i="64"/>
  <c r="EM17" i="64"/>
  <c r="EL17" i="64"/>
  <c r="EK17" i="64"/>
  <c r="EJ17" i="64"/>
  <c r="EI17" i="64"/>
  <c r="EH17" i="64"/>
  <c r="EG17" i="64"/>
  <c r="EF17" i="64"/>
  <c r="EE17" i="64"/>
  <c r="ED17" i="64"/>
  <c r="EC17" i="64"/>
  <c r="DV17" i="64"/>
  <c r="DU17" i="64"/>
  <c r="DT17" i="64"/>
  <c r="DS17" i="64"/>
  <c r="DR17" i="64"/>
  <c r="DQ17" i="64"/>
  <c r="DP17" i="64"/>
  <c r="GC16" i="64"/>
  <c r="GB16" i="64"/>
  <c r="GA16" i="64"/>
  <c r="FZ16" i="64"/>
  <c r="FY16" i="64"/>
  <c r="FX16" i="64"/>
  <c r="FW16" i="64"/>
  <c r="FV16" i="64"/>
  <c r="FT16" i="64"/>
  <c r="FS16" i="64"/>
  <c r="FR16" i="64"/>
  <c r="FQ16" i="64"/>
  <c r="FP16" i="64"/>
  <c r="FO16" i="64"/>
  <c r="FN16" i="64"/>
  <c r="FM16" i="64"/>
  <c r="FK16" i="64"/>
  <c r="FI16" i="64"/>
  <c r="FH16" i="64"/>
  <c r="FG16" i="64"/>
  <c r="FF16" i="64"/>
  <c r="FE16" i="64"/>
  <c r="FD16" i="64"/>
  <c r="FC16" i="64"/>
  <c r="FB16" i="64"/>
  <c r="FA16" i="64"/>
  <c r="EZ16" i="64"/>
  <c r="EY16" i="64"/>
  <c r="EX16" i="64"/>
  <c r="EW16" i="64"/>
  <c r="EV16" i="64"/>
  <c r="EU16" i="64"/>
  <c r="ET16" i="64"/>
  <c r="ES16" i="64"/>
  <c r="ER16" i="64"/>
  <c r="EQ16" i="64"/>
  <c r="EP16" i="64"/>
  <c r="EO16" i="64"/>
  <c r="EN16" i="64"/>
  <c r="EM16" i="64"/>
  <c r="EL16" i="64"/>
  <c r="EK16" i="64"/>
  <c r="EJ16" i="64"/>
  <c r="EI16" i="64"/>
  <c r="EH16" i="64"/>
  <c r="EG16" i="64"/>
  <c r="EF16" i="64"/>
  <c r="EE16" i="64"/>
  <c r="ED16" i="64"/>
  <c r="EC16" i="64"/>
  <c r="DV16" i="64"/>
  <c r="DU16" i="64"/>
  <c r="DT16" i="64"/>
  <c r="DS16" i="64"/>
  <c r="DR16" i="64"/>
  <c r="DQ16" i="64"/>
  <c r="DP16" i="64"/>
  <c r="GC15" i="64"/>
  <c r="GB15" i="64"/>
  <c r="GA15" i="64"/>
  <c r="FZ15" i="64"/>
  <c r="FY15" i="64"/>
  <c r="FX15" i="64"/>
  <c r="FW15" i="64"/>
  <c r="FV15" i="64"/>
  <c r="FT15" i="64"/>
  <c r="FS15" i="64"/>
  <c r="FR15" i="64"/>
  <c r="FQ15" i="64"/>
  <c r="FP15" i="64"/>
  <c r="FO15" i="64"/>
  <c r="FN15" i="64"/>
  <c r="FM15" i="64"/>
  <c r="FK15" i="64"/>
  <c r="FI15" i="64"/>
  <c r="FH15" i="64"/>
  <c r="FG15" i="64"/>
  <c r="FF15" i="64"/>
  <c r="FE15" i="64"/>
  <c r="FD15" i="64"/>
  <c r="FC15" i="64"/>
  <c r="FB15" i="64"/>
  <c r="FA15" i="64"/>
  <c r="EZ15" i="64"/>
  <c r="EY15" i="64"/>
  <c r="EX15" i="64"/>
  <c r="EW15" i="64"/>
  <c r="EV15" i="64"/>
  <c r="EU15" i="64"/>
  <c r="ET15" i="64"/>
  <c r="ES15" i="64"/>
  <c r="ER15" i="64"/>
  <c r="EQ15" i="64"/>
  <c r="EP15" i="64"/>
  <c r="EO15" i="64"/>
  <c r="EN15" i="64"/>
  <c r="EM15" i="64"/>
  <c r="EL15" i="64"/>
  <c r="EK15" i="64"/>
  <c r="EJ15" i="64"/>
  <c r="EI15" i="64"/>
  <c r="EH15" i="64"/>
  <c r="EG15" i="64"/>
  <c r="EF15" i="64"/>
  <c r="EE15" i="64"/>
  <c r="ED15" i="64"/>
  <c r="EC15" i="64"/>
  <c r="DV15" i="64"/>
  <c r="DU15" i="64"/>
  <c r="DT15" i="64"/>
  <c r="DS15" i="64"/>
  <c r="DR15" i="64"/>
  <c r="DQ15" i="64"/>
  <c r="DP15" i="64"/>
  <c r="GC14" i="64"/>
  <c r="GB14" i="64"/>
  <c r="GA14" i="64"/>
  <c r="FZ14" i="64"/>
  <c r="FY14" i="64"/>
  <c r="FX14" i="64"/>
  <c r="FW14" i="64"/>
  <c r="FV14" i="64"/>
  <c r="FT14" i="64"/>
  <c r="FS14" i="64"/>
  <c r="FR14" i="64"/>
  <c r="FQ14" i="64"/>
  <c r="FP14" i="64"/>
  <c r="FO14" i="64"/>
  <c r="FN14" i="64"/>
  <c r="FM14" i="64"/>
  <c r="FK14" i="64"/>
  <c r="FI14" i="64"/>
  <c r="FH14" i="64"/>
  <c r="FG14" i="64"/>
  <c r="FF14" i="64"/>
  <c r="FE14" i="64"/>
  <c r="FD14" i="64"/>
  <c r="FC14" i="64"/>
  <c r="FB14" i="64"/>
  <c r="FA14" i="64"/>
  <c r="EZ14" i="64"/>
  <c r="EY14" i="64"/>
  <c r="EX14" i="64"/>
  <c r="EW14" i="64"/>
  <c r="EV14" i="64"/>
  <c r="EU14" i="64"/>
  <c r="ET14" i="64"/>
  <c r="ES14" i="64"/>
  <c r="ER14" i="64"/>
  <c r="EQ14" i="64"/>
  <c r="EP14" i="64"/>
  <c r="EO14" i="64"/>
  <c r="EN14" i="64"/>
  <c r="EM14" i="64"/>
  <c r="EL14" i="64"/>
  <c r="EK14" i="64"/>
  <c r="EJ14" i="64"/>
  <c r="EI14" i="64"/>
  <c r="EH14" i="64"/>
  <c r="EG14" i="64"/>
  <c r="EF14" i="64"/>
  <c r="EE14" i="64"/>
  <c r="ED14" i="64"/>
  <c r="EC14" i="64"/>
  <c r="DV14" i="64"/>
  <c r="DU14" i="64"/>
  <c r="DT14" i="64"/>
  <c r="DS14" i="64"/>
  <c r="DR14" i="64"/>
  <c r="DQ14" i="64"/>
  <c r="DP14" i="64"/>
  <c r="GC13" i="64"/>
  <c r="GB13" i="64"/>
  <c r="GA13" i="64"/>
  <c r="FZ13" i="64"/>
  <c r="FY13" i="64"/>
  <c r="FX13" i="64"/>
  <c r="FW13" i="64"/>
  <c r="FV13" i="64"/>
  <c r="FT13" i="64"/>
  <c r="FS13" i="64"/>
  <c r="FR13" i="64"/>
  <c r="FQ13" i="64"/>
  <c r="FP13" i="64"/>
  <c r="FO13" i="64"/>
  <c r="FN13" i="64"/>
  <c r="FM13" i="64"/>
  <c r="FK13" i="64"/>
  <c r="FI13" i="64"/>
  <c r="FH13" i="64"/>
  <c r="FG13" i="64"/>
  <c r="FF13" i="64"/>
  <c r="FE13" i="64"/>
  <c r="FD13" i="64"/>
  <c r="FC13" i="64"/>
  <c r="FB13" i="64"/>
  <c r="FA13" i="64"/>
  <c r="EZ13" i="64"/>
  <c r="EY13" i="64"/>
  <c r="EX13" i="64"/>
  <c r="EW13" i="64"/>
  <c r="EV13" i="64"/>
  <c r="EU13" i="64"/>
  <c r="ET13" i="64"/>
  <c r="ES13" i="64"/>
  <c r="ER13" i="64"/>
  <c r="EQ13" i="64"/>
  <c r="EP13" i="64"/>
  <c r="EO13" i="64"/>
  <c r="EN13" i="64"/>
  <c r="EM13" i="64"/>
  <c r="EL13" i="64"/>
  <c r="EK13" i="64"/>
  <c r="EJ13" i="64"/>
  <c r="EI13" i="64"/>
  <c r="EH13" i="64"/>
  <c r="EG13" i="64"/>
  <c r="EF13" i="64"/>
  <c r="EE13" i="64"/>
  <c r="ED13" i="64"/>
  <c r="EC13" i="64"/>
  <c r="DV13" i="64"/>
  <c r="DU13" i="64"/>
  <c r="DT13" i="64"/>
  <c r="DS13" i="64"/>
  <c r="DR13" i="64"/>
  <c r="DQ13" i="64"/>
  <c r="DP13" i="64"/>
  <c r="GC12" i="64"/>
  <c r="GB12" i="64"/>
  <c r="GA12" i="64"/>
  <c r="FZ12" i="64"/>
  <c r="FY12" i="64"/>
  <c r="FX12" i="64"/>
  <c r="FW12" i="64"/>
  <c r="FV12" i="64"/>
  <c r="FT12" i="64"/>
  <c r="FS12" i="64"/>
  <c r="FR12" i="64"/>
  <c r="FQ12" i="64"/>
  <c r="FP12" i="64"/>
  <c r="FO12" i="64"/>
  <c r="FN12" i="64"/>
  <c r="FM12" i="64"/>
  <c r="FK12" i="64"/>
  <c r="FI12" i="64"/>
  <c r="FH12" i="64"/>
  <c r="FG12" i="64"/>
  <c r="FF12" i="64"/>
  <c r="FE12" i="64"/>
  <c r="FD12" i="64"/>
  <c r="FC12" i="64"/>
  <c r="FB12" i="64"/>
  <c r="FA12" i="64"/>
  <c r="EZ12" i="64"/>
  <c r="EY12" i="64"/>
  <c r="EX12" i="64"/>
  <c r="EW12" i="64"/>
  <c r="EV12" i="64"/>
  <c r="EU12" i="64"/>
  <c r="ET12" i="64"/>
  <c r="ES12" i="64"/>
  <c r="ER12" i="64"/>
  <c r="EQ12" i="64"/>
  <c r="EP12" i="64"/>
  <c r="EO12" i="64"/>
  <c r="EN12" i="64"/>
  <c r="EM12" i="64"/>
  <c r="EL12" i="64"/>
  <c r="EK12" i="64"/>
  <c r="EJ12" i="64"/>
  <c r="EI12" i="64"/>
  <c r="EH12" i="64"/>
  <c r="EG12" i="64"/>
  <c r="EF12" i="64"/>
  <c r="EE12" i="64"/>
  <c r="ED12" i="64"/>
  <c r="EC12" i="64"/>
  <c r="DV12" i="64"/>
  <c r="DU12" i="64"/>
  <c r="DT12" i="64"/>
  <c r="DS12" i="64"/>
  <c r="DR12" i="64"/>
  <c r="DQ12" i="64"/>
  <c r="DP12" i="64"/>
  <c r="GC11" i="64"/>
  <c r="GB11" i="64"/>
  <c r="GA11" i="64"/>
  <c r="FZ11" i="64"/>
  <c r="FY11" i="64"/>
  <c r="FX11" i="64"/>
  <c r="FW11" i="64"/>
  <c r="FV11" i="64"/>
  <c r="FT11" i="64"/>
  <c r="FS11" i="64"/>
  <c r="FR11" i="64"/>
  <c r="FQ11" i="64"/>
  <c r="FP11" i="64"/>
  <c r="FO11" i="64"/>
  <c r="FN11" i="64"/>
  <c r="FM11" i="64"/>
  <c r="FK11" i="64"/>
  <c r="FI11" i="64"/>
  <c r="FH11" i="64"/>
  <c r="FG11" i="64"/>
  <c r="FF11" i="64"/>
  <c r="FE11" i="64"/>
  <c r="FD11" i="64"/>
  <c r="FC11" i="64"/>
  <c r="FB11" i="64"/>
  <c r="FA11" i="64"/>
  <c r="EZ11" i="64"/>
  <c r="EY11" i="64"/>
  <c r="EX11" i="64"/>
  <c r="EW11" i="64"/>
  <c r="EV11" i="64"/>
  <c r="EU11" i="64"/>
  <c r="ET11" i="64"/>
  <c r="ES11" i="64"/>
  <c r="ER11" i="64"/>
  <c r="EQ11" i="64"/>
  <c r="EP11" i="64"/>
  <c r="EO11" i="64"/>
  <c r="EN11" i="64"/>
  <c r="EM11" i="64"/>
  <c r="EL11" i="64"/>
  <c r="EK11" i="64"/>
  <c r="EJ11" i="64"/>
  <c r="EI11" i="64"/>
  <c r="EH11" i="64"/>
  <c r="EG11" i="64"/>
  <c r="EF11" i="64"/>
  <c r="EE11" i="64"/>
  <c r="ED11" i="64"/>
  <c r="EC11" i="64"/>
  <c r="DV11" i="64"/>
  <c r="DU11" i="64"/>
  <c r="DT11" i="64"/>
  <c r="DS11" i="64"/>
  <c r="DR11" i="64"/>
  <c r="DQ11" i="64"/>
  <c r="DP11" i="64"/>
  <c r="GC10" i="64"/>
  <c r="GB10" i="64"/>
  <c r="GA10" i="64"/>
  <c r="FZ10" i="64"/>
  <c r="FY10" i="64"/>
  <c r="FX10" i="64"/>
  <c r="FW10" i="64"/>
  <c r="FV10" i="64"/>
  <c r="FT10" i="64"/>
  <c r="FS10" i="64"/>
  <c r="FR10" i="64"/>
  <c r="FQ10" i="64"/>
  <c r="FP10" i="64"/>
  <c r="FO10" i="64"/>
  <c r="FN10" i="64"/>
  <c r="FM10" i="64"/>
  <c r="FK10" i="64"/>
  <c r="FI10" i="64"/>
  <c r="FH10" i="64"/>
  <c r="FG10" i="64"/>
  <c r="FF10" i="64"/>
  <c r="FE10" i="64"/>
  <c r="FD10" i="64"/>
  <c r="FC10" i="64"/>
  <c r="FB10" i="64"/>
  <c r="FA10" i="64"/>
  <c r="EZ10" i="64"/>
  <c r="EY10" i="64"/>
  <c r="EX10" i="64"/>
  <c r="EW10" i="64"/>
  <c r="EV10" i="64"/>
  <c r="EU10" i="64"/>
  <c r="ET10" i="64"/>
  <c r="ES10" i="64"/>
  <c r="ER10" i="64"/>
  <c r="EQ10" i="64"/>
  <c r="EP10" i="64"/>
  <c r="EO10" i="64"/>
  <c r="EN10" i="64"/>
  <c r="EM10" i="64"/>
  <c r="EL10" i="64"/>
  <c r="EK10" i="64"/>
  <c r="EJ10" i="64"/>
  <c r="EI10" i="64"/>
  <c r="EH10" i="64"/>
  <c r="EG10" i="64"/>
  <c r="EF10" i="64"/>
  <c r="EE10" i="64"/>
  <c r="ED10" i="64"/>
  <c r="EC10" i="64"/>
  <c r="DV10" i="64"/>
  <c r="DU10" i="64"/>
  <c r="DT10" i="64"/>
  <c r="DS10" i="64"/>
  <c r="DR10" i="64"/>
  <c r="DQ10" i="64"/>
  <c r="DP10" i="64"/>
  <c r="GC9" i="64"/>
  <c r="GB9" i="64"/>
  <c r="GA9" i="64"/>
  <c r="FZ9" i="64"/>
  <c r="FY9" i="64"/>
  <c r="FX9" i="64"/>
  <c r="FW9" i="64"/>
  <c r="FV9" i="64"/>
  <c r="FU40" i="64"/>
  <c r="FT9" i="64"/>
  <c r="FS9" i="64"/>
  <c r="FS40" i="64" s="1"/>
  <c r="FR9" i="64"/>
  <c r="FQ9" i="64"/>
  <c r="FP9" i="64"/>
  <c r="FO9" i="64"/>
  <c r="FN9" i="64"/>
  <c r="FM9" i="64"/>
  <c r="FL9" i="64"/>
  <c r="FK9" i="64"/>
  <c r="FJ9" i="64"/>
  <c r="FI9" i="64"/>
  <c r="FH9" i="64"/>
  <c r="FG9" i="64"/>
  <c r="FF9" i="64"/>
  <c r="FE9" i="64"/>
  <c r="FD9" i="64"/>
  <c r="FC9" i="64"/>
  <c r="FB9" i="64"/>
  <c r="FA9" i="64"/>
  <c r="EZ9" i="64"/>
  <c r="EY9" i="64"/>
  <c r="EX9" i="64"/>
  <c r="EW9" i="64"/>
  <c r="EV9" i="64"/>
  <c r="EU9" i="64"/>
  <c r="ET9" i="64"/>
  <c r="ES9" i="64"/>
  <c r="ER9" i="64"/>
  <c r="EQ9" i="64"/>
  <c r="EP9" i="64"/>
  <c r="EO9" i="64"/>
  <c r="EN9" i="64"/>
  <c r="EM9" i="64"/>
  <c r="EL9" i="64"/>
  <c r="EK9" i="64"/>
  <c r="EJ9" i="64"/>
  <c r="EI9" i="64"/>
  <c r="EH9" i="64"/>
  <c r="EG9" i="64"/>
  <c r="EF9" i="64"/>
  <c r="EE9" i="64"/>
  <c r="ED9" i="64"/>
  <c r="ED40" i="64" s="1"/>
  <c r="EC9" i="64"/>
  <c r="DV9" i="64"/>
  <c r="DU9" i="64"/>
  <c r="DT9" i="64"/>
  <c r="DS9" i="64"/>
  <c r="DR9" i="64"/>
  <c r="DQ9" i="64"/>
  <c r="DP9" i="64"/>
  <c r="DP40" i="64" s="1"/>
  <c r="FE7" i="64"/>
  <c r="EJ7" i="64"/>
  <c r="EH7" i="64"/>
  <c r="EB7" i="64"/>
  <c r="EA7" i="64"/>
  <c r="DZ7" i="64"/>
  <c r="DV7" i="64"/>
  <c r="DT7" i="64"/>
  <c r="EB40" i="66"/>
  <c r="EA40" i="66"/>
  <c r="DZ40" i="66"/>
  <c r="DY40" i="66"/>
  <c r="DX40" i="66"/>
  <c r="DW40" i="66"/>
  <c r="GC39" i="66"/>
  <c r="GB39" i="66"/>
  <c r="GA39" i="66"/>
  <c r="FZ39" i="66"/>
  <c r="FY39" i="66"/>
  <c r="FX39" i="66"/>
  <c r="FW39" i="66"/>
  <c r="FV39" i="66"/>
  <c r="FT39" i="66"/>
  <c r="FS39" i="66"/>
  <c r="FR39" i="66"/>
  <c r="FQ39" i="66"/>
  <c r="FP39" i="66"/>
  <c r="FO39" i="66"/>
  <c r="FN39" i="66"/>
  <c r="FM39" i="66"/>
  <c r="FK39" i="66"/>
  <c r="FI39" i="66"/>
  <c r="FD39" i="66"/>
  <c r="FC39" i="66"/>
  <c r="FB39" i="66"/>
  <c r="FA39" i="66"/>
  <c r="EZ39" i="66"/>
  <c r="EY39" i="66"/>
  <c r="EX39" i="66"/>
  <c r="EW39" i="66"/>
  <c r="EV39" i="66"/>
  <c r="EU39" i="66"/>
  <c r="ET39" i="66"/>
  <c r="ES39" i="66"/>
  <c r="ER39" i="66"/>
  <c r="EQ39" i="66"/>
  <c r="EP39" i="66"/>
  <c r="EO39" i="66"/>
  <c r="EN39" i="66"/>
  <c r="EM39" i="66"/>
  <c r="EL39" i="66"/>
  <c r="EK39" i="66"/>
  <c r="EJ39" i="66"/>
  <c r="EI39" i="66"/>
  <c r="EH39" i="66"/>
  <c r="EG39" i="66"/>
  <c r="EE39" i="66"/>
  <c r="ED39" i="66"/>
  <c r="EC39" i="66"/>
  <c r="DV39" i="66"/>
  <c r="DU39" i="66"/>
  <c r="DT39" i="66"/>
  <c r="DS39" i="66"/>
  <c r="DR39" i="66"/>
  <c r="DQ39" i="66"/>
  <c r="DP39" i="66"/>
  <c r="GC38" i="66"/>
  <c r="GB38" i="66"/>
  <c r="GA38" i="66"/>
  <c r="FZ38" i="66"/>
  <c r="FY38" i="66"/>
  <c r="FX38" i="66"/>
  <c r="FW38" i="66"/>
  <c r="FV38" i="66"/>
  <c r="FT38" i="66"/>
  <c r="FS38" i="66"/>
  <c r="FR38" i="66"/>
  <c r="FQ38" i="66"/>
  <c r="FP38" i="66"/>
  <c r="FO38" i="66"/>
  <c r="FN38" i="66"/>
  <c r="FM38" i="66"/>
  <c r="FK38" i="66"/>
  <c r="FI38" i="66"/>
  <c r="FD38" i="66"/>
  <c r="FC38" i="66"/>
  <c r="FB38" i="66"/>
  <c r="FA38" i="66"/>
  <c r="EZ38" i="66"/>
  <c r="EY38" i="66"/>
  <c r="EX38" i="66"/>
  <c r="EW38" i="66"/>
  <c r="EV38" i="66"/>
  <c r="EU38" i="66"/>
  <c r="ET38" i="66"/>
  <c r="ES38" i="66"/>
  <c r="ER38" i="66"/>
  <c r="EQ38" i="66"/>
  <c r="EP38" i="66"/>
  <c r="EO38" i="66"/>
  <c r="EN38" i="66"/>
  <c r="EM38" i="66"/>
  <c r="EL38" i="66"/>
  <c r="EK38" i="66"/>
  <c r="EJ38" i="66"/>
  <c r="EI38" i="66"/>
  <c r="EH38" i="66"/>
  <c r="EG38" i="66"/>
  <c r="EE38" i="66"/>
  <c r="ED38" i="66"/>
  <c r="EC38" i="66"/>
  <c r="DV38" i="66"/>
  <c r="DU38" i="66"/>
  <c r="DT38" i="66"/>
  <c r="DS38" i="66"/>
  <c r="DR38" i="66"/>
  <c r="DQ38" i="66"/>
  <c r="DP38" i="66"/>
  <c r="GC37" i="66"/>
  <c r="GB37" i="66"/>
  <c r="GA37" i="66"/>
  <c r="FZ37" i="66"/>
  <c r="FY37" i="66"/>
  <c r="FX37" i="66"/>
  <c r="FW37" i="66"/>
  <c r="FV37" i="66"/>
  <c r="FT37" i="66"/>
  <c r="FS37" i="66"/>
  <c r="FR37" i="66"/>
  <c r="FQ37" i="66"/>
  <c r="FP37" i="66"/>
  <c r="FO37" i="66"/>
  <c r="FN37" i="66"/>
  <c r="FM37" i="66"/>
  <c r="FK37" i="66"/>
  <c r="FI37" i="66"/>
  <c r="FD37" i="66"/>
  <c r="FC37" i="66"/>
  <c r="FB37" i="66"/>
  <c r="FA37" i="66"/>
  <c r="EZ37" i="66"/>
  <c r="EY37" i="66"/>
  <c r="EX37" i="66"/>
  <c r="EW37" i="66"/>
  <c r="EV37" i="66"/>
  <c r="EU37" i="66"/>
  <c r="ET37" i="66"/>
  <c r="ES37" i="66"/>
  <c r="ER37" i="66"/>
  <c r="EQ37" i="66"/>
  <c r="EP37" i="66"/>
  <c r="EO37" i="66"/>
  <c r="EN37" i="66"/>
  <c r="EM37" i="66"/>
  <c r="EL37" i="66"/>
  <c r="EK37" i="66"/>
  <c r="EJ37" i="66"/>
  <c r="EI37" i="66"/>
  <c r="EH37" i="66"/>
  <c r="EG37" i="66"/>
  <c r="EE37" i="66"/>
  <c r="ED37" i="66"/>
  <c r="EC37" i="66"/>
  <c r="DV37" i="66"/>
  <c r="DU37" i="66"/>
  <c r="DT37" i="66"/>
  <c r="DS37" i="66"/>
  <c r="DR37" i="66"/>
  <c r="DQ37" i="66"/>
  <c r="DP37" i="66"/>
  <c r="GC36" i="66"/>
  <c r="GB36" i="66"/>
  <c r="GA36" i="66"/>
  <c r="FZ36" i="66"/>
  <c r="FY36" i="66"/>
  <c r="FX36" i="66"/>
  <c r="FW36" i="66"/>
  <c r="FV36" i="66"/>
  <c r="FT36" i="66"/>
  <c r="FS36" i="66"/>
  <c r="FR36" i="66"/>
  <c r="FQ36" i="66"/>
  <c r="FP36" i="66"/>
  <c r="FO36" i="66"/>
  <c r="FN36" i="66"/>
  <c r="FM36" i="66"/>
  <c r="FK36" i="66"/>
  <c r="FI36" i="66"/>
  <c r="FH36" i="66"/>
  <c r="FG36" i="66"/>
  <c r="FF36" i="66"/>
  <c r="FE36" i="66"/>
  <c r="FD36" i="66"/>
  <c r="FC36" i="66"/>
  <c r="FB36" i="66"/>
  <c r="FA36" i="66"/>
  <c r="EZ36" i="66"/>
  <c r="EY36" i="66"/>
  <c r="EX36" i="66"/>
  <c r="EW36" i="66"/>
  <c r="EV36" i="66"/>
  <c r="EU36" i="66"/>
  <c r="ET36" i="66"/>
  <c r="ES36" i="66"/>
  <c r="ER36" i="66"/>
  <c r="EQ36" i="66"/>
  <c r="EP36" i="66"/>
  <c r="EO36" i="66"/>
  <c r="EN36" i="66"/>
  <c r="EM36" i="66"/>
  <c r="EL36" i="66"/>
  <c r="EK36" i="66"/>
  <c r="EJ36" i="66"/>
  <c r="EI36" i="66"/>
  <c r="EH36" i="66"/>
  <c r="EG36" i="66"/>
  <c r="EF36" i="66"/>
  <c r="EE36" i="66"/>
  <c r="ED36" i="66"/>
  <c r="EC36" i="66"/>
  <c r="DV36" i="66"/>
  <c r="DU36" i="66"/>
  <c r="DT36" i="66"/>
  <c r="DS36" i="66"/>
  <c r="DR36" i="66"/>
  <c r="DQ36" i="66"/>
  <c r="DP36" i="66"/>
  <c r="GC35" i="66"/>
  <c r="GB35" i="66"/>
  <c r="GA35" i="66"/>
  <c r="FZ35" i="66"/>
  <c r="FY35" i="66"/>
  <c r="FX35" i="66"/>
  <c r="FW35" i="66"/>
  <c r="FV35" i="66"/>
  <c r="FT35" i="66"/>
  <c r="FS35" i="66"/>
  <c r="FR35" i="66"/>
  <c r="FQ35" i="66"/>
  <c r="FP35" i="66"/>
  <c r="FO35" i="66"/>
  <c r="FN35" i="66"/>
  <c r="FM35" i="66"/>
  <c r="FK35" i="66"/>
  <c r="FI35" i="66"/>
  <c r="FH35" i="66"/>
  <c r="FG35" i="66"/>
  <c r="FF35" i="66"/>
  <c r="FE35" i="66"/>
  <c r="FD35" i="66"/>
  <c r="FC35" i="66"/>
  <c r="FB35" i="66"/>
  <c r="FA35" i="66"/>
  <c r="EZ35" i="66"/>
  <c r="EY35" i="66"/>
  <c r="EX35" i="66"/>
  <c r="EW35" i="66"/>
  <c r="EV35" i="66"/>
  <c r="EU35" i="66"/>
  <c r="ET35" i="66"/>
  <c r="ES35" i="66"/>
  <c r="ER35" i="66"/>
  <c r="EQ35" i="66"/>
  <c r="EP35" i="66"/>
  <c r="EO35" i="66"/>
  <c r="EN35" i="66"/>
  <c r="EM35" i="66"/>
  <c r="EL35" i="66"/>
  <c r="EK35" i="66"/>
  <c r="EJ35" i="66"/>
  <c r="EI35" i="66"/>
  <c r="EH35" i="66"/>
  <c r="EG35" i="66"/>
  <c r="EF35" i="66"/>
  <c r="EE35" i="66"/>
  <c r="ED35" i="66"/>
  <c r="EC35" i="66"/>
  <c r="DV35" i="66"/>
  <c r="DU35" i="66"/>
  <c r="DT35" i="66"/>
  <c r="DS35" i="66"/>
  <c r="DR35" i="66"/>
  <c r="DQ35" i="66"/>
  <c r="DP35" i="66"/>
  <c r="GC34" i="66"/>
  <c r="GB34" i="66"/>
  <c r="GA34" i="66"/>
  <c r="FZ34" i="66"/>
  <c r="FY34" i="66"/>
  <c r="FX34" i="66"/>
  <c r="FW34" i="66"/>
  <c r="FV34" i="66"/>
  <c r="FT34" i="66"/>
  <c r="FS34" i="66"/>
  <c r="FR34" i="66"/>
  <c r="FQ34" i="66"/>
  <c r="FP34" i="66"/>
  <c r="FO34" i="66"/>
  <c r="FN34" i="66"/>
  <c r="FM34" i="66"/>
  <c r="FK34" i="66"/>
  <c r="FI34" i="66"/>
  <c r="FH34" i="66"/>
  <c r="FG34" i="66"/>
  <c r="FF34" i="66"/>
  <c r="FE34" i="66"/>
  <c r="FD34" i="66"/>
  <c r="FC34" i="66"/>
  <c r="FB34" i="66"/>
  <c r="FA34" i="66"/>
  <c r="EZ34" i="66"/>
  <c r="EY34" i="66"/>
  <c r="EX34" i="66"/>
  <c r="EW34" i="66"/>
  <c r="EV34" i="66"/>
  <c r="EU34" i="66"/>
  <c r="ET34" i="66"/>
  <c r="ES34" i="66"/>
  <c r="ER34" i="66"/>
  <c r="EQ34" i="66"/>
  <c r="EP34" i="66"/>
  <c r="EO34" i="66"/>
  <c r="EN34" i="66"/>
  <c r="EM34" i="66"/>
  <c r="EL34" i="66"/>
  <c r="EK34" i="66"/>
  <c r="EJ34" i="66"/>
  <c r="EI34" i="66"/>
  <c r="EH34" i="66"/>
  <c r="EG34" i="66"/>
  <c r="EF34" i="66"/>
  <c r="EE34" i="66"/>
  <c r="ED34" i="66"/>
  <c r="EC34" i="66"/>
  <c r="DV34" i="66"/>
  <c r="DU34" i="66"/>
  <c r="DT34" i="66"/>
  <c r="DS34" i="66"/>
  <c r="DR34" i="66"/>
  <c r="DQ34" i="66"/>
  <c r="DP34" i="66"/>
  <c r="GC33" i="66"/>
  <c r="GB33" i="66"/>
  <c r="GA33" i="66"/>
  <c r="FZ33" i="66"/>
  <c r="FY33" i="66"/>
  <c r="FX33" i="66"/>
  <c r="FW33" i="66"/>
  <c r="FV33" i="66"/>
  <c r="FT33" i="66"/>
  <c r="FS33" i="66"/>
  <c r="FR33" i="66"/>
  <c r="FQ33" i="66"/>
  <c r="FP33" i="66"/>
  <c r="FO33" i="66"/>
  <c r="FN33" i="66"/>
  <c r="FM33" i="66"/>
  <c r="FK33" i="66"/>
  <c r="FI33" i="66"/>
  <c r="FH33" i="66"/>
  <c r="FG33" i="66"/>
  <c r="FF33" i="66"/>
  <c r="FE33" i="66"/>
  <c r="FD33" i="66"/>
  <c r="FC33" i="66"/>
  <c r="FB33" i="66"/>
  <c r="FA33" i="66"/>
  <c r="EZ33" i="66"/>
  <c r="EY33" i="66"/>
  <c r="EX33" i="66"/>
  <c r="EW33" i="66"/>
  <c r="EV33" i="66"/>
  <c r="EU33" i="66"/>
  <c r="ET33" i="66"/>
  <c r="ES33" i="66"/>
  <c r="ER33" i="66"/>
  <c r="EQ33" i="66"/>
  <c r="EP33" i="66"/>
  <c r="EO33" i="66"/>
  <c r="EN33" i="66"/>
  <c r="EM33" i="66"/>
  <c r="EL33" i="66"/>
  <c r="EK33" i="66"/>
  <c r="EJ33" i="66"/>
  <c r="EI33" i="66"/>
  <c r="EH33" i="66"/>
  <c r="EG33" i="66"/>
  <c r="EF33" i="66"/>
  <c r="EE33" i="66"/>
  <c r="ED33" i="66"/>
  <c r="EC33" i="66"/>
  <c r="DV33" i="66"/>
  <c r="DU33" i="66"/>
  <c r="DT33" i="66"/>
  <c r="DS33" i="66"/>
  <c r="DR33" i="66"/>
  <c r="DQ33" i="66"/>
  <c r="DP33" i="66"/>
  <c r="GC32" i="66"/>
  <c r="GB32" i="66"/>
  <c r="GA32" i="66"/>
  <c r="FZ32" i="66"/>
  <c r="FY32" i="66"/>
  <c r="FX32" i="66"/>
  <c r="FW32" i="66"/>
  <c r="FV32" i="66"/>
  <c r="FT32" i="66"/>
  <c r="FS32" i="66"/>
  <c r="FR32" i="66"/>
  <c r="FQ32" i="66"/>
  <c r="FP32" i="66"/>
  <c r="FO32" i="66"/>
  <c r="FN32" i="66"/>
  <c r="FM32" i="66"/>
  <c r="FK32" i="66"/>
  <c r="FI32" i="66"/>
  <c r="FH32" i="66"/>
  <c r="FG32" i="66"/>
  <c r="FF32" i="66"/>
  <c r="FE32" i="66"/>
  <c r="FD32" i="66"/>
  <c r="FC32" i="66"/>
  <c r="FB32" i="66"/>
  <c r="FA32" i="66"/>
  <c r="EZ32" i="66"/>
  <c r="EY32" i="66"/>
  <c r="EX32" i="66"/>
  <c r="EW32" i="66"/>
  <c r="EV32" i="66"/>
  <c r="EU32" i="66"/>
  <c r="ET32" i="66"/>
  <c r="ES32" i="66"/>
  <c r="ER32" i="66"/>
  <c r="EQ32" i="66"/>
  <c r="EP32" i="66"/>
  <c r="EO32" i="66"/>
  <c r="EN32" i="66"/>
  <c r="EM32" i="66"/>
  <c r="EL32" i="66"/>
  <c r="EK32" i="66"/>
  <c r="EJ32" i="66"/>
  <c r="EI32" i="66"/>
  <c r="EH32" i="66"/>
  <c r="EG32" i="66"/>
  <c r="EF32" i="66"/>
  <c r="EE32" i="66"/>
  <c r="ED32" i="66"/>
  <c r="EC32" i="66"/>
  <c r="DV32" i="66"/>
  <c r="DU32" i="66"/>
  <c r="DT32" i="66"/>
  <c r="DS32" i="66"/>
  <c r="DR32" i="66"/>
  <c r="DQ32" i="66"/>
  <c r="DP32" i="66"/>
  <c r="GC31" i="66"/>
  <c r="GB31" i="66"/>
  <c r="GA31" i="66"/>
  <c r="FZ31" i="66"/>
  <c r="FY31" i="66"/>
  <c r="FX31" i="66"/>
  <c r="FW31" i="66"/>
  <c r="FV31" i="66"/>
  <c r="FT31" i="66"/>
  <c r="FS31" i="66"/>
  <c r="FR31" i="66"/>
  <c r="FQ31" i="66"/>
  <c r="FP31" i="66"/>
  <c r="FO31" i="66"/>
  <c r="FN31" i="66"/>
  <c r="FM31" i="66"/>
  <c r="FK31" i="66"/>
  <c r="FI31" i="66"/>
  <c r="FH31" i="66"/>
  <c r="FG31" i="66"/>
  <c r="FF31" i="66"/>
  <c r="FE31" i="66"/>
  <c r="FD31" i="66"/>
  <c r="FC31" i="66"/>
  <c r="FB31" i="66"/>
  <c r="FA31" i="66"/>
  <c r="EZ31" i="66"/>
  <c r="EY31" i="66"/>
  <c r="EX31" i="66"/>
  <c r="EW31" i="66"/>
  <c r="EV31" i="66"/>
  <c r="EU31" i="66"/>
  <c r="ET31" i="66"/>
  <c r="ES31" i="66"/>
  <c r="ER31" i="66"/>
  <c r="EQ31" i="66"/>
  <c r="EP31" i="66"/>
  <c r="EO31" i="66"/>
  <c r="EN31" i="66"/>
  <c r="EM31" i="66"/>
  <c r="EL31" i="66"/>
  <c r="EK31" i="66"/>
  <c r="EJ31" i="66"/>
  <c r="EI31" i="66"/>
  <c r="EH31" i="66"/>
  <c r="EG31" i="66"/>
  <c r="EF31" i="66"/>
  <c r="EE31" i="66"/>
  <c r="ED31" i="66"/>
  <c r="EC31" i="66"/>
  <c r="DV31" i="66"/>
  <c r="DU31" i="66"/>
  <c r="DT31" i="66"/>
  <c r="DS31" i="66"/>
  <c r="DR31" i="66"/>
  <c r="DQ31" i="66"/>
  <c r="DP31" i="66"/>
  <c r="GC30" i="66"/>
  <c r="GB30" i="66"/>
  <c r="GA30" i="66"/>
  <c r="FZ30" i="66"/>
  <c r="FY30" i="66"/>
  <c r="FX30" i="66"/>
  <c r="FW30" i="66"/>
  <c r="FV30" i="66"/>
  <c r="FT30" i="66"/>
  <c r="FS30" i="66"/>
  <c r="FR30" i="66"/>
  <c r="FQ30" i="66"/>
  <c r="FP30" i="66"/>
  <c r="FO30" i="66"/>
  <c r="FN30" i="66"/>
  <c r="FM30" i="66"/>
  <c r="FK30" i="66"/>
  <c r="FI30" i="66"/>
  <c r="FH30" i="66"/>
  <c r="FG30" i="66"/>
  <c r="FF30" i="66"/>
  <c r="FE30" i="66"/>
  <c r="FD30" i="66"/>
  <c r="FC30" i="66"/>
  <c r="FB30" i="66"/>
  <c r="FA30" i="66"/>
  <c r="EZ30" i="66"/>
  <c r="EY30" i="66"/>
  <c r="EX30" i="66"/>
  <c r="EW30" i="66"/>
  <c r="EV30" i="66"/>
  <c r="EU30" i="66"/>
  <c r="ET30" i="66"/>
  <c r="ES30" i="66"/>
  <c r="ER30" i="66"/>
  <c r="EQ30" i="66"/>
  <c r="EP30" i="66"/>
  <c r="EO30" i="66"/>
  <c r="EN30" i="66"/>
  <c r="EM30" i="66"/>
  <c r="EL30" i="66"/>
  <c r="EK30" i="66"/>
  <c r="EJ30" i="66"/>
  <c r="EI30" i="66"/>
  <c r="EH30" i="66"/>
  <c r="EG30" i="66"/>
  <c r="EF30" i="66"/>
  <c r="EE30" i="66"/>
  <c r="ED30" i="66"/>
  <c r="EC30" i="66"/>
  <c r="DV30" i="66"/>
  <c r="DU30" i="66"/>
  <c r="DT30" i="66"/>
  <c r="DS30" i="66"/>
  <c r="DR30" i="66"/>
  <c r="DQ30" i="66"/>
  <c r="DP30" i="66"/>
  <c r="GC29" i="66"/>
  <c r="GB29" i="66"/>
  <c r="GA29" i="66"/>
  <c r="FZ29" i="66"/>
  <c r="FY29" i="66"/>
  <c r="FX29" i="66"/>
  <c r="FW29" i="66"/>
  <c r="FV29" i="66"/>
  <c r="FT29" i="66"/>
  <c r="FS29" i="66"/>
  <c r="FQ29" i="66"/>
  <c r="FO29" i="66"/>
  <c r="FN29" i="66"/>
  <c r="FM29" i="66"/>
  <c r="FK29" i="66"/>
  <c r="FI29" i="66"/>
  <c r="FH29" i="66"/>
  <c r="FG29" i="66"/>
  <c r="FF29" i="66"/>
  <c r="FE29" i="66"/>
  <c r="FD29" i="66"/>
  <c r="FC29" i="66"/>
  <c r="FB29" i="66"/>
  <c r="FA29" i="66"/>
  <c r="EZ29" i="66"/>
  <c r="EY29" i="66"/>
  <c r="EX29" i="66"/>
  <c r="EW29" i="66"/>
  <c r="EV29" i="66"/>
  <c r="EU29" i="66"/>
  <c r="ET29" i="66"/>
  <c r="ES29" i="66"/>
  <c r="ER29" i="66"/>
  <c r="EQ29" i="66"/>
  <c r="EP29" i="66"/>
  <c r="EO29" i="66"/>
  <c r="EN29" i="66"/>
  <c r="EM29" i="66"/>
  <c r="EL29" i="66"/>
  <c r="EK29" i="66"/>
  <c r="EJ29" i="66"/>
  <c r="EI29" i="66"/>
  <c r="EH29" i="66"/>
  <c r="EG29" i="66"/>
  <c r="EF29" i="66"/>
  <c r="EE29" i="66"/>
  <c r="ED29" i="66"/>
  <c r="EC29" i="66"/>
  <c r="DV29" i="66"/>
  <c r="DU29" i="66"/>
  <c r="DT29" i="66"/>
  <c r="DS29" i="66"/>
  <c r="DR29" i="66"/>
  <c r="DQ29" i="66"/>
  <c r="DP29" i="66"/>
  <c r="GC28" i="66"/>
  <c r="GB28" i="66"/>
  <c r="GA28" i="66"/>
  <c r="FZ28" i="66"/>
  <c r="FY28" i="66"/>
  <c r="FX28" i="66"/>
  <c r="FW28" i="66"/>
  <c r="FV28" i="66"/>
  <c r="FT28" i="66"/>
  <c r="FS28" i="66"/>
  <c r="FR28" i="66"/>
  <c r="FQ28" i="66"/>
  <c r="FP28" i="66"/>
  <c r="FO28" i="66"/>
  <c r="FN28" i="66"/>
  <c r="FM28" i="66"/>
  <c r="FK28" i="66"/>
  <c r="FI28" i="66"/>
  <c r="FH28" i="66"/>
  <c r="FG28" i="66"/>
  <c r="FF28" i="66"/>
  <c r="FE28" i="66"/>
  <c r="FD28" i="66"/>
  <c r="FC28" i="66"/>
  <c r="FB28" i="66"/>
  <c r="FA28" i="66"/>
  <c r="EZ28" i="66"/>
  <c r="EY28" i="66"/>
  <c r="EX28" i="66"/>
  <c r="EW28" i="66"/>
  <c r="EV28" i="66"/>
  <c r="EU28" i="66"/>
  <c r="ET28" i="66"/>
  <c r="ES28" i="66"/>
  <c r="ER28" i="66"/>
  <c r="EQ28" i="66"/>
  <c r="EP28" i="66"/>
  <c r="EO28" i="66"/>
  <c r="EN28" i="66"/>
  <c r="EM28" i="66"/>
  <c r="EL28" i="66"/>
  <c r="EK28" i="66"/>
  <c r="EJ28" i="66"/>
  <c r="EI28" i="66"/>
  <c r="EH28" i="66"/>
  <c r="EG28" i="66"/>
  <c r="EF28" i="66"/>
  <c r="EE28" i="66"/>
  <c r="ED28" i="66"/>
  <c r="EC28" i="66"/>
  <c r="DV28" i="66"/>
  <c r="DU28" i="66"/>
  <c r="DT28" i="66"/>
  <c r="DS28" i="66"/>
  <c r="DR28" i="66"/>
  <c r="DQ28" i="66"/>
  <c r="DP28" i="66"/>
  <c r="GC27" i="66"/>
  <c r="GB27" i="66"/>
  <c r="GA27" i="66"/>
  <c r="FZ27" i="66"/>
  <c r="FY27" i="66"/>
  <c r="FX27" i="66"/>
  <c r="FW27" i="66"/>
  <c r="FV27" i="66"/>
  <c r="FT27" i="66"/>
  <c r="FS27" i="66"/>
  <c r="FR27" i="66"/>
  <c r="FQ27" i="66"/>
  <c r="FP27" i="66"/>
  <c r="FO27" i="66"/>
  <c r="FN27" i="66"/>
  <c r="FM27" i="66"/>
  <c r="FK27" i="66"/>
  <c r="FI27" i="66"/>
  <c r="FH27" i="66"/>
  <c r="FG27" i="66"/>
  <c r="FF27" i="66"/>
  <c r="FE27" i="66"/>
  <c r="FD27" i="66"/>
  <c r="FC27" i="66"/>
  <c r="FB27" i="66"/>
  <c r="FA27" i="66"/>
  <c r="EZ27" i="66"/>
  <c r="EY27" i="66"/>
  <c r="EX27" i="66"/>
  <c r="EW27" i="66"/>
  <c r="EV27" i="66"/>
  <c r="EU27" i="66"/>
  <c r="ET27" i="66"/>
  <c r="ES27" i="66"/>
  <c r="ER27" i="66"/>
  <c r="EQ27" i="66"/>
  <c r="EP27" i="66"/>
  <c r="EO27" i="66"/>
  <c r="EN27" i="66"/>
  <c r="EM27" i="66"/>
  <c r="EL27" i="66"/>
  <c r="EK27" i="66"/>
  <c r="EJ27" i="66"/>
  <c r="EI27" i="66"/>
  <c r="EH27" i="66"/>
  <c r="EG27" i="66"/>
  <c r="EF27" i="66"/>
  <c r="EE27" i="66"/>
  <c r="ED27" i="66"/>
  <c r="EC27" i="66"/>
  <c r="DV27" i="66"/>
  <c r="DU27" i="66"/>
  <c r="DT27" i="66"/>
  <c r="DS27" i="66"/>
  <c r="DR27" i="66"/>
  <c r="DQ27" i="66"/>
  <c r="DP27" i="66"/>
  <c r="GC26" i="66"/>
  <c r="GB26" i="66"/>
  <c r="GA26" i="66"/>
  <c r="FZ26" i="66"/>
  <c r="FY26" i="66"/>
  <c r="FX26" i="66"/>
  <c r="FW26" i="66"/>
  <c r="FV26" i="66"/>
  <c r="FT26" i="66"/>
  <c r="FS26" i="66"/>
  <c r="FR26" i="66"/>
  <c r="FQ26" i="66"/>
  <c r="FP26" i="66"/>
  <c r="FO26" i="66"/>
  <c r="FN26" i="66"/>
  <c r="FM26" i="66"/>
  <c r="FK26" i="66"/>
  <c r="FI26" i="66"/>
  <c r="FH26" i="66"/>
  <c r="FG26" i="66"/>
  <c r="FF26" i="66"/>
  <c r="FE26" i="66"/>
  <c r="FD26" i="66"/>
  <c r="FC26" i="66"/>
  <c r="FB26" i="66"/>
  <c r="FA26" i="66"/>
  <c r="EZ26" i="66"/>
  <c r="EY26" i="66"/>
  <c r="EX26" i="66"/>
  <c r="EW26" i="66"/>
  <c r="EV26" i="66"/>
  <c r="EU26" i="66"/>
  <c r="ET26" i="66"/>
  <c r="ES26" i="66"/>
  <c r="ER26" i="66"/>
  <c r="EQ26" i="66"/>
  <c r="EP26" i="66"/>
  <c r="EO26" i="66"/>
  <c r="EN26" i="66"/>
  <c r="EM26" i="66"/>
  <c r="EL26" i="66"/>
  <c r="EK26" i="66"/>
  <c r="EJ26" i="66"/>
  <c r="EI26" i="66"/>
  <c r="EH26" i="66"/>
  <c r="EG26" i="66"/>
  <c r="EF26" i="66"/>
  <c r="EE26" i="66"/>
  <c r="ED26" i="66"/>
  <c r="EC26" i="66"/>
  <c r="DV26" i="66"/>
  <c r="DU26" i="66"/>
  <c r="DT26" i="66"/>
  <c r="DS26" i="66"/>
  <c r="DR26" i="66"/>
  <c r="DQ26" i="66"/>
  <c r="DP26" i="66"/>
  <c r="GC25" i="66"/>
  <c r="GB25" i="66"/>
  <c r="GA25" i="66"/>
  <c r="FZ25" i="66"/>
  <c r="FY25" i="66"/>
  <c r="FX25" i="66"/>
  <c r="FW25" i="66"/>
  <c r="FV25" i="66"/>
  <c r="FT25" i="66"/>
  <c r="FS25" i="66"/>
  <c r="FR25" i="66"/>
  <c r="FQ25" i="66"/>
  <c r="FP25" i="66"/>
  <c r="FO25" i="66"/>
  <c r="FN25" i="66"/>
  <c r="FM25" i="66"/>
  <c r="FK25" i="66"/>
  <c r="FI25" i="66"/>
  <c r="FH25" i="66"/>
  <c r="FG25" i="66"/>
  <c r="FF25" i="66"/>
  <c r="FE25" i="66"/>
  <c r="FD25" i="66"/>
  <c r="FC25" i="66"/>
  <c r="FB25" i="66"/>
  <c r="FA25" i="66"/>
  <c r="EZ25" i="66"/>
  <c r="EY25" i="66"/>
  <c r="EX25" i="66"/>
  <c r="EW25" i="66"/>
  <c r="EV25" i="66"/>
  <c r="EU25" i="66"/>
  <c r="ET25" i="66"/>
  <c r="ES25" i="66"/>
  <c r="ER25" i="66"/>
  <c r="EQ25" i="66"/>
  <c r="EP25" i="66"/>
  <c r="EO25" i="66"/>
  <c r="EN25" i="66"/>
  <c r="EM25" i="66"/>
  <c r="EL25" i="66"/>
  <c r="EK25" i="66"/>
  <c r="EJ25" i="66"/>
  <c r="EI25" i="66"/>
  <c r="EH25" i="66"/>
  <c r="EG25" i="66"/>
  <c r="EF25" i="66"/>
  <c r="EE25" i="66"/>
  <c r="ED25" i="66"/>
  <c r="EC25" i="66"/>
  <c r="DV25" i="66"/>
  <c r="DU25" i="66"/>
  <c r="DT25" i="66"/>
  <c r="DS25" i="66"/>
  <c r="DR25" i="66"/>
  <c r="DQ25" i="66"/>
  <c r="DP25" i="66"/>
  <c r="GC24" i="66"/>
  <c r="GB24" i="66"/>
  <c r="GA24" i="66"/>
  <c r="FZ24" i="66"/>
  <c r="FY24" i="66"/>
  <c r="FX24" i="66"/>
  <c r="FW24" i="66"/>
  <c r="FV24" i="66"/>
  <c r="FT24" i="66"/>
  <c r="FS24" i="66"/>
  <c r="FR24" i="66"/>
  <c r="FQ24" i="66"/>
  <c r="FP24" i="66"/>
  <c r="FO24" i="66"/>
  <c r="FN24" i="66"/>
  <c r="FM24" i="66"/>
  <c r="FK24" i="66"/>
  <c r="FI24" i="66"/>
  <c r="FH24" i="66"/>
  <c r="FG24" i="66"/>
  <c r="FF24" i="66"/>
  <c r="FE24" i="66"/>
  <c r="FD24" i="66"/>
  <c r="FC24" i="66"/>
  <c r="FB24" i="66"/>
  <c r="FA24" i="66"/>
  <c r="EZ24" i="66"/>
  <c r="EY24" i="66"/>
  <c r="EX24" i="66"/>
  <c r="EW24" i="66"/>
  <c r="EV24" i="66"/>
  <c r="EU24" i="66"/>
  <c r="ET24" i="66"/>
  <c r="ES24" i="66"/>
  <c r="ER24" i="66"/>
  <c r="EQ24" i="66"/>
  <c r="EP24" i="66"/>
  <c r="EO24" i="66"/>
  <c r="EN24" i="66"/>
  <c r="EM24" i="66"/>
  <c r="EL24" i="66"/>
  <c r="EK24" i="66"/>
  <c r="EJ24" i="66"/>
  <c r="EI24" i="66"/>
  <c r="EH24" i="66"/>
  <c r="EG24" i="66"/>
  <c r="EF24" i="66"/>
  <c r="EE24" i="66"/>
  <c r="ED24" i="66"/>
  <c r="EC24" i="66"/>
  <c r="DV24" i="66"/>
  <c r="DU24" i="66"/>
  <c r="DT24" i="66"/>
  <c r="DS24" i="66"/>
  <c r="DR24" i="66"/>
  <c r="DQ24" i="66"/>
  <c r="DP24" i="66"/>
  <c r="GC23" i="66"/>
  <c r="GB23" i="66"/>
  <c r="GA23" i="66"/>
  <c r="FZ23" i="66"/>
  <c r="FY23" i="66"/>
  <c r="FX23" i="66"/>
  <c r="FW23" i="66"/>
  <c r="FV23" i="66"/>
  <c r="FT23" i="66"/>
  <c r="FS23" i="66"/>
  <c r="FR23" i="66"/>
  <c r="FQ23" i="66"/>
  <c r="FP23" i="66"/>
  <c r="FO23" i="66"/>
  <c r="FN23" i="66"/>
  <c r="FM23" i="66"/>
  <c r="FK23" i="66"/>
  <c r="FI23" i="66"/>
  <c r="FH23" i="66"/>
  <c r="FG23" i="66"/>
  <c r="FF23" i="66"/>
  <c r="FE23" i="66"/>
  <c r="FD23" i="66"/>
  <c r="FC23" i="66"/>
  <c r="FB23" i="66"/>
  <c r="FA23" i="66"/>
  <c r="EZ23" i="66"/>
  <c r="EY23" i="66"/>
  <c r="EX23" i="66"/>
  <c r="EW23" i="66"/>
  <c r="EV23" i="66"/>
  <c r="EU23" i="66"/>
  <c r="ET23" i="66"/>
  <c r="ES23" i="66"/>
  <c r="ER23" i="66"/>
  <c r="EQ23" i="66"/>
  <c r="EP23" i="66"/>
  <c r="EO23" i="66"/>
  <c r="EN23" i="66"/>
  <c r="EM23" i="66"/>
  <c r="EL23" i="66"/>
  <c r="EK23" i="66"/>
  <c r="EJ23" i="66"/>
  <c r="EI23" i="66"/>
  <c r="EH23" i="66"/>
  <c r="EG23" i="66"/>
  <c r="EF23" i="66"/>
  <c r="EE23" i="66"/>
  <c r="ED23" i="66"/>
  <c r="EC23" i="66"/>
  <c r="DV23" i="66"/>
  <c r="DU23" i="66"/>
  <c r="DT23" i="66"/>
  <c r="DS23" i="66"/>
  <c r="DR23" i="66"/>
  <c r="DQ23" i="66"/>
  <c r="DP23" i="66"/>
  <c r="GC22" i="66"/>
  <c r="GB22" i="66"/>
  <c r="GA22" i="66"/>
  <c r="FZ22" i="66"/>
  <c r="FY22" i="66"/>
  <c r="FX22" i="66"/>
  <c r="FW22" i="66"/>
  <c r="FV22" i="66"/>
  <c r="FT22" i="66"/>
  <c r="FS22" i="66"/>
  <c r="FQ22" i="66"/>
  <c r="FO22" i="66"/>
  <c r="FN22" i="66"/>
  <c r="FM22" i="66"/>
  <c r="FK22" i="66"/>
  <c r="FI22" i="66"/>
  <c r="FH22" i="66"/>
  <c r="FG22" i="66"/>
  <c r="FF22" i="66"/>
  <c r="FE22" i="66"/>
  <c r="FD22" i="66"/>
  <c r="FC22" i="66"/>
  <c r="FB22" i="66"/>
  <c r="FA22" i="66"/>
  <c r="EZ22" i="66"/>
  <c r="EY22" i="66"/>
  <c r="EX22" i="66"/>
  <c r="EW22" i="66"/>
  <c r="EV22" i="66"/>
  <c r="EU22" i="66"/>
  <c r="ET22" i="66"/>
  <c r="ES22" i="66"/>
  <c r="ER22" i="66"/>
  <c r="EQ22" i="66"/>
  <c r="EP22" i="66"/>
  <c r="EO22" i="66"/>
  <c r="EN22" i="66"/>
  <c r="EM22" i="66"/>
  <c r="EL22" i="66"/>
  <c r="EK22" i="66"/>
  <c r="EJ22" i="66"/>
  <c r="EI22" i="66"/>
  <c r="EH22" i="66"/>
  <c r="EG22" i="66"/>
  <c r="EF22" i="66"/>
  <c r="EE22" i="66"/>
  <c r="ED22" i="66"/>
  <c r="EC22" i="66"/>
  <c r="DV22" i="66"/>
  <c r="DU22" i="66"/>
  <c r="DT22" i="66"/>
  <c r="DS22" i="66"/>
  <c r="DR22" i="66"/>
  <c r="DQ22" i="66"/>
  <c r="DP22" i="66"/>
  <c r="GC21" i="66"/>
  <c r="GB21" i="66"/>
  <c r="GA21" i="66"/>
  <c r="FZ21" i="66"/>
  <c r="FY21" i="66"/>
  <c r="FX21" i="66"/>
  <c r="FW21" i="66"/>
  <c r="FV21" i="66"/>
  <c r="FT21" i="66"/>
  <c r="FS21" i="66"/>
  <c r="FR21" i="66"/>
  <c r="FQ21" i="66"/>
  <c r="FP21" i="66"/>
  <c r="FO21" i="66"/>
  <c r="FN21" i="66"/>
  <c r="FM21" i="66"/>
  <c r="FK21" i="66"/>
  <c r="FI21" i="66"/>
  <c r="FH21" i="66"/>
  <c r="FG21" i="66"/>
  <c r="FF21" i="66"/>
  <c r="FE21" i="66"/>
  <c r="FD21" i="66"/>
  <c r="FC21" i="66"/>
  <c r="FB21" i="66"/>
  <c r="FA21" i="66"/>
  <c r="EZ21" i="66"/>
  <c r="EY21" i="66"/>
  <c r="EX21" i="66"/>
  <c r="EW21" i="66"/>
  <c r="EV21" i="66"/>
  <c r="EU21" i="66"/>
  <c r="ET21" i="66"/>
  <c r="ES21" i="66"/>
  <c r="ER21" i="66"/>
  <c r="EQ21" i="66"/>
  <c r="EP21" i="66"/>
  <c r="EO21" i="66"/>
  <c r="EN21" i="66"/>
  <c r="EM21" i="66"/>
  <c r="EL21" i="66"/>
  <c r="EK21" i="66"/>
  <c r="EJ21" i="66"/>
  <c r="EI21" i="66"/>
  <c r="EH21" i="66"/>
  <c r="EG21" i="66"/>
  <c r="EF21" i="66"/>
  <c r="EE21" i="66"/>
  <c r="ED21" i="66"/>
  <c r="EC21" i="66"/>
  <c r="DV21" i="66"/>
  <c r="DU21" i="66"/>
  <c r="DT21" i="66"/>
  <c r="DS21" i="66"/>
  <c r="DR21" i="66"/>
  <c r="DQ21" i="66"/>
  <c r="DP21" i="66"/>
  <c r="GC20" i="66"/>
  <c r="GB20" i="66"/>
  <c r="GA20" i="66"/>
  <c r="FZ20" i="66"/>
  <c r="FY20" i="66"/>
  <c r="FX20" i="66"/>
  <c r="FW20" i="66"/>
  <c r="FV20" i="66"/>
  <c r="FT20" i="66"/>
  <c r="FS20" i="66"/>
  <c r="FR20" i="66"/>
  <c r="FQ20" i="66"/>
  <c r="FP20" i="66"/>
  <c r="FO20" i="66"/>
  <c r="FN20" i="66"/>
  <c r="FM20" i="66"/>
  <c r="FK20" i="66"/>
  <c r="FI20" i="66"/>
  <c r="FH20" i="66"/>
  <c r="FG20" i="66"/>
  <c r="FF20" i="66"/>
  <c r="FE20" i="66"/>
  <c r="FD20" i="66"/>
  <c r="FC20" i="66"/>
  <c r="FB20" i="66"/>
  <c r="FA20" i="66"/>
  <c r="EZ20" i="66"/>
  <c r="EY20" i="66"/>
  <c r="EX20" i="66"/>
  <c r="EW20" i="66"/>
  <c r="EV20" i="66"/>
  <c r="EU20" i="66"/>
  <c r="ET20" i="66"/>
  <c r="ES20" i="66"/>
  <c r="ER20" i="66"/>
  <c r="EQ20" i="66"/>
  <c r="EP20" i="66"/>
  <c r="EO20" i="66"/>
  <c r="EN20" i="66"/>
  <c r="EM20" i="66"/>
  <c r="EL20" i="66"/>
  <c r="EK20" i="66"/>
  <c r="EJ20" i="66"/>
  <c r="EI20" i="66"/>
  <c r="EH20" i="66"/>
  <c r="EG20" i="66"/>
  <c r="EF20" i="66"/>
  <c r="EE20" i="66"/>
  <c r="ED20" i="66"/>
  <c r="EC20" i="66"/>
  <c r="DV20" i="66"/>
  <c r="DU20" i="66"/>
  <c r="DT20" i="66"/>
  <c r="DS20" i="66"/>
  <c r="DR20" i="66"/>
  <c r="DQ20" i="66"/>
  <c r="DP20" i="66"/>
  <c r="GC19" i="66"/>
  <c r="GB19" i="66"/>
  <c r="GA19" i="66"/>
  <c r="FZ19" i="66"/>
  <c r="FY19" i="66"/>
  <c r="FX19" i="66"/>
  <c r="FW19" i="66"/>
  <c r="FV19" i="66"/>
  <c r="FT19" i="66"/>
  <c r="FS19" i="66"/>
  <c r="FR19" i="66"/>
  <c r="FQ19" i="66"/>
  <c r="FP19" i="66"/>
  <c r="FO19" i="66"/>
  <c r="FN19" i="66"/>
  <c r="FM19" i="66"/>
  <c r="FK19" i="66"/>
  <c r="FI19" i="66"/>
  <c r="FH19" i="66"/>
  <c r="FG19" i="66"/>
  <c r="FF19" i="66"/>
  <c r="FE19" i="66"/>
  <c r="FD19" i="66"/>
  <c r="FC19" i="66"/>
  <c r="FB19" i="66"/>
  <c r="FA19" i="66"/>
  <c r="EZ19" i="66"/>
  <c r="EY19" i="66"/>
  <c r="EX19" i="66"/>
  <c r="EW19" i="66"/>
  <c r="EV19" i="66"/>
  <c r="EU19" i="66"/>
  <c r="ET19" i="66"/>
  <c r="ES19" i="66"/>
  <c r="ER19" i="66"/>
  <c r="EQ19" i="66"/>
  <c r="EP19" i="66"/>
  <c r="EO19" i="66"/>
  <c r="EN19" i="66"/>
  <c r="EM19" i="66"/>
  <c r="EL19" i="66"/>
  <c r="EK19" i="66"/>
  <c r="EJ19" i="66"/>
  <c r="EI19" i="66"/>
  <c r="EH19" i="66"/>
  <c r="EG19" i="66"/>
  <c r="EF19" i="66"/>
  <c r="EE19" i="66"/>
  <c r="ED19" i="66"/>
  <c r="EC19" i="66"/>
  <c r="DV19" i="66"/>
  <c r="DU19" i="66"/>
  <c r="DT19" i="66"/>
  <c r="DS19" i="66"/>
  <c r="DR19" i="66"/>
  <c r="DQ19" i="66"/>
  <c r="DP19" i="66"/>
  <c r="GC18" i="66"/>
  <c r="GB18" i="66"/>
  <c r="GA18" i="66"/>
  <c r="FZ18" i="66"/>
  <c r="FY18" i="66"/>
  <c r="FX18" i="66"/>
  <c r="FW18" i="66"/>
  <c r="FV18" i="66"/>
  <c r="FT18" i="66"/>
  <c r="FS18" i="66"/>
  <c r="FR18" i="66"/>
  <c r="FQ18" i="66"/>
  <c r="FP18" i="66"/>
  <c r="FO18" i="66"/>
  <c r="FN18" i="66"/>
  <c r="FM18" i="66"/>
  <c r="FK18" i="66"/>
  <c r="FI18" i="66"/>
  <c r="FH18" i="66"/>
  <c r="FG18" i="66"/>
  <c r="FF18" i="66"/>
  <c r="FE18" i="66"/>
  <c r="FD18" i="66"/>
  <c r="FC18" i="66"/>
  <c r="FB18" i="66"/>
  <c r="FA18" i="66"/>
  <c r="EZ18" i="66"/>
  <c r="EY18" i="66"/>
  <c r="EX18" i="66"/>
  <c r="EW18" i="66"/>
  <c r="EV18" i="66"/>
  <c r="EU18" i="66"/>
  <c r="ET18" i="66"/>
  <c r="ES18" i="66"/>
  <c r="ER18" i="66"/>
  <c r="EQ18" i="66"/>
  <c r="EP18" i="66"/>
  <c r="EO18" i="66"/>
  <c r="EN18" i="66"/>
  <c r="EM18" i="66"/>
  <c r="EL18" i="66"/>
  <c r="EK18" i="66"/>
  <c r="EJ18" i="66"/>
  <c r="EI18" i="66"/>
  <c r="EH18" i="66"/>
  <c r="EG18" i="66"/>
  <c r="EF18" i="66"/>
  <c r="EE18" i="66"/>
  <c r="ED18" i="66"/>
  <c r="EC18" i="66"/>
  <c r="DV18" i="66"/>
  <c r="DU18" i="66"/>
  <c r="DT18" i="66"/>
  <c r="DS18" i="66"/>
  <c r="DR18" i="66"/>
  <c r="DQ18" i="66"/>
  <c r="DP18" i="66"/>
  <c r="GC17" i="66"/>
  <c r="GB17" i="66"/>
  <c r="GA17" i="66"/>
  <c r="FZ17" i="66"/>
  <c r="FY17" i="66"/>
  <c r="FX17" i="66"/>
  <c r="FW17" i="66"/>
  <c r="FV17" i="66"/>
  <c r="FT17" i="66"/>
  <c r="FS17" i="66"/>
  <c r="FR17" i="66"/>
  <c r="FQ17" i="66"/>
  <c r="FP17" i="66"/>
  <c r="FO17" i="66"/>
  <c r="FN17" i="66"/>
  <c r="FM17" i="66"/>
  <c r="FK17" i="66"/>
  <c r="FI17" i="66"/>
  <c r="FH17" i="66"/>
  <c r="FG17" i="66"/>
  <c r="FF17" i="66"/>
  <c r="FE17" i="66"/>
  <c r="FD17" i="66"/>
  <c r="FC17" i="66"/>
  <c r="FB17" i="66"/>
  <c r="FA17" i="66"/>
  <c r="EZ17" i="66"/>
  <c r="EY17" i="66"/>
  <c r="EX17" i="66"/>
  <c r="EW17" i="66"/>
  <c r="EV17" i="66"/>
  <c r="EU17" i="66"/>
  <c r="ET17" i="66"/>
  <c r="ES17" i="66"/>
  <c r="ER17" i="66"/>
  <c r="EQ17" i="66"/>
  <c r="EP17" i="66"/>
  <c r="EO17" i="66"/>
  <c r="EN17" i="66"/>
  <c r="EM17" i="66"/>
  <c r="EL17" i="66"/>
  <c r="EK17" i="66"/>
  <c r="EJ17" i="66"/>
  <c r="EI17" i="66"/>
  <c r="EH17" i="66"/>
  <c r="EG17" i="66"/>
  <c r="EF17" i="66"/>
  <c r="EE17" i="66"/>
  <c r="ED17" i="66"/>
  <c r="EC17" i="66"/>
  <c r="DV17" i="66"/>
  <c r="DU17" i="66"/>
  <c r="DT17" i="66"/>
  <c r="DS17" i="66"/>
  <c r="DR17" i="66"/>
  <c r="DQ17" i="66"/>
  <c r="DP17" i="66"/>
  <c r="GC16" i="66"/>
  <c r="GB16" i="66"/>
  <c r="GA16" i="66"/>
  <c r="FZ16" i="66"/>
  <c r="FY16" i="66"/>
  <c r="FX16" i="66"/>
  <c r="FW16" i="66"/>
  <c r="FV16" i="66"/>
  <c r="FT16" i="66"/>
  <c r="FS16" i="66"/>
  <c r="FR16" i="66"/>
  <c r="FQ16" i="66"/>
  <c r="FP16" i="66"/>
  <c r="FO16" i="66"/>
  <c r="FN16" i="66"/>
  <c r="FM16" i="66"/>
  <c r="FK16" i="66"/>
  <c r="FI16" i="66"/>
  <c r="FH16" i="66"/>
  <c r="FG16" i="66"/>
  <c r="FF16" i="66"/>
  <c r="FE16" i="66"/>
  <c r="FD16" i="66"/>
  <c r="FC16" i="66"/>
  <c r="FB16" i="66"/>
  <c r="FA16" i="66"/>
  <c r="EZ16" i="66"/>
  <c r="EY16" i="66"/>
  <c r="EX16" i="66"/>
  <c r="EW16" i="66"/>
  <c r="EV16" i="66"/>
  <c r="EU16" i="66"/>
  <c r="ET16" i="66"/>
  <c r="ES16" i="66"/>
  <c r="ER16" i="66"/>
  <c r="EQ16" i="66"/>
  <c r="EP16" i="66"/>
  <c r="EO16" i="66"/>
  <c r="EN16" i="66"/>
  <c r="EM16" i="66"/>
  <c r="EL16" i="66"/>
  <c r="EK16" i="66"/>
  <c r="EJ16" i="66"/>
  <c r="EI16" i="66"/>
  <c r="EH16" i="66"/>
  <c r="EG16" i="66"/>
  <c r="EF16" i="66"/>
  <c r="EE16" i="66"/>
  <c r="ED16" i="66"/>
  <c r="EC16" i="66"/>
  <c r="DV16" i="66"/>
  <c r="DU16" i="66"/>
  <c r="DT16" i="66"/>
  <c r="DS16" i="66"/>
  <c r="DR16" i="66"/>
  <c r="DQ16" i="66"/>
  <c r="DP16" i="66"/>
  <c r="GC15" i="66"/>
  <c r="GB15" i="66"/>
  <c r="GA15" i="66"/>
  <c r="FZ15" i="66"/>
  <c r="FY15" i="66"/>
  <c r="FX15" i="66"/>
  <c r="FW15" i="66"/>
  <c r="FV15" i="66"/>
  <c r="FT15" i="66"/>
  <c r="FS15" i="66"/>
  <c r="FR15" i="66"/>
  <c r="FQ15" i="66"/>
  <c r="FP15" i="66"/>
  <c r="FO15" i="66"/>
  <c r="FN15" i="66"/>
  <c r="FM15" i="66"/>
  <c r="FK15" i="66"/>
  <c r="FI15" i="66"/>
  <c r="FH15" i="66"/>
  <c r="FG15" i="66"/>
  <c r="FF15" i="66"/>
  <c r="FE15" i="66"/>
  <c r="FD15" i="66"/>
  <c r="FC15" i="66"/>
  <c r="FB15" i="66"/>
  <c r="FA15" i="66"/>
  <c r="EZ15" i="66"/>
  <c r="EY15" i="66"/>
  <c r="EX15" i="66"/>
  <c r="EW15" i="66"/>
  <c r="EV15" i="66"/>
  <c r="EU15" i="66"/>
  <c r="ET15" i="66"/>
  <c r="ES15" i="66"/>
  <c r="ER15" i="66"/>
  <c r="EQ15" i="66"/>
  <c r="EP15" i="66"/>
  <c r="EO15" i="66"/>
  <c r="EN15" i="66"/>
  <c r="EM15" i="66"/>
  <c r="EL15" i="66"/>
  <c r="EK15" i="66"/>
  <c r="EJ15" i="66"/>
  <c r="EI15" i="66"/>
  <c r="EH15" i="66"/>
  <c r="EG15" i="66"/>
  <c r="EF15" i="66"/>
  <c r="EE15" i="66"/>
  <c r="ED15" i="66"/>
  <c r="EC15" i="66"/>
  <c r="DV15" i="66"/>
  <c r="DU15" i="66"/>
  <c r="DT15" i="66"/>
  <c r="DS15" i="66"/>
  <c r="DR15" i="66"/>
  <c r="DQ15" i="66"/>
  <c r="DP15" i="66"/>
  <c r="GC14" i="66"/>
  <c r="GB14" i="66"/>
  <c r="GA14" i="66"/>
  <c r="FZ14" i="66"/>
  <c r="FY14" i="66"/>
  <c r="FX14" i="66"/>
  <c r="FW14" i="66"/>
  <c r="FV14" i="66"/>
  <c r="FT14" i="66"/>
  <c r="FS14" i="66"/>
  <c r="FR14" i="66"/>
  <c r="FQ14" i="66"/>
  <c r="FP14" i="66"/>
  <c r="FO14" i="66"/>
  <c r="FN14" i="66"/>
  <c r="FM14" i="66"/>
  <c r="FK14" i="66"/>
  <c r="FI14" i="66"/>
  <c r="FH14" i="66"/>
  <c r="FG14" i="66"/>
  <c r="FF14" i="66"/>
  <c r="FE14" i="66"/>
  <c r="FD14" i="66"/>
  <c r="FC14" i="66"/>
  <c r="FB14" i="66"/>
  <c r="FA14" i="66"/>
  <c r="EZ14" i="66"/>
  <c r="EY14" i="66"/>
  <c r="EX14" i="66"/>
  <c r="EW14" i="66"/>
  <c r="EV14" i="66"/>
  <c r="EU14" i="66"/>
  <c r="ET14" i="66"/>
  <c r="ES14" i="66"/>
  <c r="ER14" i="66"/>
  <c r="EQ14" i="66"/>
  <c r="EP14" i="66"/>
  <c r="EO14" i="66"/>
  <c r="EN14" i="66"/>
  <c r="EM14" i="66"/>
  <c r="EL14" i="66"/>
  <c r="EK14" i="66"/>
  <c r="EJ14" i="66"/>
  <c r="EI14" i="66"/>
  <c r="EH14" i="66"/>
  <c r="EG14" i="66"/>
  <c r="EF14" i="66"/>
  <c r="EE14" i="66"/>
  <c r="ED14" i="66"/>
  <c r="EC14" i="66"/>
  <c r="DV14" i="66"/>
  <c r="DU14" i="66"/>
  <c r="DT14" i="66"/>
  <c r="DS14" i="66"/>
  <c r="DR14" i="66"/>
  <c r="DQ14" i="66"/>
  <c r="DP14" i="66"/>
  <c r="GC13" i="66"/>
  <c r="GB13" i="66"/>
  <c r="GA13" i="66"/>
  <c r="FZ13" i="66"/>
  <c r="FY13" i="66"/>
  <c r="FX13" i="66"/>
  <c r="FW13" i="66"/>
  <c r="FV13" i="66"/>
  <c r="FT13" i="66"/>
  <c r="FS13" i="66"/>
  <c r="FR13" i="66"/>
  <c r="FQ13" i="66"/>
  <c r="FP13" i="66"/>
  <c r="FO13" i="66"/>
  <c r="FN13" i="66"/>
  <c r="FM13" i="66"/>
  <c r="FK13" i="66"/>
  <c r="FI13" i="66"/>
  <c r="FH13" i="66"/>
  <c r="FG13" i="66"/>
  <c r="FF13" i="66"/>
  <c r="FE13" i="66"/>
  <c r="FD13" i="66"/>
  <c r="FC13" i="66"/>
  <c r="FB13" i="66"/>
  <c r="FA13" i="66"/>
  <c r="EZ13" i="66"/>
  <c r="EY13" i="66"/>
  <c r="EX13" i="66"/>
  <c r="EW13" i="66"/>
  <c r="EV13" i="66"/>
  <c r="EU13" i="66"/>
  <c r="ET13" i="66"/>
  <c r="ES13" i="66"/>
  <c r="ER13" i="66"/>
  <c r="EQ13" i="66"/>
  <c r="EP13" i="66"/>
  <c r="EO13" i="66"/>
  <c r="EN13" i="66"/>
  <c r="EM13" i="66"/>
  <c r="EL13" i="66"/>
  <c r="EK13" i="66"/>
  <c r="EJ13" i="66"/>
  <c r="EI13" i="66"/>
  <c r="EH13" i="66"/>
  <c r="EG13" i="66"/>
  <c r="EF13" i="66"/>
  <c r="EE13" i="66"/>
  <c r="ED13" i="66"/>
  <c r="EC13" i="66"/>
  <c r="DV13" i="66"/>
  <c r="DU13" i="66"/>
  <c r="DT13" i="66"/>
  <c r="DS13" i="66"/>
  <c r="DR13" i="66"/>
  <c r="DQ13" i="66"/>
  <c r="DP13" i="66"/>
  <c r="GC12" i="66"/>
  <c r="GB12" i="66"/>
  <c r="GA12" i="66"/>
  <c r="FZ12" i="66"/>
  <c r="FY12" i="66"/>
  <c r="FX12" i="66"/>
  <c r="FW12" i="66"/>
  <c r="FV12" i="66"/>
  <c r="FT12" i="66"/>
  <c r="FS12" i="66"/>
  <c r="FR12" i="66"/>
  <c r="FQ12" i="66"/>
  <c r="FP12" i="66"/>
  <c r="FO12" i="66"/>
  <c r="FN12" i="66"/>
  <c r="FM12" i="66"/>
  <c r="FK12" i="66"/>
  <c r="FI12" i="66"/>
  <c r="FH12" i="66"/>
  <c r="FG12" i="66"/>
  <c r="FF12" i="66"/>
  <c r="FE12" i="66"/>
  <c r="FD12" i="66"/>
  <c r="FC12" i="66"/>
  <c r="FB12" i="66"/>
  <c r="FA12" i="66"/>
  <c r="EZ12" i="66"/>
  <c r="EY12" i="66"/>
  <c r="EX12" i="66"/>
  <c r="EW12" i="66"/>
  <c r="EV12" i="66"/>
  <c r="EU12" i="66"/>
  <c r="ET12" i="66"/>
  <c r="ES12" i="66"/>
  <c r="ER12" i="66"/>
  <c r="EQ12" i="66"/>
  <c r="EP12" i="66"/>
  <c r="EO12" i="66"/>
  <c r="EN12" i="66"/>
  <c r="EM12" i="66"/>
  <c r="EL12" i="66"/>
  <c r="EK12" i="66"/>
  <c r="EJ12" i="66"/>
  <c r="EI12" i="66"/>
  <c r="EH12" i="66"/>
  <c r="EG12" i="66"/>
  <c r="EF12" i="66"/>
  <c r="EE12" i="66"/>
  <c r="ED12" i="66"/>
  <c r="EC12" i="66"/>
  <c r="DV12" i="66"/>
  <c r="DU12" i="66"/>
  <c r="DT12" i="66"/>
  <c r="DS12" i="66"/>
  <c r="DR12" i="66"/>
  <c r="DQ12" i="66"/>
  <c r="DP12" i="66"/>
  <c r="GC11" i="66"/>
  <c r="GB11" i="66"/>
  <c r="GA11" i="66"/>
  <c r="FZ11" i="66"/>
  <c r="FY11" i="66"/>
  <c r="FX11" i="66"/>
  <c r="FW11" i="66"/>
  <c r="FV11" i="66"/>
  <c r="FT11" i="66"/>
  <c r="FS11" i="66"/>
  <c r="FR11" i="66"/>
  <c r="FQ11" i="66"/>
  <c r="FP11" i="66"/>
  <c r="FO11" i="66"/>
  <c r="FN11" i="66"/>
  <c r="FM11" i="66"/>
  <c r="FK11" i="66"/>
  <c r="FI11" i="66"/>
  <c r="FH11" i="66"/>
  <c r="FG11" i="66"/>
  <c r="FF11" i="66"/>
  <c r="FE11" i="66"/>
  <c r="FD11" i="66"/>
  <c r="FC11" i="66"/>
  <c r="FB11" i="66"/>
  <c r="FA11" i="66"/>
  <c r="EZ11" i="66"/>
  <c r="EY11" i="66"/>
  <c r="EX11" i="66"/>
  <c r="EW11" i="66"/>
  <c r="EV11" i="66"/>
  <c r="EU11" i="66"/>
  <c r="ET11" i="66"/>
  <c r="ES11" i="66"/>
  <c r="ER11" i="66"/>
  <c r="EQ11" i="66"/>
  <c r="EP11" i="66"/>
  <c r="EO11" i="66"/>
  <c r="EN11" i="66"/>
  <c r="EM11" i="66"/>
  <c r="EL11" i="66"/>
  <c r="EK11" i="66"/>
  <c r="EJ11" i="66"/>
  <c r="EI11" i="66"/>
  <c r="EH11" i="66"/>
  <c r="EG11" i="66"/>
  <c r="EF11" i="66"/>
  <c r="EE11" i="66"/>
  <c r="ED11" i="66"/>
  <c r="EC11" i="66"/>
  <c r="DV11" i="66"/>
  <c r="DU11" i="66"/>
  <c r="DT11" i="66"/>
  <c r="DS11" i="66"/>
  <c r="DR11" i="66"/>
  <c r="DQ11" i="66"/>
  <c r="DP11" i="66"/>
  <c r="GC10" i="66"/>
  <c r="GB10" i="66"/>
  <c r="GA10" i="66"/>
  <c r="FZ10" i="66"/>
  <c r="FY10" i="66"/>
  <c r="FX10" i="66"/>
  <c r="FW10" i="66"/>
  <c r="FV10" i="66"/>
  <c r="FT10" i="66"/>
  <c r="FS10" i="66"/>
  <c r="FR10" i="66"/>
  <c r="FQ10" i="66"/>
  <c r="FP10" i="66"/>
  <c r="FO10" i="66"/>
  <c r="FN10" i="66"/>
  <c r="FM10" i="66"/>
  <c r="FK10" i="66"/>
  <c r="FI10" i="66"/>
  <c r="FH10" i="66"/>
  <c r="FG10" i="66"/>
  <c r="FF10" i="66"/>
  <c r="FE10" i="66"/>
  <c r="FD10" i="66"/>
  <c r="FC10" i="66"/>
  <c r="FB10" i="66"/>
  <c r="FA10" i="66"/>
  <c r="EZ10" i="66"/>
  <c r="EY10" i="66"/>
  <c r="EX10" i="66"/>
  <c r="EW10" i="66"/>
  <c r="EV10" i="66"/>
  <c r="EU10" i="66"/>
  <c r="ET10" i="66"/>
  <c r="ES10" i="66"/>
  <c r="ER10" i="66"/>
  <c r="EQ10" i="66"/>
  <c r="EP10" i="66"/>
  <c r="EO10" i="66"/>
  <c r="EN10" i="66"/>
  <c r="EM10" i="66"/>
  <c r="EL10" i="66"/>
  <c r="EK10" i="66"/>
  <c r="EJ10" i="66"/>
  <c r="EI10" i="66"/>
  <c r="EH10" i="66"/>
  <c r="EG10" i="66"/>
  <c r="EF10" i="66"/>
  <c r="EE10" i="66"/>
  <c r="ED10" i="66"/>
  <c r="EC10" i="66"/>
  <c r="DV10" i="66"/>
  <c r="DU10" i="66"/>
  <c r="DT10" i="66"/>
  <c r="DS10" i="66"/>
  <c r="DR10" i="66"/>
  <c r="DQ10" i="66"/>
  <c r="DP10" i="66"/>
  <c r="GC9" i="66"/>
  <c r="GB9" i="66"/>
  <c r="GA9" i="66"/>
  <c r="FZ9" i="66"/>
  <c r="FY9" i="66"/>
  <c r="FX9" i="66"/>
  <c r="FW9" i="66"/>
  <c r="FV9" i="66"/>
  <c r="FT9" i="66"/>
  <c r="FS9" i="66"/>
  <c r="FR9" i="66"/>
  <c r="FQ9" i="66"/>
  <c r="FP9" i="66"/>
  <c r="FO9" i="66"/>
  <c r="FN9" i="66"/>
  <c r="FM9" i="66"/>
  <c r="FL9" i="66"/>
  <c r="FK9" i="66"/>
  <c r="FJ9" i="66"/>
  <c r="FI9" i="66"/>
  <c r="FH9" i="66"/>
  <c r="FG9" i="66"/>
  <c r="FF9" i="66"/>
  <c r="FE9" i="66"/>
  <c r="FD9" i="66"/>
  <c r="FC9" i="66"/>
  <c r="FB9" i="66"/>
  <c r="FA9" i="66"/>
  <c r="EZ9" i="66"/>
  <c r="EY9" i="66"/>
  <c r="EX9" i="66"/>
  <c r="EW9" i="66"/>
  <c r="EV9" i="66"/>
  <c r="EU9" i="66"/>
  <c r="ET9" i="66"/>
  <c r="ES9" i="66"/>
  <c r="ER9" i="66"/>
  <c r="EQ9" i="66"/>
  <c r="EP9" i="66"/>
  <c r="EO9" i="66"/>
  <c r="EN9" i="66"/>
  <c r="EM9" i="66"/>
  <c r="EL9" i="66"/>
  <c r="EK9" i="66"/>
  <c r="EJ9" i="66"/>
  <c r="EI9" i="66"/>
  <c r="EH9" i="66"/>
  <c r="EG9" i="66"/>
  <c r="EF9" i="66"/>
  <c r="EE9" i="66"/>
  <c r="ED9" i="66"/>
  <c r="EC9" i="66"/>
  <c r="DV9" i="66"/>
  <c r="DU9" i="66"/>
  <c r="DT9" i="66"/>
  <c r="DS9" i="66"/>
  <c r="DR9" i="66"/>
  <c r="DQ9" i="66"/>
  <c r="DP9" i="66"/>
  <c r="FE7" i="66"/>
  <c r="EJ7" i="66"/>
  <c r="EH7" i="66"/>
  <c r="EB7" i="66"/>
  <c r="EA7" i="66"/>
  <c r="DZ7" i="66"/>
  <c r="DV7" i="66"/>
  <c r="DT7" i="66"/>
  <c r="DP38" i="67"/>
  <c r="DQ38" i="67"/>
  <c r="DR38" i="67"/>
  <c r="DS38" i="67"/>
  <c r="DT38" i="67"/>
  <c r="DU38" i="67"/>
  <c r="DV38" i="67"/>
  <c r="EC38" i="67"/>
  <c r="ED38" i="67"/>
  <c r="EE38" i="67"/>
  <c r="EG38" i="67"/>
  <c r="EH38" i="67"/>
  <c r="EI38" i="67"/>
  <c r="EJ38" i="67"/>
  <c r="EK38" i="67"/>
  <c r="EL38" i="67"/>
  <c r="EM38" i="67"/>
  <c r="EN38" i="67"/>
  <c r="EO38" i="67"/>
  <c r="EP38" i="67"/>
  <c r="EQ38" i="67"/>
  <c r="ER38" i="67"/>
  <c r="ES38" i="67"/>
  <c r="ET38" i="67"/>
  <c r="EU38" i="67"/>
  <c r="EV38" i="67"/>
  <c r="EW38" i="67"/>
  <c r="EX38" i="67"/>
  <c r="EY38" i="67"/>
  <c r="EZ38" i="67"/>
  <c r="FA38" i="67"/>
  <c r="FB38" i="67"/>
  <c r="FC38" i="67"/>
  <c r="FD38" i="67"/>
  <c r="FI38" i="67"/>
  <c r="FK38" i="67"/>
  <c r="FM38" i="67"/>
  <c r="FN38" i="67"/>
  <c r="FO38" i="67"/>
  <c r="FQ38" i="67"/>
  <c r="FS38" i="67"/>
  <c r="FT38" i="67"/>
  <c r="FV38" i="67"/>
  <c r="FW38" i="67"/>
  <c r="FX38" i="67"/>
  <c r="FY38" i="67"/>
  <c r="FZ38" i="67"/>
  <c r="GA38" i="67"/>
  <c r="GB38" i="67"/>
  <c r="GC38" i="67"/>
  <c r="DP39" i="67"/>
  <c r="DQ39" i="67"/>
  <c r="DR39" i="67"/>
  <c r="DS39" i="67"/>
  <c r="DT39" i="67"/>
  <c r="DU39" i="67"/>
  <c r="DV39" i="67"/>
  <c r="EC39" i="67"/>
  <c r="ED39" i="67"/>
  <c r="EE39" i="67"/>
  <c r="EG39" i="67"/>
  <c r="EH39" i="67"/>
  <c r="EI39" i="67"/>
  <c r="EJ39" i="67"/>
  <c r="EK39" i="67"/>
  <c r="EL39" i="67"/>
  <c r="EM39" i="67"/>
  <c r="EN39" i="67"/>
  <c r="EO39" i="67"/>
  <c r="EP39" i="67"/>
  <c r="EQ39" i="67"/>
  <c r="ER39" i="67"/>
  <c r="ES39" i="67"/>
  <c r="ET39" i="67"/>
  <c r="EU39" i="67"/>
  <c r="EV39" i="67"/>
  <c r="EW39" i="67"/>
  <c r="EX39" i="67"/>
  <c r="EY39" i="67"/>
  <c r="EZ39" i="67"/>
  <c r="FA39" i="67"/>
  <c r="FB39" i="67"/>
  <c r="FC39" i="67"/>
  <c r="FD39" i="67"/>
  <c r="FI39" i="67"/>
  <c r="FK39" i="67"/>
  <c r="FM39" i="67"/>
  <c r="FN39" i="67"/>
  <c r="FO39" i="67"/>
  <c r="FQ39" i="67"/>
  <c r="FS39" i="67"/>
  <c r="FT39" i="67"/>
  <c r="FV39" i="67"/>
  <c r="FW39" i="67"/>
  <c r="FX39" i="67"/>
  <c r="FY39" i="67"/>
  <c r="FZ39" i="67"/>
  <c r="GA39" i="67"/>
  <c r="GB39" i="67"/>
  <c r="GC39" i="67"/>
  <c r="EB40" i="67"/>
  <c r="EA40" i="67"/>
  <c r="DZ40" i="67"/>
  <c r="DY40" i="67"/>
  <c r="DX40" i="67"/>
  <c r="DW40" i="67"/>
  <c r="GC37" i="67"/>
  <c r="GB37" i="67"/>
  <c r="GA37" i="67"/>
  <c r="FZ37" i="67"/>
  <c r="FY37" i="67"/>
  <c r="FX37" i="67"/>
  <c r="FW37" i="67"/>
  <c r="FV37" i="67"/>
  <c r="FT37" i="67"/>
  <c r="FS37" i="67"/>
  <c r="FQ37" i="67"/>
  <c r="FO37" i="67"/>
  <c r="FN37" i="67"/>
  <c r="FM37" i="67"/>
  <c r="FK37" i="67"/>
  <c r="FI37" i="67"/>
  <c r="FD37" i="67"/>
  <c r="FC37" i="67"/>
  <c r="FB37" i="67"/>
  <c r="FA37" i="67"/>
  <c r="EZ37" i="67"/>
  <c r="EY37" i="67"/>
  <c r="EX37" i="67"/>
  <c r="EW37" i="67"/>
  <c r="EV37" i="67"/>
  <c r="EU37" i="67"/>
  <c r="ET37" i="67"/>
  <c r="ES37" i="67"/>
  <c r="ER37" i="67"/>
  <c r="EQ37" i="67"/>
  <c r="EP37" i="67"/>
  <c r="EO37" i="67"/>
  <c r="EN37" i="67"/>
  <c r="EM37" i="67"/>
  <c r="EL37" i="67"/>
  <c r="EK37" i="67"/>
  <c r="EJ37" i="67"/>
  <c r="EI37" i="67"/>
  <c r="EH37" i="67"/>
  <c r="EG37" i="67"/>
  <c r="EE37" i="67"/>
  <c r="ED37" i="67"/>
  <c r="EC37" i="67"/>
  <c r="DV37" i="67"/>
  <c r="DU37" i="67"/>
  <c r="DT37" i="67"/>
  <c r="DS37" i="67"/>
  <c r="DR37" i="67"/>
  <c r="DQ37" i="67"/>
  <c r="DP37" i="67"/>
  <c r="GC36" i="67"/>
  <c r="GB36" i="67"/>
  <c r="GA36" i="67"/>
  <c r="FZ36" i="67"/>
  <c r="FY36" i="67"/>
  <c r="FX36" i="67"/>
  <c r="FW36" i="67"/>
  <c r="FV36" i="67"/>
  <c r="FT36" i="67"/>
  <c r="FS36" i="67"/>
  <c r="FQ36" i="67"/>
  <c r="FO36" i="67"/>
  <c r="FN36" i="67"/>
  <c r="FM36" i="67"/>
  <c r="FK36" i="67"/>
  <c r="FI36" i="67"/>
  <c r="FH36" i="67"/>
  <c r="FG36" i="67"/>
  <c r="FF36" i="67"/>
  <c r="FE36" i="67"/>
  <c r="FD36" i="67"/>
  <c r="FC36" i="67"/>
  <c r="FB36" i="67"/>
  <c r="FA36" i="67"/>
  <c r="EZ36" i="67"/>
  <c r="EY36" i="67"/>
  <c r="EX36" i="67"/>
  <c r="EW36" i="67"/>
  <c r="EV36" i="67"/>
  <c r="EU36" i="67"/>
  <c r="ET36" i="67"/>
  <c r="ES36" i="67"/>
  <c r="ER36" i="67"/>
  <c r="EQ36" i="67"/>
  <c r="EP36" i="67"/>
  <c r="EO36" i="67"/>
  <c r="EN36" i="67"/>
  <c r="EM36" i="67"/>
  <c r="EL36" i="67"/>
  <c r="EK36" i="67"/>
  <c r="EJ36" i="67"/>
  <c r="EI36" i="67"/>
  <c r="EH36" i="67"/>
  <c r="EG36" i="67"/>
  <c r="EF36" i="67"/>
  <c r="EE36" i="67"/>
  <c r="ED36" i="67"/>
  <c r="EC36" i="67"/>
  <c r="DV36" i="67"/>
  <c r="DU36" i="67"/>
  <c r="DT36" i="67"/>
  <c r="DS36" i="67"/>
  <c r="DR36" i="67"/>
  <c r="DQ36" i="67"/>
  <c r="DP36" i="67"/>
  <c r="GC35" i="67"/>
  <c r="GB35" i="67"/>
  <c r="GA35" i="67"/>
  <c r="FZ35" i="67"/>
  <c r="FY35" i="67"/>
  <c r="FX35" i="67"/>
  <c r="FW35" i="67"/>
  <c r="FV35" i="67"/>
  <c r="FT35" i="67"/>
  <c r="FS35" i="67"/>
  <c r="FQ35" i="67"/>
  <c r="FO35" i="67"/>
  <c r="FN35" i="67"/>
  <c r="FM35" i="67"/>
  <c r="FK35" i="67"/>
  <c r="FI35" i="67"/>
  <c r="FH35" i="67"/>
  <c r="FG35" i="67"/>
  <c r="FF35" i="67"/>
  <c r="FE35" i="67"/>
  <c r="FD35" i="67"/>
  <c r="FC35" i="67"/>
  <c r="FB35" i="67"/>
  <c r="FA35" i="67"/>
  <c r="EZ35" i="67"/>
  <c r="EY35" i="67"/>
  <c r="EX35" i="67"/>
  <c r="EW35" i="67"/>
  <c r="EV35" i="67"/>
  <c r="EU35" i="67"/>
  <c r="ET35" i="67"/>
  <c r="ES35" i="67"/>
  <c r="ER35" i="67"/>
  <c r="EQ35" i="67"/>
  <c r="EP35" i="67"/>
  <c r="EO35" i="67"/>
  <c r="EN35" i="67"/>
  <c r="EM35" i="67"/>
  <c r="EL35" i="67"/>
  <c r="EK35" i="67"/>
  <c r="EJ35" i="67"/>
  <c r="EI35" i="67"/>
  <c r="EH35" i="67"/>
  <c r="EG35" i="67"/>
  <c r="EF35" i="67"/>
  <c r="EE35" i="67"/>
  <c r="ED35" i="67"/>
  <c r="EC35" i="67"/>
  <c r="DV35" i="67"/>
  <c r="DU35" i="67"/>
  <c r="DT35" i="67"/>
  <c r="DS35" i="67"/>
  <c r="DR35" i="67"/>
  <c r="DQ35" i="67"/>
  <c r="DP35" i="67"/>
  <c r="GC34" i="67"/>
  <c r="GB34" i="67"/>
  <c r="GA34" i="67"/>
  <c r="FZ34" i="67"/>
  <c r="FY34" i="67"/>
  <c r="FX34" i="67"/>
  <c r="FW34" i="67"/>
  <c r="FV34" i="67"/>
  <c r="FT34" i="67"/>
  <c r="FS34" i="67"/>
  <c r="FQ34" i="67"/>
  <c r="FO34" i="67"/>
  <c r="FN34" i="67"/>
  <c r="FM34" i="67"/>
  <c r="FK34" i="67"/>
  <c r="FI34" i="67"/>
  <c r="FH34" i="67"/>
  <c r="FG34" i="67"/>
  <c r="FF34" i="67"/>
  <c r="FE34" i="67"/>
  <c r="FD34" i="67"/>
  <c r="FC34" i="67"/>
  <c r="FB34" i="67"/>
  <c r="FA34" i="67"/>
  <c r="EZ34" i="67"/>
  <c r="EY34" i="67"/>
  <c r="EX34" i="67"/>
  <c r="EW34" i="67"/>
  <c r="EV34" i="67"/>
  <c r="EU34" i="67"/>
  <c r="ET34" i="67"/>
  <c r="ES34" i="67"/>
  <c r="ER34" i="67"/>
  <c r="EQ34" i="67"/>
  <c r="EP34" i="67"/>
  <c r="EO34" i="67"/>
  <c r="EN34" i="67"/>
  <c r="EM34" i="67"/>
  <c r="EL34" i="67"/>
  <c r="EK34" i="67"/>
  <c r="EJ34" i="67"/>
  <c r="EI34" i="67"/>
  <c r="EH34" i="67"/>
  <c r="EG34" i="67"/>
  <c r="EF34" i="67"/>
  <c r="EE34" i="67"/>
  <c r="ED34" i="67"/>
  <c r="EC34" i="67"/>
  <c r="DV34" i="67"/>
  <c r="DU34" i="67"/>
  <c r="DT34" i="67"/>
  <c r="DS34" i="67"/>
  <c r="DR34" i="67"/>
  <c r="DQ34" i="67"/>
  <c r="DP34" i="67"/>
  <c r="GC33" i="67"/>
  <c r="GB33" i="67"/>
  <c r="GA33" i="67"/>
  <c r="FZ33" i="67"/>
  <c r="FY33" i="67"/>
  <c r="FX33" i="67"/>
  <c r="FW33" i="67"/>
  <c r="FV33" i="67"/>
  <c r="FT33" i="67"/>
  <c r="FS33" i="67"/>
  <c r="FQ33" i="67"/>
  <c r="FO33" i="67"/>
  <c r="FN33" i="67"/>
  <c r="FM33" i="67"/>
  <c r="FK33" i="67"/>
  <c r="FI33" i="67"/>
  <c r="FH33" i="67"/>
  <c r="FG33" i="67"/>
  <c r="FF33" i="67"/>
  <c r="FE33" i="67"/>
  <c r="FD33" i="67"/>
  <c r="FC33" i="67"/>
  <c r="FB33" i="67"/>
  <c r="FA33" i="67"/>
  <c r="EZ33" i="67"/>
  <c r="EY33" i="67"/>
  <c r="EX33" i="67"/>
  <c r="EW33" i="67"/>
  <c r="EV33" i="67"/>
  <c r="EU33" i="67"/>
  <c r="ET33" i="67"/>
  <c r="ES33" i="67"/>
  <c r="ER33" i="67"/>
  <c r="EQ33" i="67"/>
  <c r="EP33" i="67"/>
  <c r="EO33" i="67"/>
  <c r="EN33" i="67"/>
  <c r="EM33" i="67"/>
  <c r="EL33" i="67"/>
  <c r="EK33" i="67"/>
  <c r="EJ33" i="67"/>
  <c r="EI33" i="67"/>
  <c r="EH33" i="67"/>
  <c r="EG33" i="67"/>
  <c r="EF33" i="67"/>
  <c r="EE33" i="67"/>
  <c r="ED33" i="67"/>
  <c r="EC33" i="67"/>
  <c r="DV33" i="67"/>
  <c r="DU33" i="67"/>
  <c r="DT33" i="67"/>
  <c r="DS33" i="67"/>
  <c r="DR33" i="67"/>
  <c r="DQ33" i="67"/>
  <c r="DP33" i="67"/>
  <c r="GC32" i="67"/>
  <c r="GB32" i="67"/>
  <c r="GA32" i="67"/>
  <c r="FZ32" i="67"/>
  <c r="FY32" i="67"/>
  <c r="FX32" i="67"/>
  <c r="FW32" i="67"/>
  <c r="FV32" i="67"/>
  <c r="FT32" i="67"/>
  <c r="FS32" i="67"/>
  <c r="FQ32" i="67"/>
  <c r="FO32" i="67"/>
  <c r="FN32" i="67"/>
  <c r="FM32" i="67"/>
  <c r="FK32" i="67"/>
  <c r="FI32" i="67"/>
  <c r="FH32" i="67"/>
  <c r="FG32" i="67"/>
  <c r="FF32" i="67"/>
  <c r="FE32" i="67"/>
  <c r="FD32" i="67"/>
  <c r="FC32" i="67"/>
  <c r="FB32" i="67"/>
  <c r="FA32" i="67"/>
  <c r="EZ32" i="67"/>
  <c r="EY32" i="67"/>
  <c r="EX32" i="67"/>
  <c r="EW32" i="67"/>
  <c r="EV32" i="67"/>
  <c r="EU32" i="67"/>
  <c r="ET32" i="67"/>
  <c r="ES32" i="67"/>
  <c r="ER32" i="67"/>
  <c r="EQ32" i="67"/>
  <c r="EP32" i="67"/>
  <c r="EO32" i="67"/>
  <c r="EN32" i="67"/>
  <c r="EM32" i="67"/>
  <c r="EL32" i="67"/>
  <c r="EK32" i="67"/>
  <c r="EJ32" i="67"/>
  <c r="EI32" i="67"/>
  <c r="EH32" i="67"/>
  <c r="EG32" i="67"/>
  <c r="EF32" i="67"/>
  <c r="EE32" i="67"/>
  <c r="ED32" i="67"/>
  <c r="EC32" i="67"/>
  <c r="DV32" i="67"/>
  <c r="DU32" i="67"/>
  <c r="DT32" i="67"/>
  <c r="DS32" i="67"/>
  <c r="DR32" i="67"/>
  <c r="DQ32" i="67"/>
  <c r="DP32" i="67"/>
  <c r="GC31" i="67"/>
  <c r="GB31" i="67"/>
  <c r="GA31" i="67"/>
  <c r="FZ31" i="67"/>
  <c r="FY31" i="67"/>
  <c r="FX31" i="67"/>
  <c r="FW31" i="67"/>
  <c r="FV31" i="67"/>
  <c r="FT31" i="67"/>
  <c r="FS31" i="67"/>
  <c r="FQ31" i="67"/>
  <c r="FO31" i="67"/>
  <c r="FN31" i="67"/>
  <c r="FM31" i="67"/>
  <c r="FK31" i="67"/>
  <c r="FI31" i="67"/>
  <c r="FH31" i="67"/>
  <c r="FG31" i="67"/>
  <c r="FF31" i="67"/>
  <c r="FE31" i="67"/>
  <c r="FD31" i="67"/>
  <c r="FC31" i="67"/>
  <c r="FB31" i="67"/>
  <c r="FA31" i="67"/>
  <c r="EZ31" i="67"/>
  <c r="EY31" i="67"/>
  <c r="EX31" i="67"/>
  <c r="EW31" i="67"/>
  <c r="EV31" i="67"/>
  <c r="EU31" i="67"/>
  <c r="ET31" i="67"/>
  <c r="ES31" i="67"/>
  <c r="ER31" i="67"/>
  <c r="EQ31" i="67"/>
  <c r="EP31" i="67"/>
  <c r="EO31" i="67"/>
  <c r="EN31" i="67"/>
  <c r="EM31" i="67"/>
  <c r="EL31" i="67"/>
  <c r="EK31" i="67"/>
  <c r="EJ31" i="67"/>
  <c r="EI31" i="67"/>
  <c r="EH31" i="67"/>
  <c r="EG31" i="67"/>
  <c r="EF31" i="67"/>
  <c r="EE31" i="67"/>
  <c r="ED31" i="67"/>
  <c r="EC31" i="67"/>
  <c r="DV31" i="67"/>
  <c r="DU31" i="67"/>
  <c r="DT31" i="67"/>
  <c r="DS31" i="67"/>
  <c r="DR31" i="67"/>
  <c r="DQ31" i="67"/>
  <c r="DP31" i="67"/>
  <c r="GC30" i="67"/>
  <c r="GB30" i="67"/>
  <c r="GA30" i="67"/>
  <c r="FZ30" i="67"/>
  <c r="FY30" i="67"/>
  <c r="FX30" i="67"/>
  <c r="FW30" i="67"/>
  <c r="FV30" i="67"/>
  <c r="FT30" i="67"/>
  <c r="FS30" i="67"/>
  <c r="FQ30" i="67"/>
  <c r="FO30" i="67"/>
  <c r="FN30" i="67"/>
  <c r="FM30" i="67"/>
  <c r="FK30" i="67"/>
  <c r="FI30" i="67"/>
  <c r="FH30" i="67"/>
  <c r="FG30" i="67"/>
  <c r="FF30" i="67"/>
  <c r="FE30" i="67"/>
  <c r="FD30" i="67"/>
  <c r="FC30" i="67"/>
  <c r="FB30" i="67"/>
  <c r="FA30" i="67"/>
  <c r="EZ30" i="67"/>
  <c r="EY30" i="67"/>
  <c r="EX30" i="67"/>
  <c r="EW30" i="67"/>
  <c r="EV30" i="67"/>
  <c r="EU30" i="67"/>
  <c r="ET30" i="67"/>
  <c r="ES30" i="67"/>
  <c r="ER30" i="67"/>
  <c r="EQ30" i="67"/>
  <c r="EP30" i="67"/>
  <c r="EO30" i="67"/>
  <c r="EN30" i="67"/>
  <c r="EM30" i="67"/>
  <c r="EL30" i="67"/>
  <c r="EK30" i="67"/>
  <c r="EJ30" i="67"/>
  <c r="EI30" i="67"/>
  <c r="EH30" i="67"/>
  <c r="EG30" i="67"/>
  <c r="EF30" i="67"/>
  <c r="EE30" i="67"/>
  <c r="ED30" i="67"/>
  <c r="EC30" i="67"/>
  <c r="DV30" i="67"/>
  <c r="DU30" i="67"/>
  <c r="DT30" i="67"/>
  <c r="DS30" i="67"/>
  <c r="DR30" i="67"/>
  <c r="DQ30" i="67"/>
  <c r="DP30" i="67"/>
  <c r="GC29" i="67"/>
  <c r="GB29" i="67"/>
  <c r="GA29" i="67"/>
  <c r="FZ29" i="67"/>
  <c r="FY29" i="67"/>
  <c r="FX29" i="67"/>
  <c r="FW29" i="67"/>
  <c r="FV29" i="67"/>
  <c r="FT29" i="67"/>
  <c r="FS29" i="67"/>
  <c r="FQ29" i="67"/>
  <c r="FO29" i="67"/>
  <c r="FN29" i="67"/>
  <c r="FM29" i="67"/>
  <c r="FK29" i="67"/>
  <c r="FI29" i="67"/>
  <c r="FH29" i="67"/>
  <c r="FG29" i="67"/>
  <c r="FF29" i="67"/>
  <c r="FE29" i="67"/>
  <c r="FD29" i="67"/>
  <c r="FC29" i="67"/>
  <c r="FB29" i="67"/>
  <c r="FA29" i="67"/>
  <c r="EZ29" i="67"/>
  <c r="EY29" i="67"/>
  <c r="EX29" i="67"/>
  <c r="EW29" i="67"/>
  <c r="EV29" i="67"/>
  <c r="EU29" i="67"/>
  <c r="ET29" i="67"/>
  <c r="ES29" i="67"/>
  <c r="ER29" i="67"/>
  <c r="EQ29" i="67"/>
  <c r="EP29" i="67"/>
  <c r="EO29" i="67"/>
  <c r="EN29" i="67"/>
  <c r="EM29" i="67"/>
  <c r="EL29" i="67"/>
  <c r="EK29" i="67"/>
  <c r="EJ29" i="67"/>
  <c r="EI29" i="67"/>
  <c r="EH29" i="67"/>
  <c r="EG29" i="67"/>
  <c r="EF29" i="67"/>
  <c r="EE29" i="67"/>
  <c r="ED29" i="67"/>
  <c r="EC29" i="67"/>
  <c r="DV29" i="67"/>
  <c r="DU29" i="67"/>
  <c r="DT29" i="67"/>
  <c r="DS29" i="67"/>
  <c r="DR29" i="67"/>
  <c r="DQ29" i="67"/>
  <c r="DP29" i="67"/>
  <c r="GC28" i="67"/>
  <c r="GB28" i="67"/>
  <c r="GA28" i="67"/>
  <c r="FZ28" i="67"/>
  <c r="FY28" i="67"/>
  <c r="FX28" i="67"/>
  <c r="FW28" i="67"/>
  <c r="FV28" i="67"/>
  <c r="FT28" i="67"/>
  <c r="FS28" i="67"/>
  <c r="FQ28" i="67"/>
  <c r="FO28" i="67"/>
  <c r="FN28" i="67"/>
  <c r="FM28" i="67"/>
  <c r="FK28" i="67"/>
  <c r="FI28" i="67"/>
  <c r="FH28" i="67"/>
  <c r="FG28" i="67"/>
  <c r="FF28" i="67"/>
  <c r="FE28" i="67"/>
  <c r="FD28" i="67"/>
  <c r="FC28" i="67"/>
  <c r="FB28" i="67"/>
  <c r="FA28" i="67"/>
  <c r="EZ28" i="67"/>
  <c r="EY28" i="67"/>
  <c r="EX28" i="67"/>
  <c r="EW28" i="67"/>
  <c r="EV28" i="67"/>
  <c r="EU28" i="67"/>
  <c r="ET28" i="67"/>
  <c r="ES28" i="67"/>
  <c r="ER28" i="67"/>
  <c r="EQ28" i="67"/>
  <c r="EP28" i="67"/>
  <c r="EO28" i="67"/>
  <c r="EN28" i="67"/>
  <c r="EM28" i="67"/>
  <c r="EL28" i="67"/>
  <c r="EK28" i="67"/>
  <c r="EJ28" i="67"/>
  <c r="EI28" i="67"/>
  <c r="EH28" i="67"/>
  <c r="EG28" i="67"/>
  <c r="EF28" i="67"/>
  <c r="EE28" i="67"/>
  <c r="ED28" i="67"/>
  <c r="EC28" i="67"/>
  <c r="DV28" i="67"/>
  <c r="DU28" i="67"/>
  <c r="DT28" i="67"/>
  <c r="DS28" i="67"/>
  <c r="DR28" i="67"/>
  <c r="DQ28" i="67"/>
  <c r="DP28" i="67"/>
  <c r="GC27" i="67"/>
  <c r="GB27" i="67"/>
  <c r="GA27" i="67"/>
  <c r="FZ27" i="67"/>
  <c r="FY27" i="67"/>
  <c r="FX27" i="67"/>
  <c r="FW27" i="67"/>
  <c r="FV27" i="67"/>
  <c r="FT27" i="67"/>
  <c r="FS27" i="67"/>
  <c r="FQ27" i="67"/>
  <c r="FO27" i="67"/>
  <c r="FN27" i="67"/>
  <c r="FM27" i="67"/>
  <c r="FK27" i="67"/>
  <c r="FI27" i="67"/>
  <c r="FH27" i="67"/>
  <c r="FG27" i="67"/>
  <c r="FF27" i="67"/>
  <c r="FE27" i="67"/>
  <c r="FD27" i="67"/>
  <c r="FC27" i="67"/>
  <c r="FB27" i="67"/>
  <c r="FA27" i="67"/>
  <c r="EZ27" i="67"/>
  <c r="EY27" i="67"/>
  <c r="EX27" i="67"/>
  <c r="EW27" i="67"/>
  <c r="EV27" i="67"/>
  <c r="EU27" i="67"/>
  <c r="ET27" i="67"/>
  <c r="ES27" i="67"/>
  <c r="ER27" i="67"/>
  <c r="EQ27" i="67"/>
  <c r="EP27" i="67"/>
  <c r="EO27" i="67"/>
  <c r="EN27" i="67"/>
  <c r="EM27" i="67"/>
  <c r="EL27" i="67"/>
  <c r="EK27" i="67"/>
  <c r="EJ27" i="67"/>
  <c r="EI27" i="67"/>
  <c r="EH27" i="67"/>
  <c r="EG27" i="67"/>
  <c r="EF27" i="67"/>
  <c r="EE27" i="67"/>
  <c r="ED27" i="67"/>
  <c r="EC27" i="67"/>
  <c r="DV27" i="67"/>
  <c r="DU27" i="67"/>
  <c r="DT27" i="67"/>
  <c r="DS27" i="67"/>
  <c r="DR27" i="67"/>
  <c r="DQ27" i="67"/>
  <c r="DP27" i="67"/>
  <c r="GC26" i="67"/>
  <c r="GB26" i="67"/>
  <c r="GA26" i="67"/>
  <c r="FZ26" i="67"/>
  <c r="FY26" i="67"/>
  <c r="FX26" i="67"/>
  <c r="FW26" i="67"/>
  <c r="FV26" i="67"/>
  <c r="FT26" i="67"/>
  <c r="FS26" i="67"/>
  <c r="FQ26" i="67"/>
  <c r="FO26" i="67"/>
  <c r="FN26" i="67"/>
  <c r="FM26" i="67"/>
  <c r="FK26" i="67"/>
  <c r="FI26" i="67"/>
  <c r="FH26" i="67"/>
  <c r="FG26" i="67"/>
  <c r="FF26" i="67"/>
  <c r="FE26" i="67"/>
  <c r="FD26" i="67"/>
  <c r="FC26" i="67"/>
  <c r="FB26" i="67"/>
  <c r="FA26" i="67"/>
  <c r="EZ26" i="67"/>
  <c r="EY26" i="67"/>
  <c r="EX26" i="67"/>
  <c r="EW26" i="67"/>
  <c r="EV26" i="67"/>
  <c r="EU26" i="67"/>
  <c r="ET26" i="67"/>
  <c r="ES26" i="67"/>
  <c r="ER26" i="67"/>
  <c r="EQ26" i="67"/>
  <c r="EP26" i="67"/>
  <c r="EO26" i="67"/>
  <c r="EN26" i="67"/>
  <c r="EM26" i="67"/>
  <c r="EL26" i="67"/>
  <c r="EK26" i="67"/>
  <c r="EJ26" i="67"/>
  <c r="EI26" i="67"/>
  <c r="EH26" i="67"/>
  <c r="EG26" i="67"/>
  <c r="EF26" i="67"/>
  <c r="EE26" i="67"/>
  <c r="ED26" i="67"/>
  <c r="EC26" i="67"/>
  <c r="DV26" i="67"/>
  <c r="DU26" i="67"/>
  <c r="DT26" i="67"/>
  <c r="DS26" i="67"/>
  <c r="DR26" i="67"/>
  <c r="DQ26" i="67"/>
  <c r="DP26" i="67"/>
  <c r="GC25" i="67"/>
  <c r="GB25" i="67"/>
  <c r="GA25" i="67"/>
  <c r="FZ25" i="67"/>
  <c r="FY25" i="67"/>
  <c r="FX25" i="67"/>
  <c r="FW25" i="67"/>
  <c r="FV25" i="67"/>
  <c r="FT25" i="67"/>
  <c r="FS25" i="67"/>
  <c r="FQ25" i="67"/>
  <c r="FO25" i="67"/>
  <c r="FN25" i="67"/>
  <c r="FM25" i="67"/>
  <c r="FK25" i="67"/>
  <c r="FI25" i="67"/>
  <c r="FH25" i="67"/>
  <c r="FG25" i="67"/>
  <c r="FF25" i="67"/>
  <c r="FE25" i="67"/>
  <c r="FD25" i="67"/>
  <c r="FC25" i="67"/>
  <c r="FB25" i="67"/>
  <c r="FA25" i="67"/>
  <c r="EZ25" i="67"/>
  <c r="EY25" i="67"/>
  <c r="EX25" i="67"/>
  <c r="EW25" i="67"/>
  <c r="EV25" i="67"/>
  <c r="EU25" i="67"/>
  <c r="ET25" i="67"/>
  <c r="ES25" i="67"/>
  <c r="ER25" i="67"/>
  <c r="EQ25" i="67"/>
  <c r="EP25" i="67"/>
  <c r="EO25" i="67"/>
  <c r="EN25" i="67"/>
  <c r="EM25" i="67"/>
  <c r="EL25" i="67"/>
  <c r="EK25" i="67"/>
  <c r="EJ25" i="67"/>
  <c r="EI25" i="67"/>
  <c r="EH25" i="67"/>
  <c r="EG25" i="67"/>
  <c r="EF25" i="67"/>
  <c r="EE25" i="67"/>
  <c r="ED25" i="67"/>
  <c r="EC25" i="67"/>
  <c r="DV25" i="67"/>
  <c r="DU25" i="67"/>
  <c r="DT25" i="67"/>
  <c r="DS25" i="67"/>
  <c r="DR25" i="67"/>
  <c r="DQ25" i="67"/>
  <c r="DP25" i="67"/>
  <c r="GC24" i="67"/>
  <c r="GB24" i="67"/>
  <c r="GA24" i="67"/>
  <c r="FZ24" i="67"/>
  <c r="FY24" i="67"/>
  <c r="FX24" i="67"/>
  <c r="FW24" i="67"/>
  <c r="FV24" i="67"/>
  <c r="FT24" i="67"/>
  <c r="FS24" i="67"/>
  <c r="FQ24" i="67"/>
  <c r="FO24" i="67"/>
  <c r="FN24" i="67"/>
  <c r="FM24" i="67"/>
  <c r="FK24" i="67"/>
  <c r="FI24" i="67"/>
  <c r="FH24" i="67"/>
  <c r="FG24" i="67"/>
  <c r="FF24" i="67"/>
  <c r="FE24" i="67"/>
  <c r="FD24" i="67"/>
  <c r="FC24" i="67"/>
  <c r="FB24" i="67"/>
  <c r="FA24" i="67"/>
  <c r="EZ24" i="67"/>
  <c r="EY24" i="67"/>
  <c r="EX24" i="67"/>
  <c r="EW24" i="67"/>
  <c r="EV24" i="67"/>
  <c r="EU24" i="67"/>
  <c r="ET24" i="67"/>
  <c r="ES24" i="67"/>
  <c r="ER24" i="67"/>
  <c r="EQ24" i="67"/>
  <c r="EP24" i="67"/>
  <c r="EO24" i="67"/>
  <c r="EN24" i="67"/>
  <c r="EM24" i="67"/>
  <c r="EL24" i="67"/>
  <c r="EK24" i="67"/>
  <c r="EJ24" i="67"/>
  <c r="EI24" i="67"/>
  <c r="EH24" i="67"/>
  <c r="EG24" i="67"/>
  <c r="EF24" i="67"/>
  <c r="EE24" i="67"/>
  <c r="ED24" i="67"/>
  <c r="EC24" i="67"/>
  <c r="DV24" i="67"/>
  <c r="DU24" i="67"/>
  <c r="DT24" i="67"/>
  <c r="DS24" i="67"/>
  <c r="DR24" i="67"/>
  <c r="DQ24" i="67"/>
  <c r="DP24" i="67"/>
  <c r="GC23" i="67"/>
  <c r="GB23" i="67"/>
  <c r="GA23" i="67"/>
  <c r="FZ23" i="67"/>
  <c r="FY23" i="67"/>
  <c r="FX23" i="67"/>
  <c r="FW23" i="67"/>
  <c r="FV23" i="67"/>
  <c r="FT23" i="67"/>
  <c r="FS23" i="67"/>
  <c r="FQ23" i="67"/>
  <c r="FO23" i="67"/>
  <c r="FN23" i="67"/>
  <c r="FM23" i="67"/>
  <c r="FK23" i="67"/>
  <c r="FI23" i="67"/>
  <c r="FH23" i="67"/>
  <c r="FG23" i="67"/>
  <c r="FF23" i="67"/>
  <c r="FE23" i="67"/>
  <c r="FD23" i="67"/>
  <c r="FC23" i="67"/>
  <c r="FB23" i="67"/>
  <c r="FA23" i="67"/>
  <c r="EZ23" i="67"/>
  <c r="EY23" i="67"/>
  <c r="EX23" i="67"/>
  <c r="EW23" i="67"/>
  <c r="EV23" i="67"/>
  <c r="EU23" i="67"/>
  <c r="ET23" i="67"/>
  <c r="ES23" i="67"/>
  <c r="ER23" i="67"/>
  <c r="EQ23" i="67"/>
  <c r="EP23" i="67"/>
  <c r="EO23" i="67"/>
  <c r="EN23" i="67"/>
  <c r="EM23" i="67"/>
  <c r="EL23" i="67"/>
  <c r="EK23" i="67"/>
  <c r="EJ23" i="67"/>
  <c r="EI23" i="67"/>
  <c r="EH23" i="67"/>
  <c r="EG23" i="67"/>
  <c r="EF23" i="67"/>
  <c r="EE23" i="67"/>
  <c r="ED23" i="67"/>
  <c r="EC23" i="67"/>
  <c r="DV23" i="67"/>
  <c r="DU23" i="67"/>
  <c r="DT23" i="67"/>
  <c r="DS23" i="67"/>
  <c r="DR23" i="67"/>
  <c r="DQ23" i="67"/>
  <c r="DP23" i="67"/>
  <c r="GC22" i="67"/>
  <c r="GB22" i="67"/>
  <c r="GA22" i="67"/>
  <c r="FZ22" i="67"/>
  <c r="FY22" i="67"/>
  <c r="FX22" i="67"/>
  <c r="FW22" i="67"/>
  <c r="FV22" i="67"/>
  <c r="FT22" i="67"/>
  <c r="FS22" i="67"/>
  <c r="FQ22" i="67"/>
  <c r="FO22" i="67"/>
  <c r="FN22" i="67"/>
  <c r="FM22" i="67"/>
  <c r="FK22" i="67"/>
  <c r="FI22" i="67"/>
  <c r="FH22" i="67"/>
  <c r="FG22" i="67"/>
  <c r="FF22" i="67"/>
  <c r="FE22" i="67"/>
  <c r="FD22" i="67"/>
  <c r="FC22" i="67"/>
  <c r="FB22" i="67"/>
  <c r="FA22" i="67"/>
  <c r="EZ22" i="67"/>
  <c r="EY22" i="67"/>
  <c r="EX22" i="67"/>
  <c r="EW22" i="67"/>
  <c r="EV22" i="67"/>
  <c r="EU22" i="67"/>
  <c r="ET22" i="67"/>
  <c r="ES22" i="67"/>
  <c r="ER22" i="67"/>
  <c r="EQ22" i="67"/>
  <c r="EP22" i="67"/>
  <c r="EO22" i="67"/>
  <c r="EN22" i="67"/>
  <c r="EM22" i="67"/>
  <c r="EL22" i="67"/>
  <c r="EK22" i="67"/>
  <c r="EJ22" i="67"/>
  <c r="EI22" i="67"/>
  <c r="EH22" i="67"/>
  <c r="EG22" i="67"/>
  <c r="EF22" i="67"/>
  <c r="EE22" i="67"/>
  <c r="ED22" i="67"/>
  <c r="EC22" i="67"/>
  <c r="DV22" i="67"/>
  <c r="DU22" i="67"/>
  <c r="DT22" i="67"/>
  <c r="DS22" i="67"/>
  <c r="DR22" i="67"/>
  <c r="DQ22" i="67"/>
  <c r="DP22" i="67"/>
  <c r="GC21" i="67"/>
  <c r="GB21" i="67"/>
  <c r="GA21" i="67"/>
  <c r="FZ21" i="67"/>
  <c r="FY21" i="67"/>
  <c r="FX21" i="67"/>
  <c r="FW21" i="67"/>
  <c r="FV21" i="67"/>
  <c r="FT21" i="67"/>
  <c r="FS21" i="67"/>
  <c r="FQ21" i="67"/>
  <c r="FO21" i="67"/>
  <c r="FN21" i="67"/>
  <c r="FM21" i="67"/>
  <c r="FK21" i="67"/>
  <c r="FI21" i="67"/>
  <c r="FH21" i="67"/>
  <c r="FG21" i="67"/>
  <c r="FF21" i="67"/>
  <c r="FE21" i="67"/>
  <c r="FD21" i="67"/>
  <c r="FC21" i="67"/>
  <c r="FB21" i="67"/>
  <c r="FA21" i="67"/>
  <c r="EZ21" i="67"/>
  <c r="EY21" i="67"/>
  <c r="EX21" i="67"/>
  <c r="EW21" i="67"/>
  <c r="EV21" i="67"/>
  <c r="EU21" i="67"/>
  <c r="ET21" i="67"/>
  <c r="ES21" i="67"/>
  <c r="ER21" i="67"/>
  <c r="EQ21" i="67"/>
  <c r="EP21" i="67"/>
  <c r="EO21" i="67"/>
  <c r="EN21" i="67"/>
  <c r="EM21" i="67"/>
  <c r="EL21" i="67"/>
  <c r="EK21" i="67"/>
  <c r="EJ21" i="67"/>
  <c r="EI21" i="67"/>
  <c r="EH21" i="67"/>
  <c r="EG21" i="67"/>
  <c r="EF21" i="67"/>
  <c r="EE21" i="67"/>
  <c r="ED21" i="67"/>
  <c r="EC21" i="67"/>
  <c r="DV21" i="67"/>
  <c r="DU21" i="67"/>
  <c r="DT21" i="67"/>
  <c r="DS21" i="67"/>
  <c r="DR21" i="67"/>
  <c r="DQ21" i="67"/>
  <c r="DP21" i="67"/>
  <c r="GC20" i="67"/>
  <c r="GB20" i="67"/>
  <c r="GA20" i="67"/>
  <c r="FZ20" i="67"/>
  <c r="FY20" i="67"/>
  <c r="FX20" i="67"/>
  <c r="FW20" i="67"/>
  <c r="FV20" i="67"/>
  <c r="FT20" i="67"/>
  <c r="FS20" i="67"/>
  <c r="FQ20" i="67"/>
  <c r="FO20" i="67"/>
  <c r="FN20" i="67"/>
  <c r="FM20" i="67"/>
  <c r="FK20" i="67"/>
  <c r="FI20" i="67"/>
  <c r="FH20" i="67"/>
  <c r="FG20" i="67"/>
  <c r="FF20" i="67"/>
  <c r="FE20" i="67"/>
  <c r="FD20" i="67"/>
  <c r="FC20" i="67"/>
  <c r="FB20" i="67"/>
  <c r="FA20" i="67"/>
  <c r="EZ20" i="67"/>
  <c r="EY20" i="67"/>
  <c r="EX20" i="67"/>
  <c r="EW20" i="67"/>
  <c r="EV20" i="67"/>
  <c r="EU20" i="67"/>
  <c r="ET20" i="67"/>
  <c r="ES20" i="67"/>
  <c r="ER20" i="67"/>
  <c r="EQ20" i="67"/>
  <c r="EP20" i="67"/>
  <c r="EO20" i="67"/>
  <c r="EN20" i="67"/>
  <c r="EM20" i="67"/>
  <c r="EL20" i="67"/>
  <c r="EK20" i="67"/>
  <c r="EJ20" i="67"/>
  <c r="EI20" i="67"/>
  <c r="EH20" i="67"/>
  <c r="EG20" i="67"/>
  <c r="EF20" i="67"/>
  <c r="EE20" i="67"/>
  <c r="ED20" i="67"/>
  <c r="EC20" i="67"/>
  <c r="DV20" i="67"/>
  <c r="DU20" i="67"/>
  <c r="DT20" i="67"/>
  <c r="DS20" i="67"/>
  <c r="DR20" i="67"/>
  <c r="DQ20" i="67"/>
  <c r="DP20" i="67"/>
  <c r="GC19" i="67"/>
  <c r="GB19" i="67"/>
  <c r="GA19" i="67"/>
  <c r="FZ19" i="67"/>
  <c r="FY19" i="67"/>
  <c r="FX19" i="67"/>
  <c r="FW19" i="67"/>
  <c r="FV19" i="67"/>
  <c r="FT19" i="67"/>
  <c r="FS19" i="67"/>
  <c r="FQ19" i="67"/>
  <c r="FO19" i="67"/>
  <c r="FN19" i="67"/>
  <c r="FM19" i="67"/>
  <c r="FK19" i="67"/>
  <c r="FI19" i="67"/>
  <c r="FH19" i="67"/>
  <c r="FG19" i="67"/>
  <c r="FF19" i="67"/>
  <c r="FE19" i="67"/>
  <c r="FD19" i="67"/>
  <c r="FC19" i="67"/>
  <c r="FB19" i="67"/>
  <c r="FA19" i="67"/>
  <c r="EZ19" i="67"/>
  <c r="EY19" i="67"/>
  <c r="EX19" i="67"/>
  <c r="EW19" i="67"/>
  <c r="EV19" i="67"/>
  <c r="EU19" i="67"/>
  <c r="ET19" i="67"/>
  <c r="ES19" i="67"/>
  <c r="ER19" i="67"/>
  <c r="EQ19" i="67"/>
  <c r="EP19" i="67"/>
  <c r="EO19" i="67"/>
  <c r="EN19" i="67"/>
  <c r="EM19" i="67"/>
  <c r="EL19" i="67"/>
  <c r="EK19" i="67"/>
  <c r="EJ19" i="67"/>
  <c r="EI19" i="67"/>
  <c r="EH19" i="67"/>
  <c r="EG19" i="67"/>
  <c r="EF19" i="67"/>
  <c r="EE19" i="67"/>
  <c r="ED19" i="67"/>
  <c r="EC19" i="67"/>
  <c r="DV19" i="67"/>
  <c r="DU19" i="67"/>
  <c r="DT19" i="67"/>
  <c r="DS19" i="67"/>
  <c r="DR19" i="67"/>
  <c r="DQ19" i="67"/>
  <c r="DP19" i="67"/>
  <c r="GC18" i="67"/>
  <c r="GB18" i="67"/>
  <c r="GA18" i="67"/>
  <c r="FZ18" i="67"/>
  <c r="FY18" i="67"/>
  <c r="FX18" i="67"/>
  <c r="FW18" i="67"/>
  <c r="FV18" i="67"/>
  <c r="FT18" i="67"/>
  <c r="FS18" i="67"/>
  <c r="FQ18" i="67"/>
  <c r="FO18" i="67"/>
  <c r="FN18" i="67"/>
  <c r="FM18" i="67"/>
  <c r="FK18" i="67"/>
  <c r="FI18" i="67"/>
  <c r="FH18" i="67"/>
  <c r="FG18" i="67"/>
  <c r="FF18" i="67"/>
  <c r="FE18" i="67"/>
  <c r="FD18" i="67"/>
  <c r="FC18" i="67"/>
  <c r="FB18" i="67"/>
  <c r="FA18" i="67"/>
  <c r="EZ18" i="67"/>
  <c r="EY18" i="67"/>
  <c r="EX18" i="67"/>
  <c r="EW18" i="67"/>
  <c r="EV18" i="67"/>
  <c r="EU18" i="67"/>
  <c r="ET18" i="67"/>
  <c r="ES18" i="67"/>
  <c r="ER18" i="67"/>
  <c r="EQ18" i="67"/>
  <c r="EP18" i="67"/>
  <c r="EO18" i="67"/>
  <c r="EN18" i="67"/>
  <c r="EM18" i="67"/>
  <c r="EL18" i="67"/>
  <c r="EK18" i="67"/>
  <c r="EJ18" i="67"/>
  <c r="EI18" i="67"/>
  <c r="EH18" i="67"/>
  <c r="EG18" i="67"/>
  <c r="EF18" i="67"/>
  <c r="EE18" i="67"/>
  <c r="ED18" i="67"/>
  <c r="EC18" i="67"/>
  <c r="DV18" i="67"/>
  <c r="DU18" i="67"/>
  <c r="DT18" i="67"/>
  <c r="DS18" i="67"/>
  <c r="DR18" i="67"/>
  <c r="DQ18" i="67"/>
  <c r="DP18" i="67"/>
  <c r="GC17" i="67"/>
  <c r="GB17" i="67"/>
  <c r="GA17" i="67"/>
  <c r="FZ17" i="67"/>
  <c r="FY17" i="67"/>
  <c r="FX17" i="67"/>
  <c r="FW17" i="67"/>
  <c r="FV17" i="67"/>
  <c r="FT17" i="67"/>
  <c r="FS17" i="67"/>
  <c r="FQ17" i="67"/>
  <c r="FO17" i="67"/>
  <c r="FN17" i="67"/>
  <c r="FM17" i="67"/>
  <c r="FK17" i="67"/>
  <c r="FI17" i="67"/>
  <c r="FH17" i="67"/>
  <c r="FG17" i="67"/>
  <c r="FF17" i="67"/>
  <c r="FE17" i="67"/>
  <c r="FD17" i="67"/>
  <c r="FC17" i="67"/>
  <c r="FB17" i="67"/>
  <c r="FA17" i="67"/>
  <c r="EZ17" i="67"/>
  <c r="EY17" i="67"/>
  <c r="EX17" i="67"/>
  <c r="EW17" i="67"/>
  <c r="EV17" i="67"/>
  <c r="EU17" i="67"/>
  <c r="ET17" i="67"/>
  <c r="ES17" i="67"/>
  <c r="ER17" i="67"/>
  <c r="EQ17" i="67"/>
  <c r="EP17" i="67"/>
  <c r="EO17" i="67"/>
  <c r="EN17" i="67"/>
  <c r="EM17" i="67"/>
  <c r="EL17" i="67"/>
  <c r="EK17" i="67"/>
  <c r="EJ17" i="67"/>
  <c r="EI17" i="67"/>
  <c r="EH17" i="67"/>
  <c r="EG17" i="67"/>
  <c r="EF17" i="67"/>
  <c r="EE17" i="67"/>
  <c r="ED17" i="67"/>
  <c r="EC17" i="67"/>
  <c r="DV17" i="67"/>
  <c r="DU17" i="67"/>
  <c r="DT17" i="67"/>
  <c r="DS17" i="67"/>
  <c r="DR17" i="67"/>
  <c r="DQ17" i="67"/>
  <c r="DP17" i="67"/>
  <c r="GC16" i="67"/>
  <c r="GB16" i="67"/>
  <c r="GA16" i="67"/>
  <c r="FZ16" i="67"/>
  <c r="FY16" i="67"/>
  <c r="FX16" i="67"/>
  <c r="FW16" i="67"/>
  <c r="FV16" i="67"/>
  <c r="FT16" i="67"/>
  <c r="FS16" i="67"/>
  <c r="FQ16" i="67"/>
  <c r="FO16" i="67"/>
  <c r="FN16" i="67"/>
  <c r="FM16" i="67"/>
  <c r="FK16" i="67"/>
  <c r="FI16" i="67"/>
  <c r="FH16" i="67"/>
  <c r="FG16" i="67"/>
  <c r="FF16" i="67"/>
  <c r="FE16" i="67"/>
  <c r="FD16" i="67"/>
  <c r="FC16" i="67"/>
  <c r="FB16" i="67"/>
  <c r="FA16" i="67"/>
  <c r="EZ16" i="67"/>
  <c r="EY16" i="67"/>
  <c r="EX16" i="67"/>
  <c r="EW16" i="67"/>
  <c r="EV16" i="67"/>
  <c r="EU16" i="67"/>
  <c r="ET16" i="67"/>
  <c r="ES16" i="67"/>
  <c r="ER16" i="67"/>
  <c r="EQ16" i="67"/>
  <c r="EP16" i="67"/>
  <c r="EO16" i="67"/>
  <c r="EN16" i="67"/>
  <c r="EM16" i="67"/>
  <c r="EL16" i="67"/>
  <c r="EK16" i="67"/>
  <c r="EJ16" i="67"/>
  <c r="EI16" i="67"/>
  <c r="EH16" i="67"/>
  <c r="EG16" i="67"/>
  <c r="EF16" i="67"/>
  <c r="EE16" i="67"/>
  <c r="ED16" i="67"/>
  <c r="EC16" i="67"/>
  <c r="DV16" i="67"/>
  <c r="DU16" i="67"/>
  <c r="DT16" i="67"/>
  <c r="DS16" i="67"/>
  <c r="DR16" i="67"/>
  <c r="DQ16" i="67"/>
  <c r="DP16" i="67"/>
  <c r="GC15" i="67"/>
  <c r="GB15" i="67"/>
  <c r="GA15" i="67"/>
  <c r="FZ15" i="67"/>
  <c r="FY15" i="67"/>
  <c r="FX15" i="67"/>
  <c r="FW15" i="67"/>
  <c r="FV15" i="67"/>
  <c r="FT15" i="67"/>
  <c r="FS15" i="67"/>
  <c r="FQ15" i="67"/>
  <c r="FO15" i="67"/>
  <c r="FN15" i="67"/>
  <c r="FM15" i="67"/>
  <c r="FK15" i="67"/>
  <c r="FI15" i="67"/>
  <c r="FH15" i="67"/>
  <c r="FG15" i="67"/>
  <c r="FF15" i="67"/>
  <c r="FE15" i="67"/>
  <c r="FD15" i="67"/>
  <c r="FC15" i="67"/>
  <c r="FB15" i="67"/>
  <c r="FA15" i="67"/>
  <c r="EZ15" i="67"/>
  <c r="EY15" i="67"/>
  <c r="EX15" i="67"/>
  <c r="EW15" i="67"/>
  <c r="EV15" i="67"/>
  <c r="EU15" i="67"/>
  <c r="ET15" i="67"/>
  <c r="ES15" i="67"/>
  <c r="ER15" i="67"/>
  <c r="EQ15" i="67"/>
  <c r="EP15" i="67"/>
  <c r="EO15" i="67"/>
  <c r="EN15" i="67"/>
  <c r="EM15" i="67"/>
  <c r="EL15" i="67"/>
  <c r="EK15" i="67"/>
  <c r="EJ15" i="67"/>
  <c r="EI15" i="67"/>
  <c r="EH15" i="67"/>
  <c r="EG15" i="67"/>
  <c r="EF15" i="67"/>
  <c r="EE15" i="67"/>
  <c r="ED15" i="67"/>
  <c r="EC15" i="67"/>
  <c r="DV15" i="67"/>
  <c r="DU15" i="67"/>
  <c r="DT15" i="67"/>
  <c r="DS15" i="67"/>
  <c r="DR15" i="67"/>
  <c r="DQ15" i="67"/>
  <c r="DP15" i="67"/>
  <c r="GC14" i="67"/>
  <c r="GB14" i="67"/>
  <c r="GA14" i="67"/>
  <c r="FZ14" i="67"/>
  <c r="FY14" i="67"/>
  <c r="FX14" i="67"/>
  <c r="FW14" i="67"/>
  <c r="FV14" i="67"/>
  <c r="FT14" i="67"/>
  <c r="FS14" i="67"/>
  <c r="FQ14" i="67"/>
  <c r="FO14" i="67"/>
  <c r="FN14" i="67"/>
  <c r="FM14" i="67"/>
  <c r="FK14" i="67"/>
  <c r="FI14" i="67"/>
  <c r="FH14" i="67"/>
  <c r="FG14" i="67"/>
  <c r="FF14" i="67"/>
  <c r="FE14" i="67"/>
  <c r="FD14" i="67"/>
  <c r="FC14" i="67"/>
  <c r="FB14" i="67"/>
  <c r="FA14" i="67"/>
  <c r="EZ14" i="67"/>
  <c r="EY14" i="67"/>
  <c r="EX14" i="67"/>
  <c r="EW14" i="67"/>
  <c r="EV14" i="67"/>
  <c r="EU14" i="67"/>
  <c r="ET14" i="67"/>
  <c r="ES14" i="67"/>
  <c r="ER14" i="67"/>
  <c r="EQ14" i="67"/>
  <c r="EP14" i="67"/>
  <c r="EO14" i="67"/>
  <c r="EN14" i="67"/>
  <c r="EM14" i="67"/>
  <c r="EL14" i="67"/>
  <c r="EK14" i="67"/>
  <c r="EJ14" i="67"/>
  <c r="EI14" i="67"/>
  <c r="EH14" i="67"/>
  <c r="EG14" i="67"/>
  <c r="EF14" i="67"/>
  <c r="EE14" i="67"/>
  <c r="ED14" i="67"/>
  <c r="EC14" i="67"/>
  <c r="DV14" i="67"/>
  <c r="DU14" i="67"/>
  <c r="DT14" i="67"/>
  <c r="DS14" i="67"/>
  <c r="DR14" i="67"/>
  <c r="DQ14" i="67"/>
  <c r="DP14" i="67"/>
  <c r="GC13" i="67"/>
  <c r="GB13" i="67"/>
  <c r="GA13" i="67"/>
  <c r="FZ13" i="67"/>
  <c r="FY13" i="67"/>
  <c r="FX13" i="67"/>
  <c r="FW13" i="67"/>
  <c r="FV13" i="67"/>
  <c r="FT13" i="67"/>
  <c r="FS13" i="67"/>
  <c r="FQ13" i="67"/>
  <c r="FO13" i="67"/>
  <c r="FN13" i="67"/>
  <c r="FM13" i="67"/>
  <c r="FK13" i="67"/>
  <c r="FI13" i="67"/>
  <c r="FH13" i="67"/>
  <c r="FG13" i="67"/>
  <c r="FF13" i="67"/>
  <c r="FE13" i="67"/>
  <c r="FD13" i="67"/>
  <c r="FC13" i="67"/>
  <c r="FB13" i="67"/>
  <c r="FA13" i="67"/>
  <c r="EZ13" i="67"/>
  <c r="EY13" i="67"/>
  <c r="EX13" i="67"/>
  <c r="EW13" i="67"/>
  <c r="EV13" i="67"/>
  <c r="EU13" i="67"/>
  <c r="ET13" i="67"/>
  <c r="ES13" i="67"/>
  <c r="ER13" i="67"/>
  <c r="EQ13" i="67"/>
  <c r="EP13" i="67"/>
  <c r="EO13" i="67"/>
  <c r="EN13" i="67"/>
  <c r="EM13" i="67"/>
  <c r="EL13" i="67"/>
  <c r="EK13" i="67"/>
  <c r="EJ13" i="67"/>
  <c r="EI13" i="67"/>
  <c r="EH13" i="67"/>
  <c r="EG13" i="67"/>
  <c r="EF13" i="67"/>
  <c r="EE13" i="67"/>
  <c r="ED13" i="67"/>
  <c r="EC13" i="67"/>
  <c r="DV13" i="67"/>
  <c r="DU13" i="67"/>
  <c r="DT13" i="67"/>
  <c r="DS13" i="67"/>
  <c r="DR13" i="67"/>
  <c r="DQ13" i="67"/>
  <c r="DP13" i="67"/>
  <c r="GC12" i="67"/>
  <c r="GB12" i="67"/>
  <c r="GA12" i="67"/>
  <c r="FZ12" i="67"/>
  <c r="FY12" i="67"/>
  <c r="FX12" i="67"/>
  <c r="FW12" i="67"/>
  <c r="FV12" i="67"/>
  <c r="FT12" i="67"/>
  <c r="FS12" i="67"/>
  <c r="FQ12" i="67"/>
  <c r="FO12" i="67"/>
  <c r="FN12" i="67"/>
  <c r="FM12" i="67"/>
  <c r="FK12" i="67"/>
  <c r="FI12" i="67"/>
  <c r="FH12" i="67"/>
  <c r="FG12" i="67"/>
  <c r="FF12" i="67"/>
  <c r="FE12" i="67"/>
  <c r="FD12" i="67"/>
  <c r="FC12" i="67"/>
  <c r="FB12" i="67"/>
  <c r="FA12" i="67"/>
  <c r="EZ12" i="67"/>
  <c r="EY12" i="67"/>
  <c r="EX12" i="67"/>
  <c r="EW12" i="67"/>
  <c r="EV12" i="67"/>
  <c r="EU12" i="67"/>
  <c r="ET12" i="67"/>
  <c r="ES12" i="67"/>
  <c r="ER12" i="67"/>
  <c r="EQ12" i="67"/>
  <c r="EP12" i="67"/>
  <c r="EO12" i="67"/>
  <c r="EN12" i="67"/>
  <c r="EM12" i="67"/>
  <c r="EL12" i="67"/>
  <c r="EK12" i="67"/>
  <c r="EJ12" i="67"/>
  <c r="EI12" i="67"/>
  <c r="EH12" i="67"/>
  <c r="EG12" i="67"/>
  <c r="EF12" i="67"/>
  <c r="EE12" i="67"/>
  <c r="ED12" i="67"/>
  <c r="EC12" i="67"/>
  <c r="DV12" i="67"/>
  <c r="DU12" i="67"/>
  <c r="DT12" i="67"/>
  <c r="DS12" i="67"/>
  <c r="DR12" i="67"/>
  <c r="DQ12" i="67"/>
  <c r="DP12" i="67"/>
  <c r="GC11" i="67"/>
  <c r="GB11" i="67"/>
  <c r="GA11" i="67"/>
  <c r="FZ11" i="67"/>
  <c r="FY11" i="67"/>
  <c r="FX11" i="67"/>
  <c r="FW11" i="67"/>
  <c r="FV11" i="67"/>
  <c r="FT11" i="67"/>
  <c r="FS11" i="67"/>
  <c r="FQ11" i="67"/>
  <c r="FO11" i="67"/>
  <c r="FN11" i="67"/>
  <c r="FM11" i="67"/>
  <c r="FK11" i="67"/>
  <c r="FI11" i="67"/>
  <c r="FH11" i="67"/>
  <c r="FG11" i="67"/>
  <c r="FF11" i="67"/>
  <c r="FE11" i="67"/>
  <c r="FD11" i="67"/>
  <c r="FC11" i="67"/>
  <c r="FB11" i="67"/>
  <c r="FA11" i="67"/>
  <c r="EZ11" i="67"/>
  <c r="EY11" i="67"/>
  <c r="EX11" i="67"/>
  <c r="EW11" i="67"/>
  <c r="EV11" i="67"/>
  <c r="EU11" i="67"/>
  <c r="ET11" i="67"/>
  <c r="ES11" i="67"/>
  <c r="ER11" i="67"/>
  <c r="EQ11" i="67"/>
  <c r="EP11" i="67"/>
  <c r="EO11" i="67"/>
  <c r="EN11" i="67"/>
  <c r="EM11" i="67"/>
  <c r="EL11" i="67"/>
  <c r="EK11" i="67"/>
  <c r="EJ11" i="67"/>
  <c r="EI11" i="67"/>
  <c r="EH11" i="67"/>
  <c r="EG11" i="67"/>
  <c r="EF11" i="67"/>
  <c r="EE11" i="67"/>
  <c r="ED11" i="67"/>
  <c r="EC11" i="67"/>
  <c r="DV11" i="67"/>
  <c r="DU11" i="67"/>
  <c r="DT11" i="67"/>
  <c r="DS11" i="67"/>
  <c r="DR11" i="67"/>
  <c r="DQ11" i="67"/>
  <c r="DP11" i="67"/>
  <c r="GC10" i="67"/>
  <c r="GB10" i="67"/>
  <c r="GA10" i="67"/>
  <c r="FZ10" i="67"/>
  <c r="FY10" i="67"/>
  <c r="FX10" i="67"/>
  <c r="FW10" i="67"/>
  <c r="FV10" i="67"/>
  <c r="FT10" i="67"/>
  <c r="FS10" i="67"/>
  <c r="FQ10" i="67"/>
  <c r="FO10" i="67"/>
  <c r="FN10" i="67"/>
  <c r="FM10" i="67"/>
  <c r="FK10" i="67"/>
  <c r="FI10" i="67"/>
  <c r="FH10" i="67"/>
  <c r="FG10" i="67"/>
  <c r="FF10" i="67"/>
  <c r="FE10" i="67"/>
  <c r="FD10" i="67"/>
  <c r="FC10" i="67"/>
  <c r="FB10" i="67"/>
  <c r="FA10" i="67"/>
  <c r="EZ10" i="67"/>
  <c r="EY10" i="67"/>
  <c r="EX10" i="67"/>
  <c r="EW10" i="67"/>
  <c r="EV10" i="67"/>
  <c r="EU10" i="67"/>
  <c r="ET10" i="67"/>
  <c r="ES10" i="67"/>
  <c r="ER10" i="67"/>
  <c r="EQ10" i="67"/>
  <c r="EP10" i="67"/>
  <c r="EO10" i="67"/>
  <c r="EN10" i="67"/>
  <c r="EM10" i="67"/>
  <c r="EL10" i="67"/>
  <c r="EK10" i="67"/>
  <c r="EJ10" i="67"/>
  <c r="EI10" i="67"/>
  <c r="EH10" i="67"/>
  <c r="EG10" i="67"/>
  <c r="EF10" i="67"/>
  <c r="EE10" i="67"/>
  <c r="ED10" i="67"/>
  <c r="EC10" i="67"/>
  <c r="DV10" i="67"/>
  <c r="DU10" i="67"/>
  <c r="DT10" i="67"/>
  <c r="DS10" i="67"/>
  <c r="DR10" i="67"/>
  <c r="DQ10" i="67"/>
  <c r="DP10" i="67"/>
  <c r="GC9" i="67"/>
  <c r="GB9" i="67"/>
  <c r="GA9" i="67"/>
  <c r="FZ9" i="67"/>
  <c r="FY9" i="67"/>
  <c r="FX9" i="67"/>
  <c r="FW9" i="67"/>
  <c r="FV9" i="67"/>
  <c r="FU40" i="67"/>
  <c r="FT9" i="67"/>
  <c r="FS9" i="67"/>
  <c r="FQ9" i="67"/>
  <c r="FO9" i="67"/>
  <c r="FN9" i="67"/>
  <c r="FM9" i="67"/>
  <c r="FL9" i="67"/>
  <c r="FK9" i="67"/>
  <c r="FJ9" i="67"/>
  <c r="FI9" i="67"/>
  <c r="FH9" i="67"/>
  <c r="FG9" i="67"/>
  <c r="FF9" i="67"/>
  <c r="FE9" i="67"/>
  <c r="FD9" i="67"/>
  <c r="FC9" i="67"/>
  <c r="FB9" i="67"/>
  <c r="FA9" i="67"/>
  <c r="EZ9" i="67"/>
  <c r="EY9" i="67"/>
  <c r="EX9" i="67"/>
  <c r="EW9" i="67"/>
  <c r="EV9" i="67"/>
  <c r="EU9" i="67"/>
  <c r="ET9" i="67"/>
  <c r="ES9" i="67"/>
  <c r="ER9" i="67"/>
  <c r="EQ9" i="67"/>
  <c r="EP9" i="67"/>
  <c r="EO9" i="67"/>
  <c r="EN9" i="67"/>
  <c r="EM9" i="67"/>
  <c r="EL9" i="67"/>
  <c r="EK9" i="67"/>
  <c r="EJ9" i="67"/>
  <c r="EI9" i="67"/>
  <c r="EH9" i="67"/>
  <c r="EG9" i="67"/>
  <c r="EF9" i="67"/>
  <c r="EE9" i="67"/>
  <c r="ED9" i="67"/>
  <c r="EC9" i="67"/>
  <c r="DV9" i="67"/>
  <c r="DU9" i="67"/>
  <c r="DT9" i="67"/>
  <c r="DS9" i="67"/>
  <c r="DR9" i="67"/>
  <c r="DQ9" i="67"/>
  <c r="DP9" i="67"/>
  <c r="FE7" i="67"/>
  <c r="EJ7" i="67"/>
  <c r="EH7" i="67"/>
  <c r="EB7" i="67"/>
  <c r="EA7" i="67"/>
  <c r="DZ7" i="67"/>
  <c r="DV7" i="67"/>
  <c r="DT7" i="67"/>
  <c r="FA10" i="68"/>
  <c r="FB10" i="68"/>
  <c r="FC10" i="68"/>
  <c r="FD10" i="68"/>
  <c r="FE10" i="68"/>
  <c r="FF10" i="68"/>
  <c r="FG10" i="68"/>
  <c r="FH10" i="68"/>
  <c r="FA11" i="68"/>
  <c r="FB11" i="68"/>
  <c r="FC11" i="68"/>
  <c r="FD11" i="68"/>
  <c r="FE11" i="68"/>
  <c r="FF11" i="68"/>
  <c r="FG11" i="68"/>
  <c r="FH11" i="68"/>
  <c r="FA12" i="68"/>
  <c r="FB12" i="68"/>
  <c r="FC12" i="68"/>
  <c r="FD12" i="68"/>
  <c r="FE12" i="68"/>
  <c r="FF12" i="68"/>
  <c r="FG12" i="68"/>
  <c r="FH12" i="68"/>
  <c r="FA13" i="68"/>
  <c r="FB13" i="68"/>
  <c r="FC13" i="68"/>
  <c r="FD13" i="68"/>
  <c r="FE13" i="68"/>
  <c r="FF13" i="68"/>
  <c r="FG13" i="68"/>
  <c r="FH13" i="68"/>
  <c r="FA14" i="68"/>
  <c r="FB14" i="68"/>
  <c r="FC14" i="68"/>
  <c r="FD14" i="68"/>
  <c r="FE14" i="68"/>
  <c r="FF14" i="68"/>
  <c r="FG14" i="68"/>
  <c r="FH14" i="68"/>
  <c r="FA15" i="68"/>
  <c r="FB15" i="68"/>
  <c r="FC15" i="68"/>
  <c r="FD15" i="68"/>
  <c r="FE15" i="68"/>
  <c r="FF15" i="68"/>
  <c r="FG15" i="68"/>
  <c r="FH15" i="68"/>
  <c r="FA16" i="68"/>
  <c r="FB16" i="68"/>
  <c r="FC16" i="68"/>
  <c r="FD16" i="68"/>
  <c r="FE16" i="68"/>
  <c r="FF16" i="68"/>
  <c r="FG16" i="68"/>
  <c r="FH16" i="68"/>
  <c r="FA17" i="68"/>
  <c r="FB17" i="68"/>
  <c r="FC17" i="68"/>
  <c r="FD17" i="68"/>
  <c r="FE17" i="68"/>
  <c r="FF17" i="68"/>
  <c r="FG17" i="68"/>
  <c r="FH17" i="68"/>
  <c r="FA18" i="68"/>
  <c r="FB18" i="68"/>
  <c r="FC18" i="68"/>
  <c r="FD18" i="68"/>
  <c r="FE18" i="68"/>
  <c r="FF18" i="68"/>
  <c r="FG18" i="68"/>
  <c r="FH18" i="68"/>
  <c r="FA19" i="68"/>
  <c r="FB19" i="68"/>
  <c r="FC19" i="68"/>
  <c r="FD19" i="68"/>
  <c r="FE19" i="68"/>
  <c r="FF19" i="68"/>
  <c r="FG19" i="68"/>
  <c r="FH19" i="68"/>
  <c r="FA20" i="68"/>
  <c r="FB20" i="68"/>
  <c r="FC20" i="68"/>
  <c r="FD20" i="68"/>
  <c r="FE20" i="68"/>
  <c r="FF20" i="68"/>
  <c r="FG20" i="68"/>
  <c r="FH20" i="68"/>
  <c r="FA21" i="68"/>
  <c r="FB21" i="68"/>
  <c r="FC21" i="68"/>
  <c r="FD21" i="68"/>
  <c r="FE21" i="68"/>
  <c r="FF21" i="68"/>
  <c r="FG21" i="68"/>
  <c r="FH21" i="68"/>
  <c r="FA22" i="68"/>
  <c r="FB22" i="68"/>
  <c r="FC22" i="68"/>
  <c r="FD22" i="68"/>
  <c r="FE22" i="68"/>
  <c r="FF22" i="68"/>
  <c r="FG22" i="68"/>
  <c r="FH22" i="68"/>
  <c r="FA23" i="68"/>
  <c r="FB23" i="68"/>
  <c r="FC23" i="68"/>
  <c r="FD23" i="68"/>
  <c r="FE23" i="68"/>
  <c r="FF23" i="68"/>
  <c r="FG23" i="68"/>
  <c r="FH23" i="68"/>
  <c r="FA24" i="68"/>
  <c r="FB24" i="68"/>
  <c r="FC24" i="68"/>
  <c r="FD24" i="68"/>
  <c r="FE24" i="68"/>
  <c r="FF24" i="68"/>
  <c r="FG24" i="68"/>
  <c r="FH24" i="68"/>
  <c r="FA25" i="68"/>
  <c r="FB25" i="68"/>
  <c r="FC25" i="68"/>
  <c r="FD25" i="68"/>
  <c r="FE25" i="68"/>
  <c r="FF25" i="68"/>
  <c r="FG25" i="68"/>
  <c r="FH25" i="68"/>
  <c r="FA26" i="68"/>
  <c r="FB26" i="68"/>
  <c r="FC26" i="68"/>
  <c r="FD26" i="68"/>
  <c r="FE26" i="68"/>
  <c r="FF26" i="68"/>
  <c r="FG26" i="68"/>
  <c r="FH26" i="68"/>
  <c r="FA27" i="68"/>
  <c r="FB27" i="68"/>
  <c r="FC27" i="68"/>
  <c r="FD27" i="68"/>
  <c r="FE27" i="68"/>
  <c r="FF27" i="68"/>
  <c r="FG27" i="68"/>
  <c r="FH27" i="68"/>
  <c r="FA28" i="68"/>
  <c r="FB28" i="68"/>
  <c r="FC28" i="68"/>
  <c r="FD28" i="68"/>
  <c r="FE28" i="68"/>
  <c r="FF28" i="68"/>
  <c r="FG28" i="68"/>
  <c r="FH28" i="68"/>
  <c r="FA29" i="68"/>
  <c r="FB29" i="68"/>
  <c r="FC29" i="68"/>
  <c r="FD29" i="68"/>
  <c r="FE29" i="68"/>
  <c r="FF29" i="68"/>
  <c r="FG29" i="68"/>
  <c r="FH29" i="68"/>
  <c r="FA30" i="68"/>
  <c r="FB30" i="68"/>
  <c r="FC30" i="68"/>
  <c r="FD30" i="68"/>
  <c r="FE30" i="68"/>
  <c r="FF30" i="68"/>
  <c r="FG30" i="68"/>
  <c r="FH30" i="68"/>
  <c r="FA31" i="68"/>
  <c r="FB31" i="68"/>
  <c r="FC31" i="68"/>
  <c r="FD31" i="68"/>
  <c r="FE31" i="68"/>
  <c r="FF31" i="68"/>
  <c r="FG31" i="68"/>
  <c r="FH31" i="68"/>
  <c r="FA32" i="68"/>
  <c r="FB32" i="68"/>
  <c r="FC32" i="68"/>
  <c r="FD32" i="68"/>
  <c r="FE32" i="68"/>
  <c r="FF32" i="68"/>
  <c r="FG32" i="68"/>
  <c r="FH32" i="68"/>
  <c r="FA33" i="68"/>
  <c r="FB33" i="68"/>
  <c r="FC33" i="68"/>
  <c r="FD33" i="68"/>
  <c r="FE33" i="68"/>
  <c r="FF33" i="68"/>
  <c r="FG33" i="68"/>
  <c r="FH33" i="68"/>
  <c r="FA34" i="68"/>
  <c r="FB34" i="68"/>
  <c r="FC34" i="68"/>
  <c r="FD34" i="68"/>
  <c r="FE34" i="68"/>
  <c r="FF34" i="68"/>
  <c r="FG34" i="68"/>
  <c r="FH34" i="68"/>
  <c r="FA35" i="68"/>
  <c r="FB35" i="68"/>
  <c r="FC35" i="68"/>
  <c r="FD35" i="68"/>
  <c r="FE35" i="68"/>
  <c r="FF35" i="68"/>
  <c r="FG35" i="68"/>
  <c r="FH35" i="68"/>
  <c r="FA36" i="68"/>
  <c r="FB36" i="68"/>
  <c r="FC36" i="68"/>
  <c r="FD36" i="68"/>
  <c r="FE36" i="68"/>
  <c r="FF36" i="68"/>
  <c r="FG36" i="68"/>
  <c r="FH36" i="68"/>
  <c r="FH9" i="68"/>
  <c r="FG9" i="68"/>
  <c r="FF9" i="68"/>
  <c r="FE9" i="68"/>
  <c r="FD9" i="68"/>
  <c r="FC9" i="68"/>
  <c r="FB9" i="68"/>
  <c r="FA9" i="68"/>
  <c r="EZ9" i="68"/>
  <c r="EY9" i="68"/>
  <c r="EX9" i="68"/>
  <c r="EW9" i="68"/>
  <c r="FE7" i="68"/>
  <c r="FD37" i="68"/>
  <c r="FC37" i="68"/>
  <c r="FB37" i="68"/>
  <c r="FA37" i="68"/>
  <c r="EX10" i="68"/>
  <c r="EX11" i="68"/>
  <c r="EX12" i="68"/>
  <c r="EX13" i="68"/>
  <c r="EX14" i="68"/>
  <c r="EX15" i="68"/>
  <c r="EX16" i="68"/>
  <c r="EX17" i="68"/>
  <c r="EX18" i="68"/>
  <c r="EX19" i="68"/>
  <c r="EX20" i="68"/>
  <c r="EX21" i="68"/>
  <c r="EX22" i="68"/>
  <c r="EX23" i="68"/>
  <c r="EX24" i="68"/>
  <c r="EX25" i="68"/>
  <c r="EX26" i="68"/>
  <c r="EX27" i="68"/>
  <c r="EX28" i="68"/>
  <c r="EX29" i="68"/>
  <c r="EX30" i="68"/>
  <c r="EX31" i="68"/>
  <c r="EX32" i="68"/>
  <c r="EX33" i="68"/>
  <c r="EX34" i="68"/>
  <c r="EX35" i="68"/>
  <c r="EX36" i="68"/>
  <c r="EX37" i="68"/>
  <c r="EW10" i="68"/>
  <c r="EY10" i="68"/>
  <c r="EZ10" i="68"/>
  <c r="EW11" i="68"/>
  <c r="EY11" i="68"/>
  <c r="EZ11" i="68"/>
  <c r="EW12" i="68"/>
  <c r="EY12" i="68"/>
  <c r="EZ12" i="68"/>
  <c r="EW13" i="68"/>
  <c r="EY13" i="68"/>
  <c r="EZ13" i="68"/>
  <c r="EW14" i="68"/>
  <c r="EY14" i="68"/>
  <c r="EZ14" i="68"/>
  <c r="EW15" i="68"/>
  <c r="EY15" i="68"/>
  <c r="EZ15" i="68"/>
  <c r="EW16" i="68"/>
  <c r="EY16" i="68"/>
  <c r="EZ16" i="68"/>
  <c r="EW17" i="68"/>
  <c r="EY17" i="68"/>
  <c r="EZ17" i="68"/>
  <c r="EW18" i="68"/>
  <c r="EY18" i="68"/>
  <c r="EZ18" i="68"/>
  <c r="EW19" i="68"/>
  <c r="EY19" i="68"/>
  <c r="EZ19" i="68"/>
  <c r="EW20" i="68"/>
  <c r="EY20" i="68"/>
  <c r="EZ20" i="68"/>
  <c r="EW21" i="68"/>
  <c r="EY21" i="68"/>
  <c r="EZ21" i="68"/>
  <c r="EW22" i="68"/>
  <c r="EY22" i="68"/>
  <c r="EZ22" i="68"/>
  <c r="EW23" i="68"/>
  <c r="EY23" i="68"/>
  <c r="EZ23" i="68"/>
  <c r="EW24" i="68"/>
  <c r="EY24" i="68"/>
  <c r="EZ24" i="68"/>
  <c r="EW25" i="68"/>
  <c r="EY25" i="68"/>
  <c r="EZ25" i="68"/>
  <c r="EW26" i="68"/>
  <c r="EY26" i="68"/>
  <c r="EZ26" i="68"/>
  <c r="EW27" i="68"/>
  <c r="EY27" i="68"/>
  <c r="EZ27" i="68"/>
  <c r="EW28" i="68"/>
  <c r="EY28" i="68"/>
  <c r="EZ28" i="68"/>
  <c r="EW29" i="68"/>
  <c r="EY29" i="68"/>
  <c r="EZ29" i="68"/>
  <c r="EW30" i="68"/>
  <c r="EY30" i="68"/>
  <c r="EZ30" i="68"/>
  <c r="EW31" i="68"/>
  <c r="EY31" i="68"/>
  <c r="EZ31" i="68"/>
  <c r="EW32" i="68"/>
  <c r="EY32" i="68"/>
  <c r="EZ32" i="68"/>
  <c r="EW33" i="68"/>
  <c r="EY33" i="68"/>
  <c r="EZ33" i="68"/>
  <c r="EW34" i="68"/>
  <c r="EY34" i="68"/>
  <c r="EZ34" i="68"/>
  <c r="EW35" i="68"/>
  <c r="EY35" i="68"/>
  <c r="EZ35" i="68"/>
  <c r="EW36" i="68"/>
  <c r="EY36" i="68"/>
  <c r="EZ36" i="68"/>
  <c r="EW37" i="68"/>
  <c r="EY37" i="68"/>
  <c r="EZ37" i="68"/>
  <c r="EV9" i="68"/>
  <c r="EU9" i="68"/>
  <c r="ET9" i="68"/>
  <c r="ES9" i="68"/>
  <c r="EV10" i="68"/>
  <c r="EV11" i="68"/>
  <c r="EV12" i="68"/>
  <c r="EV13" i="68"/>
  <c r="EV14" i="68"/>
  <c r="EV15" i="68"/>
  <c r="EV16" i="68"/>
  <c r="EV17" i="68"/>
  <c r="EV18" i="68"/>
  <c r="EV19" i="68"/>
  <c r="EV20" i="68"/>
  <c r="EV21" i="68"/>
  <c r="EV22" i="68"/>
  <c r="EV23" i="68"/>
  <c r="EV24" i="68"/>
  <c r="EV25" i="68"/>
  <c r="EV26" i="68"/>
  <c r="EV27" i="68"/>
  <c r="EV28" i="68"/>
  <c r="EV29" i="68"/>
  <c r="EV30" i="68"/>
  <c r="EV31" i="68"/>
  <c r="EV32" i="68"/>
  <c r="EV33" i="68"/>
  <c r="EV34" i="68"/>
  <c r="EV35" i="68"/>
  <c r="EV36" i="68"/>
  <c r="ES10" i="68"/>
  <c r="ET10" i="68"/>
  <c r="EU10" i="68"/>
  <c r="ES11" i="68"/>
  <c r="ET11" i="68"/>
  <c r="EU11" i="68"/>
  <c r="ES12" i="68"/>
  <c r="ET12" i="68"/>
  <c r="EU12" i="68"/>
  <c r="ES13" i="68"/>
  <c r="ET13" i="68"/>
  <c r="EU13" i="68"/>
  <c r="ES14" i="68"/>
  <c r="ET14" i="68"/>
  <c r="EU14" i="68"/>
  <c r="ES15" i="68"/>
  <c r="ET15" i="68"/>
  <c r="EU15" i="68"/>
  <c r="ES16" i="68"/>
  <c r="ET16" i="68"/>
  <c r="EU16" i="68"/>
  <c r="ES17" i="68"/>
  <c r="ET17" i="68"/>
  <c r="EU17" i="68"/>
  <c r="ES18" i="68"/>
  <c r="ET18" i="68"/>
  <c r="EU18" i="68"/>
  <c r="ES19" i="68"/>
  <c r="ET19" i="68"/>
  <c r="EU19" i="68"/>
  <c r="ES20" i="68"/>
  <c r="ET20" i="68"/>
  <c r="EU20" i="68"/>
  <c r="ES21" i="68"/>
  <c r="ET21" i="68"/>
  <c r="EU21" i="68"/>
  <c r="ES22" i="68"/>
  <c r="ET22" i="68"/>
  <c r="EU22" i="68"/>
  <c r="ES23" i="68"/>
  <c r="ET23" i="68"/>
  <c r="EU23" i="68"/>
  <c r="ES24" i="68"/>
  <c r="ET24" i="68"/>
  <c r="EU24" i="68"/>
  <c r="ES25" i="68"/>
  <c r="ET25" i="68"/>
  <c r="EU25" i="68"/>
  <c r="ES26" i="68"/>
  <c r="ET26" i="68"/>
  <c r="EU26" i="68"/>
  <c r="ES27" i="68"/>
  <c r="ET27" i="68"/>
  <c r="EU27" i="68"/>
  <c r="ES28" i="68"/>
  <c r="ET28" i="68"/>
  <c r="EU28" i="68"/>
  <c r="ES29" i="68"/>
  <c r="ET29" i="68"/>
  <c r="EU29" i="68"/>
  <c r="ES30" i="68"/>
  <c r="ET30" i="68"/>
  <c r="EU30" i="68"/>
  <c r="ES31" i="68"/>
  <c r="ET31" i="68"/>
  <c r="EU31" i="68"/>
  <c r="ES32" i="68"/>
  <c r="ET32" i="68"/>
  <c r="EU32" i="68"/>
  <c r="ES33" i="68"/>
  <c r="ET33" i="68"/>
  <c r="EU33" i="68"/>
  <c r="ES34" i="68"/>
  <c r="ET34" i="68"/>
  <c r="EU34" i="68"/>
  <c r="ES35" i="68"/>
  <c r="ET35" i="68"/>
  <c r="EU35" i="68"/>
  <c r="ES36" i="68"/>
  <c r="ET36" i="68"/>
  <c r="EU36" i="68"/>
  <c r="ER9" i="68"/>
  <c r="EQ9" i="68"/>
  <c r="EP9" i="68"/>
  <c r="EO9" i="68"/>
  <c r="EV37" i="68"/>
  <c r="EU37" i="68"/>
  <c r="ET37" i="68"/>
  <c r="ES37" i="68"/>
  <c r="EO10" i="68"/>
  <c r="EP10" i="68"/>
  <c r="EQ10" i="68"/>
  <c r="ER10" i="68"/>
  <c r="EO11" i="68"/>
  <c r="EP11" i="68"/>
  <c r="EQ11" i="68"/>
  <c r="ER11" i="68"/>
  <c r="EO12" i="68"/>
  <c r="EP12" i="68"/>
  <c r="EQ12" i="68"/>
  <c r="ER12" i="68"/>
  <c r="EO13" i="68"/>
  <c r="EP13" i="68"/>
  <c r="EQ13" i="68"/>
  <c r="ER13" i="68"/>
  <c r="EO14" i="68"/>
  <c r="EP14" i="68"/>
  <c r="EQ14" i="68"/>
  <c r="ER14" i="68"/>
  <c r="EO15" i="68"/>
  <c r="EP15" i="68"/>
  <c r="EQ15" i="68"/>
  <c r="ER15" i="68"/>
  <c r="EO16" i="68"/>
  <c r="EP16" i="68"/>
  <c r="EQ16" i="68"/>
  <c r="ER16" i="68"/>
  <c r="EO17" i="68"/>
  <c r="EP17" i="68"/>
  <c r="EQ17" i="68"/>
  <c r="ER17" i="68"/>
  <c r="EO18" i="68"/>
  <c r="EP18" i="68"/>
  <c r="EQ18" i="68"/>
  <c r="ER18" i="68"/>
  <c r="EO19" i="68"/>
  <c r="EP19" i="68"/>
  <c r="EQ19" i="68"/>
  <c r="ER19" i="68"/>
  <c r="EO20" i="68"/>
  <c r="EP20" i="68"/>
  <c r="EQ20" i="68"/>
  <c r="ER20" i="68"/>
  <c r="EO21" i="68"/>
  <c r="EP21" i="68"/>
  <c r="EQ21" i="68"/>
  <c r="ER21" i="68"/>
  <c r="EO22" i="68"/>
  <c r="EP22" i="68"/>
  <c r="EQ22" i="68"/>
  <c r="ER22" i="68"/>
  <c r="EO23" i="68"/>
  <c r="EP23" i="68"/>
  <c r="EQ23" i="68"/>
  <c r="ER23" i="68"/>
  <c r="EO24" i="68"/>
  <c r="EP24" i="68"/>
  <c r="EQ24" i="68"/>
  <c r="ER24" i="68"/>
  <c r="EO25" i="68"/>
  <c r="EP25" i="68"/>
  <c r="EQ25" i="68"/>
  <c r="ER25" i="68"/>
  <c r="EO26" i="68"/>
  <c r="EP26" i="68"/>
  <c r="EQ26" i="68"/>
  <c r="ER26" i="68"/>
  <c r="EO27" i="68"/>
  <c r="EP27" i="68"/>
  <c r="EQ27" i="68"/>
  <c r="ER27" i="68"/>
  <c r="EO28" i="68"/>
  <c r="EP28" i="68"/>
  <c r="EQ28" i="68"/>
  <c r="ER28" i="68"/>
  <c r="EO29" i="68"/>
  <c r="EP29" i="68"/>
  <c r="EQ29" i="68"/>
  <c r="ER29" i="68"/>
  <c r="EO30" i="68"/>
  <c r="EP30" i="68"/>
  <c r="EQ30" i="68"/>
  <c r="ER30" i="68"/>
  <c r="EO31" i="68"/>
  <c r="EP31" i="68"/>
  <c r="EQ31" i="68"/>
  <c r="ER31" i="68"/>
  <c r="EO32" i="68"/>
  <c r="EP32" i="68"/>
  <c r="EQ32" i="68"/>
  <c r="ER32" i="68"/>
  <c r="EO33" i="68"/>
  <c r="EP33" i="68"/>
  <c r="EQ33" i="68"/>
  <c r="ER33" i="68"/>
  <c r="EO34" i="68"/>
  <c r="EP34" i="68"/>
  <c r="EQ34" i="68"/>
  <c r="ER34" i="68"/>
  <c r="EO35" i="68"/>
  <c r="EP35" i="68"/>
  <c r="EQ35" i="68"/>
  <c r="ER35" i="68"/>
  <c r="EO36" i="68"/>
  <c r="EP36" i="68"/>
  <c r="EQ36" i="68"/>
  <c r="ER36" i="68"/>
  <c r="EN9" i="68"/>
  <c r="EM9" i="68"/>
  <c r="EL9" i="68"/>
  <c r="EK9" i="68"/>
  <c r="EK31" i="68"/>
  <c r="EL31" i="68"/>
  <c r="EM31" i="68"/>
  <c r="EN31" i="68"/>
  <c r="EK32" i="68"/>
  <c r="EL32" i="68"/>
  <c r="EM32" i="68"/>
  <c r="EN32" i="68"/>
  <c r="EK33" i="68"/>
  <c r="EL33" i="68"/>
  <c r="EM33" i="68"/>
  <c r="EN33" i="68"/>
  <c r="EK34" i="68"/>
  <c r="EL34" i="68"/>
  <c r="EM34" i="68"/>
  <c r="EN34" i="68"/>
  <c r="EK35" i="68"/>
  <c r="EL35" i="68"/>
  <c r="EM35" i="68"/>
  <c r="EN35" i="68"/>
  <c r="EK36" i="68"/>
  <c r="EL36" i="68"/>
  <c r="EM36" i="68"/>
  <c r="EN36" i="68"/>
  <c r="EK10" i="68"/>
  <c r="EL10" i="68"/>
  <c r="EM10" i="68"/>
  <c r="EN10" i="68"/>
  <c r="EK11" i="68"/>
  <c r="EL11" i="68"/>
  <c r="EM11" i="68"/>
  <c r="EN11" i="68"/>
  <c r="EK12" i="68"/>
  <c r="EL12" i="68"/>
  <c r="EM12" i="68"/>
  <c r="EN12" i="68"/>
  <c r="EK13" i="68"/>
  <c r="EL13" i="68"/>
  <c r="EM13" i="68"/>
  <c r="EN13" i="68"/>
  <c r="EK14" i="68"/>
  <c r="EL14" i="68"/>
  <c r="EM14" i="68"/>
  <c r="EN14" i="68"/>
  <c r="EK15" i="68"/>
  <c r="EL15" i="68"/>
  <c r="EM15" i="68"/>
  <c r="EN15" i="68"/>
  <c r="EK16" i="68"/>
  <c r="EL16" i="68"/>
  <c r="EM16" i="68"/>
  <c r="EN16" i="68"/>
  <c r="EK17" i="68"/>
  <c r="EL17" i="68"/>
  <c r="EM17" i="68"/>
  <c r="EN17" i="68"/>
  <c r="EK18" i="68"/>
  <c r="EL18" i="68"/>
  <c r="EM18" i="68"/>
  <c r="EN18" i="68"/>
  <c r="EK19" i="68"/>
  <c r="EL19" i="68"/>
  <c r="EM19" i="68"/>
  <c r="EN19" i="68"/>
  <c r="EK20" i="68"/>
  <c r="EL20" i="68"/>
  <c r="EM20" i="68"/>
  <c r="EN20" i="68"/>
  <c r="EK21" i="68"/>
  <c r="EL21" i="68"/>
  <c r="EM21" i="68"/>
  <c r="EN21" i="68"/>
  <c r="EK22" i="68"/>
  <c r="EL22" i="68"/>
  <c r="EM22" i="68"/>
  <c r="EN22" i="68"/>
  <c r="EK23" i="68"/>
  <c r="EL23" i="68"/>
  <c r="EM23" i="68"/>
  <c r="EN23" i="68"/>
  <c r="EK24" i="68"/>
  <c r="EL24" i="68"/>
  <c r="EM24" i="68"/>
  <c r="EN24" i="68"/>
  <c r="EK25" i="68"/>
  <c r="EL25" i="68"/>
  <c r="EM25" i="68"/>
  <c r="EN25" i="68"/>
  <c r="EK26" i="68"/>
  <c r="EL26" i="68"/>
  <c r="EM26" i="68"/>
  <c r="EN26" i="68"/>
  <c r="EK27" i="68"/>
  <c r="EL27" i="68"/>
  <c r="EM27" i="68"/>
  <c r="EN27" i="68"/>
  <c r="EK28" i="68"/>
  <c r="EL28" i="68"/>
  <c r="EM28" i="68"/>
  <c r="EN28" i="68"/>
  <c r="EK29" i="68"/>
  <c r="EL29" i="68"/>
  <c r="EM29" i="68"/>
  <c r="EN29" i="68"/>
  <c r="EN30" i="68"/>
  <c r="EM30" i="68"/>
  <c r="EL30" i="68"/>
  <c r="EK30" i="68"/>
  <c r="EL37" i="68"/>
  <c r="EF9" i="68"/>
  <c r="EF10" i="68"/>
  <c r="EF11" i="68"/>
  <c r="EF12" i="68"/>
  <c r="EF13" i="68"/>
  <c r="EF14" i="68"/>
  <c r="EF15" i="68"/>
  <c r="EF16" i="68"/>
  <c r="EF17" i="68"/>
  <c r="EF18" i="68"/>
  <c r="EF19" i="68"/>
  <c r="EF20" i="68"/>
  <c r="EF21" i="68"/>
  <c r="EF22" i="68"/>
  <c r="EF23" i="68"/>
  <c r="EF24" i="68"/>
  <c r="EF25" i="68"/>
  <c r="EF26" i="68"/>
  <c r="EF27" i="68"/>
  <c r="EF28" i="68"/>
  <c r="EF29" i="68"/>
  <c r="EF31" i="68"/>
  <c r="EF32" i="68"/>
  <c r="EF33" i="68"/>
  <c r="EF34" i="68"/>
  <c r="EF35" i="68"/>
  <c r="EF36" i="68"/>
  <c r="EF30" i="68"/>
  <c r="EE30" i="68"/>
  <c r="EC10" i="68"/>
  <c r="ED10" i="68"/>
  <c r="EE10" i="68"/>
  <c r="EG10" i="68"/>
  <c r="EH10" i="68"/>
  <c r="EI10" i="68"/>
  <c r="EJ10" i="68"/>
  <c r="EC11" i="68"/>
  <c r="ED11" i="68"/>
  <c r="EE11" i="68"/>
  <c r="EG11" i="68"/>
  <c r="EH11" i="68"/>
  <c r="EI11" i="68"/>
  <c r="EJ11" i="68"/>
  <c r="EC12" i="68"/>
  <c r="ED12" i="68"/>
  <c r="EE12" i="68"/>
  <c r="EG12" i="68"/>
  <c r="EH12" i="68"/>
  <c r="EI12" i="68"/>
  <c r="EJ12" i="68"/>
  <c r="EC13" i="68"/>
  <c r="ED13" i="68"/>
  <c r="EE13" i="68"/>
  <c r="EG13" i="68"/>
  <c r="EH13" i="68"/>
  <c r="EI13" i="68"/>
  <c r="EJ13" i="68"/>
  <c r="EC14" i="68"/>
  <c r="ED14" i="68"/>
  <c r="EE14" i="68"/>
  <c r="EG14" i="68"/>
  <c r="EH14" i="68"/>
  <c r="EI14" i="68"/>
  <c r="EJ14" i="68"/>
  <c r="EC15" i="68"/>
  <c r="ED15" i="68"/>
  <c r="EE15" i="68"/>
  <c r="EG15" i="68"/>
  <c r="EH15" i="68"/>
  <c r="EI15" i="68"/>
  <c r="EJ15" i="68"/>
  <c r="EC16" i="68"/>
  <c r="ED16" i="68"/>
  <c r="EE16" i="68"/>
  <c r="EG16" i="68"/>
  <c r="EH16" i="68"/>
  <c r="EI16" i="68"/>
  <c r="EJ16" i="68"/>
  <c r="EC17" i="68"/>
  <c r="ED17" i="68"/>
  <c r="EE17" i="68"/>
  <c r="EG17" i="68"/>
  <c r="EH17" i="68"/>
  <c r="EI17" i="68"/>
  <c r="EJ17" i="68"/>
  <c r="EC18" i="68"/>
  <c r="ED18" i="68"/>
  <c r="EE18" i="68"/>
  <c r="EG18" i="68"/>
  <c r="EH18" i="68"/>
  <c r="EI18" i="68"/>
  <c r="EJ18" i="68"/>
  <c r="EC19" i="68"/>
  <c r="ED19" i="68"/>
  <c r="EE19" i="68"/>
  <c r="EG19" i="68"/>
  <c r="EH19" i="68"/>
  <c r="EI19" i="68"/>
  <c r="EJ19" i="68"/>
  <c r="EC20" i="68"/>
  <c r="ED20" i="68"/>
  <c r="EE20" i="68"/>
  <c r="EG20" i="68"/>
  <c r="EH20" i="68"/>
  <c r="EI20" i="68"/>
  <c r="EJ20" i="68"/>
  <c r="EC21" i="68"/>
  <c r="ED21" i="68"/>
  <c r="EE21" i="68"/>
  <c r="EG21" i="68"/>
  <c r="EH21" i="68"/>
  <c r="EI21" i="68"/>
  <c r="EJ21" i="68"/>
  <c r="EC22" i="68"/>
  <c r="ED22" i="68"/>
  <c r="EE22" i="68"/>
  <c r="EG22" i="68"/>
  <c r="EH22" i="68"/>
  <c r="EI22" i="68"/>
  <c r="EJ22" i="68"/>
  <c r="EC23" i="68"/>
  <c r="ED23" i="68"/>
  <c r="EE23" i="68"/>
  <c r="EG23" i="68"/>
  <c r="EH23" i="68"/>
  <c r="EI23" i="68"/>
  <c r="EJ23" i="68"/>
  <c r="EC24" i="68"/>
  <c r="ED24" i="68"/>
  <c r="EE24" i="68"/>
  <c r="EG24" i="68"/>
  <c r="EH24" i="68"/>
  <c r="EI24" i="68"/>
  <c r="EJ24" i="68"/>
  <c r="EC25" i="68"/>
  <c r="ED25" i="68"/>
  <c r="EE25" i="68"/>
  <c r="EG25" i="68"/>
  <c r="EH25" i="68"/>
  <c r="EI25" i="68"/>
  <c r="EJ25" i="68"/>
  <c r="EC26" i="68"/>
  <c r="ED26" i="68"/>
  <c r="EE26" i="68"/>
  <c r="EG26" i="68"/>
  <c r="EH26" i="68"/>
  <c r="EI26" i="68"/>
  <c r="EJ26" i="68"/>
  <c r="EC27" i="68"/>
  <c r="ED27" i="68"/>
  <c r="EE27" i="68"/>
  <c r="EG27" i="68"/>
  <c r="EH27" i="68"/>
  <c r="EI27" i="68"/>
  <c r="EJ27" i="68"/>
  <c r="EC28" i="68"/>
  <c r="ED28" i="68"/>
  <c r="EE28" i="68"/>
  <c r="EG28" i="68"/>
  <c r="EH28" i="68"/>
  <c r="EI28" i="68"/>
  <c r="EJ28" i="68"/>
  <c r="EC29" i="68"/>
  <c r="ED29" i="68"/>
  <c r="EE29" i="68"/>
  <c r="EG29" i="68"/>
  <c r="EH29" i="68"/>
  <c r="EI29" i="68"/>
  <c r="EJ29" i="68"/>
  <c r="EC30" i="68"/>
  <c r="ED30" i="68"/>
  <c r="EG30" i="68"/>
  <c r="EH30" i="68"/>
  <c r="EI30" i="68"/>
  <c r="EJ30" i="68"/>
  <c r="EC31" i="68"/>
  <c r="ED31" i="68"/>
  <c r="EE31" i="68"/>
  <c r="EG31" i="68"/>
  <c r="EH31" i="68"/>
  <c r="EI31" i="68"/>
  <c r="EJ31" i="68"/>
  <c r="EC32" i="68"/>
  <c r="ED32" i="68"/>
  <c r="EE32" i="68"/>
  <c r="EG32" i="68"/>
  <c r="EH32" i="68"/>
  <c r="EI32" i="68"/>
  <c r="EJ32" i="68"/>
  <c r="EC33" i="68"/>
  <c r="ED33" i="68"/>
  <c r="EE33" i="68"/>
  <c r="EG33" i="68"/>
  <c r="EH33" i="68"/>
  <c r="EI33" i="68"/>
  <c r="EJ33" i="68"/>
  <c r="EC34" i="68"/>
  <c r="ED34" i="68"/>
  <c r="EE34" i="68"/>
  <c r="EG34" i="68"/>
  <c r="EH34" i="68"/>
  <c r="EI34" i="68"/>
  <c r="EJ34" i="68"/>
  <c r="EC35" i="68"/>
  <c r="ED35" i="68"/>
  <c r="EE35" i="68"/>
  <c r="EG35" i="68"/>
  <c r="EH35" i="68"/>
  <c r="EI35" i="68"/>
  <c r="EJ35" i="68"/>
  <c r="EC36" i="68"/>
  <c r="ED36" i="68"/>
  <c r="EE36" i="68"/>
  <c r="EG36" i="68"/>
  <c r="EH36" i="68"/>
  <c r="EI36" i="68"/>
  <c r="EJ36" i="68"/>
  <c r="EJ9" i="68"/>
  <c r="EI9" i="68"/>
  <c r="EH9" i="68"/>
  <c r="EH7" i="68"/>
  <c r="EG9" i="68"/>
  <c r="EJ7" i="68"/>
  <c r="DU9" i="68"/>
  <c r="DV9" i="68"/>
  <c r="DT9" i="68"/>
  <c r="DS9" i="68"/>
  <c r="EE9" i="68"/>
  <c r="DQ9" i="68"/>
  <c r="ED9" i="68"/>
  <c r="EC9" i="68"/>
  <c r="DR29" i="68"/>
  <c r="DQ29" i="68"/>
  <c r="DP29" i="68"/>
  <c r="FS40" i="70" l="1"/>
  <c r="FT40" i="73"/>
  <c r="FS40" i="72"/>
  <c r="FT40" i="71"/>
  <c r="EI40" i="70"/>
  <c r="EC40" i="69"/>
  <c r="DQ40" i="67"/>
  <c r="FS40" i="66"/>
  <c r="FS40" i="65"/>
  <c r="FT40" i="64"/>
  <c r="FS40" i="63"/>
  <c r="FU40" i="66"/>
  <c r="FU41" i="41"/>
  <c r="FT40" i="67"/>
  <c r="FU40" i="70"/>
  <c r="FU40" i="63"/>
  <c r="FS41" i="41"/>
  <c r="FT40" i="65"/>
  <c r="FT40" i="66"/>
  <c r="DQ40" i="69"/>
  <c r="FT40" i="70"/>
  <c r="FW40" i="71"/>
  <c r="FX40" i="72"/>
  <c r="GA40" i="63"/>
  <c r="EO40" i="70"/>
  <c r="EW40" i="70"/>
  <c r="GC40" i="70"/>
  <c r="EP40" i="73"/>
  <c r="EX40" i="73"/>
  <c r="FN40" i="73"/>
  <c r="FV40" i="73"/>
  <c r="EM40" i="66"/>
  <c r="EU40" i="66"/>
  <c r="FC40" i="66"/>
  <c r="FK40" i="66"/>
  <c r="GA40" i="66"/>
  <c r="EL40" i="64"/>
  <c r="ET40" i="64"/>
  <c r="FB40" i="64"/>
  <c r="FZ40" i="64"/>
  <c r="EK40" i="69"/>
  <c r="ES40" i="69"/>
  <c r="FA40" i="69"/>
  <c r="FI40" i="69"/>
  <c r="EP40" i="65"/>
  <c r="EX40" i="65"/>
  <c r="FN40" i="65"/>
  <c r="FV40" i="65"/>
  <c r="EL40" i="63"/>
  <c r="ET40" i="63"/>
  <c r="FB40" i="63"/>
  <c r="FZ40" i="63"/>
  <c r="EN40" i="66"/>
  <c r="FD40" i="66"/>
  <c r="GB40" i="66"/>
  <c r="EM40" i="64"/>
  <c r="EU40" i="64"/>
  <c r="FC40" i="64"/>
  <c r="FK40" i="64"/>
  <c r="GA40" i="64"/>
  <c r="FZ40" i="69"/>
  <c r="EQ40" i="65"/>
  <c r="EY40" i="65"/>
  <c r="FO40" i="65"/>
  <c r="FW40" i="65"/>
  <c r="EK40" i="72"/>
  <c r="ES40" i="72"/>
  <c r="FA40" i="72"/>
  <c r="FI40" i="72"/>
  <c r="FY40" i="72"/>
  <c r="EQ40" i="73"/>
  <c r="EY40" i="73"/>
  <c r="FO40" i="73"/>
  <c r="FW40" i="73"/>
  <c r="EQ41" i="41"/>
  <c r="EY41" i="41"/>
  <c r="EV40" i="66"/>
  <c r="EO40" i="66"/>
  <c r="EW40" i="66"/>
  <c r="FM40" i="66"/>
  <c r="GC40" i="66"/>
  <c r="EN40" i="64"/>
  <c r="EV40" i="64"/>
  <c r="FD40" i="64"/>
  <c r="GB40" i="64"/>
  <c r="EM40" i="69"/>
  <c r="FC40" i="69"/>
  <c r="FK40" i="69"/>
  <c r="GA40" i="69"/>
  <c r="ER40" i="65"/>
  <c r="EZ40" i="65"/>
  <c r="FX40" i="65"/>
  <c r="EN40" i="63"/>
  <c r="EV40" i="63"/>
  <c r="FD40" i="63"/>
  <c r="GB40" i="63"/>
  <c r="EM40" i="63"/>
  <c r="EU40" i="63"/>
  <c r="FC40" i="63"/>
  <c r="FK40" i="63"/>
  <c r="EQ40" i="70"/>
  <c r="EY40" i="70"/>
  <c r="FO40" i="70"/>
  <c r="EK40" i="71"/>
  <c r="FA40" i="71"/>
  <c r="FI40" i="71"/>
  <c r="FQ40" i="71"/>
  <c r="FZ40" i="72"/>
  <c r="ER40" i="73"/>
  <c r="EZ40" i="73"/>
  <c r="FX40" i="73"/>
  <c r="ER41" i="41"/>
  <c r="EZ41" i="41"/>
  <c r="FX41" i="41"/>
  <c r="EP41" i="41"/>
  <c r="EX41" i="41"/>
  <c r="FV41" i="41"/>
  <c r="EP40" i="66"/>
  <c r="FV40" i="66"/>
  <c r="EW40" i="64"/>
  <c r="GB40" i="69"/>
  <c r="EK40" i="65"/>
  <c r="ES40" i="65"/>
  <c r="FA40" i="65"/>
  <c r="FI40" i="65"/>
  <c r="FQ40" i="65"/>
  <c r="FY40" i="65"/>
  <c r="EO40" i="63"/>
  <c r="EW40" i="63"/>
  <c r="FM40" i="63"/>
  <c r="GC40" i="63"/>
  <c r="FX40" i="70"/>
  <c r="EL40" i="71"/>
  <c r="FZ40" i="71"/>
  <c r="GA40" i="72"/>
  <c r="EK40" i="73"/>
  <c r="ES40" i="73"/>
  <c r="FA40" i="73"/>
  <c r="FI40" i="73"/>
  <c r="FQ40" i="73"/>
  <c r="FY40" i="73"/>
  <c r="EK41" i="41"/>
  <c r="ES41" i="41"/>
  <c r="FA41" i="41"/>
  <c r="FI41" i="41"/>
  <c r="FM40" i="64"/>
  <c r="EY40" i="66"/>
  <c r="FN40" i="64"/>
  <c r="FM40" i="69"/>
  <c r="GC40" i="69"/>
  <c r="EL40" i="65"/>
  <c r="ET40" i="65"/>
  <c r="FB40" i="65"/>
  <c r="FZ40" i="65"/>
  <c r="EP40" i="63"/>
  <c r="EX40" i="63"/>
  <c r="FN40" i="63"/>
  <c r="FV40" i="63"/>
  <c r="EK40" i="70"/>
  <c r="ES40" i="70"/>
  <c r="FA40" i="70"/>
  <c r="FI40" i="70"/>
  <c r="FQ40" i="70"/>
  <c r="FY40" i="70"/>
  <c r="GA40" i="71"/>
  <c r="GB40" i="72"/>
  <c r="EL40" i="73"/>
  <c r="ET40" i="73"/>
  <c r="FB40" i="73"/>
  <c r="FZ40" i="73"/>
  <c r="FN40" i="66"/>
  <c r="GC40" i="64"/>
  <c r="EQ40" i="66"/>
  <c r="FO40" i="66"/>
  <c r="EX40" i="64"/>
  <c r="ER40" i="66"/>
  <c r="EZ40" i="66"/>
  <c r="FX40" i="66"/>
  <c r="EQ40" i="64"/>
  <c r="EY40" i="64"/>
  <c r="FO40" i="64"/>
  <c r="FW40" i="64"/>
  <c r="FN40" i="69"/>
  <c r="EM40" i="65"/>
  <c r="EU40" i="65"/>
  <c r="FC40" i="65"/>
  <c r="FK40" i="65"/>
  <c r="GA40" i="65"/>
  <c r="EQ40" i="63"/>
  <c r="EY40" i="63"/>
  <c r="FO40" i="63"/>
  <c r="FW40" i="63"/>
  <c r="FZ40" i="70"/>
  <c r="GB40" i="71"/>
  <c r="EM40" i="73"/>
  <c r="EU40" i="73"/>
  <c r="FC40" i="73"/>
  <c r="FK40" i="73"/>
  <c r="GA40" i="73"/>
  <c r="FK41" i="41"/>
  <c r="EX40" i="66"/>
  <c r="EO40" i="64"/>
  <c r="P69" i="64" s="1"/>
  <c r="FW40" i="66"/>
  <c r="EP40" i="64"/>
  <c r="FV40" i="64"/>
  <c r="EK40" i="66"/>
  <c r="ES40" i="66"/>
  <c r="FA40" i="66"/>
  <c r="FI40" i="66"/>
  <c r="FQ40" i="66"/>
  <c r="FY40" i="66"/>
  <c r="ER40" i="64"/>
  <c r="EZ40" i="64"/>
  <c r="FX40" i="64"/>
  <c r="FW40" i="69"/>
  <c r="EN40" i="65"/>
  <c r="EV40" i="65"/>
  <c r="FD40" i="65"/>
  <c r="GB40" i="65"/>
  <c r="ER40" i="63"/>
  <c r="EZ40" i="63"/>
  <c r="FX40" i="63"/>
  <c r="GA40" i="70"/>
  <c r="EO40" i="71"/>
  <c r="EW40" i="71"/>
  <c r="FM40" i="71"/>
  <c r="EP40" i="72"/>
  <c r="EX40" i="72"/>
  <c r="EN40" i="73"/>
  <c r="EV40" i="73"/>
  <c r="FD40" i="73"/>
  <c r="GB40" i="73"/>
  <c r="EN41" i="41"/>
  <c r="EV41" i="41"/>
  <c r="FD41" i="41"/>
  <c r="GB41" i="41"/>
  <c r="EL40" i="66"/>
  <c r="ET40" i="66"/>
  <c r="FB40" i="66"/>
  <c r="FZ40" i="66"/>
  <c r="EK40" i="64"/>
  <c r="ES40" i="64"/>
  <c r="Q71" i="64" s="1"/>
  <c r="FA40" i="64"/>
  <c r="Q73" i="64" s="1"/>
  <c r="FI40" i="64"/>
  <c r="FQ40" i="64"/>
  <c r="FY40" i="64"/>
  <c r="FX40" i="69"/>
  <c r="EO40" i="65"/>
  <c r="P68" i="65" s="1"/>
  <c r="EW40" i="65"/>
  <c r="P71" i="65" s="1"/>
  <c r="FM40" i="65"/>
  <c r="GC40" i="65"/>
  <c r="EK40" i="63"/>
  <c r="Q67" i="63" s="1"/>
  <c r="ES40" i="63"/>
  <c r="Q70" i="63" s="1"/>
  <c r="FA40" i="63"/>
  <c r="Q72" i="63" s="1"/>
  <c r="FI40" i="63"/>
  <c r="FQ40" i="63"/>
  <c r="FY40" i="63"/>
  <c r="EN40" i="70"/>
  <c r="EV40" i="70"/>
  <c r="FD40" i="70"/>
  <c r="GB40" i="70"/>
  <c r="EQ40" i="72"/>
  <c r="EY40" i="72"/>
  <c r="FO40" i="72"/>
  <c r="FW40" i="72"/>
  <c r="EO40" i="73"/>
  <c r="P69" i="73" s="1"/>
  <c r="EW40" i="73"/>
  <c r="P72" i="73" s="1"/>
  <c r="FM40" i="73"/>
  <c r="GC40" i="73"/>
  <c r="EO41" i="41"/>
  <c r="P69" i="41" s="1"/>
  <c r="EW41" i="41"/>
  <c r="P72" i="41" s="1"/>
  <c r="GC41" i="41"/>
  <c r="DO40" i="73"/>
  <c r="EC40" i="73"/>
  <c r="EC41" i="41"/>
  <c r="DS40" i="69"/>
  <c r="EG40" i="69"/>
  <c r="DP40" i="65"/>
  <c r="ED40" i="65"/>
  <c r="DP40" i="73"/>
  <c r="ED40" i="73"/>
  <c r="DP41" i="41"/>
  <c r="DV40" i="66"/>
  <c r="EJ40" i="66"/>
  <c r="DQ40" i="65"/>
  <c r="EE40" i="65"/>
  <c r="DU40" i="63"/>
  <c r="EI40" i="63"/>
  <c r="DS40" i="72"/>
  <c r="EG40" i="72"/>
  <c r="DQ40" i="73"/>
  <c r="EE40" i="73"/>
  <c r="DO40" i="66"/>
  <c r="EC40" i="66"/>
  <c r="DU40" i="69"/>
  <c r="EI40" i="69"/>
  <c r="DR40" i="65"/>
  <c r="DQ40" i="70"/>
  <c r="EE40" i="70"/>
  <c r="EE40" i="69"/>
  <c r="DP40" i="66"/>
  <c r="ED40" i="66"/>
  <c r="DR40" i="70"/>
  <c r="DS40" i="73"/>
  <c r="EG40" i="73"/>
  <c r="EG41" i="41"/>
  <c r="DT40" i="65"/>
  <c r="DP40" i="63"/>
  <c r="ED40" i="63"/>
  <c r="DS40" i="70"/>
  <c r="EG40" i="70"/>
  <c r="DU40" i="71"/>
  <c r="EI40" i="71"/>
  <c r="DT40" i="73"/>
  <c r="EH40" i="73"/>
  <c r="DR40" i="66"/>
  <c r="DQ40" i="64"/>
  <c r="EE40" i="64"/>
  <c r="DP40" i="69"/>
  <c r="ED40" i="69"/>
  <c r="DU40" i="65"/>
  <c r="EI40" i="65"/>
  <c r="FT40" i="72"/>
  <c r="ER40" i="72"/>
  <c r="EZ40" i="72"/>
  <c r="DV40" i="72"/>
  <c r="EJ40" i="72"/>
  <c r="DO40" i="64"/>
  <c r="EC40" i="64"/>
  <c r="DS40" i="65"/>
  <c r="EG40" i="65"/>
  <c r="EC40" i="63"/>
  <c r="DQ40" i="66"/>
  <c r="EE40" i="66"/>
  <c r="DO40" i="69"/>
  <c r="EH40" i="65"/>
  <c r="DO40" i="72"/>
  <c r="DQ40" i="63"/>
  <c r="DU40" i="73"/>
  <c r="EI40" i="73"/>
  <c r="DS40" i="66"/>
  <c r="EG40" i="66"/>
  <c r="DR40" i="64"/>
  <c r="DV40" i="65"/>
  <c r="EJ40" i="65"/>
  <c r="EE40" i="63"/>
  <c r="DO40" i="63"/>
  <c r="DV40" i="73"/>
  <c r="EJ40" i="73"/>
  <c r="DV41" i="41"/>
  <c r="EJ41" i="41"/>
  <c r="DR41" i="41"/>
  <c r="DR40" i="67"/>
  <c r="DT40" i="66"/>
  <c r="EH40" i="66"/>
  <c r="DS40" i="64"/>
  <c r="EG40" i="64"/>
  <c r="DO40" i="65"/>
  <c r="EC40" i="65"/>
  <c r="DS40" i="63"/>
  <c r="EG40" i="63"/>
  <c r="DP40" i="71"/>
  <c r="ED40" i="71"/>
  <c r="DS40" i="67"/>
  <c r="EG40" i="67"/>
  <c r="DU40" i="66"/>
  <c r="EI40" i="66"/>
  <c r="DT40" i="64"/>
  <c r="EH40" i="64"/>
  <c r="DT40" i="63"/>
  <c r="EH40" i="63"/>
  <c r="DQ40" i="71"/>
  <c r="EE40" i="71"/>
  <c r="ED41" i="41"/>
  <c r="Q66" i="41" s="1"/>
  <c r="DO41" i="41"/>
  <c r="DU40" i="64"/>
  <c r="EI40" i="64"/>
  <c r="DV40" i="64"/>
  <c r="EJ40" i="64"/>
  <c r="DV40" i="63"/>
  <c r="EJ40" i="63"/>
  <c r="DS40" i="71"/>
  <c r="EG40" i="71"/>
  <c r="DR40" i="73"/>
  <c r="DO40" i="70"/>
  <c r="EC40" i="70"/>
  <c r="Q65" i="70" s="1"/>
  <c r="EO40" i="69"/>
  <c r="EW40" i="69"/>
  <c r="DT40" i="69"/>
  <c r="EH40" i="69"/>
  <c r="EQ40" i="69"/>
  <c r="EY40" i="69"/>
  <c r="FO40" i="69"/>
  <c r="FQ40" i="69"/>
  <c r="FY40" i="69"/>
  <c r="DU40" i="72"/>
  <c r="EI40" i="72"/>
  <c r="DQ40" i="72"/>
  <c r="EE40" i="72"/>
  <c r="EC40" i="72"/>
  <c r="EL40" i="72"/>
  <c r="ET40" i="72"/>
  <c r="FB40" i="72"/>
  <c r="DR40" i="72"/>
  <c r="EN40" i="72"/>
  <c r="EV40" i="72"/>
  <c r="FD40" i="72"/>
  <c r="DP40" i="72"/>
  <c r="ED40" i="72"/>
  <c r="EM40" i="72"/>
  <c r="EU40" i="72"/>
  <c r="FC40" i="72"/>
  <c r="FK40" i="72"/>
  <c r="EO40" i="72"/>
  <c r="P68" i="72" s="1"/>
  <c r="EW40" i="72"/>
  <c r="P71" i="72" s="1"/>
  <c r="FM40" i="72"/>
  <c r="FU40" i="72"/>
  <c r="GC40" i="72"/>
  <c r="FN40" i="72"/>
  <c r="FV40" i="72"/>
  <c r="DT40" i="72"/>
  <c r="EH40" i="72"/>
  <c r="FQ40" i="72"/>
  <c r="DO40" i="71"/>
  <c r="EC40" i="71"/>
  <c r="FS40" i="71"/>
  <c r="DR40" i="71"/>
  <c r="EN40" i="71"/>
  <c r="EV40" i="71"/>
  <c r="FD40" i="71"/>
  <c r="DV40" i="71"/>
  <c r="ER40" i="71"/>
  <c r="EZ40" i="71"/>
  <c r="FU40" i="71"/>
  <c r="GC40" i="71"/>
  <c r="FY40" i="71"/>
  <c r="EM40" i="71"/>
  <c r="FC40" i="71"/>
  <c r="FK40" i="71"/>
  <c r="DT40" i="71"/>
  <c r="EH40" i="71"/>
  <c r="EP40" i="71"/>
  <c r="EX40" i="71"/>
  <c r="FN40" i="71"/>
  <c r="FV40" i="71"/>
  <c r="EY40" i="71"/>
  <c r="FO40" i="71"/>
  <c r="FX40" i="71"/>
  <c r="ES40" i="71"/>
  <c r="ET40" i="71"/>
  <c r="FB40" i="71"/>
  <c r="EU40" i="71"/>
  <c r="EQ40" i="71"/>
  <c r="EJ40" i="71"/>
  <c r="FW40" i="70"/>
  <c r="DU40" i="70"/>
  <c r="DV40" i="70"/>
  <c r="EJ40" i="70"/>
  <c r="ER40" i="70"/>
  <c r="EZ40" i="70"/>
  <c r="EL40" i="70"/>
  <c r="ET40" i="70"/>
  <c r="FB40" i="70"/>
  <c r="EP40" i="70"/>
  <c r="P68" i="70" s="1"/>
  <c r="EX40" i="70"/>
  <c r="DP40" i="70"/>
  <c r="ED40" i="70"/>
  <c r="EM40" i="70"/>
  <c r="EU40" i="70"/>
  <c r="FC40" i="70"/>
  <c r="FK40" i="70"/>
  <c r="FM40" i="70"/>
  <c r="FV40" i="70"/>
  <c r="DT40" i="70"/>
  <c r="EH40" i="70"/>
  <c r="FN40" i="70"/>
  <c r="FS40" i="69"/>
  <c r="FT40" i="69"/>
  <c r="EP40" i="69"/>
  <c r="EX40" i="69"/>
  <c r="EL40" i="69"/>
  <c r="ET40" i="69"/>
  <c r="FB40" i="69"/>
  <c r="DR40" i="69"/>
  <c r="EN40" i="69"/>
  <c r="FV40" i="69"/>
  <c r="EU40" i="69"/>
  <c r="EV40" i="69"/>
  <c r="FD40" i="69"/>
  <c r="DV40" i="69"/>
  <c r="EJ40" i="69"/>
  <c r="ER40" i="69"/>
  <c r="EZ40" i="69"/>
  <c r="EL41" i="41"/>
  <c r="ET41" i="41"/>
  <c r="FB41" i="41"/>
  <c r="EM41" i="41"/>
  <c r="EU41" i="41"/>
  <c r="FC41" i="41"/>
  <c r="FM41" i="41"/>
  <c r="FW41" i="41"/>
  <c r="FN41" i="41"/>
  <c r="FO41" i="41"/>
  <c r="FZ41" i="41"/>
  <c r="DS41" i="41"/>
  <c r="DT41" i="41"/>
  <c r="GA41" i="41"/>
  <c r="EH41" i="41"/>
  <c r="FT41" i="41"/>
  <c r="FQ41" i="41"/>
  <c r="FY41" i="41"/>
  <c r="DQ41" i="41"/>
  <c r="EE41" i="41"/>
  <c r="DU41" i="41"/>
  <c r="EI41" i="41"/>
  <c r="EN40" i="67"/>
  <c r="EV40" i="67"/>
  <c r="FD40" i="67"/>
  <c r="GB40" i="67"/>
  <c r="GA40" i="67"/>
  <c r="EO40" i="67"/>
  <c r="EW40" i="67"/>
  <c r="P72" i="67" s="1"/>
  <c r="FM40" i="67"/>
  <c r="GC40" i="67"/>
  <c r="DT40" i="67"/>
  <c r="EH40" i="67"/>
  <c r="EX40" i="67"/>
  <c r="FV40" i="67"/>
  <c r="EI40" i="67"/>
  <c r="DV40" i="67"/>
  <c r="EJ40" i="67"/>
  <c r="ER40" i="67"/>
  <c r="EZ40" i="67"/>
  <c r="FX40" i="67"/>
  <c r="EQ40" i="67"/>
  <c r="FW40" i="67"/>
  <c r="EC40" i="67"/>
  <c r="Q66" i="67" s="1"/>
  <c r="EK40" i="67"/>
  <c r="ES40" i="67"/>
  <c r="FA40" i="67"/>
  <c r="FI40" i="67"/>
  <c r="FQ40" i="67"/>
  <c r="FY40" i="67"/>
  <c r="EP40" i="67"/>
  <c r="FN40" i="67"/>
  <c r="DU40" i="67"/>
  <c r="EY40" i="67"/>
  <c r="FO40" i="67"/>
  <c r="DP40" i="67"/>
  <c r="ED40" i="67"/>
  <c r="EL40" i="67"/>
  <c r="ET40" i="67"/>
  <c r="FB40" i="67"/>
  <c r="FZ40" i="67"/>
  <c r="EE40" i="67"/>
  <c r="EM40" i="67"/>
  <c r="EU40" i="67"/>
  <c r="FC40" i="67"/>
  <c r="FK40" i="67"/>
  <c r="FS40" i="67"/>
  <c r="DO40" i="67"/>
  <c r="FB40" i="68"/>
  <c r="FA40" i="68"/>
  <c r="FC40" i="68"/>
  <c r="FD40" i="68"/>
  <c r="ES40" i="68"/>
  <c r="ET40" i="68"/>
  <c r="EU40" i="68"/>
  <c r="EV40" i="68"/>
  <c r="EL40" i="68"/>
  <c r="DV31" i="68"/>
  <c r="DV32" i="68"/>
  <c r="DV33" i="68"/>
  <c r="DV34" i="68"/>
  <c r="DV35" i="68"/>
  <c r="DV36" i="68"/>
  <c r="DV10" i="68"/>
  <c r="DV11" i="68"/>
  <c r="DV12" i="68"/>
  <c r="DV13" i="68"/>
  <c r="DV14" i="68"/>
  <c r="DV15" i="68"/>
  <c r="DV16" i="68"/>
  <c r="DV17" i="68"/>
  <c r="DV18" i="68"/>
  <c r="DV19" i="68"/>
  <c r="DV20" i="68"/>
  <c r="DV21" i="68"/>
  <c r="DV22" i="68"/>
  <c r="DV23" i="68"/>
  <c r="DV24" i="68"/>
  <c r="DV25" i="68"/>
  <c r="DV26" i="68"/>
  <c r="DV27" i="68"/>
  <c r="DV28" i="68"/>
  <c r="DV29" i="68"/>
  <c r="DV30" i="68"/>
  <c r="DR9" i="68"/>
  <c r="DR10" i="68"/>
  <c r="DR11" i="68"/>
  <c r="DR12" i="68"/>
  <c r="DR13" i="68"/>
  <c r="DR14" i="68"/>
  <c r="DR15" i="68"/>
  <c r="DR16" i="68"/>
  <c r="DR17" i="68"/>
  <c r="DR18" i="68"/>
  <c r="DR19" i="68"/>
  <c r="DR20" i="68"/>
  <c r="DR21" i="68"/>
  <c r="DR22" i="68"/>
  <c r="DR23" i="68"/>
  <c r="DR24" i="68"/>
  <c r="DR25" i="68"/>
  <c r="DR26" i="68"/>
  <c r="DR27" i="68"/>
  <c r="DR28" i="68"/>
  <c r="DR31" i="68"/>
  <c r="DR32" i="68"/>
  <c r="DR33" i="68"/>
  <c r="DR34" i="68"/>
  <c r="DR35" i="68"/>
  <c r="DR36" i="68"/>
  <c r="DR37" i="68"/>
  <c r="DR30" i="68"/>
  <c r="DP30" i="68"/>
  <c r="DQ30" i="68"/>
  <c r="DS30" i="68"/>
  <c r="DT30" i="68"/>
  <c r="DU30" i="68"/>
  <c r="DP31" i="68"/>
  <c r="DQ31" i="68"/>
  <c r="DS31" i="68"/>
  <c r="DT31" i="68"/>
  <c r="DU31" i="68"/>
  <c r="DP32" i="68"/>
  <c r="DQ32" i="68"/>
  <c r="DS32" i="68"/>
  <c r="DT32" i="68"/>
  <c r="DU32" i="68"/>
  <c r="DP33" i="68"/>
  <c r="DQ33" i="68"/>
  <c r="DS33" i="68"/>
  <c r="DT33" i="68"/>
  <c r="DU33" i="68"/>
  <c r="DP34" i="68"/>
  <c r="DQ34" i="68"/>
  <c r="DS34" i="68"/>
  <c r="DT34" i="68"/>
  <c r="DU34" i="68"/>
  <c r="DP35" i="68"/>
  <c r="DQ35" i="68"/>
  <c r="DS35" i="68"/>
  <c r="DT35" i="68"/>
  <c r="DU35" i="68"/>
  <c r="DP36" i="68"/>
  <c r="DQ36" i="68"/>
  <c r="DS36" i="68"/>
  <c r="DT36" i="68"/>
  <c r="DU36" i="68"/>
  <c r="DP37" i="68"/>
  <c r="DQ37" i="68"/>
  <c r="DS37" i="68"/>
  <c r="DT37" i="68"/>
  <c r="DU37" i="68"/>
  <c r="DV37" i="68"/>
  <c r="DP9" i="68"/>
  <c r="DP10" i="68"/>
  <c r="DQ10" i="68"/>
  <c r="DS10" i="68"/>
  <c r="DT10" i="68"/>
  <c r="DU10" i="68"/>
  <c r="DP11" i="68"/>
  <c r="DQ11" i="68"/>
  <c r="DS11" i="68"/>
  <c r="DT11" i="68"/>
  <c r="DU11" i="68"/>
  <c r="DP12" i="68"/>
  <c r="DQ12" i="68"/>
  <c r="DS12" i="68"/>
  <c r="DT12" i="68"/>
  <c r="DU12" i="68"/>
  <c r="DP13" i="68"/>
  <c r="DQ13" i="68"/>
  <c r="DS13" i="68"/>
  <c r="DT13" i="68"/>
  <c r="DU13" i="68"/>
  <c r="DP14" i="68"/>
  <c r="DQ14" i="68"/>
  <c r="DS14" i="68"/>
  <c r="DT14" i="68"/>
  <c r="DU14" i="68"/>
  <c r="DP15" i="68"/>
  <c r="DQ15" i="68"/>
  <c r="DS15" i="68"/>
  <c r="DT15" i="68"/>
  <c r="DU15" i="68"/>
  <c r="DP16" i="68"/>
  <c r="DQ16" i="68"/>
  <c r="DS16" i="68"/>
  <c r="DT16" i="68"/>
  <c r="DU16" i="68"/>
  <c r="DP17" i="68"/>
  <c r="DQ17" i="68"/>
  <c r="DS17" i="68"/>
  <c r="DT17" i="68"/>
  <c r="DU17" i="68"/>
  <c r="DP18" i="68"/>
  <c r="DQ18" i="68"/>
  <c r="DS18" i="68"/>
  <c r="DT18" i="68"/>
  <c r="DU18" i="68"/>
  <c r="DP19" i="68"/>
  <c r="DQ19" i="68"/>
  <c r="DS19" i="68"/>
  <c r="DT19" i="68"/>
  <c r="DU19" i="68"/>
  <c r="DP20" i="68"/>
  <c r="DQ20" i="68"/>
  <c r="DS20" i="68"/>
  <c r="DT20" i="68"/>
  <c r="DU20" i="68"/>
  <c r="DP21" i="68"/>
  <c r="DQ21" i="68"/>
  <c r="DS21" i="68"/>
  <c r="DT21" i="68"/>
  <c r="DU21" i="68"/>
  <c r="DP22" i="68"/>
  <c r="DQ22" i="68"/>
  <c r="DS22" i="68"/>
  <c r="DT22" i="68"/>
  <c r="DU22" i="68"/>
  <c r="DP23" i="68"/>
  <c r="DQ23" i="68"/>
  <c r="DS23" i="68"/>
  <c r="DT23" i="68"/>
  <c r="DU23" i="68"/>
  <c r="DP24" i="68"/>
  <c r="DQ24" i="68"/>
  <c r="DS24" i="68"/>
  <c r="DT24" i="68"/>
  <c r="DU24" i="68"/>
  <c r="DP25" i="68"/>
  <c r="DQ25" i="68"/>
  <c r="DS25" i="68"/>
  <c r="DT25" i="68"/>
  <c r="DU25" i="68"/>
  <c r="DP26" i="68"/>
  <c r="DQ26" i="68"/>
  <c r="DS26" i="68"/>
  <c r="DT26" i="68"/>
  <c r="DU26" i="68"/>
  <c r="DP27" i="68"/>
  <c r="DQ27" i="68"/>
  <c r="DS27" i="68"/>
  <c r="DT27" i="68"/>
  <c r="DU27" i="68"/>
  <c r="DP28" i="68"/>
  <c r="DQ28" i="68"/>
  <c r="DS28" i="68"/>
  <c r="DT28" i="68"/>
  <c r="DU28" i="68"/>
  <c r="DU29" i="68"/>
  <c r="DT29" i="68"/>
  <c r="DS29" i="68"/>
  <c r="EB7" i="68"/>
  <c r="EA7" i="68"/>
  <c r="DZ7" i="68"/>
  <c r="Q68" i="66" l="1"/>
  <c r="Q71" i="66"/>
  <c r="P65" i="41"/>
  <c r="P65" i="73"/>
  <c r="Q67" i="72"/>
  <c r="Q68" i="73"/>
  <c r="Q68" i="71"/>
  <c r="P65" i="64"/>
  <c r="Q68" i="64"/>
  <c r="Q67" i="70"/>
  <c r="Q67" i="65"/>
  <c r="Q68" i="67"/>
  <c r="I47" i="63"/>
  <c r="I48" i="69"/>
  <c r="I48" i="71"/>
  <c r="I48" i="64"/>
  <c r="I47" i="70"/>
  <c r="I48" i="67"/>
  <c r="Q68" i="41"/>
  <c r="I48" i="73"/>
  <c r="I47" i="65"/>
  <c r="I49" i="41"/>
  <c r="I48" i="66"/>
  <c r="P74" i="41"/>
  <c r="P73" i="65"/>
  <c r="P65" i="66"/>
  <c r="P65" i="67"/>
  <c r="P73" i="72"/>
  <c r="P74" i="66"/>
  <c r="P73" i="70"/>
  <c r="P74" i="67"/>
  <c r="P74" i="71"/>
  <c r="P73" i="63"/>
  <c r="Q72" i="72"/>
  <c r="Q72" i="70"/>
  <c r="Q73" i="71"/>
  <c r="Q73" i="66"/>
  <c r="Q72" i="65"/>
  <c r="Q73" i="73"/>
  <c r="Q73" i="69"/>
  <c r="Q73" i="67"/>
  <c r="Q73" i="41"/>
  <c r="P72" i="69"/>
  <c r="P72" i="64"/>
  <c r="P72" i="66"/>
  <c r="P71" i="70"/>
  <c r="P72" i="71"/>
  <c r="P71" i="63"/>
  <c r="Q71" i="41"/>
  <c r="Q70" i="72"/>
  <c r="Q70" i="70"/>
  <c r="Q71" i="71"/>
  <c r="Q70" i="65"/>
  <c r="Q71" i="73"/>
  <c r="Q71" i="67"/>
  <c r="Q71" i="69"/>
  <c r="P69" i="66"/>
  <c r="P69" i="67"/>
  <c r="P69" i="71"/>
  <c r="P68" i="63"/>
  <c r="P69" i="69"/>
  <c r="P64" i="63"/>
  <c r="P64" i="65"/>
  <c r="P64" i="72"/>
  <c r="P64" i="70"/>
  <c r="Q66" i="66"/>
  <c r="Q65" i="72"/>
  <c r="Q65" i="63"/>
  <c r="Q66" i="69"/>
  <c r="Q65" i="65"/>
  <c r="Q66" i="64"/>
  <c r="Q66" i="71"/>
  <c r="P65" i="69"/>
  <c r="P65" i="71"/>
  <c r="Q68" i="69"/>
  <c r="Q71" i="68"/>
  <c r="Q69" i="68"/>
  <c r="DQ40" i="68"/>
  <c r="DZ40" i="68"/>
  <c r="V44" i="41" l="1"/>
  <c r="AS29" i="43" l="1"/>
  <c r="AR29" i="43"/>
  <c r="AS28" i="43"/>
  <c r="AR28" i="43"/>
  <c r="AS27" i="43"/>
  <c r="AR27" i="43"/>
  <c r="AS26" i="43"/>
  <c r="AR26" i="43"/>
  <c r="AS25" i="43"/>
  <c r="AR25" i="43"/>
  <c r="AS24" i="43"/>
  <c r="AR24" i="43"/>
  <c r="AS23" i="43"/>
  <c r="AR23" i="43"/>
  <c r="AS22" i="43"/>
  <c r="AR22" i="43"/>
  <c r="AS21" i="43"/>
  <c r="AR21" i="43"/>
  <c r="AS20" i="43"/>
  <c r="AR20" i="43"/>
  <c r="AS19" i="43"/>
  <c r="AR19" i="43"/>
  <c r="AS18" i="43"/>
  <c r="AR18" i="43"/>
  <c r="AS17" i="43"/>
  <c r="AR17" i="43"/>
  <c r="AS16" i="43"/>
  <c r="AR16" i="43"/>
  <c r="AR11" i="43"/>
  <c r="AS11" i="43" s="1"/>
  <c r="B4" i="48" s="1"/>
  <c r="AE29" i="43"/>
  <c r="AD29" i="43"/>
  <c r="AE28" i="43"/>
  <c r="AD28" i="43"/>
  <c r="AE27" i="43"/>
  <c r="AD27" i="43"/>
  <c r="AE26" i="43"/>
  <c r="AD26" i="43"/>
  <c r="AE25" i="43"/>
  <c r="AD25" i="43"/>
  <c r="AE24" i="43"/>
  <c r="AD24" i="43"/>
  <c r="AE23" i="43"/>
  <c r="AD23" i="43"/>
  <c r="AE22" i="43"/>
  <c r="AD22" i="43"/>
  <c r="AE21" i="43"/>
  <c r="AD21" i="43"/>
  <c r="AE20" i="43"/>
  <c r="AD20" i="43"/>
  <c r="AD19" i="43"/>
  <c r="AE19" i="43" s="1"/>
  <c r="B12" i="49" s="1"/>
  <c r="AD18" i="43"/>
  <c r="AE18" i="43" s="1"/>
  <c r="B11" i="49" s="1"/>
  <c r="AD11" i="43"/>
  <c r="AE11" i="43" s="1"/>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A11" i="49"/>
  <c r="C11" i="49"/>
  <c r="D11" i="49"/>
  <c r="E11" i="49"/>
  <c r="F11" i="49"/>
  <c r="G11" i="49"/>
  <c r="A12" i="49"/>
  <c r="C12" i="49"/>
  <c r="D12" i="49"/>
  <c r="E12" i="49"/>
  <c r="F12" i="49"/>
  <c r="G12" i="49"/>
  <c r="A13" i="49"/>
  <c r="B13" i="49"/>
  <c r="C13" i="49"/>
  <c r="D13" i="49"/>
  <c r="E13" i="49"/>
  <c r="F13" i="49"/>
  <c r="G13" i="49"/>
  <c r="A14" i="49"/>
  <c r="B14" i="49"/>
  <c r="C14" i="49"/>
  <c r="D14" i="49"/>
  <c r="E14" i="49"/>
  <c r="F14" i="49"/>
  <c r="G14" i="49"/>
  <c r="A15" i="49"/>
  <c r="B15" i="49"/>
  <c r="C15" i="49"/>
  <c r="D15" i="49"/>
  <c r="E15" i="49"/>
  <c r="F15" i="49"/>
  <c r="G15" i="49"/>
  <c r="A16" i="49"/>
  <c r="B16" i="49"/>
  <c r="C16" i="49"/>
  <c r="D16" i="49"/>
  <c r="E16" i="49"/>
  <c r="F16" i="49"/>
  <c r="G16" i="49"/>
  <c r="A17" i="49"/>
  <c r="B17" i="49"/>
  <c r="C17" i="49"/>
  <c r="D17" i="49"/>
  <c r="E17" i="49"/>
  <c r="F17" i="49"/>
  <c r="G17" i="49"/>
  <c r="A18" i="49"/>
  <c r="B18" i="49"/>
  <c r="C18" i="49"/>
  <c r="D18" i="49"/>
  <c r="E18" i="49"/>
  <c r="F18" i="49"/>
  <c r="G18" i="49"/>
  <c r="A19" i="49"/>
  <c r="B19" i="49"/>
  <c r="C19" i="49"/>
  <c r="D19" i="49"/>
  <c r="E19" i="49"/>
  <c r="F19" i="49"/>
  <c r="G19" i="49"/>
  <c r="A20" i="49"/>
  <c r="B20" i="49"/>
  <c r="C20" i="49"/>
  <c r="D20" i="49"/>
  <c r="E20" i="49"/>
  <c r="F20" i="49"/>
  <c r="G20" i="49"/>
  <c r="A21" i="49"/>
  <c r="B21" i="49"/>
  <c r="C21" i="49"/>
  <c r="D21" i="49"/>
  <c r="E21" i="49"/>
  <c r="F21" i="49"/>
  <c r="G21" i="49"/>
  <c r="A22" i="49"/>
  <c r="B22" i="49"/>
  <c r="C22" i="49"/>
  <c r="D22" i="49"/>
  <c r="E22" i="49"/>
  <c r="F22" i="49"/>
  <c r="G22" i="49"/>
  <c r="C5" i="48"/>
  <c r="D5" i="48"/>
  <c r="E5" i="48"/>
  <c r="F5" i="48"/>
  <c r="G5" i="48"/>
  <c r="C6" i="48"/>
  <c r="D6" i="48"/>
  <c r="E6" i="48"/>
  <c r="F6" i="48"/>
  <c r="G6" i="48"/>
  <c r="C7" i="48"/>
  <c r="D7" i="48"/>
  <c r="E7" i="48"/>
  <c r="F7" i="48"/>
  <c r="G7" i="48"/>
  <c r="C8" i="48"/>
  <c r="D8" i="48"/>
  <c r="E8" i="48"/>
  <c r="F8" i="48"/>
  <c r="G8" i="48"/>
  <c r="A9" i="48"/>
  <c r="B9" i="48"/>
  <c r="C9" i="48"/>
  <c r="D9" i="48"/>
  <c r="E9" i="48"/>
  <c r="F9" i="48"/>
  <c r="G9" i="48"/>
  <c r="A10" i="48"/>
  <c r="B10" i="48"/>
  <c r="C10" i="48"/>
  <c r="D10" i="48"/>
  <c r="E10" i="48"/>
  <c r="F10" i="48"/>
  <c r="G10" i="48"/>
  <c r="A11" i="48"/>
  <c r="B11" i="48"/>
  <c r="C11" i="48"/>
  <c r="D11" i="48"/>
  <c r="E11" i="48"/>
  <c r="F11" i="48"/>
  <c r="G11" i="48"/>
  <c r="A12" i="48"/>
  <c r="B12" i="48"/>
  <c r="C12" i="48"/>
  <c r="D12" i="48"/>
  <c r="E12" i="48"/>
  <c r="F12" i="48"/>
  <c r="G12" i="48"/>
  <c r="A13" i="48"/>
  <c r="B13" i="48"/>
  <c r="C13" i="48"/>
  <c r="D13" i="48"/>
  <c r="E13" i="48"/>
  <c r="F13" i="48"/>
  <c r="G13" i="48"/>
  <c r="A14" i="48"/>
  <c r="B14" i="48"/>
  <c r="C14" i="48"/>
  <c r="D14" i="48"/>
  <c r="E14" i="48"/>
  <c r="F14" i="48"/>
  <c r="G14" i="48"/>
  <c r="A15" i="48"/>
  <c r="B15" i="48"/>
  <c r="C15" i="48"/>
  <c r="D15" i="48"/>
  <c r="E15" i="48"/>
  <c r="F15" i="48"/>
  <c r="G15" i="48"/>
  <c r="A16" i="48"/>
  <c r="B16" i="48"/>
  <c r="C16" i="48"/>
  <c r="D16" i="48"/>
  <c r="E16" i="48"/>
  <c r="F16" i="48"/>
  <c r="G16" i="48"/>
  <c r="A17" i="48"/>
  <c r="B17" i="48"/>
  <c r="C17" i="48"/>
  <c r="D17" i="48"/>
  <c r="E17" i="48"/>
  <c r="F17" i="48"/>
  <c r="G17" i="48"/>
  <c r="A18" i="48"/>
  <c r="B18" i="48"/>
  <c r="C18" i="48"/>
  <c r="D18" i="48"/>
  <c r="E18" i="48"/>
  <c r="F18" i="48"/>
  <c r="G18" i="48"/>
  <c r="A19" i="48"/>
  <c r="B19" i="48"/>
  <c r="C19" i="48"/>
  <c r="D19" i="48"/>
  <c r="E19" i="48"/>
  <c r="F19" i="48"/>
  <c r="G19" i="48"/>
  <c r="A20" i="48"/>
  <c r="B20" i="48"/>
  <c r="C20" i="48"/>
  <c r="D20" i="48"/>
  <c r="E20" i="48"/>
  <c r="F20" i="48"/>
  <c r="G20" i="48"/>
  <c r="A21" i="48"/>
  <c r="B21" i="48"/>
  <c r="C21" i="48"/>
  <c r="D21" i="48"/>
  <c r="E21" i="48"/>
  <c r="F21" i="48"/>
  <c r="G21" i="48"/>
  <c r="A22" i="48"/>
  <c r="B22" i="48"/>
  <c r="C22" i="48"/>
  <c r="D22" i="48"/>
  <c r="E22" i="48"/>
  <c r="F22" i="48"/>
  <c r="G22" i="48"/>
  <c r="G4" i="48"/>
  <c r="F4" i="48"/>
  <c r="E4" i="48"/>
  <c r="D4" i="48"/>
  <c r="C4" i="48"/>
  <c r="G4" i="49"/>
  <c r="F4" i="49"/>
  <c r="E4" i="49"/>
  <c r="D4" i="49"/>
  <c r="C4" i="49"/>
  <c r="A4" i="49"/>
  <c r="F2" i="48"/>
  <c r="D2" i="48"/>
  <c r="F2" i="49"/>
  <c r="D2" i="49"/>
  <c r="F2" i="47"/>
  <c r="D2" i="47"/>
  <c r="F2" i="46"/>
  <c r="C5" i="47"/>
  <c r="D5" i="47"/>
  <c r="E5" i="47"/>
  <c r="F5" i="47"/>
  <c r="G5" i="47"/>
  <c r="C6" i="47"/>
  <c r="D6" i="47"/>
  <c r="E6" i="47"/>
  <c r="F6" i="47"/>
  <c r="G6" i="47"/>
  <c r="C7" i="47"/>
  <c r="D7" i="47"/>
  <c r="E7" i="47"/>
  <c r="F7" i="47"/>
  <c r="G7" i="47"/>
  <c r="C8" i="47"/>
  <c r="D8" i="47"/>
  <c r="E8" i="47"/>
  <c r="F8" i="47"/>
  <c r="G8" i="47"/>
  <c r="C9" i="47"/>
  <c r="D9" i="47"/>
  <c r="E9" i="47"/>
  <c r="F9" i="47"/>
  <c r="G9" i="47"/>
  <c r="C10" i="47"/>
  <c r="D10" i="47"/>
  <c r="E10" i="47"/>
  <c r="F10" i="47"/>
  <c r="G10" i="47"/>
  <c r="C11" i="47"/>
  <c r="D11" i="47"/>
  <c r="E11" i="47"/>
  <c r="F11" i="47"/>
  <c r="G11" i="47"/>
  <c r="C12" i="47"/>
  <c r="D12" i="47"/>
  <c r="E12" i="47"/>
  <c r="F12" i="47"/>
  <c r="G12" i="47"/>
  <c r="C13" i="47"/>
  <c r="D13" i="47"/>
  <c r="E13" i="47"/>
  <c r="F13" i="47"/>
  <c r="G13" i="47"/>
  <c r="C14" i="47"/>
  <c r="D14" i="47"/>
  <c r="E14" i="47"/>
  <c r="F14" i="47"/>
  <c r="G14" i="47"/>
  <c r="C15" i="47"/>
  <c r="D15" i="47"/>
  <c r="E15" i="47"/>
  <c r="F15" i="47"/>
  <c r="G15" i="47"/>
  <c r="C16" i="47"/>
  <c r="D16" i="47"/>
  <c r="E16" i="47"/>
  <c r="F16" i="47"/>
  <c r="G16" i="47"/>
  <c r="A17" i="47"/>
  <c r="B17" i="47"/>
  <c r="C17" i="47"/>
  <c r="D17" i="47"/>
  <c r="E17" i="47"/>
  <c r="F17" i="47"/>
  <c r="G17" i="47"/>
  <c r="A18" i="47"/>
  <c r="B18" i="47"/>
  <c r="C18" i="47"/>
  <c r="D18" i="47"/>
  <c r="E18" i="47"/>
  <c r="F18" i="47"/>
  <c r="G18" i="47"/>
  <c r="A19" i="47"/>
  <c r="B19" i="47"/>
  <c r="C19" i="47"/>
  <c r="D19" i="47"/>
  <c r="E19" i="47"/>
  <c r="F19" i="47"/>
  <c r="G19" i="47"/>
  <c r="A20" i="47"/>
  <c r="B20" i="47"/>
  <c r="C20" i="47"/>
  <c r="D20" i="47"/>
  <c r="E20" i="47"/>
  <c r="F20" i="47"/>
  <c r="G20" i="47"/>
  <c r="A21" i="47"/>
  <c r="B21" i="47"/>
  <c r="C21" i="47"/>
  <c r="D21" i="47"/>
  <c r="E21" i="47"/>
  <c r="F21" i="47"/>
  <c r="G21" i="47"/>
  <c r="A22" i="47"/>
  <c r="B22" i="47"/>
  <c r="C22" i="47"/>
  <c r="D22" i="47"/>
  <c r="E22" i="47"/>
  <c r="F22" i="47"/>
  <c r="G22" i="47"/>
  <c r="G4" i="47"/>
  <c r="F4" i="47"/>
  <c r="E4" i="47"/>
  <c r="D4" i="47"/>
  <c r="C4" i="47"/>
  <c r="A4" i="48"/>
  <c r="AR12" i="43" l="1"/>
  <c r="AD12" i="43"/>
  <c r="B4" i="49"/>
  <c r="AS12" i="43" l="1"/>
  <c r="A5" i="48"/>
  <c r="AE12" i="43"/>
  <c r="A5" i="49"/>
  <c r="B5" i="48" l="1"/>
  <c r="AR13" i="43"/>
  <c r="AD13" i="43"/>
  <c r="B5" i="49"/>
  <c r="AS13" i="43" l="1"/>
  <c r="A6" i="48"/>
  <c r="AE13" i="43"/>
  <c r="A6" i="49"/>
  <c r="B6" i="48" l="1"/>
  <c r="AR14" i="43"/>
  <c r="AD14" i="43"/>
  <c r="B6" i="49"/>
  <c r="A7" i="48" l="1"/>
  <c r="AS14" i="43"/>
  <c r="A7" i="49"/>
  <c r="AE14" i="43"/>
  <c r="B7" i="48" l="1"/>
  <c r="AR15" i="43"/>
  <c r="B7" i="49"/>
  <c r="AD15" i="43"/>
  <c r="AE15" i="43" l="1"/>
  <c r="A8" i="49"/>
  <c r="AS15" i="43"/>
  <c r="B8" i="48" s="1"/>
  <c r="A8" i="48"/>
  <c r="B8" i="49" l="1"/>
  <c r="AD16" i="43"/>
  <c r="AE16" i="43" l="1"/>
  <c r="A9" i="49"/>
  <c r="B9" i="49" l="1"/>
  <c r="AD17" i="43"/>
  <c r="AE17" i="43" l="1"/>
  <c r="B10" i="49" s="1"/>
  <c r="A10" i="49"/>
  <c r="P11" i="43" l="1"/>
  <c r="A4" i="47" s="1"/>
  <c r="V105" i="73" l="1"/>
  <c r="R105" i="73"/>
  <c r="V104" i="73"/>
  <c r="R104" i="73"/>
  <c r="V103" i="73"/>
  <c r="R103" i="73"/>
  <c r="V102" i="73"/>
  <c r="R102" i="73"/>
  <c r="V101" i="73"/>
  <c r="R101" i="73"/>
  <c r="V100" i="73"/>
  <c r="R100" i="73"/>
  <c r="V99" i="73"/>
  <c r="R99" i="73"/>
  <c r="V98" i="73"/>
  <c r="R98" i="73"/>
  <c r="V97" i="73"/>
  <c r="R97" i="73"/>
  <c r="V96" i="73"/>
  <c r="R96" i="73"/>
  <c r="V95" i="73"/>
  <c r="R95" i="73"/>
  <c r="V94" i="73"/>
  <c r="R94" i="73"/>
  <c r="V93" i="73"/>
  <c r="R93" i="73"/>
  <c r="V92" i="73"/>
  <c r="R92" i="73"/>
  <c r="V91" i="73"/>
  <c r="R91" i="73"/>
  <c r="V90" i="73"/>
  <c r="R90" i="73"/>
  <c r="V89" i="73"/>
  <c r="R89" i="73"/>
  <c r="V88" i="73"/>
  <c r="R88" i="73"/>
  <c r="V87" i="73"/>
  <c r="R87" i="73"/>
  <c r="V86" i="73"/>
  <c r="R86" i="73"/>
  <c r="V85" i="73"/>
  <c r="R85" i="73"/>
  <c r="V84" i="73"/>
  <c r="R84" i="73"/>
  <c r="V83" i="73"/>
  <c r="R83" i="73"/>
  <c r="V82" i="73"/>
  <c r="R82" i="73"/>
  <c r="V81" i="73"/>
  <c r="R81" i="73"/>
  <c r="V80" i="73"/>
  <c r="R80" i="73"/>
  <c r="V79" i="73"/>
  <c r="R79" i="73"/>
  <c r="V78" i="73"/>
  <c r="R78" i="73"/>
  <c r="V77" i="73"/>
  <c r="R77" i="73"/>
  <c r="V76" i="73"/>
  <c r="R76" i="73"/>
  <c r="V75" i="73"/>
  <c r="R75" i="73"/>
  <c r="V104" i="72"/>
  <c r="R104" i="72"/>
  <c r="V103" i="72"/>
  <c r="R103" i="72"/>
  <c r="V102" i="72"/>
  <c r="R102" i="72"/>
  <c r="V101" i="72"/>
  <c r="R101" i="72"/>
  <c r="V100" i="72"/>
  <c r="R100" i="72"/>
  <c r="V99" i="72"/>
  <c r="R99" i="72"/>
  <c r="V98" i="72"/>
  <c r="R98" i="72"/>
  <c r="V97" i="72"/>
  <c r="R97" i="72"/>
  <c r="V96" i="72"/>
  <c r="R96" i="72"/>
  <c r="V95" i="72"/>
  <c r="R95" i="72"/>
  <c r="V94" i="72"/>
  <c r="R94" i="72"/>
  <c r="V93" i="72"/>
  <c r="R93" i="72"/>
  <c r="V92" i="72"/>
  <c r="R92" i="72"/>
  <c r="V91" i="72"/>
  <c r="R91" i="72"/>
  <c r="V90" i="72"/>
  <c r="R90" i="72"/>
  <c r="V89" i="72"/>
  <c r="R89" i="72"/>
  <c r="V88" i="72"/>
  <c r="R88" i="72"/>
  <c r="V87" i="72"/>
  <c r="R87" i="72"/>
  <c r="V86" i="72"/>
  <c r="R86" i="72"/>
  <c r="V85" i="72"/>
  <c r="R85" i="72"/>
  <c r="V84" i="72"/>
  <c r="R84" i="72"/>
  <c r="V83" i="72"/>
  <c r="R83" i="72"/>
  <c r="V82" i="72"/>
  <c r="R82" i="72"/>
  <c r="V81" i="72"/>
  <c r="R81" i="72"/>
  <c r="V80" i="72"/>
  <c r="R80" i="72"/>
  <c r="V79" i="72"/>
  <c r="R79" i="72"/>
  <c r="V78" i="72"/>
  <c r="R78" i="72"/>
  <c r="V77" i="72"/>
  <c r="R77" i="72"/>
  <c r="V76" i="72"/>
  <c r="R76" i="72"/>
  <c r="V75" i="72"/>
  <c r="R75" i="72"/>
  <c r="V74" i="72"/>
  <c r="R74" i="72"/>
  <c r="V105" i="71"/>
  <c r="R105" i="71"/>
  <c r="V104" i="71"/>
  <c r="R104" i="71"/>
  <c r="V103" i="71"/>
  <c r="R103" i="71"/>
  <c r="V102" i="71"/>
  <c r="R102" i="71"/>
  <c r="V101" i="71"/>
  <c r="R101" i="71"/>
  <c r="V100" i="71"/>
  <c r="R100" i="71"/>
  <c r="V99" i="71"/>
  <c r="R99" i="71"/>
  <c r="V98" i="71"/>
  <c r="R98" i="71"/>
  <c r="V97" i="71"/>
  <c r="R97" i="71"/>
  <c r="V96" i="71"/>
  <c r="R96" i="71"/>
  <c r="V95" i="71"/>
  <c r="R95" i="71"/>
  <c r="V94" i="71"/>
  <c r="R94" i="71"/>
  <c r="V93" i="71"/>
  <c r="R93" i="71"/>
  <c r="V92" i="71"/>
  <c r="R92" i="71"/>
  <c r="V91" i="71"/>
  <c r="R91" i="71"/>
  <c r="V90" i="71"/>
  <c r="R90" i="71"/>
  <c r="V89" i="71"/>
  <c r="R89" i="71"/>
  <c r="V88" i="71"/>
  <c r="R88" i="71"/>
  <c r="V87" i="71"/>
  <c r="R87" i="71"/>
  <c r="V86" i="71"/>
  <c r="R86" i="71"/>
  <c r="V85" i="71"/>
  <c r="R85" i="71"/>
  <c r="V84" i="71"/>
  <c r="R84" i="71"/>
  <c r="V83" i="71"/>
  <c r="R83" i="71"/>
  <c r="V82" i="71"/>
  <c r="R82" i="71"/>
  <c r="V81" i="71"/>
  <c r="R81" i="71"/>
  <c r="V80" i="71"/>
  <c r="R80" i="71"/>
  <c r="V79" i="71"/>
  <c r="R79" i="71"/>
  <c r="V78" i="71"/>
  <c r="R78" i="71"/>
  <c r="V77" i="71"/>
  <c r="R77" i="71"/>
  <c r="V76" i="71"/>
  <c r="R76" i="71"/>
  <c r="V75" i="71"/>
  <c r="R75" i="71"/>
  <c r="V104" i="70"/>
  <c r="R104" i="70"/>
  <c r="V103" i="70"/>
  <c r="R103" i="70"/>
  <c r="V102" i="70"/>
  <c r="R102" i="70"/>
  <c r="V101" i="70"/>
  <c r="R101" i="70"/>
  <c r="V100" i="70"/>
  <c r="R100" i="70"/>
  <c r="V99" i="70"/>
  <c r="R99" i="70"/>
  <c r="V98" i="70"/>
  <c r="R98" i="70"/>
  <c r="V97" i="70"/>
  <c r="R97" i="70"/>
  <c r="V96" i="70"/>
  <c r="R96" i="70"/>
  <c r="V95" i="70"/>
  <c r="R95" i="70"/>
  <c r="V94" i="70"/>
  <c r="R94" i="70"/>
  <c r="V93" i="70"/>
  <c r="R93" i="70"/>
  <c r="V92" i="70"/>
  <c r="R92" i="70"/>
  <c r="V91" i="70"/>
  <c r="R91" i="70"/>
  <c r="V90" i="70"/>
  <c r="R90" i="70"/>
  <c r="V89" i="70"/>
  <c r="R89" i="70"/>
  <c r="V88" i="70"/>
  <c r="R88" i="70"/>
  <c r="V87" i="70"/>
  <c r="R87" i="70"/>
  <c r="V86" i="70"/>
  <c r="R86" i="70"/>
  <c r="V85" i="70"/>
  <c r="R85" i="70"/>
  <c r="V84" i="70"/>
  <c r="R84" i="70"/>
  <c r="V83" i="70"/>
  <c r="R83" i="70"/>
  <c r="V82" i="70"/>
  <c r="R82" i="70"/>
  <c r="V81" i="70"/>
  <c r="R81" i="70"/>
  <c r="V80" i="70"/>
  <c r="R80" i="70"/>
  <c r="V79" i="70"/>
  <c r="R79" i="70"/>
  <c r="V78" i="70"/>
  <c r="R78" i="70"/>
  <c r="V77" i="70"/>
  <c r="R77" i="70"/>
  <c r="V76" i="70"/>
  <c r="R76" i="70"/>
  <c r="V75" i="70"/>
  <c r="R75" i="70"/>
  <c r="V74" i="70"/>
  <c r="R74" i="70"/>
  <c r="V105" i="69"/>
  <c r="R105" i="69"/>
  <c r="V104" i="69"/>
  <c r="R104" i="69"/>
  <c r="V103" i="69"/>
  <c r="R103" i="69"/>
  <c r="V102" i="69"/>
  <c r="R102" i="69"/>
  <c r="V101" i="69"/>
  <c r="R101" i="69"/>
  <c r="V100" i="69"/>
  <c r="R100" i="69"/>
  <c r="V99" i="69"/>
  <c r="R99" i="69"/>
  <c r="V98" i="69"/>
  <c r="R98" i="69"/>
  <c r="V97" i="69"/>
  <c r="R97" i="69"/>
  <c r="V96" i="69"/>
  <c r="R96" i="69"/>
  <c r="V95" i="69"/>
  <c r="R95" i="69"/>
  <c r="V94" i="69"/>
  <c r="R94" i="69"/>
  <c r="V93" i="69"/>
  <c r="R93" i="69"/>
  <c r="V92" i="69"/>
  <c r="R92" i="69"/>
  <c r="V91" i="69"/>
  <c r="R91" i="69"/>
  <c r="V90" i="69"/>
  <c r="R90" i="69"/>
  <c r="V89" i="69"/>
  <c r="R89" i="69"/>
  <c r="V88" i="69"/>
  <c r="R88" i="69"/>
  <c r="V87" i="69"/>
  <c r="R87" i="69"/>
  <c r="V86" i="69"/>
  <c r="R86" i="69"/>
  <c r="V85" i="69"/>
  <c r="R85" i="69"/>
  <c r="V84" i="69"/>
  <c r="R84" i="69"/>
  <c r="V83" i="69"/>
  <c r="R83" i="69"/>
  <c r="V82" i="69"/>
  <c r="R82" i="69"/>
  <c r="V81" i="69"/>
  <c r="R81" i="69"/>
  <c r="V80" i="69"/>
  <c r="R80" i="69"/>
  <c r="V79" i="69"/>
  <c r="R79" i="69"/>
  <c r="V78" i="69"/>
  <c r="R78" i="69"/>
  <c r="V77" i="69"/>
  <c r="R77" i="69"/>
  <c r="V76" i="69"/>
  <c r="R76" i="69"/>
  <c r="V75" i="69"/>
  <c r="R75" i="69"/>
  <c r="V103" i="68"/>
  <c r="R103" i="68"/>
  <c r="V102" i="68"/>
  <c r="R102" i="68"/>
  <c r="V101" i="68"/>
  <c r="R101" i="68"/>
  <c r="V100" i="68"/>
  <c r="R100" i="68"/>
  <c r="V99" i="68"/>
  <c r="R99" i="68"/>
  <c r="V98" i="68"/>
  <c r="R98" i="68"/>
  <c r="V97" i="68"/>
  <c r="R97" i="68"/>
  <c r="V96" i="68"/>
  <c r="R96" i="68"/>
  <c r="V95" i="68"/>
  <c r="R95" i="68"/>
  <c r="V94" i="68"/>
  <c r="R94" i="68"/>
  <c r="V93" i="68"/>
  <c r="R93" i="68"/>
  <c r="V92" i="68"/>
  <c r="R92" i="68"/>
  <c r="V91" i="68"/>
  <c r="R91" i="68"/>
  <c r="V90" i="68"/>
  <c r="R90" i="68"/>
  <c r="V89" i="68"/>
  <c r="R89" i="68"/>
  <c r="V88" i="68"/>
  <c r="R88" i="68"/>
  <c r="V87" i="68"/>
  <c r="R87" i="68"/>
  <c r="V86" i="68"/>
  <c r="R86" i="68"/>
  <c r="V85" i="68"/>
  <c r="R85" i="68"/>
  <c r="V84" i="68"/>
  <c r="R84" i="68"/>
  <c r="V83" i="68"/>
  <c r="R83" i="68"/>
  <c r="V82" i="68"/>
  <c r="R82" i="68"/>
  <c r="V81" i="68"/>
  <c r="R81" i="68"/>
  <c r="V80" i="68"/>
  <c r="R80" i="68"/>
  <c r="V79" i="68"/>
  <c r="R79" i="68"/>
  <c r="V78" i="68"/>
  <c r="R78" i="68"/>
  <c r="V77" i="68"/>
  <c r="R77" i="68"/>
  <c r="V76" i="68"/>
  <c r="R76" i="68"/>
  <c r="V75" i="68"/>
  <c r="R75" i="68"/>
  <c r="V74" i="68"/>
  <c r="R74" i="68"/>
  <c r="V73" i="68"/>
  <c r="R73" i="68"/>
  <c r="V105" i="67"/>
  <c r="R105" i="67"/>
  <c r="V104" i="67"/>
  <c r="R104" i="67"/>
  <c r="V103" i="67"/>
  <c r="R103" i="67"/>
  <c r="V102" i="67"/>
  <c r="R102" i="67"/>
  <c r="V101" i="67"/>
  <c r="R101" i="67"/>
  <c r="V100" i="67"/>
  <c r="R100" i="67"/>
  <c r="V99" i="67"/>
  <c r="R99" i="67"/>
  <c r="V98" i="67"/>
  <c r="R98" i="67"/>
  <c r="V97" i="67"/>
  <c r="R97" i="67"/>
  <c r="V96" i="67"/>
  <c r="R96" i="67"/>
  <c r="V95" i="67"/>
  <c r="R95" i="67"/>
  <c r="V94" i="67"/>
  <c r="R94" i="67"/>
  <c r="V93" i="67"/>
  <c r="R93" i="67"/>
  <c r="V92" i="67"/>
  <c r="R92" i="67"/>
  <c r="V91" i="67"/>
  <c r="R91" i="67"/>
  <c r="V90" i="67"/>
  <c r="R90" i="67"/>
  <c r="V89" i="67"/>
  <c r="R89" i="67"/>
  <c r="V88" i="67"/>
  <c r="R88" i="67"/>
  <c r="V87" i="67"/>
  <c r="R87" i="67"/>
  <c r="V86" i="67"/>
  <c r="R86" i="67"/>
  <c r="V85" i="67"/>
  <c r="R85" i="67"/>
  <c r="V84" i="67"/>
  <c r="R84" i="67"/>
  <c r="V83" i="67"/>
  <c r="R83" i="67"/>
  <c r="V82" i="67"/>
  <c r="R82" i="67"/>
  <c r="V81" i="67"/>
  <c r="R81" i="67"/>
  <c r="V80" i="67"/>
  <c r="R80" i="67"/>
  <c r="V79" i="67"/>
  <c r="R79" i="67"/>
  <c r="V78" i="67"/>
  <c r="R78" i="67"/>
  <c r="V77" i="67"/>
  <c r="R77" i="67"/>
  <c r="V76" i="67"/>
  <c r="R76" i="67"/>
  <c r="V75" i="67"/>
  <c r="R75" i="67"/>
  <c r="V105" i="66"/>
  <c r="R105" i="66"/>
  <c r="V104" i="66"/>
  <c r="R104" i="66"/>
  <c r="V103" i="66"/>
  <c r="R103" i="66"/>
  <c r="V102" i="66"/>
  <c r="R102" i="66"/>
  <c r="V101" i="66"/>
  <c r="R101" i="66"/>
  <c r="V100" i="66"/>
  <c r="R100" i="66"/>
  <c r="V99" i="66"/>
  <c r="R99" i="66"/>
  <c r="V98" i="66"/>
  <c r="R98" i="66"/>
  <c r="V97" i="66"/>
  <c r="R97" i="66"/>
  <c r="V96" i="66"/>
  <c r="R96" i="66"/>
  <c r="V95" i="66"/>
  <c r="R95" i="66"/>
  <c r="V94" i="66"/>
  <c r="R94" i="66"/>
  <c r="V93" i="66"/>
  <c r="R93" i="66"/>
  <c r="V92" i="66"/>
  <c r="R92" i="66"/>
  <c r="V91" i="66"/>
  <c r="R91" i="66"/>
  <c r="V90" i="66"/>
  <c r="R90" i="66"/>
  <c r="V89" i="66"/>
  <c r="R89" i="66"/>
  <c r="V88" i="66"/>
  <c r="R88" i="66"/>
  <c r="V87" i="66"/>
  <c r="R87" i="66"/>
  <c r="V86" i="66"/>
  <c r="R86" i="66"/>
  <c r="V85" i="66"/>
  <c r="R85" i="66"/>
  <c r="V84" i="66"/>
  <c r="R84" i="66"/>
  <c r="V83" i="66"/>
  <c r="R83" i="66"/>
  <c r="V82" i="66"/>
  <c r="R82" i="66"/>
  <c r="V81" i="66"/>
  <c r="R81" i="66"/>
  <c r="V80" i="66"/>
  <c r="R80" i="66"/>
  <c r="V79" i="66"/>
  <c r="R79" i="66"/>
  <c r="V78" i="66"/>
  <c r="R78" i="66"/>
  <c r="V77" i="66"/>
  <c r="R77" i="66"/>
  <c r="V76" i="66"/>
  <c r="R76" i="66"/>
  <c r="V75" i="66"/>
  <c r="R75" i="66"/>
  <c r="V104" i="65"/>
  <c r="R104" i="65"/>
  <c r="V103" i="65"/>
  <c r="R103" i="65"/>
  <c r="V102" i="65"/>
  <c r="R102" i="65"/>
  <c r="V101" i="65"/>
  <c r="R101" i="65"/>
  <c r="V100" i="65"/>
  <c r="R100" i="65"/>
  <c r="V99" i="65"/>
  <c r="R99" i="65"/>
  <c r="V98" i="65"/>
  <c r="R98" i="65"/>
  <c r="V97" i="65"/>
  <c r="R97" i="65"/>
  <c r="V96" i="65"/>
  <c r="R96" i="65"/>
  <c r="V95" i="65"/>
  <c r="R95" i="65"/>
  <c r="V94" i="65"/>
  <c r="R94" i="65"/>
  <c r="V93" i="65"/>
  <c r="R93" i="65"/>
  <c r="V92" i="65"/>
  <c r="R92" i="65"/>
  <c r="V91" i="65"/>
  <c r="R91" i="65"/>
  <c r="V90" i="65"/>
  <c r="R90" i="65"/>
  <c r="V89" i="65"/>
  <c r="R89" i="65"/>
  <c r="V88" i="65"/>
  <c r="R88" i="65"/>
  <c r="V87" i="65"/>
  <c r="R87" i="65"/>
  <c r="V86" i="65"/>
  <c r="R86" i="65"/>
  <c r="V85" i="65"/>
  <c r="R85" i="65"/>
  <c r="V84" i="65"/>
  <c r="R84" i="65"/>
  <c r="V83" i="65"/>
  <c r="R83" i="65"/>
  <c r="V82" i="65"/>
  <c r="R82" i="65"/>
  <c r="V81" i="65"/>
  <c r="R81" i="65"/>
  <c r="V80" i="65"/>
  <c r="R80" i="65"/>
  <c r="V79" i="65"/>
  <c r="R79" i="65"/>
  <c r="V78" i="65"/>
  <c r="R78" i="65"/>
  <c r="V77" i="65"/>
  <c r="R77" i="65"/>
  <c r="V76" i="65"/>
  <c r="R76" i="65"/>
  <c r="V75" i="65"/>
  <c r="R75" i="65"/>
  <c r="V74" i="65"/>
  <c r="R74" i="65"/>
  <c r="V105" i="64"/>
  <c r="R105" i="64"/>
  <c r="V104" i="64"/>
  <c r="R104" i="64"/>
  <c r="V103" i="64"/>
  <c r="R103" i="64"/>
  <c r="V102" i="64"/>
  <c r="R102" i="64"/>
  <c r="V101" i="64"/>
  <c r="R101" i="64"/>
  <c r="V100" i="64"/>
  <c r="R100" i="64"/>
  <c r="V99" i="64"/>
  <c r="R99" i="64"/>
  <c r="V98" i="64"/>
  <c r="R98" i="64"/>
  <c r="V97" i="64"/>
  <c r="R97" i="64"/>
  <c r="V96" i="64"/>
  <c r="R96" i="64"/>
  <c r="V95" i="64"/>
  <c r="R95" i="64"/>
  <c r="V94" i="64"/>
  <c r="R94" i="64"/>
  <c r="V93" i="64"/>
  <c r="R93" i="64"/>
  <c r="V92" i="64"/>
  <c r="R92" i="64"/>
  <c r="V91" i="64"/>
  <c r="R91" i="64"/>
  <c r="V90" i="64"/>
  <c r="R90" i="64"/>
  <c r="V89" i="64"/>
  <c r="R89" i="64"/>
  <c r="V88" i="64"/>
  <c r="R88" i="64"/>
  <c r="V87" i="64"/>
  <c r="R87" i="64"/>
  <c r="V86" i="64"/>
  <c r="R86" i="64"/>
  <c r="V85" i="64"/>
  <c r="R85" i="64"/>
  <c r="V84" i="64"/>
  <c r="R84" i="64"/>
  <c r="V83" i="64"/>
  <c r="R83" i="64"/>
  <c r="V82" i="64"/>
  <c r="R82" i="64"/>
  <c r="V81" i="64"/>
  <c r="R81" i="64"/>
  <c r="V80" i="64"/>
  <c r="R80" i="64"/>
  <c r="V79" i="64"/>
  <c r="R79" i="64"/>
  <c r="V78" i="64"/>
  <c r="R78" i="64"/>
  <c r="V77" i="64"/>
  <c r="R77" i="64"/>
  <c r="V76" i="64"/>
  <c r="R76" i="64"/>
  <c r="V75" i="64"/>
  <c r="R75" i="64"/>
  <c r="GC37" i="68"/>
  <c r="GB37" i="68"/>
  <c r="GA37" i="68"/>
  <c r="FZ37" i="68"/>
  <c r="FY37" i="68"/>
  <c r="FX37" i="68"/>
  <c r="FW37" i="68"/>
  <c r="FV37" i="68"/>
  <c r="FT37" i="68"/>
  <c r="FS37" i="68"/>
  <c r="FQ37" i="68"/>
  <c r="FO37" i="68"/>
  <c r="FN37" i="68"/>
  <c r="FM37" i="68"/>
  <c r="FK37" i="68"/>
  <c r="FI37" i="68"/>
  <c r="ER37" i="68"/>
  <c r="EQ37" i="68"/>
  <c r="EP37" i="68"/>
  <c r="EO37" i="68"/>
  <c r="EN37" i="68"/>
  <c r="EM37" i="68"/>
  <c r="EK37" i="68"/>
  <c r="EI37" i="68"/>
  <c r="EH37" i="68"/>
  <c r="EG37" i="68"/>
  <c r="EE37" i="68"/>
  <c r="ED37" i="68"/>
  <c r="EC37" i="68"/>
  <c r="GC36" i="68"/>
  <c r="GB36" i="68"/>
  <c r="GA36" i="68"/>
  <c r="FZ36" i="68"/>
  <c r="FY36" i="68"/>
  <c r="FX36" i="68"/>
  <c r="FW36" i="68"/>
  <c r="FV36" i="68"/>
  <c r="FT36" i="68"/>
  <c r="FS36" i="68"/>
  <c r="FQ36" i="68"/>
  <c r="FO36" i="68"/>
  <c r="FN36" i="68"/>
  <c r="FM36" i="68"/>
  <c r="FK36" i="68"/>
  <c r="FI36" i="68"/>
  <c r="GC35" i="68"/>
  <c r="GB35" i="68"/>
  <c r="GA35" i="68"/>
  <c r="FZ35" i="68"/>
  <c r="FY35" i="68"/>
  <c r="FX35" i="68"/>
  <c r="FW35" i="68"/>
  <c r="FV35" i="68"/>
  <c r="FT35" i="68"/>
  <c r="FS35" i="68"/>
  <c r="FQ35" i="68"/>
  <c r="FO35" i="68"/>
  <c r="FN35" i="68"/>
  <c r="FM35" i="68"/>
  <c r="FK35" i="68"/>
  <c r="FI35" i="68"/>
  <c r="GC34" i="68"/>
  <c r="GB34" i="68"/>
  <c r="GA34" i="68"/>
  <c r="FZ34" i="68"/>
  <c r="FY34" i="68"/>
  <c r="FX34" i="68"/>
  <c r="FW34" i="68"/>
  <c r="FV34" i="68"/>
  <c r="FT34" i="68"/>
  <c r="FS34" i="68"/>
  <c r="FQ34" i="68"/>
  <c r="FO34" i="68"/>
  <c r="FN34" i="68"/>
  <c r="FM34" i="68"/>
  <c r="FK34" i="68"/>
  <c r="FI34" i="68"/>
  <c r="GC33" i="68"/>
  <c r="GB33" i="68"/>
  <c r="GA33" i="68"/>
  <c r="FZ33" i="68"/>
  <c r="FY33" i="68"/>
  <c r="FX33" i="68"/>
  <c r="FW33" i="68"/>
  <c r="FV33" i="68"/>
  <c r="FT33" i="68"/>
  <c r="FS33" i="68"/>
  <c r="FQ33" i="68"/>
  <c r="FO33" i="68"/>
  <c r="FN33" i="68"/>
  <c r="FM33" i="68"/>
  <c r="FK33" i="68"/>
  <c r="FI33" i="68"/>
  <c r="GC32" i="68"/>
  <c r="GB32" i="68"/>
  <c r="GA32" i="68"/>
  <c r="FZ32" i="68"/>
  <c r="FY32" i="68"/>
  <c r="FX32" i="68"/>
  <c r="FW32" i="68"/>
  <c r="FV32" i="68"/>
  <c r="FT32" i="68"/>
  <c r="FS32" i="68"/>
  <c r="FQ32" i="68"/>
  <c r="FO32" i="68"/>
  <c r="FN32" i="68"/>
  <c r="FM32" i="68"/>
  <c r="FK32" i="68"/>
  <c r="FI32" i="68"/>
  <c r="GC31" i="68"/>
  <c r="GB31" i="68"/>
  <c r="GA31" i="68"/>
  <c r="FZ31" i="68"/>
  <c r="FY31" i="68"/>
  <c r="FX31" i="68"/>
  <c r="FW31" i="68"/>
  <c r="FV31" i="68"/>
  <c r="FT31" i="68"/>
  <c r="FS31" i="68"/>
  <c r="FQ31" i="68"/>
  <c r="FO31" i="68"/>
  <c r="FN31" i="68"/>
  <c r="FM31" i="68"/>
  <c r="FK31" i="68"/>
  <c r="FI31" i="68"/>
  <c r="GC30" i="68"/>
  <c r="GB30" i="68"/>
  <c r="GA30" i="68"/>
  <c r="FZ30" i="68"/>
  <c r="FY30" i="68"/>
  <c r="FX30" i="68"/>
  <c r="FW30" i="68"/>
  <c r="FV30" i="68"/>
  <c r="FT30" i="68"/>
  <c r="FS30" i="68"/>
  <c r="FQ30" i="68"/>
  <c r="FO30" i="68"/>
  <c r="FN30" i="68"/>
  <c r="FM30" i="68"/>
  <c r="FK30" i="68"/>
  <c r="FI30" i="68"/>
  <c r="GC29" i="68"/>
  <c r="GB29" i="68"/>
  <c r="GA29" i="68"/>
  <c r="FZ29" i="68"/>
  <c r="FY29" i="68"/>
  <c r="FX29" i="68"/>
  <c r="FW29" i="68"/>
  <c r="FV29" i="68"/>
  <c r="FT29" i="68"/>
  <c r="FS29" i="68"/>
  <c r="FQ29" i="68"/>
  <c r="FO29" i="68"/>
  <c r="FN29" i="68"/>
  <c r="FM29" i="68"/>
  <c r="FK29" i="68"/>
  <c r="FI29" i="68"/>
  <c r="GC28" i="68"/>
  <c r="GB28" i="68"/>
  <c r="GA28" i="68"/>
  <c r="FZ28" i="68"/>
  <c r="FY28" i="68"/>
  <c r="FX28" i="68"/>
  <c r="FW28" i="68"/>
  <c r="FV28" i="68"/>
  <c r="FT28" i="68"/>
  <c r="FS28" i="68"/>
  <c r="FQ28" i="68"/>
  <c r="FO28" i="68"/>
  <c r="FN28" i="68"/>
  <c r="FM28" i="68"/>
  <c r="FK28" i="68"/>
  <c r="FI28" i="68"/>
  <c r="GC27" i="68"/>
  <c r="GB27" i="68"/>
  <c r="GA27" i="68"/>
  <c r="FZ27" i="68"/>
  <c r="FY27" i="68"/>
  <c r="FX27" i="68"/>
  <c r="FW27" i="68"/>
  <c r="FV27" i="68"/>
  <c r="FT27" i="68"/>
  <c r="FS27" i="68"/>
  <c r="FQ27" i="68"/>
  <c r="FO27" i="68"/>
  <c r="FN27" i="68"/>
  <c r="FM27" i="68"/>
  <c r="FK27" i="68"/>
  <c r="FI27" i="68"/>
  <c r="GC26" i="68"/>
  <c r="GB26" i="68"/>
  <c r="GA26" i="68"/>
  <c r="FZ26" i="68"/>
  <c r="FY26" i="68"/>
  <c r="FX26" i="68"/>
  <c r="FW26" i="68"/>
  <c r="FV26" i="68"/>
  <c r="FT26" i="68"/>
  <c r="FS26" i="68"/>
  <c r="FQ26" i="68"/>
  <c r="FO26" i="68"/>
  <c r="FN26" i="68"/>
  <c r="FM26" i="68"/>
  <c r="FK26" i="68"/>
  <c r="FI26" i="68"/>
  <c r="GC25" i="68"/>
  <c r="GB25" i="68"/>
  <c r="GA25" i="68"/>
  <c r="FZ25" i="68"/>
  <c r="FY25" i="68"/>
  <c r="FX25" i="68"/>
  <c r="FW25" i="68"/>
  <c r="FV25" i="68"/>
  <c r="FT25" i="68"/>
  <c r="FS25" i="68"/>
  <c r="FQ25" i="68"/>
  <c r="FO25" i="68"/>
  <c r="FN25" i="68"/>
  <c r="FM25" i="68"/>
  <c r="FK25" i="68"/>
  <c r="FI25" i="68"/>
  <c r="GC24" i="68"/>
  <c r="GB24" i="68"/>
  <c r="GA24" i="68"/>
  <c r="FZ24" i="68"/>
  <c r="FY24" i="68"/>
  <c r="FX24" i="68"/>
  <c r="FW24" i="68"/>
  <c r="FV24" i="68"/>
  <c r="FT24" i="68"/>
  <c r="FS24" i="68"/>
  <c r="FQ24" i="68"/>
  <c r="FO24" i="68"/>
  <c r="FN24" i="68"/>
  <c r="FM24" i="68"/>
  <c r="FK24" i="68"/>
  <c r="FI24" i="68"/>
  <c r="GC23" i="68"/>
  <c r="GB23" i="68"/>
  <c r="GA23" i="68"/>
  <c r="FZ23" i="68"/>
  <c r="FY23" i="68"/>
  <c r="FX23" i="68"/>
  <c r="FW23" i="68"/>
  <c r="FV23" i="68"/>
  <c r="FT23" i="68"/>
  <c r="FS23" i="68"/>
  <c r="FQ23" i="68"/>
  <c r="FO23" i="68"/>
  <c r="FN23" i="68"/>
  <c r="FM23" i="68"/>
  <c r="FK23" i="68"/>
  <c r="FI23" i="68"/>
  <c r="GC22" i="68"/>
  <c r="GB22" i="68"/>
  <c r="GA22" i="68"/>
  <c r="FZ22" i="68"/>
  <c r="FY22" i="68"/>
  <c r="FX22" i="68"/>
  <c r="FW22" i="68"/>
  <c r="FV22" i="68"/>
  <c r="FT22" i="68"/>
  <c r="FS22" i="68"/>
  <c r="FQ22" i="68"/>
  <c r="FO22" i="68"/>
  <c r="FN22" i="68"/>
  <c r="FM22" i="68"/>
  <c r="FK22" i="68"/>
  <c r="FI22" i="68"/>
  <c r="GC21" i="68"/>
  <c r="GB21" i="68"/>
  <c r="GA21" i="68"/>
  <c r="FZ21" i="68"/>
  <c r="FY21" i="68"/>
  <c r="FX21" i="68"/>
  <c r="FW21" i="68"/>
  <c r="FV21" i="68"/>
  <c r="FT21" i="68"/>
  <c r="FS21" i="68"/>
  <c r="FQ21" i="68"/>
  <c r="FO21" i="68"/>
  <c r="FN21" i="68"/>
  <c r="FM21" i="68"/>
  <c r="FK21" i="68"/>
  <c r="FI21" i="68"/>
  <c r="GC20" i="68"/>
  <c r="GB20" i="68"/>
  <c r="GA20" i="68"/>
  <c r="FZ20" i="68"/>
  <c r="FY20" i="68"/>
  <c r="FX20" i="68"/>
  <c r="FW20" i="68"/>
  <c r="FV20" i="68"/>
  <c r="FT20" i="68"/>
  <c r="FS20" i="68"/>
  <c r="FQ20" i="68"/>
  <c r="FO20" i="68"/>
  <c r="FN20" i="68"/>
  <c r="FM20" i="68"/>
  <c r="FK20" i="68"/>
  <c r="FI20" i="68"/>
  <c r="GC19" i="68"/>
  <c r="GB19" i="68"/>
  <c r="GA19" i="68"/>
  <c r="FZ19" i="68"/>
  <c r="FY19" i="68"/>
  <c r="FX19" i="68"/>
  <c r="FW19" i="68"/>
  <c r="FV19" i="68"/>
  <c r="FT19" i="68"/>
  <c r="FS19" i="68"/>
  <c r="FQ19" i="68"/>
  <c r="FO19" i="68"/>
  <c r="FN19" i="68"/>
  <c r="FM19" i="68"/>
  <c r="FK19" i="68"/>
  <c r="FI19" i="68"/>
  <c r="GC18" i="68"/>
  <c r="GB18" i="68"/>
  <c r="GA18" i="68"/>
  <c r="FZ18" i="68"/>
  <c r="FY18" i="68"/>
  <c r="FX18" i="68"/>
  <c r="FW18" i="68"/>
  <c r="FV18" i="68"/>
  <c r="FT18" i="68"/>
  <c r="FS18" i="68"/>
  <c r="FQ18" i="68"/>
  <c r="FO18" i="68"/>
  <c r="FN18" i="68"/>
  <c r="FM18" i="68"/>
  <c r="FK18" i="68"/>
  <c r="FI18" i="68"/>
  <c r="GC17" i="68"/>
  <c r="GB17" i="68"/>
  <c r="GA17" i="68"/>
  <c r="FZ17" i="68"/>
  <c r="FY17" i="68"/>
  <c r="FX17" i="68"/>
  <c r="FW17" i="68"/>
  <c r="FV17" i="68"/>
  <c r="FT17" i="68"/>
  <c r="FS17" i="68"/>
  <c r="FQ17" i="68"/>
  <c r="FO17" i="68"/>
  <c r="FN17" i="68"/>
  <c r="FM17" i="68"/>
  <c r="FK17" i="68"/>
  <c r="FI17" i="68"/>
  <c r="GC16" i="68"/>
  <c r="GB16" i="68"/>
  <c r="GA16" i="68"/>
  <c r="FZ16" i="68"/>
  <c r="FY16" i="68"/>
  <c r="FX16" i="68"/>
  <c r="FW16" i="68"/>
  <c r="FV16" i="68"/>
  <c r="FT16" i="68"/>
  <c r="FS16" i="68"/>
  <c r="FQ16" i="68"/>
  <c r="FO16" i="68"/>
  <c r="FN16" i="68"/>
  <c r="FM16" i="68"/>
  <c r="FK16" i="68"/>
  <c r="FI16" i="68"/>
  <c r="GC15" i="68"/>
  <c r="GB15" i="68"/>
  <c r="GA15" i="68"/>
  <c r="FZ15" i="68"/>
  <c r="FY15" i="68"/>
  <c r="FX15" i="68"/>
  <c r="FW15" i="68"/>
  <c r="FV15" i="68"/>
  <c r="FT15" i="68"/>
  <c r="FS15" i="68"/>
  <c r="FQ15" i="68"/>
  <c r="FO15" i="68"/>
  <c r="FN15" i="68"/>
  <c r="FM15" i="68"/>
  <c r="FK15" i="68"/>
  <c r="FI15" i="68"/>
  <c r="GC14" i="68"/>
  <c r="GB14" i="68"/>
  <c r="GA14" i="68"/>
  <c r="FZ14" i="68"/>
  <c r="FY14" i="68"/>
  <c r="FX14" i="68"/>
  <c r="FW14" i="68"/>
  <c r="FV14" i="68"/>
  <c r="FT14" i="68"/>
  <c r="FS14" i="68"/>
  <c r="FQ14" i="68"/>
  <c r="FO14" i="68"/>
  <c r="FN14" i="68"/>
  <c r="FM14" i="68"/>
  <c r="FK14" i="68"/>
  <c r="FI14" i="68"/>
  <c r="GC13" i="68"/>
  <c r="GB13" i="68"/>
  <c r="GA13" i="68"/>
  <c r="FZ13" i="68"/>
  <c r="FY13" i="68"/>
  <c r="FX13" i="68"/>
  <c r="FW13" i="68"/>
  <c r="FV13" i="68"/>
  <c r="FT13" i="68"/>
  <c r="FS13" i="68"/>
  <c r="FQ13" i="68"/>
  <c r="FO13" i="68"/>
  <c r="FN13" i="68"/>
  <c r="FM13" i="68"/>
  <c r="FK13" i="68"/>
  <c r="FI13" i="68"/>
  <c r="GC12" i="68"/>
  <c r="GB12" i="68"/>
  <c r="GA12" i="68"/>
  <c r="FZ12" i="68"/>
  <c r="FY12" i="68"/>
  <c r="FX12" i="68"/>
  <c r="FW12" i="68"/>
  <c r="FV12" i="68"/>
  <c r="FT12" i="68"/>
  <c r="FS12" i="68"/>
  <c r="FQ12" i="68"/>
  <c r="FO12" i="68"/>
  <c r="FN12" i="68"/>
  <c r="FM12" i="68"/>
  <c r="FK12" i="68"/>
  <c r="FI12" i="68"/>
  <c r="GC11" i="68"/>
  <c r="GB11" i="68"/>
  <c r="GA11" i="68"/>
  <c r="FZ11" i="68"/>
  <c r="FY11" i="68"/>
  <c r="FX11" i="68"/>
  <c r="FW11" i="68"/>
  <c r="FV11" i="68"/>
  <c r="FT11" i="68"/>
  <c r="FS11" i="68"/>
  <c r="FQ11" i="68"/>
  <c r="FO11" i="68"/>
  <c r="FN11" i="68"/>
  <c r="FM11" i="68"/>
  <c r="FK11" i="68"/>
  <c r="FI11" i="68"/>
  <c r="GC10" i="68"/>
  <c r="GB10" i="68"/>
  <c r="GA10" i="68"/>
  <c r="FZ10" i="68"/>
  <c r="FY10" i="68"/>
  <c r="FX10" i="68"/>
  <c r="FW10" i="68"/>
  <c r="FV10" i="68"/>
  <c r="FT10" i="68"/>
  <c r="FS10" i="68"/>
  <c r="FQ10" i="68"/>
  <c r="FO10" i="68"/>
  <c r="FN10" i="68"/>
  <c r="FM10" i="68"/>
  <c r="FK10" i="68"/>
  <c r="FI10" i="68"/>
  <c r="GC9" i="68"/>
  <c r="GB9" i="68"/>
  <c r="GA9" i="68"/>
  <c r="FZ9" i="68"/>
  <c r="FY9" i="68"/>
  <c r="FX9" i="68"/>
  <c r="FW9" i="68"/>
  <c r="FV9" i="68"/>
  <c r="FT9" i="68"/>
  <c r="FS9" i="68"/>
  <c r="FQ9" i="68"/>
  <c r="FO9" i="68"/>
  <c r="FN9" i="68"/>
  <c r="FM9" i="68"/>
  <c r="FL9" i="68"/>
  <c r="FK9" i="68"/>
  <c r="FJ9" i="68"/>
  <c r="FI9" i="68"/>
  <c r="DV7" i="68"/>
  <c r="DT7" i="68"/>
  <c r="V104" i="63"/>
  <c r="R104" i="63"/>
  <c r="V103" i="63"/>
  <c r="R103" i="63"/>
  <c r="V102" i="63"/>
  <c r="R102" i="63"/>
  <c r="V101" i="63"/>
  <c r="R101" i="63"/>
  <c r="V100" i="63"/>
  <c r="R100" i="63"/>
  <c r="V99" i="63"/>
  <c r="R99" i="63"/>
  <c r="V98" i="63"/>
  <c r="R98" i="63"/>
  <c r="V97" i="63"/>
  <c r="R97" i="63"/>
  <c r="V96" i="63"/>
  <c r="R96" i="63"/>
  <c r="V95" i="63"/>
  <c r="R95" i="63"/>
  <c r="V94" i="63"/>
  <c r="R94" i="63"/>
  <c r="V93" i="63"/>
  <c r="R93" i="63"/>
  <c r="V92" i="63"/>
  <c r="R92" i="63"/>
  <c r="V91" i="63"/>
  <c r="R91" i="63"/>
  <c r="V90" i="63"/>
  <c r="R90" i="63"/>
  <c r="V89" i="63"/>
  <c r="R89" i="63"/>
  <c r="V88" i="63"/>
  <c r="R88" i="63"/>
  <c r="V87" i="63"/>
  <c r="R87" i="63"/>
  <c r="V86" i="63"/>
  <c r="R86" i="63"/>
  <c r="V85" i="63"/>
  <c r="R85" i="63"/>
  <c r="V84" i="63"/>
  <c r="R84" i="63"/>
  <c r="V83" i="63"/>
  <c r="R83" i="63"/>
  <c r="V82" i="63"/>
  <c r="R82" i="63"/>
  <c r="V81" i="63"/>
  <c r="R81" i="63"/>
  <c r="V80" i="63"/>
  <c r="R80" i="63"/>
  <c r="V79" i="63"/>
  <c r="R79" i="63"/>
  <c r="V78" i="63"/>
  <c r="R78" i="63"/>
  <c r="V77" i="63"/>
  <c r="R77" i="63"/>
  <c r="V76" i="63"/>
  <c r="R76" i="63"/>
  <c r="V75" i="63"/>
  <c r="R75" i="63"/>
  <c r="V74" i="63"/>
  <c r="R74" i="63"/>
  <c r="B17" i="41"/>
  <c r="V41" i="41"/>
  <c r="R75" i="41"/>
  <c r="V76" i="41"/>
  <c r="R76" i="41"/>
  <c r="X41" i="41"/>
  <c r="V75" i="41"/>
  <c r="R106" i="71" l="1"/>
  <c r="V106" i="67"/>
  <c r="FX40" i="68"/>
  <c r="FI40" i="68"/>
  <c r="FQ40" i="68"/>
  <c r="FY40" i="68"/>
  <c r="FZ40" i="68"/>
  <c r="FK40" i="68"/>
  <c r="GB40" i="68"/>
  <c r="EO40" i="68"/>
  <c r="FV40" i="68"/>
  <c r="ED40" i="68"/>
  <c r="EE40" i="68"/>
  <c r="DV40" i="68"/>
  <c r="R106" i="73"/>
  <c r="DP40" i="68"/>
  <c r="R106" i="66"/>
  <c r="R105" i="65"/>
  <c r="V105" i="65"/>
  <c r="V106" i="66"/>
  <c r="R106" i="67"/>
  <c r="EK40" i="68"/>
  <c r="EC40" i="68"/>
  <c r="R105" i="70"/>
  <c r="R105" i="72"/>
  <c r="V105" i="72"/>
  <c r="V106" i="71"/>
  <c r="V105" i="70"/>
  <c r="R106" i="69"/>
  <c r="V106" i="69"/>
  <c r="DR40" i="68"/>
  <c r="EI40" i="68"/>
  <c r="ER40" i="68"/>
  <c r="DS40" i="68"/>
  <c r="FS40" i="68"/>
  <c r="EG40" i="68"/>
  <c r="EH40" i="68"/>
  <c r="EQ40" i="68"/>
  <c r="EM40" i="68"/>
  <c r="GA40" i="68"/>
  <c r="FM40" i="68"/>
  <c r="V104" i="68"/>
  <c r="EN40" i="68"/>
  <c r="DO40" i="68"/>
  <c r="FU40" i="68"/>
  <c r="GC40" i="68"/>
  <c r="DT40" i="68"/>
  <c r="FT40" i="68"/>
  <c r="R104" i="68" s="1"/>
  <c r="R106" i="64"/>
  <c r="V106" i="64"/>
  <c r="FO40" i="68"/>
  <c r="FW40" i="68"/>
  <c r="EP40" i="68"/>
  <c r="FN40" i="68"/>
  <c r="V106" i="73"/>
  <c r="V105" i="63"/>
  <c r="R105" i="63"/>
  <c r="V77" i="41"/>
  <c r="V78" i="41"/>
  <c r="V79" i="41"/>
  <c r="V80" i="41"/>
  <c r="V81" i="41"/>
  <c r="V82" i="41"/>
  <c r="V83" i="41"/>
  <c r="V84" i="41"/>
  <c r="V85" i="41"/>
  <c r="V86" i="41"/>
  <c r="V87" i="41"/>
  <c r="V88" i="41"/>
  <c r="V89" i="41"/>
  <c r="V90" i="41"/>
  <c r="V91" i="41"/>
  <c r="V92" i="41"/>
  <c r="V93" i="41"/>
  <c r="V94" i="41"/>
  <c r="V95" i="41"/>
  <c r="V96" i="41"/>
  <c r="V97" i="41"/>
  <c r="V98" i="41"/>
  <c r="V99" i="41"/>
  <c r="V100" i="41"/>
  <c r="V101" i="41"/>
  <c r="V102" i="41"/>
  <c r="V103" i="41"/>
  <c r="V104" i="41"/>
  <c r="V105" i="41"/>
  <c r="R105" i="41"/>
  <c r="R77" i="41"/>
  <c r="R78" i="41"/>
  <c r="R79" i="41"/>
  <c r="R80" i="41"/>
  <c r="R81" i="41"/>
  <c r="R82" i="41"/>
  <c r="R83" i="41"/>
  <c r="R84" i="41"/>
  <c r="R85" i="41"/>
  <c r="R86" i="41"/>
  <c r="R87" i="41"/>
  <c r="R88" i="41"/>
  <c r="R89" i="41"/>
  <c r="R90" i="41"/>
  <c r="R91" i="41"/>
  <c r="R92" i="41"/>
  <c r="R93" i="41"/>
  <c r="R94" i="41"/>
  <c r="R95" i="41"/>
  <c r="R96" i="41"/>
  <c r="R97" i="41"/>
  <c r="R98" i="41"/>
  <c r="R99" i="41"/>
  <c r="R100" i="41"/>
  <c r="R101" i="41"/>
  <c r="R102" i="41"/>
  <c r="R103" i="41"/>
  <c r="R104" i="41"/>
  <c r="I46" i="68" l="1"/>
  <c r="Q66" i="68"/>
  <c r="V106" i="41"/>
  <c r="R106" i="41"/>
  <c r="I51" i="41" s="1"/>
  <c r="P67" i="68"/>
  <c r="V42" i="72"/>
  <c r="V44" i="71" l="1"/>
  <c r="V42" i="70"/>
  <c r="V44" i="67"/>
  <c r="V44" i="66"/>
  <c r="V42" i="65"/>
  <c r="V43" i="63"/>
  <c r="V44" i="64"/>
  <c r="V43" i="71"/>
  <c r="V43" i="67"/>
  <c r="V43" i="65"/>
  <c r="V43" i="72"/>
  <c r="V43" i="70"/>
  <c r="V43" i="66"/>
  <c r="V44" i="69"/>
  <c r="V42" i="63"/>
  <c r="V45" i="41" l="1"/>
  <c r="CL39" i="66" l="1"/>
  <c r="CL10" i="66"/>
  <c r="CL11" i="66"/>
  <c r="CL12" i="66"/>
  <c r="CL13" i="66"/>
  <c r="CL14" i="66"/>
  <c r="CL15" i="66"/>
  <c r="CL16" i="66"/>
  <c r="CL17" i="66"/>
  <c r="CL18" i="66"/>
  <c r="CL19" i="66"/>
  <c r="CL20" i="66"/>
  <c r="CL21" i="66"/>
  <c r="CL22" i="66"/>
  <c r="CL23" i="66"/>
  <c r="CL24" i="66"/>
  <c r="CL25" i="66"/>
  <c r="CL26" i="66"/>
  <c r="CL27" i="66"/>
  <c r="CL28" i="66"/>
  <c r="CL29" i="66"/>
  <c r="CL30" i="66"/>
  <c r="CL31" i="66"/>
  <c r="CL32" i="66"/>
  <c r="CL33" i="66"/>
  <c r="CL34" i="66"/>
  <c r="CL35" i="66"/>
  <c r="CL36" i="66"/>
  <c r="CL37" i="66"/>
  <c r="CL38" i="66"/>
  <c r="CL9" i="66"/>
  <c r="CL10" i="73"/>
  <c r="CL11" i="73"/>
  <c r="CL12" i="73"/>
  <c r="CL13" i="73"/>
  <c r="CL14" i="73"/>
  <c r="CL15" i="73"/>
  <c r="CL16" i="73"/>
  <c r="CL17" i="73"/>
  <c r="CL18" i="73"/>
  <c r="CL19" i="73"/>
  <c r="CL20" i="73"/>
  <c r="CL21" i="73"/>
  <c r="CL22" i="73"/>
  <c r="CL23" i="73"/>
  <c r="CL24" i="73"/>
  <c r="CL25" i="73"/>
  <c r="CL26" i="73"/>
  <c r="CL27" i="73"/>
  <c r="CL28" i="73"/>
  <c r="CL29" i="73"/>
  <c r="CL30" i="73"/>
  <c r="CL31" i="73"/>
  <c r="CL32" i="73"/>
  <c r="CL33" i="73"/>
  <c r="CL34" i="73"/>
  <c r="CL35" i="73"/>
  <c r="CL36" i="73"/>
  <c r="CL37" i="73"/>
  <c r="CL38" i="73"/>
  <c r="CL39" i="73"/>
  <c r="CL9" i="73"/>
  <c r="CL10" i="72"/>
  <c r="CL11" i="72"/>
  <c r="CL12" i="72"/>
  <c r="CL13" i="72"/>
  <c r="CL14" i="72"/>
  <c r="CL15" i="72"/>
  <c r="CL16" i="72"/>
  <c r="CL17" i="72"/>
  <c r="CL18" i="72"/>
  <c r="CL19" i="72"/>
  <c r="CL21" i="72"/>
  <c r="CL22" i="72"/>
  <c r="CL23" i="72"/>
  <c r="CL24" i="72"/>
  <c r="CL25" i="72"/>
  <c r="CL26" i="72"/>
  <c r="CL28" i="72"/>
  <c r="CL29" i="72"/>
  <c r="CL30" i="72"/>
  <c r="CL31" i="72"/>
  <c r="CL32" i="72"/>
  <c r="CL33" i="72"/>
  <c r="CL35" i="72"/>
  <c r="CL36" i="72"/>
  <c r="CL37" i="72"/>
  <c r="CL38" i="72"/>
  <c r="CL9" i="72"/>
  <c r="CL10" i="71"/>
  <c r="CL11" i="71"/>
  <c r="CL12" i="71"/>
  <c r="CL13" i="71"/>
  <c r="CL14" i="71"/>
  <c r="CL15" i="71"/>
  <c r="CL17" i="71"/>
  <c r="CL18" i="71"/>
  <c r="CL19" i="71"/>
  <c r="CL20" i="71"/>
  <c r="CL21" i="71"/>
  <c r="CL22" i="71"/>
  <c r="CL23" i="71"/>
  <c r="CL24" i="71"/>
  <c r="CL25" i="71"/>
  <c r="CL26" i="71"/>
  <c r="CL27" i="71"/>
  <c r="CL28" i="71"/>
  <c r="CL29" i="71"/>
  <c r="CL31" i="71"/>
  <c r="CL32" i="71"/>
  <c r="CL33" i="71"/>
  <c r="CL34" i="71"/>
  <c r="CL35" i="71"/>
  <c r="CL36" i="71"/>
  <c r="CL37" i="71"/>
  <c r="CL38" i="71"/>
  <c r="CL39" i="71"/>
  <c r="CL10" i="70"/>
  <c r="CL12" i="70"/>
  <c r="CL13" i="70"/>
  <c r="CL14" i="70"/>
  <c r="CL15" i="70"/>
  <c r="CL16" i="70"/>
  <c r="CL17" i="70"/>
  <c r="CL19" i="70"/>
  <c r="CL20" i="70"/>
  <c r="CL21" i="70"/>
  <c r="CL22" i="70"/>
  <c r="CL23" i="70"/>
  <c r="CL24" i="70"/>
  <c r="CL25" i="70"/>
  <c r="CL26" i="70"/>
  <c r="CL27" i="70"/>
  <c r="CL28" i="70"/>
  <c r="CL29" i="70"/>
  <c r="CL30" i="70"/>
  <c r="CL31" i="70"/>
  <c r="CL33" i="70"/>
  <c r="CL34" i="70"/>
  <c r="CL35" i="70"/>
  <c r="CL36" i="70"/>
  <c r="CL37" i="70"/>
  <c r="CL38" i="70"/>
  <c r="CL9" i="70"/>
  <c r="CL10" i="69"/>
  <c r="CL11" i="69"/>
  <c r="CL12" i="69"/>
  <c r="CL13" i="69"/>
  <c r="CL15" i="69"/>
  <c r="CL16" i="69"/>
  <c r="CL17" i="69"/>
  <c r="CL18" i="69"/>
  <c r="CL19" i="69"/>
  <c r="CL20" i="69"/>
  <c r="CL22" i="69"/>
  <c r="CL23" i="69"/>
  <c r="CL24" i="69"/>
  <c r="CL25" i="69"/>
  <c r="CL26" i="69"/>
  <c r="CL27" i="69"/>
  <c r="CL28" i="69"/>
  <c r="CL29" i="69"/>
  <c r="CL30" i="69"/>
  <c r="CL31" i="69"/>
  <c r="CL32" i="69"/>
  <c r="CL33" i="69"/>
  <c r="CL34" i="69"/>
  <c r="CL36" i="69"/>
  <c r="CL37" i="69"/>
  <c r="CL38" i="69"/>
  <c r="CL9" i="69"/>
  <c r="CL39" i="69"/>
  <c r="CL37" i="68"/>
  <c r="CL10" i="67"/>
  <c r="CL11" i="67"/>
  <c r="CL12" i="67"/>
  <c r="CL13" i="67"/>
  <c r="CL14" i="67"/>
  <c r="CL15" i="67"/>
  <c r="CL16" i="67"/>
  <c r="CL18" i="67"/>
  <c r="CL19" i="67"/>
  <c r="CL20" i="67"/>
  <c r="CL21" i="67"/>
  <c r="CL22" i="67"/>
  <c r="CL23" i="67"/>
  <c r="CL25" i="67"/>
  <c r="CL26" i="67"/>
  <c r="CL27" i="67"/>
  <c r="CL28" i="67"/>
  <c r="CL29" i="67"/>
  <c r="CL30" i="67"/>
  <c r="CL32" i="67"/>
  <c r="CL33" i="67"/>
  <c r="CL34" i="67"/>
  <c r="CL35" i="67"/>
  <c r="CL36" i="67"/>
  <c r="CL37" i="67"/>
  <c r="CL39" i="67"/>
  <c r="CL9" i="67"/>
  <c r="CL10" i="65"/>
  <c r="CL11" i="65"/>
  <c r="CL12" i="65"/>
  <c r="CL13" i="65"/>
  <c r="CL14" i="65"/>
  <c r="CL15" i="65"/>
  <c r="CL16" i="65"/>
  <c r="CL17" i="65"/>
  <c r="CL18" i="65"/>
  <c r="CL19" i="65"/>
  <c r="CL20" i="65"/>
  <c r="CL21" i="65"/>
  <c r="CL22" i="65"/>
  <c r="CL23" i="65"/>
  <c r="CL24" i="65"/>
  <c r="CL25" i="65"/>
  <c r="CL26" i="65"/>
  <c r="CL27" i="65"/>
  <c r="CL28" i="65"/>
  <c r="CL29" i="65"/>
  <c r="CL30" i="65"/>
  <c r="CL31" i="65"/>
  <c r="CL32" i="65"/>
  <c r="CL33" i="65"/>
  <c r="CL34" i="65"/>
  <c r="CL35" i="65"/>
  <c r="CL36" i="65"/>
  <c r="CL37" i="65"/>
  <c r="CL38" i="65"/>
  <c r="CL9" i="65"/>
  <c r="CL10" i="64"/>
  <c r="CL11" i="64"/>
  <c r="CL12" i="64"/>
  <c r="CL13" i="64"/>
  <c r="CL14" i="64"/>
  <c r="CL15" i="64"/>
  <c r="CL16" i="64"/>
  <c r="CL17" i="64"/>
  <c r="CL18" i="64"/>
  <c r="CL19" i="64"/>
  <c r="CL20" i="64"/>
  <c r="CL21" i="64"/>
  <c r="CL22" i="64"/>
  <c r="CL23" i="64"/>
  <c r="CL24" i="64"/>
  <c r="CL25" i="64"/>
  <c r="CL26" i="64"/>
  <c r="CL27" i="64"/>
  <c r="CL28" i="64"/>
  <c r="CL29" i="64"/>
  <c r="CL30" i="64"/>
  <c r="CL31" i="64"/>
  <c r="CL33" i="64"/>
  <c r="CL34" i="64"/>
  <c r="CL35" i="64"/>
  <c r="CL36" i="64"/>
  <c r="CL37" i="64"/>
  <c r="CL38" i="64"/>
  <c r="CL39" i="64"/>
  <c r="CL9" i="64"/>
  <c r="CL10" i="63"/>
  <c r="CL11" i="63"/>
  <c r="CL12" i="63"/>
  <c r="CL13" i="63"/>
  <c r="CL14" i="63"/>
  <c r="CL15" i="63"/>
  <c r="CL16" i="63"/>
  <c r="CL17" i="63"/>
  <c r="CL18" i="63"/>
  <c r="CL19" i="63"/>
  <c r="CL20" i="63"/>
  <c r="CL21" i="63"/>
  <c r="CL22" i="63"/>
  <c r="CL23" i="63"/>
  <c r="CL24" i="63"/>
  <c r="CL25" i="63"/>
  <c r="CL26" i="63"/>
  <c r="CL27" i="63"/>
  <c r="CL28" i="63"/>
  <c r="CL29" i="63"/>
  <c r="CL30" i="63"/>
  <c r="CL31" i="63"/>
  <c r="CL32" i="63"/>
  <c r="CL33" i="63"/>
  <c r="CL34" i="63"/>
  <c r="CL35" i="63"/>
  <c r="CL36" i="63"/>
  <c r="CL37" i="63"/>
  <c r="CL38" i="63"/>
  <c r="CL9" i="63"/>
  <c r="CL11" i="41"/>
  <c r="CL12" i="41"/>
  <c r="CL13" i="41"/>
  <c r="CL14" i="41"/>
  <c r="CL15" i="41"/>
  <c r="CL16" i="41"/>
  <c r="CL17" i="41"/>
  <c r="CL18" i="41"/>
  <c r="CL19" i="41"/>
  <c r="CL20" i="41"/>
  <c r="CL21" i="41"/>
  <c r="CL22" i="41"/>
  <c r="CL23" i="41"/>
  <c r="CL25" i="41"/>
  <c r="CL26" i="41"/>
  <c r="CL27" i="41"/>
  <c r="CL28" i="41"/>
  <c r="CL29" i="41"/>
  <c r="CL30" i="41"/>
  <c r="CL32" i="41"/>
  <c r="CL33" i="41"/>
  <c r="CL34" i="41"/>
  <c r="CL35" i="41"/>
  <c r="CL36" i="41"/>
  <c r="CL37" i="41"/>
  <c r="CL39" i="41"/>
  <c r="CL40" i="41"/>
  <c r="CL10" i="41"/>
  <c r="AG30" i="43"/>
  <c r="S31" i="43"/>
  <c r="M31" i="43"/>
  <c r="K31" i="43"/>
  <c r="I31" i="43"/>
  <c r="G31" i="43"/>
  <c r="E31" i="43"/>
  <c r="G70" i="1" l="1"/>
  <c r="F70" i="1"/>
  <c r="G97" i="1"/>
  <c r="F97" i="1"/>
  <c r="G88" i="1"/>
  <c r="F88" i="1"/>
  <c r="G79" i="1"/>
  <c r="F79" i="1"/>
  <c r="CD39" i="73"/>
  <c r="CE39" i="73"/>
  <c r="CF39" i="73"/>
  <c r="CG39" i="73"/>
  <c r="CH39" i="73"/>
  <c r="CI39" i="73"/>
  <c r="CJ39" i="73"/>
  <c r="CK39" i="73"/>
  <c r="CM39" i="73"/>
  <c r="CN39" i="73"/>
  <c r="CO39" i="73"/>
  <c r="CP39" i="73"/>
  <c r="CQ39" i="73"/>
  <c r="CR39" i="73"/>
  <c r="CS39" i="73"/>
  <c r="CT39" i="73"/>
  <c r="CU39" i="73"/>
  <c r="CV39" i="73"/>
  <c r="CW39" i="73"/>
  <c r="CD10" i="73"/>
  <c r="CE10" i="73"/>
  <c r="CF10" i="73"/>
  <c r="CG10" i="73"/>
  <c r="CH10" i="73"/>
  <c r="CI10" i="73"/>
  <c r="CJ10" i="73"/>
  <c r="CK10" i="73"/>
  <c r="CM10" i="73"/>
  <c r="CN10" i="73"/>
  <c r="CO10" i="73"/>
  <c r="CP10" i="73"/>
  <c r="CQ10" i="73"/>
  <c r="CR10" i="73"/>
  <c r="CS10" i="73"/>
  <c r="CT10" i="73"/>
  <c r="CU10" i="73"/>
  <c r="CV10" i="73"/>
  <c r="CW10" i="73"/>
  <c r="CD11" i="73"/>
  <c r="CE11" i="73"/>
  <c r="CF11" i="73"/>
  <c r="CG11" i="73"/>
  <c r="CH11" i="73"/>
  <c r="CI11" i="73"/>
  <c r="CJ11" i="73"/>
  <c r="CK11" i="73"/>
  <c r="CM11" i="73"/>
  <c r="CN11" i="73"/>
  <c r="CO11" i="73"/>
  <c r="CP11" i="73"/>
  <c r="CQ11" i="73"/>
  <c r="CR11" i="73"/>
  <c r="CS11" i="73"/>
  <c r="CT11" i="73"/>
  <c r="CU11" i="73"/>
  <c r="CV11" i="73"/>
  <c r="CW11" i="73"/>
  <c r="CD12" i="73"/>
  <c r="CE12" i="73"/>
  <c r="CF12" i="73"/>
  <c r="CG12" i="73"/>
  <c r="CH12" i="73"/>
  <c r="CI12" i="73"/>
  <c r="CJ12" i="73"/>
  <c r="CK12" i="73"/>
  <c r="CM12" i="73"/>
  <c r="CN12" i="73"/>
  <c r="CO12" i="73"/>
  <c r="CP12" i="73"/>
  <c r="CQ12" i="73"/>
  <c r="CR12" i="73"/>
  <c r="CS12" i="73"/>
  <c r="CT12" i="73"/>
  <c r="CU12" i="73"/>
  <c r="CV12" i="73"/>
  <c r="CW12" i="73"/>
  <c r="CD13" i="73"/>
  <c r="CE13" i="73"/>
  <c r="CF13" i="73"/>
  <c r="CG13" i="73"/>
  <c r="CH13" i="73"/>
  <c r="CI13" i="73"/>
  <c r="CJ13" i="73"/>
  <c r="CK13" i="73"/>
  <c r="CM13" i="73"/>
  <c r="CN13" i="73"/>
  <c r="CO13" i="73"/>
  <c r="CP13" i="73"/>
  <c r="CQ13" i="73"/>
  <c r="CR13" i="73"/>
  <c r="CS13" i="73"/>
  <c r="CT13" i="73"/>
  <c r="CU13" i="73"/>
  <c r="CV13" i="73"/>
  <c r="CW13" i="73"/>
  <c r="CD14" i="73"/>
  <c r="CE14" i="73"/>
  <c r="CF14" i="73"/>
  <c r="CG14" i="73"/>
  <c r="CH14" i="73"/>
  <c r="CI14" i="73"/>
  <c r="CJ14" i="73"/>
  <c r="CK14" i="73"/>
  <c r="CM14" i="73"/>
  <c r="CN14" i="73"/>
  <c r="CO14" i="73"/>
  <c r="CP14" i="73"/>
  <c r="CQ14" i="73"/>
  <c r="CR14" i="73"/>
  <c r="CS14" i="73"/>
  <c r="CT14" i="73"/>
  <c r="CU14" i="73"/>
  <c r="CV14" i="73"/>
  <c r="CW14" i="73"/>
  <c r="CD15" i="73"/>
  <c r="CE15" i="73"/>
  <c r="CF15" i="73"/>
  <c r="CG15" i="73"/>
  <c r="CH15" i="73"/>
  <c r="CI15" i="73"/>
  <c r="CJ15" i="73"/>
  <c r="CK15" i="73"/>
  <c r="CM15" i="73"/>
  <c r="CN15" i="73"/>
  <c r="CO15" i="73"/>
  <c r="CP15" i="73"/>
  <c r="CQ15" i="73"/>
  <c r="CR15" i="73"/>
  <c r="CS15" i="73"/>
  <c r="CT15" i="73"/>
  <c r="CU15" i="73"/>
  <c r="CV15" i="73"/>
  <c r="CW15" i="73"/>
  <c r="CD16" i="73"/>
  <c r="CE16" i="73"/>
  <c r="CF16" i="73"/>
  <c r="CG16" i="73"/>
  <c r="CH16" i="73"/>
  <c r="CI16" i="73"/>
  <c r="CJ16" i="73"/>
  <c r="CK16" i="73"/>
  <c r="CM16" i="73"/>
  <c r="CN16" i="73"/>
  <c r="CO16" i="73"/>
  <c r="CP16" i="73"/>
  <c r="CQ16" i="73"/>
  <c r="CR16" i="73"/>
  <c r="CS16" i="73"/>
  <c r="CT16" i="73"/>
  <c r="CU16" i="73"/>
  <c r="CV16" i="73"/>
  <c r="CW16" i="73"/>
  <c r="CD17" i="73"/>
  <c r="CE17" i="73"/>
  <c r="CF17" i="73"/>
  <c r="CG17" i="73"/>
  <c r="CH17" i="73"/>
  <c r="CI17" i="73"/>
  <c r="CJ17" i="73"/>
  <c r="CK17" i="73"/>
  <c r="CM17" i="73"/>
  <c r="CN17" i="73"/>
  <c r="CO17" i="73"/>
  <c r="CP17" i="73"/>
  <c r="CQ17" i="73"/>
  <c r="CR17" i="73"/>
  <c r="CS17" i="73"/>
  <c r="CT17" i="73"/>
  <c r="CU17" i="73"/>
  <c r="CV17" i="73"/>
  <c r="CW17" i="73"/>
  <c r="CD18" i="73"/>
  <c r="CE18" i="73"/>
  <c r="CF18" i="73"/>
  <c r="CG18" i="73"/>
  <c r="CH18" i="73"/>
  <c r="CI18" i="73"/>
  <c r="CJ18" i="73"/>
  <c r="CK18" i="73"/>
  <c r="CM18" i="73"/>
  <c r="CN18" i="73"/>
  <c r="CO18" i="73"/>
  <c r="CP18" i="73"/>
  <c r="CQ18" i="73"/>
  <c r="CR18" i="73"/>
  <c r="CS18" i="73"/>
  <c r="CT18" i="73"/>
  <c r="CU18" i="73"/>
  <c r="CV18" i="73"/>
  <c r="CW18" i="73"/>
  <c r="CD19" i="73"/>
  <c r="CE19" i="73"/>
  <c r="CF19" i="73"/>
  <c r="CG19" i="73"/>
  <c r="CH19" i="73"/>
  <c r="CI19" i="73"/>
  <c r="CJ19" i="73"/>
  <c r="CK19" i="73"/>
  <c r="CM19" i="73"/>
  <c r="CN19" i="73"/>
  <c r="CO19" i="73"/>
  <c r="CP19" i="73"/>
  <c r="CQ19" i="73"/>
  <c r="CR19" i="73"/>
  <c r="CS19" i="73"/>
  <c r="CT19" i="73"/>
  <c r="CU19" i="73"/>
  <c r="CV19" i="73"/>
  <c r="CW19" i="73"/>
  <c r="CD20" i="73"/>
  <c r="CE20" i="73"/>
  <c r="CF20" i="73"/>
  <c r="CG20" i="73"/>
  <c r="CH20" i="73"/>
  <c r="CI20" i="73"/>
  <c r="CJ20" i="73"/>
  <c r="CK20" i="73"/>
  <c r="CM20" i="73"/>
  <c r="CN20" i="73"/>
  <c r="CO20" i="73"/>
  <c r="CP20" i="73"/>
  <c r="CQ20" i="73"/>
  <c r="CR20" i="73"/>
  <c r="CS20" i="73"/>
  <c r="CT20" i="73"/>
  <c r="CU20" i="73"/>
  <c r="CV20" i="73"/>
  <c r="CW20" i="73"/>
  <c r="CD21" i="73"/>
  <c r="CE21" i="73"/>
  <c r="CF21" i="73"/>
  <c r="CG21" i="73"/>
  <c r="CH21" i="73"/>
  <c r="CI21" i="73"/>
  <c r="CJ21" i="73"/>
  <c r="CK21" i="73"/>
  <c r="CM21" i="73"/>
  <c r="CN21" i="73"/>
  <c r="CO21" i="73"/>
  <c r="CP21" i="73"/>
  <c r="CQ21" i="73"/>
  <c r="CR21" i="73"/>
  <c r="CS21" i="73"/>
  <c r="CT21" i="73"/>
  <c r="CU21" i="73"/>
  <c r="CV21" i="73"/>
  <c r="CW21" i="73"/>
  <c r="CD22" i="73"/>
  <c r="CE22" i="73"/>
  <c r="CF22" i="73"/>
  <c r="CG22" i="73"/>
  <c r="CH22" i="73"/>
  <c r="CI22" i="73"/>
  <c r="CJ22" i="73"/>
  <c r="CK22" i="73"/>
  <c r="CM22" i="73"/>
  <c r="CN22" i="73"/>
  <c r="CO22" i="73"/>
  <c r="CP22" i="73"/>
  <c r="CQ22" i="73"/>
  <c r="CR22" i="73"/>
  <c r="CS22" i="73"/>
  <c r="CT22" i="73"/>
  <c r="CU22" i="73"/>
  <c r="CV22" i="73"/>
  <c r="CW22" i="73"/>
  <c r="CD23" i="73"/>
  <c r="CE23" i="73"/>
  <c r="CF23" i="73"/>
  <c r="CG23" i="73"/>
  <c r="CH23" i="73"/>
  <c r="CI23" i="73"/>
  <c r="CJ23" i="73"/>
  <c r="CK23" i="73"/>
  <c r="CM23" i="73"/>
  <c r="CN23" i="73"/>
  <c r="CO23" i="73"/>
  <c r="CP23" i="73"/>
  <c r="CQ23" i="73"/>
  <c r="CR23" i="73"/>
  <c r="CS23" i="73"/>
  <c r="CT23" i="73"/>
  <c r="CU23" i="73"/>
  <c r="CV23" i="73"/>
  <c r="CW23" i="73"/>
  <c r="CD24" i="73"/>
  <c r="CE24" i="73"/>
  <c r="CF24" i="73"/>
  <c r="CG24" i="73"/>
  <c r="CH24" i="73"/>
  <c r="CI24" i="73"/>
  <c r="CJ24" i="73"/>
  <c r="CK24" i="73"/>
  <c r="CM24" i="73"/>
  <c r="CN24" i="73"/>
  <c r="CO24" i="73"/>
  <c r="CP24" i="73"/>
  <c r="CQ24" i="73"/>
  <c r="CR24" i="73"/>
  <c r="CS24" i="73"/>
  <c r="CT24" i="73"/>
  <c r="CU24" i="73"/>
  <c r="CV24" i="73"/>
  <c r="CW24" i="73"/>
  <c r="CD25" i="73"/>
  <c r="CE25" i="73"/>
  <c r="CF25" i="73"/>
  <c r="CG25" i="73"/>
  <c r="CH25" i="73"/>
  <c r="CI25" i="73"/>
  <c r="CJ25" i="73"/>
  <c r="CK25" i="73"/>
  <c r="CM25" i="73"/>
  <c r="CN25" i="73"/>
  <c r="CO25" i="73"/>
  <c r="CP25" i="73"/>
  <c r="CQ25" i="73"/>
  <c r="CR25" i="73"/>
  <c r="CS25" i="73"/>
  <c r="CT25" i="73"/>
  <c r="CU25" i="73"/>
  <c r="CV25" i="73"/>
  <c r="CW25" i="73"/>
  <c r="CD26" i="73"/>
  <c r="CE26" i="73"/>
  <c r="CF26" i="73"/>
  <c r="CG26" i="73"/>
  <c r="CH26" i="73"/>
  <c r="CI26" i="73"/>
  <c r="CJ26" i="73"/>
  <c r="CK26" i="73"/>
  <c r="CM26" i="73"/>
  <c r="CN26" i="73"/>
  <c r="CO26" i="73"/>
  <c r="CP26" i="73"/>
  <c r="CQ26" i="73"/>
  <c r="CR26" i="73"/>
  <c r="CS26" i="73"/>
  <c r="CT26" i="73"/>
  <c r="CU26" i="73"/>
  <c r="CV26" i="73"/>
  <c r="CW26" i="73"/>
  <c r="CD27" i="73"/>
  <c r="CE27" i="73"/>
  <c r="CF27" i="73"/>
  <c r="CG27" i="73"/>
  <c r="CH27" i="73"/>
  <c r="CI27" i="73"/>
  <c r="CJ27" i="73"/>
  <c r="CK27" i="73"/>
  <c r="CM27" i="73"/>
  <c r="CN27" i="73"/>
  <c r="CO27" i="73"/>
  <c r="CP27" i="73"/>
  <c r="CQ27" i="73"/>
  <c r="CR27" i="73"/>
  <c r="CS27" i="73"/>
  <c r="CT27" i="73"/>
  <c r="CU27" i="73"/>
  <c r="CV27" i="73"/>
  <c r="CW27" i="73"/>
  <c r="CD28" i="73"/>
  <c r="CE28" i="73"/>
  <c r="CF28" i="73"/>
  <c r="CG28" i="73"/>
  <c r="CH28" i="73"/>
  <c r="CI28" i="73"/>
  <c r="CJ28" i="73"/>
  <c r="CK28" i="73"/>
  <c r="CM28" i="73"/>
  <c r="CN28" i="73"/>
  <c r="CO28" i="73"/>
  <c r="CP28" i="73"/>
  <c r="CQ28" i="73"/>
  <c r="CR28" i="73"/>
  <c r="CS28" i="73"/>
  <c r="CT28" i="73"/>
  <c r="CU28" i="73"/>
  <c r="CV28" i="73"/>
  <c r="CW28" i="73"/>
  <c r="CD29" i="73"/>
  <c r="CE29" i="73"/>
  <c r="CF29" i="73"/>
  <c r="CG29" i="73"/>
  <c r="CH29" i="73"/>
  <c r="CI29" i="73"/>
  <c r="CJ29" i="73"/>
  <c r="CK29" i="73"/>
  <c r="CM29" i="73"/>
  <c r="CN29" i="73"/>
  <c r="CO29" i="73"/>
  <c r="CP29" i="73"/>
  <c r="CQ29" i="73"/>
  <c r="CR29" i="73"/>
  <c r="CS29" i="73"/>
  <c r="CT29" i="73"/>
  <c r="CU29" i="73"/>
  <c r="CV29" i="73"/>
  <c r="CW29" i="73"/>
  <c r="CD30" i="73"/>
  <c r="CE30" i="73"/>
  <c r="CF30" i="73"/>
  <c r="CG30" i="73"/>
  <c r="CH30" i="73"/>
  <c r="CI30" i="73"/>
  <c r="CJ30" i="73"/>
  <c r="CK30" i="73"/>
  <c r="CM30" i="73"/>
  <c r="CN30" i="73"/>
  <c r="CO30" i="73"/>
  <c r="CP30" i="73"/>
  <c r="CQ30" i="73"/>
  <c r="CR30" i="73"/>
  <c r="CS30" i="73"/>
  <c r="CT30" i="73"/>
  <c r="CU30" i="73"/>
  <c r="CV30" i="73"/>
  <c r="CW30" i="73"/>
  <c r="CD31" i="73"/>
  <c r="CE31" i="73"/>
  <c r="CF31" i="73"/>
  <c r="CG31" i="73"/>
  <c r="CH31" i="73"/>
  <c r="CI31" i="73"/>
  <c r="CJ31" i="73"/>
  <c r="CK31" i="73"/>
  <c r="CM31" i="73"/>
  <c r="CN31" i="73"/>
  <c r="CO31" i="73"/>
  <c r="CP31" i="73"/>
  <c r="CQ31" i="73"/>
  <c r="CR31" i="73"/>
  <c r="CS31" i="73"/>
  <c r="CT31" i="73"/>
  <c r="CU31" i="73"/>
  <c r="CV31" i="73"/>
  <c r="CW31" i="73"/>
  <c r="CD32" i="73"/>
  <c r="CE32" i="73"/>
  <c r="CF32" i="73"/>
  <c r="CG32" i="73"/>
  <c r="CH32" i="73"/>
  <c r="CI32" i="73"/>
  <c r="CJ32" i="73"/>
  <c r="CK32" i="73"/>
  <c r="CM32" i="73"/>
  <c r="CN32" i="73"/>
  <c r="CO32" i="73"/>
  <c r="CP32" i="73"/>
  <c r="CQ32" i="73"/>
  <c r="CR32" i="73"/>
  <c r="CS32" i="73"/>
  <c r="CT32" i="73"/>
  <c r="CU32" i="73"/>
  <c r="CV32" i="73"/>
  <c r="CW32" i="73"/>
  <c r="CD33" i="73"/>
  <c r="CE33" i="73"/>
  <c r="CF33" i="73"/>
  <c r="CG33" i="73"/>
  <c r="CH33" i="73"/>
  <c r="CI33" i="73"/>
  <c r="CJ33" i="73"/>
  <c r="CK33" i="73"/>
  <c r="CM33" i="73"/>
  <c r="CN33" i="73"/>
  <c r="CO33" i="73"/>
  <c r="CP33" i="73"/>
  <c r="CQ33" i="73"/>
  <c r="CR33" i="73"/>
  <c r="CS33" i="73"/>
  <c r="CT33" i="73"/>
  <c r="CU33" i="73"/>
  <c r="CV33" i="73"/>
  <c r="CW33" i="73"/>
  <c r="CD34" i="73"/>
  <c r="CE34" i="73"/>
  <c r="CF34" i="73"/>
  <c r="CG34" i="73"/>
  <c r="CH34" i="73"/>
  <c r="CI34" i="73"/>
  <c r="CJ34" i="73"/>
  <c r="CK34" i="73"/>
  <c r="CM34" i="73"/>
  <c r="CN34" i="73"/>
  <c r="CO34" i="73"/>
  <c r="CP34" i="73"/>
  <c r="CQ34" i="73"/>
  <c r="CR34" i="73"/>
  <c r="CS34" i="73"/>
  <c r="CT34" i="73"/>
  <c r="CU34" i="73"/>
  <c r="CV34" i="73"/>
  <c r="CW34" i="73"/>
  <c r="CD35" i="73"/>
  <c r="CE35" i="73"/>
  <c r="CF35" i="73"/>
  <c r="CG35" i="73"/>
  <c r="CH35" i="73"/>
  <c r="CI35" i="73"/>
  <c r="CJ35" i="73"/>
  <c r="CK35" i="73"/>
  <c r="CM35" i="73"/>
  <c r="CN35" i="73"/>
  <c r="CO35" i="73"/>
  <c r="CP35" i="73"/>
  <c r="CQ35" i="73"/>
  <c r="CR35" i="73"/>
  <c r="CS35" i="73"/>
  <c r="CT35" i="73"/>
  <c r="CU35" i="73"/>
  <c r="CV35" i="73"/>
  <c r="CW35" i="73"/>
  <c r="CD36" i="73"/>
  <c r="CE36" i="73"/>
  <c r="CF36" i="73"/>
  <c r="CG36" i="73"/>
  <c r="CH36" i="73"/>
  <c r="CI36" i="73"/>
  <c r="CJ36" i="73"/>
  <c r="CK36" i="73"/>
  <c r="CM36" i="73"/>
  <c r="CN36" i="73"/>
  <c r="CO36" i="73"/>
  <c r="CP36" i="73"/>
  <c r="CQ36" i="73"/>
  <c r="CR36" i="73"/>
  <c r="CS36" i="73"/>
  <c r="CT36" i="73"/>
  <c r="CU36" i="73"/>
  <c r="CV36" i="73"/>
  <c r="CW36" i="73"/>
  <c r="CD37" i="73"/>
  <c r="CE37" i="73"/>
  <c r="CF37" i="73"/>
  <c r="CG37" i="73"/>
  <c r="CH37" i="73"/>
  <c r="CI37" i="73"/>
  <c r="CJ37" i="73"/>
  <c r="CK37" i="73"/>
  <c r="CM37" i="73"/>
  <c r="CN37" i="73"/>
  <c r="CO37" i="73"/>
  <c r="CP37" i="73"/>
  <c r="CQ37" i="73"/>
  <c r="CR37" i="73"/>
  <c r="CS37" i="73"/>
  <c r="CT37" i="73"/>
  <c r="CU37" i="73"/>
  <c r="CV37" i="73"/>
  <c r="CW37" i="73"/>
  <c r="CD38" i="73"/>
  <c r="CE38" i="73"/>
  <c r="CF38" i="73"/>
  <c r="CG38" i="73"/>
  <c r="CH38" i="73"/>
  <c r="CI38" i="73"/>
  <c r="CJ38" i="73"/>
  <c r="CK38" i="73"/>
  <c r="CM38" i="73"/>
  <c r="CN38" i="73"/>
  <c r="CO38" i="73"/>
  <c r="CP38" i="73"/>
  <c r="CQ38" i="73"/>
  <c r="CR38" i="73"/>
  <c r="CS38" i="73"/>
  <c r="CT38" i="73"/>
  <c r="CU38" i="73"/>
  <c r="CV38" i="73"/>
  <c r="CW38" i="73"/>
  <c r="CW9" i="73"/>
  <c r="CV9" i="73"/>
  <c r="CU9" i="73"/>
  <c r="CT9" i="73"/>
  <c r="CS9" i="73"/>
  <c r="CR9" i="73"/>
  <c r="CQ9" i="73"/>
  <c r="CP9" i="73"/>
  <c r="CO9" i="73"/>
  <c r="CN9" i="73"/>
  <c r="CM9" i="73"/>
  <c r="CK9" i="73"/>
  <c r="CJ9" i="73"/>
  <c r="CI9" i="73"/>
  <c r="CH9" i="73"/>
  <c r="CG9" i="73"/>
  <c r="CF9" i="73"/>
  <c r="CE9" i="73"/>
  <c r="CD9" i="73"/>
  <c r="CE10" i="72"/>
  <c r="CF10" i="72"/>
  <c r="CG10" i="72"/>
  <c r="CH10" i="72"/>
  <c r="CI10" i="72"/>
  <c r="CJ10" i="72"/>
  <c r="CK10" i="72"/>
  <c r="CM10" i="72"/>
  <c r="CN10" i="72"/>
  <c r="CO10" i="72"/>
  <c r="CP10" i="72"/>
  <c r="CQ10" i="72"/>
  <c r="CR10" i="72"/>
  <c r="CS10" i="72"/>
  <c r="CT10" i="72"/>
  <c r="CU10" i="72"/>
  <c r="CV10" i="72"/>
  <c r="CW10" i="72"/>
  <c r="CD11" i="72"/>
  <c r="CF11" i="72"/>
  <c r="CG11" i="72"/>
  <c r="CH11" i="72"/>
  <c r="CI11" i="72"/>
  <c r="CK11" i="72"/>
  <c r="CM11" i="72"/>
  <c r="CN11" i="72"/>
  <c r="CO11" i="72"/>
  <c r="CP11" i="72"/>
  <c r="CQ11" i="72"/>
  <c r="CR11" i="72"/>
  <c r="CS11" i="72"/>
  <c r="CT11" i="72"/>
  <c r="CU11" i="72"/>
  <c r="CV11" i="72"/>
  <c r="CW11" i="72"/>
  <c r="CD12" i="72"/>
  <c r="CE12" i="72"/>
  <c r="CG12" i="72"/>
  <c r="CH12" i="72"/>
  <c r="CI12" i="72"/>
  <c r="CJ12" i="72"/>
  <c r="CM12" i="72"/>
  <c r="CN12" i="72"/>
  <c r="CO12" i="72"/>
  <c r="CP12" i="72"/>
  <c r="CQ12" i="72"/>
  <c r="CR12" i="72"/>
  <c r="CS12" i="72"/>
  <c r="CT12" i="72"/>
  <c r="CU12" i="72"/>
  <c r="CV12" i="72"/>
  <c r="CW12" i="72"/>
  <c r="CD13" i="72"/>
  <c r="CE13" i="72"/>
  <c r="CF13" i="72"/>
  <c r="CG13" i="72"/>
  <c r="CH13" i="72"/>
  <c r="CI13" i="72"/>
  <c r="CJ13" i="72"/>
  <c r="CK13" i="72"/>
  <c r="CM13" i="72"/>
  <c r="CN13" i="72"/>
  <c r="CO13" i="72"/>
  <c r="CP13" i="72"/>
  <c r="CQ13" i="72"/>
  <c r="CR13" i="72"/>
  <c r="CS13" i="72"/>
  <c r="CT13" i="72"/>
  <c r="CU13" i="72"/>
  <c r="CV13" i="72"/>
  <c r="CW13" i="72"/>
  <c r="CD14" i="72"/>
  <c r="CE14" i="72"/>
  <c r="CF14" i="72"/>
  <c r="CG14" i="72"/>
  <c r="CI14" i="72"/>
  <c r="CJ14" i="72"/>
  <c r="CK14" i="72"/>
  <c r="CN14" i="72"/>
  <c r="CO14" i="72"/>
  <c r="CP14" i="72"/>
  <c r="CQ14" i="72"/>
  <c r="CR14" i="72"/>
  <c r="CS14" i="72"/>
  <c r="CT14" i="72"/>
  <c r="CU14" i="72"/>
  <c r="CV14" i="72"/>
  <c r="CW14" i="72"/>
  <c r="CD15" i="72"/>
  <c r="CE15" i="72"/>
  <c r="CF15" i="72"/>
  <c r="CG15" i="72"/>
  <c r="CH15" i="72"/>
  <c r="CI15" i="72"/>
  <c r="CJ15" i="72"/>
  <c r="CK15" i="72"/>
  <c r="CM15" i="72"/>
  <c r="CN15" i="72"/>
  <c r="CO15" i="72"/>
  <c r="CP15" i="72"/>
  <c r="CQ15" i="72"/>
  <c r="CR15" i="72"/>
  <c r="CS15" i="72"/>
  <c r="CT15" i="72"/>
  <c r="CU15" i="72"/>
  <c r="CV15" i="72"/>
  <c r="CW15" i="72"/>
  <c r="CD16" i="72"/>
  <c r="CE16" i="72"/>
  <c r="CF16" i="72"/>
  <c r="CG16" i="72"/>
  <c r="CH16" i="72"/>
  <c r="CI16" i="72"/>
  <c r="CJ16" i="72"/>
  <c r="CK16" i="72"/>
  <c r="CM16" i="72"/>
  <c r="CN16" i="72"/>
  <c r="CO16" i="72"/>
  <c r="CP16" i="72"/>
  <c r="CQ16" i="72"/>
  <c r="CR16" i="72"/>
  <c r="CS16" i="72"/>
  <c r="CT16" i="72"/>
  <c r="CU16" i="72"/>
  <c r="CV16" i="72"/>
  <c r="CW16" i="72"/>
  <c r="CD17" i="72"/>
  <c r="CE17" i="72"/>
  <c r="CF17" i="72"/>
  <c r="CG17" i="72"/>
  <c r="CH17" i="72"/>
  <c r="CI17" i="72"/>
  <c r="CJ17" i="72"/>
  <c r="CK17" i="72"/>
  <c r="CM17" i="72"/>
  <c r="CN17" i="72"/>
  <c r="CO17" i="72"/>
  <c r="CP17" i="72"/>
  <c r="CQ17" i="72"/>
  <c r="CR17" i="72"/>
  <c r="CS17" i="72"/>
  <c r="CT17" i="72"/>
  <c r="CU17" i="72"/>
  <c r="CV17" i="72"/>
  <c r="CW17" i="72"/>
  <c r="CD18" i="72"/>
  <c r="CF18" i="72"/>
  <c r="CG18" i="72"/>
  <c r="CH18" i="72"/>
  <c r="CI18" i="72"/>
  <c r="CK18" i="72"/>
  <c r="CM18" i="72"/>
  <c r="CN18" i="72"/>
  <c r="CO18" i="72"/>
  <c r="CP18" i="72"/>
  <c r="CQ18" i="72"/>
  <c r="CR18" i="72"/>
  <c r="CS18" i="72"/>
  <c r="CT18" i="72"/>
  <c r="CU18" i="72"/>
  <c r="CV18" i="72"/>
  <c r="CW18" i="72"/>
  <c r="CD19" i="72"/>
  <c r="CE19" i="72"/>
  <c r="CG19" i="72"/>
  <c r="CH19" i="72"/>
  <c r="CI19" i="72"/>
  <c r="CJ19" i="72"/>
  <c r="CM19" i="72"/>
  <c r="CN19" i="72"/>
  <c r="CO19" i="72"/>
  <c r="CP19" i="72"/>
  <c r="CQ19" i="72"/>
  <c r="CR19" i="72"/>
  <c r="CS19" i="72"/>
  <c r="CT19" i="72"/>
  <c r="CU19" i="72"/>
  <c r="CV19" i="72"/>
  <c r="CW19" i="72"/>
  <c r="CD20" i="72"/>
  <c r="CE20" i="72"/>
  <c r="CF20" i="72"/>
  <c r="CH20" i="72"/>
  <c r="CI20" i="72"/>
  <c r="CJ20" i="72"/>
  <c r="CK20" i="72"/>
  <c r="CM20" i="72"/>
  <c r="CN20" i="72"/>
  <c r="CO20" i="72"/>
  <c r="CP20" i="72"/>
  <c r="CQ20" i="72"/>
  <c r="CR20" i="72"/>
  <c r="CS20" i="72"/>
  <c r="CT20" i="72"/>
  <c r="CU20" i="72"/>
  <c r="CV20" i="72"/>
  <c r="CW20" i="72"/>
  <c r="CD21" i="72"/>
  <c r="CE21" i="72"/>
  <c r="CF21" i="72"/>
  <c r="CG21" i="72"/>
  <c r="CI21" i="72"/>
  <c r="CJ21" i="72"/>
  <c r="CK21" i="72"/>
  <c r="CN21" i="72"/>
  <c r="CO21" i="72"/>
  <c r="CP21" i="72"/>
  <c r="CQ21" i="72"/>
  <c r="CR21" i="72"/>
  <c r="CS21" i="72"/>
  <c r="CT21" i="72"/>
  <c r="CU21" i="72"/>
  <c r="CV21" i="72"/>
  <c r="CW21" i="72"/>
  <c r="CD22" i="72"/>
  <c r="CE22" i="72"/>
  <c r="CF22" i="72"/>
  <c r="CG22" i="72"/>
  <c r="CH22" i="72"/>
  <c r="CI22" i="72"/>
  <c r="CJ22" i="72"/>
  <c r="CK22" i="72"/>
  <c r="CM22" i="72"/>
  <c r="CN22" i="72"/>
  <c r="CO22" i="72"/>
  <c r="CP22" i="72"/>
  <c r="CQ22" i="72"/>
  <c r="CR22" i="72"/>
  <c r="CS22" i="72"/>
  <c r="CT22" i="72"/>
  <c r="CU22" i="72"/>
  <c r="CV22" i="72"/>
  <c r="CW22" i="72"/>
  <c r="CD23" i="72"/>
  <c r="CE23" i="72"/>
  <c r="CF23" i="72"/>
  <c r="CG23" i="72"/>
  <c r="CH23" i="72"/>
  <c r="CI23" i="72"/>
  <c r="CJ23" i="72"/>
  <c r="CK23" i="72"/>
  <c r="CM23" i="72"/>
  <c r="CN23" i="72"/>
  <c r="CO23" i="72"/>
  <c r="CP23" i="72"/>
  <c r="CQ23" i="72"/>
  <c r="CR23" i="72"/>
  <c r="CS23" i="72"/>
  <c r="CT23" i="72"/>
  <c r="CU23" i="72"/>
  <c r="CV23" i="72"/>
  <c r="CW23" i="72"/>
  <c r="CE24" i="72"/>
  <c r="CF24" i="72"/>
  <c r="CG24" i="72"/>
  <c r="CH24" i="72"/>
  <c r="CI24" i="72"/>
  <c r="CJ24" i="72"/>
  <c r="CK24" i="72"/>
  <c r="CM24" i="72"/>
  <c r="CN24" i="72"/>
  <c r="CO24" i="72"/>
  <c r="CP24" i="72"/>
  <c r="CQ24" i="72"/>
  <c r="CR24" i="72"/>
  <c r="CS24" i="72"/>
  <c r="CT24" i="72"/>
  <c r="CU24" i="72"/>
  <c r="CV24" i="72"/>
  <c r="CW24" i="72"/>
  <c r="CD25" i="72"/>
  <c r="CF25" i="72"/>
  <c r="CG25" i="72"/>
  <c r="CH25" i="72"/>
  <c r="CI25" i="72"/>
  <c r="CK25" i="72"/>
  <c r="CM25" i="72"/>
  <c r="CN25" i="72"/>
  <c r="CO25" i="72"/>
  <c r="CP25" i="72"/>
  <c r="CQ25" i="72"/>
  <c r="CR25" i="72"/>
  <c r="CS25" i="72"/>
  <c r="CT25" i="72"/>
  <c r="CU25" i="72"/>
  <c r="CV25" i="72"/>
  <c r="CW25" i="72"/>
  <c r="CD26" i="72"/>
  <c r="CE26" i="72"/>
  <c r="CG26" i="72"/>
  <c r="CH26" i="72"/>
  <c r="CI26" i="72"/>
  <c r="CJ26" i="72"/>
  <c r="CM26" i="72"/>
  <c r="CN26" i="72"/>
  <c r="CO26" i="72"/>
  <c r="CP26" i="72"/>
  <c r="CQ26" i="72"/>
  <c r="CR26" i="72"/>
  <c r="CS26" i="72"/>
  <c r="CT26" i="72"/>
  <c r="CU26" i="72"/>
  <c r="CV26" i="72"/>
  <c r="CW26" i="72"/>
  <c r="CD27" i="72"/>
  <c r="CE27" i="72"/>
  <c r="CF27" i="72"/>
  <c r="CH27" i="72"/>
  <c r="CI27" i="72"/>
  <c r="CJ27" i="72"/>
  <c r="CK27" i="72"/>
  <c r="CM27" i="72"/>
  <c r="CN27" i="72"/>
  <c r="CO27" i="72"/>
  <c r="CP27" i="72"/>
  <c r="CQ27" i="72"/>
  <c r="CR27" i="72"/>
  <c r="CS27" i="72"/>
  <c r="CT27" i="72"/>
  <c r="CU27" i="72"/>
  <c r="CV27" i="72"/>
  <c r="CW27" i="72"/>
  <c r="CD28" i="72"/>
  <c r="CE28" i="72"/>
  <c r="CF28" i="72"/>
  <c r="CG28" i="72"/>
  <c r="CI28" i="72"/>
  <c r="CJ28" i="72"/>
  <c r="CK28" i="72"/>
  <c r="CN28" i="72"/>
  <c r="CO28" i="72"/>
  <c r="CP28" i="72"/>
  <c r="CQ28" i="72"/>
  <c r="CR28" i="72"/>
  <c r="CS28" i="72"/>
  <c r="CT28" i="72"/>
  <c r="CU28" i="72"/>
  <c r="CV28" i="72"/>
  <c r="CW28" i="72"/>
  <c r="CD29" i="72"/>
  <c r="CE29" i="72"/>
  <c r="CF29" i="72"/>
  <c r="CG29" i="72"/>
  <c r="CH29" i="72"/>
  <c r="CI29" i="72"/>
  <c r="CJ29" i="72"/>
  <c r="CK29" i="72"/>
  <c r="CM29" i="72"/>
  <c r="CN29" i="72"/>
  <c r="CO29" i="72"/>
  <c r="CP29" i="72"/>
  <c r="CQ29" i="72"/>
  <c r="CR29" i="72"/>
  <c r="CS29" i="72"/>
  <c r="CT29" i="72"/>
  <c r="CU29" i="72"/>
  <c r="CV29" i="72"/>
  <c r="CW29" i="72"/>
  <c r="CD30" i="72"/>
  <c r="CE30" i="72"/>
  <c r="CF30" i="72"/>
  <c r="CG30" i="72"/>
  <c r="CH30" i="72"/>
  <c r="CI30" i="72"/>
  <c r="CJ30" i="72"/>
  <c r="CK30" i="72"/>
  <c r="CM30" i="72"/>
  <c r="CN30" i="72"/>
  <c r="CO30" i="72"/>
  <c r="CP30" i="72"/>
  <c r="CQ30" i="72"/>
  <c r="CR30" i="72"/>
  <c r="CS30" i="72"/>
  <c r="CT30" i="72"/>
  <c r="CU30" i="72"/>
  <c r="CV30" i="72"/>
  <c r="CW30" i="72"/>
  <c r="CE31" i="72"/>
  <c r="CF31" i="72"/>
  <c r="CG31" i="72"/>
  <c r="CH31" i="72"/>
  <c r="CI31" i="72"/>
  <c r="CJ31" i="72"/>
  <c r="CK31" i="72"/>
  <c r="CM31" i="72"/>
  <c r="CN31" i="72"/>
  <c r="CO31" i="72"/>
  <c r="CP31" i="72"/>
  <c r="CQ31" i="72"/>
  <c r="CR31" i="72"/>
  <c r="CS31" i="72"/>
  <c r="CT31" i="72"/>
  <c r="CU31" i="72"/>
  <c r="CV31" i="72"/>
  <c r="CW31" i="72"/>
  <c r="CD32" i="72"/>
  <c r="CF32" i="72"/>
  <c r="CG32" i="72"/>
  <c r="CH32" i="72"/>
  <c r="CI32" i="72"/>
  <c r="CK32" i="72"/>
  <c r="CM32" i="72"/>
  <c r="CN32" i="72"/>
  <c r="CO32" i="72"/>
  <c r="CP32" i="72"/>
  <c r="CQ32" i="72"/>
  <c r="CR32" i="72"/>
  <c r="CS32" i="72"/>
  <c r="CT32" i="72"/>
  <c r="CU32" i="72"/>
  <c r="CV32" i="72"/>
  <c r="CW32" i="72"/>
  <c r="CD33" i="72"/>
  <c r="CE33" i="72"/>
  <c r="CG33" i="72"/>
  <c r="CH33" i="72"/>
  <c r="CI33" i="72"/>
  <c r="CJ33" i="72"/>
  <c r="CM33" i="72"/>
  <c r="CN33" i="72"/>
  <c r="CO33" i="72"/>
  <c r="CP33" i="72"/>
  <c r="CQ33" i="72"/>
  <c r="CR33" i="72"/>
  <c r="CS33" i="72"/>
  <c r="CT33" i="72"/>
  <c r="CU33" i="72"/>
  <c r="CV33" i="72"/>
  <c r="CW33" i="72"/>
  <c r="CD34" i="72"/>
  <c r="CE34" i="72"/>
  <c r="CF34" i="72"/>
  <c r="CH34" i="72"/>
  <c r="CI34" i="72"/>
  <c r="CJ34" i="72"/>
  <c r="CK34" i="72"/>
  <c r="CM34" i="72"/>
  <c r="CN34" i="72"/>
  <c r="CO34" i="72"/>
  <c r="CP34" i="72"/>
  <c r="CQ34" i="72"/>
  <c r="CR34" i="72"/>
  <c r="CS34" i="72"/>
  <c r="CT34" i="72"/>
  <c r="CU34" i="72"/>
  <c r="CV34" i="72"/>
  <c r="CW34" i="72"/>
  <c r="CD35" i="72"/>
  <c r="CE35" i="72"/>
  <c r="CF35" i="72"/>
  <c r="CG35" i="72"/>
  <c r="CI35" i="72"/>
  <c r="CJ35" i="72"/>
  <c r="CK35" i="72"/>
  <c r="CM35" i="72"/>
  <c r="CN35" i="72"/>
  <c r="CO35" i="72"/>
  <c r="CP35" i="72"/>
  <c r="CQ35" i="72"/>
  <c r="CR35" i="72"/>
  <c r="CS35" i="72"/>
  <c r="CT35" i="72"/>
  <c r="CU35" i="72"/>
  <c r="CV35" i="72"/>
  <c r="CW35" i="72"/>
  <c r="CD36" i="72"/>
  <c r="CE36" i="72"/>
  <c r="CF36" i="72"/>
  <c r="CG36" i="72"/>
  <c r="CH36" i="72"/>
  <c r="CI36" i="72"/>
  <c r="CJ36" i="72"/>
  <c r="CK36" i="72"/>
  <c r="CM36" i="72"/>
  <c r="CN36" i="72"/>
  <c r="CO36" i="72"/>
  <c r="CP36" i="72"/>
  <c r="CQ36" i="72"/>
  <c r="CR36" i="72"/>
  <c r="CS36" i="72"/>
  <c r="CT36" i="72"/>
  <c r="CU36" i="72"/>
  <c r="CV36" i="72"/>
  <c r="CW36" i="72"/>
  <c r="CD37" i="72"/>
  <c r="CE37" i="72"/>
  <c r="CF37" i="72"/>
  <c r="CG37" i="72"/>
  <c r="CH37" i="72"/>
  <c r="CI37" i="72"/>
  <c r="CJ37" i="72"/>
  <c r="CK37" i="72"/>
  <c r="CM37" i="72"/>
  <c r="CN37" i="72"/>
  <c r="CO37" i="72"/>
  <c r="CP37" i="72"/>
  <c r="CQ37" i="72"/>
  <c r="CR37" i="72"/>
  <c r="CS37" i="72"/>
  <c r="CT37" i="72"/>
  <c r="CU37" i="72"/>
  <c r="CV37" i="72"/>
  <c r="CW37" i="72"/>
  <c r="CD38" i="72"/>
  <c r="CE38" i="72"/>
  <c r="CF38" i="72"/>
  <c r="CG38" i="72"/>
  <c r="CH38" i="72"/>
  <c r="CI38" i="72"/>
  <c r="CJ38" i="72"/>
  <c r="CK38" i="72"/>
  <c r="CM38" i="72"/>
  <c r="CN38" i="72"/>
  <c r="CO38" i="72"/>
  <c r="CP38" i="72"/>
  <c r="CQ38" i="72"/>
  <c r="CR38" i="72"/>
  <c r="CS38" i="72"/>
  <c r="CT38" i="72"/>
  <c r="CU38" i="72"/>
  <c r="CV38" i="72"/>
  <c r="CW38" i="72"/>
  <c r="CW9" i="72"/>
  <c r="CV9" i="72"/>
  <c r="CU9" i="72"/>
  <c r="CT9" i="72"/>
  <c r="CS9" i="72"/>
  <c r="CR9" i="72"/>
  <c r="CQ9" i="72"/>
  <c r="CP9" i="72"/>
  <c r="CO9" i="72"/>
  <c r="CN9" i="72"/>
  <c r="CM9" i="72"/>
  <c r="CK9" i="72"/>
  <c r="CJ9" i="72"/>
  <c r="CI9" i="72"/>
  <c r="CH9" i="72"/>
  <c r="CG9" i="72"/>
  <c r="CF9" i="72"/>
  <c r="CE9" i="72"/>
  <c r="CD9" i="72"/>
  <c r="CD10" i="71"/>
  <c r="CE10" i="71"/>
  <c r="CF10" i="71"/>
  <c r="CG10" i="71"/>
  <c r="CI10" i="71"/>
  <c r="CJ10" i="71"/>
  <c r="CK10" i="71"/>
  <c r="CN10" i="71"/>
  <c r="CO10" i="71"/>
  <c r="CP10" i="71"/>
  <c r="CQ10" i="71"/>
  <c r="CR10" i="71"/>
  <c r="CS10" i="71"/>
  <c r="CT10" i="71"/>
  <c r="CU10" i="71"/>
  <c r="CV10" i="71"/>
  <c r="CW10" i="71"/>
  <c r="CD11" i="71"/>
  <c r="CE11" i="71"/>
  <c r="CF11" i="71"/>
  <c r="CG11" i="71"/>
  <c r="CH11" i="71"/>
  <c r="CI11" i="71"/>
  <c r="CJ11" i="71"/>
  <c r="CK11" i="71"/>
  <c r="CM11" i="71"/>
  <c r="CN11" i="71"/>
  <c r="CO11" i="71"/>
  <c r="CP11" i="71"/>
  <c r="CQ11" i="71"/>
  <c r="CR11" i="71"/>
  <c r="CS11" i="71"/>
  <c r="CT11" i="71"/>
  <c r="CU11" i="71"/>
  <c r="CV11" i="71"/>
  <c r="CW11" i="71"/>
  <c r="CD12" i="71"/>
  <c r="CE12" i="71"/>
  <c r="CF12" i="71"/>
  <c r="CG12" i="71"/>
  <c r="CH12" i="71"/>
  <c r="CI12" i="71"/>
  <c r="CJ12" i="71"/>
  <c r="CK12" i="71"/>
  <c r="CM12" i="71"/>
  <c r="CN12" i="71"/>
  <c r="CO12" i="71"/>
  <c r="CP12" i="71"/>
  <c r="CQ12" i="71"/>
  <c r="CR12" i="71"/>
  <c r="CS12" i="71"/>
  <c r="CT12" i="71"/>
  <c r="CU12" i="71"/>
  <c r="CV12" i="71"/>
  <c r="CW12" i="71"/>
  <c r="CE13" i="71"/>
  <c r="CF13" i="71"/>
  <c r="CG13" i="71"/>
  <c r="CH13" i="71"/>
  <c r="CI13" i="71"/>
  <c r="CJ13" i="71"/>
  <c r="CK13" i="71"/>
  <c r="CM13" i="71"/>
  <c r="CN13" i="71"/>
  <c r="CO13" i="71"/>
  <c r="CP13" i="71"/>
  <c r="CQ13" i="71"/>
  <c r="CR13" i="71"/>
  <c r="CS13" i="71"/>
  <c r="CT13" i="71"/>
  <c r="CU13" i="71"/>
  <c r="CV13" i="71"/>
  <c r="CW13" i="71"/>
  <c r="CD14" i="71"/>
  <c r="CF14" i="71"/>
  <c r="CG14" i="71"/>
  <c r="CH14" i="71"/>
  <c r="CI14" i="71"/>
  <c r="CK14" i="71"/>
  <c r="CM14" i="71"/>
  <c r="CN14" i="71"/>
  <c r="CO14" i="71"/>
  <c r="CP14" i="71"/>
  <c r="CQ14" i="71"/>
  <c r="CR14" i="71"/>
  <c r="CS14" i="71"/>
  <c r="CT14" i="71"/>
  <c r="CU14" i="71"/>
  <c r="CV14" i="71"/>
  <c r="CW14" i="71"/>
  <c r="CD15" i="71"/>
  <c r="CE15" i="71"/>
  <c r="CG15" i="71"/>
  <c r="CH15" i="71"/>
  <c r="CI15" i="71"/>
  <c r="CJ15" i="71"/>
  <c r="CM15" i="71"/>
  <c r="CN15" i="71"/>
  <c r="CO15" i="71"/>
  <c r="CP15" i="71"/>
  <c r="CQ15" i="71"/>
  <c r="CR15" i="71"/>
  <c r="CS15" i="71"/>
  <c r="CT15" i="71"/>
  <c r="CU15" i="71"/>
  <c r="CV15" i="71"/>
  <c r="CW15" i="71"/>
  <c r="CD16" i="71"/>
  <c r="CE16" i="71"/>
  <c r="CF16" i="71"/>
  <c r="CH16" i="71"/>
  <c r="CI16" i="71"/>
  <c r="CJ16" i="71"/>
  <c r="CK16" i="71"/>
  <c r="CM16" i="71"/>
  <c r="CN16" i="71"/>
  <c r="CO16" i="71"/>
  <c r="CP16" i="71"/>
  <c r="CQ16" i="71"/>
  <c r="CR16" i="71"/>
  <c r="CS16" i="71"/>
  <c r="CT16" i="71"/>
  <c r="CU16" i="71"/>
  <c r="CV16" i="71"/>
  <c r="CW16" i="71"/>
  <c r="CD17" i="71"/>
  <c r="CE17" i="71"/>
  <c r="CF17" i="71"/>
  <c r="CG17" i="71"/>
  <c r="CI17" i="71"/>
  <c r="CJ17" i="71"/>
  <c r="CK17" i="71"/>
  <c r="CN17" i="71"/>
  <c r="CO17" i="71"/>
  <c r="CP17" i="71"/>
  <c r="CQ17" i="71"/>
  <c r="CR17" i="71"/>
  <c r="CS17" i="71"/>
  <c r="CT17" i="71"/>
  <c r="CU17" i="71"/>
  <c r="CV17" i="71"/>
  <c r="CW17" i="71"/>
  <c r="CD18" i="71"/>
  <c r="CE18" i="71"/>
  <c r="CF18" i="71"/>
  <c r="CG18" i="71"/>
  <c r="CH18" i="71"/>
  <c r="CI18" i="71"/>
  <c r="CJ18" i="71"/>
  <c r="CK18" i="71"/>
  <c r="CM18" i="71"/>
  <c r="CN18" i="71"/>
  <c r="CO18" i="71"/>
  <c r="CP18" i="71"/>
  <c r="CQ18" i="71"/>
  <c r="CR18" i="71"/>
  <c r="CS18" i="71"/>
  <c r="CT18" i="71"/>
  <c r="CU18" i="71"/>
  <c r="CV18" i="71"/>
  <c r="CW18" i="71"/>
  <c r="CD19" i="71"/>
  <c r="CE19" i="71"/>
  <c r="CF19" i="71"/>
  <c r="CG19" i="71"/>
  <c r="CH19" i="71"/>
  <c r="CI19" i="71"/>
  <c r="CJ19" i="71"/>
  <c r="CK19" i="71"/>
  <c r="CM19" i="71"/>
  <c r="CN19" i="71"/>
  <c r="CO19" i="71"/>
  <c r="CP19" i="71"/>
  <c r="CQ19" i="71"/>
  <c r="CR19" i="71"/>
  <c r="CS19" i="71"/>
  <c r="CT19" i="71"/>
  <c r="CU19" i="71"/>
  <c r="CV19" i="71"/>
  <c r="CW19" i="71"/>
  <c r="CE20" i="71"/>
  <c r="CF20" i="71"/>
  <c r="CG20" i="71"/>
  <c r="CH20" i="71"/>
  <c r="CI20" i="71"/>
  <c r="CJ20" i="71"/>
  <c r="CK20" i="71"/>
  <c r="CM20" i="71"/>
  <c r="CN20" i="71"/>
  <c r="CO20" i="71"/>
  <c r="CP20" i="71"/>
  <c r="CQ20" i="71"/>
  <c r="CR20" i="71"/>
  <c r="CS20" i="71"/>
  <c r="CT20" i="71"/>
  <c r="CU20" i="71"/>
  <c r="CV20" i="71"/>
  <c r="CW20" i="71"/>
  <c r="CD21" i="71"/>
  <c r="CF21" i="71"/>
  <c r="CG21" i="71"/>
  <c r="CH21" i="71"/>
  <c r="CI21" i="71"/>
  <c r="CJ21" i="71"/>
  <c r="CK21" i="71"/>
  <c r="CM21" i="71"/>
  <c r="CN21" i="71"/>
  <c r="CO21" i="71"/>
  <c r="CP21" i="71"/>
  <c r="CQ21" i="71"/>
  <c r="CR21" i="71"/>
  <c r="CS21" i="71"/>
  <c r="CT21" i="71"/>
  <c r="CU21" i="71"/>
  <c r="CV21" i="71"/>
  <c r="CW21" i="71"/>
  <c r="CD22" i="71"/>
  <c r="CE22" i="71"/>
  <c r="CG22" i="71"/>
  <c r="CH22" i="71"/>
  <c r="CI22" i="71"/>
  <c r="CJ22" i="71"/>
  <c r="CM22" i="71"/>
  <c r="CN22" i="71"/>
  <c r="CO22" i="71"/>
  <c r="CP22" i="71"/>
  <c r="CQ22" i="71"/>
  <c r="CR22" i="71"/>
  <c r="CS22" i="71"/>
  <c r="CT22" i="71"/>
  <c r="CU22" i="71"/>
  <c r="CV22" i="71"/>
  <c r="CW22" i="71"/>
  <c r="CD23" i="71"/>
  <c r="CE23" i="71"/>
  <c r="CF23" i="71"/>
  <c r="CH23" i="71"/>
  <c r="CI23" i="71"/>
  <c r="CJ23" i="71"/>
  <c r="CK23" i="71"/>
  <c r="CM23" i="71"/>
  <c r="CN23" i="71"/>
  <c r="CO23" i="71"/>
  <c r="CP23" i="71"/>
  <c r="CQ23" i="71"/>
  <c r="CR23" i="71"/>
  <c r="CS23" i="71"/>
  <c r="CT23" i="71"/>
  <c r="CU23" i="71"/>
  <c r="CV23" i="71"/>
  <c r="CW23" i="71"/>
  <c r="CD24" i="71"/>
  <c r="CE24" i="71"/>
  <c r="CF24" i="71"/>
  <c r="CG24" i="71"/>
  <c r="CI24" i="71"/>
  <c r="CJ24" i="71"/>
  <c r="CK24" i="71"/>
  <c r="CN24" i="71"/>
  <c r="CO24" i="71"/>
  <c r="CP24" i="71"/>
  <c r="CQ24" i="71"/>
  <c r="CR24" i="71"/>
  <c r="CS24" i="71"/>
  <c r="CT24" i="71"/>
  <c r="CU24" i="71"/>
  <c r="CV24" i="71"/>
  <c r="CW24" i="71"/>
  <c r="CD25" i="71"/>
  <c r="CE25" i="71"/>
  <c r="CF25" i="71"/>
  <c r="CG25" i="71"/>
  <c r="CH25" i="71"/>
  <c r="CI25" i="71"/>
  <c r="CJ25" i="71"/>
  <c r="CK25" i="71"/>
  <c r="CM25" i="71"/>
  <c r="CN25" i="71"/>
  <c r="CO25" i="71"/>
  <c r="CP25" i="71"/>
  <c r="CQ25" i="71"/>
  <c r="CR25" i="71"/>
  <c r="CS25" i="71"/>
  <c r="CT25" i="71"/>
  <c r="CU25" i="71"/>
  <c r="CV25" i="71"/>
  <c r="CW25" i="71"/>
  <c r="CD26" i="71"/>
  <c r="CE26" i="71"/>
  <c r="CF26" i="71"/>
  <c r="CG26" i="71"/>
  <c r="CH26" i="71"/>
  <c r="CI26" i="71"/>
  <c r="CJ26" i="71"/>
  <c r="CK26" i="71"/>
  <c r="CM26" i="71"/>
  <c r="CN26" i="71"/>
  <c r="CO26" i="71"/>
  <c r="CP26" i="71"/>
  <c r="CQ26" i="71"/>
  <c r="CR26" i="71"/>
  <c r="CS26" i="71"/>
  <c r="CT26" i="71"/>
  <c r="CU26" i="71"/>
  <c r="CV26" i="71"/>
  <c r="CW26" i="71"/>
  <c r="CE27" i="71"/>
  <c r="CF27" i="71"/>
  <c r="CG27" i="71"/>
  <c r="CH27" i="71"/>
  <c r="CI27" i="71"/>
  <c r="CJ27" i="71"/>
  <c r="CK27" i="71"/>
  <c r="CM27" i="71"/>
  <c r="CN27" i="71"/>
  <c r="CO27" i="71"/>
  <c r="CP27" i="71"/>
  <c r="CQ27" i="71"/>
  <c r="CR27" i="71"/>
  <c r="CS27" i="71"/>
  <c r="CT27" i="71"/>
  <c r="CU27" i="71"/>
  <c r="CV27" i="71"/>
  <c r="CW27" i="71"/>
  <c r="CD28" i="71"/>
  <c r="CF28" i="71"/>
  <c r="CG28" i="71"/>
  <c r="CH28" i="71"/>
  <c r="CI28" i="71"/>
  <c r="CK28" i="71"/>
  <c r="CM28" i="71"/>
  <c r="CN28" i="71"/>
  <c r="CO28" i="71"/>
  <c r="CP28" i="71"/>
  <c r="CQ28" i="71"/>
  <c r="CR28" i="71"/>
  <c r="CS28" i="71"/>
  <c r="CT28" i="71"/>
  <c r="CU28" i="71"/>
  <c r="CV28" i="71"/>
  <c r="CW28" i="71"/>
  <c r="CD29" i="71"/>
  <c r="CE29" i="71"/>
  <c r="CG29" i="71"/>
  <c r="CH29" i="71"/>
  <c r="CI29" i="71"/>
  <c r="CJ29" i="71"/>
  <c r="CM29" i="71"/>
  <c r="CN29" i="71"/>
  <c r="CO29" i="71"/>
  <c r="CP29" i="71"/>
  <c r="CQ29" i="71"/>
  <c r="CR29" i="71"/>
  <c r="CS29" i="71"/>
  <c r="CT29" i="71"/>
  <c r="CU29" i="71"/>
  <c r="CV29" i="71"/>
  <c r="CW29" i="71"/>
  <c r="CD30" i="71"/>
  <c r="CE30" i="71"/>
  <c r="CF30" i="71"/>
  <c r="CH30" i="71"/>
  <c r="CI30" i="71"/>
  <c r="CJ30" i="71"/>
  <c r="CK30" i="71"/>
  <c r="CM30" i="71"/>
  <c r="CN30" i="71"/>
  <c r="CO30" i="71"/>
  <c r="CP30" i="71"/>
  <c r="CQ30" i="71"/>
  <c r="CR30" i="71"/>
  <c r="CS30" i="71"/>
  <c r="CT30" i="71"/>
  <c r="CU30" i="71"/>
  <c r="CV30" i="71"/>
  <c r="CW30" i="71"/>
  <c r="CD31" i="71"/>
  <c r="CE31" i="71"/>
  <c r="CF31" i="71"/>
  <c r="CG31" i="71"/>
  <c r="CI31" i="71"/>
  <c r="CJ31" i="71"/>
  <c r="CK31" i="71"/>
  <c r="CN31" i="71"/>
  <c r="CO31" i="71"/>
  <c r="CP31" i="71"/>
  <c r="CQ31" i="71"/>
  <c r="CR31" i="71"/>
  <c r="CS31" i="71"/>
  <c r="CT31" i="71"/>
  <c r="CU31" i="71"/>
  <c r="CV31" i="71"/>
  <c r="CW31" i="71"/>
  <c r="CD32" i="71"/>
  <c r="CE32" i="71"/>
  <c r="CF32" i="71"/>
  <c r="CG32" i="71"/>
  <c r="CH32" i="71"/>
  <c r="CI32" i="71"/>
  <c r="CJ32" i="71"/>
  <c r="CK32" i="71"/>
  <c r="CM32" i="71"/>
  <c r="CN32" i="71"/>
  <c r="CO32" i="71"/>
  <c r="CP32" i="71"/>
  <c r="CQ32" i="71"/>
  <c r="CR32" i="71"/>
  <c r="CS32" i="71"/>
  <c r="CT32" i="71"/>
  <c r="CU32" i="71"/>
  <c r="CV32" i="71"/>
  <c r="CW32" i="71"/>
  <c r="CD33" i="71"/>
  <c r="CE33" i="71"/>
  <c r="CF33" i="71"/>
  <c r="CG33" i="71"/>
  <c r="CH33" i="71"/>
  <c r="CI33" i="71"/>
  <c r="CJ33" i="71"/>
  <c r="CK33" i="71"/>
  <c r="CM33" i="71"/>
  <c r="CN33" i="71"/>
  <c r="CO33" i="71"/>
  <c r="CP33" i="71"/>
  <c r="CQ33" i="71"/>
  <c r="CR33" i="71"/>
  <c r="CS33" i="71"/>
  <c r="CT33" i="71"/>
  <c r="CU33" i="71"/>
  <c r="CV33" i="71"/>
  <c r="CW33" i="71"/>
  <c r="CE34" i="71"/>
  <c r="CF34" i="71"/>
  <c r="CG34" i="71"/>
  <c r="CH34" i="71"/>
  <c r="CI34" i="71"/>
  <c r="CJ34" i="71"/>
  <c r="CK34" i="71"/>
  <c r="CM34" i="71"/>
  <c r="CN34" i="71"/>
  <c r="CO34" i="71"/>
  <c r="CP34" i="71"/>
  <c r="CQ34" i="71"/>
  <c r="CR34" i="71"/>
  <c r="CS34" i="71"/>
  <c r="CT34" i="71"/>
  <c r="CU34" i="71"/>
  <c r="CV34" i="71"/>
  <c r="CW34" i="71"/>
  <c r="CD35" i="71"/>
  <c r="CF35" i="71"/>
  <c r="CG35" i="71"/>
  <c r="CH35" i="71"/>
  <c r="CI35" i="71"/>
  <c r="CK35" i="71"/>
  <c r="CM35" i="71"/>
  <c r="CN35" i="71"/>
  <c r="CO35" i="71"/>
  <c r="CP35" i="71"/>
  <c r="CQ35" i="71"/>
  <c r="CR35" i="71"/>
  <c r="CS35" i="71"/>
  <c r="CT35" i="71"/>
  <c r="CU35" i="71"/>
  <c r="CV35" i="71"/>
  <c r="CW35" i="71"/>
  <c r="CD36" i="71"/>
  <c r="CE36" i="71"/>
  <c r="CG36" i="71"/>
  <c r="CH36" i="71"/>
  <c r="CI36" i="71"/>
  <c r="CJ36" i="71"/>
  <c r="CM36" i="71"/>
  <c r="CN36" i="71"/>
  <c r="CO36" i="71"/>
  <c r="CP36" i="71"/>
  <c r="CQ36" i="71"/>
  <c r="CR36" i="71"/>
  <c r="CS36" i="71"/>
  <c r="CT36" i="71"/>
  <c r="CU36" i="71"/>
  <c r="CV36" i="71"/>
  <c r="CW36" i="71"/>
  <c r="CD37" i="71"/>
  <c r="CE37" i="71"/>
  <c r="CF37" i="71"/>
  <c r="CG37" i="71"/>
  <c r="CH37" i="71"/>
  <c r="CI37" i="71"/>
  <c r="CJ37" i="71"/>
  <c r="CK37" i="71"/>
  <c r="CM37" i="71"/>
  <c r="CN37" i="71"/>
  <c r="CO37" i="71"/>
  <c r="CP37" i="71"/>
  <c r="CQ37" i="71"/>
  <c r="CR37" i="71"/>
  <c r="CS37" i="71"/>
  <c r="CT37" i="71"/>
  <c r="CU37" i="71"/>
  <c r="CV37" i="71"/>
  <c r="CW37" i="71"/>
  <c r="CD38" i="71"/>
  <c r="CE38" i="71"/>
  <c r="CF38" i="71"/>
  <c r="CG38" i="71"/>
  <c r="CH38" i="71"/>
  <c r="CI38" i="71"/>
  <c r="CJ38" i="71"/>
  <c r="CK38" i="71"/>
  <c r="CM38" i="71"/>
  <c r="CN38" i="71"/>
  <c r="CO38" i="71"/>
  <c r="CP38" i="71"/>
  <c r="CQ38" i="71"/>
  <c r="CR38" i="71"/>
  <c r="CS38" i="71"/>
  <c r="CT38" i="71"/>
  <c r="CU38" i="71"/>
  <c r="CV38" i="71"/>
  <c r="CW38" i="71"/>
  <c r="CD39" i="71"/>
  <c r="CE39" i="71"/>
  <c r="CF39" i="71"/>
  <c r="CG39" i="71"/>
  <c r="CH39" i="71"/>
  <c r="CI39" i="71"/>
  <c r="CJ39" i="71"/>
  <c r="CK39" i="71"/>
  <c r="CM39" i="71"/>
  <c r="CN39" i="71"/>
  <c r="CO39" i="71"/>
  <c r="CP39" i="71"/>
  <c r="CQ39" i="71"/>
  <c r="CR39" i="71"/>
  <c r="CS39" i="71"/>
  <c r="CT39" i="71"/>
  <c r="CU39" i="71"/>
  <c r="CV39" i="71"/>
  <c r="CW39" i="71"/>
  <c r="CW9" i="71"/>
  <c r="CV9" i="71"/>
  <c r="CU9" i="71"/>
  <c r="CT9" i="71"/>
  <c r="CS9" i="71"/>
  <c r="CR9" i="71"/>
  <c r="CQ9" i="71"/>
  <c r="CP9" i="71"/>
  <c r="CO9" i="71"/>
  <c r="CN9" i="71"/>
  <c r="CM9" i="71"/>
  <c r="CK9" i="71"/>
  <c r="CJ9" i="71"/>
  <c r="CI9" i="71"/>
  <c r="CH9" i="71"/>
  <c r="CF9" i="71"/>
  <c r="CE9" i="71"/>
  <c r="CD9" i="71"/>
  <c r="CD10" i="70"/>
  <c r="CE10" i="70"/>
  <c r="CG10" i="70"/>
  <c r="CH10" i="70"/>
  <c r="CI10" i="70"/>
  <c r="CJ10" i="70"/>
  <c r="CM10" i="70"/>
  <c r="CN10" i="70"/>
  <c r="CO10" i="70"/>
  <c r="CP10" i="70"/>
  <c r="CQ10" i="70"/>
  <c r="CR10" i="70"/>
  <c r="CS10" i="70"/>
  <c r="CT10" i="70"/>
  <c r="CU10" i="70"/>
  <c r="CV10" i="70"/>
  <c r="CW10" i="70"/>
  <c r="CD11" i="70"/>
  <c r="CE11" i="70"/>
  <c r="CF11" i="70"/>
  <c r="CH11" i="70"/>
  <c r="CI11" i="70"/>
  <c r="CJ11" i="70"/>
  <c r="CK11" i="70"/>
  <c r="CM11" i="70"/>
  <c r="CN11" i="70"/>
  <c r="CO11" i="70"/>
  <c r="CP11" i="70"/>
  <c r="CQ11" i="70"/>
  <c r="CR11" i="70"/>
  <c r="CS11" i="70"/>
  <c r="CT11" i="70"/>
  <c r="CU11" i="70"/>
  <c r="CV11" i="70"/>
  <c r="CW11" i="70"/>
  <c r="CD12" i="70"/>
  <c r="CE12" i="70"/>
  <c r="CF12" i="70"/>
  <c r="CG12" i="70"/>
  <c r="CI12" i="70"/>
  <c r="CJ12" i="70"/>
  <c r="CK12" i="70"/>
  <c r="CN12" i="70"/>
  <c r="CO12" i="70"/>
  <c r="CP12" i="70"/>
  <c r="CQ12" i="70"/>
  <c r="CR12" i="70"/>
  <c r="CS12" i="70"/>
  <c r="CT12" i="70"/>
  <c r="CU12" i="70"/>
  <c r="CV12" i="70"/>
  <c r="CW12" i="70"/>
  <c r="CD13" i="70"/>
  <c r="CE13" i="70"/>
  <c r="CF13" i="70"/>
  <c r="CG13" i="70"/>
  <c r="CH13" i="70"/>
  <c r="CI13" i="70"/>
  <c r="CJ13" i="70"/>
  <c r="CK13" i="70"/>
  <c r="CM13" i="70"/>
  <c r="CN13" i="70"/>
  <c r="CO13" i="70"/>
  <c r="CP13" i="70"/>
  <c r="CQ13" i="70"/>
  <c r="CR13" i="70"/>
  <c r="CS13" i="70"/>
  <c r="CT13" i="70"/>
  <c r="CU13" i="70"/>
  <c r="CV13" i="70"/>
  <c r="CW13" i="70"/>
  <c r="CD14" i="70"/>
  <c r="CE14" i="70"/>
  <c r="CF14" i="70"/>
  <c r="CG14" i="70"/>
  <c r="CH14" i="70"/>
  <c r="CI14" i="70"/>
  <c r="CJ14" i="70"/>
  <c r="CK14" i="70"/>
  <c r="CM14" i="70"/>
  <c r="CN14" i="70"/>
  <c r="CO14" i="70"/>
  <c r="CP14" i="70"/>
  <c r="CQ14" i="70"/>
  <c r="CR14" i="70"/>
  <c r="CS14" i="70"/>
  <c r="CT14" i="70"/>
  <c r="CU14" i="70"/>
  <c r="CV14" i="70"/>
  <c r="CW14" i="70"/>
  <c r="CE15" i="70"/>
  <c r="CF15" i="70"/>
  <c r="CG15" i="70"/>
  <c r="CH15" i="70"/>
  <c r="CI15" i="70"/>
  <c r="CJ15" i="70"/>
  <c r="CK15" i="70"/>
  <c r="CM15" i="70"/>
  <c r="CN15" i="70"/>
  <c r="CO15" i="70"/>
  <c r="CP15" i="70"/>
  <c r="CQ15" i="70"/>
  <c r="CR15" i="70"/>
  <c r="CS15" i="70"/>
  <c r="CT15" i="70"/>
  <c r="CU15" i="70"/>
  <c r="CV15" i="70"/>
  <c r="CW15" i="70"/>
  <c r="CD16" i="70"/>
  <c r="CF16" i="70"/>
  <c r="CG16" i="70"/>
  <c r="CH16" i="70"/>
  <c r="CI16" i="70"/>
  <c r="CK16" i="70"/>
  <c r="CM16" i="70"/>
  <c r="CN16" i="70"/>
  <c r="CO16" i="70"/>
  <c r="CP16" i="70"/>
  <c r="CQ16" i="70"/>
  <c r="CR16" i="70"/>
  <c r="CS16" i="70"/>
  <c r="CT16" i="70"/>
  <c r="CU16" i="70"/>
  <c r="CV16" i="70"/>
  <c r="CW16" i="70"/>
  <c r="CD17" i="70"/>
  <c r="CE17" i="70"/>
  <c r="CG17" i="70"/>
  <c r="CH17" i="70"/>
  <c r="CI17" i="70"/>
  <c r="CJ17" i="70"/>
  <c r="CM17" i="70"/>
  <c r="CN17" i="70"/>
  <c r="CO17" i="70"/>
  <c r="CP17" i="70"/>
  <c r="CQ17" i="70"/>
  <c r="CR17" i="70"/>
  <c r="CS17" i="70"/>
  <c r="CT17" i="70"/>
  <c r="CU17" i="70"/>
  <c r="CV17" i="70"/>
  <c r="CW17" i="70"/>
  <c r="CD18" i="70"/>
  <c r="CE18" i="70"/>
  <c r="CF18" i="70"/>
  <c r="CH18" i="70"/>
  <c r="CI18" i="70"/>
  <c r="CJ18" i="70"/>
  <c r="CK18" i="70"/>
  <c r="CM18" i="70"/>
  <c r="CN18" i="70"/>
  <c r="CO18" i="70"/>
  <c r="CP18" i="70"/>
  <c r="CQ18" i="70"/>
  <c r="CR18" i="70"/>
  <c r="CS18" i="70"/>
  <c r="CT18" i="70"/>
  <c r="CU18" i="70"/>
  <c r="CV18" i="70"/>
  <c r="CW18" i="70"/>
  <c r="CD19" i="70"/>
  <c r="CE19" i="70"/>
  <c r="CF19" i="70"/>
  <c r="CG19" i="70"/>
  <c r="CI19" i="70"/>
  <c r="CJ19" i="70"/>
  <c r="CK19" i="70"/>
  <c r="CN19" i="70"/>
  <c r="CO19" i="70"/>
  <c r="CP19" i="70"/>
  <c r="CQ19" i="70"/>
  <c r="CR19" i="70"/>
  <c r="CS19" i="70"/>
  <c r="CT19" i="70"/>
  <c r="CU19" i="70"/>
  <c r="CV19" i="70"/>
  <c r="CW19" i="70"/>
  <c r="CD20" i="70"/>
  <c r="CE20" i="70"/>
  <c r="CF20" i="70"/>
  <c r="CG20" i="70"/>
  <c r="CH20" i="70"/>
  <c r="CI20" i="70"/>
  <c r="CJ20" i="70"/>
  <c r="CK20" i="70"/>
  <c r="CM20" i="70"/>
  <c r="CN20" i="70"/>
  <c r="CO20" i="70"/>
  <c r="CP20" i="70"/>
  <c r="CQ20" i="70"/>
  <c r="CR20" i="70"/>
  <c r="CS20" i="70"/>
  <c r="CT20" i="70"/>
  <c r="CU20" i="70"/>
  <c r="CV20" i="70"/>
  <c r="CW20" i="70"/>
  <c r="CD21" i="70"/>
  <c r="CE21" i="70"/>
  <c r="CF21" i="70"/>
  <c r="CG21" i="70"/>
  <c r="CH21" i="70"/>
  <c r="CI21" i="70"/>
  <c r="CJ21" i="70"/>
  <c r="CK21" i="70"/>
  <c r="CM21" i="70"/>
  <c r="CN21" i="70"/>
  <c r="CO21" i="70"/>
  <c r="CP21" i="70"/>
  <c r="CQ21" i="70"/>
  <c r="CR21" i="70"/>
  <c r="CS21" i="70"/>
  <c r="CT21" i="70"/>
  <c r="CU21" i="70"/>
  <c r="CV21" i="70"/>
  <c r="CW21" i="70"/>
  <c r="CD22" i="70"/>
  <c r="CE22" i="70"/>
  <c r="CF22" i="70"/>
  <c r="CG22" i="70"/>
  <c r="CH22" i="70"/>
  <c r="CI22" i="70"/>
  <c r="CJ22" i="70"/>
  <c r="CK22" i="70"/>
  <c r="CM22" i="70"/>
  <c r="CN22" i="70"/>
  <c r="CO22" i="70"/>
  <c r="CP22" i="70"/>
  <c r="CQ22" i="70"/>
  <c r="CR22" i="70"/>
  <c r="CS22" i="70"/>
  <c r="CT22" i="70"/>
  <c r="CU22" i="70"/>
  <c r="CV22" i="70"/>
  <c r="CW22" i="70"/>
  <c r="CD23" i="70"/>
  <c r="CE23" i="70"/>
  <c r="CF23" i="70"/>
  <c r="CG23" i="70"/>
  <c r="CH23" i="70"/>
  <c r="CI23" i="70"/>
  <c r="CJ23" i="70"/>
  <c r="CK23" i="70"/>
  <c r="CM23" i="70"/>
  <c r="CN23" i="70"/>
  <c r="CO23" i="70"/>
  <c r="CP23" i="70"/>
  <c r="CQ23" i="70"/>
  <c r="CR23" i="70"/>
  <c r="CS23" i="70"/>
  <c r="CT23" i="70"/>
  <c r="CU23" i="70"/>
  <c r="CV23" i="70"/>
  <c r="CW23" i="70"/>
  <c r="CD24" i="70"/>
  <c r="CE24" i="70"/>
  <c r="CF24" i="70"/>
  <c r="CG24" i="70"/>
  <c r="CH24" i="70"/>
  <c r="CI24" i="70"/>
  <c r="CJ24" i="70"/>
  <c r="CK24" i="70"/>
  <c r="CM24" i="70"/>
  <c r="CN24" i="70"/>
  <c r="CO24" i="70"/>
  <c r="CP24" i="70"/>
  <c r="CQ24" i="70"/>
  <c r="CR24" i="70"/>
  <c r="CS24" i="70"/>
  <c r="CT24" i="70"/>
  <c r="CU24" i="70"/>
  <c r="CV24" i="70"/>
  <c r="CW24" i="70"/>
  <c r="CD25" i="70"/>
  <c r="CE25" i="70"/>
  <c r="CF25" i="70"/>
  <c r="CG25" i="70"/>
  <c r="CH25" i="70"/>
  <c r="CI25" i="70"/>
  <c r="CJ25" i="70"/>
  <c r="CK25" i="70"/>
  <c r="CM25" i="70"/>
  <c r="CN25" i="70"/>
  <c r="CO25" i="70"/>
  <c r="CP25" i="70"/>
  <c r="CQ25" i="70"/>
  <c r="CR25" i="70"/>
  <c r="CS25" i="70"/>
  <c r="CT25" i="70"/>
  <c r="CU25" i="70"/>
  <c r="CV25" i="70"/>
  <c r="CW25" i="70"/>
  <c r="CD26" i="70"/>
  <c r="CE26" i="70"/>
  <c r="CF26" i="70"/>
  <c r="CG26" i="70"/>
  <c r="CH26" i="70"/>
  <c r="CI26" i="70"/>
  <c r="CJ26" i="70"/>
  <c r="CK26" i="70"/>
  <c r="CM26" i="70"/>
  <c r="CN26" i="70"/>
  <c r="CO26" i="70"/>
  <c r="CP26" i="70"/>
  <c r="CQ26" i="70"/>
  <c r="CR26" i="70"/>
  <c r="CS26" i="70"/>
  <c r="CT26" i="70"/>
  <c r="CU26" i="70"/>
  <c r="CV26" i="70"/>
  <c r="CW26" i="70"/>
  <c r="CD27" i="70"/>
  <c r="CE27" i="70"/>
  <c r="CF27" i="70"/>
  <c r="CG27" i="70"/>
  <c r="CH27" i="70"/>
  <c r="CI27" i="70"/>
  <c r="CJ27" i="70"/>
  <c r="CK27" i="70"/>
  <c r="CM27" i="70"/>
  <c r="CN27" i="70"/>
  <c r="CO27" i="70"/>
  <c r="CP27" i="70"/>
  <c r="CQ27" i="70"/>
  <c r="CR27" i="70"/>
  <c r="CS27" i="70"/>
  <c r="CT27" i="70"/>
  <c r="CU27" i="70"/>
  <c r="CV27" i="70"/>
  <c r="CW27" i="70"/>
  <c r="CD28" i="70"/>
  <c r="CE28" i="70"/>
  <c r="CF28" i="70"/>
  <c r="CG28" i="70"/>
  <c r="CH28" i="70"/>
  <c r="CI28" i="70"/>
  <c r="CJ28" i="70"/>
  <c r="CK28" i="70"/>
  <c r="CM28" i="70"/>
  <c r="CN28" i="70"/>
  <c r="CO28" i="70"/>
  <c r="CP28" i="70"/>
  <c r="CQ28" i="70"/>
  <c r="CR28" i="70"/>
  <c r="CS28" i="70"/>
  <c r="CT28" i="70"/>
  <c r="CU28" i="70"/>
  <c r="CV28" i="70"/>
  <c r="CW28" i="70"/>
  <c r="CD29" i="70"/>
  <c r="CE29" i="70"/>
  <c r="CF29" i="70"/>
  <c r="CG29" i="70"/>
  <c r="CH29" i="70"/>
  <c r="CI29" i="70"/>
  <c r="CJ29" i="70"/>
  <c r="CK29" i="70"/>
  <c r="CM29" i="70"/>
  <c r="CN29" i="70"/>
  <c r="CO29" i="70"/>
  <c r="CP29" i="70"/>
  <c r="CQ29" i="70"/>
  <c r="CR29" i="70"/>
  <c r="CS29" i="70"/>
  <c r="CT29" i="70"/>
  <c r="CU29" i="70"/>
  <c r="CV29" i="70"/>
  <c r="CW29" i="70"/>
  <c r="CD30" i="70"/>
  <c r="CF30" i="70"/>
  <c r="CG30" i="70"/>
  <c r="CH30" i="70"/>
  <c r="CI30" i="70"/>
  <c r="CK30" i="70"/>
  <c r="CM30" i="70"/>
  <c r="CN30" i="70"/>
  <c r="CO30" i="70"/>
  <c r="CP30" i="70"/>
  <c r="CQ30" i="70"/>
  <c r="CR30" i="70"/>
  <c r="CS30" i="70"/>
  <c r="CT30" i="70"/>
  <c r="CU30" i="70"/>
  <c r="CV30" i="70"/>
  <c r="CW30" i="70"/>
  <c r="CD31" i="70"/>
  <c r="CE31" i="70"/>
  <c r="CG31" i="70"/>
  <c r="CH31" i="70"/>
  <c r="CI31" i="70"/>
  <c r="CJ31" i="70"/>
  <c r="CM31" i="70"/>
  <c r="CN31" i="70"/>
  <c r="CO31" i="70"/>
  <c r="CP31" i="70"/>
  <c r="CQ31" i="70"/>
  <c r="CR31" i="70"/>
  <c r="CS31" i="70"/>
  <c r="CT31" i="70"/>
  <c r="CU31" i="70"/>
  <c r="CV31" i="70"/>
  <c r="CW31" i="70"/>
  <c r="CD32" i="70"/>
  <c r="CE32" i="70"/>
  <c r="CF32" i="70"/>
  <c r="CH32" i="70"/>
  <c r="CI32" i="70"/>
  <c r="CJ32" i="70"/>
  <c r="CK32" i="70"/>
  <c r="CM32" i="70"/>
  <c r="CN32" i="70"/>
  <c r="CO32" i="70"/>
  <c r="CP32" i="70"/>
  <c r="CQ32" i="70"/>
  <c r="CR32" i="70"/>
  <c r="CS32" i="70"/>
  <c r="CT32" i="70"/>
  <c r="CU32" i="70"/>
  <c r="CV32" i="70"/>
  <c r="CW32" i="70"/>
  <c r="CD33" i="70"/>
  <c r="CE33" i="70"/>
  <c r="CF33" i="70"/>
  <c r="CG33" i="70"/>
  <c r="CI33" i="70"/>
  <c r="CJ33" i="70"/>
  <c r="CK33" i="70"/>
  <c r="CN33" i="70"/>
  <c r="CO33" i="70"/>
  <c r="CP33" i="70"/>
  <c r="CQ33" i="70"/>
  <c r="CR33" i="70"/>
  <c r="CS33" i="70"/>
  <c r="CT33" i="70"/>
  <c r="CU33" i="70"/>
  <c r="CV33" i="70"/>
  <c r="CW33" i="70"/>
  <c r="CD34" i="70"/>
  <c r="CE34" i="70"/>
  <c r="CF34" i="70"/>
  <c r="CG34" i="70"/>
  <c r="CH34" i="70"/>
  <c r="CI34" i="70"/>
  <c r="CJ34" i="70"/>
  <c r="CK34" i="70"/>
  <c r="CM34" i="70"/>
  <c r="CN34" i="70"/>
  <c r="CO34" i="70"/>
  <c r="CP34" i="70"/>
  <c r="CQ34" i="70"/>
  <c r="CR34" i="70"/>
  <c r="CS34" i="70"/>
  <c r="CT34" i="70"/>
  <c r="CU34" i="70"/>
  <c r="CV34" i="70"/>
  <c r="CW34" i="70"/>
  <c r="CD35" i="70"/>
  <c r="CE35" i="70"/>
  <c r="CF35" i="70"/>
  <c r="CG35" i="70"/>
  <c r="CH35" i="70"/>
  <c r="CI35" i="70"/>
  <c r="CJ35" i="70"/>
  <c r="CK35" i="70"/>
  <c r="CM35" i="70"/>
  <c r="CN35" i="70"/>
  <c r="CO35" i="70"/>
  <c r="CP35" i="70"/>
  <c r="CQ35" i="70"/>
  <c r="CR35" i="70"/>
  <c r="CS35" i="70"/>
  <c r="CT35" i="70"/>
  <c r="CU35" i="70"/>
  <c r="CV35" i="70"/>
  <c r="CW35" i="70"/>
  <c r="CE36" i="70"/>
  <c r="CF36" i="70"/>
  <c r="CG36" i="70"/>
  <c r="CH36" i="70"/>
  <c r="CI36" i="70"/>
  <c r="CJ36" i="70"/>
  <c r="CK36" i="70"/>
  <c r="CM36" i="70"/>
  <c r="CN36" i="70"/>
  <c r="CO36" i="70"/>
  <c r="CP36" i="70"/>
  <c r="CQ36" i="70"/>
  <c r="CR36" i="70"/>
  <c r="CS36" i="70"/>
  <c r="CT36" i="70"/>
  <c r="CU36" i="70"/>
  <c r="CV36" i="70"/>
  <c r="CW36" i="70"/>
  <c r="CD37" i="70"/>
  <c r="CF37" i="70"/>
  <c r="CG37" i="70"/>
  <c r="CH37" i="70"/>
  <c r="CI37" i="70"/>
  <c r="CK37" i="70"/>
  <c r="CM37" i="70"/>
  <c r="CN37" i="70"/>
  <c r="CO37" i="70"/>
  <c r="CP37" i="70"/>
  <c r="CQ37" i="70"/>
  <c r="CR37" i="70"/>
  <c r="CS37" i="70"/>
  <c r="CT37" i="70"/>
  <c r="CU37" i="70"/>
  <c r="CV37" i="70"/>
  <c r="CW37" i="70"/>
  <c r="CD38" i="70"/>
  <c r="CE38" i="70"/>
  <c r="CG38" i="70"/>
  <c r="CH38" i="70"/>
  <c r="CI38" i="70"/>
  <c r="CJ38" i="70"/>
  <c r="CM38" i="70"/>
  <c r="CN38" i="70"/>
  <c r="CO38" i="70"/>
  <c r="CP38" i="70"/>
  <c r="CQ38" i="70"/>
  <c r="CR38" i="70"/>
  <c r="CS38" i="70"/>
  <c r="CT38" i="70"/>
  <c r="CU38" i="70"/>
  <c r="CV38" i="70"/>
  <c r="CW38" i="70"/>
  <c r="CW9" i="70"/>
  <c r="CV9" i="70"/>
  <c r="CU9" i="70"/>
  <c r="CT9" i="70"/>
  <c r="CS9" i="70"/>
  <c r="CR9" i="70"/>
  <c r="CQ9" i="70"/>
  <c r="CP9" i="70"/>
  <c r="CO9" i="70"/>
  <c r="CN9" i="70"/>
  <c r="CM9" i="70"/>
  <c r="CK9" i="70"/>
  <c r="CI9" i="70"/>
  <c r="CH9" i="70"/>
  <c r="CG9" i="70"/>
  <c r="CF9" i="70"/>
  <c r="CD9" i="70"/>
  <c r="CD10" i="69"/>
  <c r="CE10" i="69"/>
  <c r="CF10" i="69"/>
  <c r="CG10" i="69"/>
  <c r="CH10" i="69"/>
  <c r="CI10" i="69"/>
  <c r="CJ10" i="69"/>
  <c r="CK10" i="69"/>
  <c r="CM10" i="69"/>
  <c r="CN10" i="69"/>
  <c r="CO10" i="69"/>
  <c r="CP10" i="69"/>
  <c r="CQ10" i="69"/>
  <c r="CR10" i="69"/>
  <c r="CS10" i="69"/>
  <c r="CT10" i="69"/>
  <c r="CU10" i="69"/>
  <c r="CV10" i="69"/>
  <c r="CW10" i="69"/>
  <c r="CE11" i="69"/>
  <c r="CF11" i="69"/>
  <c r="CG11" i="69"/>
  <c r="CH11" i="69"/>
  <c r="CI11" i="69"/>
  <c r="CJ11" i="69"/>
  <c r="CK11" i="69"/>
  <c r="CM11" i="69"/>
  <c r="CN11" i="69"/>
  <c r="CO11" i="69"/>
  <c r="CP11" i="69"/>
  <c r="CQ11" i="69"/>
  <c r="CR11" i="69"/>
  <c r="CS11" i="69"/>
  <c r="CT11" i="69"/>
  <c r="CU11" i="69"/>
  <c r="CV11" i="69"/>
  <c r="CW11" i="69"/>
  <c r="CD12" i="69"/>
  <c r="CF12" i="69"/>
  <c r="CG12" i="69"/>
  <c r="CH12" i="69"/>
  <c r="CI12" i="69"/>
  <c r="CK12" i="69"/>
  <c r="CM12" i="69"/>
  <c r="CN12" i="69"/>
  <c r="CO12" i="69"/>
  <c r="CP12" i="69"/>
  <c r="CQ12" i="69"/>
  <c r="CR12" i="69"/>
  <c r="CS12" i="69"/>
  <c r="CT12" i="69"/>
  <c r="CU12" i="69"/>
  <c r="CV12" i="69"/>
  <c r="CW12" i="69"/>
  <c r="CD13" i="69"/>
  <c r="CE13" i="69"/>
  <c r="CG13" i="69"/>
  <c r="CH13" i="69"/>
  <c r="CI13" i="69"/>
  <c r="CJ13" i="69"/>
  <c r="CM13" i="69"/>
  <c r="CN13" i="69"/>
  <c r="CO13" i="69"/>
  <c r="CP13" i="69"/>
  <c r="CQ13" i="69"/>
  <c r="CR13" i="69"/>
  <c r="CS13" i="69"/>
  <c r="CT13" i="69"/>
  <c r="CU13" i="69"/>
  <c r="CV13" i="69"/>
  <c r="CW13" i="69"/>
  <c r="CD14" i="69"/>
  <c r="CE14" i="69"/>
  <c r="CF14" i="69"/>
  <c r="CH14" i="69"/>
  <c r="CI14" i="69"/>
  <c r="CJ14" i="69"/>
  <c r="CK14" i="69"/>
  <c r="CM14" i="69"/>
  <c r="CN14" i="69"/>
  <c r="CO14" i="69"/>
  <c r="CP14" i="69"/>
  <c r="CQ14" i="69"/>
  <c r="CR14" i="69"/>
  <c r="CS14" i="69"/>
  <c r="CT14" i="69"/>
  <c r="CU14" i="69"/>
  <c r="CV14" i="69"/>
  <c r="CW14" i="69"/>
  <c r="CD15" i="69"/>
  <c r="CE15" i="69"/>
  <c r="CF15" i="69"/>
  <c r="CG15" i="69"/>
  <c r="CI15" i="69"/>
  <c r="CJ15" i="69"/>
  <c r="CK15" i="69"/>
  <c r="CN15" i="69"/>
  <c r="CO15" i="69"/>
  <c r="CP15" i="69"/>
  <c r="CQ15" i="69"/>
  <c r="CR15" i="69"/>
  <c r="CS15" i="69"/>
  <c r="CT15" i="69"/>
  <c r="CU15" i="69"/>
  <c r="CV15" i="69"/>
  <c r="CW15" i="69"/>
  <c r="CD16" i="69"/>
  <c r="CE16" i="69"/>
  <c r="CF16" i="69"/>
  <c r="CG16" i="69"/>
  <c r="CH16" i="69"/>
  <c r="CI16" i="69"/>
  <c r="CJ16" i="69"/>
  <c r="CK16" i="69"/>
  <c r="CM16" i="69"/>
  <c r="CN16" i="69"/>
  <c r="CO16" i="69"/>
  <c r="CP16" i="69"/>
  <c r="CQ16" i="69"/>
  <c r="CR16" i="69"/>
  <c r="CS16" i="69"/>
  <c r="CT16" i="69"/>
  <c r="CU16" i="69"/>
  <c r="CV16" i="69"/>
  <c r="CW16" i="69"/>
  <c r="CD17" i="69"/>
  <c r="CE17" i="69"/>
  <c r="CF17" i="69"/>
  <c r="CG17" i="69"/>
  <c r="CH17" i="69"/>
  <c r="CI17" i="69"/>
  <c r="CJ17" i="69"/>
  <c r="CK17" i="69"/>
  <c r="CM17" i="69"/>
  <c r="CN17" i="69"/>
  <c r="CO17" i="69"/>
  <c r="CP17" i="69"/>
  <c r="CQ17" i="69"/>
  <c r="CR17" i="69"/>
  <c r="CS17" i="69"/>
  <c r="CT17" i="69"/>
  <c r="CU17" i="69"/>
  <c r="CV17" i="69"/>
  <c r="CW17" i="69"/>
  <c r="CE18" i="69"/>
  <c r="CF18" i="69"/>
  <c r="CG18" i="69"/>
  <c r="CH18" i="69"/>
  <c r="CI18" i="69"/>
  <c r="CJ18" i="69"/>
  <c r="CK18" i="69"/>
  <c r="CM18" i="69"/>
  <c r="CO18" i="69"/>
  <c r="CP18" i="69"/>
  <c r="CQ18" i="69"/>
  <c r="CR18" i="69"/>
  <c r="CS18" i="69"/>
  <c r="CT18" i="69"/>
  <c r="CU18" i="69"/>
  <c r="CV18" i="69"/>
  <c r="CW18" i="69"/>
  <c r="CD19" i="69"/>
  <c r="CF19" i="69"/>
  <c r="CG19" i="69"/>
  <c r="CH19" i="69"/>
  <c r="CI19" i="69"/>
  <c r="CK19" i="69"/>
  <c r="CM19" i="69"/>
  <c r="CN19" i="69"/>
  <c r="CP19" i="69"/>
  <c r="CQ19" i="69"/>
  <c r="CR19" i="69"/>
  <c r="CS19" i="69"/>
  <c r="CT19" i="69"/>
  <c r="CU19" i="69"/>
  <c r="CV19" i="69"/>
  <c r="CW19" i="69"/>
  <c r="CD20" i="69"/>
  <c r="CE20" i="69"/>
  <c r="CG20" i="69"/>
  <c r="CH20" i="69"/>
  <c r="CI20" i="69"/>
  <c r="CJ20" i="69"/>
  <c r="CM20" i="69"/>
  <c r="CN20" i="69"/>
  <c r="CO20" i="69"/>
  <c r="CQ20" i="69"/>
  <c r="CR20" i="69"/>
  <c r="CS20" i="69"/>
  <c r="CT20" i="69"/>
  <c r="CU20" i="69"/>
  <c r="CV20" i="69"/>
  <c r="CW20" i="69"/>
  <c r="CD21" i="69"/>
  <c r="CE21" i="69"/>
  <c r="CF21" i="69"/>
  <c r="CH21" i="69"/>
  <c r="CI21" i="69"/>
  <c r="CJ21" i="69"/>
  <c r="CK21" i="69"/>
  <c r="CM21" i="69"/>
  <c r="CN21" i="69"/>
  <c r="CO21" i="69"/>
  <c r="CP21" i="69"/>
  <c r="CR21" i="69"/>
  <c r="CS21" i="69"/>
  <c r="CT21" i="69"/>
  <c r="CU21" i="69"/>
  <c r="CV21" i="69"/>
  <c r="CW21" i="69"/>
  <c r="CD22" i="69"/>
  <c r="CE22" i="69"/>
  <c r="CF22" i="69"/>
  <c r="CG22" i="69"/>
  <c r="CI22" i="69"/>
  <c r="CJ22" i="69"/>
  <c r="CK22" i="69"/>
  <c r="CM22" i="69"/>
  <c r="CN22" i="69"/>
  <c r="CO22" i="69"/>
  <c r="CP22" i="69"/>
  <c r="CQ22" i="69"/>
  <c r="CS22" i="69"/>
  <c r="CT22" i="69"/>
  <c r="CU22" i="69"/>
  <c r="CV22" i="69"/>
  <c r="CW22" i="69"/>
  <c r="CD23" i="69"/>
  <c r="CE23" i="69"/>
  <c r="CF23" i="69"/>
  <c r="CG23" i="69"/>
  <c r="CH23" i="69"/>
  <c r="CI23" i="69"/>
  <c r="CJ23" i="69"/>
  <c r="CK23" i="69"/>
  <c r="CM23" i="69"/>
  <c r="CN23" i="69"/>
  <c r="CO23" i="69"/>
  <c r="CP23" i="69"/>
  <c r="CQ23" i="69"/>
  <c r="CR23" i="69"/>
  <c r="CS23" i="69"/>
  <c r="CT23" i="69"/>
  <c r="CU23" i="69"/>
  <c r="CV23" i="69"/>
  <c r="CW23" i="69"/>
  <c r="CD24" i="69"/>
  <c r="CE24" i="69"/>
  <c r="CF24" i="69"/>
  <c r="CG24" i="69"/>
  <c r="CH24" i="69"/>
  <c r="CI24" i="69"/>
  <c r="CJ24" i="69"/>
  <c r="CK24" i="69"/>
  <c r="CM24" i="69"/>
  <c r="CN24" i="69"/>
  <c r="CO24" i="69"/>
  <c r="CP24" i="69"/>
  <c r="CQ24" i="69"/>
  <c r="CR24" i="69"/>
  <c r="CS24" i="69"/>
  <c r="CT24" i="69"/>
  <c r="CU24" i="69"/>
  <c r="CV24" i="69"/>
  <c r="CW24" i="69"/>
  <c r="CE25" i="69"/>
  <c r="CF25" i="69"/>
  <c r="CG25" i="69"/>
  <c r="CH25" i="69"/>
  <c r="CI25" i="69"/>
  <c r="CJ25" i="69"/>
  <c r="CK25" i="69"/>
  <c r="CM25" i="69"/>
  <c r="CN25" i="69"/>
  <c r="CO25" i="69"/>
  <c r="CP25" i="69"/>
  <c r="CQ25" i="69"/>
  <c r="CR25" i="69"/>
  <c r="CT25" i="69"/>
  <c r="CU25" i="69"/>
  <c r="CV25" i="69"/>
  <c r="CW25" i="69"/>
  <c r="CD26" i="69"/>
  <c r="CF26" i="69"/>
  <c r="CG26" i="69"/>
  <c r="CH26" i="69"/>
  <c r="CI26" i="69"/>
  <c r="CK26" i="69"/>
  <c r="CM26" i="69"/>
  <c r="CN26" i="69"/>
  <c r="CO26" i="69"/>
  <c r="CP26" i="69"/>
  <c r="CQ26" i="69"/>
  <c r="CR26" i="69"/>
  <c r="CS26" i="69"/>
  <c r="CU26" i="69"/>
  <c r="CV26" i="69"/>
  <c r="CW26" i="69"/>
  <c r="CD27" i="69"/>
  <c r="CE27" i="69"/>
  <c r="CG27" i="69"/>
  <c r="CH27" i="69"/>
  <c r="CI27" i="69"/>
  <c r="CJ27" i="69"/>
  <c r="CM27" i="69"/>
  <c r="CN27" i="69"/>
  <c r="CO27" i="69"/>
  <c r="CP27" i="69"/>
  <c r="CQ27" i="69"/>
  <c r="CR27" i="69"/>
  <c r="CS27" i="69"/>
  <c r="CT27" i="69"/>
  <c r="CV27" i="69"/>
  <c r="CW27" i="69"/>
  <c r="CD28" i="69"/>
  <c r="CE28" i="69"/>
  <c r="CF28" i="69"/>
  <c r="CH28" i="69"/>
  <c r="CI28" i="69"/>
  <c r="CJ28" i="69"/>
  <c r="CK28" i="69"/>
  <c r="CM28" i="69"/>
  <c r="CN28" i="69"/>
  <c r="CO28" i="69"/>
  <c r="CP28" i="69"/>
  <c r="CQ28" i="69"/>
  <c r="CR28" i="69"/>
  <c r="CS28" i="69"/>
  <c r="CT28" i="69"/>
  <c r="CU28" i="69"/>
  <c r="CW28" i="69"/>
  <c r="CD29" i="69"/>
  <c r="CE29" i="69"/>
  <c r="CF29" i="69"/>
  <c r="CG29" i="69"/>
  <c r="CI29" i="69"/>
  <c r="CJ29" i="69"/>
  <c r="CK29" i="69"/>
  <c r="CN29" i="69"/>
  <c r="CO29" i="69"/>
  <c r="CP29" i="69"/>
  <c r="CQ29" i="69"/>
  <c r="CR29" i="69"/>
  <c r="CS29" i="69"/>
  <c r="CT29" i="69"/>
  <c r="CU29" i="69"/>
  <c r="CV29" i="69"/>
  <c r="CD30" i="69"/>
  <c r="CE30" i="69"/>
  <c r="CF30" i="69"/>
  <c r="CG30" i="69"/>
  <c r="CH30" i="69"/>
  <c r="CI30" i="69"/>
  <c r="CJ30" i="69"/>
  <c r="CK30" i="69"/>
  <c r="CM30" i="69"/>
  <c r="CN30" i="69"/>
  <c r="CO30" i="69"/>
  <c r="CP30" i="69"/>
  <c r="CQ30" i="69"/>
  <c r="CR30" i="69"/>
  <c r="CS30" i="69"/>
  <c r="CT30" i="69"/>
  <c r="CU30" i="69"/>
  <c r="CV30" i="69"/>
  <c r="CW30" i="69"/>
  <c r="CD31" i="69"/>
  <c r="CE31" i="69"/>
  <c r="CF31" i="69"/>
  <c r="CG31" i="69"/>
  <c r="CH31" i="69"/>
  <c r="CI31" i="69"/>
  <c r="CJ31" i="69"/>
  <c r="CK31" i="69"/>
  <c r="CM31" i="69"/>
  <c r="CN31" i="69"/>
  <c r="CO31" i="69"/>
  <c r="CP31" i="69"/>
  <c r="CQ31" i="69"/>
  <c r="CR31" i="69"/>
  <c r="CS31" i="69"/>
  <c r="CT31" i="69"/>
  <c r="CU31" i="69"/>
  <c r="CV31" i="69"/>
  <c r="CW31" i="69"/>
  <c r="CE32" i="69"/>
  <c r="CF32" i="69"/>
  <c r="CG32" i="69"/>
  <c r="CH32" i="69"/>
  <c r="CI32" i="69"/>
  <c r="CJ32" i="69"/>
  <c r="CK32" i="69"/>
  <c r="CM32" i="69"/>
  <c r="CN32" i="69"/>
  <c r="CO32" i="69"/>
  <c r="CP32" i="69"/>
  <c r="CQ32" i="69"/>
  <c r="CR32" i="69"/>
  <c r="CS32" i="69"/>
  <c r="CT32" i="69"/>
  <c r="CU32" i="69"/>
  <c r="CV32" i="69"/>
  <c r="CW32" i="69"/>
  <c r="CD33" i="69"/>
  <c r="CF33" i="69"/>
  <c r="CG33" i="69"/>
  <c r="CH33" i="69"/>
  <c r="CI33" i="69"/>
  <c r="CK33" i="69"/>
  <c r="CM33" i="69"/>
  <c r="CN33" i="69"/>
  <c r="CO33" i="69"/>
  <c r="CP33" i="69"/>
  <c r="CQ33" i="69"/>
  <c r="CR33" i="69"/>
  <c r="CS33" i="69"/>
  <c r="CT33" i="69"/>
  <c r="CU33" i="69"/>
  <c r="CV33" i="69"/>
  <c r="CW33" i="69"/>
  <c r="CD34" i="69"/>
  <c r="CE34" i="69"/>
  <c r="CG34" i="69"/>
  <c r="CH34" i="69"/>
  <c r="CI34" i="69"/>
  <c r="CJ34" i="69"/>
  <c r="CM34" i="69"/>
  <c r="CN34" i="69"/>
  <c r="CO34" i="69"/>
  <c r="CP34" i="69"/>
  <c r="CQ34" i="69"/>
  <c r="CR34" i="69"/>
  <c r="CS34" i="69"/>
  <c r="CT34" i="69"/>
  <c r="CU34" i="69"/>
  <c r="CV34" i="69"/>
  <c r="CW34" i="69"/>
  <c r="CD35" i="69"/>
  <c r="CE35" i="69"/>
  <c r="CF35" i="69"/>
  <c r="CH35" i="69"/>
  <c r="CI35" i="69"/>
  <c r="CJ35" i="69"/>
  <c r="CK35" i="69"/>
  <c r="CM35" i="69"/>
  <c r="CN35" i="69"/>
  <c r="CO35" i="69"/>
  <c r="CP35" i="69"/>
  <c r="CQ35" i="69"/>
  <c r="CR35" i="69"/>
  <c r="CS35" i="69"/>
  <c r="CT35" i="69"/>
  <c r="CU35" i="69"/>
  <c r="CV35" i="69"/>
  <c r="CW35" i="69"/>
  <c r="CD36" i="69"/>
  <c r="CE36" i="69"/>
  <c r="CF36" i="69"/>
  <c r="CG36" i="69"/>
  <c r="CI36" i="69"/>
  <c r="CJ36" i="69"/>
  <c r="CK36" i="69"/>
  <c r="CN36" i="69"/>
  <c r="CO36" i="69"/>
  <c r="CP36" i="69"/>
  <c r="CQ36" i="69"/>
  <c r="CR36" i="69"/>
  <c r="CS36" i="69"/>
  <c r="CT36" i="69"/>
  <c r="CU36" i="69"/>
  <c r="CV36" i="69"/>
  <c r="CW36" i="69"/>
  <c r="CD37" i="69"/>
  <c r="CE37" i="69"/>
  <c r="CF37" i="69"/>
  <c r="CG37" i="69"/>
  <c r="CH37" i="69"/>
  <c r="CI37" i="69"/>
  <c r="CJ37" i="69"/>
  <c r="CK37" i="69"/>
  <c r="CM37" i="69"/>
  <c r="CN37" i="69"/>
  <c r="CO37" i="69"/>
  <c r="CP37" i="69"/>
  <c r="CQ37" i="69"/>
  <c r="CR37" i="69"/>
  <c r="CS37" i="69"/>
  <c r="CT37" i="69"/>
  <c r="CU37" i="69"/>
  <c r="CV37" i="69"/>
  <c r="CW37" i="69"/>
  <c r="CD38" i="69"/>
  <c r="CE38" i="69"/>
  <c r="CF38" i="69"/>
  <c r="CG38" i="69"/>
  <c r="CH38" i="69"/>
  <c r="CI38" i="69"/>
  <c r="CJ38" i="69"/>
  <c r="CK38" i="69"/>
  <c r="CM38" i="69"/>
  <c r="CN38" i="69"/>
  <c r="CO38" i="69"/>
  <c r="CP38" i="69"/>
  <c r="CQ38" i="69"/>
  <c r="CR38" i="69"/>
  <c r="CS38" i="69"/>
  <c r="CT38" i="69"/>
  <c r="CU38" i="69"/>
  <c r="CV38" i="69"/>
  <c r="CW38" i="69"/>
  <c r="CE39" i="69"/>
  <c r="CF39" i="69"/>
  <c r="CG39" i="69"/>
  <c r="CH39" i="69"/>
  <c r="CI39" i="69"/>
  <c r="CJ39" i="69"/>
  <c r="CK39" i="69"/>
  <c r="CM39" i="69"/>
  <c r="CN39" i="69"/>
  <c r="CO39" i="69"/>
  <c r="CP39" i="69"/>
  <c r="CQ39" i="69"/>
  <c r="CR39" i="69"/>
  <c r="CS39" i="69"/>
  <c r="CT39" i="69"/>
  <c r="CU39" i="69"/>
  <c r="CV39" i="69"/>
  <c r="CW39" i="69"/>
  <c r="CW9" i="69"/>
  <c r="CV9" i="69"/>
  <c r="CU9" i="69"/>
  <c r="CT9" i="69"/>
  <c r="CS9" i="69"/>
  <c r="CR9" i="69"/>
  <c r="CQ9" i="69"/>
  <c r="CP9" i="69"/>
  <c r="CO9" i="69"/>
  <c r="CN9" i="69"/>
  <c r="CM9" i="69"/>
  <c r="CK9" i="69"/>
  <c r="CJ9" i="69"/>
  <c r="CI9" i="69"/>
  <c r="CH9" i="69"/>
  <c r="CG9" i="69"/>
  <c r="CF9" i="69"/>
  <c r="CE9" i="69"/>
  <c r="CD9" i="69"/>
  <c r="CD37" i="68"/>
  <c r="CE37" i="68"/>
  <c r="CF37" i="68"/>
  <c r="CG37" i="68"/>
  <c r="CH37" i="68"/>
  <c r="CI37" i="68"/>
  <c r="CJ37" i="68"/>
  <c r="CK37" i="68"/>
  <c r="CM37" i="68"/>
  <c r="CN37" i="68"/>
  <c r="CO37" i="68"/>
  <c r="CP37" i="68"/>
  <c r="CQ37" i="68"/>
  <c r="CR37" i="68"/>
  <c r="CS37" i="68"/>
  <c r="CT37" i="68"/>
  <c r="CU37" i="68"/>
  <c r="CV37" i="68"/>
  <c r="CW37" i="68"/>
  <c r="CD38" i="68"/>
  <c r="CE38" i="68"/>
  <c r="CF38" i="68"/>
  <c r="CG38" i="68"/>
  <c r="CH38" i="68"/>
  <c r="CI38" i="68"/>
  <c r="CJ38" i="68"/>
  <c r="CK38" i="68"/>
  <c r="CL38" i="68"/>
  <c r="CM38" i="68"/>
  <c r="CN38" i="68"/>
  <c r="CO38" i="68"/>
  <c r="CP38" i="68"/>
  <c r="CQ38" i="68"/>
  <c r="CR38" i="68"/>
  <c r="CS38" i="68"/>
  <c r="CT38" i="68"/>
  <c r="CU38" i="68"/>
  <c r="CV38" i="68"/>
  <c r="CW38" i="68"/>
  <c r="CD10" i="67"/>
  <c r="CE10" i="67"/>
  <c r="CF10" i="67"/>
  <c r="CG10" i="67"/>
  <c r="CH10" i="67"/>
  <c r="CI10" i="67"/>
  <c r="CJ10" i="67"/>
  <c r="CK10" i="67"/>
  <c r="CM10" i="67"/>
  <c r="CN10" i="67"/>
  <c r="CO10" i="67"/>
  <c r="CP10" i="67"/>
  <c r="CQ10" i="67"/>
  <c r="CR10" i="67"/>
  <c r="CS10" i="67"/>
  <c r="CT10" i="67"/>
  <c r="CU10" i="67"/>
  <c r="CV10" i="67"/>
  <c r="CW10" i="67"/>
  <c r="CD11" i="67"/>
  <c r="CE11" i="67"/>
  <c r="CF11" i="67"/>
  <c r="CG11" i="67"/>
  <c r="CH11" i="67"/>
  <c r="CI11" i="67"/>
  <c r="CJ11" i="67"/>
  <c r="CK11" i="67"/>
  <c r="CM11" i="67"/>
  <c r="CN11" i="67"/>
  <c r="CO11" i="67"/>
  <c r="CP11" i="67"/>
  <c r="CQ11" i="67"/>
  <c r="CR11" i="67"/>
  <c r="CS11" i="67"/>
  <c r="CT11" i="67"/>
  <c r="CU11" i="67"/>
  <c r="CV11" i="67"/>
  <c r="CW11" i="67"/>
  <c r="CD12" i="67"/>
  <c r="CE12" i="67"/>
  <c r="CF12" i="67"/>
  <c r="CG12" i="67"/>
  <c r="CH12" i="67"/>
  <c r="CI12" i="67"/>
  <c r="CJ12" i="67"/>
  <c r="CK12" i="67"/>
  <c r="CM12" i="67"/>
  <c r="CN12" i="67"/>
  <c r="CO12" i="67"/>
  <c r="CP12" i="67"/>
  <c r="CQ12" i="67"/>
  <c r="CR12" i="67"/>
  <c r="CS12" i="67"/>
  <c r="CT12" i="67"/>
  <c r="CU12" i="67"/>
  <c r="CV12" i="67"/>
  <c r="CW12" i="67"/>
  <c r="CD13" i="67"/>
  <c r="CE13" i="67"/>
  <c r="CF13" i="67"/>
  <c r="CG13" i="67"/>
  <c r="CH13" i="67"/>
  <c r="CI13" i="67"/>
  <c r="CJ13" i="67"/>
  <c r="CK13" i="67"/>
  <c r="CM13" i="67"/>
  <c r="CN13" i="67"/>
  <c r="CO13" i="67"/>
  <c r="CP13" i="67"/>
  <c r="CQ13" i="67"/>
  <c r="CR13" i="67"/>
  <c r="CS13" i="67"/>
  <c r="CT13" i="67"/>
  <c r="CU13" i="67"/>
  <c r="CV13" i="67"/>
  <c r="CW13" i="67"/>
  <c r="CE14" i="67"/>
  <c r="CF14" i="67"/>
  <c r="CG14" i="67"/>
  <c r="CH14" i="67"/>
  <c r="CI14" i="67"/>
  <c r="CJ14" i="67"/>
  <c r="CK14" i="67"/>
  <c r="CM14" i="67"/>
  <c r="CN14" i="67"/>
  <c r="CO14" i="67"/>
  <c r="CP14" i="67"/>
  <c r="CQ14" i="67"/>
  <c r="CR14" i="67"/>
  <c r="CS14" i="67"/>
  <c r="CT14" i="67"/>
  <c r="CU14" i="67"/>
  <c r="CV14" i="67"/>
  <c r="CW14" i="67"/>
  <c r="CD15" i="67"/>
  <c r="CF15" i="67"/>
  <c r="CG15" i="67"/>
  <c r="CH15" i="67"/>
  <c r="CI15" i="67"/>
  <c r="CK15" i="67"/>
  <c r="CM15" i="67"/>
  <c r="CN15" i="67"/>
  <c r="CO15" i="67"/>
  <c r="CP15" i="67"/>
  <c r="CQ15" i="67"/>
  <c r="CR15" i="67"/>
  <c r="CS15" i="67"/>
  <c r="CT15" i="67"/>
  <c r="CU15" i="67"/>
  <c r="CV15" i="67"/>
  <c r="CW15" i="67"/>
  <c r="CD16" i="67"/>
  <c r="CE16" i="67"/>
  <c r="CG16" i="67"/>
  <c r="CH16" i="67"/>
  <c r="CI16" i="67"/>
  <c r="CJ16" i="67"/>
  <c r="CM16" i="67"/>
  <c r="CN16" i="67"/>
  <c r="CO16" i="67"/>
  <c r="CP16" i="67"/>
  <c r="CQ16" i="67"/>
  <c r="CR16" i="67"/>
  <c r="CS16" i="67"/>
  <c r="CT16" i="67"/>
  <c r="CU16" i="67"/>
  <c r="CV16" i="67"/>
  <c r="CW16" i="67"/>
  <c r="CD17" i="67"/>
  <c r="CE17" i="67"/>
  <c r="CF17" i="67"/>
  <c r="CH17" i="67"/>
  <c r="CI17" i="67"/>
  <c r="CJ17" i="67"/>
  <c r="CK17" i="67"/>
  <c r="CM17" i="67"/>
  <c r="CN17" i="67"/>
  <c r="CO17" i="67"/>
  <c r="CP17" i="67"/>
  <c r="CQ17" i="67"/>
  <c r="CR17" i="67"/>
  <c r="CS17" i="67"/>
  <c r="CT17" i="67"/>
  <c r="CU17" i="67"/>
  <c r="CV17" i="67"/>
  <c r="CW17" i="67"/>
  <c r="CD18" i="67"/>
  <c r="CE18" i="67"/>
  <c r="CF18" i="67"/>
  <c r="CG18" i="67"/>
  <c r="CI18" i="67"/>
  <c r="CJ18" i="67"/>
  <c r="CK18" i="67"/>
  <c r="CN18" i="67"/>
  <c r="CO18" i="67"/>
  <c r="CP18" i="67"/>
  <c r="CQ18" i="67"/>
  <c r="CR18" i="67"/>
  <c r="CS18" i="67"/>
  <c r="CT18" i="67"/>
  <c r="CU18" i="67"/>
  <c r="CV18" i="67"/>
  <c r="CW18" i="67"/>
  <c r="CD19" i="67"/>
  <c r="CE19" i="67"/>
  <c r="CF19" i="67"/>
  <c r="CG19" i="67"/>
  <c r="CH19" i="67"/>
  <c r="CI19" i="67"/>
  <c r="CJ19" i="67"/>
  <c r="CK19" i="67"/>
  <c r="CM19" i="67"/>
  <c r="CN19" i="67"/>
  <c r="CO19" i="67"/>
  <c r="CP19" i="67"/>
  <c r="CQ19" i="67"/>
  <c r="CR19" i="67"/>
  <c r="CS19" i="67"/>
  <c r="CT19" i="67"/>
  <c r="CU19" i="67"/>
  <c r="CV19" i="67"/>
  <c r="CW19" i="67"/>
  <c r="CD20" i="67"/>
  <c r="CE20" i="67"/>
  <c r="CF20" i="67"/>
  <c r="CG20" i="67"/>
  <c r="CH20" i="67"/>
  <c r="CI20" i="67"/>
  <c r="CJ20" i="67"/>
  <c r="CK20" i="67"/>
  <c r="CM20" i="67"/>
  <c r="CN20" i="67"/>
  <c r="CO20" i="67"/>
  <c r="CP20" i="67"/>
  <c r="CQ20" i="67"/>
  <c r="CR20" i="67"/>
  <c r="CS20" i="67"/>
  <c r="CT20" i="67"/>
  <c r="CU20" i="67"/>
  <c r="CV20" i="67"/>
  <c r="CW20" i="67"/>
  <c r="CE21" i="67"/>
  <c r="CF21" i="67"/>
  <c r="CG21" i="67"/>
  <c r="CH21" i="67"/>
  <c r="CI21" i="67"/>
  <c r="CJ21" i="67"/>
  <c r="CK21" i="67"/>
  <c r="CM21" i="67"/>
  <c r="CN21" i="67"/>
  <c r="CO21" i="67"/>
  <c r="CP21" i="67"/>
  <c r="CQ21" i="67"/>
  <c r="CR21" i="67"/>
  <c r="CS21" i="67"/>
  <c r="CT21" i="67"/>
  <c r="CU21" i="67"/>
  <c r="CV21" i="67"/>
  <c r="CW21" i="67"/>
  <c r="CD22" i="67"/>
  <c r="CF22" i="67"/>
  <c r="CG22" i="67"/>
  <c r="CH22" i="67"/>
  <c r="CI22" i="67"/>
  <c r="CK22" i="67"/>
  <c r="CM22" i="67"/>
  <c r="CN22" i="67"/>
  <c r="CO22" i="67"/>
  <c r="CP22" i="67"/>
  <c r="CQ22" i="67"/>
  <c r="CR22" i="67"/>
  <c r="CS22" i="67"/>
  <c r="CT22" i="67"/>
  <c r="CU22" i="67"/>
  <c r="CV22" i="67"/>
  <c r="CW22" i="67"/>
  <c r="CD23" i="67"/>
  <c r="CE23" i="67"/>
  <c r="CG23" i="67"/>
  <c r="CH23" i="67"/>
  <c r="CI23" i="67"/>
  <c r="CJ23" i="67"/>
  <c r="CM23" i="67"/>
  <c r="CN23" i="67"/>
  <c r="CO23" i="67"/>
  <c r="CP23" i="67"/>
  <c r="CQ23" i="67"/>
  <c r="CR23" i="67"/>
  <c r="CS23" i="67"/>
  <c r="CT23" i="67"/>
  <c r="CU23" i="67"/>
  <c r="CV23" i="67"/>
  <c r="CW23" i="67"/>
  <c r="CD24" i="67"/>
  <c r="CE24" i="67"/>
  <c r="CF24" i="67"/>
  <c r="CH24" i="67"/>
  <c r="CI24" i="67"/>
  <c r="CJ24" i="67"/>
  <c r="CK24" i="67"/>
  <c r="CM24" i="67"/>
  <c r="CN24" i="67"/>
  <c r="CO24" i="67"/>
  <c r="CP24" i="67"/>
  <c r="CQ24" i="67"/>
  <c r="CR24" i="67"/>
  <c r="CS24" i="67"/>
  <c r="CT24" i="67"/>
  <c r="CU24" i="67"/>
  <c r="CV24" i="67"/>
  <c r="CW24" i="67"/>
  <c r="CD25" i="67"/>
  <c r="CE25" i="67"/>
  <c r="CF25" i="67"/>
  <c r="CG25" i="67"/>
  <c r="CI25" i="67"/>
  <c r="CJ25" i="67"/>
  <c r="CK25" i="67"/>
  <c r="CN25" i="67"/>
  <c r="CO25" i="67"/>
  <c r="CP25" i="67"/>
  <c r="CQ25" i="67"/>
  <c r="CR25" i="67"/>
  <c r="CS25" i="67"/>
  <c r="CT25" i="67"/>
  <c r="CU25" i="67"/>
  <c r="CV25" i="67"/>
  <c r="CW25" i="67"/>
  <c r="CD26" i="67"/>
  <c r="CE26" i="67"/>
  <c r="CF26" i="67"/>
  <c r="CG26" i="67"/>
  <c r="CH26" i="67"/>
  <c r="CI26" i="67"/>
  <c r="CJ26" i="67"/>
  <c r="CK26" i="67"/>
  <c r="CM26" i="67"/>
  <c r="CN26" i="67"/>
  <c r="CO26" i="67"/>
  <c r="CP26" i="67"/>
  <c r="CQ26" i="67"/>
  <c r="CR26" i="67"/>
  <c r="CS26" i="67"/>
  <c r="CT26" i="67"/>
  <c r="CU26" i="67"/>
  <c r="CV26" i="67"/>
  <c r="CW26" i="67"/>
  <c r="CD27" i="67"/>
  <c r="CE27" i="67"/>
  <c r="CF27" i="67"/>
  <c r="CG27" i="67"/>
  <c r="CH27" i="67"/>
  <c r="CI27" i="67"/>
  <c r="CJ27" i="67"/>
  <c r="CK27" i="67"/>
  <c r="CM27" i="67"/>
  <c r="CN27" i="67"/>
  <c r="CO27" i="67"/>
  <c r="CP27" i="67"/>
  <c r="CQ27" i="67"/>
  <c r="CR27" i="67"/>
  <c r="CS27" i="67"/>
  <c r="CT27" i="67"/>
  <c r="CU27" i="67"/>
  <c r="CV27" i="67"/>
  <c r="CW27" i="67"/>
  <c r="CE28" i="67"/>
  <c r="CF28" i="67"/>
  <c r="CG28" i="67"/>
  <c r="CH28" i="67"/>
  <c r="CI28" i="67"/>
  <c r="CJ28" i="67"/>
  <c r="CK28" i="67"/>
  <c r="CM28" i="67"/>
  <c r="CN28" i="67"/>
  <c r="CO28" i="67"/>
  <c r="CP28" i="67"/>
  <c r="CQ28" i="67"/>
  <c r="CR28" i="67"/>
  <c r="CS28" i="67"/>
  <c r="CT28" i="67"/>
  <c r="CU28" i="67"/>
  <c r="CV28" i="67"/>
  <c r="CW28" i="67"/>
  <c r="CD29" i="67"/>
  <c r="CF29" i="67"/>
  <c r="CG29" i="67"/>
  <c r="CH29" i="67"/>
  <c r="CI29" i="67"/>
  <c r="CK29" i="67"/>
  <c r="CM29" i="67"/>
  <c r="CN29" i="67"/>
  <c r="CO29" i="67"/>
  <c r="CP29" i="67"/>
  <c r="CQ29" i="67"/>
  <c r="CR29" i="67"/>
  <c r="CS29" i="67"/>
  <c r="CT29" i="67"/>
  <c r="CU29" i="67"/>
  <c r="CV29" i="67"/>
  <c r="CW29" i="67"/>
  <c r="CD30" i="67"/>
  <c r="CE30" i="67"/>
  <c r="CG30" i="67"/>
  <c r="CH30" i="67"/>
  <c r="CI30" i="67"/>
  <c r="CJ30" i="67"/>
  <c r="CM30" i="67"/>
  <c r="CN30" i="67"/>
  <c r="CO30" i="67"/>
  <c r="CP30" i="67"/>
  <c r="CQ30" i="67"/>
  <c r="CR30" i="67"/>
  <c r="CS30" i="67"/>
  <c r="CT30" i="67"/>
  <c r="CU30" i="67"/>
  <c r="CV30" i="67"/>
  <c r="CW30" i="67"/>
  <c r="CD31" i="67"/>
  <c r="CE31" i="67"/>
  <c r="CF31" i="67"/>
  <c r="CH31" i="67"/>
  <c r="CI31" i="67"/>
  <c r="CJ31" i="67"/>
  <c r="CK31" i="67"/>
  <c r="CM31" i="67"/>
  <c r="CN31" i="67"/>
  <c r="CO31" i="67"/>
  <c r="CP31" i="67"/>
  <c r="CQ31" i="67"/>
  <c r="CR31" i="67"/>
  <c r="CS31" i="67"/>
  <c r="CT31" i="67"/>
  <c r="CU31" i="67"/>
  <c r="CV31" i="67"/>
  <c r="CW31" i="67"/>
  <c r="CD32" i="67"/>
  <c r="CE32" i="67"/>
  <c r="CF32" i="67"/>
  <c r="CG32" i="67"/>
  <c r="CI32" i="67"/>
  <c r="CJ32" i="67"/>
  <c r="CK32" i="67"/>
  <c r="CN32" i="67"/>
  <c r="CO32" i="67"/>
  <c r="CP32" i="67"/>
  <c r="CQ32" i="67"/>
  <c r="CR32" i="67"/>
  <c r="CS32" i="67"/>
  <c r="CT32" i="67"/>
  <c r="CU32" i="67"/>
  <c r="CV32" i="67"/>
  <c r="CW32" i="67"/>
  <c r="CD33" i="67"/>
  <c r="CE33" i="67"/>
  <c r="CF33" i="67"/>
  <c r="CG33" i="67"/>
  <c r="CH33" i="67"/>
  <c r="CI33" i="67"/>
  <c r="CJ33" i="67"/>
  <c r="CK33" i="67"/>
  <c r="CM33" i="67"/>
  <c r="CN33" i="67"/>
  <c r="CO33" i="67"/>
  <c r="CP33" i="67"/>
  <c r="CQ33" i="67"/>
  <c r="CR33" i="67"/>
  <c r="CS33" i="67"/>
  <c r="CT33" i="67"/>
  <c r="CU33" i="67"/>
  <c r="CV33" i="67"/>
  <c r="CW33" i="67"/>
  <c r="CD34" i="67"/>
  <c r="CE34" i="67"/>
  <c r="CF34" i="67"/>
  <c r="CG34" i="67"/>
  <c r="CH34" i="67"/>
  <c r="CI34" i="67"/>
  <c r="CJ34" i="67"/>
  <c r="CK34" i="67"/>
  <c r="CM34" i="67"/>
  <c r="CN34" i="67"/>
  <c r="CO34" i="67"/>
  <c r="CP34" i="67"/>
  <c r="CQ34" i="67"/>
  <c r="CR34" i="67"/>
  <c r="CS34" i="67"/>
  <c r="CT34" i="67"/>
  <c r="CU34" i="67"/>
  <c r="CV34" i="67"/>
  <c r="CW34" i="67"/>
  <c r="CE35" i="67"/>
  <c r="CF35" i="67"/>
  <c r="CG35" i="67"/>
  <c r="CH35" i="67"/>
  <c r="CI35" i="67"/>
  <c r="CJ35" i="67"/>
  <c r="CK35" i="67"/>
  <c r="CM35" i="67"/>
  <c r="CN35" i="67"/>
  <c r="CO35" i="67"/>
  <c r="CP35" i="67"/>
  <c r="CQ35" i="67"/>
  <c r="CR35" i="67"/>
  <c r="CS35" i="67"/>
  <c r="CT35" i="67"/>
  <c r="CU35" i="67"/>
  <c r="CV35" i="67"/>
  <c r="CW35" i="67"/>
  <c r="CD36" i="67"/>
  <c r="CF36" i="67"/>
  <c r="CG36" i="67"/>
  <c r="CH36" i="67"/>
  <c r="CI36" i="67"/>
  <c r="CK36" i="67"/>
  <c r="CM36" i="67"/>
  <c r="CN36" i="67"/>
  <c r="CO36" i="67"/>
  <c r="CP36" i="67"/>
  <c r="CQ36" i="67"/>
  <c r="CR36" i="67"/>
  <c r="CS36" i="67"/>
  <c r="CT36" i="67"/>
  <c r="CU36" i="67"/>
  <c r="CV36" i="67"/>
  <c r="CW36" i="67"/>
  <c r="CD37" i="67"/>
  <c r="CE37" i="67"/>
  <c r="CG37" i="67"/>
  <c r="CH37" i="67"/>
  <c r="CI37" i="67"/>
  <c r="CJ37" i="67"/>
  <c r="CM37" i="67"/>
  <c r="CN37" i="67"/>
  <c r="CO37" i="67"/>
  <c r="CP37" i="67"/>
  <c r="CQ37" i="67"/>
  <c r="CR37" i="67"/>
  <c r="CS37" i="67"/>
  <c r="CT37" i="67"/>
  <c r="CU37" i="67"/>
  <c r="CV37" i="67"/>
  <c r="CW37" i="67"/>
  <c r="CD38" i="67"/>
  <c r="CE38" i="67"/>
  <c r="CF38" i="67"/>
  <c r="CH38" i="67"/>
  <c r="CI38" i="67"/>
  <c r="CJ38" i="67"/>
  <c r="CK38" i="67"/>
  <c r="CM38" i="67"/>
  <c r="CN38" i="67"/>
  <c r="CO38" i="67"/>
  <c r="CP38" i="67"/>
  <c r="CQ38" i="67"/>
  <c r="CR38" i="67"/>
  <c r="CS38" i="67"/>
  <c r="CT38" i="67"/>
  <c r="CU38" i="67"/>
  <c r="CV38" i="67"/>
  <c r="CW38" i="67"/>
  <c r="CD39" i="67"/>
  <c r="CE39" i="67"/>
  <c r="CF39" i="67"/>
  <c r="CG39" i="67"/>
  <c r="CI39" i="67"/>
  <c r="CJ39" i="67"/>
  <c r="CK39" i="67"/>
  <c r="CN39" i="67"/>
  <c r="CO39" i="67"/>
  <c r="CP39" i="67"/>
  <c r="CQ39" i="67"/>
  <c r="CR39" i="67"/>
  <c r="CS39" i="67"/>
  <c r="CT39" i="67"/>
  <c r="CU39" i="67"/>
  <c r="CV39" i="67"/>
  <c r="CW39" i="67"/>
  <c r="CW9" i="67"/>
  <c r="CV9" i="67"/>
  <c r="CU9" i="67"/>
  <c r="CT9" i="67"/>
  <c r="CS9" i="67"/>
  <c r="CR9" i="67"/>
  <c r="CQ9" i="67"/>
  <c r="CP9" i="67"/>
  <c r="CO9" i="67"/>
  <c r="CN9" i="67"/>
  <c r="CM9" i="67"/>
  <c r="CK9" i="67"/>
  <c r="CJ9" i="67"/>
  <c r="CI9" i="67"/>
  <c r="CH9" i="67"/>
  <c r="CG9" i="67"/>
  <c r="CF9" i="67"/>
  <c r="CE9" i="67"/>
  <c r="CD9" i="67"/>
  <c r="CE10" i="66"/>
  <c r="CF10" i="66"/>
  <c r="CG10" i="66"/>
  <c r="CH10" i="66"/>
  <c r="CI10" i="66"/>
  <c r="CJ10" i="66"/>
  <c r="CK10" i="66"/>
  <c r="CM10" i="66"/>
  <c r="CN10" i="66"/>
  <c r="CO10" i="66"/>
  <c r="CP10" i="66"/>
  <c r="CQ10" i="66"/>
  <c r="CR10" i="66"/>
  <c r="CS10" i="66"/>
  <c r="CT10" i="66"/>
  <c r="CU10" i="66"/>
  <c r="CV10" i="66"/>
  <c r="CW10" i="66"/>
  <c r="CD11" i="66"/>
  <c r="CF11" i="66"/>
  <c r="CG11" i="66"/>
  <c r="CH11" i="66"/>
  <c r="CI11" i="66"/>
  <c r="CJ11" i="66"/>
  <c r="CK11" i="66"/>
  <c r="CM11" i="66"/>
  <c r="CN11" i="66"/>
  <c r="CO11" i="66"/>
  <c r="CP11" i="66"/>
  <c r="CQ11" i="66"/>
  <c r="CR11" i="66"/>
  <c r="CS11" i="66"/>
  <c r="CT11" i="66"/>
  <c r="CU11" i="66"/>
  <c r="CV11" i="66"/>
  <c r="CW11" i="66"/>
  <c r="CD12" i="66"/>
  <c r="CE12" i="66"/>
  <c r="CG12" i="66"/>
  <c r="CH12" i="66"/>
  <c r="CI12" i="66"/>
  <c r="CJ12" i="66"/>
  <c r="CM12" i="66"/>
  <c r="CN12" i="66"/>
  <c r="CO12" i="66"/>
  <c r="CP12" i="66"/>
  <c r="CQ12" i="66"/>
  <c r="CR12" i="66"/>
  <c r="CS12" i="66"/>
  <c r="CT12" i="66"/>
  <c r="CU12" i="66"/>
  <c r="CV12" i="66"/>
  <c r="CW12" i="66"/>
  <c r="CD13" i="66"/>
  <c r="CE13" i="66"/>
  <c r="CF13" i="66"/>
  <c r="CH13" i="66"/>
  <c r="CI13" i="66"/>
  <c r="CJ13" i="66"/>
  <c r="CK13" i="66"/>
  <c r="CM13" i="66"/>
  <c r="CN13" i="66"/>
  <c r="CO13" i="66"/>
  <c r="CP13" i="66"/>
  <c r="CQ13" i="66"/>
  <c r="CR13" i="66"/>
  <c r="CS13" i="66"/>
  <c r="CT13" i="66"/>
  <c r="CU13" i="66"/>
  <c r="CV13" i="66"/>
  <c r="CW13" i="66"/>
  <c r="CD14" i="66"/>
  <c r="CE14" i="66"/>
  <c r="CF14" i="66"/>
  <c r="CG14" i="66"/>
  <c r="CI14" i="66"/>
  <c r="CJ14" i="66"/>
  <c r="CK14" i="66"/>
  <c r="CM14" i="66"/>
  <c r="CN14" i="66"/>
  <c r="CO14" i="66"/>
  <c r="CP14" i="66"/>
  <c r="CQ14" i="66"/>
  <c r="CR14" i="66"/>
  <c r="CS14" i="66"/>
  <c r="CT14" i="66"/>
  <c r="CU14" i="66"/>
  <c r="CV14" i="66"/>
  <c r="CW14" i="66"/>
  <c r="CD15" i="66"/>
  <c r="CE15" i="66"/>
  <c r="CF15" i="66"/>
  <c r="CG15" i="66"/>
  <c r="CH15" i="66"/>
  <c r="CI15" i="66"/>
  <c r="CJ15" i="66"/>
  <c r="CK15" i="66"/>
  <c r="CM15" i="66"/>
  <c r="CN15" i="66"/>
  <c r="CO15" i="66"/>
  <c r="CP15" i="66"/>
  <c r="CQ15" i="66"/>
  <c r="CR15" i="66"/>
  <c r="CS15" i="66"/>
  <c r="CT15" i="66"/>
  <c r="CU15" i="66"/>
  <c r="CV15" i="66"/>
  <c r="CW15" i="66"/>
  <c r="CD16" i="66"/>
  <c r="CE16" i="66"/>
  <c r="CF16" i="66"/>
  <c r="CG16" i="66"/>
  <c r="CH16" i="66"/>
  <c r="CI16" i="66"/>
  <c r="CJ16" i="66"/>
  <c r="CK16" i="66"/>
  <c r="CM16" i="66"/>
  <c r="CN16" i="66"/>
  <c r="CO16" i="66"/>
  <c r="CP16" i="66"/>
  <c r="CQ16" i="66"/>
  <c r="CR16" i="66"/>
  <c r="CS16" i="66"/>
  <c r="CT16" i="66"/>
  <c r="CU16" i="66"/>
  <c r="CV16" i="66"/>
  <c r="CW16" i="66"/>
  <c r="CE17" i="66"/>
  <c r="CF17" i="66"/>
  <c r="CG17" i="66"/>
  <c r="CH17" i="66"/>
  <c r="CI17" i="66"/>
  <c r="CJ17" i="66"/>
  <c r="CK17" i="66"/>
  <c r="CM17" i="66"/>
  <c r="CN17" i="66"/>
  <c r="CO17" i="66"/>
  <c r="CP17" i="66"/>
  <c r="CQ17" i="66"/>
  <c r="CR17" i="66"/>
  <c r="CS17" i="66"/>
  <c r="CT17" i="66"/>
  <c r="CU17" i="66"/>
  <c r="CV17" i="66"/>
  <c r="CW17" i="66"/>
  <c r="CD18" i="66"/>
  <c r="CF18" i="66"/>
  <c r="CG18" i="66"/>
  <c r="CH18" i="66"/>
  <c r="CI18" i="66"/>
  <c r="CJ18" i="66"/>
  <c r="CK18" i="66"/>
  <c r="CM18" i="66"/>
  <c r="CN18" i="66"/>
  <c r="CO18" i="66"/>
  <c r="CP18" i="66"/>
  <c r="CQ18" i="66"/>
  <c r="CR18" i="66"/>
  <c r="CS18" i="66"/>
  <c r="CT18" i="66"/>
  <c r="CU18" i="66"/>
  <c r="CV18" i="66"/>
  <c r="CW18" i="66"/>
  <c r="CD19" i="66"/>
  <c r="CE19" i="66"/>
  <c r="CG19" i="66"/>
  <c r="CH19" i="66"/>
  <c r="CI19" i="66"/>
  <c r="CJ19" i="66"/>
  <c r="CM19" i="66"/>
  <c r="CN19" i="66"/>
  <c r="CO19" i="66"/>
  <c r="CP19" i="66"/>
  <c r="CQ19" i="66"/>
  <c r="CR19" i="66"/>
  <c r="CS19" i="66"/>
  <c r="CT19" i="66"/>
  <c r="CU19" i="66"/>
  <c r="CV19" i="66"/>
  <c r="CW19" i="66"/>
  <c r="CD20" i="66"/>
  <c r="CE20" i="66"/>
  <c r="CF20" i="66"/>
  <c r="CH20" i="66"/>
  <c r="CI20" i="66"/>
  <c r="CJ20" i="66"/>
  <c r="CK20" i="66"/>
  <c r="CM20" i="66"/>
  <c r="CN20" i="66"/>
  <c r="CO20" i="66"/>
  <c r="CP20" i="66"/>
  <c r="CQ20" i="66"/>
  <c r="CR20" i="66"/>
  <c r="CS20" i="66"/>
  <c r="CT20" i="66"/>
  <c r="CU20" i="66"/>
  <c r="CV20" i="66"/>
  <c r="CW20" i="66"/>
  <c r="CD21" i="66"/>
  <c r="CE21" i="66"/>
  <c r="CF21" i="66"/>
  <c r="CG21" i="66"/>
  <c r="CI21" i="66"/>
  <c r="CJ21" i="66"/>
  <c r="CK21" i="66"/>
  <c r="CM21" i="66"/>
  <c r="CN21" i="66"/>
  <c r="CO21" i="66"/>
  <c r="CP21" i="66"/>
  <c r="CQ21" i="66"/>
  <c r="CR21" i="66"/>
  <c r="CS21" i="66"/>
  <c r="CT21" i="66"/>
  <c r="CU21" i="66"/>
  <c r="CV21" i="66"/>
  <c r="CW21" i="66"/>
  <c r="CD22" i="66"/>
  <c r="CE22" i="66"/>
  <c r="CF22" i="66"/>
  <c r="CG22" i="66"/>
  <c r="CH22" i="66"/>
  <c r="CI22" i="66"/>
  <c r="CJ22" i="66"/>
  <c r="CK22" i="66"/>
  <c r="CM22" i="66"/>
  <c r="CN22" i="66"/>
  <c r="CO22" i="66"/>
  <c r="CP22" i="66"/>
  <c r="CQ22" i="66"/>
  <c r="CR22" i="66"/>
  <c r="CS22" i="66"/>
  <c r="CT22" i="66"/>
  <c r="CU22" i="66"/>
  <c r="CV22" i="66"/>
  <c r="CW22" i="66"/>
  <c r="CD23" i="66"/>
  <c r="CE23" i="66"/>
  <c r="CF23" i="66"/>
  <c r="CG23" i="66"/>
  <c r="CH23" i="66"/>
  <c r="CI23" i="66"/>
  <c r="CJ23" i="66"/>
  <c r="CK23" i="66"/>
  <c r="CM23" i="66"/>
  <c r="CN23" i="66"/>
  <c r="CO23" i="66"/>
  <c r="CP23" i="66"/>
  <c r="CQ23" i="66"/>
  <c r="CR23" i="66"/>
  <c r="CS23" i="66"/>
  <c r="CT23" i="66"/>
  <c r="CU23" i="66"/>
  <c r="CV23" i="66"/>
  <c r="CW23" i="66"/>
  <c r="CE24" i="66"/>
  <c r="CF24" i="66"/>
  <c r="CG24" i="66"/>
  <c r="CH24" i="66"/>
  <c r="CI24" i="66"/>
  <c r="CJ24" i="66"/>
  <c r="CK24" i="66"/>
  <c r="CM24" i="66"/>
  <c r="CN24" i="66"/>
  <c r="CO24" i="66"/>
  <c r="CP24" i="66"/>
  <c r="CQ24" i="66"/>
  <c r="CR24" i="66"/>
  <c r="CS24" i="66"/>
  <c r="CT24" i="66"/>
  <c r="CU24" i="66"/>
  <c r="CV24" i="66"/>
  <c r="CW24" i="66"/>
  <c r="CD25" i="66"/>
  <c r="CF25" i="66"/>
  <c r="CG25" i="66"/>
  <c r="CH25" i="66"/>
  <c r="CI25" i="66"/>
  <c r="CJ25" i="66"/>
  <c r="CK25" i="66"/>
  <c r="CM25" i="66"/>
  <c r="CN25" i="66"/>
  <c r="CO25" i="66"/>
  <c r="CP25" i="66"/>
  <c r="CQ25" i="66"/>
  <c r="CR25" i="66"/>
  <c r="CS25" i="66"/>
  <c r="CT25" i="66"/>
  <c r="CU25" i="66"/>
  <c r="CV25" i="66"/>
  <c r="CW25" i="66"/>
  <c r="CD26" i="66"/>
  <c r="CE26" i="66"/>
  <c r="CG26" i="66"/>
  <c r="CH26" i="66"/>
  <c r="CI26" i="66"/>
  <c r="CJ26" i="66"/>
  <c r="CM26" i="66"/>
  <c r="CN26" i="66"/>
  <c r="CO26" i="66"/>
  <c r="CP26" i="66"/>
  <c r="CQ26" i="66"/>
  <c r="CR26" i="66"/>
  <c r="CS26" i="66"/>
  <c r="CT26" i="66"/>
  <c r="CU26" i="66"/>
  <c r="CV26" i="66"/>
  <c r="CW26" i="66"/>
  <c r="CD27" i="66"/>
  <c r="CE27" i="66"/>
  <c r="CF27" i="66"/>
  <c r="CH27" i="66"/>
  <c r="CI27" i="66"/>
  <c r="CJ27" i="66"/>
  <c r="CK27" i="66"/>
  <c r="CM27" i="66"/>
  <c r="CN27" i="66"/>
  <c r="CO27" i="66"/>
  <c r="CP27" i="66"/>
  <c r="CQ27" i="66"/>
  <c r="CR27" i="66"/>
  <c r="CS27" i="66"/>
  <c r="CT27" i="66"/>
  <c r="CU27" i="66"/>
  <c r="CV27" i="66"/>
  <c r="CW27" i="66"/>
  <c r="CD28" i="66"/>
  <c r="CE28" i="66"/>
  <c r="CF28" i="66"/>
  <c r="CG28" i="66"/>
  <c r="CI28" i="66"/>
  <c r="CJ28" i="66"/>
  <c r="CK28" i="66"/>
  <c r="CM28" i="66"/>
  <c r="CN28" i="66"/>
  <c r="CO28" i="66"/>
  <c r="CP28" i="66"/>
  <c r="CQ28" i="66"/>
  <c r="CR28" i="66"/>
  <c r="CS28" i="66"/>
  <c r="CT28" i="66"/>
  <c r="CU28" i="66"/>
  <c r="CV28" i="66"/>
  <c r="CW28" i="66"/>
  <c r="CD29" i="66"/>
  <c r="CE29" i="66"/>
  <c r="CF29" i="66"/>
  <c r="CG29" i="66"/>
  <c r="CH29" i="66"/>
  <c r="CI29" i="66"/>
  <c r="CJ29" i="66"/>
  <c r="CK29" i="66"/>
  <c r="CM29" i="66"/>
  <c r="CN29" i="66"/>
  <c r="CO29" i="66"/>
  <c r="CP29" i="66"/>
  <c r="CQ29" i="66"/>
  <c r="CR29" i="66"/>
  <c r="CS29" i="66"/>
  <c r="CT29" i="66"/>
  <c r="CU29" i="66"/>
  <c r="CV29" i="66"/>
  <c r="CW29" i="66"/>
  <c r="CD30" i="66"/>
  <c r="CE30" i="66"/>
  <c r="CF30" i="66"/>
  <c r="CG30" i="66"/>
  <c r="CH30" i="66"/>
  <c r="CI30" i="66"/>
  <c r="CJ30" i="66"/>
  <c r="CK30" i="66"/>
  <c r="CM30" i="66"/>
  <c r="CN30" i="66"/>
  <c r="CO30" i="66"/>
  <c r="CP30" i="66"/>
  <c r="CQ30" i="66"/>
  <c r="CR30" i="66"/>
  <c r="CS30" i="66"/>
  <c r="CT30" i="66"/>
  <c r="CU30" i="66"/>
  <c r="CV30" i="66"/>
  <c r="CW30" i="66"/>
  <c r="CD31" i="66"/>
  <c r="CE31" i="66"/>
  <c r="CF31" i="66"/>
  <c r="CG31" i="66"/>
  <c r="CH31" i="66"/>
  <c r="CI31" i="66"/>
  <c r="CJ31" i="66"/>
  <c r="CK31" i="66"/>
  <c r="CM31" i="66"/>
  <c r="CN31" i="66"/>
  <c r="CO31" i="66"/>
  <c r="CP31" i="66"/>
  <c r="CQ31" i="66"/>
  <c r="CR31" i="66"/>
  <c r="CS31" i="66"/>
  <c r="CT31" i="66"/>
  <c r="CU31" i="66"/>
  <c r="CV31" i="66"/>
  <c r="CW31" i="66"/>
  <c r="CD32" i="66"/>
  <c r="CE32" i="66"/>
  <c r="CF32" i="66"/>
  <c r="CG32" i="66"/>
  <c r="CH32" i="66"/>
  <c r="CI32" i="66"/>
  <c r="CJ32" i="66"/>
  <c r="CK32" i="66"/>
  <c r="CM32" i="66"/>
  <c r="CN32" i="66"/>
  <c r="CO32" i="66"/>
  <c r="CP32" i="66"/>
  <c r="CQ32" i="66"/>
  <c r="CR32" i="66"/>
  <c r="CS32" i="66"/>
  <c r="CT32" i="66"/>
  <c r="CU32" i="66"/>
  <c r="CV32" i="66"/>
  <c r="CW32" i="66"/>
  <c r="CD33" i="66"/>
  <c r="CE33" i="66"/>
  <c r="CF33" i="66"/>
  <c r="CG33" i="66"/>
  <c r="CH33" i="66"/>
  <c r="CI33" i="66"/>
  <c r="CJ33" i="66"/>
  <c r="CK33" i="66"/>
  <c r="CM33" i="66"/>
  <c r="CN33" i="66"/>
  <c r="CO33" i="66"/>
  <c r="CP33" i="66"/>
  <c r="CQ33" i="66"/>
  <c r="CR33" i="66"/>
  <c r="CS33" i="66"/>
  <c r="CT33" i="66"/>
  <c r="CU33" i="66"/>
  <c r="CV33" i="66"/>
  <c r="CW33" i="66"/>
  <c r="CD34" i="66"/>
  <c r="CE34" i="66"/>
  <c r="CF34" i="66"/>
  <c r="CG34" i="66"/>
  <c r="CH34" i="66"/>
  <c r="CI34" i="66"/>
  <c r="CJ34" i="66"/>
  <c r="CK34" i="66"/>
  <c r="CM34" i="66"/>
  <c r="CN34" i="66"/>
  <c r="CO34" i="66"/>
  <c r="CP34" i="66"/>
  <c r="CQ34" i="66"/>
  <c r="CR34" i="66"/>
  <c r="CS34" i="66"/>
  <c r="CT34" i="66"/>
  <c r="CU34" i="66"/>
  <c r="CV34" i="66"/>
  <c r="CW34" i="66"/>
  <c r="CD35" i="66"/>
  <c r="CE35" i="66"/>
  <c r="CF35" i="66"/>
  <c r="CG35" i="66"/>
  <c r="CH35" i="66"/>
  <c r="CI35" i="66"/>
  <c r="CJ35" i="66"/>
  <c r="CK35" i="66"/>
  <c r="CM35" i="66"/>
  <c r="CN35" i="66"/>
  <c r="CO35" i="66"/>
  <c r="CP35" i="66"/>
  <c r="CQ35" i="66"/>
  <c r="CR35" i="66"/>
  <c r="CS35" i="66"/>
  <c r="CT35" i="66"/>
  <c r="CU35" i="66"/>
  <c r="CV35" i="66"/>
  <c r="CW35" i="66"/>
  <c r="CD36" i="66"/>
  <c r="CE36" i="66"/>
  <c r="CF36" i="66"/>
  <c r="CG36" i="66"/>
  <c r="CH36" i="66"/>
  <c r="CI36" i="66"/>
  <c r="CJ36" i="66"/>
  <c r="CK36" i="66"/>
  <c r="CM36" i="66"/>
  <c r="CN36" i="66"/>
  <c r="CO36" i="66"/>
  <c r="CP36" i="66"/>
  <c r="CQ36" i="66"/>
  <c r="CR36" i="66"/>
  <c r="CS36" i="66"/>
  <c r="CT36" i="66"/>
  <c r="CU36" i="66"/>
  <c r="CV36" i="66"/>
  <c r="CW36" i="66"/>
  <c r="CD37" i="66"/>
  <c r="CE37" i="66"/>
  <c r="CF37" i="66"/>
  <c r="CG37" i="66"/>
  <c r="CH37" i="66"/>
  <c r="CI37" i="66"/>
  <c r="CJ37" i="66"/>
  <c r="CK37" i="66"/>
  <c r="CM37" i="66"/>
  <c r="CN37" i="66"/>
  <c r="CO37" i="66"/>
  <c r="CP37" i="66"/>
  <c r="CQ37" i="66"/>
  <c r="CR37" i="66"/>
  <c r="CS37" i="66"/>
  <c r="CT37" i="66"/>
  <c r="CU37" i="66"/>
  <c r="CV37" i="66"/>
  <c r="CW37" i="66"/>
  <c r="CD38" i="66"/>
  <c r="CE38" i="66"/>
  <c r="CF38" i="66"/>
  <c r="CG38" i="66"/>
  <c r="CH38" i="66"/>
  <c r="CI38" i="66"/>
  <c r="CJ38" i="66"/>
  <c r="CK38" i="66"/>
  <c r="CM38" i="66"/>
  <c r="CN38" i="66"/>
  <c r="CO38" i="66"/>
  <c r="CP38" i="66"/>
  <c r="CQ38" i="66"/>
  <c r="CR38" i="66"/>
  <c r="CS38" i="66"/>
  <c r="CT38" i="66"/>
  <c r="CU38" i="66"/>
  <c r="CV38" i="66"/>
  <c r="CW38" i="66"/>
  <c r="CD39" i="66"/>
  <c r="CE39" i="66"/>
  <c r="CF39" i="66"/>
  <c r="CG39" i="66"/>
  <c r="CH39" i="66"/>
  <c r="CI39" i="66"/>
  <c r="CJ39" i="66"/>
  <c r="CK39" i="66"/>
  <c r="CM39" i="66"/>
  <c r="CN39" i="66"/>
  <c r="CO39" i="66"/>
  <c r="CP39" i="66"/>
  <c r="CQ39" i="66"/>
  <c r="CR39" i="66"/>
  <c r="CS39" i="66"/>
  <c r="CT39" i="66"/>
  <c r="CU39" i="66"/>
  <c r="CV39" i="66"/>
  <c r="CW39" i="66"/>
  <c r="CW9" i="66"/>
  <c r="CV9" i="66"/>
  <c r="CU9" i="66"/>
  <c r="CT9" i="66"/>
  <c r="CS9" i="66"/>
  <c r="CR9" i="66"/>
  <c r="CQ9" i="66"/>
  <c r="CP9" i="66"/>
  <c r="CO9" i="66"/>
  <c r="CN9" i="66"/>
  <c r="CM9" i="66"/>
  <c r="CK9" i="66"/>
  <c r="CJ9" i="66"/>
  <c r="CI9" i="66"/>
  <c r="CH9" i="66"/>
  <c r="CG9" i="66"/>
  <c r="CF9" i="66"/>
  <c r="CE9" i="66"/>
  <c r="CD9" i="66"/>
  <c r="CD10" i="65"/>
  <c r="CE10" i="65"/>
  <c r="CF10" i="65"/>
  <c r="CG10" i="65"/>
  <c r="CH10" i="65"/>
  <c r="CI10" i="65"/>
  <c r="CJ10" i="65"/>
  <c r="CK10" i="65"/>
  <c r="CM10" i="65"/>
  <c r="CN10" i="65"/>
  <c r="CO10" i="65"/>
  <c r="CP10" i="65"/>
  <c r="CQ10" i="65"/>
  <c r="CR10" i="65"/>
  <c r="CS10" i="65"/>
  <c r="CT10" i="65"/>
  <c r="CU10" i="65"/>
  <c r="CV10" i="65"/>
  <c r="CW10" i="65"/>
  <c r="CD11" i="65"/>
  <c r="CE11" i="65"/>
  <c r="CF11" i="65"/>
  <c r="CG11" i="65"/>
  <c r="CH11" i="65"/>
  <c r="CI11" i="65"/>
  <c r="CJ11" i="65"/>
  <c r="CK11" i="65"/>
  <c r="CM11" i="65"/>
  <c r="CN11" i="65"/>
  <c r="CO11" i="65"/>
  <c r="CP11" i="65"/>
  <c r="CQ11" i="65"/>
  <c r="CR11" i="65"/>
  <c r="CS11" i="65"/>
  <c r="CT11" i="65"/>
  <c r="CU11" i="65"/>
  <c r="CV11" i="65"/>
  <c r="CW11" i="65"/>
  <c r="CE12" i="65"/>
  <c r="CF12" i="65"/>
  <c r="CG12" i="65"/>
  <c r="CH12" i="65"/>
  <c r="CI12" i="65"/>
  <c r="CJ12" i="65"/>
  <c r="CK12" i="65"/>
  <c r="CM12" i="65"/>
  <c r="CN12" i="65"/>
  <c r="CO12" i="65"/>
  <c r="CP12" i="65"/>
  <c r="CQ12" i="65"/>
  <c r="CR12" i="65"/>
  <c r="CS12" i="65"/>
  <c r="CT12" i="65"/>
  <c r="CU12" i="65"/>
  <c r="CV12" i="65"/>
  <c r="CW12" i="65"/>
  <c r="CD13" i="65"/>
  <c r="CF13" i="65"/>
  <c r="CG13" i="65"/>
  <c r="CH13" i="65"/>
  <c r="CI13" i="65"/>
  <c r="CJ13" i="65"/>
  <c r="CK13" i="65"/>
  <c r="CM13" i="65"/>
  <c r="CN13" i="65"/>
  <c r="CO13" i="65"/>
  <c r="CP13" i="65"/>
  <c r="CQ13" i="65"/>
  <c r="CR13" i="65"/>
  <c r="CS13" i="65"/>
  <c r="CT13" i="65"/>
  <c r="CU13" i="65"/>
  <c r="CV13" i="65"/>
  <c r="CW13" i="65"/>
  <c r="CD14" i="65"/>
  <c r="CE14" i="65"/>
  <c r="CG14" i="65"/>
  <c r="CH14" i="65"/>
  <c r="CI14" i="65"/>
  <c r="CJ14" i="65"/>
  <c r="CM14" i="65"/>
  <c r="CN14" i="65"/>
  <c r="CO14" i="65"/>
  <c r="CP14" i="65"/>
  <c r="CQ14" i="65"/>
  <c r="CR14" i="65"/>
  <c r="CS14" i="65"/>
  <c r="CT14" i="65"/>
  <c r="CU14" i="65"/>
  <c r="CV14" i="65"/>
  <c r="CW14" i="65"/>
  <c r="CD15" i="65"/>
  <c r="CE15" i="65"/>
  <c r="CF15" i="65"/>
  <c r="CH15" i="65"/>
  <c r="CI15" i="65"/>
  <c r="CJ15" i="65"/>
  <c r="CK15" i="65"/>
  <c r="CM15" i="65"/>
  <c r="CN15" i="65"/>
  <c r="CO15" i="65"/>
  <c r="CP15" i="65"/>
  <c r="CQ15" i="65"/>
  <c r="CR15" i="65"/>
  <c r="CS15" i="65"/>
  <c r="CT15" i="65"/>
  <c r="CU15" i="65"/>
  <c r="CV15" i="65"/>
  <c r="CW15" i="65"/>
  <c r="CD16" i="65"/>
  <c r="CE16" i="65"/>
  <c r="CF16" i="65"/>
  <c r="CG16" i="65"/>
  <c r="CI16" i="65"/>
  <c r="CJ16" i="65"/>
  <c r="CK16" i="65"/>
  <c r="CM16" i="65"/>
  <c r="CN16" i="65"/>
  <c r="CO16" i="65"/>
  <c r="CP16" i="65"/>
  <c r="CQ16" i="65"/>
  <c r="CR16" i="65"/>
  <c r="CS16" i="65"/>
  <c r="CT16" i="65"/>
  <c r="CU16" i="65"/>
  <c r="CV16" i="65"/>
  <c r="CW16" i="65"/>
  <c r="CD17" i="65"/>
  <c r="CE17" i="65"/>
  <c r="CF17" i="65"/>
  <c r="CG17" i="65"/>
  <c r="CH17" i="65"/>
  <c r="CI17" i="65"/>
  <c r="CJ17" i="65"/>
  <c r="CK17" i="65"/>
  <c r="CM17" i="65"/>
  <c r="CN17" i="65"/>
  <c r="CO17" i="65"/>
  <c r="CP17" i="65"/>
  <c r="CQ17" i="65"/>
  <c r="CR17" i="65"/>
  <c r="CS17" i="65"/>
  <c r="CT17" i="65"/>
  <c r="CU17" i="65"/>
  <c r="CV17" i="65"/>
  <c r="CW17" i="65"/>
  <c r="CD18" i="65"/>
  <c r="CE18" i="65"/>
  <c r="CF18" i="65"/>
  <c r="CG18" i="65"/>
  <c r="CH18" i="65"/>
  <c r="CI18" i="65"/>
  <c r="CJ18" i="65"/>
  <c r="CK18" i="65"/>
  <c r="CM18" i="65"/>
  <c r="CN18" i="65"/>
  <c r="CO18" i="65"/>
  <c r="CP18" i="65"/>
  <c r="CQ18" i="65"/>
  <c r="CR18" i="65"/>
  <c r="CS18" i="65"/>
  <c r="CT18" i="65"/>
  <c r="CU18" i="65"/>
  <c r="CV18" i="65"/>
  <c r="CW18" i="65"/>
  <c r="CE19" i="65"/>
  <c r="CF19" i="65"/>
  <c r="CG19" i="65"/>
  <c r="CH19" i="65"/>
  <c r="CI19" i="65"/>
  <c r="CJ19" i="65"/>
  <c r="CK19" i="65"/>
  <c r="CM19" i="65"/>
  <c r="CN19" i="65"/>
  <c r="CO19" i="65"/>
  <c r="CP19" i="65"/>
  <c r="CQ19" i="65"/>
  <c r="CR19" i="65"/>
  <c r="CS19" i="65"/>
  <c r="CT19" i="65"/>
  <c r="CU19" i="65"/>
  <c r="CV19" i="65"/>
  <c r="CW19" i="65"/>
  <c r="CD20" i="65"/>
  <c r="CF20" i="65"/>
  <c r="CG20" i="65"/>
  <c r="CH20" i="65"/>
  <c r="CI20" i="65"/>
  <c r="CJ20" i="65"/>
  <c r="CK20" i="65"/>
  <c r="CM20" i="65"/>
  <c r="CN20" i="65"/>
  <c r="CO20" i="65"/>
  <c r="CP20" i="65"/>
  <c r="CQ20" i="65"/>
  <c r="CR20" i="65"/>
  <c r="CS20" i="65"/>
  <c r="CT20" i="65"/>
  <c r="CU20" i="65"/>
  <c r="CV20" i="65"/>
  <c r="CW20" i="65"/>
  <c r="CD21" i="65"/>
  <c r="CE21" i="65"/>
  <c r="CG21" i="65"/>
  <c r="CH21" i="65"/>
  <c r="CI21" i="65"/>
  <c r="CJ21" i="65"/>
  <c r="CM21" i="65"/>
  <c r="CN21" i="65"/>
  <c r="CO21" i="65"/>
  <c r="CP21" i="65"/>
  <c r="CQ21" i="65"/>
  <c r="CR21" i="65"/>
  <c r="CS21" i="65"/>
  <c r="CT21" i="65"/>
  <c r="CU21" i="65"/>
  <c r="CV21" i="65"/>
  <c r="CW21" i="65"/>
  <c r="CD22" i="65"/>
  <c r="CE22" i="65"/>
  <c r="CF22" i="65"/>
  <c r="CH22" i="65"/>
  <c r="CI22" i="65"/>
  <c r="CJ22" i="65"/>
  <c r="CK22" i="65"/>
  <c r="CM22" i="65"/>
  <c r="CN22" i="65"/>
  <c r="CO22" i="65"/>
  <c r="CP22" i="65"/>
  <c r="CQ22" i="65"/>
  <c r="CR22" i="65"/>
  <c r="CS22" i="65"/>
  <c r="CT22" i="65"/>
  <c r="CU22" i="65"/>
  <c r="CV22" i="65"/>
  <c r="CW22" i="65"/>
  <c r="CD23" i="65"/>
  <c r="CE23" i="65"/>
  <c r="CF23" i="65"/>
  <c r="CG23" i="65"/>
  <c r="CI23" i="65"/>
  <c r="CJ23" i="65"/>
  <c r="CK23" i="65"/>
  <c r="CM23" i="65"/>
  <c r="CN23" i="65"/>
  <c r="CO23" i="65"/>
  <c r="CP23" i="65"/>
  <c r="CQ23" i="65"/>
  <c r="CR23" i="65"/>
  <c r="CS23" i="65"/>
  <c r="CT23" i="65"/>
  <c r="CU23" i="65"/>
  <c r="CV23" i="65"/>
  <c r="CW23" i="65"/>
  <c r="CD24" i="65"/>
  <c r="CE24" i="65"/>
  <c r="CF24" i="65"/>
  <c r="CG24" i="65"/>
  <c r="CH24" i="65"/>
  <c r="CI24" i="65"/>
  <c r="CJ24" i="65"/>
  <c r="CK24" i="65"/>
  <c r="CM24" i="65"/>
  <c r="CN24" i="65"/>
  <c r="CO24" i="65"/>
  <c r="CP24" i="65"/>
  <c r="CQ24" i="65"/>
  <c r="CR24" i="65"/>
  <c r="CS24" i="65"/>
  <c r="CT24" i="65"/>
  <c r="CU24" i="65"/>
  <c r="CV24" i="65"/>
  <c r="CW24" i="65"/>
  <c r="CD25" i="65"/>
  <c r="CE25" i="65"/>
  <c r="CF25" i="65"/>
  <c r="CG25" i="65"/>
  <c r="CH25" i="65"/>
  <c r="CI25" i="65"/>
  <c r="CJ25" i="65"/>
  <c r="CK25" i="65"/>
  <c r="CM25" i="65"/>
  <c r="CN25" i="65"/>
  <c r="CO25" i="65"/>
  <c r="CP25" i="65"/>
  <c r="CQ25" i="65"/>
  <c r="CR25" i="65"/>
  <c r="CS25" i="65"/>
  <c r="CT25" i="65"/>
  <c r="CU25" i="65"/>
  <c r="CV25" i="65"/>
  <c r="CW25" i="65"/>
  <c r="CE26" i="65"/>
  <c r="CF26" i="65"/>
  <c r="CG26" i="65"/>
  <c r="CH26" i="65"/>
  <c r="CI26" i="65"/>
  <c r="CJ26" i="65"/>
  <c r="CK26" i="65"/>
  <c r="CM26" i="65"/>
  <c r="CN26" i="65"/>
  <c r="CO26" i="65"/>
  <c r="CP26" i="65"/>
  <c r="CQ26" i="65"/>
  <c r="CR26" i="65"/>
  <c r="CS26" i="65"/>
  <c r="CT26" i="65"/>
  <c r="CU26" i="65"/>
  <c r="CV26" i="65"/>
  <c r="CW26" i="65"/>
  <c r="CD27" i="65"/>
  <c r="CF27" i="65"/>
  <c r="CG27" i="65"/>
  <c r="CH27" i="65"/>
  <c r="CI27" i="65"/>
  <c r="CJ27" i="65"/>
  <c r="CK27" i="65"/>
  <c r="CM27" i="65"/>
  <c r="CN27" i="65"/>
  <c r="CO27" i="65"/>
  <c r="CP27" i="65"/>
  <c r="CQ27" i="65"/>
  <c r="CR27" i="65"/>
  <c r="CS27" i="65"/>
  <c r="CT27" i="65"/>
  <c r="CU27" i="65"/>
  <c r="CV27" i="65"/>
  <c r="CW27" i="65"/>
  <c r="CD28" i="65"/>
  <c r="CE28" i="65"/>
  <c r="CG28" i="65"/>
  <c r="CH28" i="65"/>
  <c r="CI28" i="65"/>
  <c r="CJ28" i="65"/>
  <c r="CM28" i="65"/>
  <c r="CN28" i="65"/>
  <c r="CO28" i="65"/>
  <c r="CP28" i="65"/>
  <c r="CQ28" i="65"/>
  <c r="CR28" i="65"/>
  <c r="CS28" i="65"/>
  <c r="CT28" i="65"/>
  <c r="CU28" i="65"/>
  <c r="CV28" i="65"/>
  <c r="CW28" i="65"/>
  <c r="CD29" i="65"/>
  <c r="CE29" i="65"/>
  <c r="CF29" i="65"/>
  <c r="CH29" i="65"/>
  <c r="CI29" i="65"/>
  <c r="CJ29" i="65"/>
  <c r="CK29" i="65"/>
  <c r="CM29" i="65"/>
  <c r="CN29" i="65"/>
  <c r="CO29" i="65"/>
  <c r="CP29" i="65"/>
  <c r="CQ29" i="65"/>
  <c r="CR29" i="65"/>
  <c r="CS29" i="65"/>
  <c r="CT29" i="65"/>
  <c r="CU29" i="65"/>
  <c r="CV29" i="65"/>
  <c r="CW29" i="65"/>
  <c r="CD30" i="65"/>
  <c r="CE30" i="65"/>
  <c r="CF30" i="65"/>
  <c r="CG30" i="65"/>
  <c r="CI30" i="65"/>
  <c r="CJ30" i="65"/>
  <c r="CK30" i="65"/>
  <c r="CM30" i="65"/>
  <c r="CN30" i="65"/>
  <c r="CO30" i="65"/>
  <c r="CP30" i="65"/>
  <c r="CQ30" i="65"/>
  <c r="CR30" i="65"/>
  <c r="CS30" i="65"/>
  <c r="CT30" i="65"/>
  <c r="CU30" i="65"/>
  <c r="CV30" i="65"/>
  <c r="CW30" i="65"/>
  <c r="CD31" i="65"/>
  <c r="CE31" i="65"/>
  <c r="CF31" i="65"/>
  <c r="CG31" i="65"/>
  <c r="CH31" i="65"/>
  <c r="CI31" i="65"/>
  <c r="CJ31" i="65"/>
  <c r="CK31" i="65"/>
  <c r="CM31" i="65"/>
  <c r="CN31" i="65"/>
  <c r="CO31" i="65"/>
  <c r="CP31" i="65"/>
  <c r="CQ31" i="65"/>
  <c r="CR31" i="65"/>
  <c r="CS31" i="65"/>
  <c r="CT31" i="65"/>
  <c r="CU31" i="65"/>
  <c r="CV31" i="65"/>
  <c r="CW31" i="65"/>
  <c r="CD32" i="65"/>
  <c r="CE32" i="65"/>
  <c r="CF32" i="65"/>
  <c r="CG32" i="65"/>
  <c r="CH32" i="65"/>
  <c r="CI32" i="65"/>
  <c r="CJ32" i="65"/>
  <c r="CK32" i="65"/>
  <c r="CM32" i="65"/>
  <c r="CN32" i="65"/>
  <c r="CO32" i="65"/>
  <c r="CP32" i="65"/>
  <c r="CQ32" i="65"/>
  <c r="CR32" i="65"/>
  <c r="CS32" i="65"/>
  <c r="CT32" i="65"/>
  <c r="CU32" i="65"/>
  <c r="CV32" i="65"/>
  <c r="CW32" i="65"/>
  <c r="CE33" i="65"/>
  <c r="CF33" i="65"/>
  <c r="CG33" i="65"/>
  <c r="CH33" i="65"/>
  <c r="CI33" i="65"/>
  <c r="CJ33" i="65"/>
  <c r="CK33" i="65"/>
  <c r="CM33" i="65"/>
  <c r="CN33" i="65"/>
  <c r="CO33" i="65"/>
  <c r="CP33" i="65"/>
  <c r="CQ33" i="65"/>
  <c r="CR33" i="65"/>
  <c r="CS33" i="65"/>
  <c r="CT33" i="65"/>
  <c r="CU33" i="65"/>
  <c r="CV33" i="65"/>
  <c r="CW33" i="65"/>
  <c r="CD34" i="65"/>
  <c r="CF34" i="65"/>
  <c r="CG34" i="65"/>
  <c r="CH34" i="65"/>
  <c r="CI34" i="65"/>
  <c r="CJ34" i="65"/>
  <c r="CK34" i="65"/>
  <c r="CM34" i="65"/>
  <c r="CN34" i="65"/>
  <c r="CO34" i="65"/>
  <c r="CP34" i="65"/>
  <c r="CQ34" i="65"/>
  <c r="CR34" i="65"/>
  <c r="CS34" i="65"/>
  <c r="CT34" i="65"/>
  <c r="CU34" i="65"/>
  <c r="CV34" i="65"/>
  <c r="CW34" i="65"/>
  <c r="CD35" i="65"/>
  <c r="CE35" i="65"/>
  <c r="CG35" i="65"/>
  <c r="CH35" i="65"/>
  <c r="CI35" i="65"/>
  <c r="CJ35" i="65"/>
  <c r="CM35" i="65"/>
  <c r="CN35" i="65"/>
  <c r="CO35" i="65"/>
  <c r="CP35" i="65"/>
  <c r="CQ35" i="65"/>
  <c r="CR35" i="65"/>
  <c r="CS35" i="65"/>
  <c r="CT35" i="65"/>
  <c r="CU35" i="65"/>
  <c r="CV35" i="65"/>
  <c r="CW35" i="65"/>
  <c r="CD36" i="65"/>
  <c r="CE36" i="65"/>
  <c r="CF36" i="65"/>
  <c r="CH36" i="65"/>
  <c r="CI36" i="65"/>
  <c r="CJ36" i="65"/>
  <c r="CK36" i="65"/>
  <c r="CM36" i="65"/>
  <c r="CN36" i="65"/>
  <c r="CO36" i="65"/>
  <c r="CP36" i="65"/>
  <c r="CQ36" i="65"/>
  <c r="CR36" i="65"/>
  <c r="CS36" i="65"/>
  <c r="CT36" i="65"/>
  <c r="CU36" i="65"/>
  <c r="CV36" i="65"/>
  <c r="CW36" i="65"/>
  <c r="CD37" i="65"/>
  <c r="CE37" i="65"/>
  <c r="CF37" i="65"/>
  <c r="CG37" i="65"/>
  <c r="CI37" i="65"/>
  <c r="CJ37" i="65"/>
  <c r="CK37" i="65"/>
  <c r="CM37" i="65"/>
  <c r="CN37" i="65"/>
  <c r="CO37" i="65"/>
  <c r="CP37" i="65"/>
  <c r="CQ37" i="65"/>
  <c r="CR37" i="65"/>
  <c r="CS37" i="65"/>
  <c r="CT37" i="65"/>
  <c r="CU37" i="65"/>
  <c r="CV37" i="65"/>
  <c r="CW37" i="65"/>
  <c r="CD38" i="65"/>
  <c r="CE38" i="65"/>
  <c r="CF38" i="65"/>
  <c r="CG38" i="65"/>
  <c r="CH38" i="65"/>
  <c r="CI38" i="65"/>
  <c r="CJ38" i="65"/>
  <c r="CK38" i="65"/>
  <c r="CM38" i="65"/>
  <c r="CN38" i="65"/>
  <c r="CO38" i="65"/>
  <c r="CP38" i="65"/>
  <c r="CQ38" i="65"/>
  <c r="CR38" i="65"/>
  <c r="CS38" i="65"/>
  <c r="CT38" i="65"/>
  <c r="CU38" i="65"/>
  <c r="CV38" i="65"/>
  <c r="CW38" i="65"/>
  <c r="CW9" i="65"/>
  <c r="CV9" i="65"/>
  <c r="CU9" i="65"/>
  <c r="CT9" i="65"/>
  <c r="CS9" i="65"/>
  <c r="CR9" i="65"/>
  <c r="CQ9" i="65"/>
  <c r="CP9" i="65"/>
  <c r="CO9" i="65"/>
  <c r="CN9" i="65"/>
  <c r="CM9" i="65"/>
  <c r="CK9" i="65"/>
  <c r="CJ9" i="65"/>
  <c r="CI9" i="65"/>
  <c r="CG9" i="65"/>
  <c r="CF9" i="65"/>
  <c r="CE9" i="65"/>
  <c r="CD9" i="65"/>
  <c r="CD10" i="64"/>
  <c r="CE10" i="64"/>
  <c r="CG10" i="64"/>
  <c r="CH10" i="64"/>
  <c r="CI10" i="64"/>
  <c r="CJ10" i="64"/>
  <c r="CM10" i="64"/>
  <c r="CN10" i="64"/>
  <c r="CO10" i="64"/>
  <c r="CP10" i="64"/>
  <c r="CQ10" i="64"/>
  <c r="CR10" i="64"/>
  <c r="CS10" i="64"/>
  <c r="CT10" i="64"/>
  <c r="CU10" i="64"/>
  <c r="CV10" i="64"/>
  <c r="CW10" i="64"/>
  <c r="CD11" i="64"/>
  <c r="CE11" i="64"/>
  <c r="CF11" i="64"/>
  <c r="CH11" i="64"/>
  <c r="CI11" i="64"/>
  <c r="CJ11" i="64"/>
  <c r="CK11" i="64"/>
  <c r="CM11" i="64"/>
  <c r="CN11" i="64"/>
  <c r="CO11" i="64"/>
  <c r="CP11" i="64"/>
  <c r="CQ11" i="64"/>
  <c r="CR11" i="64"/>
  <c r="CS11" i="64"/>
  <c r="CT11" i="64"/>
  <c r="CU11" i="64"/>
  <c r="CV11" i="64"/>
  <c r="CW11" i="64"/>
  <c r="CD12" i="64"/>
  <c r="CE12" i="64"/>
  <c r="CF12" i="64"/>
  <c r="CG12" i="64"/>
  <c r="CI12" i="64"/>
  <c r="CJ12" i="64"/>
  <c r="CK12" i="64"/>
  <c r="CM12" i="64"/>
  <c r="CN12" i="64"/>
  <c r="CO12" i="64"/>
  <c r="CP12" i="64"/>
  <c r="CQ12" i="64"/>
  <c r="CR12" i="64"/>
  <c r="CS12" i="64"/>
  <c r="CT12" i="64"/>
  <c r="CU12" i="64"/>
  <c r="CV12" i="64"/>
  <c r="CW12" i="64"/>
  <c r="CD13" i="64"/>
  <c r="CE13" i="64"/>
  <c r="CF13" i="64"/>
  <c r="CG13" i="64"/>
  <c r="CH13" i="64"/>
  <c r="CI13" i="64"/>
  <c r="CJ13" i="64"/>
  <c r="CK13" i="64"/>
  <c r="CM13" i="64"/>
  <c r="CN13" i="64"/>
  <c r="CO13" i="64"/>
  <c r="CP13" i="64"/>
  <c r="CQ13" i="64"/>
  <c r="CR13" i="64"/>
  <c r="CS13" i="64"/>
  <c r="CT13" i="64"/>
  <c r="CU13" i="64"/>
  <c r="CV13" i="64"/>
  <c r="CW13" i="64"/>
  <c r="CD14" i="64"/>
  <c r="CE14" i="64"/>
  <c r="CF14" i="64"/>
  <c r="CG14" i="64"/>
  <c r="CH14" i="64"/>
  <c r="CI14" i="64"/>
  <c r="CJ14" i="64"/>
  <c r="CK14" i="64"/>
  <c r="CM14" i="64"/>
  <c r="CN14" i="64"/>
  <c r="CO14" i="64"/>
  <c r="CP14" i="64"/>
  <c r="CQ14" i="64"/>
  <c r="CR14" i="64"/>
  <c r="CS14" i="64"/>
  <c r="CT14" i="64"/>
  <c r="CU14" i="64"/>
  <c r="CV14" i="64"/>
  <c r="CW14" i="64"/>
  <c r="CE15" i="64"/>
  <c r="CF15" i="64"/>
  <c r="CG15" i="64"/>
  <c r="CH15" i="64"/>
  <c r="CI15" i="64"/>
  <c r="CJ15" i="64"/>
  <c r="CK15" i="64"/>
  <c r="CM15" i="64"/>
  <c r="CN15" i="64"/>
  <c r="CO15" i="64"/>
  <c r="CP15" i="64"/>
  <c r="CQ15" i="64"/>
  <c r="CR15" i="64"/>
  <c r="CS15" i="64"/>
  <c r="CT15" i="64"/>
  <c r="CU15" i="64"/>
  <c r="CV15" i="64"/>
  <c r="CW15" i="64"/>
  <c r="CD16" i="64"/>
  <c r="CF16" i="64"/>
  <c r="CG16" i="64"/>
  <c r="CH16" i="64"/>
  <c r="CI16" i="64"/>
  <c r="CJ16" i="64"/>
  <c r="CK16" i="64"/>
  <c r="CM16" i="64"/>
  <c r="CN16" i="64"/>
  <c r="CO16" i="64"/>
  <c r="CP16" i="64"/>
  <c r="CQ16" i="64"/>
  <c r="CR16" i="64"/>
  <c r="CS16" i="64"/>
  <c r="CT16" i="64"/>
  <c r="CU16" i="64"/>
  <c r="CV16" i="64"/>
  <c r="CW16" i="64"/>
  <c r="CD17" i="64"/>
  <c r="CE17" i="64"/>
  <c r="CG17" i="64"/>
  <c r="CH17" i="64"/>
  <c r="CI17" i="64"/>
  <c r="CJ17" i="64"/>
  <c r="CM17" i="64"/>
  <c r="CN17" i="64"/>
  <c r="CO17" i="64"/>
  <c r="CP17" i="64"/>
  <c r="CQ17" i="64"/>
  <c r="CR17" i="64"/>
  <c r="CS17" i="64"/>
  <c r="CT17" i="64"/>
  <c r="CU17" i="64"/>
  <c r="CV17" i="64"/>
  <c r="CW17" i="64"/>
  <c r="CD18" i="64"/>
  <c r="CE18" i="64"/>
  <c r="CF18" i="64"/>
  <c r="CH18" i="64"/>
  <c r="CI18" i="64"/>
  <c r="CJ18" i="64"/>
  <c r="CK18" i="64"/>
  <c r="CM18" i="64"/>
  <c r="CN18" i="64"/>
  <c r="CO18" i="64"/>
  <c r="CP18" i="64"/>
  <c r="CQ18" i="64"/>
  <c r="CR18" i="64"/>
  <c r="CS18" i="64"/>
  <c r="CT18" i="64"/>
  <c r="CU18" i="64"/>
  <c r="CV18" i="64"/>
  <c r="CW18" i="64"/>
  <c r="CD19" i="64"/>
  <c r="CE19" i="64"/>
  <c r="CF19" i="64"/>
  <c r="CG19" i="64"/>
  <c r="CI19" i="64"/>
  <c r="CJ19" i="64"/>
  <c r="CK19" i="64"/>
  <c r="CM19" i="64"/>
  <c r="CN19" i="64"/>
  <c r="CO19" i="64"/>
  <c r="CP19" i="64"/>
  <c r="CQ19" i="64"/>
  <c r="CR19" i="64"/>
  <c r="CS19" i="64"/>
  <c r="CT19" i="64"/>
  <c r="CU19" i="64"/>
  <c r="CV19" i="64"/>
  <c r="CW19" i="64"/>
  <c r="CD20" i="64"/>
  <c r="CE20" i="64"/>
  <c r="CF20" i="64"/>
  <c r="CG20" i="64"/>
  <c r="CH20" i="64"/>
  <c r="CI20" i="64"/>
  <c r="CJ20" i="64"/>
  <c r="CK20" i="64"/>
  <c r="CM20" i="64"/>
  <c r="CN20" i="64"/>
  <c r="CO20" i="64"/>
  <c r="CP20" i="64"/>
  <c r="CQ20" i="64"/>
  <c r="CR20" i="64"/>
  <c r="CS20" i="64"/>
  <c r="CT20" i="64"/>
  <c r="CU20" i="64"/>
  <c r="CV20" i="64"/>
  <c r="CW20" i="64"/>
  <c r="CD21" i="64"/>
  <c r="CE21" i="64"/>
  <c r="CF21" i="64"/>
  <c r="CG21" i="64"/>
  <c r="CH21" i="64"/>
  <c r="CI21" i="64"/>
  <c r="CJ21" i="64"/>
  <c r="CK21" i="64"/>
  <c r="CM21" i="64"/>
  <c r="CN21" i="64"/>
  <c r="CO21" i="64"/>
  <c r="CP21" i="64"/>
  <c r="CQ21" i="64"/>
  <c r="CR21" i="64"/>
  <c r="CS21" i="64"/>
  <c r="CT21" i="64"/>
  <c r="CU21" i="64"/>
  <c r="CV21" i="64"/>
  <c r="CW21" i="64"/>
  <c r="CD22" i="64"/>
  <c r="CE22" i="64"/>
  <c r="CF22" i="64"/>
  <c r="CG22" i="64"/>
  <c r="CH22" i="64"/>
  <c r="CI22" i="64"/>
  <c r="CJ22" i="64"/>
  <c r="CK22" i="64"/>
  <c r="CM22" i="64"/>
  <c r="CN22" i="64"/>
  <c r="CO22" i="64"/>
  <c r="CP22" i="64"/>
  <c r="CQ22" i="64"/>
  <c r="CR22" i="64"/>
  <c r="CS22" i="64"/>
  <c r="CT22" i="64"/>
  <c r="CU22" i="64"/>
  <c r="CV22" i="64"/>
  <c r="CW22" i="64"/>
  <c r="CD23" i="64"/>
  <c r="CE23" i="64"/>
  <c r="CF23" i="64"/>
  <c r="CG23" i="64"/>
  <c r="CH23" i="64"/>
  <c r="CI23" i="64"/>
  <c r="CJ23" i="64"/>
  <c r="CK23" i="64"/>
  <c r="CM23" i="64"/>
  <c r="CN23" i="64"/>
  <c r="CO23" i="64"/>
  <c r="CP23" i="64"/>
  <c r="CQ23" i="64"/>
  <c r="CR23" i="64"/>
  <c r="CS23" i="64"/>
  <c r="CT23" i="64"/>
  <c r="CU23" i="64"/>
  <c r="CV23" i="64"/>
  <c r="CW23" i="64"/>
  <c r="CD24" i="64"/>
  <c r="CE24" i="64"/>
  <c r="CF24" i="64"/>
  <c r="CG24" i="64"/>
  <c r="CH24" i="64"/>
  <c r="CI24" i="64"/>
  <c r="CJ24" i="64"/>
  <c r="CK24" i="64"/>
  <c r="CM24" i="64"/>
  <c r="CN24" i="64"/>
  <c r="CO24" i="64"/>
  <c r="CP24" i="64"/>
  <c r="CQ24" i="64"/>
  <c r="CR24" i="64"/>
  <c r="CS24" i="64"/>
  <c r="CT24" i="64"/>
  <c r="CU24" i="64"/>
  <c r="CV24" i="64"/>
  <c r="CW24" i="64"/>
  <c r="CD25" i="64"/>
  <c r="CE25" i="64"/>
  <c r="CF25" i="64"/>
  <c r="CG25" i="64"/>
  <c r="CH25" i="64"/>
  <c r="CI25" i="64"/>
  <c r="CJ25" i="64"/>
  <c r="CK25" i="64"/>
  <c r="CM25" i="64"/>
  <c r="CN25" i="64"/>
  <c r="CO25" i="64"/>
  <c r="CP25" i="64"/>
  <c r="CQ25" i="64"/>
  <c r="CR25" i="64"/>
  <c r="CS25" i="64"/>
  <c r="CT25" i="64"/>
  <c r="CU25" i="64"/>
  <c r="CV25" i="64"/>
  <c r="CW25" i="64"/>
  <c r="CD26" i="64"/>
  <c r="CE26" i="64"/>
  <c r="CF26" i="64"/>
  <c r="CG26" i="64"/>
  <c r="CH26" i="64"/>
  <c r="CI26" i="64"/>
  <c r="CJ26" i="64"/>
  <c r="CK26" i="64"/>
  <c r="CM26" i="64"/>
  <c r="CN26" i="64"/>
  <c r="CO26" i="64"/>
  <c r="CP26" i="64"/>
  <c r="CQ26" i="64"/>
  <c r="CR26" i="64"/>
  <c r="CS26" i="64"/>
  <c r="CT26" i="64"/>
  <c r="CU26" i="64"/>
  <c r="CV26" i="64"/>
  <c r="CW26" i="64"/>
  <c r="CD27" i="64"/>
  <c r="CE27" i="64"/>
  <c r="CF27" i="64"/>
  <c r="CG27" i="64"/>
  <c r="CH27" i="64"/>
  <c r="CI27" i="64"/>
  <c r="CJ27" i="64"/>
  <c r="CK27" i="64"/>
  <c r="CM27" i="64"/>
  <c r="CN27" i="64"/>
  <c r="CO27" i="64"/>
  <c r="CP27" i="64"/>
  <c r="CQ27" i="64"/>
  <c r="CR27" i="64"/>
  <c r="CS27" i="64"/>
  <c r="CT27" i="64"/>
  <c r="CU27" i="64"/>
  <c r="CV27" i="64"/>
  <c r="CW27" i="64"/>
  <c r="CD28" i="64"/>
  <c r="CE28" i="64"/>
  <c r="CF28" i="64"/>
  <c r="CG28" i="64"/>
  <c r="CH28" i="64"/>
  <c r="CI28" i="64"/>
  <c r="CJ28" i="64"/>
  <c r="CK28" i="64"/>
  <c r="CM28" i="64"/>
  <c r="CN28" i="64"/>
  <c r="CO28" i="64"/>
  <c r="CP28" i="64"/>
  <c r="CQ28" i="64"/>
  <c r="CR28" i="64"/>
  <c r="CS28" i="64"/>
  <c r="CT28" i="64"/>
  <c r="CU28" i="64"/>
  <c r="CV28" i="64"/>
  <c r="CW28" i="64"/>
  <c r="CE29" i="64"/>
  <c r="CF29" i="64"/>
  <c r="CG29" i="64"/>
  <c r="CH29" i="64"/>
  <c r="CI29" i="64"/>
  <c r="CJ29" i="64"/>
  <c r="CK29" i="64"/>
  <c r="CM29" i="64"/>
  <c r="CN29" i="64"/>
  <c r="CO29" i="64"/>
  <c r="CP29" i="64"/>
  <c r="CQ29" i="64"/>
  <c r="CR29" i="64"/>
  <c r="CS29" i="64"/>
  <c r="CT29" i="64"/>
  <c r="CU29" i="64"/>
  <c r="CV29" i="64"/>
  <c r="CW29" i="64"/>
  <c r="CD30" i="64"/>
  <c r="CF30" i="64"/>
  <c r="CG30" i="64"/>
  <c r="CH30" i="64"/>
  <c r="CI30" i="64"/>
  <c r="CK30" i="64"/>
  <c r="CM30" i="64"/>
  <c r="CN30" i="64"/>
  <c r="CO30" i="64"/>
  <c r="CP30" i="64"/>
  <c r="CQ30" i="64"/>
  <c r="CR30" i="64"/>
  <c r="CS30" i="64"/>
  <c r="CT30" i="64"/>
  <c r="CU30" i="64"/>
  <c r="CV30" i="64"/>
  <c r="CW30" i="64"/>
  <c r="CD31" i="64"/>
  <c r="CE31" i="64"/>
  <c r="CG31" i="64"/>
  <c r="CH31" i="64"/>
  <c r="CI31" i="64"/>
  <c r="CJ31" i="64"/>
  <c r="CM31" i="64"/>
  <c r="CN31" i="64"/>
  <c r="CO31" i="64"/>
  <c r="CP31" i="64"/>
  <c r="CQ31" i="64"/>
  <c r="CR31" i="64"/>
  <c r="CS31" i="64"/>
  <c r="CT31" i="64"/>
  <c r="CU31" i="64"/>
  <c r="CV31" i="64"/>
  <c r="CW31" i="64"/>
  <c r="CD32" i="64"/>
  <c r="CE32" i="64"/>
  <c r="CF32" i="64"/>
  <c r="CH32" i="64"/>
  <c r="CI32" i="64"/>
  <c r="CJ32" i="64"/>
  <c r="CK32" i="64"/>
  <c r="CM32" i="64"/>
  <c r="CN32" i="64"/>
  <c r="CO32" i="64"/>
  <c r="CP32" i="64"/>
  <c r="CQ32" i="64"/>
  <c r="CR32" i="64"/>
  <c r="CS32" i="64"/>
  <c r="CT32" i="64"/>
  <c r="CU32" i="64"/>
  <c r="CV32" i="64"/>
  <c r="CW32" i="64"/>
  <c r="CD33" i="64"/>
  <c r="CE33" i="64"/>
  <c r="CF33" i="64"/>
  <c r="CG33" i="64"/>
  <c r="CI33" i="64"/>
  <c r="CJ33" i="64"/>
  <c r="CK33" i="64"/>
  <c r="CN33" i="64"/>
  <c r="CO33" i="64"/>
  <c r="CP33" i="64"/>
  <c r="CQ33" i="64"/>
  <c r="CR33" i="64"/>
  <c r="CS33" i="64"/>
  <c r="CT33" i="64"/>
  <c r="CU33" i="64"/>
  <c r="CV33" i="64"/>
  <c r="CW33" i="64"/>
  <c r="CD34" i="64"/>
  <c r="CE34" i="64"/>
  <c r="CF34" i="64"/>
  <c r="CG34" i="64"/>
  <c r="CH34" i="64"/>
  <c r="CI34" i="64"/>
  <c r="CJ34" i="64"/>
  <c r="CK34" i="64"/>
  <c r="CM34" i="64"/>
  <c r="CN34" i="64"/>
  <c r="CO34" i="64"/>
  <c r="CP34" i="64"/>
  <c r="CQ34" i="64"/>
  <c r="CR34" i="64"/>
  <c r="CS34" i="64"/>
  <c r="CT34" i="64"/>
  <c r="CU34" i="64"/>
  <c r="CV34" i="64"/>
  <c r="CW34" i="64"/>
  <c r="CD35" i="64"/>
  <c r="CE35" i="64"/>
  <c r="CF35" i="64"/>
  <c r="CG35" i="64"/>
  <c r="CH35" i="64"/>
  <c r="CI35" i="64"/>
  <c r="CJ35" i="64"/>
  <c r="CK35" i="64"/>
  <c r="CM35" i="64"/>
  <c r="CN35" i="64"/>
  <c r="CO35" i="64"/>
  <c r="CP35" i="64"/>
  <c r="CQ35" i="64"/>
  <c r="CR35" i="64"/>
  <c r="CS35" i="64"/>
  <c r="CT35" i="64"/>
  <c r="CU35" i="64"/>
  <c r="CV35" i="64"/>
  <c r="CW35" i="64"/>
  <c r="CE36" i="64"/>
  <c r="CF36" i="64"/>
  <c r="CG36" i="64"/>
  <c r="CH36" i="64"/>
  <c r="CI36" i="64"/>
  <c r="CJ36" i="64"/>
  <c r="CK36" i="64"/>
  <c r="CM36" i="64"/>
  <c r="CN36" i="64"/>
  <c r="CO36" i="64"/>
  <c r="CP36" i="64"/>
  <c r="CQ36" i="64"/>
  <c r="CR36" i="64"/>
  <c r="CS36" i="64"/>
  <c r="CT36" i="64"/>
  <c r="CU36" i="64"/>
  <c r="CV36" i="64"/>
  <c r="CW36" i="64"/>
  <c r="CD37" i="64"/>
  <c r="CF37" i="64"/>
  <c r="CG37" i="64"/>
  <c r="CH37" i="64"/>
  <c r="CI37" i="64"/>
  <c r="CJ37" i="64"/>
  <c r="CK37" i="64"/>
  <c r="CM37" i="64"/>
  <c r="CN37" i="64"/>
  <c r="CO37" i="64"/>
  <c r="CP37" i="64"/>
  <c r="CQ37" i="64"/>
  <c r="CR37" i="64"/>
  <c r="CS37" i="64"/>
  <c r="CT37" i="64"/>
  <c r="CU37" i="64"/>
  <c r="CV37" i="64"/>
  <c r="CW37" i="64"/>
  <c r="CD38" i="64"/>
  <c r="CE38" i="64"/>
  <c r="CG38" i="64"/>
  <c r="CH38" i="64"/>
  <c r="CI38" i="64"/>
  <c r="CJ38" i="64"/>
  <c r="CM38" i="64"/>
  <c r="CN38" i="64"/>
  <c r="CO38" i="64"/>
  <c r="CP38" i="64"/>
  <c r="CQ38" i="64"/>
  <c r="CR38" i="64"/>
  <c r="CS38" i="64"/>
  <c r="CT38" i="64"/>
  <c r="CU38" i="64"/>
  <c r="CV38" i="64"/>
  <c r="CW38" i="64"/>
  <c r="CD39" i="64"/>
  <c r="CE39" i="64"/>
  <c r="CF39" i="64"/>
  <c r="CH39" i="64"/>
  <c r="CI39" i="64"/>
  <c r="CJ39" i="64"/>
  <c r="CK39" i="64"/>
  <c r="CM39" i="64"/>
  <c r="CN39" i="64"/>
  <c r="CO39" i="64"/>
  <c r="CP39" i="64"/>
  <c r="CQ39" i="64"/>
  <c r="CR39" i="64"/>
  <c r="CS39" i="64"/>
  <c r="CT39" i="64"/>
  <c r="CU39" i="64"/>
  <c r="CV39" i="64"/>
  <c r="CW39" i="64"/>
  <c r="CW9" i="64"/>
  <c r="CV9" i="64"/>
  <c r="CU9" i="64"/>
  <c r="CT9" i="64"/>
  <c r="CS9" i="64"/>
  <c r="CR9" i="64"/>
  <c r="CQ9" i="64"/>
  <c r="CP9" i="64"/>
  <c r="CO9" i="64"/>
  <c r="CN9" i="64"/>
  <c r="CM9" i="64"/>
  <c r="CK9" i="64"/>
  <c r="CJ9" i="64"/>
  <c r="CI9" i="64"/>
  <c r="CH9" i="64"/>
  <c r="CG9" i="64"/>
  <c r="CF9" i="64"/>
  <c r="CD9" i="64"/>
  <c r="CE10" i="63"/>
  <c r="CF10" i="63"/>
  <c r="CG10" i="63"/>
  <c r="CH10" i="63"/>
  <c r="CI10" i="63"/>
  <c r="CJ10" i="63"/>
  <c r="CK10" i="63"/>
  <c r="CM10" i="63"/>
  <c r="CN10" i="63"/>
  <c r="CO10" i="63"/>
  <c r="CP10" i="63"/>
  <c r="CQ10" i="63"/>
  <c r="CR10" i="63"/>
  <c r="CS10" i="63"/>
  <c r="CT10" i="63"/>
  <c r="CU10" i="63"/>
  <c r="CV10" i="63"/>
  <c r="CW10" i="63"/>
  <c r="CD11" i="63"/>
  <c r="CF11" i="63"/>
  <c r="CG11" i="63"/>
  <c r="CH11" i="63"/>
  <c r="CI11" i="63"/>
  <c r="CJ11" i="63"/>
  <c r="CK11" i="63"/>
  <c r="CM11" i="63"/>
  <c r="CN11" i="63"/>
  <c r="CO11" i="63"/>
  <c r="CP11" i="63"/>
  <c r="CQ11" i="63"/>
  <c r="CR11" i="63"/>
  <c r="CS11" i="63"/>
  <c r="CT11" i="63"/>
  <c r="CU11" i="63"/>
  <c r="CV11" i="63"/>
  <c r="CW11" i="63"/>
  <c r="CD12" i="63"/>
  <c r="CE12" i="63"/>
  <c r="CG12" i="63"/>
  <c r="CH12" i="63"/>
  <c r="CI12" i="63"/>
  <c r="CJ12" i="63"/>
  <c r="CM12" i="63"/>
  <c r="CN12" i="63"/>
  <c r="CO12" i="63"/>
  <c r="CP12" i="63"/>
  <c r="CQ12" i="63"/>
  <c r="CR12" i="63"/>
  <c r="CS12" i="63"/>
  <c r="CT12" i="63"/>
  <c r="CU12" i="63"/>
  <c r="CV12" i="63"/>
  <c r="CW12" i="63"/>
  <c r="CD13" i="63"/>
  <c r="CE13" i="63"/>
  <c r="CF13" i="63"/>
  <c r="CH13" i="63"/>
  <c r="CI13" i="63"/>
  <c r="CJ13" i="63"/>
  <c r="CK13" i="63"/>
  <c r="CM13" i="63"/>
  <c r="CN13" i="63"/>
  <c r="CO13" i="63"/>
  <c r="CP13" i="63"/>
  <c r="CQ13" i="63"/>
  <c r="CR13" i="63"/>
  <c r="CS13" i="63"/>
  <c r="CT13" i="63"/>
  <c r="CU13" i="63"/>
  <c r="CV13" i="63"/>
  <c r="CW13" i="63"/>
  <c r="CD14" i="63"/>
  <c r="CE14" i="63"/>
  <c r="CF14" i="63"/>
  <c r="CG14" i="63"/>
  <c r="CI14" i="63"/>
  <c r="CJ14" i="63"/>
  <c r="CK14" i="63"/>
  <c r="CM14" i="63"/>
  <c r="CN14" i="63"/>
  <c r="CO14" i="63"/>
  <c r="CP14" i="63"/>
  <c r="CQ14" i="63"/>
  <c r="CR14" i="63"/>
  <c r="CS14" i="63"/>
  <c r="CT14" i="63"/>
  <c r="CU14" i="63"/>
  <c r="CV14" i="63"/>
  <c r="CW14" i="63"/>
  <c r="CD15" i="63"/>
  <c r="CE15" i="63"/>
  <c r="CF15" i="63"/>
  <c r="CG15" i="63"/>
  <c r="CH15" i="63"/>
  <c r="CI15" i="63"/>
  <c r="CJ15" i="63"/>
  <c r="CK15" i="63"/>
  <c r="CM15" i="63"/>
  <c r="CN15" i="63"/>
  <c r="CO15" i="63"/>
  <c r="CP15" i="63"/>
  <c r="CQ15" i="63"/>
  <c r="CR15" i="63"/>
  <c r="CS15" i="63"/>
  <c r="CT15" i="63"/>
  <c r="CU15" i="63"/>
  <c r="CV15" i="63"/>
  <c r="CW15" i="63"/>
  <c r="CD16" i="63"/>
  <c r="CE16" i="63"/>
  <c r="CF16" i="63"/>
  <c r="CG16" i="63"/>
  <c r="CH16" i="63"/>
  <c r="CI16" i="63"/>
  <c r="CJ16" i="63"/>
  <c r="CK16" i="63"/>
  <c r="CM16" i="63"/>
  <c r="CN16" i="63"/>
  <c r="CO16" i="63"/>
  <c r="CP16" i="63"/>
  <c r="CQ16" i="63"/>
  <c r="CR16" i="63"/>
  <c r="CS16" i="63"/>
  <c r="CT16" i="63"/>
  <c r="CU16" i="63"/>
  <c r="CV16" i="63"/>
  <c r="CW16" i="63"/>
  <c r="CE17" i="63"/>
  <c r="CF17" i="63"/>
  <c r="CG17" i="63"/>
  <c r="CH17" i="63"/>
  <c r="CI17" i="63"/>
  <c r="CJ17" i="63"/>
  <c r="CK17" i="63"/>
  <c r="CM17" i="63"/>
  <c r="CN17" i="63"/>
  <c r="CO17" i="63"/>
  <c r="CP17" i="63"/>
  <c r="CQ17" i="63"/>
  <c r="CR17" i="63"/>
  <c r="CS17" i="63"/>
  <c r="CT17" i="63"/>
  <c r="CU17" i="63"/>
  <c r="CV17" i="63"/>
  <c r="CW17" i="63"/>
  <c r="CD18" i="63"/>
  <c r="CF18" i="63"/>
  <c r="CG18" i="63"/>
  <c r="CH18" i="63"/>
  <c r="CI18" i="63"/>
  <c r="CJ18" i="63"/>
  <c r="CK18" i="63"/>
  <c r="CM18" i="63"/>
  <c r="CN18" i="63"/>
  <c r="CO18" i="63"/>
  <c r="CP18" i="63"/>
  <c r="CQ18" i="63"/>
  <c r="CR18" i="63"/>
  <c r="CS18" i="63"/>
  <c r="CT18" i="63"/>
  <c r="CU18" i="63"/>
  <c r="CV18" i="63"/>
  <c r="CW18" i="63"/>
  <c r="CD19" i="63"/>
  <c r="CE19" i="63"/>
  <c r="CG19" i="63"/>
  <c r="CH19" i="63"/>
  <c r="CI19" i="63"/>
  <c r="CJ19" i="63"/>
  <c r="CM19" i="63"/>
  <c r="CN19" i="63"/>
  <c r="CO19" i="63"/>
  <c r="CP19" i="63"/>
  <c r="CQ19" i="63"/>
  <c r="CR19" i="63"/>
  <c r="CS19" i="63"/>
  <c r="CT19" i="63"/>
  <c r="CU19" i="63"/>
  <c r="CV19" i="63"/>
  <c r="CW19" i="63"/>
  <c r="CD20" i="63"/>
  <c r="CE20" i="63"/>
  <c r="CF20" i="63"/>
  <c r="CH20" i="63"/>
  <c r="CI20" i="63"/>
  <c r="CJ20" i="63"/>
  <c r="CK20" i="63"/>
  <c r="CM20" i="63"/>
  <c r="CN20" i="63"/>
  <c r="CO20" i="63"/>
  <c r="CP20" i="63"/>
  <c r="CQ20" i="63"/>
  <c r="CR20" i="63"/>
  <c r="CS20" i="63"/>
  <c r="CT20" i="63"/>
  <c r="CU20" i="63"/>
  <c r="CV20" i="63"/>
  <c r="CW20" i="63"/>
  <c r="CD21" i="63"/>
  <c r="CE21" i="63"/>
  <c r="CF21" i="63"/>
  <c r="CG21" i="63"/>
  <c r="CI21" i="63"/>
  <c r="CJ21" i="63"/>
  <c r="CK21" i="63"/>
  <c r="CM21" i="63"/>
  <c r="CN21" i="63"/>
  <c r="CO21" i="63"/>
  <c r="CP21" i="63"/>
  <c r="CQ21" i="63"/>
  <c r="CR21" i="63"/>
  <c r="CS21" i="63"/>
  <c r="CT21" i="63"/>
  <c r="CU21" i="63"/>
  <c r="CV21" i="63"/>
  <c r="CW21" i="63"/>
  <c r="CD22" i="63"/>
  <c r="CE22" i="63"/>
  <c r="CF22" i="63"/>
  <c r="CG22" i="63"/>
  <c r="CH22" i="63"/>
  <c r="CI22" i="63"/>
  <c r="CJ22" i="63"/>
  <c r="CK22" i="63"/>
  <c r="CM22" i="63"/>
  <c r="CN22" i="63"/>
  <c r="CO22" i="63"/>
  <c r="CP22" i="63"/>
  <c r="CQ22" i="63"/>
  <c r="CR22" i="63"/>
  <c r="CS22" i="63"/>
  <c r="CT22" i="63"/>
  <c r="CU22" i="63"/>
  <c r="CV22" i="63"/>
  <c r="CW22" i="63"/>
  <c r="CD23" i="63"/>
  <c r="CE23" i="63"/>
  <c r="CF23" i="63"/>
  <c r="CG23" i="63"/>
  <c r="CH23" i="63"/>
  <c r="CI23" i="63"/>
  <c r="CJ23" i="63"/>
  <c r="CK23" i="63"/>
  <c r="CM23" i="63"/>
  <c r="CN23" i="63"/>
  <c r="CO23" i="63"/>
  <c r="CP23" i="63"/>
  <c r="CQ23" i="63"/>
  <c r="CR23" i="63"/>
  <c r="CS23" i="63"/>
  <c r="CT23" i="63"/>
  <c r="CU23" i="63"/>
  <c r="CV23" i="63"/>
  <c r="CW23" i="63"/>
  <c r="CE24" i="63"/>
  <c r="CF24" i="63"/>
  <c r="CG24" i="63"/>
  <c r="CH24" i="63"/>
  <c r="CI24" i="63"/>
  <c r="CJ24" i="63"/>
  <c r="CK24" i="63"/>
  <c r="CM24" i="63"/>
  <c r="CN24" i="63"/>
  <c r="CO24" i="63"/>
  <c r="CP24" i="63"/>
  <c r="CQ24" i="63"/>
  <c r="CR24" i="63"/>
  <c r="CS24" i="63"/>
  <c r="CT24" i="63"/>
  <c r="CU24" i="63"/>
  <c r="CV24" i="63"/>
  <c r="CW24" i="63"/>
  <c r="CD25" i="63"/>
  <c r="CF25" i="63"/>
  <c r="CG25" i="63"/>
  <c r="CH25" i="63"/>
  <c r="CI25" i="63"/>
  <c r="CJ25" i="63"/>
  <c r="CK25" i="63"/>
  <c r="CM25" i="63"/>
  <c r="CN25" i="63"/>
  <c r="CO25" i="63"/>
  <c r="CP25" i="63"/>
  <c r="CQ25" i="63"/>
  <c r="CR25" i="63"/>
  <c r="CS25" i="63"/>
  <c r="CT25" i="63"/>
  <c r="CU25" i="63"/>
  <c r="CV25" i="63"/>
  <c r="CW25" i="63"/>
  <c r="CD26" i="63"/>
  <c r="CE26" i="63"/>
  <c r="CG26" i="63"/>
  <c r="CH26" i="63"/>
  <c r="CI26" i="63"/>
  <c r="CJ26" i="63"/>
  <c r="CM26" i="63"/>
  <c r="CN26" i="63"/>
  <c r="CO26" i="63"/>
  <c r="CP26" i="63"/>
  <c r="CQ26" i="63"/>
  <c r="CR26" i="63"/>
  <c r="CS26" i="63"/>
  <c r="CT26" i="63"/>
  <c r="CU26" i="63"/>
  <c r="CV26" i="63"/>
  <c r="CW26" i="63"/>
  <c r="CD27" i="63"/>
  <c r="CE27" i="63"/>
  <c r="CF27" i="63"/>
  <c r="CH27" i="63"/>
  <c r="CI27" i="63"/>
  <c r="CJ27" i="63"/>
  <c r="CK27" i="63"/>
  <c r="CM27" i="63"/>
  <c r="CN27" i="63"/>
  <c r="CO27" i="63"/>
  <c r="CP27" i="63"/>
  <c r="CQ27" i="63"/>
  <c r="CR27" i="63"/>
  <c r="CS27" i="63"/>
  <c r="CT27" i="63"/>
  <c r="CU27" i="63"/>
  <c r="CV27" i="63"/>
  <c r="CW27" i="63"/>
  <c r="CD28" i="63"/>
  <c r="CE28" i="63"/>
  <c r="CF28" i="63"/>
  <c r="CG28" i="63"/>
  <c r="CI28" i="63"/>
  <c r="CJ28" i="63"/>
  <c r="CK28" i="63"/>
  <c r="CM28" i="63"/>
  <c r="CN28" i="63"/>
  <c r="CO28" i="63"/>
  <c r="CP28" i="63"/>
  <c r="CQ28" i="63"/>
  <c r="CR28" i="63"/>
  <c r="CS28" i="63"/>
  <c r="CT28" i="63"/>
  <c r="CU28" i="63"/>
  <c r="CV28" i="63"/>
  <c r="CW28" i="63"/>
  <c r="CD29" i="63"/>
  <c r="CE29" i="63"/>
  <c r="CF29" i="63"/>
  <c r="CG29" i="63"/>
  <c r="CH29" i="63"/>
  <c r="CI29" i="63"/>
  <c r="CJ29" i="63"/>
  <c r="CK29" i="63"/>
  <c r="CM29" i="63"/>
  <c r="CN29" i="63"/>
  <c r="CO29" i="63"/>
  <c r="CP29" i="63"/>
  <c r="CQ29" i="63"/>
  <c r="CR29" i="63"/>
  <c r="CS29" i="63"/>
  <c r="CT29" i="63"/>
  <c r="CU29" i="63"/>
  <c r="CV29" i="63"/>
  <c r="CW29" i="63"/>
  <c r="CD30" i="63"/>
  <c r="CE30" i="63"/>
  <c r="CF30" i="63"/>
  <c r="CG30" i="63"/>
  <c r="CH30" i="63"/>
  <c r="CI30" i="63"/>
  <c r="CJ30" i="63"/>
  <c r="CK30" i="63"/>
  <c r="CM30" i="63"/>
  <c r="CN30" i="63"/>
  <c r="CO30" i="63"/>
  <c r="CP30" i="63"/>
  <c r="CQ30" i="63"/>
  <c r="CR30" i="63"/>
  <c r="CS30" i="63"/>
  <c r="CT30" i="63"/>
  <c r="CU30" i="63"/>
  <c r="CV30" i="63"/>
  <c r="CW30" i="63"/>
  <c r="CE31" i="63"/>
  <c r="CF31" i="63"/>
  <c r="CG31" i="63"/>
  <c r="CH31" i="63"/>
  <c r="CI31" i="63"/>
  <c r="CJ31" i="63"/>
  <c r="CK31" i="63"/>
  <c r="CM31" i="63"/>
  <c r="CN31" i="63"/>
  <c r="CO31" i="63"/>
  <c r="CP31" i="63"/>
  <c r="CQ31" i="63"/>
  <c r="CR31" i="63"/>
  <c r="CS31" i="63"/>
  <c r="CT31" i="63"/>
  <c r="CU31" i="63"/>
  <c r="CV31" i="63"/>
  <c r="CW31" i="63"/>
  <c r="CD32" i="63"/>
  <c r="CF32" i="63"/>
  <c r="CG32" i="63"/>
  <c r="CH32" i="63"/>
  <c r="CI32" i="63"/>
  <c r="CJ32" i="63"/>
  <c r="CK32" i="63"/>
  <c r="CM32" i="63"/>
  <c r="CN32" i="63"/>
  <c r="CO32" i="63"/>
  <c r="CP32" i="63"/>
  <c r="CQ32" i="63"/>
  <c r="CR32" i="63"/>
  <c r="CS32" i="63"/>
  <c r="CT32" i="63"/>
  <c r="CU32" i="63"/>
  <c r="CV32" i="63"/>
  <c r="CW32" i="63"/>
  <c r="CD33" i="63"/>
  <c r="CE33" i="63"/>
  <c r="CG33" i="63"/>
  <c r="CH33" i="63"/>
  <c r="CI33" i="63"/>
  <c r="CJ33" i="63"/>
  <c r="CM33" i="63"/>
  <c r="CN33" i="63"/>
  <c r="CO33" i="63"/>
  <c r="CP33" i="63"/>
  <c r="CQ33" i="63"/>
  <c r="CR33" i="63"/>
  <c r="CS33" i="63"/>
  <c r="CT33" i="63"/>
  <c r="CU33" i="63"/>
  <c r="CV33" i="63"/>
  <c r="CW33" i="63"/>
  <c r="CD34" i="63"/>
  <c r="CE34" i="63"/>
  <c r="CF34" i="63"/>
  <c r="CH34" i="63"/>
  <c r="CI34" i="63"/>
  <c r="CJ34" i="63"/>
  <c r="CK34" i="63"/>
  <c r="CM34" i="63"/>
  <c r="CN34" i="63"/>
  <c r="CO34" i="63"/>
  <c r="CP34" i="63"/>
  <c r="CQ34" i="63"/>
  <c r="CR34" i="63"/>
  <c r="CS34" i="63"/>
  <c r="CT34" i="63"/>
  <c r="CU34" i="63"/>
  <c r="CV34" i="63"/>
  <c r="CW34" i="63"/>
  <c r="CD35" i="63"/>
  <c r="CE35" i="63"/>
  <c r="CF35" i="63"/>
  <c r="CG35" i="63"/>
  <c r="CI35" i="63"/>
  <c r="CJ35" i="63"/>
  <c r="CK35" i="63"/>
  <c r="CM35" i="63"/>
  <c r="CN35" i="63"/>
  <c r="CO35" i="63"/>
  <c r="CP35" i="63"/>
  <c r="CQ35" i="63"/>
  <c r="CR35" i="63"/>
  <c r="CS35" i="63"/>
  <c r="CT35" i="63"/>
  <c r="CU35" i="63"/>
  <c r="CV35" i="63"/>
  <c r="CW35" i="63"/>
  <c r="CD36" i="63"/>
  <c r="CE36" i="63"/>
  <c r="CF36" i="63"/>
  <c r="CG36" i="63"/>
  <c r="CH36" i="63"/>
  <c r="CI36" i="63"/>
  <c r="CJ36" i="63"/>
  <c r="CK36" i="63"/>
  <c r="CM36" i="63"/>
  <c r="CN36" i="63"/>
  <c r="CO36" i="63"/>
  <c r="CP36" i="63"/>
  <c r="CQ36" i="63"/>
  <c r="CR36" i="63"/>
  <c r="CS36" i="63"/>
  <c r="CT36" i="63"/>
  <c r="CU36" i="63"/>
  <c r="CV36" i="63"/>
  <c r="CW36" i="63"/>
  <c r="CD37" i="63"/>
  <c r="CE37" i="63"/>
  <c r="CF37" i="63"/>
  <c r="CG37" i="63"/>
  <c r="CH37" i="63"/>
  <c r="CI37" i="63"/>
  <c r="CJ37" i="63"/>
  <c r="CK37" i="63"/>
  <c r="CM37" i="63"/>
  <c r="CN37" i="63"/>
  <c r="CO37" i="63"/>
  <c r="CP37" i="63"/>
  <c r="CQ37" i="63"/>
  <c r="CR37" i="63"/>
  <c r="CS37" i="63"/>
  <c r="CT37" i="63"/>
  <c r="CU37" i="63"/>
  <c r="CV37" i="63"/>
  <c r="CW37" i="63"/>
  <c r="CE38" i="63"/>
  <c r="CF38" i="63"/>
  <c r="CG38" i="63"/>
  <c r="CH38" i="63"/>
  <c r="CI38" i="63"/>
  <c r="CJ38" i="63"/>
  <c r="CK38" i="63"/>
  <c r="CM38" i="63"/>
  <c r="CN38" i="63"/>
  <c r="CO38" i="63"/>
  <c r="CP38" i="63"/>
  <c r="CQ38" i="63"/>
  <c r="CR38" i="63"/>
  <c r="CS38" i="63"/>
  <c r="CT38" i="63"/>
  <c r="CU38" i="63"/>
  <c r="CV38" i="63"/>
  <c r="CW38" i="63"/>
  <c r="CW9" i="63"/>
  <c r="CV9" i="63"/>
  <c r="CU9" i="63"/>
  <c r="CT9" i="63"/>
  <c r="CS9" i="63"/>
  <c r="CR9" i="63"/>
  <c r="CQ9" i="63"/>
  <c r="CP9" i="63"/>
  <c r="CO9" i="63"/>
  <c r="CN9" i="63"/>
  <c r="CM9" i="63"/>
  <c r="CK9" i="63"/>
  <c r="CJ9" i="63"/>
  <c r="CI9" i="63"/>
  <c r="CH9" i="63"/>
  <c r="CG9" i="63"/>
  <c r="CF9" i="63"/>
  <c r="CE9" i="63"/>
  <c r="CD9" i="63"/>
  <c r="CD11" i="41"/>
  <c r="CE11" i="41"/>
  <c r="CF11" i="41"/>
  <c r="CG11" i="41"/>
  <c r="CH11" i="41"/>
  <c r="CI11" i="41"/>
  <c r="CJ11" i="41"/>
  <c r="CK11" i="41"/>
  <c r="CM11" i="41"/>
  <c r="CN11" i="41"/>
  <c r="CO11" i="41"/>
  <c r="CP11" i="41"/>
  <c r="CQ11" i="41"/>
  <c r="CR11" i="41"/>
  <c r="CS11" i="41"/>
  <c r="CT11" i="41"/>
  <c r="CU11" i="41"/>
  <c r="CV11" i="41"/>
  <c r="CW11" i="41"/>
  <c r="CD12" i="41"/>
  <c r="CE12" i="41"/>
  <c r="CF12" i="41"/>
  <c r="CG12" i="41"/>
  <c r="CH12" i="41"/>
  <c r="CI12" i="41"/>
  <c r="CJ12" i="41"/>
  <c r="CK12" i="41"/>
  <c r="CM12" i="41"/>
  <c r="CN12" i="41"/>
  <c r="CO12" i="41"/>
  <c r="CP12" i="41"/>
  <c r="CQ12" i="41"/>
  <c r="CR12" i="41"/>
  <c r="CS12" i="41"/>
  <c r="CT12" i="41"/>
  <c r="CU12" i="41"/>
  <c r="CV12" i="41"/>
  <c r="CW12" i="41"/>
  <c r="CD13" i="41"/>
  <c r="CE13" i="41"/>
  <c r="CF13" i="41"/>
  <c r="CG13" i="41"/>
  <c r="CH13" i="41"/>
  <c r="CI13" i="41"/>
  <c r="CJ13" i="41"/>
  <c r="CK13" i="41"/>
  <c r="CM13" i="41"/>
  <c r="CN13" i="41"/>
  <c r="CO13" i="41"/>
  <c r="CP13" i="41"/>
  <c r="CQ13" i="41"/>
  <c r="CR13" i="41"/>
  <c r="CS13" i="41"/>
  <c r="CT13" i="41"/>
  <c r="CU13" i="41"/>
  <c r="CV13" i="41"/>
  <c r="CW13" i="41"/>
  <c r="CD14" i="41"/>
  <c r="CE14" i="41"/>
  <c r="CF14" i="41"/>
  <c r="CG14" i="41"/>
  <c r="CH14" i="41"/>
  <c r="CI14" i="41"/>
  <c r="CJ14" i="41"/>
  <c r="CK14" i="41"/>
  <c r="CM14" i="41"/>
  <c r="CN14" i="41"/>
  <c r="CO14" i="41"/>
  <c r="CP14" i="41"/>
  <c r="CQ14" i="41"/>
  <c r="CR14" i="41"/>
  <c r="CS14" i="41"/>
  <c r="CT14" i="41"/>
  <c r="CU14" i="41"/>
  <c r="CV14" i="41"/>
  <c r="CW14" i="41"/>
  <c r="CD15" i="41"/>
  <c r="CE15" i="41"/>
  <c r="CF15" i="41"/>
  <c r="CG15" i="41"/>
  <c r="CH15" i="41"/>
  <c r="CI15" i="41"/>
  <c r="CJ15" i="41"/>
  <c r="CK15" i="41"/>
  <c r="CM15" i="41"/>
  <c r="CN15" i="41"/>
  <c r="CO15" i="41"/>
  <c r="CP15" i="41"/>
  <c r="CQ15" i="41"/>
  <c r="CR15" i="41"/>
  <c r="CS15" i="41"/>
  <c r="CT15" i="41"/>
  <c r="CU15" i="41"/>
  <c r="CV15" i="41"/>
  <c r="CW15" i="41"/>
  <c r="CD16" i="41"/>
  <c r="CE16" i="41"/>
  <c r="CF16" i="41"/>
  <c r="CG16" i="41"/>
  <c r="CH16" i="41"/>
  <c r="CI16" i="41"/>
  <c r="CJ16" i="41"/>
  <c r="CK16" i="41"/>
  <c r="CM16" i="41"/>
  <c r="CN16" i="41"/>
  <c r="CO16" i="41"/>
  <c r="CP16" i="41"/>
  <c r="CQ16" i="41"/>
  <c r="CR16" i="41"/>
  <c r="CS16" i="41"/>
  <c r="CT16" i="41"/>
  <c r="CU16" i="41"/>
  <c r="CV16" i="41"/>
  <c r="CW16" i="41"/>
  <c r="CD17" i="41"/>
  <c r="CE17" i="41"/>
  <c r="CF17" i="41"/>
  <c r="CG17" i="41"/>
  <c r="CH17" i="41"/>
  <c r="CI17" i="41"/>
  <c r="CJ17" i="41"/>
  <c r="CK17" i="41"/>
  <c r="CM17" i="41"/>
  <c r="CN17" i="41"/>
  <c r="CO17" i="41"/>
  <c r="CP17" i="41"/>
  <c r="CQ17" i="41"/>
  <c r="CR17" i="41"/>
  <c r="CS17" i="41"/>
  <c r="CT17" i="41"/>
  <c r="CU17" i="41"/>
  <c r="CV17" i="41"/>
  <c r="CW17" i="41"/>
  <c r="CD18" i="41"/>
  <c r="CE18" i="41"/>
  <c r="CF18" i="41"/>
  <c r="CG18" i="41"/>
  <c r="CH18" i="41"/>
  <c r="CI18" i="41"/>
  <c r="CJ18" i="41"/>
  <c r="CK18" i="41"/>
  <c r="CM18" i="41"/>
  <c r="CN18" i="41"/>
  <c r="CO18" i="41"/>
  <c r="CP18" i="41"/>
  <c r="CQ18" i="41"/>
  <c r="CR18" i="41"/>
  <c r="CS18" i="41"/>
  <c r="CT18" i="41"/>
  <c r="CU18" i="41"/>
  <c r="CV18" i="41"/>
  <c r="CW18" i="41"/>
  <c r="CD19" i="41"/>
  <c r="CE19" i="41"/>
  <c r="CF19" i="41"/>
  <c r="CG19" i="41"/>
  <c r="CH19" i="41"/>
  <c r="CI19" i="41"/>
  <c r="CJ19" i="41"/>
  <c r="CK19" i="41"/>
  <c r="CM19" i="41"/>
  <c r="CN19" i="41"/>
  <c r="CO19" i="41"/>
  <c r="CP19" i="41"/>
  <c r="CQ19" i="41"/>
  <c r="CR19" i="41"/>
  <c r="CS19" i="41"/>
  <c r="CT19" i="41"/>
  <c r="CU19" i="41"/>
  <c r="CV19" i="41"/>
  <c r="CW19" i="41"/>
  <c r="CD20" i="41"/>
  <c r="CE20" i="41"/>
  <c r="CF20" i="41"/>
  <c r="CG20" i="41"/>
  <c r="CH20" i="41"/>
  <c r="CI20" i="41"/>
  <c r="CJ20" i="41"/>
  <c r="CK20" i="41"/>
  <c r="CM20" i="41"/>
  <c r="CN20" i="41"/>
  <c r="CO20" i="41"/>
  <c r="CP20" i="41"/>
  <c r="CQ20" i="41"/>
  <c r="CR20" i="41"/>
  <c r="CS20" i="41"/>
  <c r="CT20" i="41"/>
  <c r="CU20" i="41"/>
  <c r="CV20" i="41"/>
  <c r="CW20" i="41"/>
  <c r="CE21" i="41"/>
  <c r="CF21" i="41"/>
  <c r="CG21" i="41"/>
  <c r="CH21" i="41"/>
  <c r="CI21" i="41"/>
  <c r="CJ21" i="41"/>
  <c r="CK21" i="41"/>
  <c r="CM21" i="41"/>
  <c r="CO21" i="41"/>
  <c r="CP21" i="41"/>
  <c r="CQ21" i="41"/>
  <c r="CR21" i="41"/>
  <c r="CT21" i="41"/>
  <c r="CU21" i="41"/>
  <c r="CV21" i="41"/>
  <c r="CW21" i="41"/>
  <c r="CD22" i="41"/>
  <c r="CE22" i="41"/>
  <c r="CF22" i="41"/>
  <c r="CG22" i="41"/>
  <c r="CH22" i="41"/>
  <c r="CI22" i="41"/>
  <c r="CK22" i="41"/>
  <c r="CM22" i="41"/>
  <c r="CN22" i="41"/>
  <c r="CP22" i="41"/>
  <c r="CQ22" i="41"/>
  <c r="CR22" i="41"/>
  <c r="CS22" i="41"/>
  <c r="CU22" i="41"/>
  <c r="CV22" i="41"/>
  <c r="CW22" i="41"/>
  <c r="CD23" i="41"/>
  <c r="CE23" i="41"/>
  <c r="CG23" i="41"/>
  <c r="CH23" i="41"/>
  <c r="CI23" i="41"/>
  <c r="CJ23" i="41"/>
  <c r="CM23" i="41"/>
  <c r="CN23" i="41"/>
  <c r="CO23" i="41"/>
  <c r="CQ23" i="41"/>
  <c r="CR23" i="41"/>
  <c r="CS23" i="41"/>
  <c r="CT23" i="41"/>
  <c r="CV23" i="41"/>
  <c r="CW23" i="41"/>
  <c r="CD24" i="41"/>
  <c r="CE24" i="41"/>
  <c r="CF24" i="41"/>
  <c r="CH24" i="41"/>
  <c r="CI24" i="41"/>
  <c r="CJ24" i="41"/>
  <c r="CK24" i="41"/>
  <c r="CM24" i="41"/>
  <c r="CN24" i="41"/>
  <c r="CO24" i="41"/>
  <c r="CP24" i="41"/>
  <c r="CR24" i="41"/>
  <c r="CS24" i="41"/>
  <c r="CT24" i="41"/>
  <c r="CU24" i="41"/>
  <c r="CV24" i="41"/>
  <c r="CW24" i="41"/>
  <c r="CD25" i="41"/>
  <c r="CE25" i="41"/>
  <c r="CF25" i="41"/>
  <c r="CG25" i="41"/>
  <c r="CI25" i="41"/>
  <c r="CJ25" i="41"/>
  <c r="CK25" i="41"/>
  <c r="CN25" i="41"/>
  <c r="CO25" i="41"/>
  <c r="CP25" i="41"/>
  <c r="CQ25" i="41"/>
  <c r="CS25" i="41"/>
  <c r="CT25" i="41"/>
  <c r="CU25" i="41"/>
  <c r="CV25" i="41"/>
  <c r="CD26" i="41"/>
  <c r="CE26" i="41"/>
  <c r="CF26" i="41"/>
  <c r="CG26" i="41"/>
  <c r="CH26" i="41"/>
  <c r="CI26" i="41"/>
  <c r="CJ26" i="41"/>
  <c r="CK26" i="41"/>
  <c r="CM26" i="41"/>
  <c r="CN26" i="41"/>
  <c r="CO26" i="41"/>
  <c r="CP26" i="41"/>
  <c r="CQ26" i="41"/>
  <c r="CR26" i="41"/>
  <c r="CS26" i="41"/>
  <c r="CT26" i="41"/>
  <c r="CU26" i="41"/>
  <c r="CV26" i="41"/>
  <c r="CW26" i="41"/>
  <c r="CD27" i="41"/>
  <c r="CE27" i="41"/>
  <c r="CF27" i="41"/>
  <c r="CG27" i="41"/>
  <c r="CH27" i="41"/>
  <c r="CI27" i="41"/>
  <c r="CJ27" i="41"/>
  <c r="CK27" i="41"/>
  <c r="CM27" i="41"/>
  <c r="CN27" i="41"/>
  <c r="CO27" i="41"/>
  <c r="CP27" i="41"/>
  <c r="CQ27" i="41"/>
  <c r="CR27" i="41"/>
  <c r="CS27" i="41"/>
  <c r="CT27" i="41"/>
  <c r="CU27" i="41"/>
  <c r="CV27" i="41"/>
  <c r="CW27" i="41"/>
  <c r="CE28" i="41"/>
  <c r="CF28" i="41"/>
  <c r="CG28" i="41"/>
  <c r="CH28" i="41"/>
  <c r="CI28" i="41"/>
  <c r="CJ28" i="41"/>
  <c r="CK28" i="41"/>
  <c r="CM28" i="41"/>
  <c r="CO28" i="41"/>
  <c r="CP28" i="41"/>
  <c r="CQ28" i="41"/>
  <c r="CR28" i="41"/>
  <c r="CT28" i="41"/>
  <c r="CU28" i="41"/>
  <c r="CV28" i="41"/>
  <c r="CW28" i="41"/>
  <c r="CD29" i="41"/>
  <c r="CF29" i="41"/>
  <c r="CG29" i="41"/>
  <c r="CH29" i="41"/>
  <c r="CI29" i="41"/>
  <c r="CK29" i="41"/>
  <c r="CM29" i="41"/>
  <c r="CN29" i="41"/>
  <c r="CP29" i="41"/>
  <c r="CQ29" i="41"/>
  <c r="CR29" i="41"/>
  <c r="CS29" i="41"/>
  <c r="CU29" i="41"/>
  <c r="CV29" i="41"/>
  <c r="CW29" i="41"/>
  <c r="CD30" i="41"/>
  <c r="CE30" i="41"/>
  <c r="CG30" i="41"/>
  <c r="CH30" i="41"/>
  <c r="CI30" i="41"/>
  <c r="CJ30" i="41"/>
  <c r="CM30" i="41"/>
  <c r="CN30" i="41"/>
  <c r="CO30" i="41"/>
  <c r="CQ30" i="41"/>
  <c r="CR30" i="41"/>
  <c r="CS30" i="41"/>
  <c r="CT30" i="41"/>
  <c r="CV30" i="41"/>
  <c r="CW30" i="41"/>
  <c r="CD31" i="41"/>
  <c r="CE31" i="41"/>
  <c r="CF31" i="41"/>
  <c r="CH31" i="41"/>
  <c r="CI31" i="41"/>
  <c r="CJ31" i="41"/>
  <c r="CK31" i="41"/>
  <c r="CM31" i="41"/>
  <c r="CN31" i="41"/>
  <c r="CO31" i="41"/>
  <c r="CP31" i="41"/>
  <c r="CR31" i="41"/>
  <c r="CS31" i="41"/>
  <c r="CT31" i="41"/>
  <c r="CU31" i="41"/>
  <c r="CW31" i="41"/>
  <c r="CD32" i="41"/>
  <c r="CE32" i="41"/>
  <c r="CF32" i="41"/>
  <c r="CG32" i="41"/>
  <c r="CI32" i="41"/>
  <c r="CJ32" i="41"/>
  <c r="CK32" i="41"/>
  <c r="CN32" i="41"/>
  <c r="CO32" i="41"/>
  <c r="CP32" i="41"/>
  <c r="CQ32" i="41"/>
  <c r="CS32" i="41"/>
  <c r="CT32" i="41"/>
  <c r="CU32" i="41"/>
  <c r="CV32" i="41"/>
  <c r="CD33" i="41"/>
  <c r="CE33" i="41"/>
  <c r="CF33" i="41"/>
  <c r="CG33" i="41"/>
  <c r="CH33" i="41"/>
  <c r="CI33" i="41"/>
  <c r="CJ33" i="41"/>
  <c r="CK33" i="41"/>
  <c r="CM33" i="41"/>
  <c r="CN33" i="41"/>
  <c r="CO33" i="41"/>
  <c r="CP33" i="41"/>
  <c r="CQ33" i="41"/>
  <c r="CR33" i="41"/>
  <c r="CS33" i="41"/>
  <c r="CT33" i="41"/>
  <c r="CU33" i="41"/>
  <c r="CV33" i="41"/>
  <c r="CW33" i="41"/>
  <c r="CD34" i="41"/>
  <c r="CE34" i="41"/>
  <c r="CF34" i="41"/>
  <c r="CG34" i="41"/>
  <c r="CH34" i="41"/>
  <c r="CI34" i="41"/>
  <c r="CJ34" i="41"/>
  <c r="CK34" i="41"/>
  <c r="CM34" i="41"/>
  <c r="CN34" i="41"/>
  <c r="CO34" i="41"/>
  <c r="CP34" i="41"/>
  <c r="CQ34" i="41"/>
  <c r="CR34" i="41"/>
  <c r="CS34" i="41"/>
  <c r="CT34" i="41"/>
  <c r="CU34" i="41"/>
  <c r="CV34" i="41"/>
  <c r="CW34" i="41"/>
  <c r="CE35" i="41"/>
  <c r="CF35" i="41"/>
  <c r="CG35" i="41"/>
  <c r="CH35" i="41"/>
  <c r="CI35" i="41"/>
  <c r="CJ35" i="41"/>
  <c r="CK35" i="41"/>
  <c r="CM35" i="41"/>
  <c r="CO35" i="41"/>
  <c r="CP35" i="41"/>
  <c r="CQ35" i="41"/>
  <c r="CR35" i="41"/>
  <c r="CT35" i="41"/>
  <c r="CU35" i="41"/>
  <c r="CV35" i="41"/>
  <c r="CW35" i="41"/>
  <c r="CD36" i="41"/>
  <c r="CF36" i="41"/>
  <c r="CG36" i="41"/>
  <c r="CH36" i="41"/>
  <c r="CI36" i="41"/>
  <c r="CK36" i="41"/>
  <c r="CM36" i="41"/>
  <c r="CN36" i="41"/>
  <c r="CP36" i="41"/>
  <c r="CQ36" i="41"/>
  <c r="CR36" i="41"/>
  <c r="CS36" i="41"/>
  <c r="CU36" i="41"/>
  <c r="CV36" i="41"/>
  <c r="CW36" i="41"/>
  <c r="CD37" i="41"/>
  <c r="CE37" i="41"/>
  <c r="CG37" i="41"/>
  <c r="CH37" i="41"/>
  <c r="CI37" i="41"/>
  <c r="CJ37" i="41"/>
  <c r="CM37" i="41"/>
  <c r="CN37" i="41"/>
  <c r="CO37" i="41"/>
  <c r="CQ37" i="41"/>
  <c r="CR37" i="41"/>
  <c r="CS37" i="41"/>
  <c r="CT37" i="41"/>
  <c r="CV37" i="41"/>
  <c r="CW37" i="41"/>
  <c r="CD38" i="41"/>
  <c r="CE38" i="41"/>
  <c r="CF38" i="41"/>
  <c r="CH38" i="41"/>
  <c r="CI38" i="41"/>
  <c r="CJ38" i="41"/>
  <c r="CK38" i="41"/>
  <c r="CM38" i="41"/>
  <c r="CN38" i="41"/>
  <c r="CO38" i="41"/>
  <c r="CP38" i="41"/>
  <c r="CR38" i="41"/>
  <c r="CS38" i="41"/>
  <c r="CT38" i="41"/>
  <c r="CU38" i="41"/>
  <c r="CW38" i="41"/>
  <c r="CD39" i="41"/>
  <c r="CE39" i="41"/>
  <c r="CF39" i="41"/>
  <c r="CG39" i="41"/>
  <c r="CI39" i="41"/>
  <c r="CJ39" i="41"/>
  <c r="CK39" i="41"/>
  <c r="CN39" i="41"/>
  <c r="CO39" i="41"/>
  <c r="CP39" i="41"/>
  <c r="CQ39" i="41"/>
  <c r="CS39" i="41"/>
  <c r="CT39" i="41"/>
  <c r="CU39" i="41"/>
  <c r="CV39" i="41"/>
  <c r="CD40" i="41"/>
  <c r="CE40" i="41"/>
  <c r="CF40" i="41"/>
  <c r="CG40" i="41"/>
  <c r="CH40" i="41"/>
  <c r="CI40" i="41"/>
  <c r="CJ40" i="41"/>
  <c r="CK40" i="41"/>
  <c r="CM40" i="41"/>
  <c r="CN40" i="41"/>
  <c r="CO40" i="41"/>
  <c r="CP40" i="41"/>
  <c r="CQ40" i="41"/>
  <c r="CR40" i="41"/>
  <c r="CS40" i="41"/>
  <c r="CT40" i="41"/>
  <c r="CU40" i="41"/>
  <c r="CV40" i="41"/>
  <c r="CW40" i="41"/>
  <c r="CW10" i="41"/>
  <c r="CV10" i="41"/>
  <c r="CU10" i="41"/>
  <c r="CT10" i="41"/>
  <c r="CS10" i="41"/>
  <c r="CR10" i="41"/>
  <c r="CQ10" i="41"/>
  <c r="CP10" i="41"/>
  <c r="CO10" i="41"/>
  <c r="CN10" i="41"/>
  <c r="CM10" i="41"/>
  <c r="CK10" i="41"/>
  <c r="CJ10" i="41"/>
  <c r="CI10" i="41"/>
  <c r="CH10" i="41"/>
  <c r="CG10" i="41"/>
  <c r="CF10" i="41"/>
  <c r="CE10" i="41"/>
  <c r="CD10" i="41"/>
  <c r="BG10" i="73"/>
  <c r="BH10" i="73"/>
  <c r="BI10" i="73"/>
  <c r="BJ10" i="73"/>
  <c r="BK10" i="73"/>
  <c r="BL10" i="73"/>
  <c r="BM10" i="73"/>
  <c r="BN10" i="73"/>
  <c r="BO10" i="73"/>
  <c r="BP10" i="73"/>
  <c r="BQ10" i="73"/>
  <c r="BR10" i="73"/>
  <c r="BS10" i="73"/>
  <c r="BT10" i="73"/>
  <c r="BU10" i="73"/>
  <c r="BV10" i="73"/>
  <c r="BW10" i="73"/>
  <c r="BX10" i="73"/>
  <c r="BY10" i="73"/>
  <c r="BZ10" i="73"/>
  <c r="BG11" i="73"/>
  <c r="BH11" i="73"/>
  <c r="BI11" i="73"/>
  <c r="BJ11" i="73"/>
  <c r="BK11" i="73"/>
  <c r="BL11" i="73"/>
  <c r="BM11" i="73"/>
  <c r="BN11" i="73"/>
  <c r="BO11" i="73"/>
  <c r="BP11" i="73"/>
  <c r="BQ11" i="73"/>
  <c r="BR11" i="73"/>
  <c r="BS11" i="73"/>
  <c r="BT11" i="73"/>
  <c r="BU11" i="73"/>
  <c r="BV11" i="73"/>
  <c r="BW11" i="73"/>
  <c r="BX11" i="73"/>
  <c r="BY11" i="73"/>
  <c r="BZ11" i="73"/>
  <c r="BG12" i="73"/>
  <c r="BH12" i="73"/>
  <c r="BI12" i="73"/>
  <c r="BJ12" i="73"/>
  <c r="BK12" i="73"/>
  <c r="BL12" i="73"/>
  <c r="BM12" i="73"/>
  <c r="BN12" i="73"/>
  <c r="BO12" i="73"/>
  <c r="BP12" i="73"/>
  <c r="BQ12" i="73"/>
  <c r="BR12" i="73"/>
  <c r="BS12" i="73"/>
  <c r="BT12" i="73"/>
  <c r="BU12" i="73"/>
  <c r="BV12" i="73"/>
  <c r="BW12" i="73"/>
  <c r="BX12" i="73"/>
  <c r="BY12" i="73"/>
  <c r="BZ12" i="73"/>
  <c r="BG13" i="73"/>
  <c r="BH13" i="73"/>
  <c r="BI13" i="73"/>
  <c r="BJ13" i="73"/>
  <c r="BK13" i="73"/>
  <c r="BL13" i="73"/>
  <c r="BM13" i="73"/>
  <c r="BN13" i="73"/>
  <c r="BO13" i="73"/>
  <c r="BP13" i="73"/>
  <c r="BQ13" i="73"/>
  <c r="BR13" i="73"/>
  <c r="BS13" i="73"/>
  <c r="BT13" i="73"/>
  <c r="BU13" i="73"/>
  <c r="BV13" i="73"/>
  <c r="BW13" i="73"/>
  <c r="BX13" i="73"/>
  <c r="BY13" i="73"/>
  <c r="BZ13" i="73"/>
  <c r="BG14" i="73"/>
  <c r="BH14" i="73"/>
  <c r="BI14" i="73"/>
  <c r="BJ14" i="73"/>
  <c r="BK14" i="73"/>
  <c r="BL14" i="73"/>
  <c r="BM14" i="73"/>
  <c r="BN14" i="73"/>
  <c r="BO14" i="73"/>
  <c r="BP14" i="73"/>
  <c r="BQ14" i="73"/>
  <c r="BR14" i="73"/>
  <c r="BS14" i="73"/>
  <c r="BT14" i="73"/>
  <c r="BU14" i="73"/>
  <c r="BV14" i="73"/>
  <c r="BW14" i="73"/>
  <c r="BX14" i="73"/>
  <c r="BY14" i="73"/>
  <c r="BZ14" i="73"/>
  <c r="BG15" i="73"/>
  <c r="BH15" i="73"/>
  <c r="BI15" i="73"/>
  <c r="BJ15" i="73"/>
  <c r="BK15" i="73"/>
  <c r="BL15" i="73"/>
  <c r="BM15" i="73"/>
  <c r="BN15" i="73"/>
  <c r="BO15" i="73"/>
  <c r="BP15" i="73"/>
  <c r="BQ15" i="73"/>
  <c r="BR15" i="73"/>
  <c r="BS15" i="73"/>
  <c r="BT15" i="73"/>
  <c r="BU15" i="73"/>
  <c r="BV15" i="73"/>
  <c r="BW15" i="73"/>
  <c r="BX15" i="73"/>
  <c r="BY15" i="73"/>
  <c r="BZ15" i="73"/>
  <c r="BG16" i="73"/>
  <c r="BH16" i="73"/>
  <c r="BI16" i="73"/>
  <c r="BJ16" i="73"/>
  <c r="BK16" i="73"/>
  <c r="BL16" i="73"/>
  <c r="BM16" i="73"/>
  <c r="BN16" i="73"/>
  <c r="BO16" i="73"/>
  <c r="BP16" i="73"/>
  <c r="BQ16" i="73"/>
  <c r="BR16" i="73"/>
  <c r="BS16" i="73"/>
  <c r="BT16" i="73"/>
  <c r="BU16" i="73"/>
  <c r="BV16" i="73"/>
  <c r="BW16" i="73"/>
  <c r="BX16" i="73"/>
  <c r="BY16" i="73"/>
  <c r="BZ16" i="73"/>
  <c r="BG17" i="73"/>
  <c r="BH17" i="73"/>
  <c r="BI17" i="73"/>
  <c r="BJ17" i="73"/>
  <c r="BK17" i="73"/>
  <c r="BL17" i="73"/>
  <c r="BM17" i="73"/>
  <c r="BN17" i="73"/>
  <c r="BO17" i="73"/>
  <c r="BP17" i="73"/>
  <c r="BQ17" i="73"/>
  <c r="BR17" i="73"/>
  <c r="BS17" i="73"/>
  <c r="BT17" i="73"/>
  <c r="BU17" i="73"/>
  <c r="BV17" i="73"/>
  <c r="BW17" i="73"/>
  <c r="BX17" i="73"/>
  <c r="BY17" i="73"/>
  <c r="BZ17" i="73"/>
  <c r="BG18" i="73"/>
  <c r="BH18" i="73"/>
  <c r="BI18" i="73"/>
  <c r="BJ18" i="73"/>
  <c r="BK18" i="73"/>
  <c r="BL18" i="73"/>
  <c r="BM18" i="73"/>
  <c r="BN18" i="73"/>
  <c r="BO18" i="73"/>
  <c r="BP18" i="73"/>
  <c r="BQ18" i="73"/>
  <c r="BR18" i="73"/>
  <c r="BS18" i="73"/>
  <c r="BT18" i="73"/>
  <c r="BU18" i="73"/>
  <c r="BV18" i="73"/>
  <c r="BW18" i="73"/>
  <c r="BX18" i="73"/>
  <c r="BY18" i="73"/>
  <c r="BZ18" i="73"/>
  <c r="BG19" i="73"/>
  <c r="BH19" i="73"/>
  <c r="BI19" i="73"/>
  <c r="BJ19" i="73"/>
  <c r="BK19" i="73"/>
  <c r="BL19" i="73"/>
  <c r="BM19" i="73"/>
  <c r="BN19" i="73"/>
  <c r="BO19" i="73"/>
  <c r="BP19" i="73"/>
  <c r="BQ19" i="73"/>
  <c r="BR19" i="73"/>
  <c r="BS19" i="73"/>
  <c r="BT19" i="73"/>
  <c r="BU19" i="73"/>
  <c r="BV19" i="73"/>
  <c r="BW19" i="73"/>
  <c r="BX19" i="73"/>
  <c r="BY19" i="73"/>
  <c r="BZ19" i="73"/>
  <c r="BG20" i="73"/>
  <c r="BH20" i="73"/>
  <c r="BI20" i="73"/>
  <c r="BJ20" i="73"/>
  <c r="BK20" i="73"/>
  <c r="BL20" i="73"/>
  <c r="BM20" i="73"/>
  <c r="BN20" i="73"/>
  <c r="BO20" i="73"/>
  <c r="BP20" i="73"/>
  <c r="BQ20" i="73"/>
  <c r="BR20" i="73"/>
  <c r="BS20" i="73"/>
  <c r="BT20" i="73"/>
  <c r="BU20" i="73"/>
  <c r="BV20" i="73"/>
  <c r="BW20" i="73"/>
  <c r="BX20" i="73"/>
  <c r="BY20" i="73"/>
  <c r="BZ20" i="73"/>
  <c r="BG21" i="73"/>
  <c r="BH21" i="73"/>
  <c r="BI21" i="73"/>
  <c r="BJ21" i="73"/>
  <c r="BK21" i="73"/>
  <c r="BL21" i="73"/>
  <c r="BM21" i="73"/>
  <c r="BN21" i="73"/>
  <c r="BO21" i="73"/>
  <c r="BP21" i="73"/>
  <c r="BQ21" i="73"/>
  <c r="BR21" i="73"/>
  <c r="BS21" i="73"/>
  <c r="BT21" i="73"/>
  <c r="BU21" i="73"/>
  <c r="BV21" i="73"/>
  <c r="BW21" i="73"/>
  <c r="BX21" i="73"/>
  <c r="BY21" i="73"/>
  <c r="BZ21" i="73"/>
  <c r="BG22" i="73"/>
  <c r="BH22" i="73"/>
  <c r="BI22" i="73"/>
  <c r="BJ22" i="73"/>
  <c r="BK22" i="73"/>
  <c r="BL22" i="73"/>
  <c r="BM22" i="73"/>
  <c r="BN22" i="73"/>
  <c r="BO22" i="73"/>
  <c r="BP22" i="73"/>
  <c r="BQ22" i="73"/>
  <c r="BR22" i="73"/>
  <c r="BS22" i="73"/>
  <c r="BT22" i="73"/>
  <c r="BU22" i="73"/>
  <c r="BV22" i="73"/>
  <c r="BW22" i="73"/>
  <c r="BX22" i="73"/>
  <c r="BY22" i="73"/>
  <c r="BZ22" i="73"/>
  <c r="BG23" i="73"/>
  <c r="BH23" i="73"/>
  <c r="BI23" i="73"/>
  <c r="BJ23" i="73"/>
  <c r="BK23" i="73"/>
  <c r="BL23" i="73"/>
  <c r="BM23" i="73"/>
  <c r="BN23" i="73"/>
  <c r="BO23" i="73"/>
  <c r="BP23" i="73"/>
  <c r="BQ23" i="73"/>
  <c r="BR23" i="73"/>
  <c r="BS23" i="73"/>
  <c r="BT23" i="73"/>
  <c r="BU23" i="73"/>
  <c r="BV23" i="73"/>
  <c r="BW23" i="73"/>
  <c r="BX23" i="73"/>
  <c r="BY23" i="73"/>
  <c r="BZ23" i="73"/>
  <c r="BG24" i="73"/>
  <c r="BH24" i="73"/>
  <c r="BI24" i="73"/>
  <c r="BJ24" i="73"/>
  <c r="BK24" i="73"/>
  <c r="BL24" i="73"/>
  <c r="BM24" i="73"/>
  <c r="BN24" i="73"/>
  <c r="BO24" i="73"/>
  <c r="BP24" i="73"/>
  <c r="BQ24" i="73"/>
  <c r="BR24" i="73"/>
  <c r="BS24" i="73"/>
  <c r="BT24" i="73"/>
  <c r="BU24" i="73"/>
  <c r="BV24" i="73"/>
  <c r="BW24" i="73"/>
  <c r="BX24" i="73"/>
  <c r="BY24" i="73"/>
  <c r="BZ24" i="73"/>
  <c r="BG25" i="73"/>
  <c r="BH25" i="73"/>
  <c r="BI25" i="73"/>
  <c r="BJ25" i="73"/>
  <c r="BK25" i="73"/>
  <c r="BL25" i="73"/>
  <c r="BM25" i="73"/>
  <c r="BN25" i="73"/>
  <c r="BO25" i="73"/>
  <c r="BP25" i="73"/>
  <c r="BQ25" i="73"/>
  <c r="BR25" i="73"/>
  <c r="BS25" i="73"/>
  <c r="BT25" i="73"/>
  <c r="BU25" i="73"/>
  <c r="BV25" i="73"/>
  <c r="BW25" i="73"/>
  <c r="BX25" i="73"/>
  <c r="BY25" i="73"/>
  <c r="BZ25" i="73"/>
  <c r="BG26" i="73"/>
  <c r="BH26" i="73"/>
  <c r="BI26" i="73"/>
  <c r="BJ26" i="73"/>
  <c r="BK26" i="73"/>
  <c r="BL26" i="73"/>
  <c r="BM26" i="73"/>
  <c r="BN26" i="73"/>
  <c r="BO26" i="73"/>
  <c r="BP26" i="73"/>
  <c r="BQ26" i="73"/>
  <c r="BR26" i="73"/>
  <c r="BS26" i="73"/>
  <c r="BT26" i="73"/>
  <c r="BU26" i="73"/>
  <c r="BV26" i="73"/>
  <c r="BW26" i="73"/>
  <c r="BX26" i="73"/>
  <c r="BY26" i="73"/>
  <c r="BZ26" i="73"/>
  <c r="BG27" i="73"/>
  <c r="BH27" i="73"/>
  <c r="BI27" i="73"/>
  <c r="BJ27" i="73"/>
  <c r="BK27" i="73"/>
  <c r="BL27" i="73"/>
  <c r="BM27" i="73"/>
  <c r="BN27" i="73"/>
  <c r="BO27" i="73"/>
  <c r="BP27" i="73"/>
  <c r="BQ27" i="73"/>
  <c r="BR27" i="73"/>
  <c r="BS27" i="73"/>
  <c r="BT27" i="73"/>
  <c r="BU27" i="73"/>
  <c r="BV27" i="73"/>
  <c r="BW27" i="73"/>
  <c r="BX27" i="73"/>
  <c r="BY27" i="73"/>
  <c r="BZ27" i="73"/>
  <c r="BG28" i="73"/>
  <c r="BH28" i="73"/>
  <c r="BI28" i="73"/>
  <c r="BJ28" i="73"/>
  <c r="BK28" i="73"/>
  <c r="BL28" i="73"/>
  <c r="BM28" i="73"/>
  <c r="BN28" i="73"/>
  <c r="BO28" i="73"/>
  <c r="BP28" i="73"/>
  <c r="BQ28" i="73"/>
  <c r="BR28" i="73"/>
  <c r="BS28" i="73"/>
  <c r="BT28" i="73"/>
  <c r="BU28" i="73"/>
  <c r="BV28" i="73"/>
  <c r="BW28" i="73"/>
  <c r="BX28" i="73"/>
  <c r="BY28" i="73"/>
  <c r="BZ28" i="73"/>
  <c r="BG29" i="73"/>
  <c r="BH29" i="73"/>
  <c r="BI29" i="73"/>
  <c r="BJ29" i="73"/>
  <c r="BK29" i="73"/>
  <c r="BL29" i="73"/>
  <c r="BM29" i="73"/>
  <c r="BN29" i="73"/>
  <c r="BO29" i="73"/>
  <c r="BP29" i="73"/>
  <c r="BQ29" i="73"/>
  <c r="BR29" i="73"/>
  <c r="BS29" i="73"/>
  <c r="BT29" i="73"/>
  <c r="BU29" i="73"/>
  <c r="BV29" i="73"/>
  <c r="BW29" i="73"/>
  <c r="BX29" i="73"/>
  <c r="BY29" i="73"/>
  <c r="BZ29" i="73"/>
  <c r="BG30" i="73"/>
  <c r="BH30" i="73"/>
  <c r="BI30" i="73"/>
  <c r="BJ30" i="73"/>
  <c r="BK30" i="73"/>
  <c r="BL30" i="73"/>
  <c r="BM30" i="73"/>
  <c r="BN30" i="73"/>
  <c r="BO30" i="73"/>
  <c r="BP30" i="73"/>
  <c r="BQ30" i="73"/>
  <c r="BR30" i="73"/>
  <c r="BS30" i="73"/>
  <c r="BT30" i="73"/>
  <c r="BU30" i="73"/>
  <c r="BV30" i="73"/>
  <c r="BW30" i="73"/>
  <c r="BX30" i="73"/>
  <c r="BY30" i="73"/>
  <c r="BZ30" i="73"/>
  <c r="BG31" i="73"/>
  <c r="BH31" i="73"/>
  <c r="BI31" i="73"/>
  <c r="BJ31" i="73"/>
  <c r="BK31" i="73"/>
  <c r="BL31" i="73"/>
  <c r="BM31" i="73"/>
  <c r="BN31" i="73"/>
  <c r="BO31" i="73"/>
  <c r="BP31" i="73"/>
  <c r="BQ31" i="73"/>
  <c r="BR31" i="73"/>
  <c r="BS31" i="73"/>
  <c r="BT31" i="73"/>
  <c r="BU31" i="73"/>
  <c r="BV31" i="73"/>
  <c r="BW31" i="73"/>
  <c r="BX31" i="73"/>
  <c r="BY31" i="73"/>
  <c r="BZ31" i="73"/>
  <c r="BG32" i="73"/>
  <c r="BH32" i="73"/>
  <c r="BI32" i="73"/>
  <c r="BJ32" i="73"/>
  <c r="BK32" i="73"/>
  <c r="BL32" i="73"/>
  <c r="BM32" i="73"/>
  <c r="BN32" i="73"/>
  <c r="BO32" i="73"/>
  <c r="BP32" i="73"/>
  <c r="BQ32" i="73"/>
  <c r="BR32" i="73"/>
  <c r="BS32" i="73"/>
  <c r="BT32" i="73"/>
  <c r="BU32" i="73"/>
  <c r="BV32" i="73"/>
  <c r="BW32" i="73"/>
  <c r="BX32" i="73"/>
  <c r="BY32" i="73"/>
  <c r="BZ32" i="73"/>
  <c r="BG33" i="73"/>
  <c r="BH33" i="73"/>
  <c r="BI33" i="73"/>
  <c r="BJ33" i="73"/>
  <c r="BK33" i="73"/>
  <c r="BL33" i="73"/>
  <c r="BM33" i="73"/>
  <c r="BN33" i="73"/>
  <c r="BO33" i="73"/>
  <c r="BP33" i="73"/>
  <c r="BQ33" i="73"/>
  <c r="BR33" i="73"/>
  <c r="BS33" i="73"/>
  <c r="BT33" i="73"/>
  <c r="BU33" i="73"/>
  <c r="BV33" i="73"/>
  <c r="BW33" i="73"/>
  <c r="BX33" i="73"/>
  <c r="BY33" i="73"/>
  <c r="BZ33" i="73"/>
  <c r="BG34" i="73"/>
  <c r="BH34" i="73"/>
  <c r="BI34" i="73"/>
  <c r="BJ34" i="73"/>
  <c r="BK34" i="73"/>
  <c r="BL34" i="73"/>
  <c r="BM34" i="73"/>
  <c r="BN34" i="73"/>
  <c r="BO34" i="73"/>
  <c r="BP34" i="73"/>
  <c r="BQ34" i="73"/>
  <c r="BR34" i="73"/>
  <c r="BS34" i="73"/>
  <c r="BT34" i="73"/>
  <c r="BU34" i="73"/>
  <c r="BV34" i="73"/>
  <c r="BW34" i="73"/>
  <c r="BX34" i="73"/>
  <c r="BY34" i="73"/>
  <c r="BZ34" i="73"/>
  <c r="BG35" i="73"/>
  <c r="BH35" i="73"/>
  <c r="BI35" i="73"/>
  <c r="BJ35" i="73"/>
  <c r="BK35" i="73"/>
  <c r="BL35" i="73"/>
  <c r="BM35" i="73"/>
  <c r="BN35" i="73"/>
  <c r="BO35" i="73"/>
  <c r="BP35" i="73"/>
  <c r="BQ35" i="73"/>
  <c r="BR35" i="73"/>
  <c r="BS35" i="73"/>
  <c r="BT35" i="73"/>
  <c r="BU35" i="73"/>
  <c r="BV35" i="73"/>
  <c r="BW35" i="73"/>
  <c r="BX35" i="73"/>
  <c r="BY35" i="73"/>
  <c r="BZ35" i="73"/>
  <c r="BG36" i="73"/>
  <c r="BH36" i="73"/>
  <c r="BI36" i="73"/>
  <c r="BJ36" i="73"/>
  <c r="BK36" i="73"/>
  <c r="BL36" i="73"/>
  <c r="BM36" i="73"/>
  <c r="BN36" i="73"/>
  <c r="BO36" i="73"/>
  <c r="BP36" i="73"/>
  <c r="BQ36" i="73"/>
  <c r="BR36" i="73"/>
  <c r="BS36" i="73"/>
  <c r="BT36" i="73"/>
  <c r="BU36" i="73"/>
  <c r="BV36" i="73"/>
  <c r="BW36" i="73"/>
  <c r="BX36" i="73"/>
  <c r="BY36" i="73"/>
  <c r="BZ36" i="73"/>
  <c r="BG37" i="73"/>
  <c r="BH37" i="73"/>
  <c r="BI37" i="73"/>
  <c r="BJ37" i="73"/>
  <c r="BK37" i="73"/>
  <c r="BL37" i="73"/>
  <c r="BM37" i="73"/>
  <c r="BN37" i="73"/>
  <c r="BO37" i="73"/>
  <c r="BP37" i="73"/>
  <c r="BQ37" i="73"/>
  <c r="BR37" i="73"/>
  <c r="BS37" i="73"/>
  <c r="BT37" i="73"/>
  <c r="BU37" i="73"/>
  <c r="BV37" i="73"/>
  <c r="BW37" i="73"/>
  <c r="BX37" i="73"/>
  <c r="BY37" i="73"/>
  <c r="BZ37" i="73"/>
  <c r="BG38" i="73"/>
  <c r="BH38" i="73"/>
  <c r="BI38" i="73"/>
  <c r="BJ38" i="73"/>
  <c r="BK38" i="73"/>
  <c r="BL38" i="73"/>
  <c r="BM38" i="73"/>
  <c r="BN38" i="73"/>
  <c r="BO38" i="73"/>
  <c r="BP38" i="73"/>
  <c r="BQ38" i="73"/>
  <c r="BR38" i="73"/>
  <c r="BS38" i="73"/>
  <c r="BT38" i="73"/>
  <c r="BU38" i="73"/>
  <c r="BV38" i="73"/>
  <c r="BW38" i="73"/>
  <c r="BX38" i="73"/>
  <c r="BY38" i="73"/>
  <c r="BZ38" i="73"/>
  <c r="BG39" i="73"/>
  <c r="BH39" i="73"/>
  <c r="BI39" i="73"/>
  <c r="BJ39" i="73"/>
  <c r="BK39" i="73"/>
  <c r="BL39" i="73"/>
  <c r="BM39" i="73"/>
  <c r="BN39" i="73"/>
  <c r="BO39" i="73"/>
  <c r="BP39" i="73"/>
  <c r="BQ39" i="73"/>
  <c r="BR39" i="73"/>
  <c r="BS39" i="73"/>
  <c r="BT39" i="73"/>
  <c r="BU39" i="73"/>
  <c r="BV39" i="73"/>
  <c r="BW39" i="73"/>
  <c r="BX39" i="73"/>
  <c r="BY39" i="73"/>
  <c r="BZ39" i="73"/>
  <c r="BZ9" i="73"/>
  <c r="BY9" i="73"/>
  <c r="BX9" i="73"/>
  <c r="BW9" i="73"/>
  <c r="BV9" i="73"/>
  <c r="BU9" i="73"/>
  <c r="BT9" i="73"/>
  <c r="BS9" i="73"/>
  <c r="BR9" i="73"/>
  <c r="BQ9" i="73"/>
  <c r="BP9" i="73"/>
  <c r="BO9" i="73"/>
  <c r="BN9" i="73"/>
  <c r="BM9" i="73"/>
  <c r="BL9" i="73"/>
  <c r="BK9" i="73"/>
  <c r="BJ9" i="73"/>
  <c r="BI9" i="73"/>
  <c r="BH9" i="73"/>
  <c r="BG9" i="73"/>
  <c r="BH10" i="72"/>
  <c r="BI10" i="72"/>
  <c r="BJ10" i="72"/>
  <c r="BK10" i="72"/>
  <c r="BM10" i="72"/>
  <c r="BN10" i="72"/>
  <c r="BO10" i="72"/>
  <c r="BP10" i="72"/>
  <c r="BQ10" i="72"/>
  <c r="BR10" i="72"/>
  <c r="BS10" i="72"/>
  <c r="BT10" i="72"/>
  <c r="BU10" i="72"/>
  <c r="BV10" i="72"/>
  <c r="BW10" i="72"/>
  <c r="BX10" i="72"/>
  <c r="BY10" i="72"/>
  <c r="BZ10" i="72"/>
  <c r="BG11" i="72"/>
  <c r="BI11" i="72"/>
  <c r="BJ11" i="72"/>
  <c r="BK11" i="72"/>
  <c r="BL11" i="72"/>
  <c r="BN11" i="72"/>
  <c r="BO11" i="72"/>
  <c r="BP11" i="72"/>
  <c r="BQ11" i="72"/>
  <c r="BR11" i="72"/>
  <c r="BS11" i="72"/>
  <c r="BT11" i="72"/>
  <c r="BU11" i="72"/>
  <c r="BV11" i="72"/>
  <c r="BW11" i="72"/>
  <c r="BX11" i="72"/>
  <c r="BY11" i="72"/>
  <c r="BZ11" i="72"/>
  <c r="BG12" i="72"/>
  <c r="BH12" i="72"/>
  <c r="BJ12" i="72"/>
  <c r="BK12" i="72"/>
  <c r="BL12" i="72"/>
  <c r="BM12" i="72"/>
  <c r="BO12" i="72"/>
  <c r="BP12" i="72"/>
  <c r="BQ12" i="72"/>
  <c r="BR12" i="72"/>
  <c r="BS12" i="72"/>
  <c r="BT12" i="72"/>
  <c r="BU12" i="72"/>
  <c r="BV12" i="72"/>
  <c r="BW12" i="72"/>
  <c r="BX12" i="72"/>
  <c r="BY12" i="72"/>
  <c r="BZ12" i="72"/>
  <c r="BG13" i="72"/>
  <c r="BH13" i="72"/>
  <c r="BI13" i="72"/>
  <c r="BJ13" i="72"/>
  <c r="BK13" i="72"/>
  <c r="BL13" i="72"/>
  <c r="BM13" i="72"/>
  <c r="BN13" i="72"/>
  <c r="BO13" i="72"/>
  <c r="BP13" i="72"/>
  <c r="BQ13" i="72"/>
  <c r="BR13" i="72"/>
  <c r="BS13" i="72"/>
  <c r="BT13" i="72"/>
  <c r="BU13" i="72"/>
  <c r="BV13" i="72"/>
  <c r="BW13" i="72"/>
  <c r="BX13" i="72"/>
  <c r="BY13" i="72"/>
  <c r="BZ13" i="72"/>
  <c r="BG14" i="72"/>
  <c r="BH14" i="72"/>
  <c r="BI14" i="72"/>
  <c r="BJ14" i="72"/>
  <c r="BL14" i="72"/>
  <c r="BM14" i="72"/>
  <c r="BN14" i="72"/>
  <c r="BO14" i="72"/>
  <c r="BQ14" i="72"/>
  <c r="BR14" i="72"/>
  <c r="BS14" i="72"/>
  <c r="BT14" i="72"/>
  <c r="BU14" i="72"/>
  <c r="BV14" i="72"/>
  <c r="BW14" i="72"/>
  <c r="BX14" i="72"/>
  <c r="BY14" i="72"/>
  <c r="BZ14" i="72"/>
  <c r="BG15" i="72"/>
  <c r="BH15" i="72"/>
  <c r="BI15" i="72"/>
  <c r="BJ15" i="72"/>
  <c r="BK15" i="72"/>
  <c r="BL15" i="72"/>
  <c r="BM15" i="72"/>
  <c r="BN15" i="72"/>
  <c r="BO15" i="72"/>
  <c r="BP15" i="72"/>
  <c r="BQ15" i="72"/>
  <c r="BR15" i="72"/>
  <c r="BS15" i="72"/>
  <c r="BT15" i="72"/>
  <c r="BU15" i="72"/>
  <c r="BV15" i="72"/>
  <c r="BW15" i="72"/>
  <c r="BX15" i="72"/>
  <c r="BY15" i="72"/>
  <c r="BZ15" i="72"/>
  <c r="BG16" i="72"/>
  <c r="BH16" i="72"/>
  <c r="BI16" i="72"/>
  <c r="BJ16" i="72"/>
  <c r="BK16" i="72"/>
  <c r="BL16" i="72"/>
  <c r="BM16" i="72"/>
  <c r="BN16" i="72"/>
  <c r="BO16" i="72"/>
  <c r="BP16" i="72"/>
  <c r="BQ16" i="72"/>
  <c r="BR16" i="72"/>
  <c r="BS16" i="72"/>
  <c r="BT16" i="72"/>
  <c r="BU16" i="72"/>
  <c r="BV16" i="72"/>
  <c r="BW16" i="72"/>
  <c r="BX16" i="72"/>
  <c r="BY16" i="72"/>
  <c r="BZ16" i="72"/>
  <c r="BG17" i="72"/>
  <c r="BH17" i="72"/>
  <c r="BI17" i="72"/>
  <c r="BJ17" i="72"/>
  <c r="BK17" i="72"/>
  <c r="BL17" i="72"/>
  <c r="BM17" i="72"/>
  <c r="BN17" i="72"/>
  <c r="BO17" i="72"/>
  <c r="BP17" i="72"/>
  <c r="BQ17" i="72"/>
  <c r="BR17" i="72"/>
  <c r="BS17" i="72"/>
  <c r="BT17" i="72"/>
  <c r="BU17" i="72"/>
  <c r="BV17" i="72"/>
  <c r="BW17" i="72"/>
  <c r="BX17" i="72"/>
  <c r="BY17" i="72"/>
  <c r="BZ17" i="72"/>
  <c r="BG18" i="72"/>
  <c r="BI18" i="72"/>
  <c r="BJ18" i="72"/>
  <c r="BK18" i="72"/>
  <c r="BL18" i="72"/>
  <c r="BN18" i="72"/>
  <c r="BO18" i="72"/>
  <c r="BP18" i="72"/>
  <c r="BQ18" i="72"/>
  <c r="BR18" i="72"/>
  <c r="BS18" i="72"/>
  <c r="BT18" i="72"/>
  <c r="BU18" i="72"/>
  <c r="BV18" i="72"/>
  <c r="BW18" i="72"/>
  <c r="BX18" i="72"/>
  <c r="BY18" i="72"/>
  <c r="BZ18" i="72"/>
  <c r="BG19" i="72"/>
  <c r="BH19" i="72"/>
  <c r="BJ19" i="72"/>
  <c r="BK19" i="72"/>
  <c r="BL19" i="72"/>
  <c r="BM19" i="72"/>
  <c r="BO19" i="72"/>
  <c r="BP19" i="72"/>
  <c r="BQ19" i="72"/>
  <c r="BR19" i="72"/>
  <c r="BS19" i="72"/>
  <c r="BT19" i="72"/>
  <c r="BU19" i="72"/>
  <c r="BV19" i="72"/>
  <c r="BW19" i="72"/>
  <c r="BX19" i="72"/>
  <c r="BY19" i="72"/>
  <c r="BZ19" i="72"/>
  <c r="BG20" i="72"/>
  <c r="BH20" i="72"/>
  <c r="BI20" i="72"/>
  <c r="BK20" i="72"/>
  <c r="BL20" i="72"/>
  <c r="BM20" i="72"/>
  <c r="BN20" i="72"/>
  <c r="BP20" i="72"/>
  <c r="BQ20" i="72"/>
  <c r="BR20" i="72"/>
  <c r="BS20" i="72"/>
  <c r="BT20" i="72"/>
  <c r="BU20" i="72"/>
  <c r="BV20" i="72"/>
  <c r="BW20" i="72"/>
  <c r="BX20" i="72"/>
  <c r="BY20" i="72"/>
  <c r="BZ20" i="72"/>
  <c r="BG21" i="72"/>
  <c r="BH21" i="72"/>
  <c r="BI21" i="72"/>
  <c r="BJ21" i="72"/>
  <c r="BL21" i="72"/>
  <c r="BM21" i="72"/>
  <c r="BN21" i="72"/>
  <c r="BO21" i="72"/>
  <c r="BQ21" i="72"/>
  <c r="BR21" i="72"/>
  <c r="BS21" i="72"/>
  <c r="BT21" i="72"/>
  <c r="BU21" i="72"/>
  <c r="BV21" i="72"/>
  <c r="BW21" i="72"/>
  <c r="BX21" i="72"/>
  <c r="BY21" i="72"/>
  <c r="BZ21" i="72"/>
  <c r="BG22" i="72"/>
  <c r="BH22" i="72"/>
  <c r="BI22" i="72"/>
  <c r="BJ22" i="72"/>
  <c r="BK22" i="72"/>
  <c r="BL22" i="72"/>
  <c r="BM22" i="72"/>
  <c r="BN22" i="72"/>
  <c r="BO22" i="72"/>
  <c r="BP22" i="72"/>
  <c r="BQ22" i="72"/>
  <c r="BR22" i="72"/>
  <c r="BS22" i="72"/>
  <c r="BT22" i="72"/>
  <c r="BU22" i="72"/>
  <c r="BV22" i="72"/>
  <c r="BW22" i="72"/>
  <c r="BX22" i="72"/>
  <c r="BY22" i="72"/>
  <c r="BZ22" i="72"/>
  <c r="BG23" i="72"/>
  <c r="BH23" i="72"/>
  <c r="BI23" i="72"/>
  <c r="BJ23" i="72"/>
  <c r="BK23" i="72"/>
  <c r="BL23" i="72"/>
  <c r="BM23" i="72"/>
  <c r="BN23" i="72"/>
  <c r="BO23" i="72"/>
  <c r="BP23" i="72"/>
  <c r="BQ23" i="72"/>
  <c r="BR23" i="72"/>
  <c r="BS23" i="72"/>
  <c r="BT23" i="72"/>
  <c r="BU23" i="72"/>
  <c r="BV23" i="72"/>
  <c r="BW23" i="72"/>
  <c r="BX23" i="72"/>
  <c r="BY23" i="72"/>
  <c r="BZ23" i="72"/>
  <c r="BH24" i="72"/>
  <c r="BI24" i="72"/>
  <c r="BJ24" i="72"/>
  <c r="BK24" i="72"/>
  <c r="BM24" i="72"/>
  <c r="BN24" i="72"/>
  <c r="BO24" i="72"/>
  <c r="BP24" i="72"/>
  <c r="BQ24" i="72"/>
  <c r="BR24" i="72"/>
  <c r="BS24" i="72"/>
  <c r="BT24" i="72"/>
  <c r="BU24" i="72"/>
  <c r="BV24" i="72"/>
  <c r="BW24" i="72"/>
  <c r="BX24" i="72"/>
  <c r="BY24" i="72"/>
  <c r="BZ24" i="72"/>
  <c r="BG25" i="72"/>
  <c r="BI25" i="72"/>
  <c r="BJ25" i="72"/>
  <c r="BK25" i="72"/>
  <c r="BL25" i="72"/>
  <c r="BN25" i="72"/>
  <c r="BO25" i="72"/>
  <c r="BP25" i="72"/>
  <c r="BQ25" i="72"/>
  <c r="BR25" i="72"/>
  <c r="BS25" i="72"/>
  <c r="BT25" i="72"/>
  <c r="BU25" i="72"/>
  <c r="BV25" i="72"/>
  <c r="BW25" i="72"/>
  <c r="BX25" i="72"/>
  <c r="BY25" i="72"/>
  <c r="BZ25" i="72"/>
  <c r="BG26" i="72"/>
  <c r="BH26" i="72"/>
  <c r="BJ26" i="72"/>
  <c r="BK26" i="72"/>
  <c r="BL26" i="72"/>
  <c r="BM26" i="72"/>
  <c r="BO26" i="72"/>
  <c r="BP26" i="72"/>
  <c r="BQ26" i="72"/>
  <c r="BR26" i="72"/>
  <c r="BS26" i="72"/>
  <c r="BT26" i="72"/>
  <c r="BU26" i="72"/>
  <c r="BV26" i="72"/>
  <c r="BW26" i="72"/>
  <c r="BX26" i="72"/>
  <c r="BY26" i="72"/>
  <c r="BZ26" i="72"/>
  <c r="BG27" i="72"/>
  <c r="BH27" i="72"/>
  <c r="BI27" i="72"/>
  <c r="BK27" i="72"/>
  <c r="BL27" i="72"/>
  <c r="BM27" i="72"/>
  <c r="BN27" i="72"/>
  <c r="BP27" i="72"/>
  <c r="BQ27" i="72"/>
  <c r="BR27" i="72"/>
  <c r="BS27" i="72"/>
  <c r="BT27" i="72"/>
  <c r="BU27" i="72"/>
  <c r="BV27" i="72"/>
  <c r="BW27" i="72"/>
  <c r="BX27" i="72"/>
  <c r="BY27" i="72"/>
  <c r="BZ27" i="72"/>
  <c r="BG28" i="72"/>
  <c r="BH28" i="72"/>
  <c r="BI28" i="72"/>
  <c r="BJ28" i="72"/>
  <c r="BL28" i="72"/>
  <c r="BM28" i="72"/>
  <c r="BN28" i="72"/>
  <c r="BO28" i="72"/>
  <c r="BQ28" i="72"/>
  <c r="BR28" i="72"/>
  <c r="BS28" i="72"/>
  <c r="BT28" i="72"/>
  <c r="BU28" i="72"/>
  <c r="BV28" i="72"/>
  <c r="BW28" i="72"/>
  <c r="BX28" i="72"/>
  <c r="BY28" i="72"/>
  <c r="BZ28" i="72"/>
  <c r="BG29" i="72"/>
  <c r="BH29" i="72"/>
  <c r="BI29" i="72"/>
  <c r="BJ29" i="72"/>
  <c r="BK29" i="72"/>
  <c r="BL29" i="72"/>
  <c r="BM29" i="72"/>
  <c r="BN29" i="72"/>
  <c r="BO29" i="72"/>
  <c r="BP29" i="72"/>
  <c r="BQ29" i="72"/>
  <c r="BR29" i="72"/>
  <c r="BS29" i="72"/>
  <c r="BT29" i="72"/>
  <c r="BU29" i="72"/>
  <c r="BV29" i="72"/>
  <c r="BW29" i="72"/>
  <c r="BX29" i="72"/>
  <c r="BY29" i="72"/>
  <c r="BZ29" i="72"/>
  <c r="BG30" i="72"/>
  <c r="BH30" i="72"/>
  <c r="BI30" i="72"/>
  <c r="BJ30" i="72"/>
  <c r="BK30" i="72"/>
  <c r="BL30" i="72"/>
  <c r="BM30" i="72"/>
  <c r="BN30" i="72"/>
  <c r="BO30" i="72"/>
  <c r="BP30" i="72"/>
  <c r="BQ30" i="72"/>
  <c r="BR30" i="72"/>
  <c r="BS30" i="72"/>
  <c r="BT30" i="72"/>
  <c r="BU30" i="72"/>
  <c r="BV30" i="72"/>
  <c r="BW30" i="72"/>
  <c r="BX30" i="72"/>
  <c r="BY30" i="72"/>
  <c r="BZ30" i="72"/>
  <c r="BH31" i="72"/>
  <c r="BI31" i="72"/>
  <c r="BJ31" i="72"/>
  <c r="BK31" i="72"/>
  <c r="BM31" i="72"/>
  <c r="BN31" i="72"/>
  <c r="BO31" i="72"/>
  <c r="BP31" i="72"/>
  <c r="BQ31" i="72"/>
  <c r="BR31" i="72"/>
  <c r="BS31" i="72"/>
  <c r="BT31" i="72"/>
  <c r="BU31" i="72"/>
  <c r="BV31" i="72"/>
  <c r="BW31" i="72"/>
  <c r="BX31" i="72"/>
  <c r="BY31" i="72"/>
  <c r="BZ31" i="72"/>
  <c r="BG32" i="72"/>
  <c r="BI32" i="72"/>
  <c r="BJ32" i="72"/>
  <c r="BK32" i="72"/>
  <c r="BL32" i="72"/>
  <c r="BN32" i="72"/>
  <c r="BO32" i="72"/>
  <c r="BP32" i="72"/>
  <c r="BQ32" i="72"/>
  <c r="BR32" i="72"/>
  <c r="BS32" i="72"/>
  <c r="BT32" i="72"/>
  <c r="BU32" i="72"/>
  <c r="BV32" i="72"/>
  <c r="BW32" i="72"/>
  <c r="BX32" i="72"/>
  <c r="BY32" i="72"/>
  <c r="BZ32" i="72"/>
  <c r="BG33" i="72"/>
  <c r="BH33" i="72"/>
  <c r="BJ33" i="72"/>
  <c r="BK33" i="72"/>
  <c r="BL33" i="72"/>
  <c r="BM33" i="72"/>
  <c r="BO33" i="72"/>
  <c r="BP33" i="72"/>
  <c r="BQ33" i="72"/>
  <c r="BR33" i="72"/>
  <c r="BS33" i="72"/>
  <c r="BT33" i="72"/>
  <c r="BU33" i="72"/>
  <c r="BV33" i="72"/>
  <c r="BW33" i="72"/>
  <c r="BX33" i="72"/>
  <c r="BY33" i="72"/>
  <c r="BZ33" i="72"/>
  <c r="BG34" i="72"/>
  <c r="BH34" i="72"/>
  <c r="BI34" i="72"/>
  <c r="BK34" i="72"/>
  <c r="BL34" i="72"/>
  <c r="BM34" i="72"/>
  <c r="BN34" i="72"/>
  <c r="BP34" i="72"/>
  <c r="BQ34" i="72"/>
  <c r="BR34" i="72"/>
  <c r="BS34" i="72"/>
  <c r="BT34" i="72"/>
  <c r="BU34" i="72"/>
  <c r="BV34" i="72"/>
  <c r="BW34" i="72"/>
  <c r="BX34" i="72"/>
  <c r="BY34" i="72"/>
  <c r="BZ34" i="72"/>
  <c r="BG35" i="72"/>
  <c r="BH35" i="72"/>
  <c r="BI35" i="72"/>
  <c r="BJ35" i="72"/>
  <c r="BL35" i="72"/>
  <c r="BM35" i="72"/>
  <c r="BN35" i="72"/>
  <c r="BO35" i="72"/>
  <c r="BP35" i="72"/>
  <c r="BQ35" i="72"/>
  <c r="BR35" i="72"/>
  <c r="BS35" i="72"/>
  <c r="BT35" i="72"/>
  <c r="BU35" i="72"/>
  <c r="BV35" i="72"/>
  <c r="BW35" i="72"/>
  <c r="BX35" i="72"/>
  <c r="BY35" i="72"/>
  <c r="BZ35" i="72"/>
  <c r="BG36" i="72"/>
  <c r="BH36" i="72"/>
  <c r="BI36" i="72"/>
  <c r="BJ36" i="72"/>
  <c r="BK36" i="72"/>
  <c r="BL36" i="72"/>
  <c r="BM36" i="72"/>
  <c r="BN36" i="72"/>
  <c r="BO36" i="72"/>
  <c r="BP36" i="72"/>
  <c r="BQ36" i="72"/>
  <c r="BR36" i="72"/>
  <c r="BS36" i="72"/>
  <c r="BT36" i="72"/>
  <c r="BU36" i="72"/>
  <c r="BV36" i="72"/>
  <c r="BW36" i="72"/>
  <c r="BX36" i="72"/>
  <c r="BY36" i="72"/>
  <c r="BZ36" i="72"/>
  <c r="BG37" i="72"/>
  <c r="BH37" i="72"/>
  <c r="BI37" i="72"/>
  <c r="BJ37" i="72"/>
  <c r="BK37" i="72"/>
  <c r="BL37" i="72"/>
  <c r="BM37" i="72"/>
  <c r="BN37" i="72"/>
  <c r="BO37" i="72"/>
  <c r="BP37" i="72"/>
  <c r="BQ37" i="72"/>
  <c r="BR37" i="72"/>
  <c r="BS37" i="72"/>
  <c r="BT37" i="72"/>
  <c r="BU37" i="72"/>
  <c r="BV37" i="72"/>
  <c r="BW37" i="72"/>
  <c r="BX37" i="72"/>
  <c r="BY37" i="72"/>
  <c r="BZ37" i="72"/>
  <c r="BG38" i="72"/>
  <c r="BH38" i="72"/>
  <c r="BI38" i="72"/>
  <c r="BJ38" i="72"/>
  <c r="BK38" i="72"/>
  <c r="BL38" i="72"/>
  <c r="BM38" i="72"/>
  <c r="BN38" i="72"/>
  <c r="BO38" i="72"/>
  <c r="BP38" i="72"/>
  <c r="BQ38" i="72"/>
  <c r="BR38" i="72"/>
  <c r="BS38" i="72"/>
  <c r="BT38" i="72"/>
  <c r="BU38" i="72"/>
  <c r="BV38" i="72"/>
  <c r="BW38" i="72"/>
  <c r="BX38" i="72"/>
  <c r="BY38" i="72"/>
  <c r="BZ38" i="72"/>
  <c r="BZ9" i="72"/>
  <c r="BY9" i="72"/>
  <c r="BX9" i="72"/>
  <c r="BW9" i="72"/>
  <c r="BV9" i="72"/>
  <c r="BU9" i="72"/>
  <c r="BT9" i="72"/>
  <c r="BS9" i="72"/>
  <c r="BR9" i="72"/>
  <c r="BQ9" i="72"/>
  <c r="BP9" i="72"/>
  <c r="BO9" i="72"/>
  <c r="BN9" i="72"/>
  <c r="BM9" i="72"/>
  <c r="BL9" i="72"/>
  <c r="BK9" i="72"/>
  <c r="BJ9" i="72"/>
  <c r="BI9" i="72"/>
  <c r="BH9" i="72"/>
  <c r="BG9" i="72"/>
  <c r="BG10" i="71"/>
  <c r="BH10" i="71"/>
  <c r="BI10" i="71"/>
  <c r="BJ10" i="71"/>
  <c r="BL10" i="71"/>
  <c r="BM10" i="71"/>
  <c r="BN10" i="71"/>
  <c r="BO10" i="71"/>
  <c r="BQ10" i="71"/>
  <c r="BR10" i="71"/>
  <c r="BS10" i="71"/>
  <c r="BT10" i="71"/>
  <c r="BU10" i="71"/>
  <c r="BV10" i="71"/>
  <c r="BW10" i="71"/>
  <c r="BX10" i="71"/>
  <c r="BY10" i="71"/>
  <c r="BZ10" i="71"/>
  <c r="BG11" i="71"/>
  <c r="BH11" i="71"/>
  <c r="BI11" i="71"/>
  <c r="BJ11" i="71"/>
  <c r="BK11" i="71"/>
  <c r="BL11" i="71"/>
  <c r="BM11" i="71"/>
  <c r="BN11" i="71"/>
  <c r="BO11" i="71"/>
  <c r="BP11" i="71"/>
  <c r="BQ11" i="71"/>
  <c r="BR11" i="71"/>
  <c r="BS11" i="71"/>
  <c r="BT11" i="71"/>
  <c r="BU11" i="71"/>
  <c r="BV11" i="71"/>
  <c r="BW11" i="71"/>
  <c r="BX11" i="71"/>
  <c r="BY11" i="71"/>
  <c r="BZ11" i="71"/>
  <c r="BG12" i="71"/>
  <c r="BH12" i="71"/>
  <c r="BI12" i="71"/>
  <c r="BJ12" i="71"/>
  <c r="BK12" i="71"/>
  <c r="BL12" i="71"/>
  <c r="BM12" i="71"/>
  <c r="BN12" i="71"/>
  <c r="BO12" i="71"/>
  <c r="BP12" i="71"/>
  <c r="BQ12" i="71"/>
  <c r="BR12" i="71"/>
  <c r="BS12" i="71"/>
  <c r="BT12" i="71"/>
  <c r="BU12" i="71"/>
  <c r="BV12" i="71"/>
  <c r="BW12" i="71"/>
  <c r="BX12" i="71"/>
  <c r="BY12" i="71"/>
  <c r="BZ12" i="71"/>
  <c r="BH13" i="71"/>
  <c r="BI13" i="71"/>
  <c r="BJ13" i="71"/>
  <c r="BK13" i="71"/>
  <c r="BM13" i="71"/>
  <c r="BN13" i="71"/>
  <c r="BO13" i="71"/>
  <c r="BP13" i="71"/>
  <c r="BQ13" i="71"/>
  <c r="BR13" i="71"/>
  <c r="BS13" i="71"/>
  <c r="BT13" i="71"/>
  <c r="BU13" i="71"/>
  <c r="BV13" i="71"/>
  <c r="BW13" i="71"/>
  <c r="BX13" i="71"/>
  <c r="BY13" i="71"/>
  <c r="BZ13" i="71"/>
  <c r="BG14" i="71"/>
  <c r="BI14" i="71"/>
  <c r="BJ14" i="71"/>
  <c r="BK14" i="71"/>
  <c r="BL14" i="71"/>
  <c r="BN14" i="71"/>
  <c r="BO14" i="71"/>
  <c r="BP14" i="71"/>
  <c r="BQ14" i="71"/>
  <c r="BR14" i="71"/>
  <c r="BS14" i="71"/>
  <c r="BT14" i="71"/>
  <c r="BU14" i="71"/>
  <c r="BV14" i="71"/>
  <c r="BW14" i="71"/>
  <c r="BX14" i="71"/>
  <c r="BY14" i="71"/>
  <c r="BZ14" i="71"/>
  <c r="BG15" i="71"/>
  <c r="BH15" i="71"/>
  <c r="BJ15" i="71"/>
  <c r="BK15" i="71"/>
  <c r="BL15" i="71"/>
  <c r="BM15" i="71"/>
  <c r="BO15" i="71"/>
  <c r="BP15" i="71"/>
  <c r="BQ15" i="71"/>
  <c r="BR15" i="71"/>
  <c r="BS15" i="71"/>
  <c r="BT15" i="71"/>
  <c r="BU15" i="71"/>
  <c r="BV15" i="71"/>
  <c r="BW15" i="71"/>
  <c r="BX15" i="71"/>
  <c r="BY15" i="71"/>
  <c r="BZ15" i="71"/>
  <c r="BG16" i="71"/>
  <c r="BH16" i="71"/>
  <c r="BI16" i="71"/>
  <c r="BK16" i="71"/>
  <c r="BL16" i="71"/>
  <c r="BM16" i="71"/>
  <c r="BN16" i="71"/>
  <c r="BP16" i="71"/>
  <c r="BQ16" i="71"/>
  <c r="BR16" i="71"/>
  <c r="BS16" i="71"/>
  <c r="BT16" i="71"/>
  <c r="BU16" i="71"/>
  <c r="BV16" i="71"/>
  <c r="BW16" i="71"/>
  <c r="BX16" i="71"/>
  <c r="BY16" i="71"/>
  <c r="BZ16" i="71"/>
  <c r="BG17" i="71"/>
  <c r="BH17" i="71"/>
  <c r="BI17" i="71"/>
  <c r="BJ17" i="71"/>
  <c r="BL17" i="71"/>
  <c r="BM17" i="71"/>
  <c r="BN17" i="71"/>
  <c r="BO17" i="71"/>
  <c r="BQ17" i="71"/>
  <c r="BR17" i="71"/>
  <c r="BS17" i="71"/>
  <c r="BT17" i="71"/>
  <c r="BU17" i="71"/>
  <c r="BV17" i="71"/>
  <c r="BW17" i="71"/>
  <c r="BX17" i="71"/>
  <c r="BY17" i="71"/>
  <c r="BZ17" i="71"/>
  <c r="BG18" i="71"/>
  <c r="BH18" i="71"/>
  <c r="BI18" i="71"/>
  <c r="BJ18" i="71"/>
  <c r="BK18" i="71"/>
  <c r="BL18" i="71"/>
  <c r="BM18" i="71"/>
  <c r="BN18" i="71"/>
  <c r="BO18" i="71"/>
  <c r="BP18" i="71"/>
  <c r="BQ18" i="71"/>
  <c r="BR18" i="71"/>
  <c r="BS18" i="71"/>
  <c r="BT18" i="71"/>
  <c r="BU18" i="71"/>
  <c r="BV18" i="71"/>
  <c r="BW18" i="71"/>
  <c r="BX18" i="71"/>
  <c r="BY18" i="71"/>
  <c r="BZ18" i="71"/>
  <c r="BG19" i="71"/>
  <c r="BH19" i="71"/>
  <c r="BI19" i="71"/>
  <c r="BJ19" i="71"/>
  <c r="BK19" i="71"/>
  <c r="BL19" i="71"/>
  <c r="BM19" i="71"/>
  <c r="BN19" i="71"/>
  <c r="BO19" i="71"/>
  <c r="BP19" i="71"/>
  <c r="BQ19" i="71"/>
  <c r="BR19" i="71"/>
  <c r="BS19" i="71"/>
  <c r="BT19" i="71"/>
  <c r="BU19" i="71"/>
  <c r="BV19" i="71"/>
  <c r="BW19" i="71"/>
  <c r="BX19" i="71"/>
  <c r="BY19" i="71"/>
  <c r="BZ19" i="71"/>
  <c r="BH20" i="71"/>
  <c r="BI20" i="71"/>
  <c r="BJ20" i="71"/>
  <c r="BK20" i="71"/>
  <c r="BM20" i="71"/>
  <c r="BN20" i="71"/>
  <c r="BO20" i="71"/>
  <c r="BP20" i="71"/>
  <c r="BQ20" i="71"/>
  <c r="BR20" i="71"/>
  <c r="BS20" i="71"/>
  <c r="BT20" i="71"/>
  <c r="BU20" i="71"/>
  <c r="BV20" i="71"/>
  <c r="BW20" i="71"/>
  <c r="BX20" i="71"/>
  <c r="BY20" i="71"/>
  <c r="BZ20" i="71"/>
  <c r="BG21" i="71"/>
  <c r="BI21" i="71"/>
  <c r="BJ21" i="71"/>
  <c r="BK21" i="71"/>
  <c r="BL21" i="71"/>
  <c r="BM21" i="71"/>
  <c r="BN21" i="71"/>
  <c r="BO21" i="71"/>
  <c r="BP21" i="71"/>
  <c r="BQ21" i="71"/>
  <c r="BR21" i="71"/>
  <c r="BS21" i="71"/>
  <c r="BT21" i="71"/>
  <c r="BU21" i="71"/>
  <c r="BV21" i="71"/>
  <c r="BW21" i="71"/>
  <c r="BX21" i="71"/>
  <c r="BY21" i="71"/>
  <c r="BZ21" i="71"/>
  <c r="BG22" i="71"/>
  <c r="BH22" i="71"/>
  <c r="BJ22" i="71"/>
  <c r="BK22" i="71"/>
  <c r="BL22" i="71"/>
  <c r="BM22" i="71"/>
  <c r="BO22" i="71"/>
  <c r="BP22" i="71"/>
  <c r="BQ22" i="71"/>
  <c r="BR22" i="71"/>
  <c r="BS22" i="71"/>
  <c r="BT22" i="71"/>
  <c r="BU22" i="71"/>
  <c r="BV22" i="71"/>
  <c r="BW22" i="71"/>
  <c r="BX22" i="71"/>
  <c r="BY22" i="71"/>
  <c r="BZ22" i="71"/>
  <c r="BG23" i="71"/>
  <c r="BH23" i="71"/>
  <c r="BI23" i="71"/>
  <c r="BK23" i="71"/>
  <c r="BL23" i="71"/>
  <c r="BM23" i="71"/>
  <c r="BN23" i="71"/>
  <c r="BO23" i="71"/>
  <c r="BP23" i="71"/>
  <c r="BQ23" i="71"/>
  <c r="BR23" i="71"/>
  <c r="BS23" i="71"/>
  <c r="BT23" i="71"/>
  <c r="BU23" i="71"/>
  <c r="BV23" i="71"/>
  <c r="BW23" i="71"/>
  <c r="BX23" i="71"/>
  <c r="BY23" i="71"/>
  <c r="BZ23" i="71"/>
  <c r="BG24" i="71"/>
  <c r="BH24" i="71"/>
  <c r="BI24" i="71"/>
  <c r="BJ24" i="71"/>
  <c r="BL24" i="71"/>
  <c r="BM24" i="71"/>
  <c r="BN24" i="71"/>
  <c r="BO24" i="71"/>
  <c r="BQ24" i="71"/>
  <c r="BR24" i="71"/>
  <c r="BS24" i="71"/>
  <c r="BT24" i="71"/>
  <c r="BU24" i="71"/>
  <c r="BV24" i="71"/>
  <c r="BW24" i="71"/>
  <c r="BX24" i="71"/>
  <c r="BY24" i="71"/>
  <c r="BZ24" i="71"/>
  <c r="BG25" i="71"/>
  <c r="BH25" i="71"/>
  <c r="BI25" i="71"/>
  <c r="BJ25" i="71"/>
  <c r="BK25" i="71"/>
  <c r="BL25" i="71"/>
  <c r="BM25" i="71"/>
  <c r="BN25" i="71"/>
  <c r="BO25" i="71"/>
  <c r="BP25" i="71"/>
  <c r="BQ25" i="71"/>
  <c r="BR25" i="71"/>
  <c r="BS25" i="71"/>
  <c r="BT25" i="71"/>
  <c r="BU25" i="71"/>
  <c r="BV25" i="71"/>
  <c r="BW25" i="71"/>
  <c r="BX25" i="71"/>
  <c r="BY25" i="71"/>
  <c r="BZ25" i="71"/>
  <c r="BG26" i="71"/>
  <c r="BH26" i="71"/>
  <c r="BI26" i="71"/>
  <c r="BJ26" i="71"/>
  <c r="BK26" i="71"/>
  <c r="BL26" i="71"/>
  <c r="BM26" i="71"/>
  <c r="BN26" i="71"/>
  <c r="BO26" i="71"/>
  <c r="BP26" i="71"/>
  <c r="BQ26" i="71"/>
  <c r="BR26" i="71"/>
  <c r="BS26" i="71"/>
  <c r="BT26" i="71"/>
  <c r="BU26" i="71"/>
  <c r="BV26" i="71"/>
  <c r="BW26" i="71"/>
  <c r="BX26" i="71"/>
  <c r="BY26" i="71"/>
  <c r="BZ26" i="71"/>
  <c r="BH27" i="71"/>
  <c r="BI27" i="71"/>
  <c r="BJ27" i="71"/>
  <c r="BK27" i="71"/>
  <c r="BM27" i="71"/>
  <c r="BN27" i="71"/>
  <c r="BO27" i="71"/>
  <c r="BP27" i="71"/>
  <c r="BQ27" i="71"/>
  <c r="BR27" i="71"/>
  <c r="BS27" i="71"/>
  <c r="BT27" i="71"/>
  <c r="BU27" i="71"/>
  <c r="BV27" i="71"/>
  <c r="BW27" i="71"/>
  <c r="BX27" i="71"/>
  <c r="BY27" i="71"/>
  <c r="BZ27" i="71"/>
  <c r="BG28" i="71"/>
  <c r="BI28" i="71"/>
  <c r="BJ28" i="71"/>
  <c r="BK28" i="71"/>
  <c r="BL28" i="71"/>
  <c r="BN28" i="71"/>
  <c r="BO28" i="71"/>
  <c r="BP28" i="71"/>
  <c r="BQ28" i="71"/>
  <c r="BR28" i="71"/>
  <c r="BS28" i="71"/>
  <c r="BT28" i="71"/>
  <c r="BU28" i="71"/>
  <c r="BV28" i="71"/>
  <c r="BW28" i="71"/>
  <c r="BX28" i="71"/>
  <c r="BY28" i="71"/>
  <c r="BZ28" i="71"/>
  <c r="BG29" i="71"/>
  <c r="BH29" i="71"/>
  <c r="BJ29" i="71"/>
  <c r="BK29" i="71"/>
  <c r="BL29" i="71"/>
  <c r="BM29" i="71"/>
  <c r="BO29" i="71"/>
  <c r="BP29" i="71"/>
  <c r="BQ29" i="71"/>
  <c r="BR29" i="71"/>
  <c r="BS29" i="71"/>
  <c r="BT29" i="71"/>
  <c r="BU29" i="71"/>
  <c r="BV29" i="71"/>
  <c r="BW29" i="71"/>
  <c r="BX29" i="71"/>
  <c r="BY29" i="71"/>
  <c r="BZ29" i="71"/>
  <c r="BG30" i="71"/>
  <c r="BH30" i="71"/>
  <c r="BI30" i="71"/>
  <c r="BK30" i="71"/>
  <c r="BL30" i="71"/>
  <c r="BM30" i="71"/>
  <c r="BN30" i="71"/>
  <c r="BP30" i="71"/>
  <c r="BQ30" i="71"/>
  <c r="BR30" i="71"/>
  <c r="BS30" i="71"/>
  <c r="BT30" i="71"/>
  <c r="BU30" i="71"/>
  <c r="BV30" i="71"/>
  <c r="BW30" i="71"/>
  <c r="BX30" i="71"/>
  <c r="BY30" i="71"/>
  <c r="BZ30" i="71"/>
  <c r="BG31" i="71"/>
  <c r="BH31" i="71"/>
  <c r="BI31" i="71"/>
  <c r="BJ31" i="71"/>
  <c r="BL31" i="71"/>
  <c r="BM31" i="71"/>
  <c r="BN31" i="71"/>
  <c r="BO31" i="71"/>
  <c r="BQ31" i="71"/>
  <c r="BR31" i="71"/>
  <c r="BS31" i="71"/>
  <c r="BT31" i="71"/>
  <c r="BU31" i="71"/>
  <c r="BV31" i="71"/>
  <c r="BW31" i="71"/>
  <c r="BX31" i="71"/>
  <c r="BY31" i="71"/>
  <c r="BZ31" i="71"/>
  <c r="BG32" i="71"/>
  <c r="BH32" i="71"/>
  <c r="BI32" i="71"/>
  <c r="BJ32" i="71"/>
  <c r="BK32" i="71"/>
  <c r="BL32" i="71"/>
  <c r="BM32" i="71"/>
  <c r="BN32" i="71"/>
  <c r="BO32" i="71"/>
  <c r="BP32" i="71"/>
  <c r="BQ32" i="71"/>
  <c r="BR32" i="71"/>
  <c r="BS32" i="71"/>
  <c r="BT32" i="71"/>
  <c r="BU32" i="71"/>
  <c r="BV32" i="71"/>
  <c r="BW32" i="71"/>
  <c r="BX32" i="71"/>
  <c r="BY32" i="71"/>
  <c r="BZ32" i="71"/>
  <c r="BG33" i="71"/>
  <c r="BH33" i="71"/>
  <c r="BI33" i="71"/>
  <c r="BJ33" i="71"/>
  <c r="BK33" i="71"/>
  <c r="BL33" i="71"/>
  <c r="BM33" i="71"/>
  <c r="BN33" i="71"/>
  <c r="BO33" i="71"/>
  <c r="BP33" i="71"/>
  <c r="BQ33" i="71"/>
  <c r="BR33" i="71"/>
  <c r="BS33" i="71"/>
  <c r="BT33" i="71"/>
  <c r="BU33" i="71"/>
  <c r="BV33" i="71"/>
  <c r="BW33" i="71"/>
  <c r="BX33" i="71"/>
  <c r="BY33" i="71"/>
  <c r="BZ33" i="71"/>
  <c r="BH34" i="71"/>
  <c r="BI34" i="71"/>
  <c r="BJ34" i="71"/>
  <c r="BK34" i="71"/>
  <c r="BM34" i="71"/>
  <c r="BN34" i="71"/>
  <c r="BO34" i="71"/>
  <c r="BP34" i="71"/>
  <c r="BQ34" i="71"/>
  <c r="BR34" i="71"/>
  <c r="BS34" i="71"/>
  <c r="BT34" i="71"/>
  <c r="BU34" i="71"/>
  <c r="BV34" i="71"/>
  <c r="BW34" i="71"/>
  <c r="BX34" i="71"/>
  <c r="BY34" i="71"/>
  <c r="BZ34" i="71"/>
  <c r="BG35" i="71"/>
  <c r="BI35" i="71"/>
  <c r="BJ35" i="71"/>
  <c r="BK35" i="71"/>
  <c r="BL35" i="71"/>
  <c r="BN35" i="71"/>
  <c r="BO35" i="71"/>
  <c r="BP35" i="71"/>
  <c r="BQ35" i="71"/>
  <c r="BR35" i="71"/>
  <c r="BS35" i="71"/>
  <c r="BT35" i="71"/>
  <c r="BU35" i="71"/>
  <c r="BV35" i="71"/>
  <c r="BW35" i="71"/>
  <c r="BX35" i="71"/>
  <c r="BY35" i="71"/>
  <c r="BZ35" i="71"/>
  <c r="BG36" i="71"/>
  <c r="BH36" i="71"/>
  <c r="BJ36" i="71"/>
  <c r="BK36" i="71"/>
  <c r="BL36" i="71"/>
  <c r="BM36" i="71"/>
  <c r="BO36" i="71"/>
  <c r="BP36" i="71"/>
  <c r="BQ36" i="71"/>
  <c r="BR36" i="71"/>
  <c r="BS36" i="71"/>
  <c r="BT36" i="71"/>
  <c r="BU36" i="71"/>
  <c r="BV36" i="71"/>
  <c r="BW36" i="71"/>
  <c r="BX36" i="71"/>
  <c r="BY36" i="71"/>
  <c r="BZ36" i="71"/>
  <c r="BG37" i="71"/>
  <c r="BH37" i="71"/>
  <c r="BI37" i="71"/>
  <c r="BJ37" i="71"/>
  <c r="BK37" i="71"/>
  <c r="BL37" i="71"/>
  <c r="BM37" i="71"/>
  <c r="BN37" i="71"/>
  <c r="BO37" i="71"/>
  <c r="BP37" i="71"/>
  <c r="BQ37" i="71"/>
  <c r="BR37" i="71"/>
  <c r="BS37" i="71"/>
  <c r="BT37" i="71"/>
  <c r="BU37" i="71"/>
  <c r="BV37" i="71"/>
  <c r="BW37" i="71"/>
  <c r="BX37" i="71"/>
  <c r="BY37" i="71"/>
  <c r="BZ37" i="71"/>
  <c r="BG38" i="71"/>
  <c r="BH38" i="71"/>
  <c r="BI38" i="71"/>
  <c r="BJ38" i="71"/>
  <c r="BK38" i="71"/>
  <c r="BL38" i="71"/>
  <c r="BM38" i="71"/>
  <c r="BN38" i="71"/>
  <c r="BO38" i="71"/>
  <c r="BP38" i="71"/>
  <c r="BQ38" i="71"/>
  <c r="BR38" i="71"/>
  <c r="BS38" i="71"/>
  <c r="BT38" i="71"/>
  <c r="BU38" i="71"/>
  <c r="BV38" i="71"/>
  <c r="BW38" i="71"/>
  <c r="BX38" i="71"/>
  <c r="BY38" i="71"/>
  <c r="BZ38" i="71"/>
  <c r="BG39" i="71"/>
  <c r="BH39" i="71"/>
  <c r="BI39" i="71"/>
  <c r="BJ39" i="71"/>
  <c r="BK39" i="71"/>
  <c r="BL39" i="71"/>
  <c r="BM39" i="71"/>
  <c r="BN39" i="71"/>
  <c r="BO39" i="71"/>
  <c r="BP39" i="71"/>
  <c r="BQ39" i="71"/>
  <c r="BR39" i="71"/>
  <c r="BS39" i="71"/>
  <c r="BT39" i="71"/>
  <c r="BU39" i="71"/>
  <c r="BV39" i="71"/>
  <c r="BW39" i="71"/>
  <c r="BX39" i="71"/>
  <c r="BY39" i="71"/>
  <c r="BZ39" i="71"/>
  <c r="BZ9" i="71"/>
  <c r="BY9" i="71"/>
  <c r="BX9" i="71"/>
  <c r="BW9" i="71"/>
  <c r="BV9" i="71"/>
  <c r="BU9" i="71"/>
  <c r="BT9" i="71"/>
  <c r="BS9" i="71"/>
  <c r="BR9" i="71"/>
  <c r="BQ9" i="71"/>
  <c r="BP9" i="71"/>
  <c r="BN9" i="71"/>
  <c r="BM9" i="71"/>
  <c r="BL9" i="71"/>
  <c r="BK9" i="71"/>
  <c r="BI9" i="71"/>
  <c r="BH9" i="71"/>
  <c r="BG9" i="71"/>
  <c r="BG10" i="70"/>
  <c r="BH10" i="70"/>
  <c r="BJ10" i="70"/>
  <c r="BK10" i="70"/>
  <c r="BL10" i="70"/>
  <c r="BM10" i="70"/>
  <c r="BO10" i="70"/>
  <c r="BP10" i="70"/>
  <c r="BQ10" i="70"/>
  <c r="BR10" i="70"/>
  <c r="BS10" i="70"/>
  <c r="BT10" i="70"/>
  <c r="BU10" i="70"/>
  <c r="BV10" i="70"/>
  <c r="BW10" i="70"/>
  <c r="BX10" i="70"/>
  <c r="BY10" i="70"/>
  <c r="BZ10" i="70"/>
  <c r="BG11" i="70"/>
  <c r="BH11" i="70"/>
  <c r="BI11" i="70"/>
  <c r="BK11" i="70"/>
  <c r="BL11" i="70"/>
  <c r="BM11" i="70"/>
  <c r="BN11" i="70"/>
  <c r="BP11" i="70"/>
  <c r="BQ11" i="70"/>
  <c r="BR11" i="70"/>
  <c r="BS11" i="70"/>
  <c r="BT11" i="70"/>
  <c r="BU11" i="70"/>
  <c r="BV11" i="70"/>
  <c r="BW11" i="70"/>
  <c r="BX11" i="70"/>
  <c r="BY11" i="70"/>
  <c r="BZ11" i="70"/>
  <c r="BG12" i="70"/>
  <c r="BH12" i="70"/>
  <c r="BI12" i="70"/>
  <c r="BJ12" i="70"/>
  <c r="BL12" i="70"/>
  <c r="BM12" i="70"/>
  <c r="BN12" i="70"/>
  <c r="BO12" i="70"/>
  <c r="BQ12" i="70"/>
  <c r="BR12" i="70"/>
  <c r="BS12" i="70"/>
  <c r="BT12" i="70"/>
  <c r="BU12" i="70"/>
  <c r="BV12" i="70"/>
  <c r="BW12" i="70"/>
  <c r="BX12" i="70"/>
  <c r="BY12" i="70"/>
  <c r="BZ12" i="70"/>
  <c r="BG13" i="70"/>
  <c r="BH13" i="70"/>
  <c r="BI13" i="70"/>
  <c r="BJ13" i="70"/>
  <c r="BK13" i="70"/>
  <c r="BL13" i="70"/>
  <c r="BM13" i="70"/>
  <c r="BN13" i="70"/>
  <c r="BO13" i="70"/>
  <c r="BP13" i="70"/>
  <c r="BQ13" i="70"/>
  <c r="BR13" i="70"/>
  <c r="BS13" i="70"/>
  <c r="BT13" i="70"/>
  <c r="BU13" i="70"/>
  <c r="BV13" i="70"/>
  <c r="BW13" i="70"/>
  <c r="BX13" i="70"/>
  <c r="BY13" i="70"/>
  <c r="BZ13" i="70"/>
  <c r="BG14" i="70"/>
  <c r="BH14" i="70"/>
  <c r="BI14" i="70"/>
  <c r="BJ14" i="70"/>
  <c r="BK14" i="70"/>
  <c r="BL14" i="70"/>
  <c r="BM14" i="70"/>
  <c r="BN14" i="70"/>
  <c r="BO14" i="70"/>
  <c r="BP14" i="70"/>
  <c r="BQ14" i="70"/>
  <c r="BR14" i="70"/>
  <c r="BS14" i="70"/>
  <c r="BT14" i="70"/>
  <c r="BU14" i="70"/>
  <c r="BV14" i="70"/>
  <c r="BW14" i="70"/>
  <c r="BX14" i="70"/>
  <c r="BY14" i="70"/>
  <c r="BZ14" i="70"/>
  <c r="BH15" i="70"/>
  <c r="BI15" i="70"/>
  <c r="BJ15" i="70"/>
  <c r="BK15" i="70"/>
  <c r="BM15" i="70"/>
  <c r="BN15" i="70"/>
  <c r="BO15" i="70"/>
  <c r="BP15" i="70"/>
  <c r="BQ15" i="70"/>
  <c r="BR15" i="70"/>
  <c r="BS15" i="70"/>
  <c r="BT15" i="70"/>
  <c r="BU15" i="70"/>
  <c r="BV15" i="70"/>
  <c r="BW15" i="70"/>
  <c r="BX15" i="70"/>
  <c r="BY15" i="70"/>
  <c r="BZ15" i="70"/>
  <c r="BG16" i="70"/>
  <c r="BI16" i="70"/>
  <c r="BJ16" i="70"/>
  <c r="BK16" i="70"/>
  <c r="BL16" i="70"/>
  <c r="BN16" i="70"/>
  <c r="BO16" i="70"/>
  <c r="BP16" i="70"/>
  <c r="BQ16" i="70"/>
  <c r="BR16" i="70"/>
  <c r="BS16" i="70"/>
  <c r="BT16" i="70"/>
  <c r="BU16" i="70"/>
  <c r="BV16" i="70"/>
  <c r="BW16" i="70"/>
  <c r="BX16" i="70"/>
  <c r="BY16" i="70"/>
  <c r="BZ16" i="70"/>
  <c r="BG17" i="70"/>
  <c r="BH17" i="70"/>
  <c r="BJ17" i="70"/>
  <c r="BK17" i="70"/>
  <c r="BL17" i="70"/>
  <c r="BM17" i="70"/>
  <c r="BO17" i="70"/>
  <c r="BP17" i="70"/>
  <c r="BQ17" i="70"/>
  <c r="BR17" i="70"/>
  <c r="BS17" i="70"/>
  <c r="BT17" i="70"/>
  <c r="BU17" i="70"/>
  <c r="BV17" i="70"/>
  <c r="BW17" i="70"/>
  <c r="BX17" i="70"/>
  <c r="BY17" i="70"/>
  <c r="BZ17" i="70"/>
  <c r="BG18" i="70"/>
  <c r="BH18" i="70"/>
  <c r="BI18" i="70"/>
  <c r="BK18" i="70"/>
  <c r="BL18" i="70"/>
  <c r="BM18" i="70"/>
  <c r="BN18" i="70"/>
  <c r="BP18" i="70"/>
  <c r="BQ18" i="70"/>
  <c r="BR18" i="70"/>
  <c r="BS18" i="70"/>
  <c r="BT18" i="70"/>
  <c r="BU18" i="70"/>
  <c r="BV18" i="70"/>
  <c r="BW18" i="70"/>
  <c r="BX18" i="70"/>
  <c r="BY18" i="70"/>
  <c r="BZ18" i="70"/>
  <c r="BG19" i="70"/>
  <c r="BH19" i="70"/>
  <c r="BI19" i="70"/>
  <c r="BJ19" i="70"/>
  <c r="BL19" i="70"/>
  <c r="BM19" i="70"/>
  <c r="BN19" i="70"/>
  <c r="BO19" i="70"/>
  <c r="BQ19" i="70"/>
  <c r="BR19" i="70"/>
  <c r="BS19" i="70"/>
  <c r="BT19" i="70"/>
  <c r="BU19" i="70"/>
  <c r="BV19" i="70"/>
  <c r="BW19" i="70"/>
  <c r="BX19" i="70"/>
  <c r="BY19" i="70"/>
  <c r="BZ19" i="70"/>
  <c r="BG20" i="70"/>
  <c r="BH20" i="70"/>
  <c r="BI20" i="70"/>
  <c r="BJ20" i="70"/>
  <c r="BK20" i="70"/>
  <c r="BL20" i="70"/>
  <c r="BM20" i="70"/>
  <c r="BN20" i="70"/>
  <c r="BO20" i="70"/>
  <c r="BP20" i="70"/>
  <c r="BQ20" i="70"/>
  <c r="BR20" i="70"/>
  <c r="BS20" i="70"/>
  <c r="BT20" i="70"/>
  <c r="BU20" i="70"/>
  <c r="BV20" i="70"/>
  <c r="BW20" i="70"/>
  <c r="BX20" i="70"/>
  <c r="BY20" i="70"/>
  <c r="BZ20" i="70"/>
  <c r="BG21" i="70"/>
  <c r="BH21" i="70"/>
  <c r="BI21" i="70"/>
  <c r="BJ21" i="70"/>
  <c r="BK21" i="70"/>
  <c r="BL21" i="70"/>
  <c r="BM21" i="70"/>
  <c r="BN21" i="70"/>
  <c r="BO21" i="70"/>
  <c r="BP21" i="70"/>
  <c r="BQ21" i="70"/>
  <c r="BR21" i="70"/>
  <c r="BS21" i="70"/>
  <c r="BT21" i="70"/>
  <c r="BU21" i="70"/>
  <c r="BV21" i="70"/>
  <c r="BW21" i="70"/>
  <c r="BX21" i="70"/>
  <c r="BY21" i="70"/>
  <c r="BZ21" i="70"/>
  <c r="BG22" i="70"/>
  <c r="BH22" i="70"/>
  <c r="BI22" i="70"/>
  <c r="BJ22" i="70"/>
  <c r="BK22" i="70"/>
  <c r="BL22" i="70"/>
  <c r="BM22" i="70"/>
  <c r="BN22" i="70"/>
  <c r="BO22" i="70"/>
  <c r="BP22" i="70"/>
  <c r="BQ22" i="70"/>
  <c r="BR22" i="70"/>
  <c r="BS22" i="70"/>
  <c r="BT22" i="70"/>
  <c r="BU22" i="70"/>
  <c r="BV22" i="70"/>
  <c r="BW22" i="70"/>
  <c r="BX22" i="70"/>
  <c r="BY22" i="70"/>
  <c r="BZ22" i="70"/>
  <c r="BG23" i="70"/>
  <c r="BH23" i="70"/>
  <c r="BI23" i="70"/>
  <c r="BJ23" i="70"/>
  <c r="BK23" i="70"/>
  <c r="BL23" i="70"/>
  <c r="BM23" i="70"/>
  <c r="BN23" i="70"/>
  <c r="BO23" i="70"/>
  <c r="BP23" i="70"/>
  <c r="BQ23" i="70"/>
  <c r="BR23" i="70"/>
  <c r="BS23" i="70"/>
  <c r="BT23" i="70"/>
  <c r="BU23" i="70"/>
  <c r="BV23" i="70"/>
  <c r="BW23" i="70"/>
  <c r="BX23" i="70"/>
  <c r="BY23" i="70"/>
  <c r="BZ23" i="70"/>
  <c r="BG24" i="70"/>
  <c r="BH24" i="70"/>
  <c r="BI24" i="70"/>
  <c r="BJ24" i="70"/>
  <c r="BK24" i="70"/>
  <c r="BL24" i="70"/>
  <c r="BM24" i="70"/>
  <c r="BN24" i="70"/>
  <c r="BO24" i="70"/>
  <c r="BP24" i="70"/>
  <c r="BQ24" i="70"/>
  <c r="BR24" i="70"/>
  <c r="BS24" i="70"/>
  <c r="BT24" i="70"/>
  <c r="BU24" i="70"/>
  <c r="BV24" i="70"/>
  <c r="BW24" i="70"/>
  <c r="BX24" i="70"/>
  <c r="BY24" i="70"/>
  <c r="BZ24" i="70"/>
  <c r="BG25" i="70"/>
  <c r="BH25" i="70"/>
  <c r="BI25" i="70"/>
  <c r="BJ25" i="70"/>
  <c r="BK25" i="70"/>
  <c r="BL25" i="70"/>
  <c r="BM25" i="70"/>
  <c r="BN25" i="70"/>
  <c r="BO25" i="70"/>
  <c r="BP25" i="70"/>
  <c r="BQ25" i="70"/>
  <c r="BR25" i="70"/>
  <c r="BS25" i="70"/>
  <c r="BT25" i="70"/>
  <c r="BU25" i="70"/>
  <c r="BV25" i="70"/>
  <c r="BW25" i="70"/>
  <c r="BX25" i="70"/>
  <c r="BY25" i="70"/>
  <c r="BZ25" i="70"/>
  <c r="BG26" i="70"/>
  <c r="BH26" i="70"/>
  <c r="BI26" i="70"/>
  <c r="BJ26" i="70"/>
  <c r="BK26" i="70"/>
  <c r="BL26" i="70"/>
  <c r="BM26" i="70"/>
  <c r="BN26" i="70"/>
  <c r="BO26" i="70"/>
  <c r="BP26" i="70"/>
  <c r="BQ26" i="70"/>
  <c r="BR26" i="70"/>
  <c r="BS26" i="70"/>
  <c r="BT26" i="70"/>
  <c r="BU26" i="70"/>
  <c r="BV26" i="70"/>
  <c r="BW26" i="70"/>
  <c r="BX26" i="70"/>
  <c r="BY26" i="70"/>
  <c r="BZ26" i="70"/>
  <c r="BG27" i="70"/>
  <c r="BH27" i="70"/>
  <c r="BI27" i="70"/>
  <c r="BJ27" i="70"/>
  <c r="BK27" i="70"/>
  <c r="BL27" i="70"/>
  <c r="BM27" i="70"/>
  <c r="BN27" i="70"/>
  <c r="BO27" i="70"/>
  <c r="BP27" i="70"/>
  <c r="BQ27" i="70"/>
  <c r="BR27" i="70"/>
  <c r="BS27" i="70"/>
  <c r="BT27" i="70"/>
  <c r="BU27" i="70"/>
  <c r="BV27" i="70"/>
  <c r="BW27" i="70"/>
  <c r="BX27" i="70"/>
  <c r="BY27" i="70"/>
  <c r="BZ27" i="70"/>
  <c r="BG28" i="70"/>
  <c r="BH28" i="70"/>
  <c r="BI28" i="70"/>
  <c r="BJ28" i="70"/>
  <c r="BK28" i="70"/>
  <c r="BL28" i="70"/>
  <c r="BM28" i="70"/>
  <c r="BN28" i="70"/>
  <c r="BO28" i="70"/>
  <c r="BP28" i="70"/>
  <c r="BQ28" i="70"/>
  <c r="BR28" i="70"/>
  <c r="BS28" i="70"/>
  <c r="BT28" i="70"/>
  <c r="BU28" i="70"/>
  <c r="BV28" i="70"/>
  <c r="BW28" i="70"/>
  <c r="BX28" i="70"/>
  <c r="BY28" i="70"/>
  <c r="BZ28" i="70"/>
  <c r="BG29" i="70"/>
  <c r="BH29" i="70"/>
  <c r="BI29" i="70"/>
  <c r="BJ29" i="70"/>
  <c r="BK29" i="70"/>
  <c r="BL29" i="70"/>
  <c r="BM29" i="70"/>
  <c r="BN29" i="70"/>
  <c r="BO29" i="70"/>
  <c r="BP29" i="70"/>
  <c r="BQ29" i="70"/>
  <c r="BR29" i="70"/>
  <c r="BS29" i="70"/>
  <c r="BT29" i="70"/>
  <c r="BU29" i="70"/>
  <c r="BV29" i="70"/>
  <c r="BW29" i="70"/>
  <c r="BX29" i="70"/>
  <c r="BY29" i="70"/>
  <c r="BZ29" i="70"/>
  <c r="BG30" i="70"/>
  <c r="BI30" i="70"/>
  <c r="BJ30" i="70"/>
  <c r="BK30" i="70"/>
  <c r="BL30" i="70"/>
  <c r="BN30" i="70"/>
  <c r="BO30" i="70"/>
  <c r="BP30" i="70"/>
  <c r="BQ30" i="70"/>
  <c r="BR30" i="70"/>
  <c r="BS30" i="70"/>
  <c r="BT30" i="70"/>
  <c r="BU30" i="70"/>
  <c r="BV30" i="70"/>
  <c r="BW30" i="70"/>
  <c r="BX30" i="70"/>
  <c r="BY30" i="70"/>
  <c r="BZ30" i="70"/>
  <c r="BG31" i="70"/>
  <c r="BH31" i="70"/>
  <c r="BJ31" i="70"/>
  <c r="BK31" i="70"/>
  <c r="BL31" i="70"/>
  <c r="BM31" i="70"/>
  <c r="BO31" i="70"/>
  <c r="BP31" i="70"/>
  <c r="BQ31" i="70"/>
  <c r="BR31" i="70"/>
  <c r="BS31" i="70"/>
  <c r="BT31" i="70"/>
  <c r="BU31" i="70"/>
  <c r="BV31" i="70"/>
  <c r="BW31" i="70"/>
  <c r="BX31" i="70"/>
  <c r="BY31" i="70"/>
  <c r="BZ31" i="70"/>
  <c r="BG32" i="70"/>
  <c r="BH32" i="70"/>
  <c r="BI32" i="70"/>
  <c r="BK32" i="70"/>
  <c r="BL32" i="70"/>
  <c r="BM32" i="70"/>
  <c r="BN32" i="70"/>
  <c r="BP32" i="70"/>
  <c r="BQ32" i="70"/>
  <c r="BR32" i="70"/>
  <c r="BS32" i="70"/>
  <c r="BT32" i="70"/>
  <c r="BU32" i="70"/>
  <c r="BV32" i="70"/>
  <c r="BW32" i="70"/>
  <c r="BX32" i="70"/>
  <c r="BY32" i="70"/>
  <c r="BZ32" i="70"/>
  <c r="BG33" i="70"/>
  <c r="BH33" i="70"/>
  <c r="BI33" i="70"/>
  <c r="BJ33" i="70"/>
  <c r="BL33" i="70"/>
  <c r="BM33" i="70"/>
  <c r="BN33" i="70"/>
  <c r="BO33" i="70"/>
  <c r="BQ33" i="70"/>
  <c r="BR33" i="70"/>
  <c r="BS33" i="70"/>
  <c r="BT33" i="70"/>
  <c r="BU33" i="70"/>
  <c r="BV33" i="70"/>
  <c r="BW33" i="70"/>
  <c r="BX33" i="70"/>
  <c r="BY33" i="70"/>
  <c r="BZ33" i="70"/>
  <c r="BG34" i="70"/>
  <c r="BH34" i="70"/>
  <c r="BI34" i="70"/>
  <c r="BJ34" i="70"/>
  <c r="BK34" i="70"/>
  <c r="BL34" i="70"/>
  <c r="BM34" i="70"/>
  <c r="BN34" i="70"/>
  <c r="BO34" i="70"/>
  <c r="BP34" i="70"/>
  <c r="BQ34" i="70"/>
  <c r="BR34" i="70"/>
  <c r="BS34" i="70"/>
  <c r="BT34" i="70"/>
  <c r="BU34" i="70"/>
  <c r="BV34" i="70"/>
  <c r="BW34" i="70"/>
  <c r="BX34" i="70"/>
  <c r="BY34" i="70"/>
  <c r="BZ34" i="70"/>
  <c r="BG35" i="70"/>
  <c r="BH35" i="70"/>
  <c r="BI35" i="70"/>
  <c r="BJ35" i="70"/>
  <c r="BK35" i="70"/>
  <c r="BL35" i="70"/>
  <c r="BM35" i="70"/>
  <c r="BN35" i="70"/>
  <c r="BO35" i="70"/>
  <c r="BP35" i="70"/>
  <c r="BQ35" i="70"/>
  <c r="BR35" i="70"/>
  <c r="BS35" i="70"/>
  <c r="BT35" i="70"/>
  <c r="BU35" i="70"/>
  <c r="BV35" i="70"/>
  <c r="BW35" i="70"/>
  <c r="BX35" i="70"/>
  <c r="BY35" i="70"/>
  <c r="BZ35" i="70"/>
  <c r="BH36" i="70"/>
  <c r="BI36" i="70"/>
  <c r="BJ36" i="70"/>
  <c r="BK36" i="70"/>
  <c r="BM36" i="70"/>
  <c r="BN36" i="70"/>
  <c r="BO36" i="70"/>
  <c r="BP36" i="70"/>
  <c r="BQ36" i="70"/>
  <c r="BR36" i="70"/>
  <c r="BS36" i="70"/>
  <c r="BT36" i="70"/>
  <c r="BU36" i="70"/>
  <c r="BV36" i="70"/>
  <c r="BW36" i="70"/>
  <c r="BX36" i="70"/>
  <c r="BY36" i="70"/>
  <c r="BZ36" i="70"/>
  <c r="BG37" i="70"/>
  <c r="BI37" i="70"/>
  <c r="BJ37" i="70"/>
  <c r="BK37" i="70"/>
  <c r="BL37" i="70"/>
  <c r="BN37" i="70"/>
  <c r="BO37" i="70"/>
  <c r="BP37" i="70"/>
  <c r="BQ37" i="70"/>
  <c r="BR37" i="70"/>
  <c r="BS37" i="70"/>
  <c r="BT37" i="70"/>
  <c r="BU37" i="70"/>
  <c r="BV37" i="70"/>
  <c r="BW37" i="70"/>
  <c r="BX37" i="70"/>
  <c r="BY37" i="70"/>
  <c r="BZ37" i="70"/>
  <c r="BG38" i="70"/>
  <c r="BH38" i="70"/>
  <c r="BJ38" i="70"/>
  <c r="BK38" i="70"/>
  <c r="BL38" i="70"/>
  <c r="BM38" i="70"/>
  <c r="BO38" i="70"/>
  <c r="BP38" i="70"/>
  <c r="BQ38" i="70"/>
  <c r="BR38" i="70"/>
  <c r="BS38" i="70"/>
  <c r="BT38" i="70"/>
  <c r="BU38" i="70"/>
  <c r="BV38" i="70"/>
  <c r="BW38" i="70"/>
  <c r="BX38" i="70"/>
  <c r="BY38" i="70"/>
  <c r="BZ38" i="70"/>
  <c r="BZ9" i="70"/>
  <c r="BY9" i="70"/>
  <c r="BX9" i="70"/>
  <c r="BW9" i="70"/>
  <c r="BV9" i="70"/>
  <c r="BU9" i="70"/>
  <c r="BT9" i="70"/>
  <c r="BS9" i="70"/>
  <c r="BR9" i="70"/>
  <c r="BQ9" i="70"/>
  <c r="BP9" i="70"/>
  <c r="BO9" i="70"/>
  <c r="BN9" i="70"/>
  <c r="BL9" i="70"/>
  <c r="BK9" i="70"/>
  <c r="BJ9" i="70"/>
  <c r="BI9" i="70"/>
  <c r="BG9" i="70"/>
  <c r="BG10" i="69"/>
  <c r="BH10" i="69"/>
  <c r="BI10" i="69"/>
  <c r="BJ10" i="69"/>
  <c r="BK10" i="69"/>
  <c r="BL10" i="69"/>
  <c r="BM10" i="69"/>
  <c r="BN10" i="69"/>
  <c r="BO10" i="69"/>
  <c r="BP10" i="69"/>
  <c r="BQ10" i="69"/>
  <c r="BR10" i="69"/>
  <c r="BS10" i="69"/>
  <c r="BT10" i="69"/>
  <c r="BU10" i="69"/>
  <c r="BV10" i="69"/>
  <c r="BW10" i="69"/>
  <c r="BX10" i="69"/>
  <c r="BY10" i="69"/>
  <c r="BZ10" i="69"/>
  <c r="BH11" i="69"/>
  <c r="BI11" i="69"/>
  <c r="BJ11" i="69"/>
  <c r="BK11" i="69"/>
  <c r="BM11" i="69"/>
  <c r="BN11" i="69"/>
  <c r="BO11" i="69"/>
  <c r="BP11" i="69"/>
  <c r="BQ11" i="69"/>
  <c r="BR11" i="69"/>
  <c r="BS11" i="69"/>
  <c r="BT11" i="69"/>
  <c r="BU11" i="69"/>
  <c r="BV11" i="69"/>
  <c r="BW11" i="69"/>
  <c r="BX11" i="69"/>
  <c r="BY11" i="69"/>
  <c r="BZ11" i="69"/>
  <c r="BG12" i="69"/>
  <c r="BI12" i="69"/>
  <c r="BJ12" i="69"/>
  <c r="BK12" i="69"/>
  <c r="BL12" i="69"/>
  <c r="BN12" i="69"/>
  <c r="BO12" i="69"/>
  <c r="BP12" i="69"/>
  <c r="BQ12" i="69"/>
  <c r="BR12" i="69"/>
  <c r="BS12" i="69"/>
  <c r="BT12" i="69"/>
  <c r="BU12" i="69"/>
  <c r="BV12" i="69"/>
  <c r="BW12" i="69"/>
  <c r="BX12" i="69"/>
  <c r="BY12" i="69"/>
  <c r="BZ12" i="69"/>
  <c r="BG13" i="69"/>
  <c r="BH13" i="69"/>
  <c r="BJ13" i="69"/>
  <c r="BK13" i="69"/>
  <c r="BL13" i="69"/>
  <c r="BM13" i="69"/>
  <c r="BO13" i="69"/>
  <c r="BP13" i="69"/>
  <c r="BQ13" i="69"/>
  <c r="BR13" i="69"/>
  <c r="BS13" i="69"/>
  <c r="BT13" i="69"/>
  <c r="BU13" i="69"/>
  <c r="BV13" i="69"/>
  <c r="BW13" i="69"/>
  <c r="BX13" i="69"/>
  <c r="BY13" i="69"/>
  <c r="BZ13" i="69"/>
  <c r="BG14" i="69"/>
  <c r="BH14" i="69"/>
  <c r="BI14" i="69"/>
  <c r="BK14" i="69"/>
  <c r="BL14" i="69"/>
  <c r="BM14" i="69"/>
  <c r="BN14" i="69"/>
  <c r="BP14" i="69"/>
  <c r="BQ14" i="69"/>
  <c r="BR14" i="69"/>
  <c r="BS14" i="69"/>
  <c r="BT14" i="69"/>
  <c r="BU14" i="69"/>
  <c r="BV14" i="69"/>
  <c r="BW14" i="69"/>
  <c r="BX14" i="69"/>
  <c r="BY14" i="69"/>
  <c r="BZ14" i="69"/>
  <c r="BG15" i="69"/>
  <c r="BH15" i="69"/>
  <c r="BI15" i="69"/>
  <c r="BJ15" i="69"/>
  <c r="BL15" i="69"/>
  <c r="BM15" i="69"/>
  <c r="BN15" i="69"/>
  <c r="BO15" i="69"/>
  <c r="BQ15" i="69"/>
  <c r="BR15" i="69"/>
  <c r="BS15" i="69"/>
  <c r="BT15" i="69"/>
  <c r="BU15" i="69"/>
  <c r="BV15" i="69"/>
  <c r="BW15" i="69"/>
  <c r="BX15" i="69"/>
  <c r="BY15" i="69"/>
  <c r="BZ15" i="69"/>
  <c r="BG16" i="69"/>
  <c r="BH16" i="69"/>
  <c r="BI16" i="69"/>
  <c r="BJ16" i="69"/>
  <c r="BK16" i="69"/>
  <c r="BL16" i="69"/>
  <c r="BM16" i="69"/>
  <c r="BN16" i="69"/>
  <c r="BO16" i="69"/>
  <c r="BP16" i="69"/>
  <c r="BQ16" i="69"/>
  <c r="BR16" i="69"/>
  <c r="BS16" i="69"/>
  <c r="BT16" i="69"/>
  <c r="BU16" i="69"/>
  <c r="BV16" i="69"/>
  <c r="BW16" i="69"/>
  <c r="BX16" i="69"/>
  <c r="BY16" i="69"/>
  <c r="BZ16" i="69"/>
  <c r="BG17" i="69"/>
  <c r="BH17" i="69"/>
  <c r="BI17" i="69"/>
  <c r="BJ17" i="69"/>
  <c r="BK17" i="69"/>
  <c r="BL17" i="69"/>
  <c r="BM17" i="69"/>
  <c r="BN17" i="69"/>
  <c r="BO17" i="69"/>
  <c r="BP17" i="69"/>
  <c r="BQ17" i="69"/>
  <c r="BR17" i="69"/>
  <c r="BS17" i="69"/>
  <c r="BT17" i="69"/>
  <c r="BU17" i="69"/>
  <c r="BV17" i="69"/>
  <c r="BW17" i="69"/>
  <c r="BX17" i="69"/>
  <c r="BY17" i="69"/>
  <c r="BZ17" i="69"/>
  <c r="BH18" i="69"/>
  <c r="BI18" i="69"/>
  <c r="BJ18" i="69"/>
  <c r="BK18" i="69"/>
  <c r="BM18" i="69"/>
  <c r="BN18" i="69"/>
  <c r="BO18" i="69"/>
  <c r="BP18" i="69"/>
  <c r="BR18" i="69"/>
  <c r="BS18" i="69"/>
  <c r="BT18" i="69"/>
  <c r="BU18" i="69"/>
  <c r="BV18" i="69"/>
  <c r="BW18" i="69"/>
  <c r="BX18" i="69"/>
  <c r="BY18" i="69"/>
  <c r="BZ18" i="69"/>
  <c r="BG19" i="69"/>
  <c r="BI19" i="69"/>
  <c r="BJ19" i="69"/>
  <c r="BK19" i="69"/>
  <c r="BL19" i="69"/>
  <c r="BN19" i="69"/>
  <c r="BO19" i="69"/>
  <c r="BP19" i="69"/>
  <c r="BQ19" i="69"/>
  <c r="BS19" i="69"/>
  <c r="BT19" i="69"/>
  <c r="BU19" i="69"/>
  <c r="BV19" i="69"/>
  <c r="BW19" i="69"/>
  <c r="BX19" i="69"/>
  <c r="BY19" i="69"/>
  <c r="BZ19" i="69"/>
  <c r="BG20" i="69"/>
  <c r="BH20" i="69"/>
  <c r="BJ20" i="69"/>
  <c r="BK20" i="69"/>
  <c r="BL20" i="69"/>
  <c r="BM20" i="69"/>
  <c r="BO20" i="69"/>
  <c r="BP20" i="69"/>
  <c r="BQ20" i="69"/>
  <c r="BR20" i="69"/>
  <c r="BT20" i="69"/>
  <c r="BU20" i="69"/>
  <c r="BV20" i="69"/>
  <c r="BW20" i="69"/>
  <c r="BX20" i="69"/>
  <c r="BY20" i="69"/>
  <c r="BZ20" i="69"/>
  <c r="BG21" i="69"/>
  <c r="BH21" i="69"/>
  <c r="BI21" i="69"/>
  <c r="BK21" i="69"/>
  <c r="BL21" i="69"/>
  <c r="BM21" i="69"/>
  <c r="BN21" i="69"/>
  <c r="BP21" i="69"/>
  <c r="BQ21" i="69"/>
  <c r="BR21" i="69"/>
  <c r="BS21" i="69"/>
  <c r="BU21" i="69"/>
  <c r="BV21" i="69"/>
  <c r="BW21" i="69"/>
  <c r="BX21" i="69"/>
  <c r="BY21" i="69"/>
  <c r="BZ21" i="69"/>
  <c r="BG22" i="69"/>
  <c r="BH22" i="69"/>
  <c r="BI22" i="69"/>
  <c r="BJ22" i="69"/>
  <c r="BL22" i="69"/>
  <c r="BM22" i="69"/>
  <c r="BN22" i="69"/>
  <c r="BO22" i="69"/>
  <c r="BP22" i="69"/>
  <c r="BQ22" i="69"/>
  <c r="BR22" i="69"/>
  <c r="BS22" i="69"/>
  <c r="BT22" i="69"/>
  <c r="BV22" i="69"/>
  <c r="BW22" i="69"/>
  <c r="BX22" i="69"/>
  <c r="BY22" i="69"/>
  <c r="BZ22" i="69"/>
  <c r="BG23" i="69"/>
  <c r="BH23" i="69"/>
  <c r="BI23" i="69"/>
  <c r="BJ23" i="69"/>
  <c r="BK23" i="69"/>
  <c r="BL23" i="69"/>
  <c r="BM23" i="69"/>
  <c r="BN23" i="69"/>
  <c r="BO23" i="69"/>
  <c r="BP23" i="69"/>
  <c r="BQ23" i="69"/>
  <c r="BR23" i="69"/>
  <c r="BS23" i="69"/>
  <c r="BT23" i="69"/>
  <c r="BU23" i="69"/>
  <c r="BV23" i="69"/>
  <c r="BW23" i="69"/>
  <c r="BX23" i="69"/>
  <c r="BY23" i="69"/>
  <c r="BZ23" i="69"/>
  <c r="BG24" i="69"/>
  <c r="BH24" i="69"/>
  <c r="BI24" i="69"/>
  <c r="BJ24" i="69"/>
  <c r="BK24" i="69"/>
  <c r="BL24" i="69"/>
  <c r="BM24" i="69"/>
  <c r="BN24" i="69"/>
  <c r="BO24" i="69"/>
  <c r="BP24" i="69"/>
  <c r="BQ24" i="69"/>
  <c r="BR24" i="69"/>
  <c r="BS24" i="69"/>
  <c r="BT24" i="69"/>
  <c r="BU24" i="69"/>
  <c r="BV24" i="69"/>
  <c r="BW24" i="69"/>
  <c r="BX24" i="69"/>
  <c r="BY24" i="69"/>
  <c r="BZ24" i="69"/>
  <c r="BH25" i="69"/>
  <c r="BI25" i="69"/>
  <c r="BJ25" i="69"/>
  <c r="BK25" i="69"/>
  <c r="BM25" i="69"/>
  <c r="BN25" i="69"/>
  <c r="BO25" i="69"/>
  <c r="BP25" i="69"/>
  <c r="BQ25" i="69"/>
  <c r="BR25" i="69"/>
  <c r="BS25" i="69"/>
  <c r="BT25" i="69"/>
  <c r="BU25" i="69"/>
  <c r="BW25" i="69"/>
  <c r="BX25" i="69"/>
  <c r="BY25" i="69"/>
  <c r="BZ25" i="69"/>
  <c r="BG26" i="69"/>
  <c r="BI26" i="69"/>
  <c r="BJ26" i="69"/>
  <c r="BK26" i="69"/>
  <c r="BL26" i="69"/>
  <c r="BN26" i="69"/>
  <c r="BO26" i="69"/>
  <c r="BP26" i="69"/>
  <c r="BQ26" i="69"/>
  <c r="BR26" i="69"/>
  <c r="BS26" i="69"/>
  <c r="BT26" i="69"/>
  <c r="BU26" i="69"/>
  <c r="BV26" i="69"/>
  <c r="BX26" i="69"/>
  <c r="BY26" i="69"/>
  <c r="BZ26" i="69"/>
  <c r="BG27" i="69"/>
  <c r="BH27" i="69"/>
  <c r="BJ27" i="69"/>
  <c r="BK27" i="69"/>
  <c r="BL27" i="69"/>
  <c r="BM27" i="69"/>
  <c r="BO27" i="69"/>
  <c r="BP27" i="69"/>
  <c r="BQ27" i="69"/>
  <c r="BR27" i="69"/>
  <c r="BS27" i="69"/>
  <c r="BT27" i="69"/>
  <c r="BU27" i="69"/>
  <c r="BV27" i="69"/>
  <c r="BW27" i="69"/>
  <c r="BY27" i="69"/>
  <c r="BZ27" i="69"/>
  <c r="BG28" i="69"/>
  <c r="BH28" i="69"/>
  <c r="BI28" i="69"/>
  <c r="BK28" i="69"/>
  <c r="BL28" i="69"/>
  <c r="BM28" i="69"/>
  <c r="BN28" i="69"/>
  <c r="BO28" i="69"/>
  <c r="BP28" i="69"/>
  <c r="BQ28" i="69"/>
  <c r="BR28" i="69"/>
  <c r="BS28" i="69"/>
  <c r="BT28" i="69"/>
  <c r="BU28" i="69"/>
  <c r="BV28" i="69"/>
  <c r="BW28" i="69"/>
  <c r="BX28" i="69"/>
  <c r="BZ28" i="69"/>
  <c r="BG29" i="69"/>
  <c r="BH29" i="69"/>
  <c r="BI29" i="69"/>
  <c r="BJ29" i="69"/>
  <c r="BL29" i="69"/>
  <c r="BM29" i="69"/>
  <c r="BN29" i="69"/>
  <c r="BO29" i="69"/>
  <c r="BQ29" i="69"/>
  <c r="BR29" i="69"/>
  <c r="BS29" i="69"/>
  <c r="BT29" i="69"/>
  <c r="BU29" i="69"/>
  <c r="BV29" i="69"/>
  <c r="BW29" i="69"/>
  <c r="BX29" i="69"/>
  <c r="BY29" i="69"/>
  <c r="BG30" i="69"/>
  <c r="BH30" i="69"/>
  <c r="BI30" i="69"/>
  <c r="BJ30" i="69"/>
  <c r="BK30" i="69"/>
  <c r="BL30" i="69"/>
  <c r="BM30" i="69"/>
  <c r="BN30" i="69"/>
  <c r="BO30" i="69"/>
  <c r="BP30" i="69"/>
  <c r="BQ30" i="69"/>
  <c r="BR30" i="69"/>
  <c r="BS30" i="69"/>
  <c r="BT30" i="69"/>
  <c r="BU30" i="69"/>
  <c r="BV30" i="69"/>
  <c r="BW30" i="69"/>
  <c r="BX30" i="69"/>
  <c r="BY30" i="69"/>
  <c r="BZ30" i="69"/>
  <c r="BG31" i="69"/>
  <c r="BH31" i="69"/>
  <c r="BI31" i="69"/>
  <c r="BJ31" i="69"/>
  <c r="BK31" i="69"/>
  <c r="BL31" i="69"/>
  <c r="BM31" i="69"/>
  <c r="BN31" i="69"/>
  <c r="BO31" i="69"/>
  <c r="BP31" i="69"/>
  <c r="BQ31" i="69"/>
  <c r="BR31" i="69"/>
  <c r="BS31" i="69"/>
  <c r="BT31" i="69"/>
  <c r="BU31" i="69"/>
  <c r="BV31" i="69"/>
  <c r="BW31" i="69"/>
  <c r="BX31" i="69"/>
  <c r="BY31" i="69"/>
  <c r="BZ31" i="69"/>
  <c r="BH32" i="69"/>
  <c r="BI32" i="69"/>
  <c r="BJ32" i="69"/>
  <c r="BK32" i="69"/>
  <c r="BM32" i="69"/>
  <c r="BN32" i="69"/>
  <c r="BO32" i="69"/>
  <c r="BP32" i="69"/>
  <c r="BQ32" i="69"/>
  <c r="BR32" i="69"/>
  <c r="BS32" i="69"/>
  <c r="BT32" i="69"/>
  <c r="BU32" i="69"/>
  <c r="BV32" i="69"/>
  <c r="BW32" i="69"/>
  <c r="BX32" i="69"/>
  <c r="BY32" i="69"/>
  <c r="BZ32" i="69"/>
  <c r="BG33" i="69"/>
  <c r="BI33" i="69"/>
  <c r="BJ33" i="69"/>
  <c r="BK33" i="69"/>
  <c r="BL33" i="69"/>
  <c r="BN33" i="69"/>
  <c r="BO33" i="69"/>
  <c r="BP33" i="69"/>
  <c r="BQ33" i="69"/>
  <c r="BR33" i="69"/>
  <c r="BS33" i="69"/>
  <c r="BT33" i="69"/>
  <c r="BU33" i="69"/>
  <c r="BV33" i="69"/>
  <c r="BW33" i="69"/>
  <c r="BX33" i="69"/>
  <c r="BY33" i="69"/>
  <c r="BZ33" i="69"/>
  <c r="BG34" i="69"/>
  <c r="BH34" i="69"/>
  <c r="BJ34" i="69"/>
  <c r="BK34" i="69"/>
  <c r="BL34" i="69"/>
  <c r="BM34" i="69"/>
  <c r="BO34" i="69"/>
  <c r="BP34" i="69"/>
  <c r="BQ34" i="69"/>
  <c r="BR34" i="69"/>
  <c r="BS34" i="69"/>
  <c r="BT34" i="69"/>
  <c r="BU34" i="69"/>
  <c r="BV34" i="69"/>
  <c r="BW34" i="69"/>
  <c r="BX34" i="69"/>
  <c r="BY34" i="69"/>
  <c r="BZ34" i="69"/>
  <c r="BG35" i="69"/>
  <c r="BH35" i="69"/>
  <c r="BI35" i="69"/>
  <c r="BK35" i="69"/>
  <c r="BL35" i="69"/>
  <c r="BM35" i="69"/>
  <c r="BN35" i="69"/>
  <c r="BP35" i="69"/>
  <c r="BQ35" i="69"/>
  <c r="BR35" i="69"/>
  <c r="BS35" i="69"/>
  <c r="BT35" i="69"/>
  <c r="BU35" i="69"/>
  <c r="BV35" i="69"/>
  <c r="BW35" i="69"/>
  <c r="BX35" i="69"/>
  <c r="BY35" i="69"/>
  <c r="BZ35" i="69"/>
  <c r="BG36" i="69"/>
  <c r="BH36" i="69"/>
  <c r="BI36" i="69"/>
  <c r="BJ36" i="69"/>
  <c r="BL36" i="69"/>
  <c r="BM36" i="69"/>
  <c r="BN36" i="69"/>
  <c r="BO36" i="69"/>
  <c r="BQ36" i="69"/>
  <c r="BR36" i="69"/>
  <c r="BS36" i="69"/>
  <c r="BT36" i="69"/>
  <c r="BU36" i="69"/>
  <c r="BV36" i="69"/>
  <c r="BW36" i="69"/>
  <c r="BX36" i="69"/>
  <c r="BY36" i="69"/>
  <c r="BZ36" i="69"/>
  <c r="BG37" i="69"/>
  <c r="BH37" i="69"/>
  <c r="BI37" i="69"/>
  <c r="BJ37" i="69"/>
  <c r="BK37" i="69"/>
  <c r="BL37" i="69"/>
  <c r="BM37" i="69"/>
  <c r="BN37" i="69"/>
  <c r="BO37" i="69"/>
  <c r="BP37" i="69"/>
  <c r="BQ37" i="69"/>
  <c r="BR37" i="69"/>
  <c r="BS37" i="69"/>
  <c r="BT37" i="69"/>
  <c r="BU37" i="69"/>
  <c r="BV37" i="69"/>
  <c r="BW37" i="69"/>
  <c r="BX37" i="69"/>
  <c r="BY37" i="69"/>
  <c r="BZ37" i="69"/>
  <c r="BG38" i="69"/>
  <c r="BH38" i="69"/>
  <c r="BI38" i="69"/>
  <c r="BJ38" i="69"/>
  <c r="BK38" i="69"/>
  <c r="BL38" i="69"/>
  <c r="BM38" i="69"/>
  <c r="BN38" i="69"/>
  <c r="BO38" i="69"/>
  <c r="BP38" i="69"/>
  <c r="BQ38" i="69"/>
  <c r="BR38" i="69"/>
  <c r="BS38" i="69"/>
  <c r="BT38" i="69"/>
  <c r="BU38" i="69"/>
  <c r="BV38" i="69"/>
  <c r="BW38" i="69"/>
  <c r="BX38" i="69"/>
  <c r="BY38" i="69"/>
  <c r="BZ38" i="69"/>
  <c r="BH39" i="69"/>
  <c r="BI39" i="69"/>
  <c r="BJ39" i="69"/>
  <c r="BK39" i="69"/>
  <c r="BM39" i="69"/>
  <c r="BN39" i="69"/>
  <c r="BO39" i="69"/>
  <c r="BP39" i="69"/>
  <c r="BQ39" i="69"/>
  <c r="BR39" i="69"/>
  <c r="BS39" i="69"/>
  <c r="BT39" i="69"/>
  <c r="BU39" i="69"/>
  <c r="BV39" i="69"/>
  <c r="BW39" i="69"/>
  <c r="BX39" i="69"/>
  <c r="BY39" i="69"/>
  <c r="BZ39" i="69"/>
  <c r="BZ9" i="69"/>
  <c r="BY9" i="69"/>
  <c r="BX9" i="69"/>
  <c r="BW9" i="69"/>
  <c r="BV9" i="69"/>
  <c r="BU9" i="69"/>
  <c r="BT9" i="69"/>
  <c r="BS9" i="69"/>
  <c r="BR9" i="69"/>
  <c r="BQ9" i="69"/>
  <c r="BP9" i="69"/>
  <c r="BO9" i="69"/>
  <c r="BN9" i="69"/>
  <c r="BM9" i="69"/>
  <c r="BL9" i="69"/>
  <c r="BK9" i="69"/>
  <c r="BJ9" i="69"/>
  <c r="BI9" i="69"/>
  <c r="BH9" i="69"/>
  <c r="BG9" i="69"/>
  <c r="BG37" i="68"/>
  <c r="BH37" i="68"/>
  <c r="BI37" i="68"/>
  <c r="BJ37" i="68"/>
  <c r="BK37" i="68"/>
  <c r="BL37" i="68"/>
  <c r="BM37" i="68"/>
  <c r="BN37" i="68"/>
  <c r="BO37" i="68"/>
  <c r="BP37" i="68"/>
  <c r="BQ37" i="68"/>
  <c r="BR37" i="68"/>
  <c r="BS37" i="68"/>
  <c r="BT37" i="68"/>
  <c r="BU37" i="68"/>
  <c r="BV37" i="68"/>
  <c r="BW37" i="68"/>
  <c r="BX37" i="68"/>
  <c r="BY37" i="68"/>
  <c r="BZ37" i="68"/>
  <c r="BG10" i="67"/>
  <c r="BH10" i="67"/>
  <c r="BI10" i="67"/>
  <c r="BJ10" i="67"/>
  <c r="BK10" i="67"/>
  <c r="BL10" i="67"/>
  <c r="BM10" i="67"/>
  <c r="BN10" i="67"/>
  <c r="BO10" i="67"/>
  <c r="BP10" i="67"/>
  <c r="BQ10" i="67"/>
  <c r="BR10" i="67"/>
  <c r="BS10" i="67"/>
  <c r="BT10" i="67"/>
  <c r="BU10" i="67"/>
  <c r="BV10" i="67"/>
  <c r="BW10" i="67"/>
  <c r="BX10" i="67"/>
  <c r="BY10" i="67"/>
  <c r="BZ10" i="67"/>
  <c r="BG11" i="67"/>
  <c r="BH11" i="67"/>
  <c r="BI11" i="67"/>
  <c r="BJ11" i="67"/>
  <c r="BK11" i="67"/>
  <c r="BL11" i="67"/>
  <c r="BM11" i="67"/>
  <c r="BN11" i="67"/>
  <c r="BO11" i="67"/>
  <c r="BP11" i="67"/>
  <c r="BQ11" i="67"/>
  <c r="BR11" i="67"/>
  <c r="BS11" i="67"/>
  <c r="BT11" i="67"/>
  <c r="BU11" i="67"/>
  <c r="BV11" i="67"/>
  <c r="BW11" i="67"/>
  <c r="BX11" i="67"/>
  <c r="BY11" i="67"/>
  <c r="BZ11" i="67"/>
  <c r="BG12" i="67"/>
  <c r="BH12" i="67"/>
  <c r="BI12" i="67"/>
  <c r="BJ12" i="67"/>
  <c r="BK12" i="67"/>
  <c r="BL12" i="67"/>
  <c r="BM12" i="67"/>
  <c r="BN12" i="67"/>
  <c r="BO12" i="67"/>
  <c r="BP12" i="67"/>
  <c r="BQ12" i="67"/>
  <c r="BR12" i="67"/>
  <c r="BS12" i="67"/>
  <c r="BT12" i="67"/>
  <c r="BU12" i="67"/>
  <c r="BV12" i="67"/>
  <c r="BW12" i="67"/>
  <c r="BX12" i="67"/>
  <c r="BY12" i="67"/>
  <c r="BZ12" i="67"/>
  <c r="BG13" i="67"/>
  <c r="BH13" i="67"/>
  <c r="BI13" i="67"/>
  <c r="BJ13" i="67"/>
  <c r="BK13" i="67"/>
  <c r="BL13" i="67"/>
  <c r="BM13" i="67"/>
  <c r="BN13" i="67"/>
  <c r="BO13" i="67"/>
  <c r="BP13" i="67"/>
  <c r="BQ13" i="67"/>
  <c r="BR13" i="67"/>
  <c r="BS13" i="67"/>
  <c r="BT13" i="67"/>
  <c r="BU13" i="67"/>
  <c r="BV13" i="67"/>
  <c r="BW13" i="67"/>
  <c r="BX13" i="67"/>
  <c r="BY13" i="67"/>
  <c r="BZ13" i="67"/>
  <c r="BH14" i="67"/>
  <c r="BI14" i="67"/>
  <c r="BJ14" i="67"/>
  <c r="BK14" i="67"/>
  <c r="BM14" i="67"/>
  <c r="BN14" i="67"/>
  <c r="BO14" i="67"/>
  <c r="BP14" i="67"/>
  <c r="BQ14" i="67"/>
  <c r="BR14" i="67"/>
  <c r="BS14" i="67"/>
  <c r="BT14" i="67"/>
  <c r="BU14" i="67"/>
  <c r="BV14" i="67"/>
  <c r="BW14" i="67"/>
  <c r="BX14" i="67"/>
  <c r="BY14" i="67"/>
  <c r="BZ14" i="67"/>
  <c r="BG15" i="67"/>
  <c r="BI15" i="67"/>
  <c r="BJ15" i="67"/>
  <c r="BK15" i="67"/>
  <c r="BL15" i="67"/>
  <c r="BN15" i="67"/>
  <c r="BO15" i="67"/>
  <c r="BP15" i="67"/>
  <c r="BQ15" i="67"/>
  <c r="BR15" i="67"/>
  <c r="BS15" i="67"/>
  <c r="BT15" i="67"/>
  <c r="BU15" i="67"/>
  <c r="BV15" i="67"/>
  <c r="BW15" i="67"/>
  <c r="BX15" i="67"/>
  <c r="BY15" i="67"/>
  <c r="BZ15" i="67"/>
  <c r="BG16" i="67"/>
  <c r="BH16" i="67"/>
  <c r="BJ16" i="67"/>
  <c r="BK16" i="67"/>
  <c r="BL16" i="67"/>
  <c r="BM16" i="67"/>
  <c r="BO16" i="67"/>
  <c r="BP16" i="67"/>
  <c r="BQ16" i="67"/>
  <c r="BR16" i="67"/>
  <c r="BS16" i="67"/>
  <c r="BT16" i="67"/>
  <c r="BU16" i="67"/>
  <c r="BV16" i="67"/>
  <c r="BW16" i="67"/>
  <c r="BX16" i="67"/>
  <c r="BY16" i="67"/>
  <c r="BZ16" i="67"/>
  <c r="BG17" i="67"/>
  <c r="BH17" i="67"/>
  <c r="BI17" i="67"/>
  <c r="BK17" i="67"/>
  <c r="BL17" i="67"/>
  <c r="BM17" i="67"/>
  <c r="BN17" i="67"/>
  <c r="BP17" i="67"/>
  <c r="BQ17" i="67"/>
  <c r="BR17" i="67"/>
  <c r="BS17" i="67"/>
  <c r="BT17" i="67"/>
  <c r="BU17" i="67"/>
  <c r="BV17" i="67"/>
  <c r="BW17" i="67"/>
  <c r="BX17" i="67"/>
  <c r="BY17" i="67"/>
  <c r="BZ17" i="67"/>
  <c r="BG18" i="67"/>
  <c r="BH18" i="67"/>
  <c r="BI18" i="67"/>
  <c r="BJ18" i="67"/>
  <c r="BL18" i="67"/>
  <c r="BM18" i="67"/>
  <c r="BN18" i="67"/>
  <c r="BO18" i="67"/>
  <c r="BQ18" i="67"/>
  <c r="BR18" i="67"/>
  <c r="BS18" i="67"/>
  <c r="BT18" i="67"/>
  <c r="BU18" i="67"/>
  <c r="BV18" i="67"/>
  <c r="BW18" i="67"/>
  <c r="BX18" i="67"/>
  <c r="BY18" i="67"/>
  <c r="BZ18" i="67"/>
  <c r="BG19" i="67"/>
  <c r="BH19" i="67"/>
  <c r="BI19" i="67"/>
  <c r="BJ19" i="67"/>
  <c r="BK19" i="67"/>
  <c r="BL19" i="67"/>
  <c r="BM19" i="67"/>
  <c r="BN19" i="67"/>
  <c r="BO19" i="67"/>
  <c r="BP19" i="67"/>
  <c r="BQ19" i="67"/>
  <c r="BR19" i="67"/>
  <c r="BS19" i="67"/>
  <c r="BT19" i="67"/>
  <c r="BU19" i="67"/>
  <c r="BV19" i="67"/>
  <c r="BW19" i="67"/>
  <c r="BX19" i="67"/>
  <c r="BY19" i="67"/>
  <c r="BZ19" i="67"/>
  <c r="BG20" i="67"/>
  <c r="BH20" i="67"/>
  <c r="BI20" i="67"/>
  <c r="BJ20" i="67"/>
  <c r="BK20" i="67"/>
  <c r="BL20" i="67"/>
  <c r="BM20" i="67"/>
  <c r="BN20" i="67"/>
  <c r="BO20" i="67"/>
  <c r="BP20" i="67"/>
  <c r="BQ20" i="67"/>
  <c r="BR20" i="67"/>
  <c r="BS20" i="67"/>
  <c r="BT20" i="67"/>
  <c r="BU20" i="67"/>
  <c r="BV20" i="67"/>
  <c r="BW20" i="67"/>
  <c r="BX20" i="67"/>
  <c r="BY20" i="67"/>
  <c r="BZ20" i="67"/>
  <c r="BH21" i="67"/>
  <c r="BI21" i="67"/>
  <c r="BJ21" i="67"/>
  <c r="BK21" i="67"/>
  <c r="BM21" i="67"/>
  <c r="BN21" i="67"/>
  <c r="BO21" i="67"/>
  <c r="BP21" i="67"/>
  <c r="BQ21" i="67"/>
  <c r="BR21" i="67"/>
  <c r="BS21" i="67"/>
  <c r="BT21" i="67"/>
  <c r="BU21" i="67"/>
  <c r="BV21" i="67"/>
  <c r="BW21" i="67"/>
  <c r="BX21" i="67"/>
  <c r="BY21" i="67"/>
  <c r="BZ21" i="67"/>
  <c r="BG22" i="67"/>
  <c r="BI22" i="67"/>
  <c r="BJ22" i="67"/>
  <c r="BK22" i="67"/>
  <c r="BL22" i="67"/>
  <c r="BN22" i="67"/>
  <c r="BO22" i="67"/>
  <c r="BP22" i="67"/>
  <c r="BQ22" i="67"/>
  <c r="BR22" i="67"/>
  <c r="BS22" i="67"/>
  <c r="BT22" i="67"/>
  <c r="BU22" i="67"/>
  <c r="BV22" i="67"/>
  <c r="BW22" i="67"/>
  <c r="BX22" i="67"/>
  <c r="BY22" i="67"/>
  <c r="BZ22" i="67"/>
  <c r="BG23" i="67"/>
  <c r="BH23" i="67"/>
  <c r="BJ23" i="67"/>
  <c r="BK23" i="67"/>
  <c r="BL23" i="67"/>
  <c r="BM23" i="67"/>
  <c r="BO23" i="67"/>
  <c r="BP23" i="67"/>
  <c r="BQ23" i="67"/>
  <c r="BR23" i="67"/>
  <c r="BS23" i="67"/>
  <c r="BT23" i="67"/>
  <c r="BU23" i="67"/>
  <c r="BV23" i="67"/>
  <c r="BW23" i="67"/>
  <c r="BX23" i="67"/>
  <c r="BY23" i="67"/>
  <c r="BZ23" i="67"/>
  <c r="BG24" i="67"/>
  <c r="BH24" i="67"/>
  <c r="BI24" i="67"/>
  <c r="BK24" i="67"/>
  <c r="BL24" i="67"/>
  <c r="BM24" i="67"/>
  <c r="BN24" i="67"/>
  <c r="BP24" i="67"/>
  <c r="BQ24" i="67"/>
  <c r="BR24" i="67"/>
  <c r="BS24" i="67"/>
  <c r="BT24" i="67"/>
  <c r="BU24" i="67"/>
  <c r="BV24" i="67"/>
  <c r="BW24" i="67"/>
  <c r="BX24" i="67"/>
  <c r="BY24" i="67"/>
  <c r="BZ24" i="67"/>
  <c r="BG25" i="67"/>
  <c r="BH25" i="67"/>
  <c r="BI25" i="67"/>
  <c r="BJ25" i="67"/>
  <c r="BL25" i="67"/>
  <c r="BM25" i="67"/>
  <c r="BN25" i="67"/>
  <c r="BO25" i="67"/>
  <c r="BQ25" i="67"/>
  <c r="BR25" i="67"/>
  <c r="BS25" i="67"/>
  <c r="BT25" i="67"/>
  <c r="BU25" i="67"/>
  <c r="BV25" i="67"/>
  <c r="BW25" i="67"/>
  <c r="BX25" i="67"/>
  <c r="BY25" i="67"/>
  <c r="BZ25" i="67"/>
  <c r="BG26" i="67"/>
  <c r="BH26" i="67"/>
  <c r="BI26" i="67"/>
  <c r="BJ26" i="67"/>
  <c r="BK26" i="67"/>
  <c r="BL26" i="67"/>
  <c r="BM26" i="67"/>
  <c r="BN26" i="67"/>
  <c r="BO26" i="67"/>
  <c r="BP26" i="67"/>
  <c r="BQ26" i="67"/>
  <c r="BR26" i="67"/>
  <c r="BS26" i="67"/>
  <c r="BT26" i="67"/>
  <c r="BU26" i="67"/>
  <c r="BV26" i="67"/>
  <c r="BW26" i="67"/>
  <c r="BX26" i="67"/>
  <c r="BY26" i="67"/>
  <c r="BZ26" i="67"/>
  <c r="BG27" i="67"/>
  <c r="BH27" i="67"/>
  <c r="BI27" i="67"/>
  <c r="BJ27" i="67"/>
  <c r="BK27" i="67"/>
  <c r="BL27" i="67"/>
  <c r="BM27" i="67"/>
  <c r="BN27" i="67"/>
  <c r="BO27" i="67"/>
  <c r="BP27" i="67"/>
  <c r="BQ27" i="67"/>
  <c r="BR27" i="67"/>
  <c r="BS27" i="67"/>
  <c r="BT27" i="67"/>
  <c r="BU27" i="67"/>
  <c r="BV27" i="67"/>
  <c r="BW27" i="67"/>
  <c r="BX27" i="67"/>
  <c r="BY27" i="67"/>
  <c r="BZ27" i="67"/>
  <c r="BH28" i="67"/>
  <c r="BI28" i="67"/>
  <c r="BJ28" i="67"/>
  <c r="BK28" i="67"/>
  <c r="BM28" i="67"/>
  <c r="BN28" i="67"/>
  <c r="BO28" i="67"/>
  <c r="BP28" i="67"/>
  <c r="BQ28" i="67"/>
  <c r="BR28" i="67"/>
  <c r="BS28" i="67"/>
  <c r="BT28" i="67"/>
  <c r="BU28" i="67"/>
  <c r="BV28" i="67"/>
  <c r="BW28" i="67"/>
  <c r="BX28" i="67"/>
  <c r="BY28" i="67"/>
  <c r="BZ28" i="67"/>
  <c r="BG29" i="67"/>
  <c r="BI29" i="67"/>
  <c r="BJ29" i="67"/>
  <c r="BK29" i="67"/>
  <c r="BL29" i="67"/>
  <c r="BN29" i="67"/>
  <c r="BO29" i="67"/>
  <c r="BP29" i="67"/>
  <c r="BQ29" i="67"/>
  <c r="BR29" i="67"/>
  <c r="BS29" i="67"/>
  <c r="BT29" i="67"/>
  <c r="BU29" i="67"/>
  <c r="BV29" i="67"/>
  <c r="BW29" i="67"/>
  <c r="BX29" i="67"/>
  <c r="BY29" i="67"/>
  <c r="BZ29" i="67"/>
  <c r="BG30" i="67"/>
  <c r="BH30" i="67"/>
  <c r="BJ30" i="67"/>
  <c r="BK30" i="67"/>
  <c r="BL30" i="67"/>
  <c r="BM30" i="67"/>
  <c r="BO30" i="67"/>
  <c r="BP30" i="67"/>
  <c r="BQ30" i="67"/>
  <c r="BR30" i="67"/>
  <c r="BS30" i="67"/>
  <c r="BT30" i="67"/>
  <c r="BU30" i="67"/>
  <c r="BV30" i="67"/>
  <c r="BW30" i="67"/>
  <c r="BX30" i="67"/>
  <c r="BY30" i="67"/>
  <c r="BZ30" i="67"/>
  <c r="BG31" i="67"/>
  <c r="BH31" i="67"/>
  <c r="BI31" i="67"/>
  <c r="BK31" i="67"/>
  <c r="BL31" i="67"/>
  <c r="BM31" i="67"/>
  <c r="BN31" i="67"/>
  <c r="BP31" i="67"/>
  <c r="BQ31" i="67"/>
  <c r="BR31" i="67"/>
  <c r="BS31" i="67"/>
  <c r="BT31" i="67"/>
  <c r="BU31" i="67"/>
  <c r="BV31" i="67"/>
  <c r="BW31" i="67"/>
  <c r="BX31" i="67"/>
  <c r="BY31" i="67"/>
  <c r="BZ31" i="67"/>
  <c r="BG32" i="67"/>
  <c r="BH32" i="67"/>
  <c r="BI32" i="67"/>
  <c r="BJ32" i="67"/>
  <c r="BL32" i="67"/>
  <c r="BM32" i="67"/>
  <c r="BN32" i="67"/>
  <c r="BO32" i="67"/>
  <c r="BQ32" i="67"/>
  <c r="BR32" i="67"/>
  <c r="BS32" i="67"/>
  <c r="BT32" i="67"/>
  <c r="BU32" i="67"/>
  <c r="BV32" i="67"/>
  <c r="BW32" i="67"/>
  <c r="BX32" i="67"/>
  <c r="BY32" i="67"/>
  <c r="BZ32" i="67"/>
  <c r="BG33" i="67"/>
  <c r="BH33" i="67"/>
  <c r="BI33" i="67"/>
  <c r="BJ33" i="67"/>
  <c r="BK33" i="67"/>
  <c r="BL33" i="67"/>
  <c r="BM33" i="67"/>
  <c r="BN33" i="67"/>
  <c r="BO33" i="67"/>
  <c r="BP33" i="67"/>
  <c r="BQ33" i="67"/>
  <c r="BR33" i="67"/>
  <c r="BS33" i="67"/>
  <c r="BT33" i="67"/>
  <c r="BU33" i="67"/>
  <c r="BV33" i="67"/>
  <c r="BW33" i="67"/>
  <c r="BX33" i="67"/>
  <c r="BY33" i="67"/>
  <c r="BZ33" i="67"/>
  <c r="BG34" i="67"/>
  <c r="BH34" i="67"/>
  <c r="BI34" i="67"/>
  <c r="BJ34" i="67"/>
  <c r="BK34" i="67"/>
  <c r="BL34" i="67"/>
  <c r="BM34" i="67"/>
  <c r="BN34" i="67"/>
  <c r="BO34" i="67"/>
  <c r="BP34" i="67"/>
  <c r="BQ34" i="67"/>
  <c r="BR34" i="67"/>
  <c r="BS34" i="67"/>
  <c r="BT34" i="67"/>
  <c r="BU34" i="67"/>
  <c r="BV34" i="67"/>
  <c r="BW34" i="67"/>
  <c r="BX34" i="67"/>
  <c r="BY34" i="67"/>
  <c r="BZ34" i="67"/>
  <c r="BH35" i="67"/>
  <c r="BI35" i="67"/>
  <c r="BJ35" i="67"/>
  <c r="BK35" i="67"/>
  <c r="BM35" i="67"/>
  <c r="BN35" i="67"/>
  <c r="BO35" i="67"/>
  <c r="BP35" i="67"/>
  <c r="BQ35" i="67"/>
  <c r="BR35" i="67"/>
  <c r="BS35" i="67"/>
  <c r="BT35" i="67"/>
  <c r="BU35" i="67"/>
  <c r="BV35" i="67"/>
  <c r="BW35" i="67"/>
  <c r="BX35" i="67"/>
  <c r="BY35" i="67"/>
  <c r="BZ35" i="67"/>
  <c r="BG36" i="67"/>
  <c r="BI36" i="67"/>
  <c r="BJ36" i="67"/>
  <c r="BK36" i="67"/>
  <c r="BL36" i="67"/>
  <c r="BN36" i="67"/>
  <c r="BO36" i="67"/>
  <c r="BP36" i="67"/>
  <c r="BQ36" i="67"/>
  <c r="BR36" i="67"/>
  <c r="BS36" i="67"/>
  <c r="BT36" i="67"/>
  <c r="BU36" i="67"/>
  <c r="BV36" i="67"/>
  <c r="BW36" i="67"/>
  <c r="BX36" i="67"/>
  <c r="BY36" i="67"/>
  <c r="BZ36" i="67"/>
  <c r="BG37" i="67"/>
  <c r="BH37" i="67"/>
  <c r="BJ37" i="67"/>
  <c r="BK37" i="67"/>
  <c r="BL37" i="67"/>
  <c r="BM37" i="67"/>
  <c r="BO37" i="67"/>
  <c r="BP37" i="67"/>
  <c r="BQ37" i="67"/>
  <c r="BR37" i="67"/>
  <c r="BS37" i="67"/>
  <c r="BT37" i="67"/>
  <c r="BU37" i="67"/>
  <c r="BV37" i="67"/>
  <c r="BW37" i="67"/>
  <c r="BX37" i="67"/>
  <c r="BY37" i="67"/>
  <c r="BZ37" i="67"/>
  <c r="BG38" i="67"/>
  <c r="BH38" i="67"/>
  <c r="BI38" i="67"/>
  <c r="BK38" i="67"/>
  <c r="BL38" i="67"/>
  <c r="BM38" i="67"/>
  <c r="BN38" i="67"/>
  <c r="BP38" i="67"/>
  <c r="BQ38" i="67"/>
  <c r="BR38" i="67"/>
  <c r="BS38" i="67"/>
  <c r="BT38" i="67"/>
  <c r="BU38" i="67"/>
  <c r="BV38" i="67"/>
  <c r="BW38" i="67"/>
  <c r="BX38" i="67"/>
  <c r="BY38" i="67"/>
  <c r="BZ38" i="67"/>
  <c r="BG39" i="67"/>
  <c r="BH39" i="67"/>
  <c r="BI39" i="67"/>
  <c r="BJ39" i="67"/>
  <c r="BL39" i="67"/>
  <c r="BM39" i="67"/>
  <c r="BN39" i="67"/>
  <c r="BO39" i="67"/>
  <c r="BQ39" i="67"/>
  <c r="BR39" i="67"/>
  <c r="BS39" i="67"/>
  <c r="BT39" i="67"/>
  <c r="BU39" i="67"/>
  <c r="BV39" i="67"/>
  <c r="BW39" i="67"/>
  <c r="BX39" i="67"/>
  <c r="BY39" i="67"/>
  <c r="BZ39" i="67"/>
  <c r="BZ9" i="67"/>
  <c r="BY9" i="67"/>
  <c r="BX9" i="67"/>
  <c r="BW9" i="67"/>
  <c r="BV9" i="67"/>
  <c r="BU9" i="67"/>
  <c r="BT9" i="67"/>
  <c r="BS9" i="67"/>
  <c r="BR9" i="67"/>
  <c r="BQ9" i="67"/>
  <c r="BP9" i="67"/>
  <c r="BO9" i="67"/>
  <c r="BN9" i="67"/>
  <c r="BM9" i="67"/>
  <c r="BL9" i="67"/>
  <c r="BK9" i="67"/>
  <c r="BJ9" i="67"/>
  <c r="BI9" i="67"/>
  <c r="BH9" i="67"/>
  <c r="BG9" i="67"/>
  <c r="BH10" i="66"/>
  <c r="BI10" i="66"/>
  <c r="BJ10" i="66"/>
  <c r="BK10" i="66"/>
  <c r="BL10" i="66"/>
  <c r="BM10" i="66"/>
  <c r="BN10" i="66"/>
  <c r="BO10" i="66"/>
  <c r="BP10" i="66"/>
  <c r="BQ10" i="66"/>
  <c r="BR10" i="66"/>
  <c r="BS10" i="66"/>
  <c r="BT10" i="66"/>
  <c r="BU10" i="66"/>
  <c r="BV10" i="66"/>
  <c r="BW10" i="66"/>
  <c r="BX10" i="66"/>
  <c r="BY10" i="66"/>
  <c r="BZ10" i="66"/>
  <c r="BG11" i="66"/>
  <c r="BI11" i="66"/>
  <c r="BJ11" i="66"/>
  <c r="BK11" i="66"/>
  <c r="BL11" i="66"/>
  <c r="BM11" i="66"/>
  <c r="BN11" i="66"/>
  <c r="BO11" i="66"/>
  <c r="BP11" i="66"/>
  <c r="BQ11" i="66"/>
  <c r="BR11" i="66"/>
  <c r="BS11" i="66"/>
  <c r="BT11" i="66"/>
  <c r="BU11" i="66"/>
  <c r="BV11" i="66"/>
  <c r="BW11" i="66"/>
  <c r="BX11" i="66"/>
  <c r="BY11" i="66"/>
  <c r="BZ11" i="66"/>
  <c r="BG12" i="66"/>
  <c r="BH12" i="66"/>
  <c r="BJ12" i="66"/>
  <c r="BK12" i="66"/>
  <c r="BL12" i="66"/>
  <c r="BM12" i="66"/>
  <c r="BO12" i="66"/>
  <c r="BP12" i="66"/>
  <c r="BQ12" i="66"/>
  <c r="BR12" i="66"/>
  <c r="BS12" i="66"/>
  <c r="BT12" i="66"/>
  <c r="BU12" i="66"/>
  <c r="BV12" i="66"/>
  <c r="BW12" i="66"/>
  <c r="BX12" i="66"/>
  <c r="BY12" i="66"/>
  <c r="BZ12" i="66"/>
  <c r="BG13" i="66"/>
  <c r="BH13" i="66"/>
  <c r="BI13" i="66"/>
  <c r="BK13" i="66"/>
  <c r="BL13" i="66"/>
  <c r="BM13" i="66"/>
  <c r="BN13" i="66"/>
  <c r="BO13" i="66"/>
  <c r="BP13" i="66"/>
  <c r="BQ13" i="66"/>
  <c r="BR13" i="66"/>
  <c r="BS13" i="66"/>
  <c r="BT13" i="66"/>
  <c r="BU13" i="66"/>
  <c r="BV13" i="66"/>
  <c r="BW13" i="66"/>
  <c r="BX13" i="66"/>
  <c r="BY13" i="66"/>
  <c r="BZ13" i="66"/>
  <c r="BG14" i="66"/>
  <c r="BH14" i="66"/>
  <c r="BI14" i="66"/>
  <c r="BJ14" i="66"/>
  <c r="BL14" i="66"/>
  <c r="BM14" i="66"/>
  <c r="BN14" i="66"/>
  <c r="BO14" i="66"/>
  <c r="BP14" i="66"/>
  <c r="BQ14" i="66"/>
  <c r="BR14" i="66"/>
  <c r="BS14" i="66"/>
  <c r="BT14" i="66"/>
  <c r="BU14" i="66"/>
  <c r="BV14" i="66"/>
  <c r="BW14" i="66"/>
  <c r="BX14" i="66"/>
  <c r="BY14" i="66"/>
  <c r="BZ14" i="66"/>
  <c r="BG15" i="66"/>
  <c r="BH15" i="66"/>
  <c r="BI15" i="66"/>
  <c r="BJ15" i="66"/>
  <c r="BK15" i="66"/>
  <c r="BL15" i="66"/>
  <c r="BM15" i="66"/>
  <c r="BN15" i="66"/>
  <c r="BO15" i="66"/>
  <c r="BP15" i="66"/>
  <c r="BQ15" i="66"/>
  <c r="BR15" i="66"/>
  <c r="BS15" i="66"/>
  <c r="BT15" i="66"/>
  <c r="BU15" i="66"/>
  <c r="BV15" i="66"/>
  <c r="BW15" i="66"/>
  <c r="BX15" i="66"/>
  <c r="BY15" i="66"/>
  <c r="BZ15" i="66"/>
  <c r="BG16" i="66"/>
  <c r="BH16" i="66"/>
  <c r="BI16" i="66"/>
  <c r="BJ16" i="66"/>
  <c r="BK16" i="66"/>
  <c r="BL16" i="66"/>
  <c r="BM16" i="66"/>
  <c r="BN16" i="66"/>
  <c r="BO16" i="66"/>
  <c r="BP16" i="66"/>
  <c r="BQ16" i="66"/>
  <c r="BR16" i="66"/>
  <c r="BS16" i="66"/>
  <c r="BT16" i="66"/>
  <c r="BU16" i="66"/>
  <c r="BV16" i="66"/>
  <c r="BW16" i="66"/>
  <c r="BX16" i="66"/>
  <c r="BY16" i="66"/>
  <c r="BZ16" i="66"/>
  <c r="BH17" i="66"/>
  <c r="BI17" i="66"/>
  <c r="BJ17" i="66"/>
  <c r="BK17" i="66"/>
  <c r="BL17" i="66"/>
  <c r="BM17" i="66"/>
  <c r="BN17" i="66"/>
  <c r="BO17" i="66"/>
  <c r="BP17" i="66"/>
  <c r="BQ17" i="66"/>
  <c r="BR17" i="66"/>
  <c r="BS17" i="66"/>
  <c r="BT17" i="66"/>
  <c r="BU17" i="66"/>
  <c r="BV17" i="66"/>
  <c r="BW17" i="66"/>
  <c r="BX17" i="66"/>
  <c r="BY17" i="66"/>
  <c r="BZ17" i="66"/>
  <c r="BG18" i="66"/>
  <c r="BI18" i="66"/>
  <c r="BJ18" i="66"/>
  <c r="BK18" i="66"/>
  <c r="BL18" i="66"/>
  <c r="BM18" i="66"/>
  <c r="BN18" i="66"/>
  <c r="BO18" i="66"/>
  <c r="BP18" i="66"/>
  <c r="BQ18" i="66"/>
  <c r="BR18" i="66"/>
  <c r="BS18" i="66"/>
  <c r="BT18" i="66"/>
  <c r="BU18" i="66"/>
  <c r="BV18" i="66"/>
  <c r="BW18" i="66"/>
  <c r="BX18" i="66"/>
  <c r="BY18" i="66"/>
  <c r="BZ18" i="66"/>
  <c r="BG19" i="66"/>
  <c r="BH19" i="66"/>
  <c r="BJ19" i="66"/>
  <c r="BK19" i="66"/>
  <c r="BL19" i="66"/>
  <c r="BM19" i="66"/>
  <c r="BO19" i="66"/>
  <c r="BP19" i="66"/>
  <c r="BQ19" i="66"/>
  <c r="BR19" i="66"/>
  <c r="BS19" i="66"/>
  <c r="BT19" i="66"/>
  <c r="BU19" i="66"/>
  <c r="BV19" i="66"/>
  <c r="BW19" i="66"/>
  <c r="BX19" i="66"/>
  <c r="BY19" i="66"/>
  <c r="BZ19" i="66"/>
  <c r="BG20" i="66"/>
  <c r="BH20" i="66"/>
  <c r="BI20" i="66"/>
  <c r="BK20" i="66"/>
  <c r="BL20" i="66"/>
  <c r="BM20" i="66"/>
  <c r="BN20" i="66"/>
  <c r="BO20" i="66"/>
  <c r="BP20" i="66"/>
  <c r="BQ20" i="66"/>
  <c r="BR20" i="66"/>
  <c r="BS20" i="66"/>
  <c r="BT20" i="66"/>
  <c r="BU20" i="66"/>
  <c r="BV20" i="66"/>
  <c r="BW20" i="66"/>
  <c r="BX20" i="66"/>
  <c r="BY20" i="66"/>
  <c r="BZ20" i="66"/>
  <c r="BG21" i="66"/>
  <c r="BH21" i="66"/>
  <c r="BI21" i="66"/>
  <c r="BJ21" i="66"/>
  <c r="BL21" i="66"/>
  <c r="BM21" i="66"/>
  <c r="BN21" i="66"/>
  <c r="BO21" i="66"/>
  <c r="BP21" i="66"/>
  <c r="BQ21" i="66"/>
  <c r="BR21" i="66"/>
  <c r="BS21" i="66"/>
  <c r="BT21" i="66"/>
  <c r="BU21" i="66"/>
  <c r="BV21" i="66"/>
  <c r="BW21" i="66"/>
  <c r="BX21" i="66"/>
  <c r="BY21" i="66"/>
  <c r="BZ21" i="66"/>
  <c r="BG22" i="66"/>
  <c r="BH22" i="66"/>
  <c r="BI22" i="66"/>
  <c r="BJ22" i="66"/>
  <c r="BK22" i="66"/>
  <c r="BL22" i="66"/>
  <c r="BM22" i="66"/>
  <c r="BN22" i="66"/>
  <c r="BO22" i="66"/>
  <c r="BP22" i="66"/>
  <c r="BQ22" i="66"/>
  <c r="BR22" i="66"/>
  <c r="BS22" i="66"/>
  <c r="BT22" i="66"/>
  <c r="BU22" i="66"/>
  <c r="BV22" i="66"/>
  <c r="BW22" i="66"/>
  <c r="BX22" i="66"/>
  <c r="BY22" i="66"/>
  <c r="BZ22" i="66"/>
  <c r="BG23" i="66"/>
  <c r="BH23" i="66"/>
  <c r="BI23" i="66"/>
  <c r="BJ23" i="66"/>
  <c r="BK23" i="66"/>
  <c r="BL23" i="66"/>
  <c r="BM23" i="66"/>
  <c r="BN23" i="66"/>
  <c r="BO23" i="66"/>
  <c r="BP23" i="66"/>
  <c r="BQ23" i="66"/>
  <c r="BR23" i="66"/>
  <c r="BS23" i="66"/>
  <c r="BT23" i="66"/>
  <c r="BU23" i="66"/>
  <c r="BV23" i="66"/>
  <c r="BW23" i="66"/>
  <c r="BX23" i="66"/>
  <c r="BY23" i="66"/>
  <c r="BZ23" i="66"/>
  <c r="BH24" i="66"/>
  <c r="BI24" i="66"/>
  <c r="BJ24" i="66"/>
  <c r="BK24" i="66"/>
  <c r="BL24" i="66"/>
  <c r="BM24" i="66"/>
  <c r="BN24" i="66"/>
  <c r="BO24" i="66"/>
  <c r="BP24" i="66"/>
  <c r="BQ24" i="66"/>
  <c r="BR24" i="66"/>
  <c r="BS24" i="66"/>
  <c r="BT24" i="66"/>
  <c r="BU24" i="66"/>
  <c r="BV24" i="66"/>
  <c r="BW24" i="66"/>
  <c r="BX24" i="66"/>
  <c r="BY24" i="66"/>
  <c r="BZ24" i="66"/>
  <c r="BG25" i="66"/>
  <c r="BI25" i="66"/>
  <c r="BJ25" i="66"/>
  <c r="BK25" i="66"/>
  <c r="BL25" i="66"/>
  <c r="BM25" i="66"/>
  <c r="BN25" i="66"/>
  <c r="BO25" i="66"/>
  <c r="BP25" i="66"/>
  <c r="BQ25" i="66"/>
  <c r="BR25" i="66"/>
  <c r="BS25" i="66"/>
  <c r="BT25" i="66"/>
  <c r="BU25" i="66"/>
  <c r="BV25" i="66"/>
  <c r="BW25" i="66"/>
  <c r="BX25" i="66"/>
  <c r="BY25" i="66"/>
  <c r="BZ25" i="66"/>
  <c r="BG26" i="66"/>
  <c r="BH26" i="66"/>
  <c r="BJ26" i="66"/>
  <c r="BK26" i="66"/>
  <c r="BL26" i="66"/>
  <c r="BM26" i="66"/>
  <c r="BO26" i="66"/>
  <c r="BP26" i="66"/>
  <c r="BQ26" i="66"/>
  <c r="BR26" i="66"/>
  <c r="BS26" i="66"/>
  <c r="BT26" i="66"/>
  <c r="BU26" i="66"/>
  <c r="BV26" i="66"/>
  <c r="BW26" i="66"/>
  <c r="BX26" i="66"/>
  <c r="BY26" i="66"/>
  <c r="BZ26" i="66"/>
  <c r="BG27" i="66"/>
  <c r="BH27" i="66"/>
  <c r="BI27" i="66"/>
  <c r="BK27" i="66"/>
  <c r="BL27" i="66"/>
  <c r="BM27" i="66"/>
  <c r="BN27" i="66"/>
  <c r="BO27" i="66"/>
  <c r="BP27" i="66"/>
  <c r="BQ27" i="66"/>
  <c r="BR27" i="66"/>
  <c r="BS27" i="66"/>
  <c r="BT27" i="66"/>
  <c r="BU27" i="66"/>
  <c r="BV27" i="66"/>
  <c r="BW27" i="66"/>
  <c r="BX27" i="66"/>
  <c r="BY27" i="66"/>
  <c r="BZ27" i="66"/>
  <c r="BG28" i="66"/>
  <c r="BH28" i="66"/>
  <c r="BI28" i="66"/>
  <c r="BJ28" i="66"/>
  <c r="BL28" i="66"/>
  <c r="BM28" i="66"/>
  <c r="BN28" i="66"/>
  <c r="BO28" i="66"/>
  <c r="BP28" i="66"/>
  <c r="BQ28" i="66"/>
  <c r="BR28" i="66"/>
  <c r="BS28" i="66"/>
  <c r="BT28" i="66"/>
  <c r="BU28" i="66"/>
  <c r="BV28" i="66"/>
  <c r="BW28" i="66"/>
  <c r="BX28" i="66"/>
  <c r="BY28" i="66"/>
  <c r="BZ28" i="66"/>
  <c r="BG29" i="66"/>
  <c r="BH29" i="66"/>
  <c r="BI29" i="66"/>
  <c r="BJ29" i="66"/>
  <c r="BK29" i="66"/>
  <c r="BL29" i="66"/>
  <c r="BM29" i="66"/>
  <c r="BN29" i="66"/>
  <c r="BO29" i="66"/>
  <c r="BP29" i="66"/>
  <c r="BQ29" i="66"/>
  <c r="BR29" i="66"/>
  <c r="BS29" i="66"/>
  <c r="BT29" i="66"/>
  <c r="BU29" i="66"/>
  <c r="BV29" i="66"/>
  <c r="BW29" i="66"/>
  <c r="BX29" i="66"/>
  <c r="BY29" i="66"/>
  <c r="BZ29" i="66"/>
  <c r="BG30" i="66"/>
  <c r="BH30" i="66"/>
  <c r="BI30" i="66"/>
  <c r="BJ30" i="66"/>
  <c r="BK30" i="66"/>
  <c r="BL30" i="66"/>
  <c r="BM30" i="66"/>
  <c r="BN30" i="66"/>
  <c r="BO30" i="66"/>
  <c r="BP30" i="66"/>
  <c r="BQ30" i="66"/>
  <c r="BR30" i="66"/>
  <c r="BS30" i="66"/>
  <c r="BT30" i="66"/>
  <c r="BU30" i="66"/>
  <c r="BV30" i="66"/>
  <c r="BW30" i="66"/>
  <c r="BX30" i="66"/>
  <c r="BY30" i="66"/>
  <c r="BZ30" i="66"/>
  <c r="BG31" i="66"/>
  <c r="BH31" i="66"/>
  <c r="BI31" i="66"/>
  <c r="BJ31" i="66"/>
  <c r="BK31" i="66"/>
  <c r="BL31" i="66"/>
  <c r="BM31" i="66"/>
  <c r="BN31" i="66"/>
  <c r="BO31" i="66"/>
  <c r="BP31" i="66"/>
  <c r="BQ31" i="66"/>
  <c r="BR31" i="66"/>
  <c r="BS31" i="66"/>
  <c r="BT31" i="66"/>
  <c r="BU31" i="66"/>
  <c r="BV31" i="66"/>
  <c r="BW31" i="66"/>
  <c r="BX31" i="66"/>
  <c r="BY31" i="66"/>
  <c r="BZ31" i="66"/>
  <c r="BG32" i="66"/>
  <c r="BH32" i="66"/>
  <c r="BI32" i="66"/>
  <c r="BJ32" i="66"/>
  <c r="BK32" i="66"/>
  <c r="BL32" i="66"/>
  <c r="BM32" i="66"/>
  <c r="BN32" i="66"/>
  <c r="BO32" i="66"/>
  <c r="BP32" i="66"/>
  <c r="BQ32" i="66"/>
  <c r="BR32" i="66"/>
  <c r="BS32" i="66"/>
  <c r="BT32" i="66"/>
  <c r="BU32" i="66"/>
  <c r="BV32" i="66"/>
  <c r="BW32" i="66"/>
  <c r="BX32" i="66"/>
  <c r="BY32" i="66"/>
  <c r="BZ32" i="66"/>
  <c r="BG33" i="66"/>
  <c r="BH33" i="66"/>
  <c r="BI33" i="66"/>
  <c r="BJ33" i="66"/>
  <c r="BK33" i="66"/>
  <c r="BL33" i="66"/>
  <c r="BM33" i="66"/>
  <c r="BN33" i="66"/>
  <c r="BO33" i="66"/>
  <c r="BP33" i="66"/>
  <c r="BQ33" i="66"/>
  <c r="BR33" i="66"/>
  <c r="BS33" i="66"/>
  <c r="BT33" i="66"/>
  <c r="BU33" i="66"/>
  <c r="BV33" i="66"/>
  <c r="BW33" i="66"/>
  <c r="BX33" i="66"/>
  <c r="BY33" i="66"/>
  <c r="BZ33" i="66"/>
  <c r="BG34" i="66"/>
  <c r="BH34" i="66"/>
  <c r="BI34" i="66"/>
  <c r="BJ34" i="66"/>
  <c r="BK34" i="66"/>
  <c r="BL34" i="66"/>
  <c r="BM34" i="66"/>
  <c r="BN34" i="66"/>
  <c r="BO34" i="66"/>
  <c r="BP34" i="66"/>
  <c r="BQ34" i="66"/>
  <c r="BR34" i="66"/>
  <c r="BS34" i="66"/>
  <c r="BT34" i="66"/>
  <c r="BU34" i="66"/>
  <c r="BV34" i="66"/>
  <c r="BW34" i="66"/>
  <c r="BX34" i="66"/>
  <c r="BY34" i="66"/>
  <c r="BZ34" i="66"/>
  <c r="BG35" i="66"/>
  <c r="BH35" i="66"/>
  <c r="BI35" i="66"/>
  <c r="BJ35" i="66"/>
  <c r="BK35" i="66"/>
  <c r="BL35" i="66"/>
  <c r="BM35" i="66"/>
  <c r="BN35" i="66"/>
  <c r="BO35" i="66"/>
  <c r="BP35" i="66"/>
  <c r="BQ35" i="66"/>
  <c r="BR35" i="66"/>
  <c r="BS35" i="66"/>
  <c r="BT35" i="66"/>
  <c r="BU35" i="66"/>
  <c r="BV35" i="66"/>
  <c r="BW35" i="66"/>
  <c r="BX35" i="66"/>
  <c r="BY35" i="66"/>
  <c r="BZ35" i="66"/>
  <c r="BG36" i="66"/>
  <c r="BH36" i="66"/>
  <c r="BI36" i="66"/>
  <c r="BJ36" i="66"/>
  <c r="BK36" i="66"/>
  <c r="BL36" i="66"/>
  <c r="BM36" i="66"/>
  <c r="BN36" i="66"/>
  <c r="BO36" i="66"/>
  <c r="BP36" i="66"/>
  <c r="BQ36" i="66"/>
  <c r="BR36" i="66"/>
  <c r="BS36" i="66"/>
  <c r="BT36" i="66"/>
  <c r="BU36" i="66"/>
  <c r="BV36" i="66"/>
  <c r="BW36" i="66"/>
  <c r="BX36" i="66"/>
  <c r="BY36" i="66"/>
  <c r="BZ36" i="66"/>
  <c r="BG37" i="66"/>
  <c r="BH37" i="66"/>
  <c r="BI37" i="66"/>
  <c r="BJ37" i="66"/>
  <c r="BK37" i="66"/>
  <c r="BL37" i="66"/>
  <c r="BM37" i="66"/>
  <c r="BN37" i="66"/>
  <c r="BO37" i="66"/>
  <c r="BP37" i="66"/>
  <c r="BQ37" i="66"/>
  <c r="BR37" i="66"/>
  <c r="BS37" i="66"/>
  <c r="BT37" i="66"/>
  <c r="BU37" i="66"/>
  <c r="BV37" i="66"/>
  <c r="BW37" i="66"/>
  <c r="BX37" i="66"/>
  <c r="BY37" i="66"/>
  <c r="BZ37" i="66"/>
  <c r="BG38" i="66"/>
  <c r="BH38" i="66"/>
  <c r="BI38" i="66"/>
  <c r="BJ38" i="66"/>
  <c r="BK38" i="66"/>
  <c r="BL38" i="66"/>
  <c r="BM38" i="66"/>
  <c r="BN38" i="66"/>
  <c r="BO38" i="66"/>
  <c r="BP38" i="66"/>
  <c r="BQ38" i="66"/>
  <c r="BR38" i="66"/>
  <c r="BS38" i="66"/>
  <c r="BT38" i="66"/>
  <c r="BU38" i="66"/>
  <c r="BV38" i="66"/>
  <c r="BW38" i="66"/>
  <c r="BX38" i="66"/>
  <c r="BY38" i="66"/>
  <c r="BZ38" i="66"/>
  <c r="BG39" i="66"/>
  <c r="BH39" i="66"/>
  <c r="BI39" i="66"/>
  <c r="BJ39" i="66"/>
  <c r="BK39" i="66"/>
  <c r="BL39" i="66"/>
  <c r="BM39" i="66"/>
  <c r="BN39" i="66"/>
  <c r="BO39" i="66"/>
  <c r="BP39" i="66"/>
  <c r="BQ39" i="66"/>
  <c r="BR39" i="66"/>
  <c r="BS39" i="66"/>
  <c r="BT39" i="66"/>
  <c r="BU39" i="66"/>
  <c r="BV39" i="66"/>
  <c r="BW39" i="66"/>
  <c r="BX39" i="66"/>
  <c r="BY39" i="66"/>
  <c r="BZ39" i="66"/>
  <c r="BZ9" i="66"/>
  <c r="BY9" i="66"/>
  <c r="BX9" i="66"/>
  <c r="BW9" i="66"/>
  <c r="BV9" i="66"/>
  <c r="BU9" i="66"/>
  <c r="BT9" i="66"/>
  <c r="BS9" i="66"/>
  <c r="BR9" i="66"/>
  <c r="BQ9" i="66"/>
  <c r="BP9" i="66"/>
  <c r="BO9" i="66"/>
  <c r="BN9" i="66"/>
  <c r="BM9" i="66"/>
  <c r="BL9" i="66"/>
  <c r="BK9" i="66"/>
  <c r="BJ9" i="66"/>
  <c r="BI9" i="66"/>
  <c r="BH9" i="66"/>
  <c r="BG9" i="66"/>
  <c r="BG10" i="65"/>
  <c r="BH10" i="65"/>
  <c r="BI10" i="65"/>
  <c r="BJ10" i="65"/>
  <c r="BK10" i="65"/>
  <c r="BL10" i="65"/>
  <c r="BM10" i="65"/>
  <c r="BN10" i="65"/>
  <c r="BO10" i="65"/>
  <c r="BP10" i="65"/>
  <c r="BQ10" i="65"/>
  <c r="BR10" i="65"/>
  <c r="BS10" i="65"/>
  <c r="BT10" i="65"/>
  <c r="BU10" i="65"/>
  <c r="BV10" i="65"/>
  <c r="BW10" i="65"/>
  <c r="BX10" i="65"/>
  <c r="BY10" i="65"/>
  <c r="BZ10" i="65"/>
  <c r="BG11" i="65"/>
  <c r="BH11" i="65"/>
  <c r="BI11" i="65"/>
  <c r="BJ11" i="65"/>
  <c r="BK11" i="65"/>
  <c r="BL11" i="65"/>
  <c r="BM11" i="65"/>
  <c r="BN11" i="65"/>
  <c r="BO11" i="65"/>
  <c r="BP11" i="65"/>
  <c r="BQ11" i="65"/>
  <c r="BR11" i="65"/>
  <c r="BS11" i="65"/>
  <c r="BT11" i="65"/>
  <c r="BU11" i="65"/>
  <c r="BV11" i="65"/>
  <c r="BW11" i="65"/>
  <c r="BX11" i="65"/>
  <c r="BY11" i="65"/>
  <c r="BZ11" i="65"/>
  <c r="BH12" i="65"/>
  <c r="BI12" i="65"/>
  <c r="BJ12" i="65"/>
  <c r="BK12" i="65"/>
  <c r="BL12" i="65"/>
  <c r="BM12" i="65"/>
  <c r="BN12" i="65"/>
  <c r="BO12" i="65"/>
  <c r="BP12" i="65"/>
  <c r="BQ12" i="65"/>
  <c r="BR12" i="65"/>
  <c r="BS12" i="65"/>
  <c r="BT12" i="65"/>
  <c r="BU12" i="65"/>
  <c r="BV12" i="65"/>
  <c r="BW12" i="65"/>
  <c r="BX12" i="65"/>
  <c r="BY12" i="65"/>
  <c r="BZ12" i="65"/>
  <c r="BG13" i="65"/>
  <c r="BI13" i="65"/>
  <c r="BJ13" i="65"/>
  <c r="BK13" i="65"/>
  <c r="BL13" i="65"/>
  <c r="BM13" i="65"/>
  <c r="BN13" i="65"/>
  <c r="BO13" i="65"/>
  <c r="BP13" i="65"/>
  <c r="BQ13" i="65"/>
  <c r="BR13" i="65"/>
  <c r="BS13" i="65"/>
  <c r="BT13" i="65"/>
  <c r="BU13" i="65"/>
  <c r="BV13" i="65"/>
  <c r="BW13" i="65"/>
  <c r="BX13" i="65"/>
  <c r="BY13" i="65"/>
  <c r="BZ13" i="65"/>
  <c r="BG14" i="65"/>
  <c r="BH14" i="65"/>
  <c r="BJ14" i="65"/>
  <c r="BK14" i="65"/>
  <c r="BL14" i="65"/>
  <c r="BM14" i="65"/>
  <c r="BO14" i="65"/>
  <c r="BP14" i="65"/>
  <c r="BQ14" i="65"/>
  <c r="BR14" i="65"/>
  <c r="BS14" i="65"/>
  <c r="BT14" i="65"/>
  <c r="BU14" i="65"/>
  <c r="BV14" i="65"/>
  <c r="BW14" i="65"/>
  <c r="BX14" i="65"/>
  <c r="BY14" i="65"/>
  <c r="BZ14" i="65"/>
  <c r="BG15" i="65"/>
  <c r="BH15" i="65"/>
  <c r="BI15" i="65"/>
  <c r="BK15" i="65"/>
  <c r="BL15" i="65"/>
  <c r="BM15" i="65"/>
  <c r="BN15" i="65"/>
  <c r="BO15" i="65"/>
  <c r="BP15" i="65"/>
  <c r="BQ15" i="65"/>
  <c r="BR15" i="65"/>
  <c r="BS15" i="65"/>
  <c r="BT15" i="65"/>
  <c r="BU15" i="65"/>
  <c r="BV15" i="65"/>
  <c r="BW15" i="65"/>
  <c r="BX15" i="65"/>
  <c r="BY15" i="65"/>
  <c r="BZ15" i="65"/>
  <c r="BG16" i="65"/>
  <c r="BH16" i="65"/>
  <c r="BI16" i="65"/>
  <c r="BJ16" i="65"/>
  <c r="BL16" i="65"/>
  <c r="BM16" i="65"/>
  <c r="BN16" i="65"/>
  <c r="BO16" i="65"/>
  <c r="BP16" i="65"/>
  <c r="BQ16" i="65"/>
  <c r="BR16" i="65"/>
  <c r="BS16" i="65"/>
  <c r="BT16" i="65"/>
  <c r="BU16" i="65"/>
  <c r="BV16" i="65"/>
  <c r="BW16" i="65"/>
  <c r="BX16" i="65"/>
  <c r="BY16" i="65"/>
  <c r="BZ16" i="65"/>
  <c r="BG17" i="65"/>
  <c r="BH17" i="65"/>
  <c r="BI17" i="65"/>
  <c r="BJ17" i="65"/>
  <c r="BK17" i="65"/>
  <c r="BL17" i="65"/>
  <c r="BM17" i="65"/>
  <c r="BN17" i="65"/>
  <c r="BO17" i="65"/>
  <c r="BP17" i="65"/>
  <c r="BQ17" i="65"/>
  <c r="BR17" i="65"/>
  <c r="BS17" i="65"/>
  <c r="BT17" i="65"/>
  <c r="BU17" i="65"/>
  <c r="BV17" i="65"/>
  <c r="BW17" i="65"/>
  <c r="BX17" i="65"/>
  <c r="BY17" i="65"/>
  <c r="BZ17" i="65"/>
  <c r="BG18" i="65"/>
  <c r="BH18" i="65"/>
  <c r="BI18" i="65"/>
  <c r="BJ18" i="65"/>
  <c r="BK18" i="65"/>
  <c r="BL18" i="65"/>
  <c r="BM18" i="65"/>
  <c r="BN18" i="65"/>
  <c r="BO18" i="65"/>
  <c r="BP18" i="65"/>
  <c r="BQ18" i="65"/>
  <c r="BR18" i="65"/>
  <c r="BS18" i="65"/>
  <c r="BT18" i="65"/>
  <c r="BU18" i="65"/>
  <c r="BV18" i="65"/>
  <c r="BW18" i="65"/>
  <c r="BX18" i="65"/>
  <c r="BY18" i="65"/>
  <c r="BZ18" i="65"/>
  <c r="BH19" i="65"/>
  <c r="BI19" i="65"/>
  <c r="BJ19" i="65"/>
  <c r="BK19" i="65"/>
  <c r="BL19" i="65"/>
  <c r="BM19" i="65"/>
  <c r="BN19" i="65"/>
  <c r="BO19" i="65"/>
  <c r="BP19" i="65"/>
  <c r="BQ19" i="65"/>
  <c r="BR19" i="65"/>
  <c r="BS19" i="65"/>
  <c r="BT19" i="65"/>
  <c r="BU19" i="65"/>
  <c r="BV19" i="65"/>
  <c r="BW19" i="65"/>
  <c r="BX19" i="65"/>
  <c r="BY19" i="65"/>
  <c r="BZ19" i="65"/>
  <c r="BG20" i="65"/>
  <c r="BI20" i="65"/>
  <c r="BJ20" i="65"/>
  <c r="BK20" i="65"/>
  <c r="BL20" i="65"/>
  <c r="BM20" i="65"/>
  <c r="BN20" i="65"/>
  <c r="BO20" i="65"/>
  <c r="BP20" i="65"/>
  <c r="BQ20" i="65"/>
  <c r="BR20" i="65"/>
  <c r="BS20" i="65"/>
  <c r="BT20" i="65"/>
  <c r="BU20" i="65"/>
  <c r="BV20" i="65"/>
  <c r="BW20" i="65"/>
  <c r="BX20" i="65"/>
  <c r="BY20" i="65"/>
  <c r="BZ20" i="65"/>
  <c r="BG21" i="65"/>
  <c r="BH21" i="65"/>
  <c r="BJ21" i="65"/>
  <c r="BK21" i="65"/>
  <c r="BL21" i="65"/>
  <c r="BM21" i="65"/>
  <c r="BO21" i="65"/>
  <c r="BP21" i="65"/>
  <c r="BQ21" i="65"/>
  <c r="BR21" i="65"/>
  <c r="BS21" i="65"/>
  <c r="BT21" i="65"/>
  <c r="BU21" i="65"/>
  <c r="BV21" i="65"/>
  <c r="BW21" i="65"/>
  <c r="BX21" i="65"/>
  <c r="BY21" i="65"/>
  <c r="BZ21" i="65"/>
  <c r="BG22" i="65"/>
  <c r="BH22" i="65"/>
  <c r="BI22" i="65"/>
  <c r="BK22" i="65"/>
  <c r="BL22" i="65"/>
  <c r="BM22" i="65"/>
  <c r="BN22" i="65"/>
  <c r="BO22" i="65"/>
  <c r="BP22" i="65"/>
  <c r="BQ22" i="65"/>
  <c r="BR22" i="65"/>
  <c r="BS22" i="65"/>
  <c r="BT22" i="65"/>
  <c r="BU22" i="65"/>
  <c r="BV22" i="65"/>
  <c r="BW22" i="65"/>
  <c r="BX22" i="65"/>
  <c r="BY22" i="65"/>
  <c r="BZ22" i="65"/>
  <c r="BG23" i="65"/>
  <c r="BH23" i="65"/>
  <c r="BI23" i="65"/>
  <c r="BJ23" i="65"/>
  <c r="BL23" i="65"/>
  <c r="BM23" i="65"/>
  <c r="BN23" i="65"/>
  <c r="BO23" i="65"/>
  <c r="BP23" i="65"/>
  <c r="BQ23" i="65"/>
  <c r="BR23" i="65"/>
  <c r="BS23" i="65"/>
  <c r="BT23" i="65"/>
  <c r="BU23" i="65"/>
  <c r="BV23" i="65"/>
  <c r="BW23" i="65"/>
  <c r="BX23" i="65"/>
  <c r="BY23" i="65"/>
  <c r="BZ23" i="65"/>
  <c r="BG24" i="65"/>
  <c r="BH24" i="65"/>
  <c r="BI24" i="65"/>
  <c r="BJ24" i="65"/>
  <c r="BK24" i="65"/>
  <c r="BL24" i="65"/>
  <c r="BM24" i="65"/>
  <c r="BN24" i="65"/>
  <c r="BO24" i="65"/>
  <c r="BP24" i="65"/>
  <c r="BQ24" i="65"/>
  <c r="BR24" i="65"/>
  <c r="BS24" i="65"/>
  <c r="BT24" i="65"/>
  <c r="BU24" i="65"/>
  <c r="BV24" i="65"/>
  <c r="BW24" i="65"/>
  <c r="BX24" i="65"/>
  <c r="BY24" i="65"/>
  <c r="BZ24" i="65"/>
  <c r="BG25" i="65"/>
  <c r="BH25" i="65"/>
  <c r="BI25" i="65"/>
  <c r="BJ25" i="65"/>
  <c r="BK25" i="65"/>
  <c r="BL25" i="65"/>
  <c r="BM25" i="65"/>
  <c r="BN25" i="65"/>
  <c r="BO25" i="65"/>
  <c r="BP25" i="65"/>
  <c r="BQ25" i="65"/>
  <c r="BR25" i="65"/>
  <c r="BS25" i="65"/>
  <c r="BT25" i="65"/>
  <c r="BU25" i="65"/>
  <c r="BV25" i="65"/>
  <c r="BW25" i="65"/>
  <c r="BX25" i="65"/>
  <c r="BY25" i="65"/>
  <c r="BZ25" i="65"/>
  <c r="BH26" i="65"/>
  <c r="BI26" i="65"/>
  <c r="BJ26" i="65"/>
  <c r="BK26" i="65"/>
  <c r="BL26" i="65"/>
  <c r="BM26" i="65"/>
  <c r="BN26" i="65"/>
  <c r="BO26" i="65"/>
  <c r="BP26" i="65"/>
  <c r="BQ26" i="65"/>
  <c r="BR26" i="65"/>
  <c r="BS26" i="65"/>
  <c r="BT26" i="65"/>
  <c r="BU26" i="65"/>
  <c r="BV26" i="65"/>
  <c r="BW26" i="65"/>
  <c r="BX26" i="65"/>
  <c r="BY26" i="65"/>
  <c r="BZ26" i="65"/>
  <c r="BG27" i="65"/>
  <c r="BI27" i="65"/>
  <c r="BJ27" i="65"/>
  <c r="BK27" i="65"/>
  <c r="BL27" i="65"/>
  <c r="BM27" i="65"/>
  <c r="BN27" i="65"/>
  <c r="BO27" i="65"/>
  <c r="BP27" i="65"/>
  <c r="BQ27" i="65"/>
  <c r="BR27" i="65"/>
  <c r="BS27" i="65"/>
  <c r="BT27" i="65"/>
  <c r="BU27" i="65"/>
  <c r="BV27" i="65"/>
  <c r="BW27" i="65"/>
  <c r="BX27" i="65"/>
  <c r="BY27" i="65"/>
  <c r="BZ27" i="65"/>
  <c r="BG28" i="65"/>
  <c r="BH28" i="65"/>
  <c r="BJ28" i="65"/>
  <c r="BK28" i="65"/>
  <c r="BL28" i="65"/>
  <c r="BM28" i="65"/>
  <c r="BO28" i="65"/>
  <c r="BP28" i="65"/>
  <c r="BQ28" i="65"/>
  <c r="BR28" i="65"/>
  <c r="BS28" i="65"/>
  <c r="BT28" i="65"/>
  <c r="BU28" i="65"/>
  <c r="BV28" i="65"/>
  <c r="BW28" i="65"/>
  <c r="BX28" i="65"/>
  <c r="BY28" i="65"/>
  <c r="BZ28" i="65"/>
  <c r="BG29" i="65"/>
  <c r="BH29" i="65"/>
  <c r="BI29" i="65"/>
  <c r="BK29" i="65"/>
  <c r="BL29" i="65"/>
  <c r="BM29" i="65"/>
  <c r="BN29" i="65"/>
  <c r="BO29" i="65"/>
  <c r="BP29" i="65"/>
  <c r="BQ29" i="65"/>
  <c r="BR29" i="65"/>
  <c r="BS29" i="65"/>
  <c r="BT29" i="65"/>
  <c r="BU29" i="65"/>
  <c r="BV29" i="65"/>
  <c r="BW29" i="65"/>
  <c r="BX29" i="65"/>
  <c r="BY29" i="65"/>
  <c r="BZ29" i="65"/>
  <c r="BG30" i="65"/>
  <c r="BH30" i="65"/>
  <c r="BI30" i="65"/>
  <c r="BJ30" i="65"/>
  <c r="BL30" i="65"/>
  <c r="BM30" i="65"/>
  <c r="BN30" i="65"/>
  <c r="BO30" i="65"/>
  <c r="BP30" i="65"/>
  <c r="BQ30" i="65"/>
  <c r="BR30" i="65"/>
  <c r="BS30" i="65"/>
  <c r="BT30" i="65"/>
  <c r="BU30" i="65"/>
  <c r="BV30" i="65"/>
  <c r="BW30" i="65"/>
  <c r="BX30" i="65"/>
  <c r="BY30" i="65"/>
  <c r="BZ30" i="65"/>
  <c r="BG31" i="65"/>
  <c r="BH31" i="65"/>
  <c r="BI31" i="65"/>
  <c r="BJ31" i="65"/>
  <c r="BK31" i="65"/>
  <c r="BL31" i="65"/>
  <c r="BM31" i="65"/>
  <c r="BN31" i="65"/>
  <c r="BO31" i="65"/>
  <c r="BP31" i="65"/>
  <c r="BQ31" i="65"/>
  <c r="BR31" i="65"/>
  <c r="BS31" i="65"/>
  <c r="BT31" i="65"/>
  <c r="BU31" i="65"/>
  <c r="BV31" i="65"/>
  <c r="BW31" i="65"/>
  <c r="BX31" i="65"/>
  <c r="BY31" i="65"/>
  <c r="BZ31" i="65"/>
  <c r="BG32" i="65"/>
  <c r="BH32" i="65"/>
  <c r="BI32" i="65"/>
  <c r="BJ32" i="65"/>
  <c r="BK32" i="65"/>
  <c r="BL32" i="65"/>
  <c r="BM32" i="65"/>
  <c r="BN32" i="65"/>
  <c r="BO32" i="65"/>
  <c r="BP32" i="65"/>
  <c r="BQ32" i="65"/>
  <c r="BR32" i="65"/>
  <c r="BS32" i="65"/>
  <c r="BT32" i="65"/>
  <c r="BU32" i="65"/>
  <c r="BV32" i="65"/>
  <c r="BW32" i="65"/>
  <c r="BX32" i="65"/>
  <c r="BY32" i="65"/>
  <c r="BZ32" i="65"/>
  <c r="BH33" i="65"/>
  <c r="BI33" i="65"/>
  <c r="BJ33" i="65"/>
  <c r="BK33" i="65"/>
  <c r="BL33" i="65"/>
  <c r="BM33" i="65"/>
  <c r="BN33" i="65"/>
  <c r="BO33" i="65"/>
  <c r="BP33" i="65"/>
  <c r="BQ33" i="65"/>
  <c r="BR33" i="65"/>
  <c r="BS33" i="65"/>
  <c r="BT33" i="65"/>
  <c r="BU33" i="65"/>
  <c r="BV33" i="65"/>
  <c r="BW33" i="65"/>
  <c r="BX33" i="65"/>
  <c r="BY33" i="65"/>
  <c r="BZ33" i="65"/>
  <c r="BG34" i="65"/>
  <c r="BI34" i="65"/>
  <c r="BJ34" i="65"/>
  <c r="BK34" i="65"/>
  <c r="BL34" i="65"/>
  <c r="BM34" i="65"/>
  <c r="BN34" i="65"/>
  <c r="BO34" i="65"/>
  <c r="BP34" i="65"/>
  <c r="BQ34" i="65"/>
  <c r="BR34" i="65"/>
  <c r="BS34" i="65"/>
  <c r="BT34" i="65"/>
  <c r="BU34" i="65"/>
  <c r="BV34" i="65"/>
  <c r="BW34" i="65"/>
  <c r="BX34" i="65"/>
  <c r="BY34" i="65"/>
  <c r="BZ34" i="65"/>
  <c r="BG35" i="65"/>
  <c r="BH35" i="65"/>
  <c r="BJ35" i="65"/>
  <c r="BK35" i="65"/>
  <c r="BL35" i="65"/>
  <c r="BM35" i="65"/>
  <c r="BO35" i="65"/>
  <c r="BP35" i="65"/>
  <c r="BQ35" i="65"/>
  <c r="BR35" i="65"/>
  <c r="BS35" i="65"/>
  <c r="BT35" i="65"/>
  <c r="BU35" i="65"/>
  <c r="BV35" i="65"/>
  <c r="BW35" i="65"/>
  <c r="BX35" i="65"/>
  <c r="BY35" i="65"/>
  <c r="BZ35" i="65"/>
  <c r="BG36" i="65"/>
  <c r="BH36" i="65"/>
  <c r="BI36" i="65"/>
  <c r="BK36" i="65"/>
  <c r="BL36" i="65"/>
  <c r="BM36" i="65"/>
  <c r="BN36" i="65"/>
  <c r="BO36" i="65"/>
  <c r="BP36" i="65"/>
  <c r="BQ36" i="65"/>
  <c r="BR36" i="65"/>
  <c r="BS36" i="65"/>
  <c r="BT36" i="65"/>
  <c r="BU36" i="65"/>
  <c r="BV36" i="65"/>
  <c r="BW36" i="65"/>
  <c r="BX36" i="65"/>
  <c r="BY36" i="65"/>
  <c r="BZ36" i="65"/>
  <c r="BG37" i="65"/>
  <c r="BH37" i="65"/>
  <c r="BI37" i="65"/>
  <c r="BJ37" i="65"/>
  <c r="BL37" i="65"/>
  <c r="BM37" i="65"/>
  <c r="BN37" i="65"/>
  <c r="BO37" i="65"/>
  <c r="BP37" i="65"/>
  <c r="BQ37" i="65"/>
  <c r="BR37" i="65"/>
  <c r="BS37" i="65"/>
  <c r="BT37" i="65"/>
  <c r="BU37" i="65"/>
  <c r="BV37" i="65"/>
  <c r="BW37" i="65"/>
  <c r="BX37" i="65"/>
  <c r="BY37" i="65"/>
  <c r="BZ37" i="65"/>
  <c r="BG38" i="65"/>
  <c r="BH38" i="65"/>
  <c r="BI38" i="65"/>
  <c r="BJ38" i="65"/>
  <c r="BK38" i="65"/>
  <c r="BL38" i="65"/>
  <c r="BM38" i="65"/>
  <c r="BN38" i="65"/>
  <c r="BO38" i="65"/>
  <c r="BP38" i="65"/>
  <c r="BQ38" i="65"/>
  <c r="BR38" i="65"/>
  <c r="BS38" i="65"/>
  <c r="BT38" i="65"/>
  <c r="BU38" i="65"/>
  <c r="BV38" i="65"/>
  <c r="BW38" i="65"/>
  <c r="BX38" i="65"/>
  <c r="BY38" i="65"/>
  <c r="BZ38" i="65"/>
  <c r="BZ9" i="65"/>
  <c r="BY9" i="65"/>
  <c r="BX9" i="65"/>
  <c r="BW9" i="65"/>
  <c r="BV9" i="65"/>
  <c r="BU9" i="65"/>
  <c r="BT9" i="65"/>
  <c r="BS9" i="65"/>
  <c r="BR9" i="65"/>
  <c r="BQ9" i="65"/>
  <c r="BP9" i="65"/>
  <c r="BO9" i="65"/>
  <c r="BN9" i="65"/>
  <c r="BM9" i="65"/>
  <c r="BL9" i="65"/>
  <c r="BJ9" i="65"/>
  <c r="BI9" i="65"/>
  <c r="BH9" i="65"/>
  <c r="BG9" i="65"/>
  <c r="BG10" i="64"/>
  <c r="BH10" i="64"/>
  <c r="BJ10" i="64"/>
  <c r="BK10" i="64"/>
  <c r="BL10" i="64"/>
  <c r="BM10" i="64"/>
  <c r="BO10" i="64"/>
  <c r="BP10" i="64"/>
  <c r="BQ10" i="64"/>
  <c r="BR10" i="64"/>
  <c r="BS10" i="64"/>
  <c r="BT10" i="64"/>
  <c r="BU10" i="64"/>
  <c r="BV10" i="64"/>
  <c r="BW10" i="64"/>
  <c r="BX10" i="64"/>
  <c r="BY10" i="64"/>
  <c r="BZ10" i="64"/>
  <c r="BG11" i="64"/>
  <c r="BH11" i="64"/>
  <c r="BI11" i="64"/>
  <c r="BK11" i="64"/>
  <c r="BL11" i="64"/>
  <c r="BM11" i="64"/>
  <c r="BN11" i="64"/>
  <c r="BO11" i="64"/>
  <c r="BP11" i="64"/>
  <c r="BQ11" i="64"/>
  <c r="BR11" i="64"/>
  <c r="BS11" i="64"/>
  <c r="BT11" i="64"/>
  <c r="BU11" i="64"/>
  <c r="BV11" i="64"/>
  <c r="BW11" i="64"/>
  <c r="BX11" i="64"/>
  <c r="BY11" i="64"/>
  <c r="BZ11" i="64"/>
  <c r="BG12" i="64"/>
  <c r="BH12" i="64"/>
  <c r="BI12" i="64"/>
  <c r="BJ12" i="64"/>
  <c r="BL12" i="64"/>
  <c r="BM12" i="64"/>
  <c r="BN12" i="64"/>
  <c r="BO12" i="64"/>
  <c r="BP12" i="64"/>
  <c r="BQ12" i="64"/>
  <c r="BR12" i="64"/>
  <c r="BS12" i="64"/>
  <c r="BT12" i="64"/>
  <c r="BU12" i="64"/>
  <c r="BV12" i="64"/>
  <c r="BW12" i="64"/>
  <c r="BX12" i="64"/>
  <c r="BY12" i="64"/>
  <c r="BZ12" i="64"/>
  <c r="BG13" i="64"/>
  <c r="BH13" i="64"/>
  <c r="BI13" i="64"/>
  <c r="BJ13" i="64"/>
  <c r="BK13" i="64"/>
  <c r="BL13" i="64"/>
  <c r="BM13" i="64"/>
  <c r="BN13" i="64"/>
  <c r="BO13" i="64"/>
  <c r="BP13" i="64"/>
  <c r="BQ13" i="64"/>
  <c r="BR13" i="64"/>
  <c r="BS13" i="64"/>
  <c r="BT13" i="64"/>
  <c r="BU13" i="64"/>
  <c r="BV13" i="64"/>
  <c r="BW13" i="64"/>
  <c r="BX13" i="64"/>
  <c r="BY13" i="64"/>
  <c r="BZ13" i="64"/>
  <c r="BG14" i="64"/>
  <c r="BH14" i="64"/>
  <c r="BI14" i="64"/>
  <c r="BJ14" i="64"/>
  <c r="BK14" i="64"/>
  <c r="BL14" i="64"/>
  <c r="BM14" i="64"/>
  <c r="BN14" i="64"/>
  <c r="BO14" i="64"/>
  <c r="BP14" i="64"/>
  <c r="BQ14" i="64"/>
  <c r="BR14" i="64"/>
  <c r="BS14" i="64"/>
  <c r="BT14" i="64"/>
  <c r="BU14" i="64"/>
  <c r="BV14" i="64"/>
  <c r="BW14" i="64"/>
  <c r="BX14" i="64"/>
  <c r="BY14" i="64"/>
  <c r="BZ14" i="64"/>
  <c r="BH15" i="64"/>
  <c r="BI15" i="64"/>
  <c r="BJ15" i="64"/>
  <c r="BK15" i="64"/>
  <c r="BL15" i="64"/>
  <c r="BM15" i="64"/>
  <c r="BN15" i="64"/>
  <c r="BO15" i="64"/>
  <c r="BP15" i="64"/>
  <c r="BQ15" i="64"/>
  <c r="BR15" i="64"/>
  <c r="BS15" i="64"/>
  <c r="BT15" i="64"/>
  <c r="BU15" i="64"/>
  <c r="BV15" i="64"/>
  <c r="BW15" i="64"/>
  <c r="BX15" i="64"/>
  <c r="BY15" i="64"/>
  <c r="BZ15" i="64"/>
  <c r="BG16" i="64"/>
  <c r="BI16" i="64"/>
  <c r="BJ16" i="64"/>
  <c r="BK16" i="64"/>
  <c r="BL16" i="64"/>
  <c r="BM16" i="64"/>
  <c r="BN16" i="64"/>
  <c r="BO16" i="64"/>
  <c r="BP16" i="64"/>
  <c r="BQ16" i="64"/>
  <c r="BR16" i="64"/>
  <c r="BS16" i="64"/>
  <c r="BT16" i="64"/>
  <c r="BU16" i="64"/>
  <c r="BV16" i="64"/>
  <c r="BW16" i="64"/>
  <c r="BX16" i="64"/>
  <c r="BY16" i="64"/>
  <c r="BZ16" i="64"/>
  <c r="BG17" i="64"/>
  <c r="BH17" i="64"/>
  <c r="BJ17" i="64"/>
  <c r="BK17" i="64"/>
  <c r="BL17" i="64"/>
  <c r="BM17" i="64"/>
  <c r="BO17" i="64"/>
  <c r="BP17" i="64"/>
  <c r="BQ17" i="64"/>
  <c r="BR17" i="64"/>
  <c r="BS17" i="64"/>
  <c r="BT17" i="64"/>
  <c r="BU17" i="64"/>
  <c r="BV17" i="64"/>
  <c r="BW17" i="64"/>
  <c r="BX17" i="64"/>
  <c r="BY17" i="64"/>
  <c r="BZ17" i="64"/>
  <c r="BG18" i="64"/>
  <c r="BH18" i="64"/>
  <c r="BI18" i="64"/>
  <c r="BK18" i="64"/>
  <c r="BL18" i="64"/>
  <c r="BM18" i="64"/>
  <c r="BN18" i="64"/>
  <c r="BO18" i="64"/>
  <c r="BP18" i="64"/>
  <c r="BQ18" i="64"/>
  <c r="BR18" i="64"/>
  <c r="BS18" i="64"/>
  <c r="BT18" i="64"/>
  <c r="BU18" i="64"/>
  <c r="BV18" i="64"/>
  <c r="BW18" i="64"/>
  <c r="BX18" i="64"/>
  <c r="BY18" i="64"/>
  <c r="BZ18" i="64"/>
  <c r="BG19" i="64"/>
  <c r="BH19" i="64"/>
  <c r="BI19" i="64"/>
  <c r="BJ19" i="64"/>
  <c r="BL19" i="64"/>
  <c r="BM19" i="64"/>
  <c r="BN19" i="64"/>
  <c r="BO19" i="64"/>
  <c r="BP19" i="64"/>
  <c r="BQ19" i="64"/>
  <c r="BR19" i="64"/>
  <c r="BS19" i="64"/>
  <c r="BT19" i="64"/>
  <c r="BU19" i="64"/>
  <c r="BV19" i="64"/>
  <c r="BW19" i="64"/>
  <c r="BX19" i="64"/>
  <c r="BY19" i="64"/>
  <c r="BZ19" i="64"/>
  <c r="BG20" i="64"/>
  <c r="BH20" i="64"/>
  <c r="BI20" i="64"/>
  <c r="BJ20" i="64"/>
  <c r="BK20" i="64"/>
  <c r="BL20" i="64"/>
  <c r="BM20" i="64"/>
  <c r="BN20" i="64"/>
  <c r="BO20" i="64"/>
  <c r="BP20" i="64"/>
  <c r="BQ20" i="64"/>
  <c r="BR20" i="64"/>
  <c r="BS20" i="64"/>
  <c r="BT20" i="64"/>
  <c r="BU20" i="64"/>
  <c r="BV20" i="64"/>
  <c r="BW20" i="64"/>
  <c r="BX20" i="64"/>
  <c r="BY20" i="64"/>
  <c r="BZ20" i="64"/>
  <c r="BG21" i="64"/>
  <c r="BH21" i="64"/>
  <c r="BI21" i="64"/>
  <c r="BJ21" i="64"/>
  <c r="BK21" i="64"/>
  <c r="BL21" i="64"/>
  <c r="BM21" i="64"/>
  <c r="BN21" i="64"/>
  <c r="BO21" i="64"/>
  <c r="BP21" i="64"/>
  <c r="BQ21" i="64"/>
  <c r="BR21" i="64"/>
  <c r="BS21" i="64"/>
  <c r="BT21" i="64"/>
  <c r="BU21" i="64"/>
  <c r="BV21" i="64"/>
  <c r="BW21" i="64"/>
  <c r="BX21" i="64"/>
  <c r="BY21" i="64"/>
  <c r="BZ21" i="64"/>
  <c r="BG22" i="64"/>
  <c r="BH22" i="64"/>
  <c r="BI22" i="64"/>
  <c r="BJ22" i="64"/>
  <c r="BK22" i="64"/>
  <c r="BL22" i="64"/>
  <c r="BM22" i="64"/>
  <c r="BN22" i="64"/>
  <c r="BO22" i="64"/>
  <c r="BP22" i="64"/>
  <c r="BQ22" i="64"/>
  <c r="BR22" i="64"/>
  <c r="BS22" i="64"/>
  <c r="BT22" i="64"/>
  <c r="BU22" i="64"/>
  <c r="BV22" i="64"/>
  <c r="BW22" i="64"/>
  <c r="BX22" i="64"/>
  <c r="BY22" i="64"/>
  <c r="BZ22" i="64"/>
  <c r="BG23" i="64"/>
  <c r="BH23" i="64"/>
  <c r="BI23" i="64"/>
  <c r="BJ23" i="64"/>
  <c r="BK23" i="64"/>
  <c r="BL23" i="64"/>
  <c r="BM23" i="64"/>
  <c r="BN23" i="64"/>
  <c r="BO23" i="64"/>
  <c r="BP23" i="64"/>
  <c r="BQ23" i="64"/>
  <c r="BR23" i="64"/>
  <c r="BS23" i="64"/>
  <c r="BT23" i="64"/>
  <c r="BU23" i="64"/>
  <c r="BV23" i="64"/>
  <c r="BW23" i="64"/>
  <c r="BX23" i="64"/>
  <c r="BY23" i="64"/>
  <c r="BZ23" i="64"/>
  <c r="BG24" i="64"/>
  <c r="BH24" i="64"/>
  <c r="BI24" i="64"/>
  <c r="BJ24" i="64"/>
  <c r="BK24" i="64"/>
  <c r="BL24" i="64"/>
  <c r="BM24" i="64"/>
  <c r="BN24" i="64"/>
  <c r="BO24" i="64"/>
  <c r="BP24" i="64"/>
  <c r="BQ24" i="64"/>
  <c r="BR24" i="64"/>
  <c r="BS24" i="64"/>
  <c r="BT24" i="64"/>
  <c r="BU24" i="64"/>
  <c r="BV24" i="64"/>
  <c r="BW24" i="64"/>
  <c r="BX24" i="64"/>
  <c r="BY24" i="64"/>
  <c r="BZ24" i="64"/>
  <c r="BG25" i="64"/>
  <c r="BH25" i="64"/>
  <c r="BI25" i="64"/>
  <c r="BJ25" i="64"/>
  <c r="BK25" i="64"/>
  <c r="BL25" i="64"/>
  <c r="BM25" i="64"/>
  <c r="BN25" i="64"/>
  <c r="BO25" i="64"/>
  <c r="BP25" i="64"/>
  <c r="BQ25" i="64"/>
  <c r="BR25" i="64"/>
  <c r="BS25" i="64"/>
  <c r="BT25" i="64"/>
  <c r="BU25" i="64"/>
  <c r="BV25" i="64"/>
  <c r="BW25" i="64"/>
  <c r="BX25" i="64"/>
  <c r="BY25" i="64"/>
  <c r="BZ25" i="64"/>
  <c r="BG26" i="64"/>
  <c r="BH26" i="64"/>
  <c r="BI26" i="64"/>
  <c r="BJ26" i="64"/>
  <c r="BK26" i="64"/>
  <c r="BL26" i="64"/>
  <c r="BM26" i="64"/>
  <c r="BN26" i="64"/>
  <c r="BO26" i="64"/>
  <c r="BP26" i="64"/>
  <c r="BQ26" i="64"/>
  <c r="BR26" i="64"/>
  <c r="BS26" i="64"/>
  <c r="BT26" i="64"/>
  <c r="BU26" i="64"/>
  <c r="BV26" i="64"/>
  <c r="BW26" i="64"/>
  <c r="BX26" i="64"/>
  <c r="BY26" i="64"/>
  <c r="BZ26" i="64"/>
  <c r="BG27" i="64"/>
  <c r="BH27" i="64"/>
  <c r="BI27" i="64"/>
  <c r="BJ27" i="64"/>
  <c r="BK27" i="64"/>
  <c r="BL27" i="64"/>
  <c r="BM27" i="64"/>
  <c r="BN27" i="64"/>
  <c r="BO27" i="64"/>
  <c r="BP27" i="64"/>
  <c r="BQ27" i="64"/>
  <c r="BR27" i="64"/>
  <c r="BS27" i="64"/>
  <c r="BT27" i="64"/>
  <c r="BU27" i="64"/>
  <c r="BV27" i="64"/>
  <c r="BW27" i="64"/>
  <c r="BX27" i="64"/>
  <c r="BY27" i="64"/>
  <c r="BZ27" i="64"/>
  <c r="BG28" i="64"/>
  <c r="BH28" i="64"/>
  <c r="BI28" i="64"/>
  <c r="BJ28" i="64"/>
  <c r="BK28" i="64"/>
  <c r="BL28" i="64"/>
  <c r="BM28" i="64"/>
  <c r="BN28" i="64"/>
  <c r="BO28" i="64"/>
  <c r="BP28" i="64"/>
  <c r="BQ28" i="64"/>
  <c r="BR28" i="64"/>
  <c r="BS28" i="64"/>
  <c r="BT28" i="64"/>
  <c r="BU28" i="64"/>
  <c r="BV28" i="64"/>
  <c r="BW28" i="64"/>
  <c r="BX28" i="64"/>
  <c r="BY28" i="64"/>
  <c r="BZ28" i="64"/>
  <c r="BH29" i="64"/>
  <c r="BI29" i="64"/>
  <c r="BJ29" i="64"/>
  <c r="BK29" i="64"/>
  <c r="BM29" i="64"/>
  <c r="BN29" i="64"/>
  <c r="BO29" i="64"/>
  <c r="BP29" i="64"/>
  <c r="BQ29" i="64"/>
  <c r="BR29" i="64"/>
  <c r="BS29" i="64"/>
  <c r="BT29" i="64"/>
  <c r="BU29" i="64"/>
  <c r="BV29" i="64"/>
  <c r="BW29" i="64"/>
  <c r="BX29" i="64"/>
  <c r="BY29" i="64"/>
  <c r="BZ29" i="64"/>
  <c r="BG30" i="64"/>
  <c r="BI30" i="64"/>
  <c r="BJ30" i="64"/>
  <c r="BK30" i="64"/>
  <c r="BL30" i="64"/>
  <c r="BN30" i="64"/>
  <c r="BO30" i="64"/>
  <c r="BP30" i="64"/>
  <c r="BQ30" i="64"/>
  <c r="BR30" i="64"/>
  <c r="BS30" i="64"/>
  <c r="BT30" i="64"/>
  <c r="BU30" i="64"/>
  <c r="BV30" i="64"/>
  <c r="BW30" i="64"/>
  <c r="BX30" i="64"/>
  <c r="BY30" i="64"/>
  <c r="BZ30" i="64"/>
  <c r="BG31" i="64"/>
  <c r="BH31" i="64"/>
  <c r="BJ31" i="64"/>
  <c r="BK31" i="64"/>
  <c r="BL31" i="64"/>
  <c r="BM31" i="64"/>
  <c r="BO31" i="64"/>
  <c r="BP31" i="64"/>
  <c r="BQ31" i="64"/>
  <c r="BR31" i="64"/>
  <c r="BS31" i="64"/>
  <c r="BT31" i="64"/>
  <c r="BU31" i="64"/>
  <c r="BV31" i="64"/>
  <c r="BW31" i="64"/>
  <c r="BX31" i="64"/>
  <c r="BY31" i="64"/>
  <c r="BZ31" i="64"/>
  <c r="BG32" i="64"/>
  <c r="BH32" i="64"/>
  <c r="BI32" i="64"/>
  <c r="BK32" i="64"/>
  <c r="BL32" i="64"/>
  <c r="BM32" i="64"/>
  <c r="BN32" i="64"/>
  <c r="BP32" i="64"/>
  <c r="BQ32" i="64"/>
  <c r="BR32" i="64"/>
  <c r="BS32" i="64"/>
  <c r="BT32" i="64"/>
  <c r="BU32" i="64"/>
  <c r="BV32" i="64"/>
  <c r="BW32" i="64"/>
  <c r="BX32" i="64"/>
  <c r="BY32" i="64"/>
  <c r="BZ32" i="64"/>
  <c r="BG33" i="64"/>
  <c r="BH33" i="64"/>
  <c r="BI33" i="64"/>
  <c r="BJ33" i="64"/>
  <c r="BL33" i="64"/>
  <c r="BM33" i="64"/>
  <c r="BN33" i="64"/>
  <c r="BO33" i="64"/>
  <c r="BQ33" i="64"/>
  <c r="BR33" i="64"/>
  <c r="BS33" i="64"/>
  <c r="BT33" i="64"/>
  <c r="BU33" i="64"/>
  <c r="BV33" i="64"/>
  <c r="BW33" i="64"/>
  <c r="BX33" i="64"/>
  <c r="BY33" i="64"/>
  <c r="BZ33" i="64"/>
  <c r="BG34" i="64"/>
  <c r="BH34" i="64"/>
  <c r="BI34" i="64"/>
  <c r="BJ34" i="64"/>
  <c r="BK34" i="64"/>
  <c r="BL34" i="64"/>
  <c r="BM34" i="64"/>
  <c r="BN34" i="64"/>
  <c r="BO34" i="64"/>
  <c r="BP34" i="64"/>
  <c r="BQ34" i="64"/>
  <c r="BR34" i="64"/>
  <c r="BS34" i="64"/>
  <c r="BT34" i="64"/>
  <c r="BU34" i="64"/>
  <c r="BV34" i="64"/>
  <c r="BW34" i="64"/>
  <c r="BX34" i="64"/>
  <c r="BY34" i="64"/>
  <c r="BZ34" i="64"/>
  <c r="BG35" i="64"/>
  <c r="BH35" i="64"/>
  <c r="BI35" i="64"/>
  <c r="BJ35" i="64"/>
  <c r="BK35" i="64"/>
  <c r="BL35" i="64"/>
  <c r="BM35" i="64"/>
  <c r="BN35" i="64"/>
  <c r="BO35" i="64"/>
  <c r="BP35" i="64"/>
  <c r="BQ35" i="64"/>
  <c r="BR35" i="64"/>
  <c r="BS35" i="64"/>
  <c r="BT35" i="64"/>
  <c r="BU35" i="64"/>
  <c r="BV35" i="64"/>
  <c r="BW35" i="64"/>
  <c r="BX35" i="64"/>
  <c r="BY35" i="64"/>
  <c r="BZ35" i="64"/>
  <c r="BH36" i="64"/>
  <c r="BI36" i="64"/>
  <c r="BJ36" i="64"/>
  <c r="BK36" i="64"/>
  <c r="BL36" i="64"/>
  <c r="BM36" i="64"/>
  <c r="BN36" i="64"/>
  <c r="BO36" i="64"/>
  <c r="BP36" i="64"/>
  <c r="BQ36" i="64"/>
  <c r="BR36" i="64"/>
  <c r="BS36" i="64"/>
  <c r="BT36" i="64"/>
  <c r="BU36" i="64"/>
  <c r="BV36" i="64"/>
  <c r="BW36" i="64"/>
  <c r="BX36" i="64"/>
  <c r="BY36" i="64"/>
  <c r="BZ36" i="64"/>
  <c r="BG37" i="64"/>
  <c r="BI37" i="64"/>
  <c r="BJ37" i="64"/>
  <c r="BK37" i="64"/>
  <c r="BL37" i="64"/>
  <c r="BM37" i="64"/>
  <c r="BN37" i="64"/>
  <c r="BO37" i="64"/>
  <c r="BP37" i="64"/>
  <c r="BQ37" i="64"/>
  <c r="BR37" i="64"/>
  <c r="BS37" i="64"/>
  <c r="BT37" i="64"/>
  <c r="BU37" i="64"/>
  <c r="BV37" i="64"/>
  <c r="BW37" i="64"/>
  <c r="BX37" i="64"/>
  <c r="BY37" i="64"/>
  <c r="BZ37" i="64"/>
  <c r="BG38" i="64"/>
  <c r="BH38" i="64"/>
  <c r="BJ38" i="64"/>
  <c r="BK38" i="64"/>
  <c r="BL38" i="64"/>
  <c r="BM38" i="64"/>
  <c r="BO38" i="64"/>
  <c r="BP38" i="64"/>
  <c r="BQ38" i="64"/>
  <c r="BR38" i="64"/>
  <c r="BS38" i="64"/>
  <c r="BT38" i="64"/>
  <c r="BU38" i="64"/>
  <c r="BV38" i="64"/>
  <c r="BW38" i="64"/>
  <c r="BX38" i="64"/>
  <c r="BY38" i="64"/>
  <c r="BZ38" i="64"/>
  <c r="BG39" i="64"/>
  <c r="BH39" i="64"/>
  <c r="BI39" i="64"/>
  <c r="BK39" i="64"/>
  <c r="BL39" i="64"/>
  <c r="BM39" i="64"/>
  <c r="BN39" i="64"/>
  <c r="BO39" i="64"/>
  <c r="BP39" i="64"/>
  <c r="BQ39" i="64"/>
  <c r="BR39" i="64"/>
  <c r="BS39" i="64"/>
  <c r="BT39" i="64"/>
  <c r="BU39" i="64"/>
  <c r="BV39" i="64"/>
  <c r="BW39" i="64"/>
  <c r="BX39" i="64"/>
  <c r="BY39" i="64"/>
  <c r="BZ39" i="64"/>
  <c r="BZ9" i="64"/>
  <c r="BY9" i="64"/>
  <c r="BX9" i="64"/>
  <c r="BW9" i="64"/>
  <c r="BV9" i="64"/>
  <c r="BU9" i="64"/>
  <c r="BT9" i="64"/>
  <c r="BS9" i="64"/>
  <c r="BR9" i="64"/>
  <c r="BQ9" i="64"/>
  <c r="BP9" i="64"/>
  <c r="BO9" i="64"/>
  <c r="BN9" i="64"/>
  <c r="BM9" i="64"/>
  <c r="BL9" i="64"/>
  <c r="BK9" i="64"/>
  <c r="BJ9" i="64"/>
  <c r="BI9" i="64"/>
  <c r="BG9" i="64"/>
  <c r="BH10" i="63"/>
  <c r="BI10" i="63"/>
  <c r="BJ10" i="63"/>
  <c r="BK10" i="63"/>
  <c r="BL10" i="63"/>
  <c r="BM10" i="63"/>
  <c r="BN10" i="63"/>
  <c r="BO10" i="63"/>
  <c r="BP10" i="63"/>
  <c r="BQ10" i="63"/>
  <c r="BR10" i="63"/>
  <c r="BS10" i="63"/>
  <c r="BT10" i="63"/>
  <c r="BU10" i="63"/>
  <c r="BV10" i="63"/>
  <c r="BW10" i="63"/>
  <c r="BX10" i="63"/>
  <c r="BY10" i="63"/>
  <c r="BZ10" i="63"/>
  <c r="BG11" i="63"/>
  <c r="BI11" i="63"/>
  <c r="BJ11" i="63"/>
  <c r="BK11" i="63"/>
  <c r="BL11" i="63"/>
  <c r="BM11" i="63"/>
  <c r="BN11" i="63"/>
  <c r="BO11" i="63"/>
  <c r="BP11" i="63"/>
  <c r="BQ11" i="63"/>
  <c r="BR11" i="63"/>
  <c r="BS11" i="63"/>
  <c r="BT11" i="63"/>
  <c r="BU11" i="63"/>
  <c r="BV11" i="63"/>
  <c r="BW11" i="63"/>
  <c r="BX11" i="63"/>
  <c r="BY11" i="63"/>
  <c r="BZ11" i="63"/>
  <c r="BG12" i="63"/>
  <c r="BH12" i="63"/>
  <c r="BJ12" i="63"/>
  <c r="BK12" i="63"/>
  <c r="BL12" i="63"/>
  <c r="BM12" i="63"/>
  <c r="BO12" i="63"/>
  <c r="BP12" i="63"/>
  <c r="BQ12" i="63"/>
  <c r="BR12" i="63"/>
  <c r="BS12" i="63"/>
  <c r="BT12" i="63"/>
  <c r="BU12" i="63"/>
  <c r="BV12" i="63"/>
  <c r="BW12" i="63"/>
  <c r="BX12" i="63"/>
  <c r="BY12" i="63"/>
  <c r="BZ12" i="63"/>
  <c r="BG13" i="63"/>
  <c r="BH13" i="63"/>
  <c r="BI13" i="63"/>
  <c r="BK13" i="63"/>
  <c r="BL13" i="63"/>
  <c r="BM13" i="63"/>
  <c r="BN13" i="63"/>
  <c r="BO13" i="63"/>
  <c r="BP13" i="63"/>
  <c r="BQ13" i="63"/>
  <c r="BR13" i="63"/>
  <c r="BS13" i="63"/>
  <c r="BT13" i="63"/>
  <c r="BU13" i="63"/>
  <c r="BV13" i="63"/>
  <c r="BW13" i="63"/>
  <c r="BX13" i="63"/>
  <c r="BY13" i="63"/>
  <c r="BZ13" i="63"/>
  <c r="BG14" i="63"/>
  <c r="BH14" i="63"/>
  <c r="BI14" i="63"/>
  <c r="BJ14" i="63"/>
  <c r="BL14" i="63"/>
  <c r="BM14" i="63"/>
  <c r="BN14" i="63"/>
  <c r="BO14" i="63"/>
  <c r="BP14" i="63"/>
  <c r="BQ14" i="63"/>
  <c r="BR14" i="63"/>
  <c r="BS14" i="63"/>
  <c r="BT14" i="63"/>
  <c r="BU14" i="63"/>
  <c r="BV14" i="63"/>
  <c r="BW14" i="63"/>
  <c r="BX14" i="63"/>
  <c r="BY14" i="63"/>
  <c r="BZ14" i="63"/>
  <c r="BG15" i="63"/>
  <c r="BH15" i="63"/>
  <c r="BI15" i="63"/>
  <c r="BJ15" i="63"/>
  <c r="BK15" i="63"/>
  <c r="BL15" i="63"/>
  <c r="BM15" i="63"/>
  <c r="BN15" i="63"/>
  <c r="BO15" i="63"/>
  <c r="BP15" i="63"/>
  <c r="BQ15" i="63"/>
  <c r="BR15" i="63"/>
  <c r="BS15" i="63"/>
  <c r="BT15" i="63"/>
  <c r="BU15" i="63"/>
  <c r="BV15" i="63"/>
  <c r="BW15" i="63"/>
  <c r="BX15" i="63"/>
  <c r="BY15" i="63"/>
  <c r="BZ15" i="63"/>
  <c r="BG16" i="63"/>
  <c r="BH16" i="63"/>
  <c r="BI16" i="63"/>
  <c r="BJ16" i="63"/>
  <c r="BK16" i="63"/>
  <c r="BL16" i="63"/>
  <c r="BM16" i="63"/>
  <c r="BN16" i="63"/>
  <c r="BO16" i="63"/>
  <c r="BP16" i="63"/>
  <c r="BQ16" i="63"/>
  <c r="BR16" i="63"/>
  <c r="BS16" i="63"/>
  <c r="BT16" i="63"/>
  <c r="BU16" i="63"/>
  <c r="BV16" i="63"/>
  <c r="BW16" i="63"/>
  <c r="BX16" i="63"/>
  <c r="BY16" i="63"/>
  <c r="BZ16" i="63"/>
  <c r="BH17" i="63"/>
  <c r="BI17" i="63"/>
  <c r="BJ17" i="63"/>
  <c r="BK17" i="63"/>
  <c r="BL17" i="63"/>
  <c r="BM17" i="63"/>
  <c r="BN17" i="63"/>
  <c r="BO17" i="63"/>
  <c r="BP17" i="63"/>
  <c r="BQ17" i="63"/>
  <c r="BR17" i="63"/>
  <c r="BS17" i="63"/>
  <c r="BT17" i="63"/>
  <c r="BU17" i="63"/>
  <c r="BV17" i="63"/>
  <c r="BW17" i="63"/>
  <c r="BX17" i="63"/>
  <c r="BY17" i="63"/>
  <c r="BZ17" i="63"/>
  <c r="BG18" i="63"/>
  <c r="BI18" i="63"/>
  <c r="BJ18" i="63"/>
  <c r="BK18" i="63"/>
  <c r="BL18" i="63"/>
  <c r="BM18" i="63"/>
  <c r="BN18" i="63"/>
  <c r="BO18" i="63"/>
  <c r="BP18" i="63"/>
  <c r="BQ18" i="63"/>
  <c r="BR18" i="63"/>
  <c r="BS18" i="63"/>
  <c r="BT18" i="63"/>
  <c r="BU18" i="63"/>
  <c r="BV18" i="63"/>
  <c r="BW18" i="63"/>
  <c r="BX18" i="63"/>
  <c r="BY18" i="63"/>
  <c r="BZ18" i="63"/>
  <c r="BG19" i="63"/>
  <c r="BH19" i="63"/>
  <c r="BJ19" i="63"/>
  <c r="BK19" i="63"/>
  <c r="BL19" i="63"/>
  <c r="BM19" i="63"/>
  <c r="BO19" i="63"/>
  <c r="BP19" i="63"/>
  <c r="BQ19" i="63"/>
  <c r="BR19" i="63"/>
  <c r="BS19" i="63"/>
  <c r="BT19" i="63"/>
  <c r="BU19" i="63"/>
  <c r="BV19" i="63"/>
  <c r="BW19" i="63"/>
  <c r="BX19" i="63"/>
  <c r="BY19" i="63"/>
  <c r="BZ19" i="63"/>
  <c r="BG20" i="63"/>
  <c r="BH20" i="63"/>
  <c r="BI20" i="63"/>
  <c r="BK20" i="63"/>
  <c r="BL20" i="63"/>
  <c r="BM20" i="63"/>
  <c r="BN20" i="63"/>
  <c r="BO20" i="63"/>
  <c r="BP20" i="63"/>
  <c r="BQ20" i="63"/>
  <c r="BR20" i="63"/>
  <c r="BS20" i="63"/>
  <c r="BT20" i="63"/>
  <c r="BU20" i="63"/>
  <c r="BV20" i="63"/>
  <c r="BW20" i="63"/>
  <c r="BX20" i="63"/>
  <c r="BY20" i="63"/>
  <c r="BZ20" i="63"/>
  <c r="BG21" i="63"/>
  <c r="BH21" i="63"/>
  <c r="BI21" i="63"/>
  <c r="BJ21" i="63"/>
  <c r="BL21" i="63"/>
  <c r="BM21" i="63"/>
  <c r="BN21" i="63"/>
  <c r="BO21" i="63"/>
  <c r="BP21" i="63"/>
  <c r="BQ21" i="63"/>
  <c r="BR21" i="63"/>
  <c r="BS21" i="63"/>
  <c r="BT21" i="63"/>
  <c r="BU21" i="63"/>
  <c r="BV21" i="63"/>
  <c r="BW21" i="63"/>
  <c r="BX21" i="63"/>
  <c r="BY21" i="63"/>
  <c r="BZ21" i="63"/>
  <c r="BG22" i="63"/>
  <c r="BH22" i="63"/>
  <c r="BI22" i="63"/>
  <c r="BJ22" i="63"/>
  <c r="BK22" i="63"/>
  <c r="BL22" i="63"/>
  <c r="BM22" i="63"/>
  <c r="BN22" i="63"/>
  <c r="BO22" i="63"/>
  <c r="BP22" i="63"/>
  <c r="BQ22" i="63"/>
  <c r="BR22" i="63"/>
  <c r="BS22" i="63"/>
  <c r="BT22" i="63"/>
  <c r="BU22" i="63"/>
  <c r="BV22" i="63"/>
  <c r="BW22" i="63"/>
  <c r="BX22" i="63"/>
  <c r="BY22" i="63"/>
  <c r="BZ22" i="63"/>
  <c r="BG23" i="63"/>
  <c r="BH23" i="63"/>
  <c r="BI23" i="63"/>
  <c r="BJ23" i="63"/>
  <c r="BK23" i="63"/>
  <c r="BL23" i="63"/>
  <c r="BM23" i="63"/>
  <c r="BN23" i="63"/>
  <c r="BO23" i="63"/>
  <c r="BP23" i="63"/>
  <c r="BQ23" i="63"/>
  <c r="BR23" i="63"/>
  <c r="BS23" i="63"/>
  <c r="BT23" i="63"/>
  <c r="BU23" i="63"/>
  <c r="BV23" i="63"/>
  <c r="BW23" i="63"/>
  <c r="BX23" i="63"/>
  <c r="BY23" i="63"/>
  <c r="BZ23" i="63"/>
  <c r="BH24" i="63"/>
  <c r="BI24" i="63"/>
  <c r="BJ24" i="63"/>
  <c r="BK24" i="63"/>
  <c r="BL24" i="63"/>
  <c r="BM24" i="63"/>
  <c r="BN24" i="63"/>
  <c r="BO24" i="63"/>
  <c r="BP24" i="63"/>
  <c r="BQ24" i="63"/>
  <c r="BR24" i="63"/>
  <c r="BS24" i="63"/>
  <c r="BT24" i="63"/>
  <c r="BU24" i="63"/>
  <c r="BV24" i="63"/>
  <c r="BW24" i="63"/>
  <c r="BX24" i="63"/>
  <c r="BY24" i="63"/>
  <c r="BZ24" i="63"/>
  <c r="BG25" i="63"/>
  <c r="BI25" i="63"/>
  <c r="BJ25" i="63"/>
  <c r="BK25" i="63"/>
  <c r="BL25" i="63"/>
  <c r="BM25" i="63"/>
  <c r="BN25" i="63"/>
  <c r="BO25" i="63"/>
  <c r="BP25" i="63"/>
  <c r="BQ25" i="63"/>
  <c r="BR25" i="63"/>
  <c r="BS25" i="63"/>
  <c r="BT25" i="63"/>
  <c r="BU25" i="63"/>
  <c r="BV25" i="63"/>
  <c r="BW25" i="63"/>
  <c r="BX25" i="63"/>
  <c r="BY25" i="63"/>
  <c r="BZ25" i="63"/>
  <c r="BG26" i="63"/>
  <c r="BH26" i="63"/>
  <c r="BJ26" i="63"/>
  <c r="BK26" i="63"/>
  <c r="BL26" i="63"/>
  <c r="BM26" i="63"/>
  <c r="BO26" i="63"/>
  <c r="BP26" i="63"/>
  <c r="BQ26" i="63"/>
  <c r="BR26" i="63"/>
  <c r="BS26" i="63"/>
  <c r="BT26" i="63"/>
  <c r="BU26" i="63"/>
  <c r="BV26" i="63"/>
  <c r="BW26" i="63"/>
  <c r="BX26" i="63"/>
  <c r="BY26" i="63"/>
  <c r="BZ26" i="63"/>
  <c r="BG27" i="63"/>
  <c r="BH27" i="63"/>
  <c r="BI27" i="63"/>
  <c r="BK27" i="63"/>
  <c r="BL27" i="63"/>
  <c r="BM27" i="63"/>
  <c r="BN27" i="63"/>
  <c r="BO27" i="63"/>
  <c r="BP27" i="63"/>
  <c r="BQ27" i="63"/>
  <c r="BR27" i="63"/>
  <c r="BS27" i="63"/>
  <c r="BT27" i="63"/>
  <c r="BU27" i="63"/>
  <c r="BV27" i="63"/>
  <c r="BW27" i="63"/>
  <c r="BX27" i="63"/>
  <c r="BY27" i="63"/>
  <c r="BZ27" i="63"/>
  <c r="BG28" i="63"/>
  <c r="BH28" i="63"/>
  <c r="BI28" i="63"/>
  <c r="BJ28" i="63"/>
  <c r="BL28" i="63"/>
  <c r="BM28" i="63"/>
  <c r="BN28" i="63"/>
  <c r="BO28" i="63"/>
  <c r="BP28" i="63"/>
  <c r="BQ28" i="63"/>
  <c r="BR28" i="63"/>
  <c r="BS28" i="63"/>
  <c r="BT28" i="63"/>
  <c r="BU28" i="63"/>
  <c r="BV28" i="63"/>
  <c r="BW28" i="63"/>
  <c r="BX28" i="63"/>
  <c r="BY28" i="63"/>
  <c r="BZ28" i="63"/>
  <c r="BG29" i="63"/>
  <c r="BH29" i="63"/>
  <c r="BI29" i="63"/>
  <c r="BJ29" i="63"/>
  <c r="BK29" i="63"/>
  <c r="BL29" i="63"/>
  <c r="BM29" i="63"/>
  <c r="BN29" i="63"/>
  <c r="BO29" i="63"/>
  <c r="BP29" i="63"/>
  <c r="BQ29" i="63"/>
  <c r="BR29" i="63"/>
  <c r="BS29" i="63"/>
  <c r="BT29" i="63"/>
  <c r="BU29" i="63"/>
  <c r="BV29" i="63"/>
  <c r="BW29" i="63"/>
  <c r="BX29" i="63"/>
  <c r="BY29" i="63"/>
  <c r="BZ29" i="63"/>
  <c r="BG30" i="63"/>
  <c r="BH30" i="63"/>
  <c r="BI30" i="63"/>
  <c r="BJ30" i="63"/>
  <c r="BK30" i="63"/>
  <c r="BL30" i="63"/>
  <c r="BM30" i="63"/>
  <c r="BN30" i="63"/>
  <c r="BO30" i="63"/>
  <c r="BP30" i="63"/>
  <c r="BQ30" i="63"/>
  <c r="BR30" i="63"/>
  <c r="BS30" i="63"/>
  <c r="BT30" i="63"/>
  <c r="BU30" i="63"/>
  <c r="BV30" i="63"/>
  <c r="BW30" i="63"/>
  <c r="BX30" i="63"/>
  <c r="BY30" i="63"/>
  <c r="BZ30" i="63"/>
  <c r="BH31" i="63"/>
  <c r="BI31" i="63"/>
  <c r="BJ31" i="63"/>
  <c r="BK31" i="63"/>
  <c r="BL31" i="63"/>
  <c r="BM31" i="63"/>
  <c r="BN31" i="63"/>
  <c r="BO31" i="63"/>
  <c r="BP31" i="63"/>
  <c r="BQ31" i="63"/>
  <c r="BR31" i="63"/>
  <c r="BS31" i="63"/>
  <c r="BT31" i="63"/>
  <c r="BU31" i="63"/>
  <c r="BV31" i="63"/>
  <c r="BW31" i="63"/>
  <c r="BX31" i="63"/>
  <c r="BY31" i="63"/>
  <c r="BZ31" i="63"/>
  <c r="BG32" i="63"/>
  <c r="BI32" i="63"/>
  <c r="BJ32" i="63"/>
  <c r="BK32" i="63"/>
  <c r="BL32" i="63"/>
  <c r="BM32" i="63"/>
  <c r="BN32" i="63"/>
  <c r="BO32" i="63"/>
  <c r="BP32" i="63"/>
  <c r="BQ32" i="63"/>
  <c r="BR32" i="63"/>
  <c r="BS32" i="63"/>
  <c r="BT32" i="63"/>
  <c r="BU32" i="63"/>
  <c r="BV32" i="63"/>
  <c r="BW32" i="63"/>
  <c r="BX32" i="63"/>
  <c r="BY32" i="63"/>
  <c r="BZ32" i="63"/>
  <c r="BG33" i="63"/>
  <c r="BH33" i="63"/>
  <c r="BJ33" i="63"/>
  <c r="BK33" i="63"/>
  <c r="BL33" i="63"/>
  <c r="BM33" i="63"/>
  <c r="BO33" i="63"/>
  <c r="BP33" i="63"/>
  <c r="BQ33" i="63"/>
  <c r="BR33" i="63"/>
  <c r="BS33" i="63"/>
  <c r="BT33" i="63"/>
  <c r="BU33" i="63"/>
  <c r="BV33" i="63"/>
  <c r="BW33" i="63"/>
  <c r="BX33" i="63"/>
  <c r="BY33" i="63"/>
  <c r="BZ33" i="63"/>
  <c r="BG34" i="63"/>
  <c r="BH34" i="63"/>
  <c r="BI34" i="63"/>
  <c r="BK34" i="63"/>
  <c r="BL34" i="63"/>
  <c r="BM34" i="63"/>
  <c r="BN34" i="63"/>
  <c r="BO34" i="63"/>
  <c r="BP34" i="63"/>
  <c r="BQ34" i="63"/>
  <c r="BR34" i="63"/>
  <c r="BS34" i="63"/>
  <c r="BT34" i="63"/>
  <c r="BU34" i="63"/>
  <c r="BV34" i="63"/>
  <c r="BW34" i="63"/>
  <c r="BX34" i="63"/>
  <c r="BY34" i="63"/>
  <c r="BZ34" i="63"/>
  <c r="BG35" i="63"/>
  <c r="BH35" i="63"/>
  <c r="BI35" i="63"/>
  <c r="BJ35" i="63"/>
  <c r="BL35" i="63"/>
  <c r="BM35" i="63"/>
  <c r="BN35" i="63"/>
  <c r="BO35" i="63"/>
  <c r="BP35" i="63"/>
  <c r="BQ35" i="63"/>
  <c r="BR35" i="63"/>
  <c r="BS35" i="63"/>
  <c r="BT35" i="63"/>
  <c r="BU35" i="63"/>
  <c r="BV35" i="63"/>
  <c r="BW35" i="63"/>
  <c r="BX35" i="63"/>
  <c r="BY35" i="63"/>
  <c r="BZ35" i="63"/>
  <c r="BG36" i="63"/>
  <c r="BH36" i="63"/>
  <c r="BI36" i="63"/>
  <c r="BJ36" i="63"/>
  <c r="BK36" i="63"/>
  <c r="BL36" i="63"/>
  <c r="BM36" i="63"/>
  <c r="BN36" i="63"/>
  <c r="BO36" i="63"/>
  <c r="BP36" i="63"/>
  <c r="BQ36" i="63"/>
  <c r="BR36" i="63"/>
  <c r="BS36" i="63"/>
  <c r="BT36" i="63"/>
  <c r="BU36" i="63"/>
  <c r="BV36" i="63"/>
  <c r="BW36" i="63"/>
  <c r="BX36" i="63"/>
  <c r="BY36" i="63"/>
  <c r="BZ36" i="63"/>
  <c r="BG37" i="63"/>
  <c r="BH37" i="63"/>
  <c r="BI37" i="63"/>
  <c r="BJ37" i="63"/>
  <c r="BK37" i="63"/>
  <c r="BL37" i="63"/>
  <c r="BM37" i="63"/>
  <c r="BN37" i="63"/>
  <c r="BO37" i="63"/>
  <c r="BP37" i="63"/>
  <c r="BQ37" i="63"/>
  <c r="BR37" i="63"/>
  <c r="BS37" i="63"/>
  <c r="BT37" i="63"/>
  <c r="BU37" i="63"/>
  <c r="BV37" i="63"/>
  <c r="BW37" i="63"/>
  <c r="BX37" i="63"/>
  <c r="BY37" i="63"/>
  <c r="BZ37" i="63"/>
  <c r="BH38" i="63"/>
  <c r="BI38" i="63"/>
  <c r="BJ38" i="63"/>
  <c r="BK38" i="63"/>
  <c r="BL38" i="63"/>
  <c r="BM38" i="63"/>
  <c r="BN38" i="63"/>
  <c r="BO38" i="63"/>
  <c r="BP38" i="63"/>
  <c r="BQ38" i="63"/>
  <c r="BR38" i="63"/>
  <c r="BS38" i="63"/>
  <c r="BT38" i="63"/>
  <c r="BU38" i="63"/>
  <c r="BV38" i="63"/>
  <c r="BW38" i="63"/>
  <c r="BX38" i="63"/>
  <c r="BY38" i="63"/>
  <c r="BZ38" i="63"/>
  <c r="BZ9" i="63"/>
  <c r="BY9" i="63"/>
  <c r="BX9" i="63"/>
  <c r="BW9" i="63"/>
  <c r="BV9" i="63"/>
  <c r="BU9" i="63"/>
  <c r="BT9" i="63"/>
  <c r="BS9" i="63"/>
  <c r="BR9" i="63"/>
  <c r="BQ9" i="63"/>
  <c r="BP9" i="63"/>
  <c r="BO9" i="63"/>
  <c r="BN9" i="63"/>
  <c r="BM9" i="63"/>
  <c r="BL9" i="63"/>
  <c r="BK9" i="63"/>
  <c r="BJ9" i="63"/>
  <c r="BI9" i="63"/>
  <c r="BH9" i="63"/>
  <c r="BG9" i="63"/>
  <c r="BV11" i="41"/>
  <c r="BW11" i="41"/>
  <c r="BX11" i="41"/>
  <c r="BY11" i="41"/>
  <c r="BZ11" i="41"/>
  <c r="BV12" i="41"/>
  <c r="BW12" i="41"/>
  <c r="BX12" i="41"/>
  <c r="BY12" i="41"/>
  <c r="BZ12" i="41"/>
  <c r="BV13" i="41"/>
  <c r="BW13" i="41"/>
  <c r="BX13" i="41"/>
  <c r="BY13" i="41"/>
  <c r="BZ13" i="41"/>
  <c r="BV14" i="41"/>
  <c r="BW14" i="41"/>
  <c r="BX14" i="41"/>
  <c r="BY14" i="41"/>
  <c r="BZ14" i="41"/>
  <c r="BV15" i="41"/>
  <c r="BW15" i="41"/>
  <c r="BX15" i="41"/>
  <c r="BY15" i="41"/>
  <c r="BZ15" i="41"/>
  <c r="BV16" i="41"/>
  <c r="BW16" i="41"/>
  <c r="BX16" i="41"/>
  <c r="BY16" i="41"/>
  <c r="BZ16" i="41"/>
  <c r="BV17" i="41"/>
  <c r="BW17" i="41"/>
  <c r="BX17" i="41"/>
  <c r="BY17" i="41"/>
  <c r="BZ17" i="41"/>
  <c r="BV18" i="41"/>
  <c r="BW18" i="41"/>
  <c r="BX18" i="41"/>
  <c r="BY18" i="41"/>
  <c r="BZ18" i="41"/>
  <c r="BV19" i="41"/>
  <c r="BW19" i="41"/>
  <c r="BX19" i="41"/>
  <c r="BY19" i="41"/>
  <c r="BZ19" i="41"/>
  <c r="BV20" i="41"/>
  <c r="BW20" i="41"/>
  <c r="BX20" i="41"/>
  <c r="BY20" i="41"/>
  <c r="BZ20" i="41"/>
  <c r="BW21" i="41"/>
  <c r="BX21" i="41"/>
  <c r="BY21" i="41"/>
  <c r="BZ21" i="41"/>
  <c r="BV22" i="41"/>
  <c r="BX22" i="41"/>
  <c r="BY22" i="41"/>
  <c r="BZ22" i="41"/>
  <c r="BV23" i="41"/>
  <c r="BW23" i="41"/>
  <c r="BY23" i="41"/>
  <c r="BZ23" i="41"/>
  <c r="BV24" i="41"/>
  <c r="BW24" i="41"/>
  <c r="BX24" i="41"/>
  <c r="BZ24" i="41"/>
  <c r="BV25" i="41"/>
  <c r="BW25" i="41"/>
  <c r="BX25" i="41"/>
  <c r="BY25" i="41"/>
  <c r="BV26" i="41"/>
  <c r="BW26" i="41"/>
  <c r="BX26" i="41"/>
  <c r="BY26" i="41"/>
  <c r="BZ26" i="41"/>
  <c r="BV27" i="41"/>
  <c r="BW27" i="41"/>
  <c r="BX27" i="41"/>
  <c r="BY27" i="41"/>
  <c r="BZ27" i="41"/>
  <c r="BW28" i="41"/>
  <c r="BX28" i="41"/>
  <c r="BY28" i="41"/>
  <c r="BZ28" i="41"/>
  <c r="BV29" i="41"/>
  <c r="BX29" i="41"/>
  <c r="BY29" i="41"/>
  <c r="BZ29" i="41"/>
  <c r="BV30" i="41"/>
  <c r="BW30" i="41"/>
  <c r="BY30" i="41"/>
  <c r="BZ30" i="41"/>
  <c r="BV31" i="41"/>
  <c r="BW31" i="41"/>
  <c r="BX31" i="41"/>
  <c r="BZ31" i="41"/>
  <c r="BV32" i="41"/>
  <c r="BW32" i="41"/>
  <c r="BX32" i="41"/>
  <c r="BY32" i="41"/>
  <c r="BV33" i="41"/>
  <c r="BW33" i="41"/>
  <c r="BX33" i="41"/>
  <c r="BY33" i="41"/>
  <c r="BZ33" i="41"/>
  <c r="BV34" i="41"/>
  <c r="BW34" i="41"/>
  <c r="BX34" i="41"/>
  <c r="BY34" i="41"/>
  <c r="BZ34" i="41"/>
  <c r="BV35" i="41"/>
  <c r="BW35" i="41"/>
  <c r="BX35" i="41"/>
  <c r="BY35" i="41"/>
  <c r="BZ35" i="41"/>
  <c r="BV36" i="41"/>
  <c r="BX36" i="41"/>
  <c r="BY36" i="41"/>
  <c r="BZ36" i="41"/>
  <c r="BV37" i="41"/>
  <c r="BW37" i="41"/>
  <c r="BX37" i="41"/>
  <c r="BY37" i="41"/>
  <c r="BZ37" i="41"/>
  <c r="BV38" i="41"/>
  <c r="BW38" i="41"/>
  <c r="BX38" i="41"/>
  <c r="BY38" i="41"/>
  <c r="BZ38" i="41"/>
  <c r="BV39" i="41"/>
  <c r="BW39" i="41"/>
  <c r="BX39" i="41"/>
  <c r="BY39" i="41"/>
  <c r="BV40" i="41"/>
  <c r="BW40" i="41"/>
  <c r="BX40" i="41"/>
  <c r="BY40" i="41"/>
  <c r="BZ40" i="41"/>
  <c r="BZ10" i="41"/>
  <c r="BY10" i="41"/>
  <c r="BX10" i="41"/>
  <c r="BW10" i="41"/>
  <c r="BV10" i="41"/>
  <c r="BQ40" i="41"/>
  <c r="BR40" i="41"/>
  <c r="BS40" i="41"/>
  <c r="BT40" i="41"/>
  <c r="BU40" i="41"/>
  <c r="BQ11" i="41"/>
  <c r="BR11" i="41"/>
  <c r="BS11" i="41"/>
  <c r="BT11" i="41"/>
  <c r="BU11" i="41"/>
  <c r="BQ12" i="41"/>
  <c r="BR12" i="41"/>
  <c r="BS12" i="41"/>
  <c r="BT12" i="41"/>
  <c r="BU12" i="41"/>
  <c r="BQ13" i="41"/>
  <c r="BR13" i="41"/>
  <c r="BS13" i="41"/>
  <c r="BT13" i="41"/>
  <c r="BU13" i="41"/>
  <c r="BQ14" i="41"/>
  <c r="BR14" i="41"/>
  <c r="BS14" i="41"/>
  <c r="BT14" i="41"/>
  <c r="BU14" i="41"/>
  <c r="BQ15" i="41"/>
  <c r="BR15" i="41"/>
  <c r="BS15" i="41"/>
  <c r="BT15" i="41"/>
  <c r="BU15" i="41"/>
  <c r="BQ16" i="41"/>
  <c r="BR16" i="41"/>
  <c r="BS16" i="41"/>
  <c r="BT16" i="41"/>
  <c r="BU16" i="41"/>
  <c r="BQ17" i="41"/>
  <c r="BR17" i="41"/>
  <c r="BS17" i="41"/>
  <c r="BT17" i="41"/>
  <c r="BU17" i="41"/>
  <c r="BQ18" i="41"/>
  <c r="BR18" i="41"/>
  <c r="BS18" i="41"/>
  <c r="BT18" i="41"/>
  <c r="BU18" i="41"/>
  <c r="BQ19" i="41"/>
  <c r="BR19" i="41"/>
  <c r="BS19" i="41"/>
  <c r="BT19" i="41"/>
  <c r="BU19" i="41"/>
  <c r="BQ20" i="41"/>
  <c r="BR20" i="41"/>
  <c r="BS20" i="41"/>
  <c r="BT20" i="41"/>
  <c r="BU20" i="41"/>
  <c r="BQ21" i="41"/>
  <c r="BR21" i="41"/>
  <c r="BS21" i="41"/>
  <c r="BT21" i="41"/>
  <c r="BU21" i="41"/>
  <c r="BQ22" i="41"/>
  <c r="BS22" i="41"/>
  <c r="BT22" i="41"/>
  <c r="BU22" i="41"/>
  <c r="BQ23" i="41"/>
  <c r="BR23" i="41"/>
  <c r="BT23" i="41"/>
  <c r="BU23" i="41"/>
  <c r="BQ24" i="41"/>
  <c r="BR24" i="41"/>
  <c r="BS24" i="41"/>
  <c r="BU24" i="41"/>
  <c r="BQ25" i="41"/>
  <c r="BR25" i="41"/>
  <c r="BS25" i="41"/>
  <c r="BT25" i="41"/>
  <c r="BQ26" i="41"/>
  <c r="BR26" i="41"/>
  <c r="BS26" i="41"/>
  <c r="BT26" i="41"/>
  <c r="BU26" i="41"/>
  <c r="BQ27" i="41"/>
  <c r="BR27" i="41"/>
  <c r="BS27" i="41"/>
  <c r="BT27" i="41"/>
  <c r="BU27" i="41"/>
  <c r="BQ28" i="41"/>
  <c r="BR28" i="41"/>
  <c r="BS28" i="41"/>
  <c r="BT28" i="41"/>
  <c r="BU28" i="41"/>
  <c r="BQ29" i="41"/>
  <c r="BS29" i="41"/>
  <c r="BT29" i="41"/>
  <c r="BU29" i="41"/>
  <c r="BQ30" i="41"/>
  <c r="BR30" i="41"/>
  <c r="BT30" i="41"/>
  <c r="BU30" i="41"/>
  <c r="BQ31" i="41"/>
  <c r="BR31" i="41"/>
  <c r="BS31" i="41"/>
  <c r="BU31" i="41"/>
  <c r="BQ32" i="41"/>
  <c r="BR32" i="41"/>
  <c r="BS32" i="41"/>
  <c r="BT32" i="41"/>
  <c r="BQ33" i="41"/>
  <c r="BR33" i="41"/>
  <c r="BS33" i="41"/>
  <c r="BT33" i="41"/>
  <c r="BU33" i="41"/>
  <c r="BQ34" i="41"/>
  <c r="BR34" i="41"/>
  <c r="BS34" i="41"/>
  <c r="BT34" i="41"/>
  <c r="BU34" i="41"/>
  <c r="BQ35" i="41"/>
  <c r="BR35" i="41"/>
  <c r="BS35" i="41"/>
  <c r="BT35" i="41"/>
  <c r="BU35" i="41"/>
  <c r="BQ36" i="41"/>
  <c r="BS36" i="41"/>
  <c r="BT36" i="41"/>
  <c r="BU36" i="41"/>
  <c r="BQ37" i="41"/>
  <c r="BR37" i="41"/>
  <c r="BT37" i="41"/>
  <c r="BU37" i="41"/>
  <c r="BQ38" i="41"/>
  <c r="BR38" i="41"/>
  <c r="BS38" i="41"/>
  <c r="BU38" i="41"/>
  <c r="BQ39" i="41"/>
  <c r="BR39" i="41"/>
  <c r="BS39" i="41"/>
  <c r="BT39" i="41"/>
  <c r="BU10" i="41"/>
  <c r="BT10" i="41"/>
  <c r="BS10" i="41"/>
  <c r="BR10" i="41"/>
  <c r="BQ10" i="41"/>
  <c r="BL11" i="41"/>
  <c r="BM11" i="41"/>
  <c r="BN11" i="41"/>
  <c r="BO11" i="41"/>
  <c r="BP11" i="41"/>
  <c r="BL12" i="41"/>
  <c r="BM12" i="41"/>
  <c r="BN12" i="41"/>
  <c r="BO12" i="41"/>
  <c r="BP12" i="41"/>
  <c r="BL13" i="41"/>
  <c r="BM13" i="41"/>
  <c r="BN13" i="41"/>
  <c r="BO13" i="41"/>
  <c r="BP13" i="41"/>
  <c r="BL14" i="41"/>
  <c r="BM14" i="41"/>
  <c r="BN14" i="41"/>
  <c r="BO14" i="41"/>
  <c r="BP14" i="41"/>
  <c r="BL15" i="41"/>
  <c r="BM15" i="41"/>
  <c r="BN15" i="41"/>
  <c r="BO15" i="41"/>
  <c r="BP15" i="41"/>
  <c r="BL16" i="41"/>
  <c r="BM16" i="41"/>
  <c r="BN16" i="41"/>
  <c r="BO16" i="41"/>
  <c r="BP16" i="41"/>
  <c r="BL17" i="41"/>
  <c r="BM17" i="41"/>
  <c r="BN17" i="41"/>
  <c r="BO17" i="41"/>
  <c r="BP17" i="41"/>
  <c r="BL18" i="41"/>
  <c r="BM18" i="41"/>
  <c r="BN18" i="41"/>
  <c r="BO18" i="41"/>
  <c r="BP18" i="41"/>
  <c r="BL19" i="41"/>
  <c r="BM19" i="41"/>
  <c r="BN19" i="41"/>
  <c r="BO19" i="41"/>
  <c r="BP19" i="41"/>
  <c r="BL20" i="41"/>
  <c r="BM20" i="41"/>
  <c r="BN20" i="41"/>
  <c r="BO20" i="41"/>
  <c r="BP20" i="41"/>
  <c r="BM21" i="41"/>
  <c r="BN21" i="41"/>
  <c r="BO21" i="41"/>
  <c r="BP21" i="41"/>
  <c r="BL22" i="41"/>
  <c r="BN22" i="41"/>
  <c r="BO22" i="41"/>
  <c r="BP22" i="41"/>
  <c r="BL23" i="41"/>
  <c r="BM23" i="41"/>
  <c r="BO23" i="41"/>
  <c r="BP23" i="41"/>
  <c r="BL24" i="41"/>
  <c r="BM24" i="41"/>
  <c r="BN24" i="41"/>
  <c r="BP24" i="41"/>
  <c r="BL25" i="41"/>
  <c r="BM25" i="41"/>
  <c r="BN25" i="41"/>
  <c r="BO25" i="41"/>
  <c r="BL26" i="41"/>
  <c r="BM26" i="41"/>
  <c r="BN26" i="41"/>
  <c r="BO26" i="41"/>
  <c r="BP26" i="41"/>
  <c r="BL27" i="41"/>
  <c r="BM27" i="41"/>
  <c r="BN27" i="41"/>
  <c r="BO27" i="41"/>
  <c r="BP27" i="41"/>
  <c r="BL28" i="41"/>
  <c r="BM28" i="41"/>
  <c r="BN28" i="41"/>
  <c r="BO28" i="41"/>
  <c r="BP28" i="41"/>
  <c r="BL29" i="41"/>
  <c r="BN29" i="41"/>
  <c r="BO29" i="41"/>
  <c r="BP29" i="41"/>
  <c r="BL30" i="41"/>
  <c r="BM30" i="41"/>
  <c r="BO30" i="41"/>
  <c r="BP30" i="41"/>
  <c r="BL31" i="41"/>
  <c r="BM31" i="41"/>
  <c r="BN31" i="41"/>
  <c r="BP31" i="41"/>
  <c r="BL32" i="41"/>
  <c r="BM32" i="41"/>
  <c r="BN32" i="41"/>
  <c r="BO32" i="41"/>
  <c r="BL33" i="41"/>
  <c r="BM33" i="41"/>
  <c r="BN33" i="41"/>
  <c r="BO33" i="41"/>
  <c r="BP33" i="41"/>
  <c r="BL34" i="41"/>
  <c r="BM34" i="41"/>
  <c r="BN34" i="41"/>
  <c r="BO34" i="41"/>
  <c r="BP34" i="41"/>
  <c r="BM35" i="41"/>
  <c r="BN35" i="41"/>
  <c r="BO35" i="41"/>
  <c r="BP35" i="41"/>
  <c r="BL36" i="41"/>
  <c r="BN36" i="41"/>
  <c r="BO36" i="41"/>
  <c r="BP36" i="41"/>
  <c r="BL37" i="41"/>
  <c r="BM37" i="41"/>
  <c r="BO37" i="41"/>
  <c r="BP37" i="41"/>
  <c r="BL38" i="41"/>
  <c r="BM38" i="41"/>
  <c r="BN38" i="41"/>
  <c r="BP38" i="41"/>
  <c r="BL39" i="41"/>
  <c r="BM39" i="41"/>
  <c r="BN39" i="41"/>
  <c r="BO39" i="41"/>
  <c r="BL40" i="41"/>
  <c r="BM40" i="41"/>
  <c r="BN40" i="41"/>
  <c r="BO40" i="41"/>
  <c r="BP40" i="41"/>
  <c r="BP10" i="41"/>
  <c r="BO10" i="41"/>
  <c r="BN10" i="41"/>
  <c r="BM10" i="41"/>
  <c r="BL10" i="41"/>
  <c r="BG11" i="41"/>
  <c r="BG12" i="41"/>
  <c r="BG13" i="41"/>
  <c r="BG15" i="41"/>
  <c r="BG16" i="41"/>
  <c r="BG17" i="41"/>
  <c r="BG18" i="41"/>
  <c r="BG19" i="41"/>
  <c r="BG20" i="41"/>
  <c r="BG22" i="41"/>
  <c r="BG23" i="41"/>
  <c r="BG24" i="41"/>
  <c r="BG25" i="41"/>
  <c r="BG26" i="41"/>
  <c r="BG27" i="41"/>
  <c r="BG29" i="41"/>
  <c r="BG30" i="41"/>
  <c r="BG31" i="41"/>
  <c r="BG32" i="41"/>
  <c r="BG33" i="41"/>
  <c r="BG34" i="41"/>
  <c r="BG36" i="41"/>
  <c r="BG37" i="41"/>
  <c r="BG38" i="41"/>
  <c r="BG39" i="41"/>
  <c r="BG40" i="41"/>
  <c r="BG10" i="41"/>
  <c r="BH11" i="41"/>
  <c r="BI11" i="41"/>
  <c r="BJ11" i="41"/>
  <c r="BK11" i="41"/>
  <c r="BH12" i="41"/>
  <c r="BI12" i="41"/>
  <c r="BJ12" i="41"/>
  <c r="BK12" i="41"/>
  <c r="BH13" i="41"/>
  <c r="BI13" i="41"/>
  <c r="BJ13" i="41"/>
  <c r="BK13" i="41"/>
  <c r="BH14" i="41"/>
  <c r="BI14" i="41"/>
  <c r="BJ14" i="41"/>
  <c r="BK14" i="41"/>
  <c r="BI15" i="41"/>
  <c r="BJ15" i="41"/>
  <c r="BK15" i="41"/>
  <c r="BH16" i="41"/>
  <c r="BJ16" i="41"/>
  <c r="BK16" i="41"/>
  <c r="BH17" i="41"/>
  <c r="BI17" i="41"/>
  <c r="BK17" i="41"/>
  <c r="BH18" i="41"/>
  <c r="BI18" i="41"/>
  <c r="BJ18" i="41"/>
  <c r="BH19" i="41"/>
  <c r="BI19" i="41"/>
  <c r="BJ19" i="41"/>
  <c r="BK19" i="41"/>
  <c r="BH20" i="41"/>
  <c r="BI20" i="41"/>
  <c r="BJ20" i="41"/>
  <c r="BK20" i="41"/>
  <c r="BH21" i="41"/>
  <c r="BI21" i="41"/>
  <c r="BJ21" i="41"/>
  <c r="BK21" i="41"/>
  <c r="BI22" i="41"/>
  <c r="BJ22" i="41"/>
  <c r="BK22" i="41"/>
  <c r="BH23" i="41"/>
  <c r="BJ23" i="41"/>
  <c r="BK23" i="41"/>
  <c r="BH24" i="41"/>
  <c r="BI24" i="41"/>
  <c r="BK24" i="41"/>
  <c r="BH25" i="41"/>
  <c r="BI25" i="41"/>
  <c r="BJ25" i="41"/>
  <c r="BH26" i="41"/>
  <c r="BI26" i="41"/>
  <c r="BJ26" i="41"/>
  <c r="BK26" i="41"/>
  <c r="BH27" i="41"/>
  <c r="BI27" i="41"/>
  <c r="BJ27" i="41"/>
  <c r="BK27" i="41"/>
  <c r="BH28" i="41"/>
  <c r="BI28" i="41"/>
  <c r="BJ28" i="41"/>
  <c r="BK28" i="41"/>
  <c r="BI29" i="41"/>
  <c r="BJ29" i="41"/>
  <c r="BK29" i="41"/>
  <c r="BH30" i="41"/>
  <c r="BJ30" i="41"/>
  <c r="BK30" i="41"/>
  <c r="BH31" i="41"/>
  <c r="BI31" i="41"/>
  <c r="BK31" i="41"/>
  <c r="BH32" i="41"/>
  <c r="BI32" i="41"/>
  <c r="BJ32" i="41"/>
  <c r="BH33" i="41"/>
  <c r="BI33" i="41"/>
  <c r="BJ33" i="41"/>
  <c r="BK33" i="41"/>
  <c r="BH34" i="41"/>
  <c r="BI34" i="41"/>
  <c r="BJ34" i="41"/>
  <c r="BK34" i="41"/>
  <c r="BH35" i="41"/>
  <c r="BI35" i="41"/>
  <c r="BJ35" i="41"/>
  <c r="BK35" i="41"/>
  <c r="BI36" i="41"/>
  <c r="BJ36" i="41"/>
  <c r="BK36" i="41"/>
  <c r="BH37" i="41"/>
  <c r="BJ37" i="41"/>
  <c r="BK37" i="41"/>
  <c r="BH38" i="41"/>
  <c r="BI38" i="41"/>
  <c r="BK38" i="41"/>
  <c r="BH39" i="41"/>
  <c r="BI39" i="41"/>
  <c r="BJ39" i="41"/>
  <c r="BH40" i="41"/>
  <c r="BI40" i="41"/>
  <c r="BJ40" i="41"/>
  <c r="BK40" i="41"/>
  <c r="BK10" i="41"/>
  <c r="BJ10" i="41"/>
  <c r="BI10" i="41"/>
  <c r="BH10" i="41"/>
  <c r="S39" i="43"/>
  <c r="BC31" i="43"/>
  <c r="CW29" i="69" s="1"/>
  <c r="BC30" i="43"/>
  <c r="BC36" i="43" s="1"/>
  <c r="BA31" i="43"/>
  <c r="BA39" i="43" s="1"/>
  <c r="BA30" i="43"/>
  <c r="BA36" i="43" s="1"/>
  <c r="AY31" i="43"/>
  <c r="AY39" i="43" s="1"/>
  <c r="AY30" i="43"/>
  <c r="BX27" i="69" s="1"/>
  <c r="AW31" i="43"/>
  <c r="AW39" i="43" s="1"/>
  <c r="AW30" i="43"/>
  <c r="BW26" i="69" s="1"/>
  <c r="AU31" i="43"/>
  <c r="AU39" i="43" s="1"/>
  <c r="AU30" i="43"/>
  <c r="AU36" i="43" s="1"/>
  <c r="AO31" i="43"/>
  <c r="CR22" i="69" s="1"/>
  <c r="AO30" i="43"/>
  <c r="AO36" i="43" s="1"/>
  <c r="AM31" i="43"/>
  <c r="CQ21" i="69" s="1"/>
  <c r="AM30" i="43"/>
  <c r="BT21" i="69" s="1"/>
  <c r="AK31" i="43"/>
  <c r="AK39" i="43" s="1"/>
  <c r="AK30" i="43"/>
  <c r="BS20" i="69" s="1"/>
  <c r="AI31" i="43"/>
  <c r="CO19" i="69" s="1"/>
  <c r="AI30" i="43"/>
  <c r="BR19" i="69" s="1"/>
  <c r="AG31" i="43"/>
  <c r="AG39" i="43" s="1"/>
  <c r="AG36" i="43"/>
  <c r="AA31" i="43"/>
  <c r="AA39" i="43" s="1"/>
  <c r="Y31" i="43"/>
  <c r="W31" i="43"/>
  <c r="CK13" i="69" s="1"/>
  <c r="U31" i="43"/>
  <c r="CJ12" i="69" s="1"/>
  <c r="AA30" i="43"/>
  <c r="BP15" i="69" s="1"/>
  <c r="Y30" i="43"/>
  <c r="Y36" i="43" s="1"/>
  <c r="W30" i="43"/>
  <c r="BN13" i="69" s="1"/>
  <c r="U30" i="43"/>
  <c r="U36" i="43" s="1"/>
  <c r="S30" i="43"/>
  <c r="S36" i="43" s="1"/>
  <c r="M39" i="43"/>
  <c r="CG20" i="72"/>
  <c r="CF19" i="72"/>
  <c r="CE11" i="72"/>
  <c r="K30" i="43"/>
  <c r="BJ27" i="72" s="1"/>
  <c r="M30" i="43"/>
  <c r="M36" i="43" s="1"/>
  <c r="I30" i="43"/>
  <c r="BI23" i="41" s="1"/>
  <c r="G30" i="43"/>
  <c r="BH18" i="72" s="1"/>
  <c r="AQ5" i="43"/>
  <c r="A1" i="48" s="1"/>
  <c r="AC5" i="43"/>
  <c r="A1" i="49" s="1"/>
  <c r="O5" i="43"/>
  <c r="A1" i="47" s="1"/>
  <c r="Q11" i="43"/>
  <c r="B11" i="43"/>
  <c r="C11" i="43" s="1"/>
  <c r="CL20" i="72" l="1"/>
  <c r="CL30" i="71"/>
  <c r="CL32" i="70"/>
  <c r="CL35" i="69"/>
  <c r="CL16" i="71"/>
  <c r="CL9" i="71"/>
  <c r="CL18" i="70"/>
  <c r="CL21" i="69"/>
  <c r="CL11" i="70"/>
  <c r="CL34" i="72"/>
  <c r="CL27" i="72"/>
  <c r="BP29" i="69"/>
  <c r="BM26" i="69"/>
  <c r="BO32" i="70"/>
  <c r="BO30" i="71"/>
  <c r="BP17" i="71"/>
  <c r="BL31" i="72"/>
  <c r="BM18" i="72"/>
  <c r="BM11" i="72"/>
  <c r="CJ33" i="69"/>
  <c r="CM19" i="70"/>
  <c r="CM17" i="71"/>
  <c r="BM19" i="69"/>
  <c r="BM37" i="70"/>
  <c r="BO11" i="70"/>
  <c r="BM35" i="71"/>
  <c r="BL20" i="71"/>
  <c r="BO20" i="72"/>
  <c r="CM36" i="69"/>
  <c r="CJ9" i="70"/>
  <c r="CJ28" i="71"/>
  <c r="CM24" i="71"/>
  <c r="BL32" i="69"/>
  <c r="BM16" i="70"/>
  <c r="BO9" i="71"/>
  <c r="BP24" i="71"/>
  <c r="BM25" i="72"/>
  <c r="CJ30" i="70"/>
  <c r="CJ35" i="71"/>
  <c r="CM31" i="71"/>
  <c r="CJ18" i="72"/>
  <c r="BP36" i="69"/>
  <c r="BL25" i="69"/>
  <c r="BO18" i="70"/>
  <c r="BL27" i="71"/>
  <c r="BM14" i="71"/>
  <c r="BO27" i="72"/>
  <c r="CJ26" i="69"/>
  <c r="CJ37" i="70"/>
  <c r="CM33" i="70"/>
  <c r="CJ25" i="72"/>
  <c r="CM21" i="72"/>
  <c r="CM14" i="72"/>
  <c r="CJ11" i="72"/>
  <c r="BO21" i="69"/>
  <c r="BL18" i="69"/>
  <c r="BM9" i="70"/>
  <c r="BP33" i="70"/>
  <c r="BP31" i="71"/>
  <c r="BO16" i="71"/>
  <c r="BM32" i="72"/>
  <c r="BP14" i="72"/>
  <c r="BL10" i="72"/>
  <c r="CJ32" i="72"/>
  <c r="CM28" i="72"/>
  <c r="BL36" i="70"/>
  <c r="BP12" i="70"/>
  <c r="BL34" i="71"/>
  <c r="BO34" i="72"/>
  <c r="BP21" i="72"/>
  <c r="CJ19" i="69"/>
  <c r="BM33" i="69"/>
  <c r="BL15" i="70"/>
  <c r="BP10" i="71"/>
  <c r="BL24" i="72"/>
  <c r="BO35" i="69"/>
  <c r="BM30" i="70"/>
  <c r="BP19" i="70"/>
  <c r="BM28" i="71"/>
  <c r="BL13" i="71"/>
  <c r="BP28" i="72"/>
  <c r="CM29" i="69"/>
  <c r="CJ16" i="70"/>
  <c r="CM12" i="70"/>
  <c r="CJ14" i="71"/>
  <c r="CM10" i="71"/>
  <c r="BL21" i="41"/>
  <c r="BL35" i="41"/>
  <c r="P12" i="43"/>
  <c r="B4" i="47"/>
  <c r="BM36" i="67"/>
  <c r="BL21" i="67"/>
  <c r="BL35" i="67"/>
  <c r="BM22" i="67"/>
  <c r="CJ22" i="67"/>
  <c r="CM18" i="67"/>
  <c r="BP39" i="67"/>
  <c r="BO24" i="67"/>
  <c r="CJ29" i="67"/>
  <c r="CM25" i="67"/>
  <c r="CL38" i="67"/>
  <c r="CL31" i="67"/>
  <c r="CL24" i="67"/>
  <c r="CL17" i="67"/>
  <c r="BM29" i="67"/>
  <c r="BL14" i="67"/>
  <c r="CJ36" i="67"/>
  <c r="CM32" i="67"/>
  <c r="BO31" i="67"/>
  <c r="BP18" i="67"/>
  <c r="CM39" i="67"/>
  <c r="BO38" i="67"/>
  <c r="BP25" i="67"/>
  <c r="BL28" i="67"/>
  <c r="BM15" i="67"/>
  <c r="BP32" i="67"/>
  <c r="BO17" i="67"/>
  <c r="CJ15" i="67"/>
  <c r="BJ17" i="41"/>
  <c r="BI16" i="41"/>
  <c r="BH15" i="41"/>
  <c r="BK18" i="41"/>
  <c r="BZ32" i="41"/>
  <c r="CW32" i="41"/>
  <c r="BZ39" i="41"/>
  <c r="CW39" i="41"/>
  <c r="CW25" i="41"/>
  <c r="BZ25" i="41"/>
  <c r="CV31" i="41"/>
  <c r="BY24" i="41"/>
  <c r="BY31" i="41"/>
  <c r="CV38" i="41"/>
  <c r="CU23" i="41"/>
  <c r="CU30" i="41"/>
  <c r="BX30" i="41"/>
  <c r="BX23" i="41"/>
  <c r="CU37" i="41"/>
  <c r="CT22" i="41"/>
  <c r="BW36" i="41"/>
  <c r="CT29" i="41"/>
  <c r="CT36" i="41"/>
  <c r="BW29" i="41"/>
  <c r="BW22" i="41"/>
  <c r="BV21" i="41"/>
  <c r="CS35" i="41"/>
  <c r="CS28" i="41"/>
  <c r="CS21" i="41"/>
  <c r="BV28" i="41"/>
  <c r="BL39" i="69"/>
  <c r="CR39" i="41"/>
  <c r="CR32" i="41"/>
  <c r="BU39" i="41"/>
  <c r="BU32" i="41"/>
  <c r="BU25" i="41"/>
  <c r="CR25" i="41"/>
  <c r="BT31" i="41"/>
  <c r="CQ24" i="41"/>
  <c r="BT24" i="41"/>
  <c r="CQ38" i="41"/>
  <c r="CQ31" i="41"/>
  <c r="BT38" i="41"/>
  <c r="BS30" i="41"/>
  <c r="CP23" i="41"/>
  <c r="BS23" i="41"/>
  <c r="CP37" i="41"/>
  <c r="BS37" i="41"/>
  <c r="CP30" i="41"/>
  <c r="BR29" i="41"/>
  <c r="CO36" i="41"/>
  <c r="BR36" i="41"/>
  <c r="CO22" i="41"/>
  <c r="BR22" i="41"/>
  <c r="CO29" i="41"/>
  <c r="BN38" i="64"/>
  <c r="BN26" i="66"/>
  <c r="BN30" i="67"/>
  <c r="BN15" i="71"/>
  <c r="BN19" i="72"/>
  <c r="CK36" i="71"/>
  <c r="CK29" i="71"/>
  <c r="CK22" i="71"/>
  <c r="CK15" i="71"/>
  <c r="CK12" i="72"/>
  <c r="BN12" i="63"/>
  <c r="BN14" i="65"/>
  <c r="BN37" i="67"/>
  <c r="BN34" i="69"/>
  <c r="BN10" i="70"/>
  <c r="BN22" i="71"/>
  <c r="BN26" i="72"/>
  <c r="BN12" i="72"/>
  <c r="CN21" i="41"/>
  <c r="CK35" i="65"/>
  <c r="CK28" i="65"/>
  <c r="CK21" i="65"/>
  <c r="CK14" i="65"/>
  <c r="BN21" i="65"/>
  <c r="BN17" i="70"/>
  <c r="BN29" i="71"/>
  <c r="BN33" i="72"/>
  <c r="CK33" i="63"/>
  <c r="CK26" i="63"/>
  <c r="CK19" i="63"/>
  <c r="CK12" i="63"/>
  <c r="CK37" i="67"/>
  <c r="CK30" i="67"/>
  <c r="CK23" i="67"/>
  <c r="CK16" i="67"/>
  <c r="BN19" i="63"/>
  <c r="BN26" i="63"/>
  <c r="BN28" i="65"/>
  <c r="BN36" i="71"/>
  <c r="CN28" i="41"/>
  <c r="CK17" i="70"/>
  <c r="CK10" i="70"/>
  <c r="BN33" i="63"/>
  <c r="BN10" i="64"/>
  <c r="BN35" i="65"/>
  <c r="CK38" i="64"/>
  <c r="CK27" i="69"/>
  <c r="BN17" i="64"/>
  <c r="BN27" i="69"/>
  <c r="CK26" i="66"/>
  <c r="CK19" i="66"/>
  <c r="CK12" i="66"/>
  <c r="CK38" i="70"/>
  <c r="CK31" i="70"/>
  <c r="BN12" i="66"/>
  <c r="BN16" i="67"/>
  <c r="BN31" i="70"/>
  <c r="CN35" i="41"/>
  <c r="CK17" i="64"/>
  <c r="CK10" i="64"/>
  <c r="CK33" i="72"/>
  <c r="CK26" i="72"/>
  <c r="CK19" i="72"/>
  <c r="BN19" i="66"/>
  <c r="BN23" i="67"/>
  <c r="BN20" i="69"/>
  <c r="BN38" i="70"/>
  <c r="CK34" i="69"/>
  <c r="CK20" i="69"/>
  <c r="CM39" i="41"/>
  <c r="BP32" i="41"/>
  <c r="BP39" i="41"/>
  <c r="CM32" i="41"/>
  <c r="BO31" i="41"/>
  <c r="BO24" i="41"/>
  <c r="BO38" i="41"/>
  <c r="Y39" i="43"/>
  <c r="CL38" i="41"/>
  <c r="CL32" i="64"/>
  <c r="CL31" i="41"/>
  <c r="CL24" i="41"/>
  <c r="CL14" i="69"/>
  <c r="BN37" i="41"/>
  <c r="CK23" i="41"/>
  <c r="BN30" i="41"/>
  <c r="CK30" i="41"/>
  <c r="BN23" i="41"/>
  <c r="CK37" i="41"/>
  <c r="BM36" i="41"/>
  <c r="CJ22" i="41"/>
  <c r="BM29" i="41"/>
  <c r="CJ36" i="41"/>
  <c r="CJ29" i="41"/>
  <c r="BM22" i="41"/>
  <c r="CM33" i="64"/>
  <c r="BM30" i="64"/>
  <c r="BL29" i="64"/>
  <c r="BP33" i="64"/>
  <c r="BO32" i="64"/>
  <c r="BN31" i="64"/>
  <c r="CK31" i="64"/>
  <c r="CJ30" i="64"/>
  <c r="CM25" i="41"/>
  <c r="BP25" i="41"/>
  <c r="BH22" i="41"/>
  <c r="BC39" i="43"/>
  <c r="AY36" i="43"/>
  <c r="CV28" i="69"/>
  <c r="CT26" i="69"/>
  <c r="AW36" i="43"/>
  <c r="BZ29" i="69"/>
  <c r="BV25" i="69"/>
  <c r="CU27" i="69"/>
  <c r="CS25" i="69"/>
  <c r="BY28" i="69"/>
  <c r="AI39" i="43"/>
  <c r="AM39" i="43"/>
  <c r="AI36" i="43"/>
  <c r="AO39" i="43"/>
  <c r="AK36" i="43"/>
  <c r="AM36" i="43"/>
  <c r="BU22" i="69"/>
  <c r="BQ18" i="69"/>
  <c r="CP20" i="69"/>
  <c r="CN18" i="69"/>
  <c r="CX9" i="63"/>
  <c r="U39" i="43"/>
  <c r="W39" i="43"/>
  <c r="BO14" i="69"/>
  <c r="BM12" i="69"/>
  <c r="CM15" i="69"/>
  <c r="BL11" i="69"/>
  <c r="AA36" i="43"/>
  <c r="W36" i="43"/>
  <c r="G39" i="43"/>
  <c r="BH36" i="41"/>
  <c r="BH9" i="64"/>
  <c r="BK35" i="63"/>
  <c r="BH29" i="41"/>
  <c r="BK21" i="63"/>
  <c r="G36" i="43"/>
  <c r="I36" i="43"/>
  <c r="BI19" i="66"/>
  <c r="BI16" i="67"/>
  <c r="BI34" i="69"/>
  <c r="BI38" i="70"/>
  <c r="BI10" i="70"/>
  <c r="BI29" i="71"/>
  <c r="BI15" i="71"/>
  <c r="BI33" i="72"/>
  <c r="BI19" i="72"/>
  <c r="CF30" i="41"/>
  <c r="CF33" i="63"/>
  <c r="CF19" i="63"/>
  <c r="CE9" i="64"/>
  <c r="CF38" i="64"/>
  <c r="CF10" i="64"/>
  <c r="CF28" i="65"/>
  <c r="CF14" i="65"/>
  <c r="CF19" i="66"/>
  <c r="CF30" i="67"/>
  <c r="CF16" i="67"/>
  <c r="CF27" i="69"/>
  <c r="CF13" i="69"/>
  <c r="CE9" i="70"/>
  <c r="CF31" i="70"/>
  <c r="CF17" i="70"/>
  <c r="CF36" i="71"/>
  <c r="CF22" i="71"/>
  <c r="CF26" i="72"/>
  <c r="CF12" i="72"/>
  <c r="BI30" i="67"/>
  <c r="BI20" i="69"/>
  <c r="BI30" i="41"/>
  <c r="BH25" i="63"/>
  <c r="BH11" i="63"/>
  <c r="BH30" i="64"/>
  <c r="BH16" i="64"/>
  <c r="BH34" i="65"/>
  <c r="BH20" i="65"/>
  <c r="BH25" i="66"/>
  <c r="BH11" i="66"/>
  <c r="BH36" i="67"/>
  <c r="BH22" i="67"/>
  <c r="BH26" i="69"/>
  <c r="BH12" i="69"/>
  <c r="BH30" i="70"/>
  <c r="BH16" i="70"/>
  <c r="BH35" i="71"/>
  <c r="BH21" i="71"/>
  <c r="BH25" i="72"/>
  <c r="BH11" i="72"/>
  <c r="CE36" i="41"/>
  <c r="CE25" i="63"/>
  <c r="CE11" i="63"/>
  <c r="CE30" i="64"/>
  <c r="CE16" i="64"/>
  <c r="CE34" i="65"/>
  <c r="CE20" i="65"/>
  <c r="CE25" i="66"/>
  <c r="CE11" i="66"/>
  <c r="CE36" i="67"/>
  <c r="CE22" i="67"/>
  <c r="CE33" i="69"/>
  <c r="CE19" i="69"/>
  <c r="CE37" i="70"/>
  <c r="CE28" i="71"/>
  <c r="CE14" i="71"/>
  <c r="CE32" i="72"/>
  <c r="CE18" i="72"/>
  <c r="BJ24" i="41"/>
  <c r="BI14" i="65"/>
  <c r="I39" i="43"/>
  <c r="BK14" i="63"/>
  <c r="BK33" i="64"/>
  <c r="BK19" i="64"/>
  <c r="BK37" i="65"/>
  <c r="BK23" i="65"/>
  <c r="BK28" i="66"/>
  <c r="BK14" i="66"/>
  <c r="BK39" i="67"/>
  <c r="BK25" i="67"/>
  <c r="BK29" i="69"/>
  <c r="BK15" i="69"/>
  <c r="BK33" i="70"/>
  <c r="BK19" i="70"/>
  <c r="BK24" i="71"/>
  <c r="BK10" i="71"/>
  <c r="BK28" i="72"/>
  <c r="BK14" i="72"/>
  <c r="CH39" i="41"/>
  <c r="CH25" i="41"/>
  <c r="CH28" i="63"/>
  <c r="CH14" i="63"/>
  <c r="CH33" i="64"/>
  <c r="CH19" i="64"/>
  <c r="CH37" i="65"/>
  <c r="CH23" i="65"/>
  <c r="CH28" i="66"/>
  <c r="CH14" i="66"/>
  <c r="CH39" i="67"/>
  <c r="CH25" i="67"/>
  <c r="CH36" i="69"/>
  <c r="CH22" i="69"/>
  <c r="CH12" i="70"/>
  <c r="CG9" i="71"/>
  <c r="CH31" i="71"/>
  <c r="CH17" i="71"/>
  <c r="CH35" i="72"/>
  <c r="CH21" i="72"/>
  <c r="BI33" i="63"/>
  <c r="BI19" i="63"/>
  <c r="BI10" i="64"/>
  <c r="BI28" i="65"/>
  <c r="BK28" i="63"/>
  <c r="BK39" i="41"/>
  <c r="BK25" i="41"/>
  <c r="BJ34" i="63"/>
  <c r="BJ20" i="63"/>
  <c r="BJ39" i="64"/>
  <c r="BJ11" i="64"/>
  <c r="BJ29" i="65"/>
  <c r="BJ15" i="65"/>
  <c r="BJ20" i="66"/>
  <c r="BJ31" i="67"/>
  <c r="BJ17" i="67"/>
  <c r="BJ35" i="69"/>
  <c r="BJ21" i="69"/>
  <c r="BJ11" i="70"/>
  <c r="BJ30" i="71"/>
  <c r="BJ16" i="71"/>
  <c r="BJ34" i="72"/>
  <c r="BJ20" i="72"/>
  <c r="CG31" i="41"/>
  <c r="CG34" i="63"/>
  <c r="CG20" i="63"/>
  <c r="CG39" i="64"/>
  <c r="CG11" i="64"/>
  <c r="CG29" i="65"/>
  <c r="CG15" i="65"/>
  <c r="CG20" i="66"/>
  <c r="CG31" i="67"/>
  <c r="CG17" i="67"/>
  <c r="CG28" i="69"/>
  <c r="CG14" i="69"/>
  <c r="CG32" i="70"/>
  <c r="CG18" i="70"/>
  <c r="CG23" i="71"/>
  <c r="CG27" i="72"/>
  <c r="BK32" i="41"/>
  <c r="BI13" i="69"/>
  <c r="BH9" i="70"/>
  <c r="BI31" i="70"/>
  <c r="BI17" i="70"/>
  <c r="BI36" i="71"/>
  <c r="BI22" i="71"/>
  <c r="BI26" i="72"/>
  <c r="BI12" i="72"/>
  <c r="CF37" i="41"/>
  <c r="CF23" i="41"/>
  <c r="CF26" i="63"/>
  <c r="CF12" i="63"/>
  <c r="CF31" i="64"/>
  <c r="CF17" i="64"/>
  <c r="CF35" i="65"/>
  <c r="CF21" i="65"/>
  <c r="CF26" i="66"/>
  <c r="CF12" i="66"/>
  <c r="CF37" i="67"/>
  <c r="CF23" i="67"/>
  <c r="CF34" i="69"/>
  <c r="CF20" i="69"/>
  <c r="CF38" i="70"/>
  <c r="CF10" i="70"/>
  <c r="CF29" i="71"/>
  <c r="CF15" i="71"/>
  <c r="CF33" i="72"/>
  <c r="K36" i="43"/>
  <c r="BJ38" i="41"/>
  <c r="BI38" i="64"/>
  <c r="BJ31" i="41"/>
  <c r="BI26" i="63"/>
  <c r="BI12" i="63"/>
  <c r="BI31" i="64"/>
  <c r="BI17" i="64"/>
  <c r="BI35" i="65"/>
  <c r="BI21" i="65"/>
  <c r="BI26" i="66"/>
  <c r="BI12" i="66"/>
  <c r="BI37" i="67"/>
  <c r="BI23" i="67"/>
  <c r="BI27" i="69"/>
  <c r="K39" i="43"/>
  <c r="BI37" i="41"/>
  <c r="BH32" i="63"/>
  <c r="BH18" i="63"/>
  <c r="BH37" i="64"/>
  <c r="BH27" i="65"/>
  <c r="BH13" i="65"/>
  <c r="BH18" i="66"/>
  <c r="BH29" i="67"/>
  <c r="BH15" i="67"/>
  <c r="BH33" i="69"/>
  <c r="BH19" i="69"/>
  <c r="BH37" i="70"/>
  <c r="BH28" i="71"/>
  <c r="BH14" i="71"/>
  <c r="BH32" i="72"/>
  <c r="CE29" i="41"/>
  <c r="CE32" i="63"/>
  <c r="CE18" i="63"/>
  <c r="CE37" i="64"/>
  <c r="CE27" i="65"/>
  <c r="CE13" i="65"/>
  <c r="CE18" i="66"/>
  <c r="CE29" i="67"/>
  <c r="CE15" i="67"/>
  <c r="CE26" i="69"/>
  <c r="CE12" i="69"/>
  <c r="CE30" i="70"/>
  <c r="CE16" i="70"/>
  <c r="CE35" i="71"/>
  <c r="CE21" i="71"/>
  <c r="CE25" i="72"/>
  <c r="BK12" i="64"/>
  <c r="BK30" i="65"/>
  <c r="BK16" i="65"/>
  <c r="BK21" i="66"/>
  <c r="BK32" i="67"/>
  <c r="BK18" i="67"/>
  <c r="BK36" i="69"/>
  <c r="BK22" i="69"/>
  <c r="BK12" i="70"/>
  <c r="BJ9" i="71"/>
  <c r="BK31" i="71"/>
  <c r="BK17" i="71"/>
  <c r="BK35" i="72"/>
  <c r="BK21" i="72"/>
  <c r="CH32" i="41"/>
  <c r="CH35" i="63"/>
  <c r="CH21" i="63"/>
  <c r="CH12" i="64"/>
  <c r="CH30" i="65"/>
  <c r="CH16" i="65"/>
  <c r="CH21" i="66"/>
  <c r="CH32" i="67"/>
  <c r="CH18" i="67"/>
  <c r="CH29" i="69"/>
  <c r="CH15" i="69"/>
  <c r="CH33" i="70"/>
  <c r="CH19" i="70"/>
  <c r="CH24" i="71"/>
  <c r="CH10" i="71"/>
  <c r="CH28" i="72"/>
  <c r="CH14" i="72"/>
  <c r="BJ27" i="63"/>
  <c r="BJ13" i="63"/>
  <c r="BJ32" i="64"/>
  <c r="BJ18" i="64"/>
  <c r="BK9" i="65"/>
  <c r="BJ36" i="65"/>
  <c r="BJ22" i="65"/>
  <c r="BJ27" i="66"/>
  <c r="BJ13" i="66"/>
  <c r="BJ38" i="67"/>
  <c r="BJ24" i="67"/>
  <c r="BJ28" i="69"/>
  <c r="BJ14" i="69"/>
  <c r="BJ32" i="70"/>
  <c r="BJ18" i="70"/>
  <c r="BJ23" i="71"/>
  <c r="CG38" i="41"/>
  <c r="CG24" i="41"/>
  <c r="CG27" i="63"/>
  <c r="CG13" i="63"/>
  <c r="CG32" i="64"/>
  <c r="CG18" i="64"/>
  <c r="CH9" i="65"/>
  <c r="CG36" i="65"/>
  <c r="CG22" i="65"/>
  <c r="CG27" i="66"/>
  <c r="CG13" i="66"/>
  <c r="CG38" i="67"/>
  <c r="CG24" i="67"/>
  <c r="CG35" i="69"/>
  <c r="CG21" i="69"/>
  <c r="CG11" i="70"/>
  <c r="CG30" i="71"/>
  <c r="CG16" i="71"/>
  <c r="CG34" i="72"/>
  <c r="E30" i="43"/>
  <c r="BG14" i="41" s="1"/>
  <c r="Q12" i="43" l="1"/>
  <c r="A5" i="47"/>
  <c r="BD30" i="43"/>
  <c r="BG10" i="72"/>
  <c r="BG24" i="72"/>
  <c r="BG20" i="71"/>
  <c r="BG34" i="71"/>
  <c r="BG15" i="70"/>
  <c r="BG11" i="69"/>
  <c r="BG25" i="69"/>
  <c r="BG39" i="69"/>
  <c r="BG21" i="67"/>
  <c r="BG35" i="67"/>
  <c r="BG10" i="66"/>
  <c r="BG24" i="66"/>
  <c r="BG19" i="65"/>
  <c r="BG33" i="65"/>
  <c r="BG15" i="64"/>
  <c r="BG29" i="64"/>
  <c r="BG38" i="63"/>
  <c r="BG35" i="41"/>
  <c r="BG28" i="41"/>
  <c r="E36" i="43"/>
  <c r="BG10" i="63"/>
  <c r="BG24" i="63"/>
  <c r="BG21" i="41"/>
  <c r="BG17" i="63"/>
  <c r="BG31" i="63"/>
  <c r="BG31" i="72"/>
  <c r="BG13" i="71"/>
  <c r="BG27" i="71"/>
  <c r="BG36" i="70"/>
  <c r="BG18" i="69"/>
  <c r="BG32" i="69"/>
  <c r="BG14" i="67"/>
  <c r="BG28" i="67"/>
  <c r="BG17" i="66"/>
  <c r="BG12" i="65"/>
  <c r="BG26" i="65"/>
  <c r="BG36" i="64"/>
  <c r="CD31" i="72"/>
  <c r="CD13" i="71"/>
  <c r="CD27" i="71"/>
  <c r="CD36" i="70"/>
  <c r="CD18" i="69"/>
  <c r="CD32" i="69"/>
  <c r="CD21" i="67"/>
  <c r="CD35" i="67"/>
  <c r="CD10" i="66"/>
  <c r="CD24" i="66"/>
  <c r="CD19" i="65"/>
  <c r="CD33" i="65"/>
  <c r="CD15" i="64"/>
  <c r="CD29" i="64"/>
  <c r="CD10" i="63"/>
  <c r="CD24" i="63"/>
  <c r="CD38" i="63"/>
  <c r="CD21" i="41"/>
  <c r="CD35" i="41"/>
  <c r="CD10" i="72"/>
  <c r="CD24" i="72"/>
  <c r="CD20" i="71"/>
  <c r="CD34" i="71"/>
  <c r="CD15" i="70"/>
  <c r="CD11" i="69"/>
  <c r="CD25" i="69"/>
  <c r="CD39" i="69"/>
  <c r="CD14" i="67"/>
  <c r="CD28" i="67"/>
  <c r="CD17" i="66"/>
  <c r="CD12" i="65"/>
  <c r="CD26" i="65"/>
  <c r="CD36" i="64"/>
  <c r="CD17" i="63"/>
  <c r="CD31" i="63"/>
  <c r="CD28" i="41"/>
  <c r="P13" i="43" l="1"/>
  <c r="B5" i="47"/>
  <c r="J23" i="61"/>
  <c r="B2" i="61"/>
  <c r="B23" i="44"/>
  <c r="A5" i="43"/>
  <c r="A1" i="82"/>
  <c r="A1" i="84" s="1"/>
  <c r="Q13" i="43" l="1"/>
  <c r="A6" i="47"/>
  <c r="A1" i="83"/>
  <c r="P14" i="43" l="1"/>
  <c r="B6" i="47"/>
  <c r="A39" i="66"/>
  <c r="B39" i="66" s="1"/>
  <c r="D39" i="66" s="1"/>
  <c r="Q14" i="43" l="1"/>
  <c r="A7" i="47"/>
  <c r="A85" i="73"/>
  <c r="A84" i="73"/>
  <c r="A83" i="73"/>
  <c r="A82" i="73"/>
  <c r="A85" i="72"/>
  <c r="A84" i="72"/>
  <c r="A83" i="72"/>
  <c r="A82" i="72"/>
  <c r="A81" i="72"/>
  <c r="A87" i="71"/>
  <c r="A86" i="71"/>
  <c r="A85" i="71"/>
  <c r="A84" i="71"/>
  <c r="A83" i="71"/>
  <c r="A84" i="70"/>
  <c r="A83" i="70"/>
  <c r="A82" i="70"/>
  <c r="A81" i="70"/>
  <c r="A86" i="69"/>
  <c r="A85" i="69"/>
  <c r="A84" i="69"/>
  <c r="A83" i="69"/>
  <c r="A82" i="69"/>
  <c r="A83" i="68"/>
  <c r="A82" i="68"/>
  <c r="A81" i="68"/>
  <c r="A80" i="68"/>
  <c r="A85" i="67"/>
  <c r="A84" i="67"/>
  <c r="A83" i="67"/>
  <c r="A82" i="67"/>
  <c r="A86" i="66"/>
  <c r="A85" i="66"/>
  <c r="A84" i="66"/>
  <c r="A83" i="66"/>
  <c r="A82" i="66"/>
  <c r="A85" i="65"/>
  <c r="A84" i="65"/>
  <c r="A83" i="65"/>
  <c r="A82" i="65"/>
  <c r="A81" i="65"/>
  <c r="A85" i="64"/>
  <c r="A84" i="64"/>
  <c r="A83" i="64"/>
  <c r="A82" i="64"/>
  <c r="A82" i="63"/>
  <c r="A87" i="73" l="1"/>
  <c r="P15" i="43"/>
  <c r="B7" i="47"/>
  <c r="A86" i="72"/>
  <c r="A88" i="71"/>
  <c r="A86" i="70"/>
  <c r="A87" i="69"/>
  <c r="A85" i="68"/>
  <c r="A87" i="67"/>
  <c r="A87" i="66"/>
  <c r="A86" i="65"/>
  <c r="A87" i="64"/>
  <c r="A85" i="63"/>
  <c r="A84" i="63"/>
  <c r="A83" i="63"/>
  <c r="A81" i="63"/>
  <c r="A86" i="41"/>
  <c r="A85" i="41"/>
  <c r="A84" i="41"/>
  <c r="A83" i="41"/>
  <c r="A82" i="41"/>
  <c r="D75" i="41"/>
  <c r="D71" i="41"/>
  <c r="D65" i="41"/>
  <c r="D64" i="41"/>
  <c r="Y37" i="68"/>
  <c r="Z37" i="68"/>
  <c r="AA37" i="68"/>
  <c r="AB37" i="68"/>
  <c r="AC37" i="68"/>
  <c r="AD37" i="68"/>
  <c r="AE37" i="68"/>
  <c r="AF37" i="68"/>
  <c r="BC37" i="68"/>
  <c r="BD37" i="68"/>
  <c r="BE37" i="68"/>
  <c r="BF37" i="68"/>
  <c r="CB37" i="68"/>
  <c r="CC37" i="68"/>
  <c r="CY37" i="68"/>
  <c r="CZ37" i="68"/>
  <c r="DA37" i="68"/>
  <c r="DB37" i="68"/>
  <c r="DC37" i="68"/>
  <c r="DD37" i="68"/>
  <c r="DE37" i="68"/>
  <c r="DF37" i="68"/>
  <c r="DH37" i="68"/>
  <c r="DK37" i="68" s="1"/>
  <c r="DI37" i="68"/>
  <c r="DL37" i="68" s="1"/>
  <c r="DJ37" i="68"/>
  <c r="DM37" i="68" s="1"/>
  <c r="DI38" i="68"/>
  <c r="DL38" i="68" s="1"/>
  <c r="DJ38" i="68"/>
  <c r="DM38" i="68" s="1"/>
  <c r="FR37" i="68" l="1"/>
  <c r="FP37" i="68"/>
  <c r="FL37" i="68"/>
  <c r="FJ37" i="68"/>
  <c r="Q15" i="43"/>
  <c r="A8" i="47"/>
  <c r="A86" i="63"/>
  <c r="DG37" i="68"/>
  <c r="DN37" i="68"/>
  <c r="K93" i="44"/>
  <c r="K94" i="44"/>
  <c r="K95" i="44"/>
  <c r="K96" i="44"/>
  <c r="K97" i="44"/>
  <c r="K98" i="44"/>
  <c r="K99" i="44"/>
  <c r="K100" i="44"/>
  <c r="K101" i="44"/>
  <c r="K102" i="44"/>
  <c r="K103" i="44"/>
  <c r="K104" i="44"/>
  <c r="K105" i="44"/>
  <c r="K106" i="44"/>
  <c r="K107" i="44"/>
  <c r="K108" i="44"/>
  <c r="K109" i="44"/>
  <c r="K110" i="44"/>
  <c r="K111" i="44"/>
  <c r="K112" i="44"/>
  <c r="K113" i="44"/>
  <c r="K114" i="44"/>
  <c r="K115" i="44"/>
  <c r="K116" i="44"/>
  <c r="K73" i="44"/>
  <c r="K74" i="44"/>
  <c r="K75" i="44"/>
  <c r="K76" i="44"/>
  <c r="K77" i="44"/>
  <c r="K78" i="44"/>
  <c r="K79" i="44"/>
  <c r="K80" i="44"/>
  <c r="K81" i="44"/>
  <c r="K82" i="44"/>
  <c r="K83" i="44"/>
  <c r="K84" i="44"/>
  <c r="K85" i="44"/>
  <c r="K86" i="44"/>
  <c r="K87" i="44"/>
  <c r="K88" i="44"/>
  <c r="K89" i="44"/>
  <c r="K90" i="44"/>
  <c r="K91" i="44"/>
  <c r="K92" i="44"/>
  <c r="I109" i="44"/>
  <c r="I110" i="44"/>
  <c r="I111" i="44"/>
  <c r="I112" i="44"/>
  <c r="I113" i="44"/>
  <c r="I114" i="44"/>
  <c r="I115" i="44"/>
  <c r="I116" i="44"/>
  <c r="I104" i="44"/>
  <c r="I105" i="44"/>
  <c r="I106" i="44"/>
  <c r="I107" i="44"/>
  <c r="I108" i="44"/>
  <c r="I102" i="44"/>
  <c r="I103" i="44"/>
  <c r="I100" i="44"/>
  <c r="I101" i="44"/>
  <c r="I98" i="44"/>
  <c r="I99" i="44"/>
  <c r="I97" i="44"/>
  <c r="I94" i="44"/>
  <c r="I95" i="44"/>
  <c r="I96" i="44"/>
  <c r="I90" i="44"/>
  <c r="I91" i="44"/>
  <c r="I92" i="44"/>
  <c r="I93" i="44"/>
  <c r="I86" i="44"/>
  <c r="I87" i="44"/>
  <c r="I88" i="44"/>
  <c r="I89" i="44"/>
  <c r="I81" i="44"/>
  <c r="I82" i="44"/>
  <c r="I83" i="44"/>
  <c r="I84" i="44"/>
  <c r="I85" i="44"/>
  <c r="I79" i="44"/>
  <c r="I80" i="44"/>
  <c r="I77" i="44"/>
  <c r="I78" i="44"/>
  <c r="I75" i="44"/>
  <c r="I76" i="44"/>
  <c r="I73" i="44"/>
  <c r="I74" i="44"/>
  <c r="B116" i="44"/>
  <c r="B112" i="44"/>
  <c r="B113" i="44"/>
  <c r="B114" i="44"/>
  <c r="B115" i="44"/>
  <c r="B110" i="44"/>
  <c r="B111" i="44"/>
  <c r="B107" i="44"/>
  <c r="B108" i="44"/>
  <c r="B109" i="44"/>
  <c r="B104" i="44"/>
  <c r="B105" i="44"/>
  <c r="B106" i="44"/>
  <c r="B102" i="44"/>
  <c r="B103" i="44"/>
  <c r="B100" i="44"/>
  <c r="B101" i="44"/>
  <c r="B98" i="44"/>
  <c r="B99" i="44"/>
  <c r="B97" i="44"/>
  <c r="B94" i="44"/>
  <c r="B95" i="44"/>
  <c r="B96" i="44"/>
  <c r="B88" i="44"/>
  <c r="B89" i="44"/>
  <c r="B90" i="44"/>
  <c r="B91" i="44"/>
  <c r="B92" i="44"/>
  <c r="B93" i="44"/>
  <c r="B82" i="44"/>
  <c r="B83" i="44"/>
  <c r="B84" i="44"/>
  <c r="B85" i="44"/>
  <c r="B86" i="44"/>
  <c r="B87" i="44"/>
  <c r="B77" i="44"/>
  <c r="B78" i="44"/>
  <c r="B79" i="44"/>
  <c r="B80" i="44"/>
  <c r="B81" i="44"/>
  <c r="K47" i="43"/>
  <c r="L47" i="43"/>
  <c r="M47" i="43"/>
  <c r="N47" i="43"/>
  <c r="O47" i="43"/>
  <c r="P47" i="43"/>
  <c r="Q47" i="43"/>
  <c r="R47" i="43"/>
  <c r="S47" i="43"/>
  <c r="T47" i="43"/>
  <c r="U47" i="43"/>
  <c r="V47" i="43"/>
  <c r="K48" i="43"/>
  <c r="L48" i="43"/>
  <c r="M48" i="43"/>
  <c r="N48" i="43"/>
  <c r="O48" i="43"/>
  <c r="P48" i="43"/>
  <c r="Q48" i="43"/>
  <c r="R48" i="43"/>
  <c r="S48" i="43"/>
  <c r="T48" i="43"/>
  <c r="U48" i="43"/>
  <c r="V48" i="43"/>
  <c r="K49" i="43"/>
  <c r="L49" i="43"/>
  <c r="M49" i="43"/>
  <c r="N49" i="43"/>
  <c r="O49" i="43"/>
  <c r="P49" i="43"/>
  <c r="Q49" i="43"/>
  <c r="R49" i="43"/>
  <c r="S49" i="43"/>
  <c r="T49" i="43"/>
  <c r="U49" i="43"/>
  <c r="V49" i="43"/>
  <c r="K50" i="43"/>
  <c r="L50" i="43"/>
  <c r="M50" i="43"/>
  <c r="N50" i="43"/>
  <c r="O50" i="43"/>
  <c r="P50" i="43"/>
  <c r="Q50" i="43"/>
  <c r="R50" i="43"/>
  <c r="S50" i="43"/>
  <c r="T50" i="43"/>
  <c r="U50" i="43"/>
  <c r="V50" i="43"/>
  <c r="K51" i="43"/>
  <c r="L51" i="43"/>
  <c r="M51" i="43"/>
  <c r="N51" i="43"/>
  <c r="O51" i="43"/>
  <c r="P51" i="43"/>
  <c r="Q51" i="43"/>
  <c r="R51" i="43"/>
  <c r="S51" i="43"/>
  <c r="T51" i="43"/>
  <c r="U51" i="43"/>
  <c r="V51" i="43"/>
  <c r="K52" i="43"/>
  <c r="L52" i="43"/>
  <c r="M52" i="43"/>
  <c r="N52" i="43"/>
  <c r="O52" i="43"/>
  <c r="P52" i="43"/>
  <c r="Q52" i="43"/>
  <c r="R52" i="43"/>
  <c r="S52" i="43"/>
  <c r="T52" i="43"/>
  <c r="U52" i="43"/>
  <c r="V52" i="43"/>
  <c r="K53" i="43"/>
  <c r="L53" i="43"/>
  <c r="M53" i="43"/>
  <c r="N53" i="43"/>
  <c r="O53" i="43"/>
  <c r="P53" i="43"/>
  <c r="Q53" i="43"/>
  <c r="R53" i="43"/>
  <c r="S53" i="43"/>
  <c r="T53" i="43"/>
  <c r="U53" i="43"/>
  <c r="V53" i="43"/>
  <c r="K54" i="43"/>
  <c r="L54" i="43"/>
  <c r="M54" i="43"/>
  <c r="N54" i="43"/>
  <c r="O54" i="43"/>
  <c r="P54" i="43"/>
  <c r="Q54" i="43"/>
  <c r="R54" i="43"/>
  <c r="S54" i="43"/>
  <c r="T54" i="43"/>
  <c r="U54" i="43"/>
  <c r="V54" i="43"/>
  <c r="K55" i="43"/>
  <c r="L55" i="43"/>
  <c r="M55" i="43"/>
  <c r="N55" i="43"/>
  <c r="O55" i="43"/>
  <c r="P55" i="43"/>
  <c r="Q55" i="43"/>
  <c r="R55" i="43"/>
  <c r="S55" i="43"/>
  <c r="T55" i="43"/>
  <c r="U55" i="43"/>
  <c r="V55" i="43"/>
  <c r="K56" i="43"/>
  <c r="L56" i="43"/>
  <c r="M56" i="43"/>
  <c r="N56" i="43"/>
  <c r="O56" i="43"/>
  <c r="P56" i="43"/>
  <c r="Q56" i="43"/>
  <c r="R56" i="43"/>
  <c r="S56" i="43"/>
  <c r="T56" i="43"/>
  <c r="U56" i="43"/>
  <c r="V56" i="43"/>
  <c r="K57" i="43"/>
  <c r="L57" i="43"/>
  <c r="M57" i="43"/>
  <c r="N57" i="43"/>
  <c r="O57" i="43"/>
  <c r="P57" i="43"/>
  <c r="Q57" i="43"/>
  <c r="R57" i="43"/>
  <c r="S57" i="43"/>
  <c r="T57" i="43"/>
  <c r="U57" i="43"/>
  <c r="V57" i="43"/>
  <c r="K58" i="43"/>
  <c r="L58" i="43"/>
  <c r="M58" i="43"/>
  <c r="N58" i="43"/>
  <c r="O58" i="43"/>
  <c r="P58" i="43"/>
  <c r="Q58" i="43"/>
  <c r="R58" i="43"/>
  <c r="S58" i="43"/>
  <c r="T58" i="43"/>
  <c r="U58" i="43"/>
  <c r="V58" i="43"/>
  <c r="K59" i="43"/>
  <c r="L59" i="43"/>
  <c r="M59" i="43"/>
  <c r="N59" i="43"/>
  <c r="O59" i="43"/>
  <c r="P59" i="43"/>
  <c r="Q59" i="43"/>
  <c r="R59" i="43"/>
  <c r="S59" i="43"/>
  <c r="T59" i="43"/>
  <c r="U59" i="43"/>
  <c r="V59" i="43"/>
  <c r="K60" i="43"/>
  <c r="L60" i="43"/>
  <c r="M60" i="43"/>
  <c r="N60" i="43"/>
  <c r="O60" i="43"/>
  <c r="P60" i="43"/>
  <c r="Q60" i="43"/>
  <c r="R60" i="43"/>
  <c r="S60" i="43"/>
  <c r="T60" i="43"/>
  <c r="U60" i="43"/>
  <c r="V60" i="43"/>
  <c r="K61" i="43"/>
  <c r="L61" i="43"/>
  <c r="M61" i="43"/>
  <c r="N61" i="43"/>
  <c r="O61" i="43"/>
  <c r="P61" i="43"/>
  <c r="Q61" i="43"/>
  <c r="R61" i="43"/>
  <c r="S61" i="43"/>
  <c r="T61" i="43"/>
  <c r="U61" i="43"/>
  <c r="V61" i="43"/>
  <c r="K62" i="43"/>
  <c r="L62" i="43"/>
  <c r="M62" i="43"/>
  <c r="N62" i="43"/>
  <c r="O62" i="43"/>
  <c r="P62" i="43"/>
  <c r="Q62" i="43"/>
  <c r="R62" i="43"/>
  <c r="S62" i="43"/>
  <c r="T62" i="43"/>
  <c r="U62" i="43"/>
  <c r="V62" i="43"/>
  <c r="K63" i="43"/>
  <c r="L63" i="43"/>
  <c r="M63" i="43"/>
  <c r="N63" i="43"/>
  <c r="O63" i="43"/>
  <c r="P63" i="43"/>
  <c r="Q63" i="43"/>
  <c r="R63" i="43"/>
  <c r="S63" i="43"/>
  <c r="T63" i="43"/>
  <c r="U63" i="43"/>
  <c r="V63" i="43"/>
  <c r="K64" i="43"/>
  <c r="L64" i="43"/>
  <c r="M64" i="43"/>
  <c r="N64" i="43"/>
  <c r="O64" i="43"/>
  <c r="P64" i="43"/>
  <c r="Q64" i="43"/>
  <c r="R64" i="43"/>
  <c r="S64" i="43"/>
  <c r="T64" i="43"/>
  <c r="U64" i="43"/>
  <c r="V64" i="43"/>
  <c r="K65" i="43"/>
  <c r="L65" i="43"/>
  <c r="M65" i="43"/>
  <c r="N65" i="43"/>
  <c r="O65" i="43"/>
  <c r="P65" i="43"/>
  <c r="Q65" i="43"/>
  <c r="R65" i="43"/>
  <c r="S65" i="43"/>
  <c r="T65" i="43"/>
  <c r="U65" i="43"/>
  <c r="V65" i="43"/>
  <c r="K66" i="43"/>
  <c r="L66" i="43"/>
  <c r="M66" i="43"/>
  <c r="N66" i="43"/>
  <c r="O66" i="43"/>
  <c r="P66" i="43"/>
  <c r="Q66" i="43"/>
  <c r="R66" i="43"/>
  <c r="S66" i="43"/>
  <c r="T66" i="43"/>
  <c r="U66" i="43"/>
  <c r="V66" i="43"/>
  <c r="K67" i="43"/>
  <c r="L67" i="43"/>
  <c r="M67" i="43"/>
  <c r="N67" i="43"/>
  <c r="O67" i="43"/>
  <c r="P67" i="43"/>
  <c r="Q67" i="43"/>
  <c r="R67" i="43"/>
  <c r="S67" i="43"/>
  <c r="T67" i="43"/>
  <c r="U67" i="43"/>
  <c r="V67" i="43"/>
  <c r="K68" i="43"/>
  <c r="L68" i="43"/>
  <c r="M68" i="43"/>
  <c r="N68" i="43"/>
  <c r="O68" i="43"/>
  <c r="P68" i="43"/>
  <c r="Q68" i="43"/>
  <c r="R68" i="43"/>
  <c r="S68" i="43"/>
  <c r="T68" i="43"/>
  <c r="U68" i="43"/>
  <c r="V68" i="43"/>
  <c r="K69" i="43"/>
  <c r="L69" i="43"/>
  <c r="M69" i="43"/>
  <c r="N69" i="43"/>
  <c r="O69" i="43"/>
  <c r="P69" i="43"/>
  <c r="Q69" i="43"/>
  <c r="R69" i="43"/>
  <c r="S69" i="43"/>
  <c r="T69" i="43"/>
  <c r="U69" i="43"/>
  <c r="V69" i="43"/>
  <c r="K70" i="43"/>
  <c r="L70" i="43"/>
  <c r="M70" i="43"/>
  <c r="N70" i="43"/>
  <c r="O70" i="43"/>
  <c r="P70" i="43"/>
  <c r="Q70" i="43"/>
  <c r="R70" i="43"/>
  <c r="S70" i="43"/>
  <c r="T70" i="43"/>
  <c r="U70" i="43"/>
  <c r="V70" i="43"/>
  <c r="K71" i="43"/>
  <c r="L71" i="43"/>
  <c r="M71" i="43"/>
  <c r="N71" i="43"/>
  <c r="O71" i="43"/>
  <c r="P71" i="43"/>
  <c r="Q71" i="43"/>
  <c r="R71" i="43"/>
  <c r="S71" i="43"/>
  <c r="T71" i="43"/>
  <c r="U71" i="43"/>
  <c r="V71" i="43"/>
  <c r="K72" i="43"/>
  <c r="L72" i="43"/>
  <c r="M72" i="43"/>
  <c r="N72" i="43"/>
  <c r="O72" i="43"/>
  <c r="P72" i="43"/>
  <c r="Q72" i="43"/>
  <c r="R72" i="43"/>
  <c r="S72" i="43"/>
  <c r="T72" i="43"/>
  <c r="U72" i="43"/>
  <c r="V72" i="43"/>
  <c r="K73" i="43"/>
  <c r="L73" i="43"/>
  <c r="M73" i="43"/>
  <c r="N73" i="43"/>
  <c r="O73" i="43"/>
  <c r="P73" i="43"/>
  <c r="Q73" i="43"/>
  <c r="R73" i="43"/>
  <c r="S73" i="43"/>
  <c r="T73" i="43"/>
  <c r="U73" i="43"/>
  <c r="V73" i="43"/>
  <c r="K74" i="43"/>
  <c r="L74" i="43"/>
  <c r="M74" i="43"/>
  <c r="N74" i="43"/>
  <c r="O74" i="43"/>
  <c r="P74" i="43"/>
  <c r="Q74" i="43"/>
  <c r="R74" i="43"/>
  <c r="S74" i="43"/>
  <c r="T74" i="43"/>
  <c r="U74" i="43"/>
  <c r="V74" i="43"/>
  <c r="K75" i="43"/>
  <c r="L75" i="43"/>
  <c r="M75" i="43"/>
  <c r="N75" i="43"/>
  <c r="O75" i="43"/>
  <c r="P75" i="43"/>
  <c r="Q75" i="43"/>
  <c r="R75" i="43"/>
  <c r="S75" i="43"/>
  <c r="T75" i="43"/>
  <c r="U75" i="43"/>
  <c r="V75" i="43"/>
  <c r="K76" i="43"/>
  <c r="L76" i="43"/>
  <c r="M76" i="43"/>
  <c r="N76" i="43"/>
  <c r="O76" i="43"/>
  <c r="P76" i="43"/>
  <c r="Q76" i="43"/>
  <c r="R76" i="43"/>
  <c r="S76" i="43"/>
  <c r="T76" i="43"/>
  <c r="U76" i="43"/>
  <c r="V76" i="43"/>
  <c r="K77" i="43"/>
  <c r="L77" i="43"/>
  <c r="M77" i="43"/>
  <c r="N77" i="43"/>
  <c r="O77" i="43"/>
  <c r="P77" i="43"/>
  <c r="Q77" i="43"/>
  <c r="R77" i="43"/>
  <c r="S77" i="43"/>
  <c r="T77" i="43"/>
  <c r="U77" i="43"/>
  <c r="V77" i="43"/>
  <c r="K78" i="43"/>
  <c r="L78" i="43"/>
  <c r="M78" i="43"/>
  <c r="N78" i="43"/>
  <c r="O78" i="43"/>
  <c r="P78" i="43"/>
  <c r="Q78" i="43"/>
  <c r="R78" i="43"/>
  <c r="S78" i="43"/>
  <c r="T78" i="43"/>
  <c r="U78" i="43"/>
  <c r="V78" i="43"/>
  <c r="K79" i="43"/>
  <c r="L79" i="43"/>
  <c r="M79" i="43"/>
  <c r="N79" i="43"/>
  <c r="O79" i="43"/>
  <c r="P79" i="43"/>
  <c r="Q79" i="43"/>
  <c r="R79" i="43"/>
  <c r="S79" i="43"/>
  <c r="T79" i="43"/>
  <c r="U79" i="43"/>
  <c r="V79" i="43"/>
  <c r="K80" i="43"/>
  <c r="L80" i="43"/>
  <c r="M80" i="43"/>
  <c r="N80" i="43"/>
  <c r="O80" i="43"/>
  <c r="P80" i="43"/>
  <c r="Q80" i="43"/>
  <c r="R80" i="43"/>
  <c r="S80" i="43"/>
  <c r="T80" i="43"/>
  <c r="U80" i="43"/>
  <c r="V80" i="43"/>
  <c r="K81" i="43"/>
  <c r="L81" i="43"/>
  <c r="M81" i="43"/>
  <c r="N81" i="43"/>
  <c r="O81" i="43"/>
  <c r="P81" i="43"/>
  <c r="Q81" i="43"/>
  <c r="R81" i="43"/>
  <c r="S81" i="43"/>
  <c r="T81" i="43"/>
  <c r="U81" i="43"/>
  <c r="V81" i="43"/>
  <c r="K82" i="43"/>
  <c r="L82" i="43"/>
  <c r="M82" i="43"/>
  <c r="N82" i="43"/>
  <c r="O82" i="43"/>
  <c r="P82" i="43"/>
  <c r="Q82" i="43"/>
  <c r="R82" i="43"/>
  <c r="S82" i="43"/>
  <c r="T82" i="43"/>
  <c r="U82" i="43"/>
  <c r="V82" i="43"/>
  <c r="K83" i="43"/>
  <c r="L83" i="43"/>
  <c r="M83" i="43"/>
  <c r="N83" i="43"/>
  <c r="O83" i="43"/>
  <c r="P83" i="43"/>
  <c r="Q83" i="43"/>
  <c r="R83" i="43"/>
  <c r="S83" i="43"/>
  <c r="T83" i="43"/>
  <c r="U83" i="43"/>
  <c r="V83" i="43"/>
  <c r="K84" i="43"/>
  <c r="L84" i="43"/>
  <c r="M84" i="43"/>
  <c r="N84" i="43"/>
  <c r="O84" i="43"/>
  <c r="P84" i="43"/>
  <c r="Q84" i="43"/>
  <c r="R84" i="43"/>
  <c r="S84" i="43"/>
  <c r="T84" i="43"/>
  <c r="U84" i="43"/>
  <c r="V84" i="43"/>
  <c r="K85" i="43"/>
  <c r="L85" i="43"/>
  <c r="M85" i="43"/>
  <c r="N85" i="43"/>
  <c r="O85" i="43"/>
  <c r="P85" i="43"/>
  <c r="Q85" i="43"/>
  <c r="R85" i="43"/>
  <c r="S85" i="43"/>
  <c r="T85" i="43"/>
  <c r="U85" i="43"/>
  <c r="V85" i="43"/>
  <c r="K86" i="43"/>
  <c r="L86" i="43"/>
  <c r="M86" i="43"/>
  <c r="N86" i="43"/>
  <c r="O86" i="43"/>
  <c r="P86" i="43"/>
  <c r="Q86" i="43"/>
  <c r="R86" i="43"/>
  <c r="S86" i="43"/>
  <c r="T86" i="43"/>
  <c r="U86" i="43"/>
  <c r="V86" i="43"/>
  <c r="K87" i="43"/>
  <c r="L87" i="43"/>
  <c r="M87" i="43"/>
  <c r="N87" i="43"/>
  <c r="O87" i="43"/>
  <c r="P87" i="43"/>
  <c r="Q87" i="43"/>
  <c r="R87" i="43"/>
  <c r="S87" i="43"/>
  <c r="T87" i="43"/>
  <c r="U87" i="43"/>
  <c r="V87" i="43"/>
  <c r="K88" i="43"/>
  <c r="L88" i="43"/>
  <c r="M88" i="43"/>
  <c r="N88" i="43"/>
  <c r="O88" i="43"/>
  <c r="P88" i="43"/>
  <c r="Q88" i="43"/>
  <c r="R88" i="43"/>
  <c r="S88" i="43"/>
  <c r="T88" i="43"/>
  <c r="U88" i="43"/>
  <c r="V88" i="43"/>
  <c r="K89" i="43"/>
  <c r="L89" i="43"/>
  <c r="M89" i="43"/>
  <c r="N89" i="43"/>
  <c r="O89" i="43"/>
  <c r="P89" i="43"/>
  <c r="Q89" i="43"/>
  <c r="R89" i="43"/>
  <c r="S89" i="43"/>
  <c r="T89" i="43"/>
  <c r="U89" i="43"/>
  <c r="V89" i="43"/>
  <c r="K90" i="43"/>
  <c r="L90" i="43"/>
  <c r="M90" i="43"/>
  <c r="N90" i="43"/>
  <c r="O90" i="43"/>
  <c r="P90" i="43"/>
  <c r="Q90" i="43"/>
  <c r="R90" i="43"/>
  <c r="S90" i="43"/>
  <c r="T90" i="43"/>
  <c r="U90" i="43"/>
  <c r="V90" i="43"/>
  <c r="X5" i="24"/>
  <c r="X6" i="24"/>
  <c r="X7" i="24"/>
  <c r="X8" i="24"/>
  <c r="X9" i="24"/>
  <c r="X10" i="24"/>
  <c r="X11" i="24"/>
  <c r="X12" i="24"/>
  <c r="X13" i="24"/>
  <c r="X17" i="24"/>
  <c r="X18" i="24"/>
  <c r="X19" i="24"/>
  <c r="X20" i="24"/>
  <c r="X21" i="24"/>
  <c r="X23" i="24"/>
  <c r="X24" i="24"/>
  <c r="X25" i="24"/>
  <c r="X26" i="24"/>
  <c r="X27" i="24"/>
  <c r="X28" i="24"/>
  <c r="X29" i="24"/>
  <c r="X30" i="24"/>
  <c r="X31" i="24"/>
  <c r="X32" i="24"/>
  <c r="X3" i="24"/>
  <c r="I17" i="50"/>
  <c r="J16" i="50"/>
  <c r="J53" i="50" s="1"/>
  <c r="J15" i="50"/>
  <c r="J52" i="50" s="1"/>
  <c r="J14" i="50"/>
  <c r="J51" i="50" s="1"/>
  <c r="J13" i="50"/>
  <c r="J44" i="50" s="1"/>
  <c r="J12" i="50"/>
  <c r="J43" i="50" s="1"/>
  <c r="J11" i="50"/>
  <c r="J10" i="50"/>
  <c r="J35" i="50" s="1"/>
  <c r="J9" i="50"/>
  <c r="J34" i="50" s="1"/>
  <c r="J8" i="50"/>
  <c r="J33" i="50" s="1"/>
  <c r="J7" i="50"/>
  <c r="J6" i="50"/>
  <c r="J25" i="50" s="1"/>
  <c r="J5" i="50"/>
  <c r="I62" i="71"/>
  <c r="I53" i="72" s="1"/>
  <c r="H62" i="67"/>
  <c r="H52" i="68" s="1"/>
  <c r="I62" i="41"/>
  <c r="I14" i="50"/>
  <c r="I51" i="50" s="1"/>
  <c r="J26" i="50"/>
  <c r="I49" i="50"/>
  <c r="K50" i="50"/>
  <c r="J50" i="50"/>
  <c r="I50" i="50"/>
  <c r="I40" i="50"/>
  <c r="K41" i="50"/>
  <c r="J41" i="50"/>
  <c r="I41" i="50"/>
  <c r="I31" i="50"/>
  <c r="K32" i="50"/>
  <c r="J32" i="50"/>
  <c r="I32" i="50"/>
  <c r="K23" i="50"/>
  <c r="J23" i="50"/>
  <c r="I23" i="50"/>
  <c r="I5" i="50"/>
  <c r="I24" i="50" s="1"/>
  <c r="BR40" i="71"/>
  <c r="R41" i="41"/>
  <c r="X38" i="68"/>
  <c r="W38" i="68"/>
  <c r="J32" i="61" s="1"/>
  <c r="V38" i="68"/>
  <c r="R38" i="68"/>
  <c r="B12" i="43"/>
  <c r="C12" i="43" s="1"/>
  <c r="B13" i="43" s="1"/>
  <c r="C13" i="43" s="1"/>
  <c r="B14" i="43" s="1"/>
  <c r="C14" i="43" s="1"/>
  <c r="B15" i="43" s="1"/>
  <c r="C15" i="43" s="1"/>
  <c r="B16" i="43" s="1"/>
  <c r="C16" i="43" s="1"/>
  <c r="B17" i="43" s="1"/>
  <c r="C17" i="43" s="1"/>
  <c r="B18" i="43" s="1"/>
  <c r="C18" i="43" s="1"/>
  <c r="B19" i="43" s="1"/>
  <c r="C19" i="43" s="1"/>
  <c r="B20" i="43" s="1"/>
  <c r="C20" i="43" s="1"/>
  <c r="B21" i="43" s="1"/>
  <c r="C21" i="43" s="1"/>
  <c r="B22" i="43" s="1"/>
  <c r="C22" i="43" s="1"/>
  <c r="B23" i="43" s="1"/>
  <c r="C23" i="43" s="1"/>
  <c r="B24" i="43" s="1"/>
  <c r="C24" i="43" s="1"/>
  <c r="B25" i="43" s="1"/>
  <c r="C25" i="43" s="1"/>
  <c r="B26" i="43" s="1"/>
  <c r="C26" i="43" s="1"/>
  <c r="B27" i="43" s="1"/>
  <c r="C27" i="43" s="1"/>
  <c r="B28" i="43" s="1"/>
  <c r="C28" i="43" s="1"/>
  <c r="B29" i="43" s="1"/>
  <c r="C29" i="43" s="1"/>
  <c r="L91" i="43" l="1"/>
  <c r="I48" i="63" s="1"/>
  <c r="P16" i="43"/>
  <c r="B8" i="47"/>
  <c r="I48" i="68"/>
  <c r="K5" i="50"/>
  <c r="K24" i="50" s="1"/>
  <c r="J24" i="50"/>
  <c r="K14" i="50"/>
  <c r="J42" i="50"/>
  <c r="DJ39" i="73"/>
  <c r="DM39" i="73" s="1"/>
  <c r="DI39" i="73"/>
  <c r="DL39" i="73" s="1"/>
  <c r="DH39" i="73"/>
  <c r="DK39" i="73" s="1"/>
  <c r="DJ38" i="73"/>
  <c r="DM38" i="73" s="1"/>
  <c r="DI38" i="73"/>
  <c r="DL38" i="73" s="1"/>
  <c r="DH38" i="73"/>
  <c r="DK38" i="73" s="1"/>
  <c r="DN38" i="73" s="1"/>
  <c r="AC32" i="25" s="1"/>
  <c r="DJ37" i="73"/>
  <c r="DM37" i="73" s="1"/>
  <c r="DI37" i="73"/>
  <c r="DL37" i="73" s="1"/>
  <c r="DH37" i="73"/>
  <c r="DK37" i="73" s="1"/>
  <c r="DJ36" i="73"/>
  <c r="DM36" i="73" s="1"/>
  <c r="DI36" i="73"/>
  <c r="DL36" i="73" s="1"/>
  <c r="DH36" i="73"/>
  <c r="DK36" i="73" s="1"/>
  <c r="DJ35" i="73"/>
  <c r="DM35" i="73" s="1"/>
  <c r="DI35" i="73"/>
  <c r="DL35" i="73" s="1"/>
  <c r="DH35" i="73"/>
  <c r="DK35" i="73" s="1"/>
  <c r="DJ34" i="73"/>
  <c r="DM34" i="73" s="1"/>
  <c r="DI34" i="73"/>
  <c r="DL34" i="73" s="1"/>
  <c r="DH34" i="73"/>
  <c r="DK34" i="73" s="1"/>
  <c r="DJ33" i="73"/>
  <c r="DM33" i="73" s="1"/>
  <c r="DI33" i="73"/>
  <c r="DL33" i="73" s="1"/>
  <c r="DH33" i="73"/>
  <c r="DK33" i="73" s="1"/>
  <c r="DJ32" i="73"/>
  <c r="DM32" i="73" s="1"/>
  <c r="DI32" i="73"/>
  <c r="DL32" i="73" s="1"/>
  <c r="DH32" i="73"/>
  <c r="DK32" i="73" s="1"/>
  <c r="DJ31" i="73"/>
  <c r="DM31" i="73" s="1"/>
  <c r="DI31" i="73"/>
  <c r="DL31" i="73" s="1"/>
  <c r="DH31" i="73"/>
  <c r="DK31" i="73" s="1"/>
  <c r="DJ30" i="73"/>
  <c r="DM30" i="73" s="1"/>
  <c r="DI30" i="73"/>
  <c r="DL30" i="73" s="1"/>
  <c r="DH30" i="73"/>
  <c r="DK30" i="73" s="1"/>
  <c r="DN30" i="73" s="1"/>
  <c r="AC24" i="25" s="1"/>
  <c r="DJ29" i="73"/>
  <c r="DM29" i="73" s="1"/>
  <c r="DI29" i="73"/>
  <c r="DL29" i="73" s="1"/>
  <c r="DH29" i="73"/>
  <c r="DK29" i="73" s="1"/>
  <c r="DJ28" i="73"/>
  <c r="DM28" i="73" s="1"/>
  <c r="DI28" i="73"/>
  <c r="DL28" i="73" s="1"/>
  <c r="DH28" i="73"/>
  <c r="DK28" i="73" s="1"/>
  <c r="DJ27" i="73"/>
  <c r="DM27" i="73" s="1"/>
  <c r="DI27" i="73"/>
  <c r="DL27" i="73" s="1"/>
  <c r="DH27" i="73"/>
  <c r="DK27" i="73" s="1"/>
  <c r="DN27" i="73" s="1"/>
  <c r="AC21" i="25" s="1"/>
  <c r="DJ26" i="73"/>
  <c r="DM26" i="73" s="1"/>
  <c r="DI26" i="73"/>
  <c r="DL26" i="73" s="1"/>
  <c r="DH26" i="73"/>
  <c r="DK26" i="73" s="1"/>
  <c r="DN26" i="73" s="1"/>
  <c r="AC20" i="25" s="1"/>
  <c r="DJ25" i="73"/>
  <c r="DM25" i="73" s="1"/>
  <c r="DI25" i="73"/>
  <c r="DL25" i="73" s="1"/>
  <c r="DH25" i="73"/>
  <c r="DK25" i="73" s="1"/>
  <c r="DJ24" i="73"/>
  <c r="DM24" i="73" s="1"/>
  <c r="DI24" i="73"/>
  <c r="DL24" i="73" s="1"/>
  <c r="DH24" i="73"/>
  <c r="DK24" i="73" s="1"/>
  <c r="DJ23" i="73"/>
  <c r="DM23" i="73" s="1"/>
  <c r="DI23" i="73"/>
  <c r="DL23" i="73" s="1"/>
  <c r="DH23" i="73"/>
  <c r="DK23" i="73" s="1"/>
  <c r="DN23" i="73" s="1"/>
  <c r="AC17" i="25" s="1"/>
  <c r="DJ22" i="73"/>
  <c r="DM22" i="73" s="1"/>
  <c r="DI22" i="73"/>
  <c r="DL22" i="73" s="1"/>
  <c r="DH22" i="73"/>
  <c r="DK22" i="73" s="1"/>
  <c r="DJ21" i="73"/>
  <c r="DM21" i="73" s="1"/>
  <c r="DI21" i="73"/>
  <c r="DL21" i="73" s="1"/>
  <c r="DH21" i="73"/>
  <c r="DK21" i="73" s="1"/>
  <c r="DJ20" i="73"/>
  <c r="DM20" i="73" s="1"/>
  <c r="DI20" i="73"/>
  <c r="DL20" i="73" s="1"/>
  <c r="DH20" i="73"/>
  <c r="DK20" i="73" s="1"/>
  <c r="DJ19" i="73"/>
  <c r="DM19" i="73" s="1"/>
  <c r="DI19" i="73"/>
  <c r="DL19" i="73" s="1"/>
  <c r="DH19" i="73"/>
  <c r="DK19" i="73" s="1"/>
  <c r="DJ18" i="73"/>
  <c r="DM18" i="73" s="1"/>
  <c r="DI18" i="73"/>
  <c r="DL18" i="73" s="1"/>
  <c r="DH18" i="73"/>
  <c r="DK18" i="73" s="1"/>
  <c r="DJ17" i="73"/>
  <c r="DM17" i="73" s="1"/>
  <c r="DI17" i="73"/>
  <c r="DL17" i="73" s="1"/>
  <c r="DH17" i="73"/>
  <c r="DK17" i="73" s="1"/>
  <c r="DN17" i="73" s="1"/>
  <c r="AC11" i="25" s="1"/>
  <c r="DJ16" i="73"/>
  <c r="DM16" i="73" s="1"/>
  <c r="DI16" i="73"/>
  <c r="DL16" i="73" s="1"/>
  <c r="DH16" i="73"/>
  <c r="DK16" i="73" s="1"/>
  <c r="DJ15" i="73"/>
  <c r="DM15" i="73" s="1"/>
  <c r="DI15" i="73"/>
  <c r="DL15" i="73" s="1"/>
  <c r="DH15" i="73"/>
  <c r="DK15" i="73" s="1"/>
  <c r="DJ14" i="73"/>
  <c r="DM14" i="73" s="1"/>
  <c r="DI14" i="73"/>
  <c r="DL14" i="73" s="1"/>
  <c r="DH14" i="73"/>
  <c r="DK14" i="73" s="1"/>
  <c r="DL13" i="73"/>
  <c r="DJ13" i="73"/>
  <c r="DM13" i="73" s="1"/>
  <c r="DI13" i="73"/>
  <c r="DH13" i="73"/>
  <c r="DK13" i="73" s="1"/>
  <c r="DJ12" i="73"/>
  <c r="DM12" i="73" s="1"/>
  <c r="DI12" i="73"/>
  <c r="DL12" i="73" s="1"/>
  <c r="DH12" i="73"/>
  <c r="DK12" i="73" s="1"/>
  <c r="DJ11" i="73"/>
  <c r="DM11" i="73" s="1"/>
  <c r="DI11" i="73"/>
  <c r="DL11" i="73" s="1"/>
  <c r="DH11" i="73"/>
  <c r="DK11" i="73" s="1"/>
  <c r="DJ10" i="73"/>
  <c r="DM10" i="73" s="1"/>
  <c r="DI10" i="73"/>
  <c r="DL10" i="73" s="1"/>
  <c r="DH10" i="73"/>
  <c r="DK10" i="73" s="1"/>
  <c r="DJ9" i="73"/>
  <c r="DM9" i="73" s="1"/>
  <c r="DI9" i="73"/>
  <c r="DL9" i="73" s="1"/>
  <c r="DH9" i="73"/>
  <c r="DK9" i="73" s="1"/>
  <c r="DJ38" i="72"/>
  <c r="DM38" i="72" s="1"/>
  <c r="DI38" i="72"/>
  <c r="DL38" i="72" s="1"/>
  <c r="DH38" i="72"/>
  <c r="DK38" i="72" s="1"/>
  <c r="DN38" i="72" s="1"/>
  <c r="X32" i="25" s="1"/>
  <c r="DJ37" i="72"/>
  <c r="DM37" i="72" s="1"/>
  <c r="DI37" i="72"/>
  <c r="DL37" i="72" s="1"/>
  <c r="DH37" i="72"/>
  <c r="DK37" i="72" s="1"/>
  <c r="DJ36" i="72"/>
  <c r="DM36" i="72" s="1"/>
  <c r="DI36" i="72"/>
  <c r="DL36" i="72" s="1"/>
  <c r="DH36" i="72"/>
  <c r="DK36" i="72" s="1"/>
  <c r="DJ35" i="72"/>
  <c r="DM35" i="72" s="1"/>
  <c r="DI35" i="72"/>
  <c r="DL35" i="72" s="1"/>
  <c r="DH35" i="72"/>
  <c r="DK35" i="72" s="1"/>
  <c r="DL34" i="72"/>
  <c r="DJ34" i="72"/>
  <c r="DM34" i="72" s="1"/>
  <c r="DI34" i="72"/>
  <c r="DH34" i="72"/>
  <c r="DK34" i="72" s="1"/>
  <c r="DJ33" i="72"/>
  <c r="DM33" i="72" s="1"/>
  <c r="DI33" i="72"/>
  <c r="DL33" i="72" s="1"/>
  <c r="DH33" i="72"/>
  <c r="DK33" i="72" s="1"/>
  <c r="DJ32" i="72"/>
  <c r="DM32" i="72" s="1"/>
  <c r="DI32" i="72"/>
  <c r="DL32" i="72" s="1"/>
  <c r="DH32" i="72"/>
  <c r="DK32" i="72" s="1"/>
  <c r="DJ31" i="72"/>
  <c r="DM31" i="72" s="1"/>
  <c r="DI31" i="72"/>
  <c r="DL31" i="72" s="1"/>
  <c r="DH31" i="72"/>
  <c r="DK31" i="72" s="1"/>
  <c r="DJ30" i="72"/>
  <c r="DM30" i="72" s="1"/>
  <c r="DI30" i="72"/>
  <c r="DL30" i="72" s="1"/>
  <c r="DH30" i="72"/>
  <c r="DK30" i="72" s="1"/>
  <c r="DJ29" i="72"/>
  <c r="DM29" i="72" s="1"/>
  <c r="DI29" i="72"/>
  <c r="DL29" i="72" s="1"/>
  <c r="DH29" i="72"/>
  <c r="DK29" i="72" s="1"/>
  <c r="DJ28" i="72"/>
  <c r="DM28" i="72" s="1"/>
  <c r="DI28" i="72"/>
  <c r="DL28" i="72" s="1"/>
  <c r="DH28" i="72"/>
  <c r="DK28" i="72" s="1"/>
  <c r="DJ27" i="72"/>
  <c r="DM27" i="72" s="1"/>
  <c r="DI27" i="72"/>
  <c r="DL27" i="72" s="1"/>
  <c r="DH27" i="72"/>
  <c r="DK27" i="72" s="1"/>
  <c r="DJ26" i="72"/>
  <c r="DM26" i="72" s="1"/>
  <c r="DI26" i="72"/>
  <c r="DL26" i="72" s="1"/>
  <c r="DH26" i="72"/>
  <c r="DK26" i="72" s="1"/>
  <c r="DJ25" i="72"/>
  <c r="DM25" i="72" s="1"/>
  <c r="DI25" i="72"/>
  <c r="DL25" i="72" s="1"/>
  <c r="DH25" i="72"/>
  <c r="DK25" i="72" s="1"/>
  <c r="DJ24" i="72"/>
  <c r="DM24" i="72" s="1"/>
  <c r="DI24" i="72"/>
  <c r="DL24" i="72" s="1"/>
  <c r="DH24" i="72"/>
  <c r="DK24" i="72" s="1"/>
  <c r="DJ23" i="72"/>
  <c r="DM23" i="72" s="1"/>
  <c r="DI23" i="72"/>
  <c r="DL23" i="72" s="1"/>
  <c r="DH23" i="72"/>
  <c r="DK23" i="72" s="1"/>
  <c r="DN23" i="72" s="1"/>
  <c r="X17" i="25" s="1"/>
  <c r="DJ22" i="72"/>
  <c r="DM22" i="72" s="1"/>
  <c r="DI22" i="72"/>
  <c r="DL22" i="72" s="1"/>
  <c r="DH22" i="72"/>
  <c r="DK22" i="72" s="1"/>
  <c r="DJ21" i="72"/>
  <c r="DM21" i="72" s="1"/>
  <c r="DI21" i="72"/>
  <c r="DL21" i="72" s="1"/>
  <c r="DH21" i="72"/>
  <c r="DK21" i="72" s="1"/>
  <c r="DJ20" i="72"/>
  <c r="DM20" i="72" s="1"/>
  <c r="DI20" i="72"/>
  <c r="DL20" i="72" s="1"/>
  <c r="DH20" i="72"/>
  <c r="DK20" i="72" s="1"/>
  <c r="DJ19" i="72"/>
  <c r="DM19" i="72" s="1"/>
  <c r="DI19" i="72"/>
  <c r="DL19" i="72" s="1"/>
  <c r="DH19" i="72"/>
  <c r="DK19" i="72" s="1"/>
  <c r="DJ18" i="72"/>
  <c r="DM18" i="72" s="1"/>
  <c r="DI18" i="72"/>
  <c r="DL18" i="72" s="1"/>
  <c r="DH18" i="72"/>
  <c r="DK18" i="72" s="1"/>
  <c r="DJ17" i="72"/>
  <c r="DM17" i="72" s="1"/>
  <c r="DI17" i="72"/>
  <c r="DL17" i="72" s="1"/>
  <c r="DH17" i="72"/>
  <c r="DK17" i="72" s="1"/>
  <c r="DJ16" i="72"/>
  <c r="DM16" i="72" s="1"/>
  <c r="DI16" i="72"/>
  <c r="DL16" i="72" s="1"/>
  <c r="DH16" i="72"/>
  <c r="DK16" i="72" s="1"/>
  <c r="DJ15" i="72"/>
  <c r="DM15" i="72" s="1"/>
  <c r="DI15" i="72"/>
  <c r="DL15" i="72" s="1"/>
  <c r="DH15" i="72"/>
  <c r="DK15" i="72" s="1"/>
  <c r="DN15" i="72" s="1"/>
  <c r="X9" i="25" s="1"/>
  <c r="DJ14" i="72"/>
  <c r="DM14" i="72" s="1"/>
  <c r="DI14" i="72"/>
  <c r="DL14" i="72" s="1"/>
  <c r="DH14" i="72"/>
  <c r="DK14" i="72" s="1"/>
  <c r="DJ13" i="72"/>
  <c r="DM13" i="72" s="1"/>
  <c r="DI13" i="72"/>
  <c r="DL13" i="72" s="1"/>
  <c r="DH13" i="72"/>
  <c r="DK13" i="72" s="1"/>
  <c r="DM12" i="72"/>
  <c r="DJ12" i="72"/>
  <c r="DI12" i="72"/>
  <c r="DL12" i="72" s="1"/>
  <c r="DH12" i="72"/>
  <c r="DK12" i="72" s="1"/>
  <c r="DJ11" i="72"/>
  <c r="DM11" i="72" s="1"/>
  <c r="DI11" i="72"/>
  <c r="DL11" i="72" s="1"/>
  <c r="DH11" i="72"/>
  <c r="DK11" i="72" s="1"/>
  <c r="DJ10" i="72"/>
  <c r="DM10" i="72" s="1"/>
  <c r="DI10" i="72"/>
  <c r="DL10" i="72" s="1"/>
  <c r="DH10" i="72"/>
  <c r="DK10" i="72" s="1"/>
  <c r="DJ9" i="72"/>
  <c r="DM9" i="72" s="1"/>
  <c r="DI9" i="72"/>
  <c r="DL9" i="72" s="1"/>
  <c r="DH9" i="72"/>
  <c r="DK9" i="72" s="1"/>
  <c r="DJ39" i="71"/>
  <c r="DM39" i="71" s="1"/>
  <c r="DI39" i="71"/>
  <c r="DL39" i="71" s="1"/>
  <c r="DH39" i="71"/>
  <c r="DK39" i="71" s="1"/>
  <c r="DN39" i="71" s="1"/>
  <c r="S33" i="25" s="1"/>
  <c r="DJ38" i="71"/>
  <c r="DM38" i="71" s="1"/>
  <c r="DI38" i="71"/>
  <c r="DL38" i="71" s="1"/>
  <c r="DH38" i="71"/>
  <c r="DK38" i="71" s="1"/>
  <c r="DJ37" i="71"/>
  <c r="DM37" i="71" s="1"/>
  <c r="DI37" i="71"/>
  <c r="DL37" i="71" s="1"/>
  <c r="DH37" i="71"/>
  <c r="DK37" i="71" s="1"/>
  <c r="DJ36" i="71"/>
  <c r="DM36" i="71" s="1"/>
  <c r="DI36" i="71"/>
  <c r="DL36" i="71" s="1"/>
  <c r="DH36" i="71"/>
  <c r="DK36" i="71" s="1"/>
  <c r="DJ35" i="71"/>
  <c r="DM35" i="71" s="1"/>
  <c r="DI35" i="71"/>
  <c r="DL35" i="71" s="1"/>
  <c r="DH35" i="71"/>
  <c r="DK35" i="71" s="1"/>
  <c r="DN35" i="71" s="1"/>
  <c r="S29" i="25" s="1"/>
  <c r="DJ34" i="71"/>
  <c r="DM34" i="71" s="1"/>
  <c r="DI34" i="71"/>
  <c r="DL34" i="71" s="1"/>
  <c r="DH34" i="71"/>
  <c r="DK34" i="71" s="1"/>
  <c r="DK33" i="71"/>
  <c r="DJ33" i="71"/>
  <c r="DM33" i="71" s="1"/>
  <c r="DI33" i="71"/>
  <c r="DL33" i="71" s="1"/>
  <c r="DH33" i="71"/>
  <c r="DJ32" i="71"/>
  <c r="DM32" i="71" s="1"/>
  <c r="DI32" i="71"/>
  <c r="DL32" i="71" s="1"/>
  <c r="DH32" i="71"/>
  <c r="DK32" i="71" s="1"/>
  <c r="DJ31" i="71"/>
  <c r="DM31" i="71" s="1"/>
  <c r="DI31" i="71"/>
  <c r="DL31" i="71" s="1"/>
  <c r="DH31" i="71"/>
  <c r="DK31" i="71" s="1"/>
  <c r="DJ30" i="71"/>
  <c r="DM30" i="71" s="1"/>
  <c r="DI30" i="71"/>
  <c r="DL30" i="71" s="1"/>
  <c r="DH30" i="71"/>
  <c r="DK30" i="71" s="1"/>
  <c r="DJ29" i="71"/>
  <c r="DM29" i="71" s="1"/>
  <c r="DI29" i="71"/>
  <c r="DL29" i="71" s="1"/>
  <c r="DH29" i="71"/>
  <c r="DK29" i="71" s="1"/>
  <c r="DJ28" i="71"/>
  <c r="DM28" i="71" s="1"/>
  <c r="DI28" i="71"/>
  <c r="DL28" i="71" s="1"/>
  <c r="DH28" i="71"/>
  <c r="DK28" i="71" s="1"/>
  <c r="DJ27" i="71"/>
  <c r="DM27" i="71" s="1"/>
  <c r="DI27" i="71"/>
  <c r="DL27" i="71" s="1"/>
  <c r="DH27" i="71"/>
  <c r="DK27" i="71" s="1"/>
  <c r="DJ26" i="71"/>
  <c r="DM26" i="71" s="1"/>
  <c r="DI26" i="71"/>
  <c r="DL26" i="71" s="1"/>
  <c r="DH26" i="71"/>
  <c r="DK26" i="71" s="1"/>
  <c r="DN26" i="71" s="1"/>
  <c r="S20" i="25" s="1"/>
  <c r="DJ25" i="71"/>
  <c r="DM25" i="71" s="1"/>
  <c r="DI25" i="71"/>
  <c r="DL25" i="71" s="1"/>
  <c r="DH25" i="71"/>
  <c r="DK25" i="71" s="1"/>
  <c r="DJ24" i="71"/>
  <c r="DM24" i="71" s="1"/>
  <c r="DI24" i="71"/>
  <c r="DL24" i="71" s="1"/>
  <c r="DH24" i="71"/>
  <c r="DK24" i="71" s="1"/>
  <c r="DJ23" i="71"/>
  <c r="DM23" i="71" s="1"/>
  <c r="DI23" i="71"/>
  <c r="DL23" i="71" s="1"/>
  <c r="DH23" i="71"/>
  <c r="DK23" i="71" s="1"/>
  <c r="DJ22" i="71"/>
  <c r="DM22" i="71" s="1"/>
  <c r="DI22" i="71"/>
  <c r="DL22" i="71" s="1"/>
  <c r="DH22" i="71"/>
  <c r="DK22" i="71" s="1"/>
  <c r="DJ21" i="71"/>
  <c r="DM21" i="71" s="1"/>
  <c r="DI21" i="71"/>
  <c r="DL21" i="71" s="1"/>
  <c r="DH21" i="71"/>
  <c r="DK21" i="71" s="1"/>
  <c r="DM20" i="71"/>
  <c r="DJ20" i="71"/>
  <c r="DI20" i="71"/>
  <c r="DL20" i="71" s="1"/>
  <c r="DH20" i="71"/>
  <c r="DK20" i="71" s="1"/>
  <c r="DJ19" i="71"/>
  <c r="DM19" i="71" s="1"/>
  <c r="DI19" i="71"/>
  <c r="DL19" i="71" s="1"/>
  <c r="DH19" i="71"/>
  <c r="DK19" i="71" s="1"/>
  <c r="DJ18" i="71"/>
  <c r="DM18" i="71" s="1"/>
  <c r="DI18" i="71"/>
  <c r="DL18" i="71" s="1"/>
  <c r="DH18" i="71"/>
  <c r="DK18" i="71" s="1"/>
  <c r="DJ17" i="71"/>
  <c r="DM17" i="71" s="1"/>
  <c r="DI17" i="71"/>
  <c r="DL17" i="71" s="1"/>
  <c r="DH17" i="71"/>
  <c r="DK17" i="71" s="1"/>
  <c r="DJ16" i="71"/>
  <c r="DM16" i="71" s="1"/>
  <c r="DI16" i="71"/>
  <c r="DL16" i="71" s="1"/>
  <c r="DH16" i="71"/>
  <c r="DK16" i="71" s="1"/>
  <c r="DJ15" i="71"/>
  <c r="DM15" i="71" s="1"/>
  <c r="DI15" i="71"/>
  <c r="DL15" i="71" s="1"/>
  <c r="DH15" i="71"/>
  <c r="DK15" i="71" s="1"/>
  <c r="DJ14" i="71"/>
  <c r="DM14" i="71" s="1"/>
  <c r="DI14" i="71"/>
  <c r="DL14" i="71" s="1"/>
  <c r="DH14" i="71"/>
  <c r="DK14" i="71" s="1"/>
  <c r="DJ13" i="71"/>
  <c r="DM13" i="71" s="1"/>
  <c r="DI13" i="71"/>
  <c r="DL13" i="71" s="1"/>
  <c r="DH13" i="71"/>
  <c r="DK13" i="71" s="1"/>
  <c r="DJ12" i="71"/>
  <c r="DM12" i="71" s="1"/>
  <c r="DI12" i="71"/>
  <c r="DL12" i="71" s="1"/>
  <c r="DH12" i="71"/>
  <c r="DK12" i="71" s="1"/>
  <c r="DJ11" i="71"/>
  <c r="DM11" i="71" s="1"/>
  <c r="DI11" i="71"/>
  <c r="DL11" i="71" s="1"/>
  <c r="DH11" i="71"/>
  <c r="DK11" i="71" s="1"/>
  <c r="DJ10" i="71"/>
  <c r="DM10" i="71" s="1"/>
  <c r="DI10" i="71"/>
  <c r="DL10" i="71" s="1"/>
  <c r="DH10" i="71"/>
  <c r="DK10" i="71" s="1"/>
  <c r="DJ9" i="71"/>
  <c r="DM9" i="71" s="1"/>
  <c r="DI9" i="71"/>
  <c r="DL9" i="71" s="1"/>
  <c r="DH9" i="71"/>
  <c r="DK9" i="71" s="1"/>
  <c r="DJ38" i="70"/>
  <c r="DM38" i="70" s="1"/>
  <c r="DI38" i="70"/>
  <c r="DL38" i="70" s="1"/>
  <c r="DH38" i="70"/>
  <c r="DK38" i="70" s="1"/>
  <c r="DN38" i="70" s="1"/>
  <c r="N32" i="25" s="1"/>
  <c r="DJ37" i="70"/>
  <c r="DM37" i="70" s="1"/>
  <c r="DI37" i="70"/>
  <c r="DL37" i="70" s="1"/>
  <c r="DH37" i="70"/>
  <c r="DK37" i="70" s="1"/>
  <c r="DJ36" i="70"/>
  <c r="DM36" i="70" s="1"/>
  <c r="DI36" i="70"/>
  <c r="DL36" i="70" s="1"/>
  <c r="DH36" i="70"/>
  <c r="DK36" i="70" s="1"/>
  <c r="DM35" i="70"/>
  <c r="DK35" i="70"/>
  <c r="DJ35" i="70"/>
  <c r="DI35" i="70"/>
  <c r="DL35" i="70" s="1"/>
  <c r="DH35" i="70"/>
  <c r="DJ34" i="70"/>
  <c r="DM34" i="70" s="1"/>
  <c r="DI34" i="70"/>
  <c r="DL34" i="70" s="1"/>
  <c r="DH34" i="70"/>
  <c r="DK34" i="70" s="1"/>
  <c r="DJ33" i="70"/>
  <c r="DM33" i="70" s="1"/>
  <c r="DI33" i="70"/>
  <c r="DL33" i="70" s="1"/>
  <c r="DH33" i="70"/>
  <c r="DK33" i="70" s="1"/>
  <c r="DJ32" i="70"/>
  <c r="DM32" i="70" s="1"/>
  <c r="DI32" i="70"/>
  <c r="DL32" i="70" s="1"/>
  <c r="DH32" i="70"/>
  <c r="DK32" i="70" s="1"/>
  <c r="DJ31" i="70"/>
  <c r="DM31" i="70" s="1"/>
  <c r="DI31" i="70"/>
  <c r="DL31" i="70" s="1"/>
  <c r="DH31" i="70"/>
  <c r="DK31" i="70" s="1"/>
  <c r="DJ30" i="70"/>
  <c r="DM30" i="70" s="1"/>
  <c r="DI30" i="70"/>
  <c r="DL30" i="70" s="1"/>
  <c r="DH30" i="70"/>
  <c r="DK30" i="70" s="1"/>
  <c r="DJ29" i="70"/>
  <c r="DM29" i="70" s="1"/>
  <c r="DI29" i="70"/>
  <c r="DL29" i="70" s="1"/>
  <c r="DH29" i="70"/>
  <c r="DK29" i="70" s="1"/>
  <c r="DJ28" i="70"/>
  <c r="DM28" i="70" s="1"/>
  <c r="DI28" i="70"/>
  <c r="DL28" i="70" s="1"/>
  <c r="DH28" i="70"/>
  <c r="DK28" i="70" s="1"/>
  <c r="DJ27" i="70"/>
  <c r="DM27" i="70" s="1"/>
  <c r="DI27" i="70"/>
  <c r="DL27" i="70" s="1"/>
  <c r="DH27" i="70"/>
  <c r="DK27" i="70" s="1"/>
  <c r="DJ26" i="70"/>
  <c r="DM26" i="70" s="1"/>
  <c r="DI26" i="70"/>
  <c r="DL26" i="70" s="1"/>
  <c r="DH26" i="70"/>
  <c r="DK26" i="70" s="1"/>
  <c r="DJ25" i="70"/>
  <c r="DM25" i="70" s="1"/>
  <c r="DI25" i="70"/>
  <c r="DL25" i="70" s="1"/>
  <c r="DH25" i="70"/>
  <c r="DK25" i="70" s="1"/>
  <c r="DJ24" i="70"/>
  <c r="DM24" i="70" s="1"/>
  <c r="DI24" i="70"/>
  <c r="DL24" i="70" s="1"/>
  <c r="DH24" i="70"/>
  <c r="DK24" i="70" s="1"/>
  <c r="DJ23" i="70"/>
  <c r="DM23" i="70" s="1"/>
  <c r="DI23" i="70"/>
  <c r="DL23" i="70" s="1"/>
  <c r="DH23" i="70"/>
  <c r="DK23" i="70" s="1"/>
  <c r="DN23" i="70" s="1"/>
  <c r="N17" i="25" s="1"/>
  <c r="DJ22" i="70"/>
  <c r="DM22" i="70" s="1"/>
  <c r="DI22" i="70"/>
  <c r="DL22" i="70" s="1"/>
  <c r="DH22" i="70"/>
  <c r="DK22" i="70" s="1"/>
  <c r="DN22" i="70" s="1"/>
  <c r="N16" i="25" s="1"/>
  <c r="DJ21" i="70"/>
  <c r="DM21" i="70" s="1"/>
  <c r="DI21" i="70"/>
  <c r="DL21" i="70" s="1"/>
  <c r="DH21" i="70"/>
  <c r="DK21" i="70" s="1"/>
  <c r="DJ20" i="70"/>
  <c r="DM20" i="70" s="1"/>
  <c r="DI20" i="70"/>
  <c r="DL20" i="70" s="1"/>
  <c r="DH20" i="70"/>
  <c r="DK20" i="70" s="1"/>
  <c r="DJ19" i="70"/>
  <c r="DM19" i="70" s="1"/>
  <c r="DI19" i="70"/>
  <c r="DL19" i="70" s="1"/>
  <c r="DH19" i="70"/>
  <c r="DK19" i="70" s="1"/>
  <c r="DJ18" i="70"/>
  <c r="DM18" i="70" s="1"/>
  <c r="DI18" i="70"/>
  <c r="DL18" i="70" s="1"/>
  <c r="DH18" i="70"/>
  <c r="DK18" i="70" s="1"/>
  <c r="DJ17" i="70"/>
  <c r="DM17" i="70" s="1"/>
  <c r="DI17" i="70"/>
  <c r="DL17" i="70" s="1"/>
  <c r="DH17" i="70"/>
  <c r="DK17" i="70" s="1"/>
  <c r="DJ16" i="70"/>
  <c r="DM16" i="70" s="1"/>
  <c r="DI16" i="70"/>
  <c r="DL16" i="70" s="1"/>
  <c r="DH16" i="70"/>
  <c r="DK16" i="70" s="1"/>
  <c r="DJ15" i="70"/>
  <c r="DM15" i="70" s="1"/>
  <c r="DI15" i="70"/>
  <c r="DL15" i="70" s="1"/>
  <c r="DH15" i="70"/>
  <c r="DK15" i="70" s="1"/>
  <c r="DJ14" i="70"/>
  <c r="DM14" i="70" s="1"/>
  <c r="DI14" i="70"/>
  <c r="DL14" i="70" s="1"/>
  <c r="DH14" i="70"/>
  <c r="DK14" i="70" s="1"/>
  <c r="DJ13" i="70"/>
  <c r="DM13" i="70" s="1"/>
  <c r="DI13" i="70"/>
  <c r="DL13" i="70" s="1"/>
  <c r="DH13" i="70"/>
  <c r="DK13" i="70" s="1"/>
  <c r="DJ12" i="70"/>
  <c r="DM12" i="70" s="1"/>
  <c r="DI12" i="70"/>
  <c r="DL12" i="70" s="1"/>
  <c r="DH12" i="70"/>
  <c r="DK12" i="70" s="1"/>
  <c r="DJ11" i="70"/>
  <c r="DM11" i="70" s="1"/>
  <c r="DI11" i="70"/>
  <c r="DL11" i="70" s="1"/>
  <c r="DH11" i="70"/>
  <c r="DK11" i="70" s="1"/>
  <c r="DL10" i="70"/>
  <c r="DJ10" i="70"/>
  <c r="DM10" i="70" s="1"/>
  <c r="DI10" i="70"/>
  <c r="DH10" i="70"/>
  <c r="DK10" i="70" s="1"/>
  <c r="DJ9" i="70"/>
  <c r="DM9" i="70" s="1"/>
  <c r="DI9" i="70"/>
  <c r="DL9" i="70" s="1"/>
  <c r="DH9" i="70"/>
  <c r="DK9" i="70" s="1"/>
  <c r="DJ39" i="69"/>
  <c r="DM39" i="69" s="1"/>
  <c r="DI39" i="69"/>
  <c r="DL39" i="69" s="1"/>
  <c r="DH39" i="69"/>
  <c r="DK39" i="69" s="1"/>
  <c r="DJ38" i="69"/>
  <c r="DM38" i="69" s="1"/>
  <c r="DI38" i="69"/>
  <c r="DL38" i="69" s="1"/>
  <c r="DH38" i="69"/>
  <c r="DK38" i="69" s="1"/>
  <c r="DN38" i="69" s="1"/>
  <c r="I32" i="25" s="1"/>
  <c r="DJ37" i="69"/>
  <c r="DM37" i="69" s="1"/>
  <c r="DI37" i="69"/>
  <c r="DL37" i="69" s="1"/>
  <c r="DH37" i="69"/>
  <c r="DK37" i="69" s="1"/>
  <c r="DJ36" i="69"/>
  <c r="DM36" i="69" s="1"/>
  <c r="DI36" i="69"/>
  <c r="DL36" i="69" s="1"/>
  <c r="DH36" i="69"/>
  <c r="DK36" i="69" s="1"/>
  <c r="DL35" i="69"/>
  <c r="DK35" i="69"/>
  <c r="DJ35" i="69"/>
  <c r="DM35" i="69" s="1"/>
  <c r="DI35" i="69"/>
  <c r="DH35" i="69"/>
  <c r="DJ34" i="69"/>
  <c r="DM34" i="69" s="1"/>
  <c r="DI34" i="69"/>
  <c r="DL34" i="69" s="1"/>
  <c r="DH34" i="69"/>
  <c r="DK34" i="69" s="1"/>
  <c r="DK33" i="69"/>
  <c r="DJ33" i="69"/>
  <c r="DM33" i="69" s="1"/>
  <c r="DI33" i="69"/>
  <c r="DL33" i="69" s="1"/>
  <c r="DH33" i="69"/>
  <c r="DJ32" i="69"/>
  <c r="DM32" i="69" s="1"/>
  <c r="DI32" i="69"/>
  <c r="DL32" i="69" s="1"/>
  <c r="DH32" i="69"/>
  <c r="DK32" i="69" s="1"/>
  <c r="DJ31" i="69"/>
  <c r="DM31" i="69" s="1"/>
  <c r="DI31" i="69"/>
  <c r="DL31" i="69" s="1"/>
  <c r="DH31" i="69"/>
  <c r="DK31" i="69" s="1"/>
  <c r="DJ30" i="69"/>
  <c r="DM30" i="69" s="1"/>
  <c r="DI30" i="69"/>
  <c r="DL30" i="69" s="1"/>
  <c r="DH30" i="69"/>
  <c r="DK30" i="69" s="1"/>
  <c r="DJ29" i="69"/>
  <c r="DM29" i="69" s="1"/>
  <c r="DI29" i="69"/>
  <c r="DL29" i="69" s="1"/>
  <c r="DH29" i="69"/>
  <c r="DK29" i="69" s="1"/>
  <c r="DJ28" i="69"/>
  <c r="DM28" i="69" s="1"/>
  <c r="DI28" i="69"/>
  <c r="DL28" i="69" s="1"/>
  <c r="DH28" i="69"/>
  <c r="DK28" i="69" s="1"/>
  <c r="DJ27" i="69"/>
  <c r="DM27" i="69" s="1"/>
  <c r="DI27" i="69"/>
  <c r="DL27" i="69" s="1"/>
  <c r="DH27" i="69"/>
  <c r="DK27" i="69" s="1"/>
  <c r="DJ26" i="69"/>
  <c r="DM26" i="69" s="1"/>
  <c r="DI26" i="69"/>
  <c r="DL26" i="69" s="1"/>
  <c r="DH26" i="69"/>
  <c r="DK26" i="69" s="1"/>
  <c r="DK25" i="69"/>
  <c r="DJ25" i="69"/>
  <c r="DM25" i="69" s="1"/>
  <c r="DI25" i="69"/>
  <c r="DL25" i="69" s="1"/>
  <c r="DH25" i="69"/>
  <c r="DJ24" i="69"/>
  <c r="DM24" i="69" s="1"/>
  <c r="DI24" i="69"/>
  <c r="DL24" i="69" s="1"/>
  <c r="DH24" i="69"/>
  <c r="DK24" i="69" s="1"/>
  <c r="DJ23" i="69"/>
  <c r="DM23" i="69" s="1"/>
  <c r="DI23" i="69"/>
  <c r="DL23" i="69" s="1"/>
  <c r="DH23" i="69"/>
  <c r="DK23" i="69" s="1"/>
  <c r="DJ22" i="69"/>
  <c r="DM22" i="69" s="1"/>
  <c r="DI22" i="69"/>
  <c r="DL22" i="69" s="1"/>
  <c r="DH22" i="69"/>
  <c r="DK22" i="69" s="1"/>
  <c r="DJ21" i="69"/>
  <c r="DM21" i="69" s="1"/>
  <c r="DI21" i="69"/>
  <c r="DL21" i="69" s="1"/>
  <c r="DH21" i="69"/>
  <c r="DK21" i="69" s="1"/>
  <c r="DJ20" i="69"/>
  <c r="DM20" i="69" s="1"/>
  <c r="DI20" i="69"/>
  <c r="DL20" i="69" s="1"/>
  <c r="DH20" i="69"/>
  <c r="DK20" i="69" s="1"/>
  <c r="DJ19" i="69"/>
  <c r="DM19" i="69" s="1"/>
  <c r="DI19" i="69"/>
  <c r="DL19" i="69" s="1"/>
  <c r="DH19" i="69"/>
  <c r="DK19" i="69" s="1"/>
  <c r="DL18" i="69"/>
  <c r="DJ18" i="69"/>
  <c r="DM18" i="69" s="1"/>
  <c r="DI18" i="69"/>
  <c r="DH18" i="69"/>
  <c r="DK18" i="69" s="1"/>
  <c r="DJ17" i="69"/>
  <c r="DM17" i="69" s="1"/>
  <c r="DI17" i="69"/>
  <c r="DL17" i="69" s="1"/>
  <c r="DH17" i="69"/>
  <c r="DK17" i="69" s="1"/>
  <c r="DJ16" i="69"/>
  <c r="DM16" i="69" s="1"/>
  <c r="DI16" i="69"/>
  <c r="DL16" i="69" s="1"/>
  <c r="DH16" i="69"/>
  <c r="DK16" i="69" s="1"/>
  <c r="DN16" i="69" s="1"/>
  <c r="I10" i="25" s="1"/>
  <c r="DJ15" i="69"/>
  <c r="DM15" i="69" s="1"/>
  <c r="DI15" i="69"/>
  <c r="DL15" i="69" s="1"/>
  <c r="DH15" i="69"/>
  <c r="DK15" i="69" s="1"/>
  <c r="DJ14" i="69"/>
  <c r="DM14" i="69" s="1"/>
  <c r="DI14" i="69"/>
  <c r="DL14" i="69" s="1"/>
  <c r="DH14" i="69"/>
  <c r="DK14" i="69" s="1"/>
  <c r="DJ13" i="69"/>
  <c r="DM13" i="69" s="1"/>
  <c r="DI13" i="69"/>
  <c r="DL13" i="69" s="1"/>
  <c r="DH13" i="69"/>
  <c r="DK13" i="69" s="1"/>
  <c r="DJ12" i="69"/>
  <c r="DM12" i="69" s="1"/>
  <c r="DI12" i="69"/>
  <c r="DL12" i="69" s="1"/>
  <c r="DH12" i="69"/>
  <c r="DK12" i="69" s="1"/>
  <c r="DJ11" i="69"/>
  <c r="DM11" i="69" s="1"/>
  <c r="DI11" i="69"/>
  <c r="DL11" i="69" s="1"/>
  <c r="DH11" i="69"/>
  <c r="DK11" i="69" s="1"/>
  <c r="DJ10" i="69"/>
  <c r="DM10" i="69" s="1"/>
  <c r="DI10" i="69"/>
  <c r="DL10" i="69" s="1"/>
  <c r="DH10" i="69"/>
  <c r="DK10" i="69" s="1"/>
  <c r="DJ9" i="69"/>
  <c r="DM9" i="69" s="1"/>
  <c r="DI9" i="69"/>
  <c r="DL9" i="69" s="1"/>
  <c r="DH9" i="69"/>
  <c r="DK9" i="69" s="1"/>
  <c r="DN9" i="69" s="1"/>
  <c r="I3" i="25" s="1"/>
  <c r="DM39" i="68"/>
  <c r="DL39" i="68"/>
  <c r="DH39" i="68"/>
  <c r="DK39" i="68" s="1"/>
  <c r="DH38" i="68"/>
  <c r="DK38" i="68" s="1"/>
  <c r="DN38" i="68" s="1"/>
  <c r="DJ36" i="68"/>
  <c r="DM36" i="68" s="1"/>
  <c r="DI36" i="68"/>
  <c r="DL36" i="68" s="1"/>
  <c r="DH36" i="68"/>
  <c r="DK36" i="68" s="1"/>
  <c r="DJ35" i="68"/>
  <c r="DM35" i="68" s="1"/>
  <c r="DI35" i="68"/>
  <c r="DL35" i="68" s="1"/>
  <c r="DH35" i="68"/>
  <c r="DK35" i="68" s="1"/>
  <c r="DJ34" i="68"/>
  <c r="DM34" i="68" s="1"/>
  <c r="DI34" i="68"/>
  <c r="DL34" i="68" s="1"/>
  <c r="DH34" i="68"/>
  <c r="DK34" i="68" s="1"/>
  <c r="DJ33" i="68"/>
  <c r="DM33" i="68" s="1"/>
  <c r="DI33" i="68"/>
  <c r="DL33" i="68" s="1"/>
  <c r="DH33" i="68"/>
  <c r="DK33" i="68" s="1"/>
  <c r="DJ32" i="68"/>
  <c r="DM32" i="68" s="1"/>
  <c r="DI32" i="68"/>
  <c r="DL32" i="68" s="1"/>
  <c r="DH32" i="68"/>
  <c r="DK32" i="68" s="1"/>
  <c r="DJ31" i="68"/>
  <c r="DM31" i="68" s="1"/>
  <c r="DI31" i="68"/>
  <c r="DL31" i="68" s="1"/>
  <c r="DH31" i="68"/>
  <c r="DK31" i="68" s="1"/>
  <c r="DJ30" i="68"/>
  <c r="DM30" i="68" s="1"/>
  <c r="DI30" i="68"/>
  <c r="DL30" i="68" s="1"/>
  <c r="DH30" i="68"/>
  <c r="DK30" i="68" s="1"/>
  <c r="DJ29" i="68"/>
  <c r="DM29" i="68" s="1"/>
  <c r="DI29" i="68"/>
  <c r="DL29" i="68" s="1"/>
  <c r="DH29" i="68"/>
  <c r="DK29" i="68" s="1"/>
  <c r="DJ28" i="68"/>
  <c r="DM28" i="68" s="1"/>
  <c r="DI28" i="68"/>
  <c r="DL28" i="68" s="1"/>
  <c r="DH28" i="68"/>
  <c r="DK28" i="68" s="1"/>
  <c r="DJ27" i="68"/>
  <c r="DM27" i="68" s="1"/>
  <c r="DI27" i="68"/>
  <c r="DL27" i="68" s="1"/>
  <c r="DH27" i="68"/>
  <c r="DK27" i="68" s="1"/>
  <c r="DJ26" i="68"/>
  <c r="DM26" i="68" s="1"/>
  <c r="DI26" i="68"/>
  <c r="DL26" i="68" s="1"/>
  <c r="DH26" i="68"/>
  <c r="DK26" i="68" s="1"/>
  <c r="DJ25" i="68"/>
  <c r="DM25" i="68" s="1"/>
  <c r="DI25" i="68"/>
  <c r="DL25" i="68" s="1"/>
  <c r="DH25" i="68"/>
  <c r="DK25" i="68" s="1"/>
  <c r="DJ24" i="68"/>
  <c r="DM24" i="68" s="1"/>
  <c r="DI24" i="68"/>
  <c r="DL24" i="68" s="1"/>
  <c r="DH24" i="68"/>
  <c r="DK24" i="68" s="1"/>
  <c r="DJ23" i="68"/>
  <c r="DM23" i="68" s="1"/>
  <c r="DI23" i="68"/>
  <c r="DL23" i="68" s="1"/>
  <c r="DH23" i="68"/>
  <c r="DK23" i="68" s="1"/>
  <c r="DJ22" i="68"/>
  <c r="DM22" i="68" s="1"/>
  <c r="DI22" i="68"/>
  <c r="DL22" i="68" s="1"/>
  <c r="DH22" i="68"/>
  <c r="DK22" i="68" s="1"/>
  <c r="DJ21" i="68"/>
  <c r="DM21" i="68" s="1"/>
  <c r="DI21" i="68"/>
  <c r="DL21" i="68" s="1"/>
  <c r="DH21" i="68"/>
  <c r="DK21" i="68" s="1"/>
  <c r="DJ20" i="68"/>
  <c r="DM20" i="68" s="1"/>
  <c r="DI20" i="68"/>
  <c r="DL20" i="68" s="1"/>
  <c r="DH20" i="68"/>
  <c r="DK20" i="68" s="1"/>
  <c r="DJ19" i="68"/>
  <c r="DM19" i="68" s="1"/>
  <c r="DI19" i="68"/>
  <c r="DL19" i="68" s="1"/>
  <c r="DH19" i="68"/>
  <c r="DK19" i="68" s="1"/>
  <c r="DJ18" i="68"/>
  <c r="DM18" i="68" s="1"/>
  <c r="DI18" i="68"/>
  <c r="DL18" i="68" s="1"/>
  <c r="DH18" i="68"/>
  <c r="DK18" i="68" s="1"/>
  <c r="DJ17" i="68"/>
  <c r="DM17" i="68" s="1"/>
  <c r="DI17" i="68"/>
  <c r="DL17" i="68" s="1"/>
  <c r="DH17" i="68"/>
  <c r="DK17" i="68" s="1"/>
  <c r="DJ16" i="68"/>
  <c r="DM16" i="68" s="1"/>
  <c r="DI16" i="68"/>
  <c r="DL16" i="68" s="1"/>
  <c r="DH16" i="68"/>
  <c r="DK16" i="68" s="1"/>
  <c r="DJ15" i="68"/>
  <c r="DM15" i="68" s="1"/>
  <c r="DI15" i="68"/>
  <c r="DL15" i="68" s="1"/>
  <c r="DH15" i="68"/>
  <c r="DK15" i="68" s="1"/>
  <c r="DJ14" i="68"/>
  <c r="DM14" i="68" s="1"/>
  <c r="DI14" i="68"/>
  <c r="DL14" i="68" s="1"/>
  <c r="DH14" i="68"/>
  <c r="DK14" i="68" s="1"/>
  <c r="DJ13" i="68"/>
  <c r="DM13" i="68" s="1"/>
  <c r="DI13" i="68"/>
  <c r="DL13" i="68" s="1"/>
  <c r="DH13" i="68"/>
  <c r="DK13" i="68" s="1"/>
  <c r="DJ12" i="68"/>
  <c r="DM12" i="68" s="1"/>
  <c r="DI12" i="68"/>
  <c r="DL12" i="68" s="1"/>
  <c r="DH12" i="68"/>
  <c r="DK12" i="68" s="1"/>
  <c r="DJ11" i="68"/>
  <c r="DM11" i="68" s="1"/>
  <c r="DI11" i="68"/>
  <c r="DL11" i="68" s="1"/>
  <c r="DH11" i="68"/>
  <c r="DK11" i="68" s="1"/>
  <c r="DJ10" i="68"/>
  <c r="DM10" i="68" s="1"/>
  <c r="DI10" i="68"/>
  <c r="DL10" i="68" s="1"/>
  <c r="DH10" i="68"/>
  <c r="DK10" i="68" s="1"/>
  <c r="DJ9" i="68"/>
  <c r="DM9" i="68" s="1"/>
  <c r="DI9" i="68"/>
  <c r="DL9" i="68" s="1"/>
  <c r="DH9" i="68"/>
  <c r="DK9" i="68" s="1"/>
  <c r="DJ39" i="67"/>
  <c r="DM39" i="67" s="1"/>
  <c r="DI39" i="67"/>
  <c r="DL39" i="67" s="1"/>
  <c r="DH39" i="67"/>
  <c r="DK39" i="67" s="1"/>
  <c r="DJ38" i="67"/>
  <c r="DM38" i="67" s="1"/>
  <c r="DI38" i="67"/>
  <c r="DL38" i="67" s="1"/>
  <c r="DH38" i="67"/>
  <c r="DK38" i="67" s="1"/>
  <c r="DJ37" i="67"/>
  <c r="DM37" i="67" s="1"/>
  <c r="DI37" i="67"/>
  <c r="DL37" i="67" s="1"/>
  <c r="DH37" i="67"/>
  <c r="DK37" i="67" s="1"/>
  <c r="DM36" i="67"/>
  <c r="DJ36" i="67"/>
  <c r="DI36" i="67"/>
  <c r="DL36" i="67" s="1"/>
  <c r="DH36" i="67"/>
  <c r="DK36" i="67" s="1"/>
  <c r="DJ35" i="67"/>
  <c r="DM35" i="67" s="1"/>
  <c r="DI35" i="67"/>
  <c r="DL35" i="67" s="1"/>
  <c r="DH35" i="67"/>
  <c r="DK35" i="67" s="1"/>
  <c r="DJ34" i="67"/>
  <c r="DM34" i="67" s="1"/>
  <c r="DI34" i="67"/>
  <c r="DL34" i="67" s="1"/>
  <c r="DH34" i="67"/>
  <c r="DK34" i="67" s="1"/>
  <c r="DJ33" i="67"/>
  <c r="DM33" i="67" s="1"/>
  <c r="DI33" i="67"/>
  <c r="DL33" i="67" s="1"/>
  <c r="DH33" i="67"/>
  <c r="DK33" i="67" s="1"/>
  <c r="DJ32" i="67"/>
  <c r="DM32" i="67" s="1"/>
  <c r="DI32" i="67"/>
  <c r="DL32" i="67" s="1"/>
  <c r="DH32" i="67"/>
  <c r="DK32" i="67" s="1"/>
  <c r="DJ31" i="67"/>
  <c r="DM31" i="67" s="1"/>
  <c r="DI31" i="67"/>
  <c r="DL31" i="67" s="1"/>
  <c r="DH31" i="67"/>
  <c r="DK31" i="67" s="1"/>
  <c r="DJ30" i="67"/>
  <c r="DM30" i="67" s="1"/>
  <c r="DI30" i="67"/>
  <c r="DL30" i="67" s="1"/>
  <c r="DH30" i="67"/>
  <c r="DK30" i="67" s="1"/>
  <c r="DJ29" i="67"/>
  <c r="DM29" i="67" s="1"/>
  <c r="DI29" i="67"/>
  <c r="DL29" i="67" s="1"/>
  <c r="DH29" i="67"/>
  <c r="DK29" i="67" s="1"/>
  <c r="DJ28" i="67"/>
  <c r="DM28" i="67" s="1"/>
  <c r="DI28" i="67"/>
  <c r="DL28" i="67" s="1"/>
  <c r="DH28" i="67"/>
  <c r="DK28" i="67" s="1"/>
  <c r="DK27" i="67"/>
  <c r="DJ27" i="67"/>
  <c r="DM27" i="67" s="1"/>
  <c r="DI27" i="67"/>
  <c r="DL27" i="67" s="1"/>
  <c r="DH27" i="67"/>
  <c r="DJ26" i="67"/>
  <c r="DM26" i="67" s="1"/>
  <c r="DI26" i="67"/>
  <c r="DL26" i="67" s="1"/>
  <c r="DH26" i="67"/>
  <c r="DK26" i="67" s="1"/>
  <c r="DK25" i="67"/>
  <c r="DJ25" i="67"/>
  <c r="DM25" i="67" s="1"/>
  <c r="DI25" i="67"/>
  <c r="DL25" i="67" s="1"/>
  <c r="DH25" i="67"/>
  <c r="DJ24" i="67"/>
  <c r="DM24" i="67" s="1"/>
  <c r="DI24" i="67"/>
  <c r="DL24" i="67" s="1"/>
  <c r="DH24" i="67"/>
  <c r="DK24" i="67" s="1"/>
  <c r="DJ23" i="67"/>
  <c r="DM23" i="67" s="1"/>
  <c r="DI23" i="67"/>
  <c r="DL23" i="67" s="1"/>
  <c r="DH23" i="67"/>
  <c r="DK23" i="67" s="1"/>
  <c r="DJ22" i="67"/>
  <c r="DM22" i="67" s="1"/>
  <c r="DI22" i="67"/>
  <c r="DL22" i="67" s="1"/>
  <c r="DH22" i="67"/>
  <c r="DK22" i="67" s="1"/>
  <c r="DJ21" i="67"/>
  <c r="DM21" i="67" s="1"/>
  <c r="DI21" i="67"/>
  <c r="DL21" i="67" s="1"/>
  <c r="DH21" i="67"/>
  <c r="DK21" i="67" s="1"/>
  <c r="DM20" i="67"/>
  <c r="DJ20" i="67"/>
  <c r="DI20" i="67"/>
  <c r="DL20" i="67" s="1"/>
  <c r="DH20" i="67"/>
  <c r="DK20" i="67" s="1"/>
  <c r="DJ19" i="67"/>
  <c r="DM19" i="67" s="1"/>
  <c r="DI19" i="67"/>
  <c r="DL19" i="67" s="1"/>
  <c r="DH19" i="67"/>
  <c r="DK19" i="67" s="1"/>
  <c r="DJ18" i="67"/>
  <c r="DM18" i="67" s="1"/>
  <c r="DI18" i="67"/>
  <c r="DL18" i="67" s="1"/>
  <c r="DH18" i="67"/>
  <c r="DK18" i="67" s="1"/>
  <c r="DJ17" i="67"/>
  <c r="DM17" i="67" s="1"/>
  <c r="DI17" i="67"/>
  <c r="DL17" i="67" s="1"/>
  <c r="DH17" i="67"/>
  <c r="DK17" i="67" s="1"/>
  <c r="DJ16" i="67"/>
  <c r="DM16" i="67" s="1"/>
  <c r="DI16" i="67"/>
  <c r="DL16" i="67" s="1"/>
  <c r="DH16" i="67"/>
  <c r="DK16" i="67" s="1"/>
  <c r="DJ15" i="67"/>
  <c r="DM15" i="67" s="1"/>
  <c r="DI15" i="67"/>
  <c r="DL15" i="67" s="1"/>
  <c r="DH15" i="67"/>
  <c r="DK15" i="67" s="1"/>
  <c r="DJ14" i="67"/>
  <c r="DM14" i="67" s="1"/>
  <c r="DI14" i="67"/>
  <c r="DL14" i="67" s="1"/>
  <c r="DH14" i="67"/>
  <c r="DK14" i="67" s="1"/>
  <c r="DJ13" i="67"/>
  <c r="DM13" i="67" s="1"/>
  <c r="DI13" i="67"/>
  <c r="DL13" i="67" s="1"/>
  <c r="DH13" i="67"/>
  <c r="DK13" i="67" s="1"/>
  <c r="DJ12" i="67"/>
  <c r="DM12" i="67" s="1"/>
  <c r="DI12" i="67"/>
  <c r="DL12" i="67" s="1"/>
  <c r="DH12" i="67"/>
  <c r="DK12" i="67" s="1"/>
  <c r="DJ11" i="67"/>
  <c r="DM11" i="67" s="1"/>
  <c r="DI11" i="67"/>
  <c r="DL11" i="67" s="1"/>
  <c r="DH11" i="67"/>
  <c r="DK11" i="67" s="1"/>
  <c r="DN11" i="67" s="1"/>
  <c r="AC5" i="24" s="1"/>
  <c r="DJ10" i="67"/>
  <c r="DM10" i="67" s="1"/>
  <c r="DI10" i="67"/>
  <c r="DL10" i="67" s="1"/>
  <c r="DH10" i="67"/>
  <c r="DK10" i="67" s="1"/>
  <c r="DK9" i="67"/>
  <c r="DJ9" i="67"/>
  <c r="DM9" i="67" s="1"/>
  <c r="DI9" i="67"/>
  <c r="DL9" i="67" s="1"/>
  <c r="DH9" i="67"/>
  <c r="DH39" i="66"/>
  <c r="DK39" i="66" s="1"/>
  <c r="DI39" i="66"/>
  <c r="DL39" i="66" s="1"/>
  <c r="DJ39" i="66"/>
  <c r="DM39" i="66" s="1"/>
  <c r="DJ38" i="66"/>
  <c r="DM38" i="66" s="1"/>
  <c r="DI38" i="66"/>
  <c r="DL38" i="66" s="1"/>
  <c r="DH38" i="66"/>
  <c r="DK38" i="66" s="1"/>
  <c r="DN38" i="66" s="1"/>
  <c r="DJ37" i="66"/>
  <c r="DM37" i="66" s="1"/>
  <c r="DI37" i="66"/>
  <c r="DL37" i="66" s="1"/>
  <c r="DH37" i="66"/>
  <c r="DK37" i="66" s="1"/>
  <c r="DN37" i="66" s="1"/>
  <c r="DJ36" i="66"/>
  <c r="DM36" i="66" s="1"/>
  <c r="DI36" i="66"/>
  <c r="DL36" i="66" s="1"/>
  <c r="DH36" i="66"/>
  <c r="DK36" i="66" s="1"/>
  <c r="DJ35" i="66"/>
  <c r="DM35" i="66" s="1"/>
  <c r="DI35" i="66"/>
  <c r="DL35" i="66" s="1"/>
  <c r="DH35" i="66"/>
  <c r="DK35" i="66" s="1"/>
  <c r="DJ34" i="66"/>
  <c r="DM34" i="66" s="1"/>
  <c r="DI34" i="66"/>
  <c r="DL34" i="66" s="1"/>
  <c r="DH34" i="66"/>
  <c r="DK34" i="66" s="1"/>
  <c r="DL33" i="66"/>
  <c r="DJ33" i="66"/>
  <c r="DM33" i="66" s="1"/>
  <c r="DI33" i="66"/>
  <c r="DH33" i="66"/>
  <c r="DK33" i="66" s="1"/>
  <c r="DJ32" i="66"/>
  <c r="DM32" i="66" s="1"/>
  <c r="DI32" i="66"/>
  <c r="DL32" i="66" s="1"/>
  <c r="DH32" i="66"/>
  <c r="DK32" i="66" s="1"/>
  <c r="DJ31" i="66"/>
  <c r="DM31" i="66" s="1"/>
  <c r="DI31" i="66"/>
  <c r="DL31" i="66" s="1"/>
  <c r="DH31" i="66"/>
  <c r="DK31" i="66" s="1"/>
  <c r="DJ30" i="66"/>
  <c r="DM30" i="66" s="1"/>
  <c r="DI30" i="66"/>
  <c r="DL30" i="66" s="1"/>
  <c r="DH30" i="66"/>
  <c r="DK30" i="66" s="1"/>
  <c r="DJ29" i="66"/>
  <c r="DM29" i="66" s="1"/>
  <c r="DI29" i="66"/>
  <c r="DL29" i="66" s="1"/>
  <c r="DH29" i="66"/>
  <c r="DK29" i="66" s="1"/>
  <c r="DJ28" i="66"/>
  <c r="DM28" i="66" s="1"/>
  <c r="DI28" i="66"/>
  <c r="DL28" i="66" s="1"/>
  <c r="DH28" i="66"/>
  <c r="DK28" i="66" s="1"/>
  <c r="DJ27" i="66"/>
  <c r="DM27" i="66" s="1"/>
  <c r="DI27" i="66"/>
  <c r="DL27" i="66" s="1"/>
  <c r="DH27" i="66"/>
  <c r="DK27" i="66" s="1"/>
  <c r="DM26" i="66"/>
  <c r="DL26" i="66"/>
  <c r="DK26" i="66"/>
  <c r="DJ26" i="66"/>
  <c r="DI26" i="66"/>
  <c r="DH26" i="66"/>
  <c r="DJ25" i="66"/>
  <c r="DM25" i="66" s="1"/>
  <c r="DI25" i="66"/>
  <c r="DL25" i="66" s="1"/>
  <c r="DH25" i="66"/>
  <c r="DK25" i="66" s="1"/>
  <c r="DJ24" i="66"/>
  <c r="DM24" i="66" s="1"/>
  <c r="DI24" i="66"/>
  <c r="DL24" i="66" s="1"/>
  <c r="DH24" i="66"/>
  <c r="DK24" i="66" s="1"/>
  <c r="DJ23" i="66"/>
  <c r="DM23" i="66" s="1"/>
  <c r="DI23" i="66"/>
  <c r="DL23" i="66" s="1"/>
  <c r="DH23" i="66"/>
  <c r="DK23" i="66" s="1"/>
  <c r="DJ22" i="66"/>
  <c r="DM22" i="66" s="1"/>
  <c r="DI22" i="66"/>
  <c r="DL22" i="66" s="1"/>
  <c r="DH22" i="66"/>
  <c r="DK22" i="66" s="1"/>
  <c r="DJ21" i="66"/>
  <c r="DM21" i="66" s="1"/>
  <c r="DI21" i="66"/>
  <c r="DL21" i="66" s="1"/>
  <c r="DH21" i="66"/>
  <c r="DK21" i="66" s="1"/>
  <c r="DJ20" i="66"/>
  <c r="DM20" i="66" s="1"/>
  <c r="DI20" i="66"/>
  <c r="DL20" i="66" s="1"/>
  <c r="DH20" i="66"/>
  <c r="DK20" i="66" s="1"/>
  <c r="DJ19" i="66"/>
  <c r="DM19" i="66" s="1"/>
  <c r="DI19" i="66"/>
  <c r="DL19" i="66" s="1"/>
  <c r="DH19" i="66"/>
  <c r="DK19" i="66" s="1"/>
  <c r="DJ18" i="66"/>
  <c r="DM18" i="66" s="1"/>
  <c r="DI18" i="66"/>
  <c r="DL18" i="66" s="1"/>
  <c r="DH18" i="66"/>
  <c r="DK18" i="66" s="1"/>
  <c r="DN18" i="66" s="1"/>
  <c r="DL17" i="66"/>
  <c r="DJ17" i="66"/>
  <c r="DM17" i="66" s="1"/>
  <c r="DI17" i="66"/>
  <c r="DH17" i="66"/>
  <c r="DK17" i="66" s="1"/>
  <c r="DJ16" i="66"/>
  <c r="DM16" i="66" s="1"/>
  <c r="DI16" i="66"/>
  <c r="DL16" i="66" s="1"/>
  <c r="DH16" i="66"/>
  <c r="DK16" i="66" s="1"/>
  <c r="DJ15" i="66"/>
  <c r="DM15" i="66" s="1"/>
  <c r="DI15" i="66"/>
  <c r="DL15" i="66" s="1"/>
  <c r="DH15" i="66"/>
  <c r="DK15" i="66" s="1"/>
  <c r="DJ14" i="66"/>
  <c r="DM14" i="66" s="1"/>
  <c r="DI14" i="66"/>
  <c r="DL14" i="66" s="1"/>
  <c r="DH14" i="66"/>
  <c r="DK14" i="66" s="1"/>
  <c r="DL13" i="66"/>
  <c r="DJ13" i="66"/>
  <c r="DM13" i="66" s="1"/>
  <c r="DI13" i="66"/>
  <c r="DH13" i="66"/>
  <c r="DK13" i="66" s="1"/>
  <c r="DM12" i="66"/>
  <c r="DJ12" i="66"/>
  <c r="DI12" i="66"/>
  <c r="DL12" i="66" s="1"/>
  <c r="DH12" i="66"/>
  <c r="DK12" i="66" s="1"/>
  <c r="DJ11" i="66"/>
  <c r="DM11" i="66" s="1"/>
  <c r="DI11" i="66"/>
  <c r="DL11" i="66" s="1"/>
  <c r="DN11" i="66" s="1"/>
  <c r="DH11" i="66"/>
  <c r="DK11" i="66" s="1"/>
  <c r="DJ10" i="66"/>
  <c r="DM10" i="66" s="1"/>
  <c r="DI10" i="66"/>
  <c r="DL10" i="66" s="1"/>
  <c r="DH10" i="66"/>
  <c r="DK10" i="66" s="1"/>
  <c r="DJ9" i="66"/>
  <c r="DM9" i="66" s="1"/>
  <c r="DI9" i="66"/>
  <c r="DL9" i="66" s="1"/>
  <c r="DH9" i="66"/>
  <c r="DK9" i="66" s="1"/>
  <c r="DM39" i="65"/>
  <c r="DL39" i="65"/>
  <c r="DH39" i="65"/>
  <c r="DK39" i="65" s="1"/>
  <c r="DJ38" i="65"/>
  <c r="DM38" i="65" s="1"/>
  <c r="DI38" i="65"/>
  <c r="DL38" i="65" s="1"/>
  <c r="DH38" i="65"/>
  <c r="DK38" i="65" s="1"/>
  <c r="DJ37" i="65"/>
  <c r="DM37" i="65" s="1"/>
  <c r="DI37" i="65"/>
  <c r="DL37" i="65" s="1"/>
  <c r="DH37" i="65"/>
  <c r="DK37" i="65" s="1"/>
  <c r="DJ36" i="65"/>
  <c r="DM36" i="65" s="1"/>
  <c r="DI36" i="65"/>
  <c r="DL36" i="65" s="1"/>
  <c r="DH36" i="65"/>
  <c r="DK36" i="65" s="1"/>
  <c r="DJ35" i="65"/>
  <c r="DM35" i="65" s="1"/>
  <c r="DI35" i="65"/>
  <c r="DL35" i="65" s="1"/>
  <c r="DH35" i="65"/>
  <c r="DK35" i="65" s="1"/>
  <c r="DL34" i="65"/>
  <c r="DJ34" i="65"/>
  <c r="DM34" i="65" s="1"/>
  <c r="DI34" i="65"/>
  <c r="DH34" i="65"/>
  <c r="DK34" i="65" s="1"/>
  <c r="DJ33" i="65"/>
  <c r="DM33" i="65" s="1"/>
  <c r="DI33" i="65"/>
  <c r="DL33" i="65" s="1"/>
  <c r="DH33" i="65"/>
  <c r="DK33" i="65" s="1"/>
  <c r="DJ32" i="65"/>
  <c r="DM32" i="65" s="1"/>
  <c r="DI32" i="65"/>
  <c r="DL32" i="65" s="1"/>
  <c r="DH32" i="65"/>
  <c r="DK32" i="65" s="1"/>
  <c r="DJ31" i="65"/>
  <c r="DM31" i="65" s="1"/>
  <c r="DI31" i="65"/>
  <c r="DL31" i="65" s="1"/>
  <c r="DH31" i="65"/>
  <c r="DK31" i="65" s="1"/>
  <c r="DJ30" i="65"/>
  <c r="DM30" i="65" s="1"/>
  <c r="DI30" i="65"/>
  <c r="DL30" i="65" s="1"/>
  <c r="DH30" i="65"/>
  <c r="DK30" i="65" s="1"/>
  <c r="DM29" i="65"/>
  <c r="DJ29" i="65"/>
  <c r="DI29" i="65"/>
  <c r="DL29" i="65" s="1"/>
  <c r="DH29" i="65"/>
  <c r="DK29" i="65" s="1"/>
  <c r="DJ28" i="65"/>
  <c r="DM28" i="65" s="1"/>
  <c r="DI28" i="65"/>
  <c r="DL28" i="65" s="1"/>
  <c r="DH28" i="65"/>
  <c r="DK28" i="65" s="1"/>
  <c r="DJ27" i="65"/>
  <c r="DM27" i="65" s="1"/>
  <c r="DI27" i="65"/>
  <c r="DL27" i="65" s="1"/>
  <c r="DH27" i="65"/>
  <c r="DK27" i="65" s="1"/>
  <c r="DL26" i="65"/>
  <c r="DJ26" i="65"/>
  <c r="DM26" i="65" s="1"/>
  <c r="DI26" i="65"/>
  <c r="DH26" i="65"/>
  <c r="DK26" i="65" s="1"/>
  <c r="DJ25" i="65"/>
  <c r="DM25" i="65" s="1"/>
  <c r="DI25" i="65"/>
  <c r="DL25" i="65" s="1"/>
  <c r="DH25" i="65"/>
  <c r="DK25" i="65" s="1"/>
  <c r="DJ24" i="65"/>
  <c r="DM24" i="65" s="1"/>
  <c r="DI24" i="65"/>
  <c r="DL24" i="65" s="1"/>
  <c r="DH24" i="65"/>
  <c r="DK24" i="65" s="1"/>
  <c r="DJ23" i="65"/>
  <c r="DM23" i="65" s="1"/>
  <c r="DI23" i="65"/>
  <c r="DL23" i="65" s="1"/>
  <c r="DH23" i="65"/>
  <c r="DK23" i="65" s="1"/>
  <c r="DJ22" i="65"/>
  <c r="DM22" i="65" s="1"/>
  <c r="DI22" i="65"/>
  <c r="DL22" i="65" s="1"/>
  <c r="DH22" i="65"/>
  <c r="DK22" i="65" s="1"/>
  <c r="DJ21" i="65"/>
  <c r="DM21" i="65" s="1"/>
  <c r="DI21" i="65"/>
  <c r="DL21" i="65" s="1"/>
  <c r="DH21" i="65"/>
  <c r="DK21" i="65" s="1"/>
  <c r="DJ20" i="65"/>
  <c r="DM20" i="65" s="1"/>
  <c r="DI20" i="65"/>
  <c r="DL20" i="65" s="1"/>
  <c r="DH20" i="65"/>
  <c r="DK20" i="65" s="1"/>
  <c r="DJ19" i="65"/>
  <c r="DM19" i="65" s="1"/>
  <c r="DI19" i="65"/>
  <c r="DL19" i="65" s="1"/>
  <c r="DH19" i="65"/>
  <c r="DK19" i="65" s="1"/>
  <c r="DJ18" i="65"/>
  <c r="DM18" i="65" s="1"/>
  <c r="DI18" i="65"/>
  <c r="DL18" i="65" s="1"/>
  <c r="DH18" i="65"/>
  <c r="DK18" i="65" s="1"/>
  <c r="DJ17" i="65"/>
  <c r="DM17" i="65" s="1"/>
  <c r="DI17" i="65"/>
  <c r="DL17" i="65" s="1"/>
  <c r="DH17" i="65"/>
  <c r="DK17" i="65" s="1"/>
  <c r="DJ16" i="65"/>
  <c r="DM16" i="65" s="1"/>
  <c r="DI16" i="65"/>
  <c r="DL16" i="65" s="1"/>
  <c r="DH16" i="65"/>
  <c r="DK16" i="65" s="1"/>
  <c r="DJ15" i="65"/>
  <c r="DM15" i="65" s="1"/>
  <c r="DI15" i="65"/>
  <c r="DL15" i="65" s="1"/>
  <c r="DH15" i="65"/>
  <c r="DK15" i="65" s="1"/>
  <c r="DJ14" i="65"/>
  <c r="DM14" i="65" s="1"/>
  <c r="DI14" i="65"/>
  <c r="DL14" i="65" s="1"/>
  <c r="DH14" i="65"/>
  <c r="DK14" i="65" s="1"/>
  <c r="DJ13" i="65"/>
  <c r="DM13" i="65" s="1"/>
  <c r="DI13" i="65"/>
  <c r="DL13" i="65" s="1"/>
  <c r="DH13" i="65"/>
  <c r="DK13" i="65" s="1"/>
  <c r="DL12" i="65"/>
  <c r="DJ12" i="65"/>
  <c r="DM12" i="65" s="1"/>
  <c r="DI12" i="65"/>
  <c r="DH12" i="65"/>
  <c r="DK12" i="65" s="1"/>
  <c r="DJ11" i="65"/>
  <c r="DM11" i="65" s="1"/>
  <c r="DI11" i="65"/>
  <c r="DL11" i="65" s="1"/>
  <c r="DH11" i="65"/>
  <c r="DK11" i="65" s="1"/>
  <c r="DJ10" i="65"/>
  <c r="DM10" i="65" s="1"/>
  <c r="DI10" i="65"/>
  <c r="DL10" i="65" s="1"/>
  <c r="DH10" i="65"/>
  <c r="DK10" i="65" s="1"/>
  <c r="DJ9" i="65"/>
  <c r="DM9" i="65" s="1"/>
  <c r="DI9" i="65"/>
  <c r="DL9" i="65" s="1"/>
  <c r="DH9" i="65"/>
  <c r="DK9" i="65" s="1"/>
  <c r="DH9" i="64"/>
  <c r="DK9" i="64" s="1"/>
  <c r="DJ39" i="64"/>
  <c r="DM39" i="64" s="1"/>
  <c r="DI39" i="64"/>
  <c r="DL39" i="64" s="1"/>
  <c r="DH39" i="64"/>
  <c r="DK39" i="64" s="1"/>
  <c r="DJ38" i="64"/>
  <c r="DM38" i="64" s="1"/>
  <c r="DI38" i="64"/>
  <c r="DL38" i="64" s="1"/>
  <c r="DH38" i="64"/>
  <c r="DK38" i="64" s="1"/>
  <c r="DJ37" i="64"/>
  <c r="DM37" i="64" s="1"/>
  <c r="DI37" i="64"/>
  <c r="DL37" i="64" s="1"/>
  <c r="DH37" i="64"/>
  <c r="DK37" i="64" s="1"/>
  <c r="DJ36" i="64"/>
  <c r="DM36" i="64" s="1"/>
  <c r="DI36" i="64"/>
  <c r="DL36" i="64" s="1"/>
  <c r="DH36" i="64"/>
  <c r="DK36" i="64" s="1"/>
  <c r="DJ35" i="64"/>
  <c r="DM35" i="64" s="1"/>
  <c r="DI35" i="64"/>
  <c r="DL35" i="64" s="1"/>
  <c r="DH35" i="64"/>
  <c r="DK35" i="64" s="1"/>
  <c r="DJ34" i="64"/>
  <c r="DM34" i="64" s="1"/>
  <c r="DI34" i="64"/>
  <c r="DL34" i="64" s="1"/>
  <c r="DH34" i="64"/>
  <c r="DK34" i="64" s="1"/>
  <c r="DJ33" i="64"/>
  <c r="DM33" i="64" s="1"/>
  <c r="DI33" i="64"/>
  <c r="DL33" i="64" s="1"/>
  <c r="DH33" i="64"/>
  <c r="DK33" i="64" s="1"/>
  <c r="DJ32" i="64"/>
  <c r="DM32" i="64" s="1"/>
  <c r="DI32" i="64"/>
  <c r="DL32" i="64" s="1"/>
  <c r="DH32" i="64"/>
  <c r="DK32" i="64" s="1"/>
  <c r="DJ31" i="64"/>
  <c r="DM31" i="64" s="1"/>
  <c r="DI31" i="64"/>
  <c r="DL31" i="64" s="1"/>
  <c r="DH31" i="64"/>
  <c r="DK31" i="64" s="1"/>
  <c r="DN31" i="64" s="1"/>
  <c r="N25" i="24" s="1"/>
  <c r="DK30" i="64"/>
  <c r="DJ30" i="64"/>
  <c r="DM30" i="64" s="1"/>
  <c r="DI30" i="64"/>
  <c r="DL30" i="64" s="1"/>
  <c r="DH30" i="64"/>
  <c r="DJ29" i="64"/>
  <c r="DM29" i="64" s="1"/>
  <c r="DI29" i="64"/>
  <c r="DL29" i="64" s="1"/>
  <c r="DH29" i="64"/>
  <c r="DK29" i="64" s="1"/>
  <c r="DJ28" i="64"/>
  <c r="DM28" i="64" s="1"/>
  <c r="DI28" i="64"/>
  <c r="DL28" i="64" s="1"/>
  <c r="DH28" i="64"/>
  <c r="DK28" i="64" s="1"/>
  <c r="DJ27" i="64"/>
  <c r="DM27" i="64" s="1"/>
  <c r="DI27" i="64"/>
  <c r="DL27" i="64" s="1"/>
  <c r="DH27" i="64"/>
  <c r="DK27" i="64" s="1"/>
  <c r="DJ26" i="64"/>
  <c r="DM26" i="64" s="1"/>
  <c r="DI26" i="64"/>
  <c r="DL26" i="64" s="1"/>
  <c r="DH26" i="64"/>
  <c r="DK26" i="64" s="1"/>
  <c r="DJ25" i="64"/>
  <c r="DM25" i="64" s="1"/>
  <c r="DI25" i="64"/>
  <c r="DL25" i="64" s="1"/>
  <c r="DH25" i="64"/>
  <c r="DK25" i="64" s="1"/>
  <c r="DJ24" i="64"/>
  <c r="DM24" i="64" s="1"/>
  <c r="DI24" i="64"/>
  <c r="DL24" i="64" s="1"/>
  <c r="DH24" i="64"/>
  <c r="DK24" i="64" s="1"/>
  <c r="DJ23" i="64"/>
  <c r="DM23" i="64" s="1"/>
  <c r="DI23" i="64"/>
  <c r="DL23" i="64" s="1"/>
  <c r="DH23" i="64"/>
  <c r="DK23" i="64" s="1"/>
  <c r="DJ22" i="64"/>
  <c r="DM22" i="64" s="1"/>
  <c r="DI22" i="64"/>
  <c r="DL22" i="64" s="1"/>
  <c r="DH22" i="64"/>
  <c r="DK22" i="64" s="1"/>
  <c r="DJ21" i="64"/>
  <c r="DM21" i="64" s="1"/>
  <c r="DI21" i="64"/>
  <c r="DL21" i="64" s="1"/>
  <c r="DH21" i="64"/>
  <c r="DK21" i="64" s="1"/>
  <c r="DJ20" i="64"/>
  <c r="DM20" i="64" s="1"/>
  <c r="DI20" i="64"/>
  <c r="DL20" i="64" s="1"/>
  <c r="DH20" i="64"/>
  <c r="DK20" i="64" s="1"/>
  <c r="DJ19" i="64"/>
  <c r="DM19" i="64" s="1"/>
  <c r="DI19" i="64"/>
  <c r="DL19" i="64" s="1"/>
  <c r="DH19" i="64"/>
  <c r="DK19" i="64" s="1"/>
  <c r="DJ18" i="64"/>
  <c r="DM18" i="64" s="1"/>
  <c r="DI18" i="64"/>
  <c r="DL18" i="64" s="1"/>
  <c r="DH18" i="64"/>
  <c r="DK18" i="64" s="1"/>
  <c r="DJ17" i="64"/>
  <c r="DM17" i="64" s="1"/>
  <c r="DI17" i="64"/>
  <c r="DL17" i="64" s="1"/>
  <c r="DH17" i="64"/>
  <c r="DK17" i="64" s="1"/>
  <c r="DJ16" i="64"/>
  <c r="DM16" i="64" s="1"/>
  <c r="DI16" i="64"/>
  <c r="DL16" i="64" s="1"/>
  <c r="DH16" i="64"/>
  <c r="DK16" i="64" s="1"/>
  <c r="DJ15" i="64"/>
  <c r="DM15" i="64" s="1"/>
  <c r="DI15" i="64"/>
  <c r="DL15" i="64" s="1"/>
  <c r="DH15" i="64"/>
  <c r="DK15" i="64" s="1"/>
  <c r="DN15" i="64" s="1"/>
  <c r="N9" i="24" s="1"/>
  <c r="DJ14" i="64"/>
  <c r="DM14" i="64" s="1"/>
  <c r="DI14" i="64"/>
  <c r="DL14" i="64" s="1"/>
  <c r="DH14" i="64"/>
  <c r="DK14" i="64" s="1"/>
  <c r="DJ13" i="64"/>
  <c r="DM13" i="64" s="1"/>
  <c r="DI13" i="64"/>
  <c r="DL13" i="64" s="1"/>
  <c r="DH13" i="64"/>
  <c r="DK13" i="64" s="1"/>
  <c r="DJ12" i="64"/>
  <c r="DM12" i="64" s="1"/>
  <c r="DI12" i="64"/>
  <c r="DL12" i="64" s="1"/>
  <c r="DH12" i="64"/>
  <c r="DK12" i="64" s="1"/>
  <c r="DJ11" i="64"/>
  <c r="DM11" i="64" s="1"/>
  <c r="DI11" i="64"/>
  <c r="DL11" i="64" s="1"/>
  <c r="DH11" i="64"/>
  <c r="DK11" i="64" s="1"/>
  <c r="DJ10" i="64"/>
  <c r="DM10" i="64" s="1"/>
  <c r="DI10" i="64"/>
  <c r="DL10" i="64" s="1"/>
  <c r="DH10" i="64"/>
  <c r="DK10" i="64" s="1"/>
  <c r="DJ9" i="64"/>
  <c r="DM9" i="64" s="1"/>
  <c r="DI9" i="64"/>
  <c r="DL9" i="64" s="1"/>
  <c r="DN16" i="68" l="1"/>
  <c r="D10" i="25" s="1"/>
  <c r="DN15" i="70"/>
  <c r="N9" i="25" s="1"/>
  <c r="DN10" i="66"/>
  <c r="X4" i="24" s="1"/>
  <c r="DN37" i="64"/>
  <c r="N31" i="24" s="1"/>
  <c r="A9" i="47"/>
  <c r="Q16" i="43"/>
  <c r="DN23" i="71"/>
  <c r="S17" i="25" s="1"/>
  <c r="DN16" i="71"/>
  <c r="S10" i="25" s="1"/>
  <c r="DN30" i="68"/>
  <c r="D24" i="25" s="1"/>
  <c r="DN10" i="73"/>
  <c r="AC4" i="25" s="1"/>
  <c r="DN35" i="72"/>
  <c r="X29" i="25" s="1"/>
  <c r="DN19" i="64"/>
  <c r="N13" i="24" s="1"/>
  <c r="DN14" i="73"/>
  <c r="AC8" i="25" s="1"/>
  <c r="DN35" i="73"/>
  <c r="AC29" i="25" s="1"/>
  <c r="DN12" i="73"/>
  <c r="AC6" i="25" s="1"/>
  <c r="DN20" i="73"/>
  <c r="AC14" i="25" s="1"/>
  <c r="DN21" i="73"/>
  <c r="AC15" i="25" s="1"/>
  <c r="DN19" i="73"/>
  <c r="AC13" i="25" s="1"/>
  <c r="DN29" i="73"/>
  <c r="AC23" i="25" s="1"/>
  <c r="DN39" i="73"/>
  <c r="AC33" i="25" s="1"/>
  <c r="DN13" i="73"/>
  <c r="AC7" i="25" s="1"/>
  <c r="DN37" i="73"/>
  <c r="AC31" i="25" s="1"/>
  <c r="DN28" i="73"/>
  <c r="AC22" i="25" s="1"/>
  <c r="DN36" i="73"/>
  <c r="AC30" i="25" s="1"/>
  <c r="DN13" i="72"/>
  <c r="X7" i="25" s="1"/>
  <c r="DN26" i="72"/>
  <c r="X20" i="25" s="1"/>
  <c r="DN27" i="72"/>
  <c r="X21" i="25" s="1"/>
  <c r="DN11" i="72"/>
  <c r="X5" i="25" s="1"/>
  <c r="DN16" i="72"/>
  <c r="X10" i="25" s="1"/>
  <c r="DN31" i="72"/>
  <c r="X25" i="25" s="1"/>
  <c r="DN12" i="72"/>
  <c r="X6" i="25" s="1"/>
  <c r="DN29" i="72"/>
  <c r="X23" i="25" s="1"/>
  <c r="DN19" i="72"/>
  <c r="X13" i="25" s="1"/>
  <c r="DN28" i="72"/>
  <c r="X22" i="25" s="1"/>
  <c r="DN30" i="72"/>
  <c r="X24" i="25" s="1"/>
  <c r="DN37" i="72"/>
  <c r="X31" i="25" s="1"/>
  <c r="DN22" i="71"/>
  <c r="S16" i="25" s="1"/>
  <c r="DN14" i="71"/>
  <c r="S8" i="25" s="1"/>
  <c r="DN21" i="71"/>
  <c r="S15" i="25" s="1"/>
  <c r="DN31" i="71"/>
  <c r="S25" i="25" s="1"/>
  <c r="DN11" i="71"/>
  <c r="S5" i="25" s="1"/>
  <c r="DN12" i="71"/>
  <c r="S6" i="25" s="1"/>
  <c r="DN29" i="71"/>
  <c r="S23" i="25" s="1"/>
  <c r="DN37" i="71"/>
  <c r="S31" i="25" s="1"/>
  <c r="DN20" i="71"/>
  <c r="S14" i="25" s="1"/>
  <c r="DN28" i="71"/>
  <c r="S22" i="25" s="1"/>
  <c r="DN13" i="71"/>
  <c r="S7" i="25" s="1"/>
  <c r="DN15" i="71"/>
  <c r="S9" i="25" s="1"/>
  <c r="DN30" i="71"/>
  <c r="S24" i="25" s="1"/>
  <c r="DN36" i="71"/>
  <c r="S30" i="25" s="1"/>
  <c r="DN19" i="71"/>
  <c r="S13" i="25" s="1"/>
  <c r="DN27" i="71"/>
  <c r="S21" i="25" s="1"/>
  <c r="DN38" i="71"/>
  <c r="S32" i="25" s="1"/>
  <c r="DN27" i="70"/>
  <c r="N21" i="25" s="1"/>
  <c r="DN11" i="70"/>
  <c r="N5" i="25" s="1"/>
  <c r="DN19" i="70"/>
  <c r="N13" i="25" s="1"/>
  <c r="DN26" i="70"/>
  <c r="N20" i="25" s="1"/>
  <c r="DN28" i="70"/>
  <c r="N22" i="25" s="1"/>
  <c r="DN30" i="70"/>
  <c r="N24" i="25" s="1"/>
  <c r="DN36" i="70"/>
  <c r="N30" i="25" s="1"/>
  <c r="DN13" i="70"/>
  <c r="N7" i="25" s="1"/>
  <c r="DN21" i="70"/>
  <c r="N15" i="25" s="1"/>
  <c r="DN31" i="70"/>
  <c r="N25" i="25" s="1"/>
  <c r="DN16" i="70"/>
  <c r="N10" i="25" s="1"/>
  <c r="DN29" i="70"/>
  <c r="N23" i="25" s="1"/>
  <c r="DN12" i="70"/>
  <c r="N6" i="25" s="1"/>
  <c r="DN35" i="70"/>
  <c r="N29" i="25" s="1"/>
  <c r="DN37" i="70"/>
  <c r="N31" i="25" s="1"/>
  <c r="DN20" i="70"/>
  <c r="N14" i="25" s="1"/>
  <c r="DN34" i="69"/>
  <c r="I28" i="25" s="1"/>
  <c r="DN21" i="69"/>
  <c r="I15" i="25" s="1"/>
  <c r="DN11" i="69"/>
  <c r="I5" i="25" s="1"/>
  <c r="DN31" i="69"/>
  <c r="I25" i="25" s="1"/>
  <c r="DN35" i="69"/>
  <c r="I29" i="25" s="1"/>
  <c r="DN28" i="69"/>
  <c r="I22" i="25" s="1"/>
  <c r="DN37" i="69"/>
  <c r="I31" i="25" s="1"/>
  <c r="DN15" i="69"/>
  <c r="I9" i="25" s="1"/>
  <c r="DN13" i="69"/>
  <c r="I7" i="25" s="1"/>
  <c r="DN23" i="69"/>
  <c r="I17" i="25" s="1"/>
  <c r="DN36" i="69"/>
  <c r="I30" i="25" s="1"/>
  <c r="DN27" i="69"/>
  <c r="I21" i="25" s="1"/>
  <c r="DN29" i="69"/>
  <c r="I23" i="25" s="1"/>
  <c r="DN12" i="69"/>
  <c r="I6" i="25" s="1"/>
  <c r="DN24" i="69"/>
  <c r="I18" i="25" s="1"/>
  <c r="DN19" i="69"/>
  <c r="I13" i="25" s="1"/>
  <c r="DN20" i="69"/>
  <c r="I14" i="25" s="1"/>
  <c r="DN32" i="69"/>
  <c r="I26" i="25" s="1"/>
  <c r="DN39" i="69"/>
  <c r="I33" i="25" s="1"/>
  <c r="DN11" i="68"/>
  <c r="D5" i="25" s="1"/>
  <c r="DN26" i="68"/>
  <c r="D20" i="25" s="1"/>
  <c r="D31" i="25"/>
  <c r="DN27" i="68"/>
  <c r="D21" i="25" s="1"/>
  <c r="DN29" i="68"/>
  <c r="D23" i="25" s="1"/>
  <c r="DN12" i="68"/>
  <c r="D6" i="25" s="1"/>
  <c r="DN35" i="68"/>
  <c r="D29" i="25" s="1"/>
  <c r="DN20" i="68"/>
  <c r="D14" i="25" s="1"/>
  <c r="DN22" i="68"/>
  <c r="D16" i="25" s="1"/>
  <c r="DN28" i="68"/>
  <c r="D22" i="25" s="1"/>
  <c r="DN36" i="68"/>
  <c r="D30" i="25" s="1"/>
  <c r="DN15" i="68"/>
  <c r="D9" i="25" s="1"/>
  <c r="DN13" i="68"/>
  <c r="D7" i="25" s="1"/>
  <c r="DN23" i="68"/>
  <c r="D17" i="25" s="1"/>
  <c r="DN19" i="68"/>
  <c r="D13" i="25" s="1"/>
  <c r="DN21" i="68"/>
  <c r="D15" i="25" s="1"/>
  <c r="DN31" i="68"/>
  <c r="D25" i="25" s="1"/>
  <c r="DN19" i="67"/>
  <c r="AC13" i="24" s="1"/>
  <c r="DN20" i="67"/>
  <c r="AC14" i="24" s="1"/>
  <c r="DN27" i="67"/>
  <c r="AC21" i="24" s="1"/>
  <c r="DN35" i="67"/>
  <c r="AC29" i="24" s="1"/>
  <c r="DN13" i="67"/>
  <c r="AC7" i="24" s="1"/>
  <c r="DN15" i="67"/>
  <c r="AC9" i="24" s="1"/>
  <c r="DN22" i="67"/>
  <c r="AC16" i="24" s="1"/>
  <c r="DN24" i="67"/>
  <c r="AC18" i="24" s="1"/>
  <c r="DN29" i="67"/>
  <c r="AC23" i="24" s="1"/>
  <c r="DN37" i="67"/>
  <c r="AC31" i="24" s="1"/>
  <c r="DN39" i="67"/>
  <c r="AC33" i="24" s="1"/>
  <c r="DN12" i="67"/>
  <c r="AC6" i="24" s="1"/>
  <c r="DN28" i="67"/>
  <c r="AC22" i="24" s="1"/>
  <c r="DN36" i="67"/>
  <c r="AC30" i="24" s="1"/>
  <c r="DN14" i="67"/>
  <c r="AC8" i="24" s="1"/>
  <c r="DN16" i="67"/>
  <c r="AC10" i="24" s="1"/>
  <c r="DN21" i="67"/>
  <c r="AC15" i="24" s="1"/>
  <c r="DN23" i="67"/>
  <c r="AC17" i="24" s="1"/>
  <c r="DN38" i="67"/>
  <c r="AC32" i="24" s="1"/>
  <c r="DN27" i="66"/>
  <c r="DN12" i="66"/>
  <c r="DN13" i="66"/>
  <c r="DN29" i="66"/>
  <c r="DN20" i="66"/>
  <c r="X14" i="24" s="1"/>
  <c r="DN35" i="66"/>
  <c r="DN22" i="66"/>
  <c r="X16" i="24" s="1"/>
  <c r="DN26" i="66"/>
  <c r="DN30" i="66"/>
  <c r="DN14" i="66"/>
  <c r="DN23" i="66"/>
  <c r="DN34" i="66"/>
  <c r="DN36" i="66"/>
  <c r="DN19" i="66"/>
  <c r="DN18" i="65"/>
  <c r="S12" i="24" s="1"/>
  <c r="DN23" i="65"/>
  <c r="S17" i="24" s="1"/>
  <c r="DN30" i="65"/>
  <c r="S24" i="24" s="1"/>
  <c r="DN35" i="65"/>
  <c r="S29" i="24" s="1"/>
  <c r="DN11" i="65"/>
  <c r="S5" i="24" s="1"/>
  <c r="DN31" i="65"/>
  <c r="S25" i="24" s="1"/>
  <c r="DN19" i="65"/>
  <c r="S13" i="24" s="1"/>
  <c r="DN22" i="65"/>
  <c r="S16" i="24" s="1"/>
  <c r="DN39" i="65"/>
  <c r="DN27" i="65"/>
  <c r="S21" i="24" s="1"/>
  <c r="DN28" i="65"/>
  <c r="S22" i="24" s="1"/>
  <c r="DN21" i="65"/>
  <c r="S15" i="24" s="1"/>
  <c r="DN36" i="65"/>
  <c r="S30" i="24" s="1"/>
  <c r="DN13" i="65"/>
  <c r="S7" i="24" s="1"/>
  <c r="DN12" i="65"/>
  <c r="S6" i="24" s="1"/>
  <c r="DN14" i="65"/>
  <c r="S8" i="24" s="1"/>
  <c r="DN20" i="65"/>
  <c r="S14" i="24" s="1"/>
  <c r="DN32" i="65"/>
  <c r="S26" i="24" s="1"/>
  <c r="DN22" i="64"/>
  <c r="N16" i="24" s="1"/>
  <c r="DN9" i="64"/>
  <c r="N3" i="24" s="1"/>
  <c r="DN13" i="64"/>
  <c r="N7" i="24" s="1"/>
  <c r="DN33" i="64"/>
  <c r="N27" i="24" s="1"/>
  <c r="DN23" i="64"/>
  <c r="N17" i="24" s="1"/>
  <c r="DN32" i="64"/>
  <c r="N26" i="24" s="1"/>
  <c r="DN16" i="64"/>
  <c r="N10" i="24" s="1"/>
  <c r="DN18" i="64"/>
  <c r="N12" i="24" s="1"/>
  <c r="DN39" i="64"/>
  <c r="N33" i="24" s="1"/>
  <c r="DN11" i="73"/>
  <c r="AC5" i="25" s="1"/>
  <c r="DN22" i="72"/>
  <c r="X16" i="25" s="1"/>
  <c r="DN21" i="72"/>
  <c r="X15" i="25" s="1"/>
  <c r="DN20" i="72"/>
  <c r="X14" i="25" s="1"/>
  <c r="DN36" i="72"/>
  <c r="X30" i="25" s="1"/>
  <c r="DN14" i="69"/>
  <c r="I8" i="25" s="1"/>
  <c r="DN32" i="67"/>
  <c r="AC26" i="24" s="1"/>
  <c r="DN31" i="67"/>
  <c r="AC25" i="24" s="1"/>
  <c r="DN30" i="67"/>
  <c r="AC24" i="24" s="1"/>
  <c r="DN21" i="66"/>
  <c r="X15" i="24" s="1"/>
  <c r="DN28" i="66"/>
  <c r="X22" i="24" s="1"/>
  <c r="DN24" i="64"/>
  <c r="N18" i="24" s="1"/>
  <c r="DN34" i="73"/>
  <c r="AC28" i="25" s="1"/>
  <c r="DN16" i="73"/>
  <c r="AC10" i="25" s="1"/>
  <c r="DN9" i="73"/>
  <c r="AC3" i="25" s="1"/>
  <c r="DN18" i="73"/>
  <c r="AC12" i="25" s="1"/>
  <c r="DN25" i="73"/>
  <c r="AC19" i="25" s="1"/>
  <c r="DN31" i="73"/>
  <c r="AC25" i="25" s="1"/>
  <c r="DN33" i="73"/>
  <c r="AC27" i="25" s="1"/>
  <c r="DN24" i="73"/>
  <c r="AC18" i="25" s="1"/>
  <c r="DN15" i="73"/>
  <c r="AC9" i="25" s="1"/>
  <c r="DN22" i="73"/>
  <c r="AC16" i="25" s="1"/>
  <c r="DN32" i="73"/>
  <c r="AC26" i="25" s="1"/>
  <c r="DN34" i="72"/>
  <c r="X28" i="25" s="1"/>
  <c r="DN17" i="72"/>
  <c r="X11" i="25" s="1"/>
  <c r="DN33" i="72"/>
  <c r="X27" i="25" s="1"/>
  <c r="DN9" i="72"/>
  <c r="X3" i="25" s="1"/>
  <c r="DN25" i="72"/>
  <c r="X19" i="25" s="1"/>
  <c r="DN10" i="72"/>
  <c r="X4" i="25" s="1"/>
  <c r="DN24" i="72"/>
  <c r="X18" i="25" s="1"/>
  <c r="DN14" i="72"/>
  <c r="X8" i="25" s="1"/>
  <c r="DN18" i="72"/>
  <c r="X12" i="25" s="1"/>
  <c r="DN32" i="72"/>
  <c r="X26" i="25" s="1"/>
  <c r="DN25" i="71"/>
  <c r="S19" i="25" s="1"/>
  <c r="DN33" i="71"/>
  <c r="S27" i="25" s="1"/>
  <c r="DN17" i="71"/>
  <c r="S11" i="25" s="1"/>
  <c r="DN24" i="71"/>
  <c r="S18" i="25" s="1"/>
  <c r="DN34" i="71"/>
  <c r="S28" i="25" s="1"/>
  <c r="DN10" i="71"/>
  <c r="S4" i="25" s="1"/>
  <c r="DN9" i="71"/>
  <c r="S3" i="25" s="1"/>
  <c r="DN18" i="71"/>
  <c r="S12" i="25" s="1"/>
  <c r="DN32" i="71"/>
  <c r="S26" i="25" s="1"/>
  <c r="DN34" i="70"/>
  <c r="N28" i="25" s="1"/>
  <c r="DN9" i="70"/>
  <c r="N3" i="25" s="1"/>
  <c r="DN17" i="70"/>
  <c r="N11" i="25" s="1"/>
  <c r="DN25" i="70"/>
  <c r="N19" i="25" s="1"/>
  <c r="DN33" i="70"/>
  <c r="N27" i="25" s="1"/>
  <c r="DN10" i="70"/>
  <c r="N4" i="25" s="1"/>
  <c r="DN24" i="70"/>
  <c r="N18" i="25" s="1"/>
  <c r="DN14" i="70"/>
  <c r="N8" i="25" s="1"/>
  <c r="DN18" i="70"/>
  <c r="N12" i="25" s="1"/>
  <c r="DN32" i="70"/>
  <c r="N26" i="25" s="1"/>
  <c r="DN25" i="69"/>
  <c r="I19" i="25" s="1"/>
  <c r="DN33" i="69"/>
  <c r="I27" i="25" s="1"/>
  <c r="DN17" i="69"/>
  <c r="I11" i="25" s="1"/>
  <c r="DN18" i="69"/>
  <c r="I12" i="25" s="1"/>
  <c r="DN10" i="69"/>
  <c r="I4" i="25" s="1"/>
  <c r="DN22" i="69"/>
  <c r="I16" i="25" s="1"/>
  <c r="DN26" i="69"/>
  <c r="I20" i="25" s="1"/>
  <c r="DN30" i="69"/>
  <c r="I24" i="25" s="1"/>
  <c r="DN39" i="68"/>
  <c r="DN34" i="68"/>
  <c r="D28" i="25" s="1"/>
  <c r="DN9" i="68"/>
  <c r="D3" i="25" s="1"/>
  <c r="DN33" i="68"/>
  <c r="D27" i="25" s="1"/>
  <c r="DN10" i="68"/>
  <c r="D4" i="25" s="1"/>
  <c r="DN24" i="68"/>
  <c r="D18" i="25" s="1"/>
  <c r="DN17" i="68"/>
  <c r="D11" i="25" s="1"/>
  <c r="DN25" i="68"/>
  <c r="D19" i="25" s="1"/>
  <c r="DN14" i="68"/>
  <c r="D8" i="25" s="1"/>
  <c r="DN18" i="68"/>
  <c r="D12" i="25" s="1"/>
  <c r="DN32" i="68"/>
  <c r="D26" i="25" s="1"/>
  <c r="DN26" i="67"/>
  <c r="AC20" i="24" s="1"/>
  <c r="DN10" i="67"/>
  <c r="AC4" i="24" s="1"/>
  <c r="DN9" i="67"/>
  <c r="AC3" i="24" s="1"/>
  <c r="DN18" i="67"/>
  <c r="AC12" i="24" s="1"/>
  <c r="DN25" i="67"/>
  <c r="AC19" i="24" s="1"/>
  <c r="DN34" i="67"/>
  <c r="AC28" i="24" s="1"/>
  <c r="DN17" i="67"/>
  <c r="AC11" i="24" s="1"/>
  <c r="DN33" i="67"/>
  <c r="AC27" i="24" s="1"/>
  <c r="DN39" i="66"/>
  <c r="X33" i="24" s="1"/>
  <c r="DN9" i="66"/>
  <c r="DN33" i="66"/>
  <c r="DN16" i="66"/>
  <c r="DN25" i="66"/>
  <c r="DN32" i="66"/>
  <c r="DN17" i="66"/>
  <c r="DN24" i="66"/>
  <c r="DN15" i="66"/>
  <c r="DN31" i="66"/>
  <c r="DN38" i="65"/>
  <c r="S32" i="24" s="1"/>
  <c r="DN9" i="65"/>
  <c r="S3" i="24" s="1"/>
  <c r="DN15" i="65"/>
  <c r="S9" i="24" s="1"/>
  <c r="DN34" i="65"/>
  <c r="S28" i="24" s="1"/>
  <c r="DN26" i="65"/>
  <c r="S20" i="24" s="1"/>
  <c r="DN29" i="65"/>
  <c r="S23" i="24" s="1"/>
  <c r="DN33" i="65"/>
  <c r="S27" i="24" s="1"/>
  <c r="DN17" i="65"/>
  <c r="S11" i="24" s="1"/>
  <c r="DN25" i="65"/>
  <c r="S19" i="24" s="1"/>
  <c r="DN16" i="65"/>
  <c r="S10" i="24" s="1"/>
  <c r="DN10" i="65"/>
  <c r="S4" i="24" s="1"/>
  <c r="DN24" i="65"/>
  <c r="S18" i="24" s="1"/>
  <c r="DN37" i="65"/>
  <c r="S31" i="24" s="1"/>
  <c r="DN20" i="64"/>
  <c r="N14" i="24" s="1"/>
  <c r="DN10" i="64"/>
  <c r="N4" i="24" s="1"/>
  <c r="DN14" i="64"/>
  <c r="N8" i="24" s="1"/>
  <c r="DN28" i="64"/>
  <c r="N22" i="24" s="1"/>
  <c r="DN38" i="64"/>
  <c r="N32" i="24" s="1"/>
  <c r="DN36" i="64"/>
  <c r="N30" i="24" s="1"/>
  <c r="DN26" i="64"/>
  <c r="N20" i="24" s="1"/>
  <c r="DN30" i="64"/>
  <c r="N24" i="24" s="1"/>
  <c r="DN11" i="64"/>
  <c r="N5" i="24" s="1"/>
  <c r="DN34" i="64"/>
  <c r="N28" i="24" s="1"/>
  <c r="DN17" i="64"/>
  <c r="N11" i="24" s="1"/>
  <c r="DN21" i="64"/>
  <c r="N15" i="24" s="1"/>
  <c r="DN27" i="64"/>
  <c r="N21" i="24" s="1"/>
  <c r="DN12" i="64"/>
  <c r="N6" i="24" s="1"/>
  <c r="DN25" i="64"/>
  <c r="N19" i="24" s="1"/>
  <c r="DN29" i="64"/>
  <c r="N23" i="24" s="1"/>
  <c r="DN35" i="64"/>
  <c r="N29" i="24" s="1"/>
  <c r="DM39" i="63"/>
  <c r="DL39" i="63"/>
  <c r="DH39" i="63"/>
  <c r="DK39" i="63" s="1"/>
  <c r="DJ38" i="63"/>
  <c r="DM38" i="63" s="1"/>
  <c r="DI38" i="63"/>
  <c r="DL38" i="63" s="1"/>
  <c r="DH38" i="63"/>
  <c r="DK38" i="63" s="1"/>
  <c r="DN38" i="63" s="1"/>
  <c r="I32" i="24" s="1"/>
  <c r="DJ37" i="63"/>
  <c r="DM37" i="63" s="1"/>
  <c r="DI37" i="63"/>
  <c r="DL37" i="63" s="1"/>
  <c r="DH37" i="63"/>
  <c r="DK37" i="63" s="1"/>
  <c r="DJ36" i="63"/>
  <c r="DM36" i="63" s="1"/>
  <c r="DI36" i="63"/>
  <c r="DL36" i="63" s="1"/>
  <c r="DH36" i="63"/>
  <c r="DK36" i="63" s="1"/>
  <c r="DJ35" i="63"/>
  <c r="DM35" i="63" s="1"/>
  <c r="DI35" i="63"/>
  <c r="DL35" i="63" s="1"/>
  <c r="DH35" i="63"/>
  <c r="DK35" i="63" s="1"/>
  <c r="DJ34" i="63"/>
  <c r="DM34" i="63" s="1"/>
  <c r="DI34" i="63"/>
  <c r="DL34" i="63" s="1"/>
  <c r="DH34" i="63"/>
  <c r="DK34" i="63" s="1"/>
  <c r="DJ33" i="63"/>
  <c r="DM33" i="63" s="1"/>
  <c r="DI33" i="63"/>
  <c r="DL33" i="63" s="1"/>
  <c r="DH33" i="63"/>
  <c r="DK33" i="63" s="1"/>
  <c r="DN33" i="63" s="1"/>
  <c r="I27" i="24" s="1"/>
  <c r="DJ32" i="63"/>
  <c r="DM32" i="63" s="1"/>
  <c r="DI32" i="63"/>
  <c r="DL32" i="63" s="1"/>
  <c r="DH32" i="63"/>
  <c r="DK32" i="63" s="1"/>
  <c r="DJ31" i="63"/>
  <c r="DM31" i="63" s="1"/>
  <c r="DI31" i="63"/>
  <c r="DL31" i="63" s="1"/>
  <c r="DH31" i="63"/>
  <c r="DK31" i="63" s="1"/>
  <c r="DN31" i="63" s="1"/>
  <c r="I25" i="24" s="1"/>
  <c r="DJ30" i="63"/>
  <c r="DM30" i="63" s="1"/>
  <c r="DI30" i="63"/>
  <c r="DL30" i="63" s="1"/>
  <c r="DH30" i="63"/>
  <c r="DK30" i="63" s="1"/>
  <c r="DJ29" i="63"/>
  <c r="DM29" i="63" s="1"/>
  <c r="DI29" i="63"/>
  <c r="DL29" i="63" s="1"/>
  <c r="DH29" i="63"/>
  <c r="DK29" i="63" s="1"/>
  <c r="DJ28" i="63"/>
  <c r="DM28" i="63" s="1"/>
  <c r="DI28" i="63"/>
  <c r="DL28" i="63" s="1"/>
  <c r="DH28" i="63"/>
  <c r="DK28" i="63" s="1"/>
  <c r="DN28" i="63" s="1"/>
  <c r="I22" i="24" s="1"/>
  <c r="DJ27" i="63"/>
  <c r="DM27" i="63" s="1"/>
  <c r="DI27" i="63"/>
  <c r="DL27" i="63" s="1"/>
  <c r="DH27" i="63"/>
  <c r="DK27" i="63" s="1"/>
  <c r="DJ26" i="63"/>
  <c r="DM26" i="63" s="1"/>
  <c r="DI26" i="63"/>
  <c r="DL26" i="63" s="1"/>
  <c r="DH26" i="63"/>
  <c r="DK26" i="63" s="1"/>
  <c r="DJ25" i="63"/>
  <c r="DM25" i="63" s="1"/>
  <c r="DI25" i="63"/>
  <c r="DL25" i="63" s="1"/>
  <c r="DH25" i="63"/>
  <c r="DK25" i="63" s="1"/>
  <c r="DJ24" i="63"/>
  <c r="DM24" i="63" s="1"/>
  <c r="DI24" i="63"/>
  <c r="DL24" i="63" s="1"/>
  <c r="DH24" i="63"/>
  <c r="DK24" i="63" s="1"/>
  <c r="DJ23" i="63"/>
  <c r="DM23" i="63" s="1"/>
  <c r="DI23" i="63"/>
  <c r="DL23" i="63" s="1"/>
  <c r="DH23" i="63"/>
  <c r="DK23" i="63" s="1"/>
  <c r="DN23" i="63" s="1"/>
  <c r="I17" i="24" s="1"/>
  <c r="DJ22" i="63"/>
  <c r="DM22" i="63" s="1"/>
  <c r="DI22" i="63"/>
  <c r="DL22" i="63" s="1"/>
  <c r="DH22" i="63"/>
  <c r="DK22" i="63" s="1"/>
  <c r="DJ21" i="63"/>
  <c r="DM21" i="63" s="1"/>
  <c r="DI21" i="63"/>
  <c r="DL21" i="63" s="1"/>
  <c r="DH21" i="63"/>
  <c r="DK21" i="63" s="1"/>
  <c r="DJ20" i="63"/>
  <c r="DM20" i="63" s="1"/>
  <c r="DI20" i="63"/>
  <c r="DL20" i="63" s="1"/>
  <c r="DH20" i="63"/>
  <c r="DK20" i="63" s="1"/>
  <c r="DN20" i="63" s="1"/>
  <c r="I14" i="24" s="1"/>
  <c r="DJ19" i="63"/>
  <c r="DM19" i="63" s="1"/>
  <c r="DI19" i="63"/>
  <c r="DL19" i="63" s="1"/>
  <c r="DH19" i="63"/>
  <c r="DK19" i="63" s="1"/>
  <c r="DJ18" i="63"/>
  <c r="DM18" i="63" s="1"/>
  <c r="DI18" i="63"/>
  <c r="DL18" i="63" s="1"/>
  <c r="DH18" i="63"/>
  <c r="DK18" i="63" s="1"/>
  <c r="DJ17" i="63"/>
  <c r="DM17" i="63" s="1"/>
  <c r="DI17" i="63"/>
  <c r="DL17" i="63" s="1"/>
  <c r="DH17" i="63"/>
  <c r="DK17" i="63" s="1"/>
  <c r="DN17" i="63" s="1"/>
  <c r="I11" i="24" s="1"/>
  <c r="DJ16" i="63"/>
  <c r="DM16" i="63" s="1"/>
  <c r="DI16" i="63"/>
  <c r="DL16" i="63" s="1"/>
  <c r="DH16" i="63"/>
  <c r="DK16" i="63" s="1"/>
  <c r="DJ15" i="63"/>
  <c r="DM15" i="63" s="1"/>
  <c r="DI15" i="63"/>
  <c r="DL15" i="63" s="1"/>
  <c r="DH15" i="63"/>
  <c r="DK15" i="63" s="1"/>
  <c r="DJ14" i="63"/>
  <c r="DM14" i="63" s="1"/>
  <c r="DI14" i="63"/>
  <c r="DL14" i="63" s="1"/>
  <c r="DH14" i="63"/>
  <c r="DK14" i="63" s="1"/>
  <c r="DJ13" i="63"/>
  <c r="DM13" i="63" s="1"/>
  <c r="DI13" i="63"/>
  <c r="DL13" i="63" s="1"/>
  <c r="DH13" i="63"/>
  <c r="DK13" i="63" s="1"/>
  <c r="DJ12" i="63"/>
  <c r="DM12" i="63" s="1"/>
  <c r="DI12" i="63"/>
  <c r="DL12" i="63" s="1"/>
  <c r="DH12" i="63"/>
  <c r="DK12" i="63" s="1"/>
  <c r="DJ11" i="63"/>
  <c r="DM11" i="63" s="1"/>
  <c r="DI11" i="63"/>
  <c r="DL11" i="63" s="1"/>
  <c r="DH11" i="63"/>
  <c r="DK11" i="63" s="1"/>
  <c r="DJ10" i="63"/>
  <c r="DM10" i="63" s="1"/>
  <c r="DI10" i="63"/>
  <c r="DL10" i="63" s="1"/>
  <c r="DH10" i="63"/>
  <c r="DK10" i="63" s="1"/>
  <c r="DJ9" i="63"/>
  <c r="DM9" i="63" s="1"/>
  <c r="DI9" i="63"/>
  <c r="DL9" i="63" s="1"/>
  <c r="DH9" i="63"/>
  <c r="DK9" i="63" s="1"/>
  <c r="DK11" i="41"/>
  <c r="DK35" i="41"/>
  <c r="DJ13" i="41"/>
  <c r="DJ12" i="41"/>
  <c r="DM12" i="41" s="1"/>
  <c r="DJ14" i="41"/>
  <c r="DM14" i="41" s="1"/>
  <c r="DJ15" i="41"/>
  <c r="DJ16" i="41"/>
  <c r="DM16" i="41" s="1"/>
  <c r="DJ17" i="41"/>
  <c r="DM17" i="41" s="1"/>
  <c r="DJ18" i="41"/>
  <c r="DM18" i="41" s="1"/>
  <c r="DJ19" i="41"/>
  <c r="DJ20" i="41"/>
  <c r="DM20" i="41" s="1"/>
  <c r="DJ21" i="41"/>
  <c r="DM21" i="41" s="1"/>
  <c r="DJ22" i="41"/>
  <c r="DM22" i="41" s="1"/>
  <c r="DJ23" i="41"/>
  <c r="DM23" i="41" s="1"/>
  <c r="DJ24" i="41"/>
  <c r="DJ25" i="41"/>
  <c r="DM25" i="41" s="1"/>
  <c r="DJ26" i="41"/>
  <c r="DJ27" i="41"/>
  <c r="DM27" i="41" s="1"/>
  <c r="DJ28" i="41"/>
  <c r="DM28" i="41" s="1"/>
  <c r="DJ29" i="41"/>
  <c r="DJ30" i="41"/>
  <c r="DM30" i="41" s="1"/>
  <c r="DJ31" i="41"/>
  <c r="DM31" i="41" s="1"/>
  <c r="DJ32" i="41"/>
  <c r="DJ33" i="41"/>
  <c r="DM33" i="41" s="1"/>
  <c r="DJ34" i="41"/>
  <c r="DM34" i="41" s="1"/>
  <c r="DJ35" i="41"/>
  <c r="DM35" i="41" s="1"/>
  <c r="DJ36" i="41"/>
  <c r="DM36" i="41" s="1"/>
  <c r="DJ37" i="41"/>
  <c r="DJ38" i="41"/>
  <c r="DM38" i="41" s="1"/>
  <c r="DJ39" i="41"/>
  <c r="DJ40" i="41"/>
  <c r="DJ10" i="41"/>
  <c r="DM10" i="41" s="1"/>
  <c r="DI11" i="41"/>
  <c r="DL11" i="41" s="1"/>
  <c r="DI12" i="41"/>
  <c r="DL12" i="41" s="1"/>
  <c r="DI13" i="41"/>
  <c r="DI14" i="41"/>
  <c r="DL14" i="41" s="1"/>
  <c r="DI15" i="41"/>
  <c r="DI16" i="41"/>
  <c r="DL16" i="41" s="1"/>
  <c r="DI17" i="41"/>
  <c r="DL17" i="41" s="1"/>
  <c r="DI18" i="41"/>
  <c r="DL18" i="41" s="1"/>
  <c r="DI19" i="41"/>
  <c r="DL19" i="41" s="1"/>
  <c r="DI20" i="41"/>
  <c r="DL20" i="41" s="1"/>
  <c r="DI21" i="41"/>
  <c r="DL21" i="41" s="1"/>
  <c r="DI22" i="41"/>
  <c r="DI23" i="41"/>
  <c r="DI24" i="41"/>
  <c r="DL24" i="41" s="1"/>
  <c r="DI25" i="41"/>
  <c r="DL25" i="41" s="1"/>
  <c r="DI26" i="41"/>
  <c r="DL26" i="41" s="1"/>
  <c r="DI27" i="41"/>
  <c r="DL27" i="41" s="1"/>
  <c r="DI28" i="41"/>
  <c r="DL28" i="41" s="1"/>
  <c r="DI29" i="41"/>
  <c r="DL29" i="41" s="1"/>
  <c r="DI30" i="41"/>
  <c r="DI31" i="41"/>
  <c r="DL31" i="41" s="1"/>
  <c r="DI32" i="41"/>
  <c r="DI33" i="41"/>
  <c r="DI34" i="41"/>
  <c r="DL34" i="41" s="1"/>
  <c r="DI35" i="41"/>
  <c r="DL35" i="41" s="1"/>
  <c r="DI36" i="41"/>
  <c r="DI37" i="41"/>
  <c r="DI38" i="41"/>
  <c r="DL38" i="41" s="1"/>
  <c r="DI39" i="41"/>
  <c r="DI40" i="41"/>
  <c r="DI10" i="41"/>
  <c r="DL22" i="41"/>
  <c r="DL30" i="41"/>
  <c r="DL15" i="41"/>
  <c r="DM15" i="41"/>
  <c r="DM24" i="41"/>
  <c r="DM26" i="41"/>
  <c r="DM29" i="41"/>
  <c r="DL32" i="41"/>
  <c r="DM32" i="41"/>
  <c r="DL33" i="41"/>
  <c r="DL36" i="41"/>
  <c r="DL37" i="41"/>
  <c r="DM37" i="41"/>
  <c r="DM39" i="41"/>
  <c r="DL40" i="41"/>
  <c r="DM40" i="41"/>
  <c r="DL41" i="41"/>
  <c r="DN41" i="41" s="1"/>
  <c r="DM41" i="41"/>
  <c r="DL10" i="41"/>
  <c r="DJ11" i="41"/>
  <c r="DM11" i="41" s="1"/>
  <c r="DM13" i="41"/>
  <c r="DH11" i="41"/>
  <c r="DH12" i="41"/>
  <c r="DK12" i="41" s="1"/>
  <c r="DH13" i="41"/>
  <c r="DK13" i="41" s="1"/>
  <c r="DH14" i="41"/>
  <c r="DK14" i="41" s="1"/>
  <c r="DH15" i="41"/>
  <c r="DK15" i="41" s="1"/>
  <c r="DH16" i="41"/>
  <c r="DK16" i="41" s="1"/>
  <c r="DH17" i="41"/>
  <c r="DK17" i="41" s="1"/>
  <c r="DN17" i="41" s="1"/>
  <c r="D10" i="24" s="1"/>
  <c r="DH18" i="41"/>
  <c r="DK18" i="41" s="1"/>
  <c r="DH19" i="41"/>
  <c r="DK19" i="41" s="1"/>
  <c r="DH20" i="41"/>
  <c r="DK20" i="41" s="1"/>
  <c r="DN20" i="41" s="1"/>
  <c r="D13" i="24" s="1"/>
  <c r="DH21" i="41"/>
  <c r="DK21" i="41" s="1"/>
  <c r="DH22" i="41"/>
  <c r="DK22" i="41" s="1"/>
  <c r="DN22" i="41" s="1"/>
  <c r="D15" i="24" s="1"/>
  <c r="DH23" i="41"/>
  <c r="DK23" i="41" s="1"/>
  <c r="DH24" i="41"/>
  <c r="DK24" i="41" s="1"/>
  <c r="DN24" i="41" s="1"/>
  <c r="D17" i="24" s="1"/>
  <c r="DH25" i="41"/>
  <c r="DK25" i="41" s="1"/>
  <c r="DH26" i="41"/>
  <c r="DK26" i="41" s="1"/>
  <c r="DN26" i="41" s="1"/>
  <c r="D19" i="24" s="1"/>
  <c r="DH27" i="41"/>
  <c r="DK27" i="41" s="1"/>
  <c r="DH28" i="41"/>
  <c r="DK28" i="41" s="1"/>
  <c r="DH29" i="41"/>
  <c r="DK29" i="41" s="1"/>
  <c r="DN29" i="41" s="1"/>
  <c r="D22" i="24" s="1"/>
  <c r="DH30" i="41"/>
  <c r="DK30" i="41" s="1"/>
  <c r="DN30" i="41" s="1"/>
  <c r="D23" i="24" s="1"/>
  <c r="DH31" i="41"/>
  <c r="DK31" i="41" s="1"/>
  <c r="DH32" i="41"/>
  <c r="DK32" i="41" s="1"/>
  <c r="DN32" i="41" s="1"/>
  <c r="D25" i="24" s="1"/>
  <c r="DH33" i="41"/>
  <c r="DK33" i="41" s="1"/>
  <c r="DN33" i="41" s="1"/>
  <c r="D26" i="24" s="1"/>
  <c r="DH34" i="41"/>
  <c r="DK34" i="41" s="1"/>
  <c r="DH35" i="41"/>
  <c r="DH36" i="41"/>
  <c r="DK36" i="41" s="1"/>
  <c r="DN36" i="41" s="1"/>
  <c r="D29" i="24" s="1"/>
  <c r="DH37" i="41"/>
  <c r="DK37" i="41" s="1"/>
  <c r="DN37" i="41" s="1"/>
  <c r="D30" i="24" s="1"/>
  <c r="DH38" i="41"/>
  <c r="DK38" i="41" s="1"/>
  <c r="DH39" i="41"/>
  <c r="DK39" i="41" s="1"/>
  <c r="DH40" i="41"/>
  <c r="DK40" i="41" s="1"/>
  <c r="DN40" i="41" s="1"/>
  <c r="D33" i="24" s="1"/>
  <c r="DH10" i="41"/>
  <c r="DK10" i="41" s="1"/>
  <c r="DN10" i="41" s="1"/>
  <c r="D3" i="24" s="1"/>
  <c r="AC34" i="25"/>
  <c r="X34" i="25"/>
  <c r="S34" i="25"/>
  <c r="N34" i="25"/>
  <c r="I34" i="25"/>
  <c r="D34" i="25"/>
  <c r="AC34" i="24"/>
  <c r="X34" i="24"/>
  <c r="S34" i="24"/>
  <c r="D34" i="24"/>
  <c r="I34" i="24"/>
  <c r="J34" i="24"/>
  <c r="K34" i="24"/>
  <c r="N34" i="24"/>
  <c r="A35" i="24"/>
  <c r="O34" i="24"/>
  <c r="A1" i="24"/>
  <c r="A1" i="25" s="1"/>
  <c r="C31" i="25"/>
  <c r="B5" i="21"/>
  <c r="AA31" i="23"/>
  <c r="G16" i="50"/>
  <c r="G15" i="50"/>
  <c r="G14" i="50"/>
  <c r="G13" i="50"/>
  <c r="G12" i="50"/>
  <c r="G11" i="50"/>
  <c r="G10" i="50"/>
  <c r="G9" i="50"/>
  <c r="G8" i="50"/>
  <c r="G6" i="50"/>
  <c r="G5" i="50"/>
  <c r="G7" i="50"/>
  <c r="A6" i="41"/>
  <c r="A5" i="63"/>
  <c r="DN31" i="41" l="1"/>
  <c r="D24" i="24" s="1"/>
  <c r="DN25" i="41"/>
  <c r="D18" i="24" s="1"/>
  <c r="DN18" i="41"/>
  <c r="D11" i="24" s="1"/>
  <c r="DN16" i="41"/>
  <c r="D9" i="24" s="1"/>
  <c r="P17" i="43"/>
  <c r="B9" i="47"/>
  <c r="DN15" i="41"/>
  <c r="D8" i="24" s="1"/>
  <c r="DN12" i="41"/>
  <c r="D5" i="24" s="1"/>
  <c r="DN28" i="41"/>
  <c r="D21" i="24" s="1"/>
  <c r="DN38" i="41"/>
  <c r="D31" i="24" s="1"/>
  <c r="DN18" i="63"/>
  <c r="I12" i="24" s="1"/>
  <c r="DN22" i="63"/>
  <c r="I16" i="24" s="1"/>
  <c r="DN13" i="63"/>
  <c r="I7" i="24" s="1"/>
  <c r="DN24" i="63"/>
  <c r="I18" i="24" s="1"/>
  <c r="DN19" i="63"/>
  <c r="I13" i="24" s="1"/>
  <c r="DN32" i="63"/>
  <c r="I26" i="24" s="1"/>
  <c r="DN11" i="63"/>
  <c r="I5" i="24" s="1"/>
  <c r="DN25" i="63"/>
  <c r="I19" i="24" s="1"/>
  <c r="DN34" i="63"/>
  <c r="I28" i="24" s="1"/>
  <c r="DN36" i="63"/>
  <c r="I30" i="24" s="1"/>
  <c r="DN29" i="63"/>
  <c r="I23" i="24" s="1"/>
  <c r="DN37" i="63"/>
  <c r="I31" i="24" s="1"/>
  <c r="G17" i="50"/>
  <c r="DN10" i="63"/>
  <c r="I4" i="24" s="1"/>
  <c r="DN15" i="63"/>
  <c r="I9" i="24" s="1"/>
  <c r="DN35" i="63"/>
  <c r="I29" i="24" s="1"/>
  <c r="DN26" i="63"/>
  <c r="I20" i="24" s="1"/>
  <c r="DN21" i="63"/>
  <c r="I15" i="24" s="1"/>
  <c r="DN30" i="63"/>
  <c r="I24" i="24" s="1"/>
  <c r="DN35" i="41"/>
  <c r="D28" i="24" s="1"/>
  <c r="DN14" i="41"/>
  <c r="D7" i="24" s="1"/>
  <c r="DN11" i="41"/>
  <c r="D4" i="24" s="1"/>
  <c r="DN21" i="41"/>
  <c r="D14" i="24" s="1"/>
  <c r="DN27" i="41"/>
  <c r="D20" i="24" s="1"/>
  <c r="DN27" i="63"/>
  <c r="I21" i="24" s="1"/>
  <c r="DN16" i="63"/>
  <c r="I10" i="24" s="1"/>
  <c r="DN14" i="63"/>
  <c r="I8" i="24" s="1"/>
  <c r="DN12" i="63"/>
  <c r="I6" i="24" s="1"/>
  <c r="DN9" i="63"/>
  <c r="I3" i="24" s="1"/>
  <c r="DN34" i="41"/>
  <c r="D27" i="24" s="1"/>
  <c r="DN39" i="63"/>
  <c r="DM19" i="41"/>
  <c r="DN19" i="41" s="1"/>
  <c r="D12" i="24" s="1"/>
  <c r="DL39" i="41"/>
  <c r="DN39" i="41" s="1"/>
  <c r="D32" i="24" s="1"/>
  <c r="DL23" i="41"/>
  <c r="DN23" i="41" s="1"/>
  <c r="D16" i="24" s="1"/>
  <c r="DL13" i="41"/>
  <c r="DN13" i="41" s="1"/>
  <c r="D6" i="24" s="1"/>
  <c r="I53" i="63"/>
  <c r="I61" i="63" s="1"/>
  <c r="I54" i="64" s="1"/>
  <c r="I62" i="64" s="1"/>
  <c r="I53" i="65" s="1"/>
  <c r="H62" i="41"/>
  <c r="H53" i="63" s="1"/>
  <c r="H61" i="63" s="1"/>
  <c r="H54" i="64" s="1"/>
  <c r="AA9" i="68"/>
  <c r="D74" i="68"/>
  <c r="D63" i="68"/>
  <c r="D62" i="68"/>
  <c r="CY35" i="68"/>
  <c r="CZ35" i="68"/>
  <c r="DA35" i="68"/>
  <c r="DB35" i="68"/>
  <c r="DC35" i="68"/>
  <c r="DD35" i="68"/>
  <c r="DE35" i="68"/>
  <c r="DF35" i="68"/>
  <c r="CY36" i="68"/>
  <c r="CZ36" i="68"/>
  <c r="DA36" i="68"/>
  <c r="DB36" i="68"/>
  <c r="DC36" i="68"/>
  <c r="DD36" i="68"/>
  <c r="DE36" i="68"/>
  <c r="DF36" i="68"/>
  <c r="CB35" i="68"/>
  <c r="CC35" i="68"/>
  <c r="CB36" i="68"/>
  <c r="CC36" i="68"/>
  <c r="BC35" i="68"/>
  <c r="BD35" i="68"/>
  <c r="BE35" i="68"/>
  <c r="BF35" i="68"/>
  <c r="BC36" i="68"/>
  <c r="BD36" i="68"/>
  <c r="BE36" i="68"/>
  <c r="BF36" i="68"/>
  <c r="Z36" i="68"/>
  <c r="AA36" i="68"/>
  <c r="AB36" i="68"/>
  <c r="AC36" i="68"/>
  <c r="AD36" i="68"/>
  <c r="AE36" i="68"/>
  <c r="AF36" i="68"/>
  <c r="Y36" i="68"/>
  <c r="FP9" i="68" l="1"/>
  <c r="FR9" i="68"/>
  <c r="Q17" i="43"/>
  <c r="A10" i="47"/>
  <c r="FR36" i="68"/>
  <c r="FP36" i="68"/>
  <c r="FJ36" i="68"/>
  <c r="FL36" i="68"/>
  <c r="I6" i="50"/>
  <c r="I61" i="65"/>
  <c r="I54" i="66" s="1"/>
  <c r="DG36" i="68"/>
  <c r="DG35" i="68"/>
  <c r="A6" i="66"/>
  <c r="A6" i="65"/>
  <c r="A6" i="64"/>
  <c r="A6" i="63"/>
  <c r="P18" i="43" l="1"/>
  <c r="B10" i="47"/>
  <c r="H62" i="64"/>
  <c r="H53" i="65" s="1"/>
  <c r="I8" i="50"/>
  <c r="K6" i="50"/>
  <c r="K25" i="50" s="1"/>
  <c r="I25" i="50"/>
  <c r="I7" i="50"/>
  <c r="I80" i="1"/>
  <c r="I89" i="1" s="1"/>
  <c r="I98" i="1" s="1"/>
  <c r="B10" i="1"/>
  <c r="C3" i="74"/>
  <c r="Q18" i="43" l="1"/>
  <c r="A11" i="47"/>
  <c r="I62" i="66"/>
  <c r="I54" i="67" s="1"/>
  <c r="I62" i="67" s="1"/>
  <c r="I52" i="68" s="1"/>
  <c r="I60" i="68" s="1"/>
  <c r="I54" i="69" s="1"/>
  <c r="H61" i="65"/>
  <c r="H54" i="66" s="1"/>
  <c r="K8" i="50"/>
  <c r="K33" i="50" s="1"/>
  <c r="I33" i="50"/>
  <c r="K7" i="50"/>
  <c r="K26" i="50" s="1"/>
  <c r="I26" i="50"/>
  <c r="I9" i="50"/>
  <c r="X40" i="73"/>
  <c r="W40" i="73"/>
  <c r="J37" i="61" s="1"/>
  <c r="V40" i="73"/>
  <c r="X40" i="71"/>
  <c r="W40" i="71"/>
  <c r="J35" i="61" s="1"/>
  <c r="V40" i="71"/>
  <c r="X40" i="69"/>
  <c r="W40" i="69"/>
  <c r="J33" i="61" s="1"/>
  <c r="V40" i="69"/>
  <c r="X40" i="67"/>
  <c r="W40" i="67"/>
  <c r="J31" i="61" s="1"/>
  <c r="V40" i="67"/>
  <c r="X40" i="66"/>
  <c r="W40" i="66"/>
  <c r="J30" i="61" s="1"/>
  <c r="V40" i="66"/>
  <c r="A51" i="64"/>
  <c r="A49" i="64"/>
  <c r="A47" i="64"/>
  <c r="A47" i="63"/>
  <c r="I50" i="73" l="1"/>
  <c r="I50" i="69"/>
  <c r="P19" i="43"/>
  <c r="B11" i="47"/>
  <c r="I50" i="71"/>
  <c r="I50" i="67"/>
  <c r="I50" i="66"/>
  <c r="I10" i="50"/>
  <c r="I35" i="50" s="1"/>
  <c r="H62" i="66"/>
  <c r="I62" i="69"/>
  <c r="I53" i="70" s="1"/>
  <c r="I11" i="50"/>
  <c r="I34" i="50"/>
  <c r="K9" i="50"/>
  <c r="K34" i="50" s="1"/>
  <c r="Q19" i="43" l="1"/>
  <c r="A12" i="47"/>
  <c r="K10" i="50"/>
  <c r="K35" i="50" s="1"/>
  <c r="H60" i="68"/>
  <c r="H54" i="69" s="1"/>
  <c r="I42" i="50"/>
  <c r="K11" i="50"/>
  <c r="K42" i="50" s="1"/>
  <c r="I61" i="70"/>
  <c r="I12" i="50"/>
  <c r="P20" i="43" l="1"/>
  <c r="B12" i="47"/>
  <c r="H62" i="69"/>
  <c r="H53" i="70" s="1"/>
  <c r="I43" i="50"/>
  <c r="K12" i="50"/>
  <c r="K43" i="50" s="1"/>
  <c r="I61" i="72"/>
  <c r="I54" i="73" s="1"/>
  <c r="I13" i="50"/>
  <c r="Q20" i="43" l="1"/>
  <c r="A13" i="47"/>
  <c r="P24" i="43"/>
  <c r="Q24" i="43" s="1"/>
  <c r="P25" i="43" s="1"/>
  <c r="Q25" i="43" s="1"/>
  <c r="P26" i="43" s="1"/>
  <c r="Q26" i="43" s="1"/>
  <c r="P27" i="43" s="1"/>
  <c r="Q27" i="43" s="1"/>
  <c r="P28" i="43" s="1"/>
  <c r="Q28" i="43" s="1"/>
  <c r="P29" i="43" s="1"/>
  <c r="Q29" i="43" s="1"/>
  <c r="I62" i="73"/>
  <c r="I15" i="50"/>
  <c r="H61" i="70"/>
  <c r="H54" i="71" s="1"/>
  <c r="K13" i="50"/>
  <c r="K44" i="50" s="1"/>
  <c r="I44" i="50"/>
  <c r="K51" i="50"/>
  <c r="P21" i="43" l="1"/>
  <c r="B13" i="47"/>
  <c r="H62" i="71"/>
  <c r="H53" i="72" s="1"/>
  <c r="I52" i="50"/>
  <c r="K15" i="50"/>
  <c r="K52" i="50" s="1"/>
  <c r="I16" i="50"/>
  <c r="A36"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X39" i="72"/>
  <c r="W39" i="72"/>
  <c r="J36" i="61" s="1"/>
  <c r="V39" i="72"/>
  <c r="X39" i="70"/>
  <c r="W39" i="70"/>
  <c r="J34" i="61" s="1"/>
  <c r="V39" i="70"/>
  <c r="X39" i="65"/>
  <c r="W39" i="65"/>
  <c r="J29" i="61" s="1"/>
  <c r="V39" i="65"/>
  <c r="V40" i="64"/>
  <c r="X40" i="64"/>
  <c r="W40" i="64"/>
  <c r="J28" i="61" s="1"/>
  <c r="X39" i="63"/>
  <c r="W39" i="63"/>
  <c r="J27" i="61" s="1"/>
  <c r="V39" i="63"/>
  <c r="W41" i="41"/>
  <c r="J26" i="61" s="1"/>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13" i="72"/>
  <c r="AF12" i="72"/>
  <c r="AF11" i="72"/>
  <c r="AF10" i="72"/>
  <c r="AF9" i="72"/>
  <c r="AF38" i="70"/>
  <c r="AF37" i="70"/>
  <c r="AF36" i="70"/>
  <c r="AF35" i="70"/>
  <c r="AF34" i="70"/>
  <c r="AF33" i="70"/>
  <c r="AF32" i="70"/>
  <c r="AF31" i="70"/>
  <c r="AF30" i="70"/>
  <c r="AF29" i="70"/>
  <c r="AF28" i="70"/>
  <c r="AF27" i="70"/>
  <c r="AF26" i="70"/>
  <c r="AF25" i="70"/>
  <c r="AF24" i="70"/>
  <c r="AF23" i="70"/>
  <c r="AF22" i="70"/>
  <c r="AF21" i="70"/>
  <c r="AF20" i="70"/>
  <c r="AF19" i="70"/>
  <c r="AF18" i="70"/>
  <c r="AF17" i="70"/>
  <c r="AF16" i="70"/>
  <c r="AF15" i="70"/>
  <c r="AF14" i="70"/>
  <c r="AF13" i="70"/>
  <c r="AF12" i="70"/>
  <c r="AF11" i="70"/>
  <c r="AF10" i="70"/>
  <c r="AF9" i="70"/>
  <c r="AF35" i="68"/>
  <c r="AF34" i="68"/>
  <c r="AF33" i="68"/>
  <c r="AF32" i="68"/>
  <c r="AF31" i="68"/>
  <c r="AF30" i="68"/>
  <c r="AF29" i="68"/>
  <c r="AF28" i="68"/>
  <c r="AF27" i="68"/>
  <c r="AF26" i="68"/>
  <c r="AF25" i="68"/>
  <c r="AF24" i="68"/>
  <c r="AF23" i="68"/>
  <c r="AF22" i="68"/>
  <c r="AF21" i="68"/>
  <c r="AF20" i="68"/>
  <c r="AF19" i="68"/>
  <c r="AF18" i="68"/>
  <c r="AF17" i="68"/>
  <c r="AF16" i="68"/>
  <c r="AF15" i="68"/>
  <c r="AF14" i="68"/>
  <c r="AF13" i="68"/>
  <c r="AF12" i="68"/>
  <c r="AF11" i="68"/>
  <c r="AF10" i="68"/>
  <c r="AF9" i="68"/>
  <c r="AF39" i="73"/>
  <c r="AF38" i="73"/>
  <c r="AF37" i="73"/>
  <c r="AF36" i="73"/>
  <c r="AF35" i="73"/>
  <c r="AF34" i="73"/>
  <c r="AF33" i="73"/>
  <c r="AF32" i="73"/>
  <c r="AF31" i="73"/>
  <c r="AF30" i="73"/>
  <c r="AF29" i="73"/>
  <c r="AF28" i="73"/>
  <c r="AF27" i="73"/>
  <c r="AF26" i="73"/>
  <c r="AF25" i="73"/>
  <c r="AF24" i="73"/>
  <c r="AF23" i="73"/>
  <c r="AF22" i="73"/>
  <c r="AF21" i="73"/>
  <c r="AF20" i="73"/>
  <c r="AF19" i="73"/>
  <c r="AF18" i="73"/>
  <c r="AF17" i="73"/>
  <c r="AF16" i="73"/>
  <c r="AF15" i="73"/>
  <c r="AF14" i="73"/>
  <c r="AF13" i="73"/>
  <c r="AF12" i="73"/>
  <c r="AF11" i="73"/>
  <c r="AF10" i="73"/>
  <c r="AF9" i="73"/>
  <c r="AF39" i="71"/>
  <c r="AF38" i="71"/>
  <c r="AF37" i="71"/>
  <c r="AF36" i="71"/>
  <c r="AF35" i="71"/>
  <c r="AF34" i="71"/>
  <c r="AF33" i="71"/>
  <c r="AF32" i="71"/>
  <c r="AF31" i="71"/>
  <c r="AF30" i="71"/>
  <c r="AF29" i="71"/>
  <c r="AF28" i="71"/>
  <c r="AF27" i="71"/>
  <c r="AF26" i="71"/>
  <c r="AF25" i="71"/>
  <c r="AF24" i="71"/>
  <c r="AF23" i="71"/>
  <c r="AF22" i="71"/>
  <c r="AF21" i="71"/>
  <c r="AF20" i="71"/>
  <c r="AF19" i="71"/>
  <c r="AF18" i="71"/>
  <c r="AF17" i="71"/>
  <c r="AF16" i="71"/>
  <c r="AF15" i="71"/>
  <c r="AF14" i="71"/>
  <c r="AF13" i="71"/>
  <c r="AF12" i="71"/>
  <c r="AF11" i="71"/>
  <c r="AF10" i="71"/>
  <c r="AF9" i="71"/>
  <c r="AF39" i="69"/>
  <c r="AF38" i="69"/>
  <c r="AF37" i="69"/>
  <c r="AF36" i="69"/>
  <c r="AF35" i="69"/>
  <c r="AF34" i="69"/>
  <c r="AF33" i="69"/>
  <c r="AF32" i="69"/>
  <c r="AF31" i="69"/>
  <c r="AF30" i="69"/>
  <c r="AF29" i="69"/>
  <c r="AF28" i="69"/>
  <c r="AF27" i="69"/>
  <c r="AF26" i="69"/>
  <c r="AF25" i="69"/>
  <c r="AF24" i="69"/>
  <c r="AF23" i="69"/>
  <c r="AF22" i="69"/>
  <c r="AF21" i="69"/>
  <c r="AF20" i="69"/>
  <c r="AF19" i="69"/>
  <c r="AF18" i="69"/>
  <c r="AF17" i="69"/>
  <c r="AF16" i="69"/>
  <c r="AF15" i="69"/>
  <c r="AF14" i="69"/>
  <c r="AF13" i="69"/>
  <c r="AF12" i="69"/>
  <c r="AF11" i="69"/>
  <c r="AF10" i="69"/>
  <c r="AF9" i="69"/>
  <c r="AF39" i="67"/>
  <c r="AF38" i="67"/>
  <c r="AF37" i="67"/>
  <c r="AF36" i="67"/>
  <c r="AF35" i="67"/>
  <c r="AF34" i="67"/>
  <c r="AF33" i="67"/>
  <c r="AF32" i="67"/>
  <c r="AF31" i="67"/>
  <c r="AF30" i="67"/>
  <c r="AF29" i="67"/>
  <c r="AF28" i="67"/>
  <c r="AF27" i="67"/>
  <c r="AF26" i="67"/>
  <c r="AF25" i="67"/>
  <c r="AF24" i="67"/>
  <c r="AF23" i="67"/>
  <c r="AF22" i="67"/>
  <c r="AF21" i="67"/>
  <c r="AF20" i="67"/>
  <c r="AF19" i="67"/>
  <c r="AF18" i="67"/>
  <c r="AF17" i="67"/>
  <c r="AF16" i="67"/>
  <c r="AF15" i="67"/>
  <c r="AF14" i="67"/>
  <c r="AF13" i="67"/>
  <c r="AF12" i="67"/>
  <c r="AF11" i="67"/>
  <c r="AF10" i="67"/>
  <c r="AF9" i="67"/>
  <c r="AF39" i="66"/>
  <c r="AF38" i="66"/>
  <c r="AF37" i="66"/>
  <c r="AF36" i="66"/>
  <c r="AF35" i="66"/>
  <c r="AF34" i="66"/>
  <c r="AF33" i="66"/>
  <c r="AF32" i="66"/>
  <c r="AF31" i="66"/>
  <c r="AF30" i="66"/>
  <c r="AF29" i="66"/>
  <c r="AF28" i="66"/>
  <c r="AF27" i="66"/>
  <c r="AF26" i="66"/>
  <c r="AF25" i="66"/>
  <c r="AF24" i="66"/>
  <c r="AF23" i="66"/>
  <c r="AF22" i="66"/>
  <c r="AF21" i="66"/>
  <c r="AF20" i="66"/>
  <c r="AF19" i="66"/>
  <c r="AF18" i="66"/>
  <c r="AF17" i="66"/>
  <c r="AF16" i="66"/>
  <c r="AF15" i="66"/>
  <c r="AF14" i="66"/>
  <c r="AF12" i="66"/>
  <c r="AF11" i="66"/>
  <c r="AF10" i="66"/>
  <c r="AF9" i="66"/>
  <c r="AF10" i="65"/>
  <c r="AF11" i="65"/>
  <c r="AF12" i="65"/>
  <c r="AF13" i="65"/>
  <c r="AF14" i="65"/>
  <c r="AF15" i="65"/>
  <c r="AF16" i="65"/>
  <c r="AF17" i="65"/>
  <c r="AF18" i="65"/>
  <c r="AF19" i="65"/>
  <c r="AF20" i="65"/>
  <c r="AF21" i="65"/>
  <c r="AF22" i="65"/>
  <c r="AF23" i="65"/>
  <c r="AF24" i="65"/>
  <c r="AF25" i="65"/>
  <c r="AF26" i="65"/>
  <c r="AF27" i="65"/>
  <c r="AF28" i="65"/>
  <c r="AF29" i="65"/>
  <c r="AF30" i="65"/>
  <c r="AF31" i="65"/>
  <c r="AF32" i="65"/>
  <c r="AF33" i="65"/>
  <c r="AF34" i="65"/>
  <c r="AF35" i="65"/>
  <c r="AF36" i="65"/>
  <c r="AF37" i="65"/>
  <c r="AF38" i="65"/>
  <c r="AF9" i="65"/>
  <c r="AF10" i="64"/>
  <c r="AF11" i="64"/>
  <c r="AF12" i="64"/>
  <c r="AF13" i="64"/>
  <c r="AF14" i="64"/>
  <c r="AF15" i="64"/>
  <c r="AF16" i="64"/>
  <c r="AF17" i="64"/>
  <c r="AF18" i="64"/>
  <c r="AF19" i="64"/>
  <c r="AF20" i="64"/>
  <c r="AF21" i="64"/>
  <c r="AF22" i="64"/>
  <c r="AF23" i="64"/>
  <c r="AF24" i="64"/>
  <c r="AF25" i="64"/>
  <c r="AF26" i="64"/>
  <c r="AF27" i="64"/>
  <c r="AF28" i="64"/>
  <c r="AF29" i="64"/>
  <c r="AF30" i="64"/>
  <c r="AF31" i="64"/>
  <c r="AF32" i="64"/>
  <c r="AF33" i="64"/>
  <c r="AF34" i="64"/>
  <c r="AF35" i="64"/>
  <c r="AF36" i="64"/>
  <c r="AF37" i="64"/>
  <c r="AF38" i="64"/>
  <c r="AF39" i="64"/>
  <c r="AF9" i="64"/>
  <c r="AF10" i="63"/>
  <c r="AF11" i="63"/>
  <c r="AF12" i="63"/>
  <c r="AF13" i="63"/>
  <c r="AF14" i="63"/>
  <c r="AF15" i="63"/>
  <c r="AF16" i="63"/>
  <c r="AF17" i="63"/>
  <c r="AF18" i="63"/>
  <c r="AF19" i="63"/>
  <c r="AF20" i="63"/>
  <c r="AF21" i="63"/>
  <c r="AF22" i="63"/>
  <c r="AF23" i="63"/>
  <c r="AF24" i="63"/>
  <c r="AF25" i="63"/>
  <c r="AF26" i="63"/>
  <c r="AF27" i="63"/>
  <c r="AF28" i="63"/>
  <c r="AF29" i="63"/>
  <c r="AF30" i="63"/>
  <c r="AF31" i="63"/>
  <c r="AF32" i="63"/>
  <c r="AF33" i="63"/>
  <c r="AF34" i="63"/>
  <c r="AF35" i="63"/>
  <c r="AF36" i="63"/>
  <c r="AF37" i="63"/>
  <c r="AF38" i="63"/>
  <c r="AF9" i="63"/>
  <c r="AF11" i="41"/>
  <c r="AF12" i="41"/>
  <c r="AF13" i="41"/>
  <c r="AF14" i="41"/>
  <c r="AF15" i="41"/>
  <c r="AF16" i="41"/>
  <c r="AF17" i="41"/>
  <c r="AF18" i="41"/>
  <c r="AF19" i="41"/>
  <c r="AF20" i="41"/>
  <c r="AF21" i="41"/>
  <c r="AF22" i="41"/>
  <c r="AF23" i="41"/>
  <c r="AF24" i="41"/>
  <c r="AF25" i="41"/>
  <c r="AF26" i="41"/>
  <c r="AF27" i="41"/>
  <c r="AF28" i="41"/>
  <c r="AF29" i="41"/>
  <c r="AF30" i="41"/>
  <c r="AF31" i="41"/>
  <c r="AF32" i="41"/>
  <c r="AF33" i="41"/>
  <c r="AF34" i="41"/>
  <c r="AF35" i="41"/>
  <c r="AF36" i="41"/>
  <c r="AF37" i="41"/>
  <c r="AF38" i="41"/>
  <c r="AF39" i="41"/>
  <c r="AF40" i="41"/>
  <c r="AF10" i="41"/>
  <c r="D76" i="41"/>
  <c r="D74" i="63"/>
  <c r="D75" i="64"/>
  <c r="D74" i="65"/>
  <c r="D75" i="66"/>
  <c r="D75" i="67"/>
  <c r="D73" i="68"/>
  <c r="D75" i="69"/>
  <c r="D74" i="70"/>
  <c r="D75" i="71"/>
  <c r="D75" i="73"/>
  <c r="D74" i="72"/>
  <c r="Q21" i="43" l="1"/>
  <c r="A14" i="47"/>
  <c r="I50" i="64"/>
  <c r="I49" i="63"/>
  <c r="I49" i="65"/>
  <c r="I49" i="70"/>
  <c r="I49" i="72"/>
  <c r="H61" i="72"/>
  <c r="H54" i="73" s="1"/>
  <c r="I53" i="50"/>
  <c r="K16" i="50"/>
  <c r="K53" i="50" s="1"/>
  <c r="AF38" i="68"/>
  <c r="AF40" i="69"/>
  <c r="AV37" i="23"/>
  <c r="I19" i="1" s="1"/>
  <c r="AF40" i="73"/>
  <c r="AF39" i="72"/>
  <c r="AF40" i="71"/>
  <c r="AF39" i="70"/>
  <c r="AF40" i="67"/>
  <c r="AF39" i="65"/>
  <c r="AF40" i="64"/>
  <c r="B14" i="47" l="1"/>
  <c r="H62" i="73"/>
  <c r="U39" i="24"/>
  <c r="U40" i="25"/>
  <c r="AU4" i="23"/>
  <c r="AB4" i="25" s="1"/>
  <c r="AU5" i="23"/>
  <c r="AB5" i="25" s="1"/>
  <c r="AU6" i="23"/>
  <c r="AB6" i="25" s="1"/>
  <c r="AU7" i="23"/>
  <c r="AB7" i="25" s="1"/>
  <c r="AU8" i="23"/>
  <c r="AB8" i="25" s="1"/>
  <c r="AU9" i="23"/>
  <c r="AB9" i="25" s="1"/>
  <c r="AU10" i="23"/>
  <c r="AB10" i="25" s="1"/>
  <c r="AU11" i="23"/>
  <c r="AB11" i="25" s="1"/>
  <c r="AU12" i="23"/>
  <c r="AB12" i="25" s="1"/>
  <c r="AU13" i="23"/>
  <c r="AB13" i="25" s="1"/>
  <c r="AU14" i="23"/>
  <c r="AB14" i="25" s="1"/>
  <c r="AU15" i="23"/>
  <c r="AB15" i="25" s="1"/>
  <c r="AU16" i="23"/>
  <c r="AB16" i="25" s="1"/>
  <c r="AU17" i="23"/>
  <c r="AB17" i="25" s="1"/>
  <c r="AU18" i="23"/>
  <c r="AB18" i="25" s="1"/>
  <c r="AU19" i="23"/>
  <c r="AB19" i="25" s="1"/>
  <c r="AU20" i="23"/>
  <c r="AB20" i="25" s="1"/>
  <c r="AU21" i="23"/>
  <c r="AB21" i="25" s="1"/>
  <c r="AU22" i="23"/>
  <c r="AB22" i="25" s="1"/>
  <c r="AU23" i="23"/>
  <c r="AB23" i="25" s="1"/>
  <c r="AU24" i="23"/>
  <c r="AB24" i="25" s="1"/>
  <c r="AU25" i="23"/>
  <c r="AB25" i="25" s="1"/>
  <c r="AU26" i="23"/>
  <c r="AB26" i="25" s="1"/>
  <c r="AU27" i="23"/>
  <c r="AB27" i="25" s="1"/>
  <c r="AU28" i="23"/>
  <c r="AB28" i="25" s="1"/>
  <c r="AU29" i="23"/>
  <c r="AB29" i="25" s="1"/>
  <c r="AU30" i="23"/>
  <c r="AB30" i="25" s="1"/>
  <c r="AU31" i="23"/>
  <c r="AB31" i="25" s="1"/>
  <c r="AU32" i="23"/>
  <c r="AB32" i="25" s="1"/>
  <c r="AU33" i="23"/>
  <c r="AB33" i="25" s="1"/>
  <c r="AU3" i="23"/>
  <c r="AB3" i="25" s="1"/>
  <c r="AQ4" i="23"/>
  <c r="W4" i="25" s="1"/>
  <c r="AQ5" i="23"/>
  <c r="W5" i="25" s="1"/>
  <c r="AQ6" i="23"/>
  <c r="W6" i="25" s="1"/>
  <c r="AQ7" i="23"/>
  <c r="W7" i="25" s="1"/>
  <c r="AQ8" i="23"/>
  <c r="W8" i="25" s="1"/>
  <c r="AQ9" i="23"/>
  <c r="W9" i="25" s="1"/>
  <c r="AQ10" i="23"/>
  <c r="W10" i="25" s="1"/>
  <c r="AQ11" i="23"/>
  <c r="W11" i="25" s="1"/>
  <c r="AQ12" i="23"/>
  <c r="W12" i="25" s="1"/>
  <c r="AQ13" i="23"/>
  <c r="W13" i="25" s="1"/>
  <c r="AQ14" i="23"/>
  <c r="W14" i="25" s="1"/>
  <c r="AQ15" i="23"/>
  <c r="W15" i="25" s="1"/>
  <c r="AQ16" i="23"/>
  <c r="W16" i="25" s="1"/>
  <c r="AQ17" i="23"/>
  <c r="W17" i="25" s="1"/>
  <c r="AQ18" i="23"/>
  <c r="W18" i="25" s="1"/>
  <c r="AQ19" i="23"/>
  <c r="W19" i="25" s="1"/>
  <c r="AQ20" i="23"/>
  <c r="W20" i="25" s="1"/>
  <c r="AQ21" i="23"/>
  <c r="W21" i="25" s="1"/>
  <c r="AQ22" i="23"/>
  <c r="W22" i="25" s="1"/>
  <c r="AQ23" i="23"/>
  <c r="W23" i="25" s="1"/>
  <c r="AQ24" i="23"/>
  <c r="W24" i="25" s="1"/>
  <c r="AQ25" i="23"/>
  <c r="W25" i="25" s="1"/>
  <c r="AQ26" i="23"/>
  <c r="W26" i="25" s="1"/>
  <c r="AQ27" i="23"/>
  <c r="W27" i="25" s="1"/>
  <c r="AQ28" i="23"/>
  <c r="W28" i="25" s="1"/>
  <c r="AQ29" i="23"/>
  <c r="W29" i="25" s="1"/>
  <c r="AQ30" i="23"/>
  <c r="W30" i="25" s="1"/>
  <c r="AQ31" i="23"/>
  <c r="W31" i="25" s="1"/>
  <c r="AQ32" i="23"/>
  <c r="W32" i="25" s="1"/>
  <c r="AQ3" i="23"/>
  <c r="W3" i="25" s="1"/>
  <c r="AM3" i="23"/>
  <c r="R3" i="25" s="1"/>
  <c r="AM4" i="23"/>
  <c r="R4" i="25" s="1"/>
  <c r="AM5" i="23"/>
  <c r="R5" i="25" s="1"/>
  <c r="AM6" i="23"/>
  <c r="R6" i="25" s="1"/>
  <c r="AM7" i="23"/>
  <c r="R7" i="25" s="1"/>
  <c r="AM8" i="23"/>
  <c r="R8" i="25" s="1"/>
  <c r="AM9" i="23"/>
  <c r="R9" i="25" s="1"/>
  <c r="AM10" i="23"/>
  <c r="R10" i="25" s="1"/>
  <c r="AM11" i="23"/>
  <c r="R11" i="25" s="1"/>
  <c r="AM12" i="23"/>
  <c r="R12" i="25" s="1"/>
  <c r="AM13" i="23"/>
  <c r="R13" i="25" s="1"/>
  <c r="AM14" i="23"/>
  <c r="R14" i="25" s="1"/>
  <c r="AM15" i="23"/>
  <c r="R15" i="25" s="1"/>
  <c r="AM16" i="23"/>
  <c r="R16" i="25" s="1"/>
  <c r="AM17" i="23"/>
  <c r="R17" i="25" s="1"/>
  <c r="AM18" i="23"/>
  <c r="R18" i="25" s="1"/>
  <c r="AM19" i="23"/>
  <c r="R19" i="25" s="1"/>
  <c r="AM20" i="23"/>
  <c r="R20" i="25" s="1"/>
  <c r="AM21" i="23"/>
  <c r="R21" i="25" s="1"/>
  <c r="AM22" i="23"/>
  <c r="R22" i="25" s="1"/>
  <c r="AM23" i="23"/>
  <c r="R23" i="25" s="1"/>
  <c r="AM24" i="23"/>
  <c r="R24" i="25" s="1"/>
  <c r="AM25" i="23"/>
  <c r="R25" i="25" s="1"/>
  <c r="AM26" i="23"/>
  <c r="R26" i="25" s="1"/>
  <c r="AM27" i="23"/>
  <c r="R27" i="25" s="1"/>
  <c r="AM28" i="23"/>
  <c r="R28" i="25" s="1"/>
  <c r="AM29" i="23"/>
  <c r="R29" i="25" s="1"/>
  <c r="AM30" i="23"/>
  <c r="R30" i="25" s="1"/>
  <c r="AM31" i="23"/>
  <c r="R31" i="25" s="1"/>
  <c r="AM32" i="23"/>
  <c r="R32" i="25" s="1"/>
  <c r="AM33" i="23"/>
  <c r="R33" i="25" s="1"/>
  <c r="AI4" i="23"/>
  <c r="M4" i="25" s="1"/>
  <c r="AI5" i="23"/>
  <c r="M5" i="25" s="1"/>
  <c r="AI6" i="23"/>
  <c r="M6" i="25" s="1"/>
  <c r="AI7" i="23"/>
  <c r="M7" i="25" s="1"/>
  <c r="AI8" i="23"/>
  <c r="M8" i="25" s="1"/>
  <c r="AI9" i="23"/>
  <c r="M9" i="25" s="1"/>
  <c r="AI10" i="23"/>
  <c r="M10" i="25" s="1"/>
  <c r="AI11" i="23"/>
  <c r="M11" i="25" s="1"/>
  <c r="AI12" i="23"/>
  <c r="M12" i="25" s="1"/>
  <c r="AI13" i="23"/>
  <c r="M13" i="25" s="1"/>
  <c r="AI14" i="23"/>
  <c r="M14" i="25" s="1"/>
  <c r="AI15" i="23"/>
  <c r="M15" i="25" s="1"/>
  <c r="AI16" i="23"/>
  <c r="M16" i="25" s="1"/>
  <c r="AI17" i="23"/>
  <c r="M17" i="25" s="1"/>
  <c r="AI18" i="23"/>
  <c r="M18" i="25" s="1"/>
  <c r="AI19" i="23"/>
  <c r="M19" i="25" s="1"/>
  <c r="AI20" i="23"/>
  <c r="M20" i="25" s="1"/>
  <c r="AI21" i="23"/>
  <c r="M21" i="25" s="1"/>
  <c r="AI22" i="23"/>
  <c r="M22" i="25" s="1"/>
  <c r="AI23" i="23"/>
  <c r="M23" i="25" s="1"/>
  <c r="AI24" i="23"/>
  <c r="M24" i="25" s="1"/>
  <c r="AI25" i="23"/>
  <c r="M25" i="25" s="1"/>
  <c r="AI26" i="23"/>
  <c r="M26" i="25" s="1"/>
  <c r="AI27" i="23"/>
  <c r="M27" i="25" s="1"/>
  <c r="AI28" i="23"/>
  <c r="M28" i="25" s="1"/>
  <c r="AI29" i="23"/>
  <c r="M29" i="25" s="1"/>
  <c r="AI30" i="23"/>
  <c r="M30" i="25" s="1"/>
  <c r="AI31" i="23"/>
  <c r="M31" i="25" s="1"/>
  <c r="AI32" i="23"/>
  <c r="M32" i="25" s="1"/>
  <c r="AI3" i="23"/>
  <c r="M3" i="25" s="1"/>
  <c r="AE4" i="23"/>
  <c r="H4" i="25" s="1"/>
  <c r="AE5" i="23"/>
  <c r="H5" i="25" s="1"/>
  <c r="AE6" i="23"/>
  <c r="H6" i="25" s="1"/>
  <c r="AE7" i="23"/>
  <c r="H7" i="25" s="1"/>
  <c r="AE8" i="23"/>
  <c r="H8" i="25" s="1"/>
  <c r="AE9" i="23"/>
  <c r="H9" i="25" s="1"/>
  <c r="AE10" i="23"/>
  <c r="H10" i="25" s="1"/>
  <c r="AE11" i="23"/>
  <c r="H11" i="25" s="1"/>
  <c r="AE12" i="23"/>
  <c r="H12" i="25" s="1"/>
  <c r="AE13" i="23"/>
  <c r="H13" i="25" s="1"/>
  <c r="AE14" i="23"/>
  <c r="H14" i="25" s="1"/>
  <c r="AE15" i="23"/>
  <c r="H15" i="25" s="1"/>
  <c r="AE16" i="23"/>
  <c r="H16" i="25" s="1"/>
  <c r="AE17" i="23"/>
  <c r="H17" i="25" s="1"/>
  <c r="AE18" i="23"/>
  <c r="H18" i="25" s="1"/>
  <c r="AE19" i="23"/>
  <c r="H19" i="25" s="1"/>
  <c r="AE20" i="23"/>
  <c r="H20" i="25" s="1"/>
  <c r="AE21" i="23"/>
  <c r="H21" i="25" s="1"/>
  <c r="AE22" i="23"/>
  <c r="H22" i="25" s="1"/>
  <c r="AE23" i="23"/>
  <c r="H23" i="25" s="1"/>
  <c r="AE24" i="23"/>
  <c r="H24" i="25" s="1"/>
  <c r="AE25" i="23"/>
  <c r="H25" i="25" s="1"/>
  <c r="AE26" i="23"/>
  <c r="H26" i="25" s="1"/>
  <c r="AE27" i="23"/>
  <c r="H27" i="25" s="1"/>
  <c r="AE28" i="23"/>
  <c r="H28" i="25" s="1"/>
  <c r="AE29" i="23"/>
  <c r="H29" i="25" s="1"/>
  <c r="AE30" i="23"/>
  <c r="H30" i="25" s="1"/>
  <c r="AE31" i="23"/>
  <c r="H31" i="25" s="1"/>
  <c r="AE32" i="23"/>
  <c r="H32" i="25" s="1"/>
  <c r="AE33" i="23"/>
  <c r="H33" i="25" s="1"/>
  <c r="AE3" i="23"/>
  <c r="H3" i="25" s="1"/>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10" i="23"/>
  <c r="G11" i="23"/>
  <c r="G12" i="23"/>
  <c r="G13" i="23"/>
  <c r="G14" i="23"/>
  <c r="G15" i="23"/>
  <c r="G16" i="23"/>
  <c r="G17" i="23"/>
  <c r="G18" i="23"/>
  <c r="G19" i="23"/>
  <c r="G20" i="23"/>
  <c r="G21" i="23"/>
  <c r="G22" i="23"/>
  <c r="G23" i="23"/>
  <c r="G24" i="23"/>
  <c r="G25" i="23"/>
  <c r="G26" i="23"/>
  <c r="G27" i="23"/>
  <c r="G28" i="23"/>
  <c r="G29" i="23"/>
  <c r="G30" i="23"/>
  <c r="G31" i="23"/>
  <c r="G32" i="23"/>
  <c r="G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Q22" i="43" l="1"/>
  <c r="A15" i="47"/>
  <c r="Z39" i="73"/>
  <c r="Y39" i="73"/>
  <c r="Z38" i="73"/>
  <c r="Y38" i="73"/>
  <c r="Z37" i="73"/>
  <c r="Y37" i="73"/>
  <c r="Z36" i="73"/>
  <c r="Y36" i="73"/>
  <c r="Z35" i="73"/>
  <c r="Y35" i="73"/>
  <c r="Z34" i="73"/>
  <c r="Y34" i="73"/>
  <c r="Z33" i="73"/>
  <c r="Y33" i="73"/>
  <c r="Z32" i="73"/>
  <c r="Y32" i="73"/>
  <c r="Z31" i="73"/>
  <c r="Y31" i="73"/>
  <c r="Z30" i="73"/>
  <c r="Y30" i="73"/>
  <c r="Z29" i="73"/>
  <c r="Y29" i="73"/>
  <c r="Z28" i="73"/>
  <c r="Y28" i="73"/>
  <c r="Z27" i="73"/>
  <c r="Y27" i="73"/>
  <c r="Z26" i="73"/>
  <c r="Y26" i="73"/>
  <c r="Z25" i="73"/>
  <c r="Y25" i="73"/>
  <c r="Z24" i="73"/>
  <c r="Y24" i="73"/>
  <c r="Z23" i="73"/>
  <c r="Y23" i="73"/>
  <c r="Z22" i="73"/>
  <c r="Y22" i="73"/>
  <c r="Z21" i="73"/>
  <c r="Y21" i="73"/>
  <c r="Z20" i="73"/>
  <c r="Y20" i="73"/>
  <c r="Z19" i="73"/>
  <c r="Y19" i="73"/>
  <c r="Z18" i="73"/>
  <c r="Y18" i="73"/>
  <c r="Z17" i="73"/>
  <c r="Z16" i="73"/>
  <c r="Z15" i="73"/>
  <c r="Y15" i="73"/>
  <c r="Z14" i="73"/>
  <c r="Y14" i="73"/>
  <c r="Z13" i="73"/>
  <c r="Z12" i="73"/>
  <c r="Y12" i="73"/>
  <c r="Z10" i="73"/>
  <c r="Y10" i="73"/>
  <c r="Y9" i="73"/>
  <c r="Z38" i="72"/>
  <c r="Y38" i="72"/>
  <c r="Z37" i="72"/>
  <c r="Y37" i="72"/>
  <c r="Z36" i="72"/>
  <c r="Y36" i="72"/>
  <c r="Z35" i="72"/>
  <c r="Y35" i="72"/>
  <c r="Z34" i="72"/>
  <c r="Y34" i="72"/>
  <c r="Z33" i="72"/>
  <c r="Y33" i="72"/>
  <c r="Z32" i="72"/>
  <c r="Y32" i="72"/>
  <c r="Z31" i="72"/>
  <c r="Y31" i="72"/>
  <c r="Z30" i="72"/>
  <c r="Y30" i="72"/>
  <c r="Z29" i="72"/>
  <c r="Z28" i="72"/>
  <c r="Z27" i="72"/>
  <c r="Y27" i="72"/>
  <c r="Z26" i="72"/>
  <c r="Y26" i="72"/>
  <c r="Z25" i="72"/>
  <c r="Y25" i="72"/>
  <c r="Z24" i="72"/>
  <c r="Y24" i="72"/>
  <c r="Z23" i="72"/>
  <c r="Y23" i="72"/>
  <c r="Z22" i="72"/>
  <c r="Z21" i="72"/>
  <c r="Z20" i="72"/>
  <c r="Y20" i="72"/>
  <c r="Z19" i="72"/>
  <c r="Z18" i="72"/>
  <c r="Z17" i="72"/>
  <c r="Y17" i="72"/>
  <c r="Z16" i="72"/>
  <c r="Y16" i="72"/>
  <c r="Z15" i="72"/>
  <c r="Y15" i="72"/>
  <c r="Z14" i="72"/>
  <c r="Y14" i="72"/>
  <c r="Z13" i="72"/>
  <c r="Y13" i="72"/>
  <c r="Z12" i="72"/>
  <c r="Y12" i="72"/>
  <c r="Z11" i="72"/>
  <c r="Y11" i="72"/>
  <c r="Z10" i="72"/>
  <c r="Y10" i="72"/>
  <c r="Z9" i="72"/>
  <c r="Y9" i="72"/>
  <c r="Z39" i="71"/>
  <c r="Y39" i="71"/>
  <c r="Z38" i="71"/>
  <c r="Y38" i="71"/>
  <c r="Z37" i="71"/>
  <c r="Y37" i="71"/>
  <c r="Z36" i="71"/>
  <c r="Y36" i="71"/>
  <c r="Z35" i="71"/>
  <c r="Y35" i="71"/>
  <c r="Z34" i="71"/>
  <c r="Y34" i="71"/>
  <c r="Z33" i="71"/>
  <c r="Y33" i="71"/>
  <c r="Z32" i="71"/>
  <c r="Y32" i="71"/>
  <c r="Z31" i="71"/>
  <c r="Y31" i="71"/>
  <c r="Z30" i="71"/>
  <c r="Y30" i="71"/>
  <c r="Z29" i="71"/>
  <c r="Y29" i="71"/>
  <c r="Z28" i="71"/>
  <c r="Y28" i="71"/>
  <c r="Z27" i="71"/>
  <c r="Y27" i="71"/>
  <c r="Z26" i="71"/>
  <c r="Y26" i="71"/>
  <c r="Z25" i="71"/>
  <c r="Z24" i="71"/>
  <c r="Y24" i="71"/>
  <c r="Z23" i="71"/>
  <c r="Y23" i="71"/>
  <c r="Z22" i="71"/>
  <c r="Z21" i="71"/>
  <c r="Z20" i="71"/>
  <c r="Y20" i="71"/>
  <c r="Z19" i="71"/>
  <c r="Y19" i="71"/>
  <c r="Z18" i="71"/>
  <c r="Y18" i="71"/>
  <c r="Z17" i="71"/>
  <c r="Y17" i="71"/>
  <c r="Z16" i="71"/>
  <c r="Z15" i="71"/>
  <c r="Y15" i="71"/>
  <c r="Z14" i="71"/>
  <c r="Y14" i="71"/>
  <c r="Z13" i="71"/>
  <c r="Y13" i="71"/>
  <c r="Z12" i="71"/>
  <c r="Y12" i="71"/>
  <c r="Z11" i="71"/>
  <c r="Z10" i="71"/>
  <c r="Y10" i="71"/>
  <c r="Y9" i="71"/>
  <c r="Z38" i="70"/>
  <c r="Y38" i="70"/>
  <c r="Z37" i="70"/>
  <c r="Y37" i="70"/>
  <c r="Z36" i="70"/>
  <c r="Y36" i="70"/>
  <c r="Z35" i="70"/>
  <c r="Y35" i="70"/>
  <c r="Z34" i="70"/>
  <c r="Z33" i="70"/>
  <c r="Y33" i="70"/>
  <c r="Z32" i="70"/>
  <c r="Y32" i="70"/>
  <c r="Z31" i="70"/>
  <c r="Y31" i="70"/>
  <c r="Z30" i="70"/>
  <c r="Y30" i="70"/>
  <c r="Z29" i="70"/>
  <c r="Y29" i="70"/>
  <c r="Z28" i="70"/>
  <c r="Y28" i="70"/>
  <c r="Z27" i="70"/>
  <c r="Z26" i="70"/>
  <c r="Y26" i="70"/>
  <c r="Z25" i="70"/>
  <c r="Y25" i="70"/>
  <c r="Z24" i="70"/>
  <c r="Z23" i="70"/>
  <c r="Z22" i="70"/>
  <c r="Y22" i="70"/>
  <c r="Z21" i="70"/>
  <c r="Y21" i="70"/>
  <c r="Z20" i="70"/>
  <c r="Y20" i="70"/>
  <c r="Z19" i="70"/>
  <c r="Z18" i="70"/>
  <c r="Y18" i="70"/>
  <c r="Z17" i="70"/>
  <c r="Y17" i="70"/>
  <c r="Z16" i="70"/>
  <c r="Y16" i="70"/>
  <c r="Z15" i="70"/>
  <c r="Y15" i="70"/>
  <c r="Z14" i="70"/>
  <c r="Z13" i="70"/>
  <c r="Y13" i="70"/>
  <c r="Z12" i="70"/>
  <c r="Y12" i="70"/>
  <c r="Z11" i="70"/>
  <c r="Y11" i="70"/>
  <c r="Z10" i="70"/>
  <c r="Y10" i="70"/>
  <c r="Z9" i="70"/>
  <c r="Y9" i="70"/>
  <c r="Z35" i="68"/>
  <c r="Y35" i="68"/>
  <c r="Z34" i="68"/>
  <c r="Y34" i="68"/>
  <c r="Z33" i="68"/>
  <c r="Y33" i="68"/>
  <c r="Z32" i="68"/>
  <c r="Y32" i="68"/>
  <c r="Z31" i="68"/>
  <c r="Y31" i="68"/>
  <c r="Z30" i="68"/>
  <c r="Z29" i="68"/>
  <c r="Z28" i="68"/>
  <c r="Y28" i="68"/>
  <c r="Z27" i="68"/>
  <c r="Y27" i="68"/>
  <c r="Z26" i="68"/>
  <c r="Y26" i="68"/>
  <c r="Z25" i="68"/>
  <c r="Y25" i="68"/>
  <c r="Z24" i="68"/>
  <c r="Z23" i="68"/>
  <c r="Y23" i="68"/>
  <c r="Z22" i="68"/>
  <c r="Y22" i="68"/>
  <c r="Z21" i="68"/>
  <c r="Y21" i="68"/>
  <c r="Z20" i="68"/>
  <c r="Y20" i="68"/>
  <c r="Z19" i="68"/>
  <c r="Y19" i="68"/>
  <c r="Z18" i="68"/>
  <c r="Y18" i="68"/>
  <c r="Z17" i="68"/>
  <c r="Y17" i="68"/>
  <c r="Z16" i="68"/>
  <c r="Z15" i="68"/>
  <c r="Y15" i="68"/>
  <c r="Z14" i="68"/>
  <c r="Z13" i="68"/>
  <c r="Z12" i="68"/>
  <c r="Z11" i="68"/>
  <c r="Y11" i="68"/>
  <c r="Z10" i="68"/>
  <c r="Y10" i="68"/>
  <c r="Z9" i="68"/>
  <c r="Y9" i="68"/>
  <c r="Z39" i="69"/>
  <c r="Y39" i="69"/>
  <c r="Z38" i="69"/>
  <c r="Y38" i="69"/>
  <c r="Z37" i="69"/>
  <c r="Y37" i="69"/>
  <c r="Z36" i="69"/>
  <c r="Y36" i="69"/>
  <c r="Z35" i="69"/>
  <c r="Y35" i="69"/>
  <c r="Z34" i="69"/>
  <c r="Y34" i="69"/>
  <c r="Z33" i="69"/>
  <c r="Y33" i="69"/>
  <c r="Z32" i="69"/>
  <c r="Y32" i="69"/>
  <c r="Z31" i="69"/>
  <c r="Y31" i="69"/>
  <c r="Z30" i="69"/>
  <c r="Y30" i="69"/>
  <c r="Z29" i="69"/>
  <c r="Y29" i="69"/>
  <c r="Z28" i="69"/>
  <c r="Y28" i="69"/>
  <c r="Z27" i="69"/>
  <c r="Y27" i="69"/>
  <c r="Z26" i="69"/>
  <c r="Y26" i="69"/>
  <c r="Z25" i="69"/>
  <c r="Y25" i="69"/>
  <c r="Z24" i="69"/>
  <c r="Y24" i="69"/>
  <c r="Z23" i="69"/>
  <c r="Y23" i="69"/>
  <c r="Z22" i="69"/>
  <c r="Z21" i="69"/>
  <c r="Y21" i="69"/>
  <c r="Z20" i="69"/>
  <c r="Y20" i="69"/>
  <c r="Z19" i="69"/>
  <c r="Y19" i="69"/>
  <c r="Z18" i="69"/>
  <c r="Y18" i="69"/>
  <c r="Z17" i="69"/>
  <c r="Y17" i="69"/>
  <c r="Z16" i="69"/>
  <c r="Z15" i="69"/>
  <c r="Y15" i="69"/>
  <c r="Z14" i="69"/>
  <c r="Y14" i="69"/>
  <c r="Z13" i="69"/>
  <c r="Z12" i="69"/>
  <c r="Z11" i="69"/>
  <c r="Y11" i="69"/>
  <c r="Z10" i="69"/>
  <c r="Y10" i="69"/>
  <c r="Z9" i="69"/>
  <c r="Y9" i="69"/>
  <c r="Y9" i="67"/>
  <c r="Z9" i="67"/>
  <c r="Y10" i="67"/>
  <c r="Z10" i="67"/>
  <c r="Z11" i="67"/>
  <c r="Y12" i="67"/>
  <c r="Z12" i="67"/>
  <c r="Y13" i="67"/>
  <c r="Z13" i="67"/>
  <c r="Y14" i="67"/>
  <c r="Z14" i="67"/>
  <c r="Y15" i="67"/>
  <c r="Z15" i="67"/>
  <c r="Y16" i="67"/>
  <c r="Z16" i="67"/>
  <c r="Y17" i="67"/>
  <c r="Z17" i="67"/>
  <c r="Z18" i="67"/>
  <c r="Z19" i="67"/>
  <c r="Y20" i="67"/>
  <c r="Z20" i="67"/>
  <c r="Y21" i="67"/>
  <c r="Z21" i="67"/>
  <c r="Z22" i="67"/>
  <c r="Z23" i="67"/>
  <c r="Y24" i="67"/>
  <c r="Z24" i="67"/>
  <c r="Y25" i="67"/>
  <c r="Z25" i="67"/>
  <c r="Z26" i="67"/>
  <c r="Z27" i="67"/>
  <c r="Y28" i="67"/>
  <c r="Z28" i="67"/>
  <c r="Y29" i="67"/>
  <c r="Z29" i="67"/>
  <c r="Y30" i="67"/>
  <c r="Z30" i="67"/>
  <c r="Y31" i="67"/>
  <c r="Z31" i="67"/>
  <c r="Y32" i="67"/>
  <c r="Z32" i="67"/>
  <c r="Y33" i="67"/>
  <c r="Z33" i="67"/>
  <c r="Y34" i="67"/>
  <c r="Z34" i="67"/>
  <c r="Y35" i="67"/>
  <c r="Z35" i="67"/>
  <c r="Y36" i="67"/>
  <c r="Z36" i="67"/>
  <c r="Y37" i="67"/>
  <c r="Z37" i="67"/>
  <c r="Y38" i="67"/>
  <c r="Z38" i="67"/>
  <c r="Y39" i="67"/>
  <c r="Z39" i="67"/>
  <c r="Z39" i="66"/>
  <c r="Y39" i="66"/>
  <c r="Z38" i="66"/>
  <c r="Y38" i="66"/>
  <c r="Z37" i="66"/>
  <c r="Y37" i="66"/>
  <c r="Z36" i="66"/>
  <c r="Y36" i="66"/>
  <c r="Z35" i="66"/>
  <c r="Y35" i="66"/>
  <c r="Z34" i="66"/>
  <c r="Y34" i="66"/>
  <c r="Z33" i="66"/>
  <c r="Y33" i="66"/>
  <c r="Z32" i="66"/>
  <c r="Y32" i="66"/>
  <c r="Z31" i="66"/>
  <c r="Y31" i="66"/>
  <c r="Z30" i="66"/>
  <c r="Y30" i="66"/>
  <c r="Z29" i="66"/>
  <c r="Z28" i="66"/>
  <c r="Y28" i="66"/>
  <c r="Z27" i="66"/>
  <c r="Y27" i="66"/>
  <c r="Z26" i="66"/>
  <c r="Y26" i="66"/>
  <c r="Z25" i="66"/>
  <c r="Y25" i="66"/>
  <c r="Z24" i="66"/>
  <c r="Y24" i="66"/>
  <c r="Z23" i="66"/>
  <c r="Y23" i="66"/>
  <c r="Z22" i="66"/>
  <c r="Z21" i="66"/>
  <c r="Z20" i="66"/>
  <c r="Y20" i="66"/>
  <c r="Z19" i="66"/>
  <c r="Z18" i="66"/>
  <c r="Z17" i="66"/>
  <c r="Y17" i="66"/>
  <c r="Z16" i="66"/>
  <c r="Y16" i="66"/>
  <c r="Z15" i="66"/>
  <c r="Y15" i="66"/>
  <c r="Z14" i="66"/>
  <c r="Y14" i="66"/>
  <c r="Z13" i="66"/>
  <c r="Y13" i="66"/>
  <c r="Z12" i="66"/>
  <c r="Y12" i="66"/>
  <c r="Z11" i="66"/>
  <c r="Z10" i="66"/>
  <c r="Y10" i="66"/>
  <c r="Z9" i="66"/>
  <c r="Z38" i="65"/>
  <c r="Y38" i="65"/>
  <c r="Z37" i="65"/>
  <c r="Y37" i="65"/>
  <c r="Z36" i="65"/>
  <c r="Y36" i="65"/>
  <c r="Z35" i="65"/>
  <c r="Y35" i="65"/>
  <c r="Z34" i="65"/>
  <c r="Y34" i="65"/>
  <c r="Z33" i="65"/>
  <c r="Y33" i="65"/>
  <c r="Z32" i="65"/>
  <c r="Y32" i="65"/>
  <c r="Z31" i="65"/>
  <c r="Y31" i="65"/>
  <c r="Z30" i="65"/>
  <c r="Y30" i="65"/>
  <c r="Z29" i="65"/>
  <c r="Y29" i="65"/>
  <c r="Z28" i="65"/>
  <c r="Y28" i="65"/>
  <c r="Z27" i="65"/>
  <c r="Y27" i="65"/>
  <c r="Z26" i="65"/>
  <c r="Y26" i="65"/>
  <c r="Z25" i="65"/>
  <c r="Y25" i="65"/>
  <c r="Z24" i="65"/>
  <c r="Z23" i="65"/>
  <c r="Y23" i="65"/>
  <c r="Z22" i="65"/>
  <c r="Y22" i="65"/>
  <c r="Z21" i="65"/>
  <c r="Z20" i="65"/>
  <c r="Z19" i="65"/>
  <c r="Y19" i="65"/>
  <c r="Z18" i="65"/>
  <c r="Y18" i="65"/>
  <c r="Z17" i="65"/>
  <c r="Z16" i="65"/>
  <c r="Z15" i="65"/>
  <c r="Y15" i="65"/>
  <c r="Z14" i="65"/>
  <c r="Y14" i="65"/>
  <c r="Z13" i="65"/>
  <c r="Y13" i="65"/>
  <c r="Z12" i="65"/>
  <c r="Y12" i="65"/>
  <c r="Z11" i="65"/>
  <c r="Y11" i="65"/>
  <c r="Z10" i="65"/>
  <c r="Y10" i="65"/>
  <c r="Z9" i="65"/>
  <c r="Y9" i="65"/>
  <c r="Z39" i="64"/>
  <c r="Y39" i="64"/>
  <c r="Z38" i="64"/>
  <c r="Y38" i="64"/>
  <c r="Z37" i="64"/>
  <c r="Y37" i="64"/>
  <c r="Z36" i="64"/>
  <c r="Y36" i="64"/>
  <c r="Z35" i="64"/>
  <c r="Y35" i="64"/>
  <c r="Z34" i="64"/>
  <c r="Y34" i="64"/>
  <c r="Z33" i="64"/>
  <c r="Y33" i="64"/>
  <c r="Z32" i="64"/>
  <c r="Y32" i="64"/>
  <c r="Z31" i="64"/>
  <c r="Y31" i="64"/>
  <c r="Z30" i="64"/>
  <c r="Y30" i="64"/>
  <c r="Z29" i="64"/>
  <c r="Y29" i="64"/>
  <c r="Z28" i="64"/>
  <c r="Y28" i="64"/>
  <c r="Z27" i="64"/>
  <c r="Y27" i="64"/>
  <c r="Z26" i="64"/>
  <c r="Y26" i="64"/>
  <c r="Z25" i="64"/>
  <c r="Y25" i="64"/>
  <c r="Z24" i="64"/>
  <c r="Y24" i="64"/>
  <c r="Z23" i="64"/>
  <c r="Y23" i="64"/>
  <c r="Z22" i="64"/>
  <c r="Y22" i="64"/>
  <c r="Z21" i="64"/>
  <c r="Y21" i="64"/>
  <c r="Z20" i="64"/>
  <c r="Z19" i="64"/>
  <c r="Z18" i="64"/>
  <c r="Y18" i="64"/>
  <c r="Z17" i="64"/>
  <c r="Z16" i="64"/>
  <c r="Z15" i="64"/>
  <c r="Y15" i="64"/>
  <c r="Z14" i="64"/>
  <c r="Y14" i="64"/>
  <c r="Z13" i="64"/>
  <c r="Y13" i="64"/>
  <c r="Z12" i="64"/>
  <c r="Y12" i="64"/>
  <c r="Z11" i="64"/>
  <c r="Z10" i="64"/>
  <c r="Y10" i="64"/>
  <c r="Z9" i="64"/>
  <c r="Y9" i="64"/>
  <c r="FL34" i="65" l="1"/>
  <c r="FJ34" i="65"/>
  <c r="FL13" i="66"/>
  <c r="FJ13" i="66"/>
  <c r="FL17" i="66"/>
  <c r="FJ17" i="66"/>
  <c r="FL27" i="66"/>
  <c r="FJ27" i="66"/>
  <c r="FL32" i="67"/>
  <c r="FJ32" i="67"/>
  <c r="FL28" i="67"/>
  <c r="FJ28" i="67"/>
  <c r="FL21" i="70"/>
  <c r="FJ21" i="70"/>
  <c r="FL26" i="70"/>
  <c r="FJ26" i="70"/>
  <c r="FL35" i="70"/>
  <c r="FJ35" i="70"/>
  <c r="FL36" i="66"/>
  <c r="FJ36" i="66"/>
  <c r="FL23" i="69"/>
  <c r="FJ23" i="69"/>
  <c r="FL27" i="69"/>
  <c r="FJ27" i="69"/>
  <c r="FL32" i="66"/>
  <c r="FJ32" i="66"/>
  <c r="FJ27" i="65"/>
  <c r="FL27" i="65"/>
  <c r="FL31" i="65"/>
  <c r="FJ31" i="65"/>
  <c r="FJ35" i="65"/>
  <c r="FL35" i="65"/>
  <c r="FL14" i="66"/>
  <c r="FJ14" i="66"/>
  <c r="FL24" i="66"/>
  <c r="FJ24" i="66"/>
  <c r="FL31" i="67"/>
  <c r="FJ31" i="67"/>
  <c r="FJ13" i="70"/>
  <c r="FL13" i="70"/>
  <c r="FL22" i="70"/>
  <c r="FJ22" i="70"/>
  <c r="FL14" i="64"/>
  <c r="FJ14" i="64"/>
  <c r="FJ24" i="64"/>
  <c r="FL24" i="64"/>
  <c r="FL28" i="64"/>
  <c r="FJ28" i="64"/>
  <c r="FL32" i="64"/>
  <c r="FJ32" i="64"/>
  <c r="FL36" i="64"/>
  <c r="FJ36" i="64"/>
  <c r="FL13" i="65"/>
  <c r="FJ13" i="65"/>
  <c r="FL18" i="65"/>
  <c r="FJ18" i="65"/>
  <c r="FL10" i="66"/>
  <c r="FJ10" i="66"/>
  <c r="FJ33" i="66"/>
  <c r="FL33" i="66"/>
  <c r="FL37" i="66"/>
  <c r="FJ37" i="66"/>
  <c r="FL12" i="67"/>
  <c r="FJ12" i="67"/>
  <c r="FL36" i="69"/>
  <c r="FJ36" i="69"/>
  <c r="FJ28" i="70"/>
  <c r="FL28" i="70"/>
  <c r="FJ38" i="65"/>
  <c r="FL38" i="65"/>
  <c r="FL23" i="66"/>
  <c r="FJ23" i="66"/>
  <c r="FL13" i="64"/>
  <c r="FJ13" i="64"/>
  <c r="FL18" i="64"/>
  <c r="FJ18" i="64"/>
  <c r="FL23" i="64"/>
  <c r="FJ23" i="64"/>
  <c r="FL31" i="64"/>
  <c r="FJ31" i="64"/>
  <c r="FL35" i="64"/>
  <c r="FJ35" i="64"/>
  <c r="FJ12" i="65"/>
  <c r="FL12" i="65"/>
  <c r="FL22" i="65"/>
  <c r="FJ22" i="65"/>
  <c r="FL10" i="64"/>
  <c r="FJ10" i="64"/>
  <c r="FL28" i="65"/>
  <c r="FJ28" i="65"/>
  <c r="FL32" i="65"/>
  <c r="FJ32" i="65"/>
  <c r="FL36" i="65"/>
  <c r="FJ36" i="65"/>
  <c r="FL15" i="66"/>
  <c r="FJ15" i="66"/>
  <c r="FL20" i="66"/>
  <c r="FJ20" i="66"/>
  <c r="FL25" i="66"/>
  <c r="FJ25" i="66"/>
  <c r="FL30" i="67"/>
  <c r="FJ30" i="67"/>
  <c r="FL19" i="65"/>
  <c r="FJ19" i="65"/>
  <c r="FJ30" i="66"/>
  <c r="FL30" i="66"/>
  <c r="FL34" i="66"/>
  <c r="FJ34" i="66"/>
  <c r="FJ38" i="66"/>
  <c r="FL38" i="66"/>
  <c r="FL25" i="67"/>
  <c r="FJ25" i="67"/>
  <c r="FL37" i="69"/>
  <c r="FJ37" i="69"/>
  <c r="FL29" i="70"/>
  <c r="FJ29" i="70"/>
  <c r="FL26" i="65"/>
  <c r="FJ26" i="65"/>
  <c r="FJ30" i="65"/>
  <c r="FL30" i="65"/>
  <c r="FL15" i="64"/>
  <c r="FJ15" i="64"/>
  <c r="FL21" i="64"/>
  <c r="FJ21" i="64"/>
  <c r="FL25" i="64"/>
  <c r="FJ25" i="64"/>
  <c r="FJ29" i="64"/>
  <c r="FL29" i="64"/>
  <c r="FL33" i="64"/>
  <c r="FJ33" i="64"/>
  <c r="FL10" i="65"/>
  <c r="FJ10" i="65"/>
  <c r="FL25" i="65"/>
  <c r="FJ25" i="65"/>
  <c r="FL29" i="65"/>
  <c r="FJ29" i="65"/>
  <c r="FL37" i="65"/>
  <c r="FJ37" i="65"/>
  <c r="FL12" i="66"/>
  <c r="FJ12" i="66"/>
  <c r="FJ16" i="66"/>
  <c r="FL16" i="66"/>
  <c r="FL33" i="67"/>
  <c r="FJ33" i="67"/>
  <c r="FJ29" i="67"/>
  <c r="FL29" i="67"/>
  <c r="FL10" i="67"/>
  <c r="FJ10" i="67"/>
  <c r="FL21" i="69"/>
  <c r="FJ21" i="69"/>
  <c r="FJ20" i="70"/>
  <c r="FL20" i="70"/>
  <c r="FJ25" i="70"/>
  <c r="FL25" i="70"/>
  <c r="FJ37" i="64"/>
  <c r="FL37" i="64"/>
  <c r="FL14" i="65"/>
  <c r="FJ14" i="65"/>
  <c r="FL33" i="65"/>
  <c r="FJ33" i="65"/>
  <c r="FJ26" i="66"/>
  <c r="FL26" i="66"/>
  <c r="FL12" i="64"/>
  <c r="FJ12" i="64"/>
  <c r="FL22" i="64"/>
  <c r="FJ22" i="64"/>
  <c r="FL30" i="64"/>
  <c r="FJ30" i="64"/>
  <c r="FJ34" i="64"/>
  <c r="FL34" i="64"/>
  <c r="FL38" i="64"/>
  <c r="FJ38" i="64"/>
  <c r="FL11" i="65"/>
  <c r="FJ11" i="65"/>
  <c r="FL15" i="65"/>
  <c r="FJ15" i="65"/>
  <c r="FL31" i="66"/>
  <c r="FJ31" i="66"/>
  <c r="FL35" i="66"/>
  <c r="FJ35" i="66"/>
  <c r="FL26" i="69"/>
  <c r="FJ26" i="69"/>
  <c r="FL38" i="70"/>
  <c r="FJ38" i="70"/>
  <c r="FL37" i="70"/>
  <c r="FJ37" i="70"/>
  <c r="FL36" i="70"/>
  <c r="FJ36" i="70"/>
  <c r="FJ32" i="70"/>
  <c r="FL32" i="70"/>
  <c r="FL31" i="70"/>
  <c r="FJ31" i="70"/>
  <c r="FL30" i="70"/>
  <c r="FJ30" i="70"/>
  <c r="FL18" i="70"/>
  <c r="FJ18" i="70"/>
  <c r="FL17" i="70"/>
  <c r="FJ17" i="70"/>
  <c r="FJ16" i="70"/>
  <c r="FL16" i="70"/>
  <c r="FL15" i="70"/>
  <c r="FJ15" i="70"/>
  <c r="FL12" i="70"/>
  <c r="FJ12" i="70"/>
  <c r="FL11" i="70"/>
  <c r="FJ11" i="70"/>
  <c r="FL10" i="70"/>
  <c r="FJ10" i="70"/>
  <c r="FL38" i="69"/>
  <c r="FJ38" i="69"/>
  <c r="FL35" i="69"/>
  <c r="FJ35" i="69"/>
  <c r="FJ34" i="69"/>
  <c r="FL34" i="69"/>
  <c r="FL33" i="69"/>
  <c r="FJ33" i="69"/>
  <c r="FL32" i="69"/>
  <c r="FJ32" i="69"/>
  <c r="FL31" i="69"/>
  <c r="FJ31" i="69"/>
  <c r="FL28" i="69"/>
  <c r="FJ28" i="69"/>
  <c r="FL25" i="69"/>
  <c r="FJ25" i="69"/>
  <c r="FL24" i="69"/>
  <c r="FJ24" i="69"/>
  <c r="FL20" i="69"/>
  <c r="FJ20" i="69"/>
  <c r="FL18" i="69"/>
  <c r="FJ18" i="69"/>
  <c r="FJ19" i="69"/>
  <c r="FL19" i="69"/>
  <c r="FL14" i="69"/>
  <c r="FJ14" i="69"/>
  <c r="FL11" i="69"/>
  <c r="FJ11" i="69"/>
  <c r="FL10" i="69"/>
  <c r="FJ10" i="69"/>
  <c r="FL38" i="67"/>
  <c r="FJ38" i="67"/>
  <c r="FL37" i="67"/>
  <c r="FJ37" i="67"/>
  <c r="FJ36" i="67"/>
  <c r="FL36" i="67"/>
  <c r="FL35" i="67"/>
  <c r="FJ35" i="67"/>
  <c r="FJ34" i="67"/>
  <c r="FL34" i="67"/>
  <c r="FL24" i="67"/>
  <c r="FJ24" i="67"/>
  <c r="FL21" i="67"/>
  <c r="FJ21" i="67"/>
  <c r="FL20" i="67"/>
  <c r="FJ20" i="67"/>
  <c r="FL17" i="67"/>
  <c r="FJ17" i="67"/>
  <c r="FL16" i="67"/>
  <c r="FJ16" i="67"/>
  <c r="FL15" i="67"/>
  <c r="FJ15" i="67"/>
  <c r="FL14" i="67"/>
  <c r="FJ14" i="67"/>
  <c r="FL13" i="67"/>
  <c r="FJ13" i="67"/>
  <c r="FL21" i="73"/>
  <c r="FJ21" i="73"/>
  <c r="FL25" i="73"/>
  <c r="FJ25" i="73"/>
  <c r="FL29" i="73"/>
  <c r="FJ29" i="73"/>
  <c r="FL33" i="73"/>
  <c r="FJ33" i="73"/>
  <c r="FL37" i="73"/>
  <c r="FJ37" i="73"/>
  <c r="FL12" i="73"/>
  <c r="FJ12" i="73"/>
  <c r="FL18" i="73"/>
  <c r="FJ18" i="73"/>
  <c r="FJ22" i="73"/>
  <c r="FL22" i="73"/>
  <c r="FL26" i="73"/>
  <c r="FJ26" i="73"/>
  <c r="FJ30" i="73"/>
  <c r="FL30" i="73"/>
  <c r="FL34" i="73"/>
  <c r="FJ34" i="73"/>
  <c r="FJ38" i="73"/>
  <c r="FL38" i="73"/>
  <c r="FJ14" i="73"/>
  <c r="FL14" i="73"/>
  <c r="FJ19" i="73"/>
  <c r="FL19" i="73"/>
  <c r="FL23" i="73"/>
  <c r="FJ23" i="73"/>
  <c r="FJ27" i="73"/>
  <c r="FL27" i="73"/>
  <c r="FL31" i="73"/>
  <c r="FJ31" i="73"/>
  <c r="FJ35" i="73"/>
  <c r="FL35" i="73"/>
  <c r="FL15" i="73"/>
  <c r="FJ15" i="73"/>
  <c r="FL20" i="73"/>
  <c r="FJ20" i="73"/>
  <c r="FL24" i="73"/>
  <c r="FJ24" i="73"/>
  <c r="FL28" i="73"/>
  <c r="FJ28" i="73"/>
  <c r="FL32" i="73"/>
  <c r="FJ32" i="73"/>
  <c r="FL36" i="73"/>
  <c r="FJ36" i="73"/>
  <c r="FL10" i="73"/>
  <c r="FJ10" i="73"/>
  <c r="FJ39" i="73"/>
  <c r="FL39" i="73"/>
  <c r="FL13" i="72"/>
  <c r="FJ13" i="72"/>
  <c r="FJ17" i="72"/>
  <c r="FL17" i="72"/>
  <c r="FL23" i="72"/>
  <c r="FJ23" i="72"/>
  <c r="FL27" i="72"/>
  <c r="FJ27" i="72"/>
  <c r="FL32" i="72"/>
  <c r="FJ32" i="72"/>
  <c r="FJ36" i="72"/>
  <c r="FL36" i="72"/>
  <c r="FL10" i="72"/>
  <c r="FJ10" i="72"/>
  <c r="FJ14" i="72"/>
  <c r="FL14" i="72"/>
  <c r="FL24" i="72"/>
  <c r="FJ24" i="72"/>
  <c r="FL33" i="72"/>
  <c r="FJ33" i="72"/>
  <c r="FL37" i="72"/>
  <c r="FJ37" i="72"/>
  <c r="FL11" i="72"/>
  <c r="FJ11" i="72"/>
  <c r="FL15" i="72"/>
  <c r="FJ15" i="72"/>
  <c r="FL20" i="72"/>
  <c r="FJ20" i="72"/>
  <c r="FJ25" i="72"/>
  <c r="FL25" i="72"/>
  <c r="FL34" i="72"/>
  <c r="FJ34" i="72"/>
  <c r="FL38" i="72"/>
  <c r="FJ38" i="72"/>
  <c r="FL12" i="72"/>
  <c r="FJ12" i="72"/>
  <c r="FL16" i="72"/>
  <c r="FJ16" i="72"/>
  <c r="FL26" i="72"/>
  <c r="FJ26" i="72"/>
  <c r="FJ31" i="72"/>
  <c r="FL31" i="72"/>
  <c r="FL35" i="72"/>
  <c r="FJ35" i="72"/>
  <c r="FL14" i="71"/>
  <c r="FJ14" i="71"/>
  <c r="FL28" i="71"/>
  <c r="FJ28" i="71"/>
  <c r="FJ36" i="71"/>
  <c r="FL36" i="71"/>
  <c r="FL10" i="71"/>
  <c r="FJ10" i="71"/>
  <c r="FL19" i="71"/>
  <c r="FJ19" i="71"/>
  <c r="FJ24" i="71"/>
  <c r="FL24" i="71"/>
  <c r="FL15" i="71"/>
  <c r="FJ15" i="71"/>
  <c r="FJ29" i="71"/>
  <c r="FL29" i="71"/>
  <c r="FL37" i="71"/>
  <c r="FJ37" i="71"/>
  <c r="FL20" i="71"/>
  <c r="FJ20" i="71"/>
  <c r="FL12" i="71"/>
  <c r="FJ12" i="71"/>
  <c r="FL26" i="71"/>
  <c r="FJ26" i="71"/>
  <c r="FL38" i="71"/>
  <c r="FJ38" i="71"/>
  <c r="FL17" i="71"/>
  <c r="FJ17" i="71"/>
  <c r="FJ13" i="71"/>
  <c r="FL13" i="71"/>
  <c r="FL27" i="71"/>
  <c r="FJ27" i="71"/>
  <c r="FL35" i="71"/>
  <c r="FJ35" i="71"/>
  <c r="FL18" i="71"/>
  <c r="FJ18" i="71"/>
  <c r="FL23" i="71"/>
  <c r="FJ23" i="71"/>
  <c r="FL34" i="71"/>
  <c r="FJ34" i="71"/>
  <c r="FJ31" i="71"/>
  <c r="FL31" i="71"/>
  <c r="FL17" i="69"/>
  <c r="FJ17" i="69"/>
  <c r="FJ39" i="67"/>
  <c r="FL39" i="67"/>
  <c r="FL23" i="65"/>
  <c r="FJ23" i="65"/>
  <c r="FL27" i="64"/>
  <c r="FJ27" i="64"/>
  <c r="FJ39" i="64"/>
  <c r="FL39" i="64"/>
  <c r="FL26" i="64"/>
  <c r="FJ26" i="64"/>
  <c r="FL28" i="66"/>
  <c r="FJ28" i="66"/>
  <c r="FL39" i="66"/>
  <c r="FJ39" i="66"/>
  <c r="FL30" i="72"/>
  <c r="FJ30" i="72"/>
  <c r="FL30" i="71"/>
  <c r="FJ30" i="71"/>
  <c r="FJ33" i="71"/>
  <c r="FL33" i="71"/>
  <c r="FJ39" i="71"/>
  <c r="FL39" i="71"/>
  <c r="FJ32" i="71"/>
  <c r="FL32" i="71"/>
  <c r="FL33" i="70"/>
  <c r="FJ33" i="70"/>
  <c r="FJ15" i="69"/>
  <c r="FL15" i="69"/>
  <c r="FJ30" i="69"/>
  <c r="FL30" i="69"/>
  <c r="FL29" i="69"/>
  <c r="FJ29" i="69"/>
  <c r="FL39" i="69"/>
  <c r="FJ39" i="69"/>
  <c r="B15" i="47"/>
  <c r="P23" i="43"/>
  <c r="FL17" i="68"/>
  <c r="FJ17" i="68"/>
  <c r="FL22" i="68"/>
  <c r="FJ22" i="68"/>
  <c r="FJ27" i="68"/>
  <c r="FL27" i="68"/>
  <c r="FL31" i="68"/>
  <c r="FJ31" i="68"/>
  <c r="FJ35" i="68"/>
  <c r="FL35" i="68"/>
  <c r="FL21" i="68"/>
  <c r="FJ21" i="68"/>
  <c r="FL26" i="68"/>
  <c r="FJ26" i="68"/>
  <c r="FJ19" i="68"/>
  <c r="FL19" i="68"/>
  <c r="FJ23" i="68"/>
  <c r="FL23" i="68"/>
  <c r="FL34" i="68"/>
  <c r="FJ34" i="68"/>
  <c r="FJ18" i="68"/>
  <c r="FL18" i="68"/>
  <c r="FL10" i="68"/>
  <c r="FJ10" i="68"/>
  <c r="FJ15" i="68"/>
  <c r="FL15" i="68"/>
  <c r="FJ28" i="68"/>
  <c r="FL28" i="68"/>
  <c r="FL32" i="68"/>
  <c r="FJ32" i="68"/>
  <c r="FL20" i="68"/>
  <c r="FJ20" i="68"/>
  <c r="FL11" i="68"/>
  <c r="FJ11" i="68"/>
  <c r="FL25" i="68"/>
  <c r="FJ25" i="68"/>
  <c r="FL33" i="68"/>
  <c r="FJ33" i="68"/>
  <c r="Z38" i="68"/>
  <c r="Z40" i="69"/>
  <c r="Z39" i="72"/>
  <c r="Z39" i="70"/>
  <c r="Z40" i="67"/>
  <c r="Z40" i="66"/>
  <c r="Z39" i="65"/>
  <c r="Z40" i="64"/>
  <c r="Q23" i="43" l="1"/>
  <c r="B16" i="47" s="1"/>
  <c r="A16" i="47"/>
  <c r="F14" i="50"/>
  <c r="F12" i="50"/>
  <c r="F10" i="50"/>
  <c r="F9" i="50"/>
  <c r="Z10" i="63"/>
  <c r="Z11" i="63"/>
  <c r="Z12" i="63"/>
  <c r="Z13" i="63"/>
  <c r="Z14" i="63"/>
  <c r="Z15" i="63"/>
  <c r="Z16" i="63"/>
  <c r="Z17" i="63"/>
  <c r="Z18" i="63"/>
  <c r="Z19" i="63"/>
  <c r="Z20" i="63"/>
  <c r="Z21" i="63"/>
  <c r="Z22" i="63"/>
  <c r="Z23" i="63"/>
  <c r="Z24" i="63"/>
  <c r="Z25" i="63"/>
  <c r="Z26" i="63"/>
  <c r="Z27" i="63"/>
  <c r="Z28" i="63"/>
  <c r="Z29" i="63"/>
  <c r="Z30" i="63"/>
  <c r="Z31" i="63"/>
  <c r="Z32" i="63"/>
  <c r="Z33" i="63"/>
  <c r="Z34" i="63"/>
  <c r="Z35" i="63"/>
  <c r="Z36" i="63"/>
  <c r="Z37" i="63"/>
  <c r="Z38" i="63"/>
  <c r="Z9" i="63"/>
  <c r="F41" i="50"/>
  <c r="F50" i="50" s="1"/>
  <c r="F32" i="50"/>
  <c r="G32" i="50"/>
  <c r="G41" i="50" s="1"/>
  <c r="G50" i="50" s="1"/>
  <c r="H32" i="50"/>
  <c r="H41" i="50" s="1"/>
  <c r="H50" i="50" s="1"/>
  <c r="G23" i="50"/>
  <c r="H23" i="50"/>
  <c r="F23" i="50"/>
  <c r="D23" i="50"/>
  <c r="D32" i="50" s="1"/>
  <c r="D41" i="50" s="1"/>
  <c r="D50" i="50" s="1"/>
  <c r="E23" i="50"/>
  <c r="E32" i="50" s="1"/>
  <c r="E41" i="50" s="1"/>
  <c r="E50" i="50" s="1"/>
  <c r="C23" i="50"/>
  <c r="C32" i="50" s="1"/>
  <c r="C41" i="50" s="1"/>
  <c r="C50" i="50" s="1"/>
  <c r="F7" i="50" l="1"/>
  <c r="Z39" i="63"/>
  <c r="D2" i="46" l="1"/>
  <c r="A47" i="68"/>
  <c r="A48" i="72"/>
  <c r="A48" i="70"/>
  <c r="A48" i="65"/>
  <c r="A49" i="73"/>
  <c r="A49" i="71"/>
  <c r="A49" i="69"/>
  <c r="A49" i="67"/>
  <c r="A49" i="66"/>
  <c r="A50" i="41"/>
  <c r="A48" i="63"/>
  <c r="I91" i="43"/>
  <c r="F15" i="50" l="1"/>
  <c r="F13" i="50"/>
  <c r="F8" i="50"/>
  <c r="D23" i="74"/>
  <c r="V47" i="41" l="1"/>
  <c r="V54" i="41" s="1"/>
  <c r="V44" i="63" s="1"/>
  <c r="B2" i="50"/>
  <c r="M43" i="41"/>
  <c r="V45" i="63" l="1"/>
  <c r="V52" i="63" s="1"/>
  <c r="V45" i="64" s="1"/>
  <c r="V46" i="64" s="1"/>
  <c r="K72" i="44"/>
  <c r="I72" i="44"/>
  <c r="B73" i="44"/>
  <c r="B74" i="44"/>
  <c r="B75" i="44"/>
  <c r="B76" i="44"/>
  <c r="B72" i="44"/>
  <c r="K46" i="43"/>
  <c r="J53" i="1"/>
  <c r="V46" i="43"/>
  <c r="U46" i="43"/>
  <c r="T46" i="43"/>
  <c r="S46" i="43"/>
  <c r="R46" i="43"/>
  <c r="Q46" i="43"/>
  <c r="P46" i="43"/>
  <c r="O46" i="43"/>
  <c r="N46" i="43"/>
  <c r="M46" i="43"/>
  <c r="L46" i="43"/>
  <c r="A5" i="73"/>
  <c r="M42" i="73" s="1"/>
  <c r="A5" i="72"/>
  <c r="M41" i="72" s="1"/>
  <c r="A5" i="71"/>
  <c r="M42" i="71" s="1"/>
  <c r="A5" i="70"/>
  <c r="M41" i="70" s="1"/>
  <c r="A5" i="69"/>
  <c r="M42" i="69" s="1"/>
  <c r="A5" i="68"/>
  <c r="M40" i="68" s="1"/>
  <c r="A5" i="67"/>
  <c r="M42" i="67" s="1"/>
  <c r="A5" i="66"/>
  <c r="M42" i="66" s="1"/>
  <c r="A5" i="65"/>
  <c r="M41" i="65" s="1"/>
  <c r="A5" i="64"/>
  <c r="M42" i="64" s="1"/>
  <c r="M41" i="63"/>
  <c r="B9" i="1"/>
  <c r="G10" i="62"/>
  <c r="G26" i="50"/>
  <c r="G24" i="50"/>
  <c r="J34" i="1" l="1"/>
  <c r="J12" i="44"/>
  <c r="V91" i="43"/>
  <c r="I49" i="73" s="1"/>
  <c r="N91" i="43"/>
  <c r="I48" i="65" s="1"/>
  <c r="O91" i="43"/>
  <c r="I49" i="66" s="1"/>
  <c r="P91" i="43"/>
  <c r="I49" i="67" s="1"/>
  <c r="Q91" i="43"/>
  <c r="I47" i="68" s="1"/>
  <c r="K117" i="44"/>
  <c r="R91" i="43"/>
  <c r="I49" i="69" s="1"/>
  <c r="K91" i="43"/>
  <c r="S91" i="43"/>
  <c r="I48" i="70" s="1"/>
  <c r="T91" i="43"/>
  <c r="I49" i="71" s="1"/>
  <c r="M91" i="43"/>
  <c r="I49" i="64" s="1"/>
  <c r="U91" i="43"/>
  <c r="I48" i="72" s="1"/>
  <c r="I50" i="41" l="1"/>
  <c r="A6" i="73"/>
  <c r="A6" i="72"/>
  <c r="A6" i="70"/>
  <c r="A6" i="69"/>
  <c r="A6" i="68"/>
  <c r="A6" i="71"/>
  <c r="D64" i="73"/>
  <c r="D76" i="73"/>
  <c r="D74" i="73"/>
  <c r="D73" i="73"/>
  <c r="H44" i="73" s="1"/>
  <c r="D72" i="73"/>
  <c r="H45" i="73" s="1"/>
  <c r="D71" i="73"/>
  <c r="D70" i="73"/>
  <c r="D69" i="73"/>
  <c r="D68" i="73"/>
  <c r="D67" i="73"/>
  <c r="D66" i="73"/>
  <c r="D65" i="73"/>
  <c r="D64" i="72"/>
  <c r="D63" i="72"/>
  <c r="D75" i="72"/>
  <c r="D73" i="72"/>
  <c r="D72" i="72"/>
  <c r="H43" i="72" s="1"/>
  <c r="D71" i="72"/>
  <c r="H44" i="72" s="1"/>
  <c r="D70" i="72"/>
  <c r="D69" i="72"/>
  <c r="D68" i="72"/>
  <c r="D67" i="72"/>
  <c r="D66" i="72"/>
  <c r="D65" i="72"/>
  <c r="D64" i="71"/>
  <c r="D76" i="71"/>
  <c r="D74" i="71"/>
  <c r="D73" i="71"/>
  <c r="H44" i="71" s="1"/>
  <c r="D72" i="71"/>
  <c r="H45" i="71" s="1"/>
  <c r="D71" i="71"/>
  <c r="D70" i="71"/>
  <c r="D69" i="71"/>
  <c r="D68" i="71"/>
  <c r="D67" i="71"/>
  <c r="D66" i="71"/>
  <c r="D65" i="71"/>
  <c r="D63" i="70"/>
  <c r="D75" i="70"/>
  <c r="D73" i="70"/>
  <c r="D72" i="70"/>
  <c r="H43" i="70" s="1"/>
  <c r="D71" i="70"/>
  <c r="H44" i="70" s="1"/>
  <c r="D70" i="70"/>
  <c r="D69" i="70"/>
  <c r="D68" i="70"/>
  <c r="D67" i="70"/>
  <c r="D66" i="70"/>
  <c r="D65" i="70"/>
  <c r="D64" i="70"/>
  <c r="D64" i="69"/>
  <c r="D76" i="69"/>
  <c r="D74" i="69"/>
  <c r="D73" i="69"/>
  <c r="H44" i="69" s="1"/>
  <c r="D72" i="69"/>
  <c r="H45" i="69" s="1"/>
  <c r="D71" i="69"/>
  <c r="D70" i="69"/>
  <c r="D69" i="69"/>
  <c r="D68" i="69"/>
  <c r="D67" i="69"/>
  <c r="D66" i="69"/>
  <c r="D65" i="69"/>
  <c r="D72" i="68"/>
  <c r="D71" i="68"/>
  <c r="H42" i="68" s="1"/>
  <c r="D70" i="68"/>
  <c r="H43" i="68" s="1"/>
  <c r="D69" i="68"/>
  <c r="D68" i="68"/>
  <c r="D67" i="68"/>
  <c r="D66" i="68"/>
  <c r="D65" i="68"/>
  <c r="D64" i="68"/>
  <c r="D64" i="67"/>
  <c r="D76" i="67"/>
  <c r="D74" i="67"/>
  <c r="D73" i="67"/>
  <c r="D72" i="67"/>
  <c r="D71" i="67"/>
  <c r="D70" i="67"/>
  <c r="D69" i="67"/>
  <c r="D68" i="67"/>
  <c r="D67" i="67"/>
  <c r="D66" i="67"/>
  <c r="D65" i="67"/>
  <c r="D65" i="66"/>
  <c r="D64" i="66"/>
  <c r="D76" i="66"/>
  <c r="D74" i="66"/>
  <c r="D73" i="66"/>
  <c r="H44" i="66" s="1"/>
  <c r="D72" i="66"/>
  <c r="H45" i="66" s="1"/>
  <c r="D71" i="66"/>
  <c r="D70" i="66"/>
  <c r="D69" i="66"/>
  <c r="D68" i="66"/>
  <c r="D67" i="66"/>
  <c r="D66" i="66"/>
  <c r="D63" i="65"/>
  <c r="D75" i="65"/>
  <c r="D73" i="65"/>
  <c r="D72" i="65"/>
  <c r="H43" i="65" s="1"/>
  <c r="D71" i="65"/>
  <c r="H44" i="65" s="1"/>
  <c r="D70" i="65"/>
  <c r="D69" i="65"/>
  <c r="D68" i="65"/>
  <c r="D67" i="65"/>
  <c r="D66" i="65"/>
  <c r="D65" i="65"/>
  <c r="D64" i="65"/>
  <c r="D64" i="64"/>
  <c r="D76" i="64"/>
  <c r="D74" i="64"/>
  <c r="D73" i="64"/>
  <c r="H44" i="64" s="1"/>
  <c r="D72" i="64"/>
  <c r="H45" i="64" s="1"/>
  <c r="D71" i="64"/>
  <c r="D70" i="64"/>
  <c r="D69" i="64"/>
  <c r="D68" i="64"/>
  <c r="D67" i="64"/>
  <c r="D66" i="64"/>
  <c r="D65" i="64"/>
  <c r="D63" i="63"/>
  <c r="D75" i="63"/>
  <c r="D73" i="63"/>
  <c r="D72" i="63"/>
  <c r="H43" i="63" s="1"/>
  <c r="D71" i="63"/>
  <c r="H44" i="63" s="1"/>
  <c r="D70" i="63"/>
  <c r="D69" i="63"/>
  <c r="D68" i="63"/>
  <c r="D67" i="63"/>
  <c r="D66" i="63"/>
  <c r="D65" i="63"/>
  <c r="D64" i="63"/>
  <c r="AO88" i="73"/>
  <c r="BL88" i="73" s="1"/>
  <c r="AO87" i="73"/>
  <c r="BL87" i="73" s="1"/>
  <c r="AO86" i="73"/>
  <c r="BL86" i="73" s="1"/>
  <c r="AO85" i="73"/>
  <c r="BL85" i="73" s="1"/>
  <c r="Y75" i="73"/>
  <c r="A51" i="73"/>
  <c r="A47" i="73"/>
  <c r="A46" i="73"/>
  <c r="A45" i="73"/>
  <c r="A44" i="73"/>
  <c r="A42" i="73"/>
  <c r="R40" i="73"/>
  <c r="DF39" i="73"/>
  <c r="DE39" i="73"/>
  <c r="DD39" i="73"/>
  <c r="DC39" i="73"/>
  <c r="DB39" i="73"/>
  <c r="DA39" i="73"/>
  <c r="CZ39" i="73"/>
  <c r="CY39" i="73"/>
  <c r="CC39" i="73"/>
  <c r="CB39" i="73"/>
  <c r="BF39" i="73"/>
  <c r="BE39" i="73"/>
  <c r="BD39" i="73"/>
  <c r="BC39" i="73"/>
  <c r="AE39" i="73"/>
  <c r="AD39" i="73"/>
  <c r="AC39" i="73"/>
  <c r="AB39" i="73"/>
  <c r="AA39" i="73"/>
  <c r="DF38" i="73"/>
  <c r="DE38" i="73"/>
  <c r="DD38" i="73"/>
  <c r="DC38" i="73"/>
  <c r="DB38" i="73"/>
  <c r="DA38" i="73"/>
  <c r="CZ38" i="73"/>
  <c r="CY38" i="73"/>
  <c r="CC38" i="73"/>
  <c r="CB38" i="73"/>
  <c r="BF38" i="73"/>
  <c r="BE38" i="73"/>
  <c r="BD38" i="73"/>
  <c r="BC38" i="73"/>
  <c r="AE38" i="73"/>
  <c r="AD38" i="73"/>
  <c r="AC38" i="73"/>
  <c r="AB38" i="73"/>
  <c r="AA38" i="73"/>
  <c r="DF37" i="73"/>
  <c r="DE37" i="73"/>
  <c r="DD37" i="73"/>
  <c r="DC37" i="73"/>
  <c r="DB37" i="73"/>
  <c r="DA37" i="73"/>
  <c r="CZ37" i="73"/>
  <c r="CY37" i="73"/>
  <c r="CC37" i="73"/>
  <c r="CB37" i="73"/>
  <c r="BF37" i="73"/>
  <c r="BE37" i="73"/>
  <c r="BD37" i="73"/>
  <c r="BC37" i="73"/>
  <c r="AE37" i="73"/>
  <c r="AD37" i="73"/>
  <c r="AC37" i="73"/>
  <c r="AB37" i="73"/>
  <c r="AA37" i="73"/>
  <c r="DF36" i="73"/>
  <c r="DE36" i="73"/>
  <c r="DD36" i="73"/>
  <c r="DC36" i="73"/>
  <c r="DB36" i="73"/>
  <c r="DA36" i="73"/>
  <c r="CZ36" i="73"/>
  <c r="CY36" i="73"/>
  <c r="CC36" i="73"/>
  <c r="CB36" i="73"/>
  <c r="CX36" i="73" s="1"/>
  <c r="BF36" i="73"/>
  <c r="BE36" i="73"/>
  <c r="BD36" i="73"/>
  <c r="BC36" i="73"/>
  <c r="AE36" i="73"/>
  <c r="AD36" i="73"/>
  <c r="AC36" i="73"/>
  <c r="AB36" i="73"/>
  <c r="AA36" i="73"/>
  <c r="DF35" i="73"/>
  <c r="DE35" i="73"/>
  <c r="DD35" i="73"/>
  <c r="DC35" i="73"/>
  <c r="DB35" i="73"/>
  <c r="DA35" i="73"/>
  <c r="CZ35" i="73"/>
  <c r="CY35" i="73"/>
  <c r="CC35" i="73"/>
  <c r="CB35" i="73"/>
  <c r="BF35" i="73"/>
  <c r="BE35" i="73"/>
  <c r="BD35" i="73"/>
  <c r="BC35" i="73"/>
  <c r="AE35" i="73"/>
  <c r="AD35" i="73"/>
  <c r="AC35" i="73"/>
  <c r="AB35" i="73"/>
  <c r="AA35" i="73"/>
  <c r="DF34" i="73"/>
  <c r="DE34" i="73"/>
  <c r="DD34" i="73"/>
  <c r="DC34" i="73"/>
  <c r="DB34" i="73"/>
  <c r="DA34" i="73"/>
  <c r="CZ34" i="73"/>
  <c r="CY34" i="73"/>
  <c r="CC34" i="73"/>
  <c r="CB34" i="73"/>
  <c r="CX34" i="73" s="1"/>
  <c r="BF34" i="73"/>
  <c r="BE34" i="73"/>
  <c r="BD34" i="73"/>
  <c r="BC34" i="73"/>
  <c r="AE34" i="73"/>
  <c r="AD34" i="73"/>
  <c r="AC34" i="73"/>
  <c r="AB34" i="73"/>
  <c r="AA34" i="73"/>
  <c r="DF33" i="73"/>
  <c r="DE33" i="73"/>
  <c r="DD33" i="73"/>
  <c r="DC33" i="73"/>
  <c r="DB33" i="73"/>
  <c r="DA33" i="73"/>
  <c r="CZ33" i="73"/>
  <c r="CY33" i="73"/>
  <c r="CC33" i="73"/>
  <c r="CB33" i="73"/>
  <c r="CX33" i="73" s="1"/>
  <c r="BF33" i="73"/>
  <c r="BE33" i="73"/>
  <c r="BD33" i="73"/>
  <c r="BC33" i="73"/>
  <c r="AE33" i="73"/>
  <c r="AD33" i="73"/>
  <c r="AC33" i="73"/>
  <c r="AB33" i="73"/>
  <c r="AA33" i="73"/>
  <c r="DF32" i="73"/>
  <c r="DE32" i="73"/>
  <c r="DD32" i="73"/>
  <c r="DC32" i="73"/>
  <c r="DB32" i="73"/>
  <c r="DA32" i="73"/>
  <c r="CZ32" i="73"/>
  <c r="CY32" i="73"/>
  <c r="CC32" i="73"/>
  <c r="CB32" i="73"/>
  <c r="CX32" i="73" s="1"/>
  <c r="BF32" i="73"/>
  <c r="BE32" i="73"/>
  <c r="BD32" i="73"/>
  <c r="BC32" i="73"/>
  <c r="AE32" i="73"/>
  <c r="AD32" i="73"/>
  <c r="AC32" i="73"/>
  <c r="AB32" i="73"/>
  <c r="AA32" i="73"/>
  <c r="DF31" i="73"/>
  <c r="DE31" i="73"/>
  <c r="DD31" i="73"/>
  <c r="DC31" i="73"/>
  <c r="DB31" i="73"/>
  <c r="DA31" i="73"/>
  <c r="CZ31" i="73"/>
  <c r="CY31" i="73"/>
  <c r="CC31" i="73"/>
  <c r="CB31" i="73"/>
  <c r="BF31" i="73"/>
  <c r="BE31" i="73"/>
  <c r="BD31" i="73"/>
  <c r="BC31" i="73"/>
  <c r="AE31" i="73"/>
  <c r="AD31" i="73"/>
  <c r="AC31" i="73"/>
  <c r="AB31" i="73"/>
  <c r="AA31" i="73"/>
  <c r="DF30" i="73"/>
  <c r="DE30" i="73"/>
  <c r="DD30" i="73"/>
  <c r="DC30" i="73"/>
  <c r="DB30" i="73"/>
  <c r="DA30" i="73"/>
  <c r="CZ30" i="73"/>
  <c r="CY30" i="73"/>
  <c r="CC30" i="73"/>
  <c r="CB30" i="73"/>
  <c r="BF30" i="73"/>
  <c r="BE30" i="73"/>
  <c r="BD30" i="73"/>
  <c r="BC30" i="73"/>
  <c r="AE30" i="73"/>
  <c r="AD30" i="73"/>
  <c r="AC30" i="73"/>
  <c r="AB30" i="73"/>
  <c r="AA30" i="73"/>
  <c r="DF29" i="73"/>
  <c r="DE29" i="73"/>
  <c r="DD29" i="73"/>
  <c r="DC29" i="73"/>
  <c r="DB29" i="73"/>
  <c r="DA29" i="73"/>
  <c r="CZ29" i="73"/>
  <c r="CY29" i="73"/>
  <c r="CC29" i="73"/>
  <c r="CB29" i="73"/>
  <c r="BF29" i="73"/>
  <c r="BE29" i="73"/>
  <c r="BD29" i="73"/>
  <c r="BC29" i="73"/>
  <c r="AE29" i="73"/>
  <c r="AD29" i="73"/>
  <c r="AC29" i="73"/>
  <c r="AB29" i="73"/>
  <c r="AA29" i="73"/>
  <c r="DF28" i="73"/>
  <c r="DE28" i="73"/>
  <c r="DD28" i="73"/>
  <c r="DC28" i="73"/>
  <c r="DB28" i="73"/>
  <c r="DA28" i="73"/>
  <c r="CZ28" i="73"/>
  <c r="CY28" i="73"/>
  <c r="CC28" i="73"/>
  <c r="CB28" i="73"/>
  <c r="CX28" i="73" s="1"/>
  <c r="BF28" i="73"/>
  <c r="BE28" i="73"/>
  <c r="BD28" i="73"/>
  <c r="BC28" i="73"/>
  <c r="AE28" i="73"/>
  <c r="AD28" i="73"/>
  <c r="AC28" i="73"/>
  <c r="AB28" i="73"/>
  <c r="AA28" i="73"/>
  <c r="DF27" i="73"/>
  <c r="DE27" i="73"/>
  <c r="DD27" i="73"/>
  <c r="DC27" i="73"/>
  <c r="DB27" i="73"/>
  <c r="DA27" i="73"/>
  <c r="CZ27" i="73"/>
  <c r="CY27" i="73"/>
  <c r="CC27" i="73"/>
  <c r="CB27" i="73"/>
  <c r="BF27" i="73"/>
  <c r="BE27" i="73"/>
  <c r="BD27" i="73"/>
  <c r="BC27" i="73"/>
  <c r="AE27" i="73"/>
  <c r="AD27" i="73"/>
  <c r="AC27" i="73"/>
  <c r="AB27" i="73"/>
  <c r="AA27" i="73"/>
  <c r="DF26" i="73"/>
  <c r="DE26" i="73"/>
  <c r="DD26" i="73"/>
  <c r="DC26" i="73"/>
  <c r="DB26" i="73"/>
  <c r="DA26" i="73"/>
  <c r="CZ26" i="73"/>
  <c r="CY26" i="73"/>
  <c r="CC26" i="73"/>
  <c r="CB26" i="73"/>
  <c r="BF26" i="73"/>
  <c r="BE26" i="73"/>
  <c r="BD26" i="73"/>
  <c r="BC26" i="73"/>
  <c r="AE26" i="73"/>
  <c r="AD26" i="73"/>
  <c r="AC26" i="73"/>
  <c r="AB26" i="73"/>
  <c r="AA26" i="73"/>
  <c r="DF25" i="73"/>
  <c r="DE25" i="73"/>
  <c r="DD25" i="73"/>
  <c r="DC25" i="73"/>
  <c r="DB25" i="73"/>
  <c r="DA25" i="73"/>
  <c r="CZ25" i="73"/>
  <c r="CY25" i="73"/>
  <c r="CC25" i="73"/>
  <c r="CB25" i="73"/>
  <c r="BF25" i="73"/>
  <c r="BE25" i="73"/>
  <c r="BD25" i="73"/>
  <c r="BC25" i="73"/>
  <c r="AE25" i="73"/>
  <c r="AD25" i="73"/>
  <c r="AC25" i="73"/>
  <c r="AB25" i="73"/>
  <c r="AA25" i="73"/>
  <c r="DF24" i="73"/>
  <c r="DE24" i="73"/>
  <c r="DD24" i="73"/>
  <c r="DC24" i="73"/>
  <c r="DB24" i="73"/>
  <c r="DA24" i="73"/>
  <c r="CZ24" i="73"/>
  <c r="CY24" i="73"/>
  <c r="CC24" i="73"/>
  <c r="CB24" i="73"/>
  <c r="BF24" i="73"/>
  <c r="BE24" i="73"/>
  <c r="BD24" i="73"/>
  <c r="BC24" i="73"/>
  <c r="AE24" i="73"/>
  <c r="AD24" i="73"/>
  <c r="AC24" i="73"/>
  <c r="AB24" i="73"/>
  <c r="AA24" i="73"/>
  <c r="DF23" i="73"/>
  <c r="DE23" i="73"/>
  <c r="DD23" i="73"/>
  <c r="DC23" i="73"/>
  <c r="DB23" i="73"/>
  <c r="DA23" i="73"/>
  <c r="CZ23" i="73"/>
  <c r="CY23" i="73"/>
  <c r="CC23" i="73"/>
  <c r="CB23" i="73"/>
  <c r="BF23" i="73"/>
  <c r="BE23" i="73"/>
  <c r="BD23" i="73"/>
  <c r="BC23" i="73"/>
  <c r="AE23" i="73"/>
  <c r="AD23" i="73"/>
  <c r="AC23" i="73"/>
  <c r="AB23" i="73"/>
  <c r="AA23" i="73"/>
  <c r="DF22" i="73"/>
  <c r="DE22" i="73"/>
  <c r="DD22" i="73"/>
  <c r="DC22" i="73"/>
  <c r="DB22" i="73"/>
  <c r="DA22" i="73"/>
  <c r="CZ22" i="73"/>
  <c r="CY22" i="73"/>
  <c r="CC22" i="73"/>
  <c r="CB22" i="73"/>
  <c r="BF22" i="73"/>
  <c r="BE22" i="73"/>
  <c r="BD22" i="73"/>
  <c r="BC22" i="73"/>
  <c r="AE22" i="73"/>
  <c r="AD22" i="73"/>
  <c r="AC22" i="73"/>
  <c r="AB22" i="73"/>
  <c r="AA22" i="73"/>
  <c r="DF21" i="73"/>
  <c r="DE21" i="73"/>
  <c r="DD21" i="73"/>
  <c r="DC21" i="73"/>
  <c r="DB21" i="73"/>
  <c r="DA21" i="73"/>
  <c r="CZ21" i="73"/>
  <c r="CY21" i="73"/>
  <c r="CC21" i="73"/>
  <c r="CB21" i="73"/>
  <c r="BF21" i="73"/>
  <c r="BE21" i="73"/>
  <c r="BD21" i="73"/>
  <c r="BC21" i="73"/>
  <c r="AE21" i="73"/>
  <c r="AD21" i="73"/>
  <c r="AC21" i="73"/>
  <c r="AB21" i="73"/>
  <c r="AA21" i="73"/>
  <c r="DF20" i="73"/>
  <c r="DE20" i="73"/>
  <c r="DD20" i="73"/>
  <c r="DC20" i="73"/>
  <c r="DB20" i="73"/>
  <c r="DA20" i="73"/>
  <c r="CZ20" i="73"/>
  <c r="CY20" i="73"/>
  <c r="CC20" i="73"/>
  <c r="CB20" i="73"/>
  <c r="CX20" i="73" s="1"/>
  <c r="BF20" i="73"/>
  <c r="BE20" i="73"/>
  <c r="BD20" i="73"/>
  <c r="BC20" i="73"/>
  <c r="AE20" i="73"/>
  <c r="AD20" i="73"/>
  <c r="AC20" i="73"/>
  <c r="AB20" i="73"/>
  <c r="AA20" i="73"/>
  <c r="DF19" i="73"/>
  <c r="DE19" i="73"/>
  <c r="DD19" i="73"/>
  <c r="DC19" i="73"/>
  <c r="DB19" i="73"/>
  <c r="DA19" i="73"/>
  <c r="CZ19" i="73"/>
  <c r="CY19" i="73"/>
  <c r="CC19" i="73"/>
  <c r="CB19" i="73"/>
  <c r="BF19" i="73"/>
  <c r="BE19" i="73"/>
  <c r="BD19" i="73"/>
  <c r="BC19" i="73"/>
  <c r="AE19" i="73"/>
  <c r="AD19" i="73"/>
  <c r="AC19" i="73"/>
  <c r="AB19" i="73"/>
  <c r="AA19" i="73"/>
  <c r="DF18" i="73"/>
  <c r="DE18" i="73"/>
  <c r="DD18" i="73"/>
  <c r="DC18" i="73"/>
  <c r="DB18" i="73"/>
  <c r="DA18" i="73"/>
  <c r="CZ18" i="73"/>
  <c r="CY18" i="73"/>
  <c r="CC18" i="73"/>
  <c r="CB18" i="73"/>
  <c r="CX18" i="73" s="1"/>
  <c r="BF18" i="73"/>
  <c r="BE18" i="73"/>
  <c r="BD18" i="73"/>
  <c r="BC18" i="73"/>
  <c r="AE18" i="73"/>
  <c r="AD18" i="73"/>
  <c r="AC18" i="73"/>
  <c r="AB18" i="73"/>
  <c r="AA18" i="73"/>
  <c r="DF17" i="73"/>
  <c r="DE17" i="73"/>
  <c r="DD17" i="73"/>
  <c r="DC17" i="73"/>
  <c r="DB17" i="73"/>
  <c r="DA17" i="73"/>
  <c r="CZ17" i="73"/>
  <c r="CY17" i="73"/>
  <c r="CC17" i="73"/>
  <c r="CB17" i="73"/>
  <c r="CX17" i="73" s="1"/>
  <c r="BF17" i="73"/>
  <c r="BE17" i="73"/>
  <c r="BD17" i="73"/>
  <c r="BC17" i="73"/>
  <c r="AE17" i="73"/>
  <c r="AD17" i="73"/>
  <c r="AC17" i="73"/>
  <c r="AB17" i="73"/>
  <c r="AA17" i="73"/>
  <c r="DF16" i="73"/>
  <c r="DE16" i="73"/>
  <c r="DD16" i="73"/>
  <c r="DC16" i="73"/>
  <c r="DB16" i="73"/>
  <c r="DA16" i="73"/>
  <c r="CZ16" i="73"/>
  <c r="CY16" i="73"/>
  <c r="CC16" i="73"/>
  <c r="CB16" i="73"/>
  <c r="BF16" i="73"/>
  <c r="BE16" i="73"/>
  <c r="BD16" i="73"/>
  <c r="BC16" i="73"/>
  <c r="AE16" i="73"/>
  <c r="AD16" i="73"/>
  <c r="AC16" i="73"/>
  <c r="AB16" i="73"/>
  <c r="AA16" i="73"/>
  <c r="DF15" i="73"/>
  <c r="DE15" i="73"/>
  <c r="DD15" i="73"/>
  <c r="DC15" i="73"/>
  <c r="DB15" i="73"/>
  <c r="DA15" i="73"/>
  <c r="CZ15" i="73"/>
  <c r="CY15" i="73"/>
  <c r="CC15" i="73"/>
  <c r="CB15" i="73"/>
  <c r="CX15" i="73" s="1"/>
  <c r="BF15" i="73"/>
  <c r="BE15" i="73"/>
  <c r="BD15" i="73"/>
  <c r="BC15" i="73"/>
  <c r="AE15" i="73"/>
  <c r="AD15" i="73"/>
  <c r="AC15" i="73"/>
  <c r="AB15" i="73"/>
  <c r="AA15" i="73"/>
  <c r="DF14" i="73"/>
  <c r="DE14" i="73"/>
  <c r="DD14" i="73"/>
  <c r="DC14" i="73"/>
  <c r="DB14" i="73"/>
  <c r="DA14" i="73"/>
  <c r="CZ14" i="73"/>
  <c r="CY14" i="73"/>
  <c r="CC14" i="73"/>
  <c r="CB14" i="73"/>
  <c r="BF14" i="73"/>
  <c r="BE14" i="73"/>
  <c r="BD14" i="73"/>
  <c r="BC14" i="73"/>
  <c r="AE14" i="73"/>
  <c r="AD14" i="73"/>
  <c r="AC14" i="73"/>
  <c r="AB14" i="73"/>
  <c r="AA14" i="73"/>
  <c r="DF13" i="73"/>
  <c r="DE13" i="73"/>
  <c r="DD13" i="73"/>
  <c r="DC13" i="73"/>
  <c r="DB13" i="73"/>
  <c r="DA13" i="73"/>
  <c r="CZ13" i="73"/>
  <c r="CY13" i="73"/>
  <c r="CC13" i="73"/>
  <c r="CB13" i="73"/>
  <c r="BF13" i="73"/>
  <c r="BE13" i="73"/>
  <c r="BD13" i="73"/>
  <c r="BC13" i="73"/>
  <c r="AE13" i="73"/>
  <c r="AD13" i="73"/>
  <c r="AC13" i="73"/>
  <c r="AB13" i="73"/>
  <c r="AA13" i="73"/>
  <c r="DF12" i="73"/>
  <c r="DE12" i="73"/>
  <c r="DD12" i="73"/>
  <c r="DC12" i="73"/>
  <c r="DB12" i="73"/>
  <c r="DA12" i="73"/>
  <c r="CZ12" i="73"/>
  <c r="CY12" i="73"/>
  <c r="CC12" i="73"/>
  <c r="CB12" i="73"/>
  <c r="CX12" i="73" s="1"/>
  <c r="BF12" i="73"/>
  <c r="BE12" i="73"/>
  <c r="BD12" i="73"/>
  <c r="BC12" i="73"/>
  <c r="AE12" i="73"/>
  <c r="AD12" i="73"/>
  <c r="AC12" i="73"/>
  <c r="AB12" i="73"/>
  <c r="AA12" i="73"/>
  <c r="DF11" i="73"/>
  <c r="DE11" i="73"/>
  <c r="DD11" i="73"/>
  <c r="DC11" i="73"/>
  <c r="DB11" i="73"/>
  <c r="DA11" i="73"/>
  <c r="CZ11" i="73"/>
  <c r="CY11" i="73"/>
  <c r="CC11" i="73"/>
  <c r="CB11" i="73"/>
  <c r="BF11" i="73"/>
  <c r="BE11" i="73"/>
  <c r="BD11" i="73"/>
  <c r="BC11" i="73"/>
  <c r="AE11" i="73"/>
  <c r="AD11" i="73"/>
  <c r="AC11" i="73"/>
  <c r="AB11" i="73"/>
  <c r="AA11" i="73"/>
  <c r="DF10" i="73"/>
  <c r="DE10" i="73"/>
  <c r="DD10" i="73"/>
  <c r="DC10" i="73"/>
  <c r="DB10" i="73"/>
  <c r="DA10" i="73"/>
  <c r="CZ10" i="73"/>
  <c r="CY10" i="73"/>
  <c r="CC10" i="73"/>
  <c r="CB10" i="73"/>
  <c r="CX10" i="73" s="1"/>
  <c r="BF10" i="73"/>
  <c r="BE10" i="73"/>
  <c r="BD10" i="73"/>
  <c r="BC10" i="73"/>
  <c r="AE10" i="73"/>
  <c r="AD10" i="73"/>
  <c r="AC10" i="73"/>
  <c r="AB10" i="73"/>
  <c r="AA10" i="73"/>
  <c r="DF9" i="73"/>
  <c r="DE9" i="73"/>
  <c r="DD9" i="73"/>
  <c r="DC9" i="73"/>
  <c r="DB9" i="73"/>
  <c r="DA9" i="73"/>
  <c r="CZ9" i="73"/>
  <c r="CY9" i="73"/>
  <c r="CC9" i="73"/>
  <c r="CB9" i="73"/>
  <c r="CX9" i="73" s="1"/>
  <c r="BF9" i="73"/>
  <c r="BE9" i="73"/>
  <c r="BD9" i="73"/>
  <c r="BC9" i="73"/>
  <c r="AE9" i="73"/>
  <c r="AD9" i="73"/>
  <c r="AC9" i="73"/>
  <c r="AB9" i="73"/>
  <c r="AA9" i="73"/>
  <c r="A9" i="73"/>
  <c r="AO87" i="72"/>
  <c r="BL87" i="72" s="1"/>
  <c r="AO86" i="72"/>
  <c r="BL86" i="72" s="1"/>
  <c r="AO85" i="72"/>
  <c r="BL85" i="72" s="1"/>
  <c r="AO84" i="72"/>
  <c r="BL84" i="72" s="1"/>
  <c r="A50" i="72"/>
  <c r="A46" i="72"/>
  <c r="A45" i="72"/>
  <c r="A44" i="72"/>
  <c r="A43" i="72"/>
  <c r="A41" i="72"/>
  <c r="R39" i="72"/>
  <c r="DF38" i="72"/>
  <c r="DE38" i="72"/>
  <c r="DD38" i="72"/>
  <c r="DC38" i="72"/>
  <c r="DB38" i="72"/>
  <c r="DA38" i="72"/>
  <c r="CZ38" i="72"/>
  <c r="CY38" i="72"/>
  <c r="CC38" i="72"/>
  <c r="CB38" i="72"/>
  <c r="BF38" i="72"/>
  <c r="BE38" i="72"/>
  <c r="BD38" i="72"/>
  <c r="BC38" i="72"/>
  <c r="AE38" i="72"/>
  <c r="AD38" i="72"/>
  <c r="AC38" i="72"/>
  <c r="AB38" i="72"/>
  <c r="AA38" i="72"/>
  <c r="DF37" i="72"/>
  <c r="DE37" i="72"/>
  <c r="DD37" i="72"/>
  <c r="DC37" i="72"/>
  <c r="DB37" i="72"/>
  <c r="DA37" i="72"/>
  <c r="CZ37" i="72"/>
  <c r="CY37" i="72"/>
  <c r="CC37" i="72"/>
  <c r="CB37" i="72"/>
  <c r="BF37" i="72"/>
  <c r="BE37" i="72"/>
  <c r="BD37" i="72"/>
  <c r="BC37" i="72"/>
  <c r="AE37" i="72"/>
  <c r="AD37" i="72"/>
  <c r="AC37" i="72"/>
  <c r="AB37" i="72"/>
  <c r="AA37" i="72"/>
  <c r="DF36" i="72"/>
  <c r="DE36" i="72"/>
  <c r="DD36" i="72"/>
  <c r="DC36" i="72"/>
  <c r="DB36" i="72"/>
  <c r="DA36" i="72"/>
  <c r="CZ36" i="72"/>
  <c r="CY36" i="72"/>
  <c r="CC36" i="72"/>
  <c r="CB36" i="72"/>
  <c r="BF36" i="72"/>
  <c r="BE36" i="72"/>
  <c r="BD36" i="72"/>
  <c r="BC36" i="72"/>
  <c r="AE36" i="72"/>
  <c r="AD36" i="72"/>
  <c r="AC36" i="72"/>
  <c r="AB36" i="72"/>
  <c r="AA36" i="72"/>
  <c r="DF35" i="72"/>
  <c r="DE35" i="72"/>
  <c r="DD35" i="72"/>
  <c r="DC35" i="72"/>
  <c r="DB35" i="72"/>
  <c r="DA35" i="72"/>
  <c r="CZ35" i="72"/>
  <c r="CY35" i="72"/>
  <c r="CC35" i="72"/>
  <c r="CB35" i="72"/>
  <c r="BF35" i="72"/>
  <c r="BE35" i="72"/>
  <c r="BD35" i="72"/>
  <c r="BC35" i="72"/>
  <c r="AE35" i="72"/>
  <c r="AD35" i="72"/>
  <c r="AC35" i="72"/>
  <c r="AB35" i="72"/>
  <c r="AA35" i="72"/>
  <c r="DF34" i="72"/>
  <c r="DE34" i="72"/>
  <c r="DD34" i="72"/>
  <c r="DC34" i="72"/>
  <c r="DB34" i="72"/>
  <c r="DA34" i="72"/>
  <c r="CZ34" i="72"/>
  <c r="CY34" i="72"/>
  <c r="CC34" i="72"/>
  <c r="CB34" i="72"/>
  <c r="CX34" i="72" s="1"/>
  <c r="BF34" i="72"/>
  <c r="BE34" i="72"/>
  <c r="BD34" i="72"/>
  <c r="BC34" i="72"/>
  <c r="AE34" i="72"/>
  <c r="AD34" i="72"/>
  <c r="AC34" i="72"/>
  <c r="AB34" i="72"/>
  <c r="AA34" i="72"/>
  <c r="DF33" i="72"/>
  <c r="DE33" i="72"/>
  <c r="DD33" i="72"/>
  <c r="DC33" i="72"/>
  <c r="DB33" i="72"/>
  <c r="DA33" i="72"/>
  <c r="CZ33" i="72"/>
  <c r="CY33" i="72"/>
  <c r="CC33" i="72"/>
  <c r="CB33" i="72"/>
  <c r="BF33" i="72"/>
  <c r="BE33" i="72"/>
  <c r="BD33" i="72"/>
  <c r="BC33" i="72"/>
  <c r="AE33" i="72"/>
  <c r="AD33" i="72"/>
  <c r="AC33" i="72"/>
  <c r="AB33" i="72"/>
  <c r="AA33" i="72"/>
  <c r="DF32" i="72"/>
  <c r="DE32" i="72"/>
  <c r="DD32" i="72"/>
  <c r="DC32" i="72"/>
  <c r="DB32" i="72"/>
  <c r="DA32" i="72"/>
  <c r="CZ32" i="72"/>
  <c r="CY32" i="72"/>
  <c r="CC32" i="72"/>
  <c r="CB32" i="72"/>
  <c r="BF32" i="72"/>
  <c r="BE32" i="72"/>
  <c r="BD32" i="72"/>
  <c r="BC32" i="72"/>
  <c r="AE32" i="72"/>
  <c r="AD32" i="72"/>
  <c r="AC32" i="72"/>
  <c r="AB32" i="72"/>
  <c r="AA32" i="72"/>
  <c r="DF31" i="72"/>
  <c r="DE31" i="72"/>
  <c r="DD31" i="72"/>
  <c r="DC31" i="72"/>
  <c r="DB31" i="72"/>
  <c r="DA31" i="72"/>
  <c r="CZ31" i="72"/>
  <c r="CY31" i="72"/>
  <c r="CC31" i="72"/>
  <c r="CB31" i="72"/>
  <c r="BF31" i="72"/>
  <c r="BE31" i="72"/>
  <c r="BD31" i="72"/>
  <c r="BC31" i="72"/>
  <c r="AE31" i="72"/>
  <c r="AD31" i="72"/>
  <c r="AC31" i="72"/>
  <c r="AB31" i="72"/>
  <c r="AA31" i="72"/>
  <c r="DF30" i="72"/>
  <c r="DE30" i="72"/>
  <c r="DD30" i="72"/>
  <c r="DC30" i="72"/>
  <c r="DB30" i="72"/>
  <c r="DA30" i="72"/>
  <c r="CZ30" i="72"/>
  <c r="CY30" i="72"/>
  <c r="CC30" i="72"/>
  <c r="CB30" i="72"/>
  <c r="CX30" i="72" s="1"/>
  <c r="BF30" i="72"/>
  <c r="BE30" i="72"/>
  <c r="BD30" i="72"/>
  <c r="BC30" i="72"/>
  <c r="AE30" i="72"/>
  <c r="AD30" i="72"/>
  <c r="AC30" i="72"/>
  <c r="AB30" i="72"/>
  <c r="AA30" i="72"/>
  <c r="DF29" i="72"/>
  <c r="DE29" i="72"/>
  <c r="DD29" i="72"/>
  <c r="DC29" i="72"/>
  <c r="DB29" i="72"/>
  <c r="DA29" i="72"/>
  <c r="CZ29" i="72"/>
  <c r="CY29" i="72"/>
  <c r="CC29" i="72"/>
  <c r="CB29" i="72"/>
  <c r="CX29" i="72" s="1"/>
  <c r="BF29" i="72"/>
  <c r="BE29" i="72"/>
  <c r="BD29" i="72"/>
  <c r="BC29" i="72"/>
  <c r="AE29" i="72"/>
  <c r="AD29" i="72"/>
  <c r="AC29" i="72"/>
  <c r="AB29" i="72"/>
  <c r="AA29" i="72"/>
  <c r="DF28" i="72"/>
  <c r="DE28" i="72"/>
  <c r="DD28" i="72"/>
  <c r="DC28" i="72"/>
  <c r="DB28" i="72"/>
  <c r="DA28" i="72"/>
  <c r="CZ28" i="72"/>
  <c r="CY28" i="72"/>
  <c r="CC28" i="72"/>
  <c r="CB28" i="72"/>
  <c r="BF28" i="72"/>
  <c r="BE28" i="72"/>
  <c r="BD28" i="72"/>
  <c r="BC28" i="72"/>
  <c r="AE28" i="72"/>
  <c r="AD28" i="72"/>
  <c r="AC28" i="72"/>
  <c r="AB28" i="72"/>
  <c r="AA28" i="72"/>
  <c r="DF27" i="72"/>
  <c r="DE27" i="72"/>
  <c r="DD27" i="72"/>
  <c r="DC27" i="72"/>
  <c r="DB27" i="72"/>
  <c r="DA27" i="72"/>
  <c r="CZ27" i="72"/>
  <c r="CY27" i="72"/>
  <c r="CC27" i="72"/>
  <c r="CB27" i="72"/>
  <c r="BF27" i="72"/>
  <c r="BE27" i="72"/>
  <c r="BD27" i="72"/>
  <c r="BC27" i="72"/>
  <c r="AE27" i="72"/>
  <c r="AD27" i="72"/>
  <c r="AC27" i="72"/>
  <c r="AB27" i="72"/>
  <c r="AA27" i="72"/>
  <c r="DF26" i="72"/>
  <c r="DE26" i="72"/>
  <c r="DD26" i="72"/>
  <c r="DC26" i="72"/>
  <c r="DB26" i="72"/>
  <c r="DA26" i="72"/>
  <c r="CZ26" i="72"/>
  <c r="CY26" i="72"/>
  <c r="CC26" i="72"/>
  <c r="CB26" i="72"/>
  <c r="BF26" i="72"/>
  <c r="BE26" i="72"/>
  <c r="BD26" i="72"/>
  <c r="BC26" i="72"/>
  <c r="AE26" i="72"/>
  <c r="AD26" i="72"/>
  <c r="AC26" i="72"/>
  <c r="AB26" i="72"/>
  <c r="AA26" i="72"/>
  <c r="DF25" i="72"/>
  <c r="DE25" i="72"/>
  <c r="DD25" i="72"/>
  <c r="DC25" i="72"/>
  <c r="DB25" i="72"/>
  <c r="DA25" i="72"/>
  <c r="CZ25" i="72"/>
  <c r="CY25" i="72"/>
  <c r="CC25" i="72"/>
  <c r="CB25" i="72"/>
  <c r="BF25" i="72"/>
  <c r="BE25" i="72"/>
  <c r="BD25" i="72"/>
  <c r="BC25" i="72"/>
  <c r="AE25" i="72"/>
  <c r="AD25" i="72"/>
  <c r="AC25" i="72"/>
  <c r="AB25" i="72"/>
  <c r="AA25" i="72"/>
  <c r="DF24" i="72"/>
  <c r="DE24" i="72"/>
  <c r="DD24" i="72"/>
  <c r="DC24" i="72"/>
  <c r="DB24" i="72"/>
  <c r="DA24" i="72"/>
  <c r="CZ24" i="72"/>
  <c r="CY24" i="72"/>
  <c r="CC24" i="72"/>
  <c r="CB24" i="72"/>
  <c r="BF24" i="72"/>
  <c r="BE24" i="72"/>
  <c r="BD24" i="72"/>
  <c r="BC24" i="72"/>
  <c r="AE24" i="72"/>
  <c r="AD24" i="72"/>
  <c r="AC24" i="72"/>
  <c r="AB24" i="72"/>
  <c r="AA24" i="72"/>
  <c r="DF23" i="72"/>
  <c r="DE23" i="72"/>
  <c r="DD23" i="72"/>
  <c r="DC23" i="72"/>
  <c r="DB23" i="72"/>
  <c r="DA23" i="72"/>
  <c r="CZ23" i="72"/>
  <c r="CY23" i="72"/>
  <c r="CC23" i="72"/>
  <c r="CB23" i="72"/>
  <c r="BF23" i="72"/>
  <c r="BE23" i="72"/>
  <c r="BD23" i="72"/>
  <c r="BC23" i="72"/>
  <c r="AE23" i="72"/>
  <c r="AD23" i="72"/>
  <c r="AC23" i="72"/>
  <c r="AB23" i="72"/>
  <c r="AA23" i="72"/>
  <c r="DF22" i="72"/>
  <c r="DE22" i="72"/>
  <c r="DD22" i="72"/>
  <c r="DC22" i="72"/>
  <c r="DB22" i="72"/>
  <c r="DA22" i="72"/>
  <c r="CZ22" i="72"/>
  <c r="CY22" i="72"/>
  <c r="CC22" i="72"/>
  <c r="CB22" i="72"/>
  <c r="BF22" i="72"/>
  <c r="BE22" i="72"/>
  <c r="BD22" i="72"/>
  <c r="BC22" i="72"/>
  <c r="AE22" i="72"/>
  <c r="AD22" i="72"/>
  <c r="AC22" i="72"/>
  <c r="AB22" i="72"/>
  <c r="AA22" i="72"/>
  <c r="DF21" i="72"/>
  <c r="DE21" i="72"/>
  <c r="DD21" i="72"/>
  <c r="DC21" i="72"/>
  <c r="DB21" i="72"/>
  <c r="DA21" i="72"/>
  <c r="CZ21" i="72"/>
  <c r="CY21" i="72"/>
  <c r="CC21" i="72"/>
  <c r="CB21" i="72"/>
  <c r="CX21" i="72" s="1"/>
  <c r="BF21" i="72"/>
  <c r="BE21" i="72"/>
  <c r="BD21" i="72"/>
  <c r="BC21" i="72"/>
  <c r="AE21" i="72"/>
  <c r="AD21" i="72"/>
  <c r="AC21" i="72"/>
  <c r="AB21" i="72"/>
  <c r="AA21" i="72"/>
  <c r="DF20" i="72"/>
  <c r="DE20" i="72"/>
  <c r="DD20" i="72"/>
  <c r="DC20" i="72"/>
  <c r="DB20" i="72"/>
  <c r="DA20" i="72"/>
  <c r="CZ20" i="72"/>
  <c r="CY20" i="72"/>
  <c r="CC20" i="72"/>
  <c r="CB20" i="72"/>
  <c r="BF20" i="72"/>
  <c r="BE20" i="72"/>
  <c r="BD20" i="72"/>
  <c r="BC20" i="72"/>
  <c r="AE20" i="72"/>
  <c r="AD20" i="72"/>
  <c r="AC20" i="72"/>
  <c r="AB20" i="72"/>
  <c r="AA20" i="72"/>
  <c r="DF19" i="72"/>
  <c r="DE19" i="72"/>
  <c r="DD19" i="72"/>
  <c r="DC19" i="72"/>
  <c r="DB19" i="72"/>
  <c r="DA19" i="72"/>
  <c r="CZ19" i="72"/>
  <c r="CY19" i="72"/>
  <c r="CC19" i="72"/>
  <c r="CB19" i="72"/>
  <c r="BF19" i="72"/>
  <c r="BE19" i="72"/>
  <c r="BD19" i="72"/>
  <c r="BC19" i="72"/>
  <c r="AE19" i="72"/>
  <c r="AD19" i="72"/>
  <c r="AC19" i="72"/>
  <c r="AB19" i="72"/>
  <c r="AA19" i="72"/>
  <c r="DF18" i="72"/>
  <c r="DE18" i="72"/>
  <c r="DD18" i="72"/>
  <c r="DC18" i="72"/>
  <c r="DB18" i="72"/>
  <c r="DA18" i="72"/>
  <c r="CZ18" i="72"/>
  <c r="CY18" i="72"/>
  <c r="CC18" i="72"/>
  <c r="CB18" i="72"/>
  <c r="BF18" i="72"/>
  <c r="BE18" i="72"/>
  <c r="BD18" i="72"/>
  <c r="BC18" i="72"/>
  <c r="AE18" i="72"/>
  <c r="AD18" i="72"/>
  <c r="AC18" i="72"/>
  <c r="AB18" i="72"/>
  <c r="AA18" i="72"/>
  <c r="DF17" i="72"/>
  <c r="DE17" i="72"/>
  <c r="DD17" i="72"/>
  <c r="DC17" i="72"/>
  <c r="DB17" i="72"/>
  <c r="DA17" i="72"/>
  <c r="CZ17" i="72"/>
  <c r="CY17" i="72"/>
  <c r="CC17" i="72"/>
  <c r="CB17" i="72"/>
  <c r="BF17" i="72"/>
  <c r="BE17" i="72"/>
  <c r="BD17" i="72"/>
  <c r="BC17" i="72"/>
  <c r="AE17" i="72"/>
  <c r="AD17" i="72"/>
  <c r="AC17" i="72"/>
  <c r="AB17" i="72"/>
  <c r="AA17" i="72"/>
  <c r="DF16" i="72"/>
  <c r="DE16" i="72"/>
  <c r="DD16" i="72"/>
  <c r="DC16" i="72"/>
  <c r="DB16" i="72"/>
  <c r="DA16" i="72"/>
  <c r="CZ16" i="72"/>
  <c r="CY16" i="72"/>
  <c r="CC16" i="72"/>
  <c r="CB16" i="72"/>
  <c r="BF16" i="72"/>
  <c r="BE16" i="72"/>
  <c r="BD16" i="72"/>
  <c r="BC16" i="72"/>
  <c r="AE16" i="72"/>
  <c r="AD16" i="72"/>
  <c r="AC16" i="72"/>
  <c r="AB16" i="72"/>
  <c r="AA16" i="72"/>
  <c r="DF15" i="72"/>
  <c r="DE15" i="72"/>
  <c r="DD15" i="72"/>
  <c r="DC15" i="72"/>
  <c r="DB15" i="72"/>
  <c r="DA15" i="72"/>
  <c r="CZ15" i="72"/>
  <c r="CY15" i="72"/>
  <c r="CC15" i="72"/>
  <c r="CB15" i="72"/>
  <c r="BF15" i="72"/>
  <c r="BE15" i="72"/>
  <c r="BD15" i="72"/>
  <c r="BC15" i="72"/>
  <c r="AE15" i="72"/>
  <c r="AD15" i="72"/>
  <c r="AC15" i="72"/>
  <c r="AB15" i="72"/>
  <c r="AA15" i="72"/>
  <c r="DF14" i="72"/>
  <c r="DE14" i="72"/>
  <c r="DD14" i="72"/>
  <c r="DC14" i="72"/>
  <c r="DB14" i="72"/>
  <c r="DA14" i="72"/>
  <c r="CZ14" i="72"/>
  <c r="CY14" i="72"/>
  <c r="CC14" i="72"/>
  <c r="CB14" i="72"/>
  <c r="BF14" i="72"/>
  <c r="BE14" i="72"/>
  <c r="BD14" i="72"/>
  <c r="BC14" i="72"/>
  <c r="AE14" i="72"/>
  <c r="AD14" i="72"/>
  <c r="AC14" i="72"/>
  <c r="AB14" i="72"/>
  <c r="AA14" i="72"/>
  <c r="DF13" i="72"/>
  <c r="DE13" i="72"/>
  <c r="DD13" i="72"/>
  <c r="DC13" i="72"/>
  <c r="DB13" i="72"/>
  <c r="DA13" i="72"/>
  <c r="CZ13" i="72"/>
  <c r="CY13" i="72"/>
  <c r="CC13" i="72"/>
  <c r="CB13" i="72"/>
  <c r="BF13" i="72"/>
  <c r="BE13" i="72"/>
  <c r="BD13" i="72"/>
  <c r="BC13" i="72"/>
  <c r="AE13" i="72"/>
  <c r="AD13" i="72"/>
  <c r="AC13" i="72"/>
  <c r="AB13" i="72"/>
  <c r="AA13" i="72"/>
  <c r="DF12" i="72"/>
  <c r="DE12" i="72"/>
  <c r="DD12" i="72"/>
  <c r="DC12" i="72"/>
  <c r="DB12" i="72"/>
  <c r="DA12" i="72"/>
  <c r="CZ12" i="72"/>
  <c r="CY12" i="72"/>
  <c r="CC12" i="72"/>
  <c r="CB12" i="72"/>
  <c r="BF12" i="72"/>
  <c r="BE12" i="72"/>
  <c r="BD12" i="72"/>
  <c r="BC12" i="72"/>
  <c r="AE12" i="72"/>
  <c r="AD12" i="72"/>
  <c r="AC12" i="72"/>
  <c r="AB12" i="72"/>
  <c r="AA12" i="72"/>
  <c r="DF11" i="72"/>
  <c r="DE11" i="72"/>
  <c r="DD11" i="72"/>
  <c r="DC11" i="72"/>
  <c r="DB11" i="72"/>
  <c r="DA11" i="72"/>
  <c r="CZ11" i="72"/>
  <c r="CY11" i="72"/>
  <c r="CC11" i="72"/>
  <c r="CB11" i="72"/>
  <c r="BF11" i="72"/>
  <c r="BE11" i="72"/>
  <c r="BD11" i="72"/>
  <c r="BC11" i="72"/>
  <c r="AE11" i="72"/>
  <c r="AD11" i="72"/>
  <c r="AC11" i="72"/>
  <c r="AB11" i="72"/>
  <c r="AA11" i="72"/>
  <c r="DF10" i="72"/>
  <c r="DE10" i="72"/>
  <c r="DD10" i="72"/>
  <c r="DC10" i="72"/>
  <c r="DB10" i="72"/>
  <c r="DA10" i="72"/>
  <c r="CZ10" i="72"/>
  <c r="CY10" i="72"/>
  <c r="CC10" i="72"/>
  <c r="CB10" i="72"/>
  <c r="CX10" i="72" s="1"/>
  <c r="BF10" i="72"/>
  <c r="BE10" i="72"/>
  <c r="BD10" i="72"/>
  <c r="BC10" i="72"/>
  <c r="AE10" i="72"/>
  <c r="AD10" i="72"/>
  <c r="AC10" i="72"/>
  <c r="AB10" i="72"/>
  <c r="AA10" i="72"/>
  <c r="DF9" i="72"/>
  <c r="DE9" i="72"/>
  <c r="DD9" i="72"/>
  <c r="DC9" i="72"/>
  <c r="DB9" i="72"/>
  <c r="DA9" i="72"/>
  <c r="CZ9" i="72"/>
  <c r="CY9" i="72"/>
  <c r="CC9" i="72"/>
  <c r="CB9" i="72"/>
  <c r="BF9" i="72"/>
  <c r="BE9" i="72"/>
  <c r="BD9" i="72"/>
  <c r="BC9" i="72"/>
  <c r="AE9" i="72"/>
  <c r="AD9" i="72"/>
  <c r="AC9" i="72"/>
  <c r="AB9" i="72"/>
  <c r="AA9" i="72"/>
  <c r="A9" i="72"/>
  <c r="AO88" i="71"/>
  <c r="BL88" i="71" s="1"/>
  <c r="AO87" i="71"/>
  <c r="BL87" i="71" s="1"/>
  <c r="AO86" i="71"/>
  <c r="BL86" i="71" s="1"/>
  <c r="AO85" i="71"/>
  <c r="BL85" i="71" s="1"/>
  <c r="A51" i="71"/>
  <c r="A47" i="71"/>
  <c r="A46" i="71"/>
  <c r="A45" i="71"/>
  <c r="A44" i="71"/>
  <c r="A42" i="71"/>
  <c r="R40" i="71"/>
  <c r="DF39" i="71"/>
  <c r="DE39" i="71"/>
  <c r="DD39" i="71"/>
  <c r="DC39" i="71"/>
  <c r="DB39" i="71"/>
  <c r="DA39" i="71"/>
  <c r="CZ39" i="71"/>
  <c r="CY39" i="71"/>
  <c r="CC39" i="71"/>
  <c r="CB39" i="71"/>
  <c r="BF39" i="71"/>
  <c r="BE39" i="71"/>
  <c r="BD39" i="71"/>
  <c r="BC39" i="71"/>
  <c r="AE39" i="71"/>
  <c r="AD39" i="71"/>
  <c r="AC39" i="71"/>
  <c r="AB39" i="71"/>
  <c r="AA39" i="71"/>
  <c r="DF38" i="71"/>
  <c r="DE38" i="71"/>
  <c r="DD38" i="71"/>
  <c r="DC38" i="71"/>
  <c r="DB38" i="71"/>
  <c r="DA38" i="71"/>
  <c r="CZ38" i="71"/>
  <c r="CY38" i="71"/>
  <c r="CC38" i="71"/>
  <c r="CB38" i="71"/>
  <c r="CX38" i="71" s="1"/>
  <c r="BF38" i="71"/>
  <c r="BE38" i="71"/>
  <c r="BD38" i="71"/>
  <c r="BC38" i="71"/>
  <c r="AE38" i="71"/>
  <c r="AD38" i="71"/>
  <c r="AC38" i="71"/>
  <c r="AB38" i="71"/>
  <c r="AA38" i="71"/>
  <c r="DF37" i="71"/>
  <c r="DE37" i="71"/>
  <c r="DD37" i="71"/>
  <c r="DC37" i="71"/>
  <c r="DB37" i="71"/>
  <c r="DA37" i="71"/>
  <c r="CZ37" i="71"/>
  <c r="CY37" i="71"/>
  <c r="CC37" i="71"/>
  <c r="CB37" i="71"/>
  <c r="BF37" i="71"/>
  <c r="BE37" i="71"/>
  <c r="BD37" i="71"/>
  <c r="BC37" i="71"/>
  <c r="AE37" i="71"/>
  <c r="AD37" i="71"/>
  <c r="AC37" i="71"/>
  <c r="AB37" i="71"/>
  <c r="AA37" i="71"/>
  <c r="DF36" i="71"/>
  <c r="DE36" i="71"/>
  <c r="DD36" i="71"/>
  <c r="DC36" i="71"/>
  <c r="DB36" i="71"/>
  <c r="DA36" i="71"/>
  <c r="CZ36" i="71"/>
  <c r="CY36" i="71"/>
  <c r="CC36" i="71"/>
  <c r="CB36" i="71"/>
  <c r="BF36" i="71"/>
  <c r="BE36" i="71"/>
  <c r="BD36" i="71"/>
  <c r="BC36" i="71"/>
  <c r="AE36" i="71"/>
  <c r="AD36" i="71"/>
  <c r="AC36" i="71"/>
  <c r="AB36" i="71"/>
  <c r="AA36" i="71"/>
  <c r="DF35" i="71"/>
  <c r="DE35" i="71"/>
  <c r="DD35" i="71"/>
  <c r="DC35" i="71"/>
  <c r="DB35" i="71"/>
  <c r="DA35" i="71"/>
  <c r="CZ35" i="71"/>
  <c r="CY35" i="71"/>
  <c r="CC35" i="71"/>
  <c r="CB35" i="71"/>
  <c r="BF35" i="71"/>
  <c r="BE35" i="71"/>
  <c r="BD35" i="71"/>
  <c r="BC35" i="71"/>
  <c r="AE35" i="71"/>
  <c r="AD35" i="71"/>
  <c r="AC35" i="71"/>
  <c r="AB35" i="71"/>
  <c r="AA35" i="71"/>
  <c r="DF34" i="71"/>
  <c r="DE34" i="71"/>
  <c r="DD34" i="71"/>
  <c r="DC34" i="71"/>
  <c r="DB34" i="71"/>
  <c r="DA34" i="71"/>
  <c r="CZ34" i="71"/>
  <c r="CY34" i="71"/>
  <c r="CC34" i="71"/>
  <c r="CB34" i="71"/>
  <c r="BF34" i="71"/>
  <c r="BE34" i="71"/>
  <c r="BD34" i="71"/>
  <c r="BC34" i="71"/>
  <c r="AE34" i="71"/>
  <c r="AD34" i="71"/>
  <c r="AC34" i="71"/>
  <c r="AB34" i="71"/>
  <c r="AA34" i="71"/>
  <c r="DF33" i="71"/>
  <c r="DE33" i="71"/>
  <c r="DD33" i="71"/>
  <c r="DC33" i="71"/>
  <c r="DB33" i="71"/>
  <c r="DA33" i="71"/>
  <c r="CZ33" i="71"/>
  <c r="CY33" i="71"/>
  <c r="CC33" i="71"/>
  <c r="CB33" i="71"/>
  <c r="BF33" i="71"/>
  <c r="BE33" i="71"/>
  <c r="BD33" i="71"/>
  <c r="BC33" i="71"/>
  <c r="AE33" i="71"/>
  <c r="AD33" i="71"/>
  <c r="AC33" i="71"/>
  <c r="AB33" i="71"/>
  <c r="AA33" i="71"/>
  <c r="DF32" i="71"/>
  <c r="DE32" i="71"/>
  <c r="DD32" i="71"/>
  <c r="DC32" i="71"/>
  <c r="DB32" i="71"/>
  <c r="DA32" i="71"/>
  <c r="CZ32" i="71"/>
  <c r="CY32" i="71"/>
  <c r="CC32" i="71"/>
  <c r="CB32" i="71"/>
  <c r="BF32" i="71"/>
  <c r="BE32" i="71"/>
  <c r="BD32" i="71"/>
  <c r="BC32" i="71"/>
  <c r="AE32" i="71"/>
  <c r="AD32" i="71"/>
  <c r="AC32" i="71"/>
  <c r="AB32" i="71"/>
  <c r="AA32" i="71"/>
  <c r="DF31" i="71"/>
  <c r="DE31" i="71"/>
  <c r="DD31" i="71"/>
  <c r="DC31" i="71"/>
  <c r="DB31" i="71"/>
  <c r="DA31" i="71"/>
  <c r="CZ31" i="71"/>
  <c r="CY31" i="71"/>
  <c r="CC31" i="71"/>
  <c r="CB31" i="71"/>
  <c r="BF31" i="71"/>
  <c r="BE31" i="71"/>
  <c r="BD31" i="71"/>
  <c r="BC31" i="71"/>
  <c r="AE31" i="71"/>
  <c r="AD31" i="71"/>
  <c r="AC31" i="71"/>
  <c r="AB31" i="71"/>
  <c r="AA31" i="71"/>
  <c r="DF30" i="71"/>
  <c r="DE30" i="71"/>
  <c r="DD30" i="71"/>
  <c r="DC30" i="71"/>
  <c r="DB30" i="71"/>
  <c r="DA30" i="71"/>
  <c r="CZ30" i="71"/>
  <c r="CY30" i="71"/>
  <c r="CC30" i="71"/>
  <c r="CB30" i="71"/>
  <c r="CX30" i="71" s="1"/>
  <c r="BF30" i="71"/>
  <c r="BE30" i="71"/>
  <c r="BD30" i="71"/>
  <c r="BC30" i="71"/>
  <c r="AE30" i="71"/>
  <c r="AD30" i="71"/>
  <c r="AC30" i="71"/>
  <c r="AB30" i="71"/>
  <c r="AA30" i="71"/>
  <c r="DF29" i="71"/>
  <c r="DE29" i="71"/>
  <c r="DD29" i="71"/>
  <c r="DC29" i="71"/>
  <c r="DB29" i="71"/>
  <c r="DA29" i="71"/>
  <c r="CZ29" i="71"/>
  <c r="CY29" i="71"/>
  <c r="CC29" i="71"/>
  <c r="CB29" i="71"/>
  <c r="BF29" i="71"/>
  <c r="BE29" i="71"/>
  <c r="BD29" i="71"/>
  <c r="BC29" i="71"/>
  <c r="AE29" i="71"/>
  <c r="AD29" i="71"/>
  <c r="AC29" i="71"/>
  <c r="AB29" i="71"/>
  <c r="AA29" i="71"/>
  <c r="DF28" i="71"/>
  <c r="DE28" i="71"/>
  <c r="DD28" i="71"/>
  <c r="DC28" i="71"/>
  <c r="DB28" i="71"/>
  <c r="DA28" i="71"/>
  <c r="CZ28" i="71"/>
  <c r="CY28" i="71"/>
  <c r="CC28" i="71"/>
  <c r="CB28" i="71"/>
  <c r="BF28" i="71"/>
  <c r="BE28" i="71"/>
  <c r="BD28" i="71"/>
  <c r="BC28" i="71"/>
  <c r="AE28" i="71"/>
  <c r="AD28" i="71"/>
  <c r="AC28" i="71"/>
  <c r="AB28" i="71"/>
  <c r="AA28" i="71"/>
  <c r="DF27" i="71"/>
  <c r="DE27" i="71"/>
  <c r="DD27" i="71"/>
  <c r="DC27" i="71"/>
  <c r="DB27" i="71"/>
  <c r="DA27" i="71"/>
  <c r="CZ27" i="71"/>
  <c r="CY27" i="71"/>
  <c r="CC27" i="71"/>
  <c r="CB27" i="71"/>
  <c r="BF27" i="71"/>
  <c r="BE27" i="71"/>
  <c r="BD27" i="71"/>
  <c r="BC27" i="71"/>
  <c r="AE27" i="71"/>
  <c r="AD27" i="71"/>
  <c r="AC27" i="71"/>
  <c r="AB27" i="71"/>
  <c r="AA27" i="71"/>
  <c r="DF26" i="71"/>
  <c r="DE26" i="71"/>
  <c r="DD26" i="71"/>
  <c r="DC26" i="71"/>
  <c r="DB26" i="71"/>
  <c r="DA26" i="71"/>
  <c r="CZ26" i="71"/>
  <c r="CY26" i="71"/>
  <c r="CC26" i="71"/>
  <c r="CB26" i="71"/>
  <c r="BF26" i="71"/>
  <c r="BE26" i="71"/>
  <c r="BD26" i="71"/>
  <c r="BC26" i="71"/>
  <c r="AE26" i="71"/>
  <c r="AD26" i="71"/>
  <c r="AC26" i="71"/>
  <c r="AB26" i="71"/>
  <c r="AA26" i="71"/>
  <c r="DF25" i="71"/>
  <c r="DE25" i="71"/>
  <c r="DD25" i="71"/>
  <c r="DC25" i="71"/>
  <c r="DB25" i="71"/>
  <c r="DA25" i="71"/>
  <c r="CZ25" i="71"/>
  <c r="CY25" i="71"/>
  <c r="CC25" i="71"/>
  <c r="CB25" i="71"/>
  <c r="CX25" i="71" s="1"/>
  <c r="BF25" i="71"/>
  <c r="BE25" i="71"/>
  <c r="BD25" i="71"/>
  <c r="BC25" i="71"/>
  <c r="AE25" i="71"/>
  <c r="AD25" i="71"/>
  <c r="AC25" i="71"/>
  <c r="AB25" i="71"/>
  <c r="AA25" i="71"/>
  <c r="DF24" i="71"/>
  <c r="DE24" i="71"/>
  <c r="DD24" i="71"/>
  <c r="DC24" i="71"/>
  <c r="DB24" i="71"/>
  <c r="DA24" i="71"/>
  <c r="CZ24" i="71"/>
  <c r="CY24" i="71"/>
  <c r="CC24" i="71"/>
  <c r="CB24" i="71"/>
  <c r="BF24" i="71"/>
  <c r="BE24" i="71"/>
  <c r="BD24" i="71"/>
  <c r="BC24" i="71"/>
  <c r="AE24" i="71"/>
  <c r="AD24" i="71"/>
  <c r="AC24" i="71"/>
  <c r="AB24" i="71"/>
  <c r="AA24" i="71"/>
  <c r="DF23" i="71"/>
  <c r="DE23" i="71"/>
  <c r="DD23" i="71"/>
  <c r="DC23" i="71"/>
  <c r="DB23" i="71"/>
  <c r="DA23" i="71"/>
  <c r="CZ23" i="71"/>
  <c r="CY23" i="71"/>
  <c r="CC23" i="71"/>
  <c r="CB23" i="71"/>
  <c r="BF23" i="71"/>
  <c r="BE23" i="71"/>
  <c r="BD23" i="71"/>
  <c r="BC23" i="71"/>
  <c r="AE23" i="71"/>
  <c r="AD23" i="71"/>
  <c r="AC23" i="71"/>
  <c r="AB23" i="71"/>
  <c r="AA23" i="71"/>
  <c r="DF22" i="71"/>
  <c r="DE22" i="71"/>
  <c r="DD22" i="71"/>
  <c r="DC22" i="71"/>
  <c r="DB22" i="71"/>
  <c r="DA22" i="71"/>
  <c r="CZ22" i="71"/>
  <c r="CY22" i="71"/>
  <c r="CC22" i="71"/>
  <c r="CB22" i="71"/>
  <c r="CX22" i="71" s="1"/>
  <c r="BF22" i="71"/>
  <c r="BE22" i="71"/>
  <c r="BD22" i="71"/>
  <c r="BC22" i="71"/>
  <c r="AE22" i="71"/>
  <c r="AD22" i="71"/>
  <c r="AC22" i="71"/>
  <c r="AB22" i="71"/>
  <c r="AA22" i="71"/>
  <c r="DF21" i="71"/>
  <c r="DE21" i="71"/>
  <c r="DD21" i="71"/>
  <c r="DC21" i="71"/>
  <c r="DB21" i="71"/>
  <c r="DA21" i="71"/>
  <c r="CZ21" i="71"/>
  <c r="CY21" i="71"/>
  <c r="CC21" i="71"/>
  <c r="CB21" i="71"/>
  <c r="BF21" i="71"/>
  <c r="BE21" i="71"/>
  <c r="BD21" i="71"/>
  <c r="BC21" i="71"/>
  <c r="AE21" i="71"/>
  <c r="AD21" i="71"/>
  <c r="AC21" i="71"/>
  <c r="AB21" i="71"/>
  <c r="AA21" i="71"/>
  <c r="DF20" i="71"/>
  <c r="DE20" i="71"/>
  <c r="DD20" i="71"/>
  <c r="DC20" i="71"/>
  <c r="DB20" i="71"/>
  <c r="DA20" i="71"/>
  <c r="CZ20" i="71"/>
  <c r="CY20" i="71"/>
  <c r="CC20" i="71"/>
  <c r="CB20" i="71"/>
  <c r="BF20" i="71"/>
  <c r="BE20" i="71"/>
  <c r="BD20" i="71"/>
  <c r="BC20" i="71"/>
  <c r="AE20" i="71"/>
  <c r="AD20" i="71"/>
  <c r="AC20" i="71"/>
  <c r="AB20" i="71"/>
  <c r="AA20" i="71"/>
  <c r="DF19" i="71"/>
  <c r="DE19" i="71"/>
  <c r="DD19" i="71"/>
  <c r="DC19" i="71"/>
  <c r="DB19" i="71"/>
  <c r="DA19" i="71"/>
  <c r="CZ19" i="71"/>
  <c r="CY19" i="71"/>
  <c r="CC19" i="71"/>
  <c r="CB19" i="71"/>
  <c r="BF19" i="71"/>
  <c r="BE19" i="71"/>
  <c r="BD19" i="71"/>
  <c r="BC19" i="71"/>
  <c r="AE19" i="71"/>
  <c r="AD19" i="71"/>
  <c r="AC19" i="71"/>
  <c r="AB19" i="71"/>
  <c r="AA19" i="71"/>
  <c r="DF18" i="71"/>
  <c r="DE18" i="71"/>
  <c r="DD18" i="71"/>
  <c r="DC18" i="71"/>
  <c r="DB18" i="71"/>
  <c r="DA18" i="71"/>
  <c r="CZ18" i="71"/>
  <c r="CY18" i="71"/>
  <c r="CC18" i="71"/>
  <c r="CB18" i="71"/>
  <c r="BF18" i="71"/>
  <c r="BE18" i="71"/>
  <c r="BD18" i="71"/>
  <c r="BC18" i="71"/>
  <c r="AE18" i="71"/>
  <c r="AD18" i="71"/>
  <c r="AC18" i="71"/>
  <c r="AB18" i="71"/>
  <c r="AA18" i="71"/>
  <c r="DF17" i="71"/>
  <c r="DE17" i="71"/>
  <c r="DD17" i="71"/>
  <c r="DC17" i="71"/>
  <c r="DB17" i="71"/>
  <c r="DA17" i="71"/>
  <c r="CZ17" i="71"/>
  <c r="CY17" i="71"/>
  <c r="CC17" i="71"/>
  <c r="CB17" i="71"/>
  <c r="BF17" i="71"/>
  <c r="BE17" i="71"/>
  <c r="BD17" i="71"/>
  <c r="BC17" i="71"/>
  <c r="AE17" i="71"/>
  <c r="AD17" i="71"/>
  <c r="AC17" i="71"/>
  <c r="AB17" i="71"/>
  <c r="AA17" i="71"/>
  <c r="DF16" i="71"/>
  <c r="DE16" i="71"/>
  <c r="DD16" i="71"/>
  <c r="DC16" i="71"/>
  <c r="DB16" i="71"/>
  <c r="DA16" i="71"/>
  <c r="CZ16" i="71"/>
  <c r="CY16" i="71"/>
  <c r="CC16" i="71"/>
  <c r="CB16" i="71"/>
  <c r="BF16" i="71"/>
  <c r="BE16" i="71"/>
  <c r="BD16" i="71"/>
  <c r="BC16" i="71"/>
  <c r="AE16" i="71"/>
  <c r="AD16" i="71"/>
  <c r="AC16" i="71"/>
  <c r="AB16" i="71"/>
  <c r="AA16" i="71"/>
  <c r="DF15" i="71"/>
  <c r="DE15" i="71"/>
  <c r="DD15" i="71"/>
  <c r="DC15" i="71"/>
  <c r="DB15" i="71"/>
  <c r="DA15" i="71"/>
  <c r="CZ15" i="71"/>
  <c r="CY15" i="71"/>
  <c r="CC15" i="71"/>
  <c r="CB15" i="71"/>
  <c r="CX15" i="71" s="1"/>
  <c r="BF15" i="71"/>
  <c r="BE15" i="71"/>
  <c r="BD15" i="71"/>
  <c r="BC15" i="71"/>
  <c r="AE15" i="71"/>
  <c r="AD15" i="71"/>
  <c r="AC15" i="71"/>
  <c r="AB15" i="71"/>
  <c r="AA15" i="71"/>
  <c r="DF14" i="71"/>
  <c r="DE14" i="71"/>
  <c r="DD14" i="71"/>
  <c r="DC14" i="71"/>
  <c r="DB14" i="71"/>
  <c r="DA14" i="71"/>
  <c r="CZ14" i="71"/>
  <c r="CY14" i="71"/>
  <c r="CC14" i="71"/>
  <c r="CB14" i="71"/>
  <c r="BF14" i="71"/>
  <c r="BE14" i="71"/>
  <c r="BD14" i="71"/>
  <c r="BC14" i="71"/>
  <c r="AE14" i="71"/>
  <c r="AD14" i="71"/>
  <c r="AC14" i="71"/>
  <c r="AB14" i="71"/>
  <c r="AA14" i="71"/>
  <c r="DF13" i="71"/>
  <c r="DE13" i="71"/>
  <c r="DD13" i="71"/>
  <c r="DC13" i="71"/>
  <c r="DB13" i="71"/>
  <c r="DA13" i="71"/>
  <c r="CZ13" i="71"/>
  <c r="CY13" i="71"/>
  <c r="CC13" i="71"/>
  <c r="CB13" i="71"/>
  <c r="BF13" i="71"/>
  <c r="BE13" i="71"/>
  <c r="BD13" i="71"/>
  <c r="BC13" i="71"/>
  <c r="AE13" i="71"/>
  <c r="AD13" i="71"/>
  <c r="AC13" i="71"/>
  <c r="AB13" i="71"/>
  <c r="AA13" i="71"/>
  <c r="DF12" i="71"/>
  <c r="DE12" i="71"/>
  <c r="DD12" i="71"/>
  <c r="DC12" i="71"/>
  <c r="DB12" i="71"/>
  <c r="DA12" i="71"/>
  <c r="CZ12" i="71"/>
  <c r="CY12" i="71"/>
  <c r="CC12" i="71"/>
  <c r="CB12" i="71"/>
  <c r="BF12" i="71"/>
  <c r="BE12" i="71"/>
  <c r="BD12" i="71"/>
  <c r="BC12" i="71"/>
  <c r="AE12" i="71"/>
  <c r="AD12" i="71"/>
  <c r="AC12" i="71"/>
  <c r="AB12" i="71"/>
  <c r="AA12" i="71"/>
  <c r="DF11" i="71"/>
  <c r="DE11" i="71"/>
  <c r="DD11" i="71"/>
  <c r="DC11" i="71"/>
  <c r="DB11" i="71"/>
  <c r="DA11" i="71"/>
  <c r="CZ11" i="71"/>
  <c r="CY11" i="71"/>
  <c r="CC11" i="71"/>
  <c r="CB11" i="71"/>
  <c r="BF11" i="71"/>
  <c r="BE11" i="71"/>
  <c r="BD11" i="71"/>
  <c r="BC11" i="71"/>
  <c r="AE11" i="71"/>
  <c r="AD11" i="71"/>
  <c r="AC11" i="71"/>
  <c r="AB11" i="71"/>
  <c r="AA11" i="71"/>
  <c r="DF10" i="71"/>
  <c r="DE10" i="71"/>
  <c r="DD10" i="71"/>
  <c r="DC10" i="71"/>
  <c r="DB10" i="71"/>
  <c r="DA10" i="71"/>
  <c r="CZ10" i="71"/>
  <c r="CY10" i="71"/>
  <c r="CC10" i="71"/>
  <c r="CB10" i="71"/>
  <c r="BF10" i="71"/>
  <c r="BE10" i="71"/>
  <c r="BD10" i="71"/>
  <c r="BC10" i="71"/>
  <c r="AE10" i="71"/>
  <c r="AD10" i="71"/>
  <c r="AC10" i="71"/>
  <c r="AB10" i="71"/>
  <c r="AA10" i="71"/>
  <c r="DF9" i="71"/>
  <c r="DE9" i="71"/>
  <c r="DD9" i="71"/>
  <c r="DC9" i="71"/>
  <c r="DB9" i="71"/>
  <c r="DA9" i="71"/>
  <c r="CZ9" i="71"/>
  <c r="CY9" i="71"/>
  <c r="CC9" i="71"/>
  <c r="CB9" i="71"/>
  <c r="CX9" i="71" s="1"/>
  <c r="BF9" i="71"/>
  <c r="BE9" i="71"/>
  <c r="BD9" i="71"/>
  <c r="BC9" i="71"/>
  <c r="AE9" i="71"/>
  <c r="AD9" i="71"/>
  <c r="AC9" i="71"/>
  <c r="AB9" i="71"/>
  <c r="AA9" i="71"/>
  <c r="A9" i="71"/>
  <c r="AO87" i="70"/>
  <c r="BL87" i="70" s="1"/>
  <c r="AO86" i="70"/>
  <c r="BL86" i="70" s="1"/>
  <c r="AO85" i="70"/>
  <c r="BL85" i="70" s="1"/>
  <c r="AO84" i="70"/>
  <c r="BL84" i="70" s="1"/>
  <c r="A50" i="70"/>
  <c r="A46" i="70"/>
  <c r="A45" i="70"/>
  <c r="A44" i="70"/>
  <c r="A43" i="70"/>
  <c r="A41" i="70"/>
  <c r="R39" i="70"/>
  <c r="DF38" i="70"/>
  <c r="DE38" i="70"/>
  <c r="DD38" i="70"/>
  <c r="DC38" i="70"/>
  <c r="DB38" i="70"/>
  <c r="DA38" i="70"/>
  <c r="CZ38" i="70"/>
  <c r="CY38" i="70"/>
  <c r="CC38" i="70"/>
  <c r="CB38" i="70"/>
  <c r="BF38" i="70"/>
  <c r="BE38" i="70"/>
  <c r="BD38" i="70"/>
  <c r="BC38" i="70"/>
  <c r="AE38" i="70"/>
  <c r="AD38" i="70"/>
  <c r="AC38" i="70"/>
  <c r="AB38" i="70"/>
  <c r="AA38" i="70"/>
  <c r="DF37" i="70"/>
  <c r="DE37" i="70"/>
  <c r="DD37" i="70"/>
  <c r="DC37" i="70"/>
  <c r="DB37" i="70"/>
  <c r="DA37" i="70"/>
  <c r="CZ37" i="70"/>
  <c r="CY37" i="70"/>
  <c r="CC37" i="70"/>
  <c r="CB37" i="70"/>
  <c r="BF37" i="70"/>
  <c r="BE37" i="70"/>
  <c r="BD37" i="70"/>
  <c r="BC37" i="70"/>
  <c r="AE37" i="70"/>
  <c r="AD37" i="70"/>
  <c r="AC37" i="70"/>
  <c r="AB37" i="70"/>
  <c r="AA37" i="70"/>
  <c r="DF36" i="70"/>
  <c r="DE36" i="70"/>
  <c r="DD36" i="70"/>
  <c r="DC36" i="70"/>
  <c r="DB36" i="70"/>
  <c r="DA36" i="70"/>
  <c r="CZ36" i="70"/>
  <c r="CY36" i="70"/>
  <c r="CC36" i="70"/>
  <c r="CB36" i="70"/>
  <c r="CX36" i="70" s="1"/>
  <c r="BF36" i="70"/>
  <c r="BE36" i="70"/>
  <c r="BD36" i="70"/>
  <c r="BC36" i="70"/>
  <c r="AE36" i="70"/>
  <c r="AD36" i="70"/>
  <c r="AC36" i="70"/>
  <c r="AB36" i="70"/>
  <c r="AA36" i="70"/>
  <c r="DF35" i="70"/>
  <c r="DE35" i="70"/>
  <c r="DD35" i="70"/>
  <c r="DC35" i="70"/>
  <c r="DB35" i="70"/>
  <c r="DA35" i="70"/>
  <c r="CZ35" i="70"/>
  <c r="CY35" i="70"/>
  <c r="CC35" i="70"/>
  <c r="CB35" i="70"/>
  <c r="BF35" i="70"/>
  <c r="BE35" i="70"/>
  <c r="BD35" i="70"/>
  <c r="BC35" i="70"/>
  <c r="AE35" i="70"/>
  <c r="AD35" i="70"/>
  <c r="AC35" i="70"/>
  <c r="AB35" i="70"/>
  <c r="AA35" i="70"/>
  <c r="DF34" i="70"/>
  <c r="DE34" i="70"/>
  <c r="DD34" i="70"/>
  <c r="DC34" i="70"/>
  <c r="DB34" i="70"/>
  <c r="DA34" i="70"/>
  <c r="CZ34" i="70"/>
  <c r="CY34" i="70"/>
  <c r="CC34" i="70"/>
  <c r="CB34" i="70"/>
  <c r="CX34" i="70" s="1"/>
  <c r="BF34" i="70"/>
  <c r="BE34" i="70"/>
  <c r="BD34" i="70"/>
  <c r="BC34" i="70"/>
  <c r="AE34" i="70"/>
  <c r="AD34" i="70"/>
  <c r="AC34" i="70"/>
  <c r="AB34" i="70"/>
  <c r="AA34" i="70"/>
  <c r="DF33" i="70"/>
  <c r="DE33" i="70"/>
  <c r="DD33" i="70"/>
  <c r="DC33" i="70"/>
  <c r="DB33" i="70"/>
  <c r="DA33" i="70"/>
  <c r="CZ33" i="70"/>
  <c r="CY33" i="70"/>
  <c r="CC33" i="70"/>
  <c r="CB33" i="70"/>
  <c r="BF33" i="70"/>
  <c r="BE33" i="70"/>
  <c r="BD33" i="70"/>
  <c r="BC33" i="70"/>
  <c r="AE33" i="70"/>
  <c r="AD33" i="70"/>
  <c r="AC33" i="70"/>
  <c r="AB33" i="70"/>
  <c r="AA33" i="70"/>
  <c r="DF32" i="70"/>
  <c r="DE32" i="70"/>
  <c r="DD32" i="70"/>
  <c r="DC32" i="70"/>
  <c r="DB32" i="70"/>
  <c r="DA32" i="70"/>
  <c r="CZ32" i="70"/>
  <c r="CY32" i="70"/>
  <c r="CC32" i="70"/>
  <c r="CB32" i="70"/>
  <c r="BF32" i="70"/>
  <c r="BE32" i="70"/>
  <c r="BD32" i="70"/>
  <c r="BC32" i="70"/>
  <c r="AE32" i="70"/>
  <c r="AD32" i="70"/>
  <c r="AC32" i="70"/>
  <c r="AB32" i="70"/>
  <c r="AA32" i="70"/>
  <c r="DF31" i="70"/>
  <c r="DE31" i="70"/>
  <c r="DD31" i="70"/>
  <c r="DC31" i="70"/>
  <c r="DB31" i="70"/>
  <c r="DA31" i="70"/>
  <c r="CZ31" i="70"/>
  <c r="CY31" i="70"/>
  <c r="CC31" i="70"/>
  <c r="CB31" i="70"/>
  <c r="BF31" i="70"/>
  <c r="BE31" i="70"/>
  <c r="BD31" i="70"/>
  <c r="BC31" i="70"/>
  <c r="AE31" i="70"/>
  <c r="AD31" i="70"/>
  <c r="AC31" i="70"/>
  <c r="AB31" i="70"/>
  <c r="AA31" i="70"/>
  <c r="DF30" i="70"/>
  <c r="DE30" i="70"/>
  <c r="DD30" i="70"/>
  <c r="DC30" i="70"/>
  <c r="DB30" i="70"/>
  <c r="DA30" i="70"/>
  <c r="CZ30" i="70"/>
  <c r="CY30" i="70"/>
  <c r="CC30" i="70"/>
  <c r="CB30" i="70"/>
  <c r="BF30" i="70"/>
  <c r="BE30" i="70"/>
  <c r="BD30" i="70"/>
  <c r="BC30" i="70"/>
  <c r="AE30" i="70"/>
  <c r="AD30" i="70"/>
  <c r="AC30" i="70"/>
  <c r="AB30" i="70"/>
  <c r="AA30" i="70"/>
  <c r="DF29" i="70"/>
  <c r="DE29" i="70"/>
  <c r="DD29" i="70"/>
  <c r="DC29" i="70"/>
  <c r="DB29" i="70"/>
  <c r="DA29" i="70"/>
  <c r="CZ29" i="70"/>
  <c r="CY29" i="70"/>
  <c r="CC29" i="70"/>
  <c r="CB29" i="70"/>
  <c r="BF29" i="70"/>
  <c r="BE29" i="70"/>
  <c r="BD29" i="70"/>
  <c r="BC29" i="70"/>
  <c r="AE29" i="70"/>
  <c r="AD29" i="70"/>
  <c r="AC29" i="70"/>
  <c r="AB29" i="70"/>
  <c r="AA29" i="70"/>
  <c r="DF28" i="70"/>
  <c r="DE28" i="70"/>
  <c r="DD28" i="70"/>
  <c r="DC28" i="70"/>
  <c r="DB28" i="70"/>
  <c r="DA28" i="70"/>
  <c r="CZ28" i="70"/>
  <c r="CY28" i="70"/>
  <c r="CC28" i="70"/>
  <c r="CB28" i="70"/>
  <c r="BF28" i="70"/>
  <c r="BE28" i="70"/>
  <c r="BD28" i="70"/>
  <c r="BC28" i="70"/>
  <c r="AE28" i="70"/>
  <c r="AD28" i="70"/>
  <c r="AC28" i="70"/>
  <c r="AB28" i="70"/>
  <c r="AA28" i="70"/>
  <c r="DF27" i="70"/>
  <c r="DE27" i="70"/>
  <c r="DD27" i="70"/>
  <c r="DC27" i="70"/>
  <c r="DB27" i="70"/>
  <c r="DA27" i="70"/>
  <c r="CZ27" i="70"/>
  <c r="CY27" i="70"/>
  <c r="CC27" i="70"/>
  <c r="CB27" i="70"/>
  <c r="BF27" i="70"/>
  <c r="BE27" i="70"/>
  <c r="BD27" i="70"/>
  <c r="BC27" i="70"/>
  <c r="AE27" i="70"/>
  <c r="AD27" i="70"/>
  <c r="AC27" i="70"/>
  <c r="AB27" i="70"/>
  <c r="AA27" i="70"/>
  <c r="DF26" i="70"/>
  <c r="DE26" i="70"/>
  <c r="DD26" i="70"/>
  <c r="DC26" i="70"/>
  <c r="DB26" i="70"/>
  <c r="DA26" i="70"/>
  <c r="CZ26" i="70"/>
  <c r="CY26" i="70"/>
  <c r="CC26" i="70"/>
  <c r="CB26" i="70"/>
  <c r="CX26" i="70" s="1"/>
  <c r="BF26" i="70"/>
  <c r="BE26" i="70"/>
  <c r="BD26" i="70"/>
  <c r="BC26" i="70"/>
  <c r="AE26" i="70"/>
  <c r="AD26" i="70"/>
  <c r="AC26" i="70"/>
  <c r="AB26" i="70"/>
  <c r="AA26" i="70"/>
  <c r="DF25" i="70"/>
  <c r="DE25" i="70"/>
  <c r="DD25" i="70"/>
  <c r="DC25" i="70"/>
  <c r="DB25" i="70"/>
  <c r="DA25" i="70"/>
  <c r="CZ25" i="70"/>
  <c r="CY25" i="70"/>
  <c r="CC25" i="70"/>
  <c r="CB25" i="70"/>
  <c r="BF25" i="70"/>
  <c r="BE25" i="70"/>
  <c r="BD25" i="70"/>
  <c r="BC25" i="70"/>
  <c r="AE25" i="70"/>
  <c r="AD25" i="70"/>
  <c r="AC25" i="70"/>
  <c r="AB25" i="70"/>
  <c r="AA25" i="70"/>
  <c r="DF24" i="70"/>
  <c r="DE24" i="70"/>
  <c r="DD24" i="70"/>
  <c r="DC24" i="70"/>
  <c r="DB24" i="70"/>
  <c r="DA24" i="70"/>
  <c r="CZ24" i="70"/>
  <c r="CY24" i="70"/>
  <c r="CC24" i="70"/>
  <c r="CB24" i="70"/>
  <c r="BF24" i="70"/>
  <c r="BE24" i="70"/>
  <c r="BD24" i="70"/>
  <c r="BC24" i="70"/>
  <c r="AE24" i="70"/>
  <c r="AD24" i="70"/>
  <c r="AC24" i="70"/>
  <c r="AB24" i="70"/>
  <c r="AA24" i="70"/>
  <c r="DF23" i="70"/>
  <c r="DE23" i="70"/>
  <c r="DD23" i="70"/>
  <c r="DC23" i="70"/>
  <c r="DB23" i="70"/>
  <c r="DA23" i="70"/>
  <c r="CZ23" i="70"/>
  <c r="CY23" i="70"/>
  <c r="CC23" i="70"/>
  <c r="CB23" i="70"/>
  <c r="CX23" i="70" s="1"/>
  <c r="BF23" i="70"/>
  <c r="BE23" i="70"/>
  <c r="BD23" i="70"/>
  <c r="BC23" i="70"/>
  <c r="AE23" i="70"/>
  <c r="AD23" i="70"/>
  <c r="AC23" i="70"/>
  <c r="AB23" i="70"/>
  <c r="AA23" i="70"/>
  <c r="DF22" i="70"/>
  <c r="DE22" i="70"/>
  <c r="DD22" i="70"/>
  <c r="DC22" i="70"/>
  <c r="DB22" i="70"/>
  <c r="DA22" i="70"/>
  <c r="CZ22" i="70"/>
  <c r="CY22" i="70"/>
  <c r="CC22" i="70"/>
  <c r="CB22" i="70"/>
  <c r="BF22" i="70"/>
  <c r="BE22" i="70"/>
  <c r="BD22" i="70"/>
  <c r="BC22" i="70"/>
  <c r="AE22" i="70"/>
  <c r="AD22" i="70"/>
  <c r="AC22" i="70"/>
  <c r="AB22" i="70"/>
  <c r="AA22" i="70"/>
  <c r="DF21" i="70"/>
  <c r="DE21" i="70"/>
  <c r="DD21" i="70"/>
  <c r="DC21" i="70"/>
  <c r="DB21" i="70"/>
  <c r="DA21" i="70"/>
  <c r="CZ21" i="70"/>
  <c r="CY21" i="70"/>
  <c r="CC21" i="70"/>
  <c r="CB21" i="70"/>
  <c r="BF21" i="70"/>
  <c r="BE21" i="70"/>
  <c r="BD21" i="70"/>
  <c r="BC21" i="70"/>
  <c r="AE21" i="70"/>
  <c r="AD21" i="70"/>
  <c r="AC21" i="70"/>
  <c r="AB21" i="70"/>
  <c r="AA21" i="70"/>
  <c r="DF20" i="70"/>
  <c r="DE20" i="70"/>
  <c r="DD20" i="70"/>
  <c r="DC20" i="70"/>
  <c r="DB20" i="70"/>
  <c r="DA20" i="70"/>
  <c r="CZ20" i="70"/>
  <c r="CY20" i="70"/>
  <c r="CC20" i="70"/>
  <c r="CB20" i="70"/>
  <c r="BF20" i="70"/>
  <c r="BE20" i="70"/>
  <c r="BD20" i="70"/>
  <c r="BC20" i="70"/>
  <c r="AE20" i="70"/>
  <c r="AD20" i="70"/>
  <c r="AC20" i="70"/>
  <c r="AB20" i="70"/>
  <c r="AA20" i="70"/>
  <c r="DF19" i="70"/>
  <c r="DE19" i="70"/>
  <c r="DD19" i="70"/>
  <c r="DC19" i="70"/>
  <c r="DB19" i="70"/>
  <c r="DA19" i="70"/>
  <c r="CZ19" i="70"/>
  <c r="CY19" i="70"/>
  <c r="CC19" i="70"/>
  <c r="CB19" i="70"/>
  <c r="BF19" i="70"/>
  <c r="BE19" i="70"/>
  <c r="BD19" i="70"/>
  <c r="BC19" i="70"/>
  <c r="AE19" i="70"/>
  <c r="AD19" i="70"/>
  <c r="AC19" i="70"/>
  <c r="AB19" i="70"/>
  <c r="AA19" i="70"/>
  <c r="DF18" i="70"/>
  <c r="DE18" i="70"/>
  <c r="DD18" i="70"/>
  <c r="DC18" i="70"/>
  <c r="DB18" i="70"/>
  <c r="DA18" i="70"/>
  <c r="CZ18" i="70"/>
  <c r="CY18" i="70"/>
  <c r="CC18" i="70"/>
  <c r="CB18" i="70"/>
  <c r="CX18" i="70" s="1"/>
  <c r="BF18" i="70"/>
  <c r="BE18" i="70"/>
  <c r="BD18" i="70"/>
  <c r="BC18" i="70"/>
  <c r="AE18" i="70"/>
  <c r="AD18" i="70"/>
  <c r="AC18" i="70"/>
  <c r="AB18" i="70"/>
  <c r="AA18" i="70"/>
  <c r="DF17" i="70"/>
  <c r="DE17" i="70"/>
  <c r="DD17" i="70"/>
  <c r="DC17" i="70"/>
  <c r="DB17" i="70"/>
  <c r="DA17" i="70"/>
  <c r="CZ17" i="70"/>
  <c r="CY17" i="70"/>
  <c r="CC17" i="70"/>
  <c r="CB17" i="70"/>
  <c r="BF17" i="70"/>
  <c r="BE17" i="70"/>
  <c r="BD17" i="70"/>
  <c r="BC17" i="70"/>
  <c r="AE17" i="70"/>
  <c r="AD17" i="70"/>
  <c r="AC17" i="70"/>
  <c r="AB17" i="70"/>
  <c r="AA17" i="70"/>
  <c r="DF16" i="70"/>
  <c r="DE16" i="70"/>
  <c r="DD16" i="70"/>
  <c r="DC16" i="70"/>
  <c r="DB16" i="70"/>
  <c r="DA16" i="70"/>
  <c r="CZ16" i="70"/>
  <c r="CY16" i="70"/>
  <c r="CC16" i="70"/>
  <c r="CB16" i="70"/>
  <c r="BF16" i="70"/>
  <c r="BE16" i="70"/>
  <c r="BD16" i="70"/>
  <c r="BC16" i="70"/>
  <c r="AE16" i="70"/>
  <c r="AD16" i="70"/>
  <c r="AC16" i="70"/>
  <c r="AB16" i="70"/>
  <c r="AA16" i="70"/>
  <c r="DF15" i="70"/>
  <c r="DE15" i="70"/>
  <c r="DD15" i="70"/>
  <c r="DC15" i="70"/>
  <c r="DB15" i="70"/>
  <c r="DA15" i="70"/>
  <c r="CZ15" i="70"/>
  <c r="CY15" i="70"/>
  <c r="CC15" i="70"/>
  <c r="CB15" i="70"/>
  <c r="BF15" i="70"/>
  <c r="BE15" i="70"/>
  <c r="BD15" i="70"/>
  <c r="BC15" i="70"/>
  <c r="AE15" i="70"/>
  <c r="AD15" i="70"/>
  <c r="AC15" i="70"/>
  <c r="AB15" i="70"/>
  <c r="AA15" i="70"/>
  <c r="DF14" i="70"/>
  <c r="DE14" i="70"/>
  <c r="DD14" i="70"/>
  <c r="DC14" i="70"/>
  <c r="DB14" i="70"/>
  <c r="DA14" i="70"/>
  <c r="CZ14" i="70"/>
  <c r="CY14" i="70"/>
  <c r="CC14" i="70"/>
  <c r="CB14" i="70"/>
  <c r="BF14" i="70"/>
  <c r="BE14" i="70"/>
  <c r="BD14" i="70"/>
  <c r="BC14" i="70"/>
  <c r="AE14" i="70"/>
  <c r="AD14" i="70"/>
  <c r="AC14" i="70"/>
  <c r="AB14" i="70"/>
  <c r="AA14" i="70"/>
  <c r="DF13" i="70"/>
  <c r="DE13" i="70"/>
  <c r="DD13" i="70"/>
  <c r="DC13" i="70"/>
  <c r="DB13" i="70"/>
  <c r="DA13" i="70"/>
  <c r="CZ13" i="70"/>
  <c r="CY13" i="70"/>
  <c r="CC13" i="70"/>
  <c r="CB13" i="70"/>
  <c r="BF13" i="70"/>
  <c r="BE13" i="70"/>
  <c r="BD13" i="70"/>
  <c r="BC13" i="70"/>
  <c r="AE13" i="70"/>
  <c r="AD13" i="70"/>
  <c r="AC13" i="70"/>
  <c r="AB13" i="70"/>
  <c r="AA13" i="70"/>
  <c r="DF12" i="70"/>
  <c r="DE12" i="70"/>
  <c r="DD12" i="70"/>
  <c r="DC12" i="70"/>
  <c r="DB12" i="70"/>
  <c r="DA12" i="70"/>
  <c r="CZ12" i="70"/>
  <c r="CY12" i="70"/>
  <c r="CC12" i="70"/>
  <c r="CB12" i="70"/>
  <c r="CX12" i="70" s="1"/>
  <c r="BF12" i="70"/>
  <c r="BE12" i="70"/>
  <c r="BD12" i="70"/>
  <c r="BC12" i="70"/>
  <c r="AE12" i="70"/>
  <c r="AD12" i="70"/>
  <c r="AC12" i="70"/>
  <c r="AB12" i="70"/>
  <c r="AA12" i="70"/>
  <c r="DF11" i="70"/>
  <c r="DE11" i="70"/>
  <c r="DD11" i="70"/>
  <c r="DC11" i="70"/>
  <c r="DB11" i="70"/>
  <c r="DA11" i="70"/>
  <c r="CZ11" i="70"/>
  <c r="CY11" i="70"/>
  <c r="CC11" i="70"/>
  <c r="CB11" i="70"/>
  <c r="BF11" i="70"/>
  <c r="BE11" i="70"/>
  <c r="BD11" i="70"/>
  <c r="BC11" i="70"/>
  <c r="AE11" i="70"/>
  <c r="AD11" i="70"/>
  <c r="AC11" i="70"/>
  <c r="AB11" i="70"/>
  <c r="AA11" i="70"/>
  <c r="DF10" i="70"/>
  <c r="DE10" i="70"/>
  <c r="DD10" i="70"/>
  <c r="DC10" i="70"/>
  <c r="DB10" i="70"/>
  <c r="DA10" i="70"/>
  <c r="CZ10" i="70"/>
  <c r="CY10" i="70"/>
  <c r="CC10" i="70"/>
  <c r="CB10" i="70"/>
  <c r="BF10" i="70"/>
  <c r="BE10" i="70"/>
  <c r="BD10" i="70"/>
  <c r="BC10" i="70"/>
  <c r="AE10" i="70"/>
  <c r="AD10" i="70"/>
  <c r="AC10" i="70"/>
  <c r="AB10" i="70"/>
  <c r="AA10" i="70"/>
  <c r="DF9" i="70"/>
  <c r="DE9" i="70"/>
  <c r="DD9" i="70"/>
  <c r="DC9" i="70"/>
  <c r="DB9" i="70"/>
  <c r="DA9" i="70"/>
  <c r="CZ9" i="70"/>
  <c r="CY9" i="70"/>
  <c r="CC9" i="70"/>
  <c r="CB9" i="70"/>
  <c r="BF9" i="70"/>
  <c r="BE9" i="70"/>
  <c r="BD9" i="70"/>
  <c r="BC9" i="70"/>
  <c r="AE9" i="70"/>
  <c r="AD9" i="70"/>
  <c r="AC9" i="70"/>
  <c r="AB9" i="70"/>
  <c r="AA9" i="70"/>
  <c r="A9" i="70"/>
  <c r="AO88" i="69"/>
  <c r="BL88" i="69" s="1"/>
  <c r="AO87" i="69"/>
  <c r="BL87" i="69" s="1"/>
  <c r="AO86" i="69"/>
  <c r="BL86" i="69" s="1"/>
  <c r="AO85" i="69"/>
  <c r="BL85" i="69" s="1"/>
  <c r="A51" i="69"/>
  <c r="A47" i="69"/>
  <c r="A46" i="69"/>
  <c r="A45" i="69"/>
  <c r="A44" i="69"/>
  <c r="A42" i="69"/>
  <c r="R40" i="69"/>
  <c r="DF39" i="69"/>
  <c r="DE39" i="69"/>
  <c r="DD39" i="69"/>
  <c r="DC39" i="69"/>
  <c r="DB39" i="69"/>
  <c r="DA39" i="69"/>
  <c r="CZ39" i="69"/>
  <c r="CY39" i="69"/>
  <c r="CC39" i="69"/>
  <c r="CB39" i="69"/>
  <c r="BF39" i="69"/>
  <c r="BE39" i="69"/>
  <c r="BD39" i="69"/>
  <c r="BC39" i="69"/>
  <c r="AE39" i="69"/>
  <c r="AD39" i="69"/>
  <c r="AC39" i="69"/>
  <c r="AB39" i="69"/>
  <c r="AA39" i="69"/>
  <c r="DF38" i="69"/>
  <c r="DE38" i="69"/>
  <c r="DD38" i="69"/>
  <c r="DC38" i="69"/>
  <c r="DB38" i="69"/>
  <c r="DA38" i="69"/>
  <c r="CZ38" i="69"/>
  <c r="CY38" i="69"/>
  <c r="CC38" i="69"/>
  <c r="CB38" i="69"/>
  <c r="CX38" i="69" s="1"/>
  <c r="BF38" i="69"/>
  <c r="BE38" i="69"/>
  <c r="BD38" i="69"/>
  <c r="BC38" i="69"/>
  <c r="AE38" i="69"/>
  <c r="AD38" i="69"/>
  <c r="AC38" i="69"/>
  <c r="AB38" i="69"/>
  <c r="AA38" i="69"/>
  <c r="DF37" i="69"/>
  <c r="DE37" i="69"/>
  <c r="DD37" i="69"/>
  <c r="DC37" i="69"/>
  <c r="DB37" i="69"/>
  <c r="DA37" i="69"/>
  <c r="CZ37" i="69"/>
  <c r="CY37" i="69"/>
  <c r="CC37" i="69"/>
  <c r="CB37" i="69"/>
  <c r="BF37" i="69"/>
  <c r="BE37" i="69"/>
  <c r="BD37" i="69"/>
  <c r="BC37" i="69"/>
  <c r="AE37" i="69"/>
  <c r="AD37" i="69"/>
  <c r="AC37" i="69"/>
  <c r="AB37" i="69"/>
  <c r="AA37" i="69"/>
  <c r="DF36" i="69"/>
  <c r="DE36" i="69"/>
  <c r="DD36" i="69"/>
  <c r="DC36" i="69"/>
  <c r="DB36" i="69"/>
  <c r="DA36" i="69"/>
  <c r="CZ36" i="69"/>
  <c r="CY36" i="69"/>
  <c r="CC36" i="69"/>
  <c r="CB36" i="69"/>
  <c r="BF36" i="69"/>
  <c r="BE36" i="69"/>
  <c r="BD36" i="69"/>
  <c r="BC36" i="69"/>
  <c r="AE36" i="69"/>
  <c r="AD36" i="69"/>
  <c r="AC36" i="69"/>
  <c r="AB36" i="69"/>
  <c r="AA36" i="69"/>
  <c r="DF35" i="69"/>
  <c r="DE35" i="69"/>
  <c r="DD35" i="69"/>
  <c r="DC35" i="69"/>
  <c r="DB35" i="69"/>
  <c r="DA35" i="69"/>
  <c r="CZ35" i="69"/>
  <c r="CY35" i="69"/>
  <c r="CC35" i="69"/>
  <c r="CB35" i="69"/>
  <c r="CX35" i="69" s="1"/>
  <c r="BF35" i="69"/>
  <c r="BE35" i="69"/>
  <c r="BD35" i="69"/>
  <c r="BC35" i="69"/>
  <c r="AE35" i="69"/>
  <c r="AD35" i="69"/>
  <c r="AC35" i="69"/>
  <c r="AB35" i="69"/>
  <c r="AA35" i="69"/>
  <c r="DF34" i="69"/>
  <c r="DE34" i="69"/>
  <c r="DD34" i="69"/>
  <c r="DC34" i="69"/>
  <c r="DB34" i="69"/>
  <c r="DA34" i="69"/>
  <c r="CZ34" i="69"/>
  <c r="CY34" i="69"/>
  <c r="CC34" i="69"/>
  <c r="CB34" i="69"/>
  <c r="BF34" i="69"/>
  <c r="BE34" i="69"/>
  <c r="BD34" i="69"/>
  <c r="BC34" i="69"/>
  <c r="AE34" i="69"/>
  <c r="AD34" i="69"/>
  <c r="AC34" i="69"/>
  <c r="AB34" i="69"/>
  <c r="AA34" i="69"/>
  <c r="DF33" i="69"/>
  <c r="DE33" i="69"/>
  <c r="DD33" i="69"/>
  <c r="DC33" i="69"/>
  <c r="DB33" i="69"/>
  <c r="DA33" i="69"/>
  <c r="CZ33" i="69"/>
  <c r="CY33" i="69"/>
  <c r="CC33" i="69"/>
  <c r="CB33" i="69"/>
  <c r="BF33" i="69"/>
  <c r="BE33" i="69"/>
  <c r="BD33" i="69"/>
  <c r="BC33" i="69"/>
  <c r="AE33" i="69"/>
  <c r="AD33" i="69"/>
  <c r="AC33" i="69"/>
  <c r="AB33" i="69"/>
  <c r="AA33" i="69"/>
  <c r="DF32" i="69"/>
  <c r="DE32" i="69"/>
  <c r="DD32" i="69"/>
  <c r="DC32" i="69"/>
  <c r="DB32" i="69"/>
  <c r="DA32" i="69"/>
  <c r="CZ32" i="69"/>
  <c r="CY32" i="69"/>
  <c r="CC32" i="69"/>
  <c r="CB32" i="69"/>
  <c r="BF32" i="69"/>
  <c r="BE32" i="69"/>
  <c r="BD32" i="69"/>
  <c r="BC32" i="69"/>
  <c r="AE32" i="69"/>
  <c r="AD32" i="69"/>
  <c r="AC32" i="69"/>
  <c r="AB32" i="69"/>
  <c r="AA32" i="69"/>
  <c r="DF31" i="69"/>
  <c r="DE31" i="69"/>
  <c r="DD31" i="69"/>
  <c r="DC31" i="69"/>
  <c r="DB31" i="69"/>
  <c r="DA31" i="69"/>
  <c r="CZ31" i="69"/>
  <c r="CY31" i="69"/>
  <c r="CC31" i="69"/>
  <c r="CB31" i="69"/>
  <c r="CX31" i="69" s="1"/>
  <c r="BF31" i="69"/>
  <c r="BE31" i="69"/>
  <c r="BD31" i="69"/>
  <c r="BC31" i="69"/>
  <c r="AE31" i="69"/>
  <c r="AD31" i="69"/>
  <c r="AC31" i="69"/>
  <c r="AB31" i="69"/>
  <c r="AA31" i="69"/>
  <c r="DF30" i="69"/>
  <c r="DE30" i="69"/>
  <c r="DD30" i="69"/>
  <c r="DC30" i="69"/>
  <c r="DB30" i="69"/>
  <c r="DA30" i="69"/>
  <c r="CZ30" i="69"/>
  <c r="CY30" i="69"/>
  <c r="CC30" i="69"/>
  <c r="CB30" i="69"/>
  <c r="BF30" i="69"/>
  <c r="BE30" i="69"/>
  <c r="BD30" i="69"/>
  <c r="BC30" i="69"/>
  <c r="AE30" i="69"/>
  <c r="AD30" i="69"/>
  <c r="AC30" i="69"/>
  <c r="AB30" i="69"/>
  <c r="AA30" i="69"/>
  <c r="DF29" i="69"/>
  <c r="DE29" i="69"/>
  <c r="DD29" i="69"/>
  <c r="DC29" i="69"/>
  <c r="DB29" i="69"/>
  <c r="DA29" i="69"/>
  <c r="CZ29" i="69"/>
  <c r="CY29" i="69"/>
  <c r="CC29" i="69"/>
  <c r="CB29" i="69"/>
  <c r="BF29" i="69"/>
  <c r="BE29" i="69"/>
  <c r="BD29" i="69"/>
  <c r="BC29" i="69"/>
  <c r="AE29" i="69"/>
  <c r="AD29" i="69"/>
  <c r="AC29" i="69"/>
  <c r="AB29" i="69"/>
  <c r="AA29" i="69"/>
  <c r="DF28" i="69"/>
  <c r="DE28" i="69"/>
  <c r="DD28" i="69"/>
  <c r="DC28" i="69"/>
  <c r="DB28" i="69"/>
  <c r="DA28" i="69"/>
  <c r="CZ28" i="69"/>
  <c r="CY28" i="69"/>
  <c r="CC28" i="69"/>
  <c r="CB28" i="69"/>
  <c r="BF28" i="69"/>
  <c r="BE28" i="69"/>
  <c r="BD28" i="69"/>
  <c r="BC28" i="69"/>
  <c r="AE28" i="69"/>
  <c r="AD28" i="69"/>
  <c r="AC28" i="69"/>
  <c r="AB28" i="69"/>
  <c r="AA28" i="69"/>
  <c r="DF27" i="69"/>
  <c r="DE27" i="69"/>
  <c r="DD27" i="69"/>
  <c r="DC27" i="69"/>
  <c r="DB27" i="69"/>
  <c r="DA27" i="69"/>
  <c r="CZ27" i="69"/>
  <c r="CY27" i="69"/>
  <c r="CC27" i="69"/>
  <c r="CB27" i="69"/>
  <c r="BF27" i="69"/>
  <c r="BE27" i="69"/>
  <c r="BD27" i="69"/>
  <c r="BC27" i="69"/>
  <c r="AE27" i="69"/>
  <c r="AD27" i="69"/>
  <c r="AC27" i="69"/>
  <c r="AB27" i="69"/>
  <c r="AA27" i="69"/>
  <c r="DF26" i="69"/>
  <c r="DE26" i="69"/>
  <c r="DD26" i="69"/>
  <c r="DC26" i="69"/>
  <c r="DB26" i="69"/>
  <c r="DA26" i="69"/>
  <c r="CZ26" i="69"/>
  <c r="CY26" i="69"/>
  <c r="CC26" i="69"/>
  <c r="CB26" i="69"/>
  <c r="BF26" i="69"/>
  <c r="BE26" i="69"/>
  <c r="BD26" i="69"/>
  <c r="BC26" i="69"/>
  <c r="AE26" i="69"/>
  <c r="AD26" i="69"/>
  <c r="AC26" i="69"/>
  <c r="AB26" i="69"/>
  <c r="AA26" i="69"/>
  <c r="DF25" i="69"/>
  <c r="DE25" i="69"/>
  <c r="DD25" i="69"/>
  <c r="DC25" i="69"/>
  <c r="DB25" i="69"/>
  <c r="DA25" i="69"/>
  <c r="CZ25" i="69"/>
  <c r="CY25" i="69"/>
  <c r="CC25" i="69"/>
  <c r="CB25" i="69"/>
  <c r="BF25" i="69"/>
  <c r="BE25" i="69"/>
  <c r="BD25" i="69"/>
  <c r="BC25" i="69"/>
  <c r="AE25" i="69"/>
  <c r="AD25" i="69"/>
  <c r="AC25" i="69"/>
  <c r="AB25" i="69"/>
  <c r="AA25" i="69"/>
  <c r="DF24" i="69"/>
  <c r="DE24" i="69"/>
  <c r="DD24" i="69"/>
  <c r="DC24" i="69"/>
  <c r="DB24" i="69"/>
  <c r="DA24" i="69"/>
  <c r="CZ24" i="69"/>
  <c r="CY24" i="69"/>
  <c r="CC24" i="69"/>
  <c r="CB24" i="69"/>
  <c r="CX24" i="69" s="1"/>
  <c r="BF24" i="69"/>
  <c r="BE24" i="69"/>
  <c r="BD24" i="69"/>
  <c r="BC24" i="69"/>
  <c r="AE24" i="69"/>
  <c r="AD24" i="69"/>
  <c r="AC24" i="69"/>
  <c r="AB24" i="69"/>
  <c r="AA24" i="69"/>
  <c r="DF23" i="69"/>
  <c r="DE23" i="69"/>
  <c r="DD23" i="69"/>
  <c r="DC23" i="69"/>
  <c r="DB23" i="69"/>
  <c r="DA23" i="69"/>
  <c r="CZ23" i="69"/>
  <c r="CY23" i="69"/>
  <c r="CC23" i="69"/>
  <c r="CB23" i="69"/>
  <c r="BF23" i="69"/>
  <c r="BE23" i="69"/>
  <c r="BD23" i="69"/>
  <c r="BC23" i="69"/>
  <c r="AE23" i="69"/>
  <c r="AD23" i="69"/>
  <c r="AC23" i="69"/>
  <c r="AB23" i="69"/>
  <c r="AA23" i="69"/>
  <c r="DF22" i="69"/>
  <c r="DE22" i="69"/>
  <c r="DD22" i="69"/>
  <c r="DC22" i="69"/>
  <c r="DB22" i="69"/>
  <c r="DA22" i="69"/>
  <c r="CZ22" i="69"/>
  <c r="CY22" i="69"/>
  <c r="CC22" i="69"/>
  <c r="CB22" i="69"/>
  <c r="CX22" i="69" s="1"/>
  <c r="BF22" i="69"/>
  <c r="BE22" i="69"/>
  <c r="BD22" i="69"/>
  <c r="BC22" i="69"/>
  <c r="AE22" i="69"/>
  <c r="AD22" i="69"/>
  <c r="AC22" i="69"/>
  <c r="AB22" i="69"/>
  <c r="AA22" i="69"/>
  <c r="DF21" i="69"/>
  <c r="DE21" i="69"/>
  <c r="DD21" i="69"/>
  <c r="DC21" i="69"/>
  <c r="DB21" i="69"/>
  <c r="DA21" i="69"/>
  <c r="CZ21" i="69"/>
  <c r="CY21" i="69"/>
  <c r="CC21" i="69"/>
  <c r="CB21" i="69"/>
  <c r="BF21" i="69"/>
  <c r="BE21" i="69"/>
  <c r="BD21" i="69"/>
  <c r="BC21" i="69"/>
  <c r="AE21" i="69"/>
  <c r="AD21" i="69"/>
  <c r="AC21" i="69"/>
  <c r="AB21" i="69"/>
  <c r="AA21" i="69"/>
  <c r="DF20" i="69"/>
  <c r="DE20" i="69"/>
  <c r="DD20" i="69"/>
  <c r="DC20" i="69"/>
  <c r="DB20" i="69"/>
  <c r="DA20" i="69"/>
  <c r="CZ20" i="69"/>
  <c r="CY20" i="69"/>
  <c r="CC20" i="69"/>
  <c r="CB20" i="69"/>
  <c r="CX20" i="69" s="1"/>
  <c r="BF20" i="69"/>
  <c r="BE20" i="69"/>
  <c r="BD20" i="69"/>
  <c r="BC20" i="69"/>
  <c r="AE20" i="69"/>
  <c r="AD20" i="69"/>
  <c r="AC20" i="69"/>
  <c r="AB20" i="69"/>
  <c r="AA20" i="69"/>
  <c r="DF19" i="69"/>
  <c r="DE19" i="69"/>
  <c r="DD19" i="69"/>
  <c r="DC19" i="69"/>
  <c r="DB19" i="69"/>
  <c r="DA19" i="69"/>
  <c r="CZ19" i="69"/>
  <c r="CY19" i="69"/>
  <c r="CC19" i="69"/>
  <c r="CB19" i="69"/>
  <c r="CX19" i="69" s="1"/>
  <c r="BF19" i="69"/>
  <c r="BE19" i="69"/>
  <c r="BD19" i="69"/>
  <c r="BC19" i="69"/>
  <c r="AE19" i="69"/>
  <c r="AD19" i="69"/>
  <c r="AC19" i="69"/>
  <c r="AB19" i="69"/>
  <c r="AA19" i="69"/>
  <c r="DF18" i="69"/>
  <c r="DE18" i="69"/>
  <c r="DD18" i="69"/>
  <c r="DC18" i="69"/>
  <c r="DB18" i="69"/>
  <c r="DA18" i="69"/>
  <c r="CZ18" i="69"/>
  <c r="CY18" i="69"/>
  <c r="CC18" i="69"/>
  <c r="CB18" i="69"/>
  <c r="BF18" i="69"/>
  <c r="BE18" i="69"/>
  <c r="BD18" i="69"/>
  <c r="BC18" i="69"/>
  <c r="AE18" i="69"/>
  <c r="AD18" i="69"/>
  <c r="AC18" i="69"/>
  <c r="AB18" i="69"/>
  <c r="AA18" i="69"/>
  <c r="DF17" i="69"/>
  <c r="DE17" i="69"/>
  <c r="DD17" i="69"/>
  <c r="DC17" i="69"/>
  <c r="DB17" i="69"/>
  <c r="DA17" i="69"/>
  <c r="CZ17" i="69"/>
  <c r="CY17" i="69"/>
  <c r="CC17" i="69"/>
  <c r="CB17" i="69"/>
  <c r="BF17" i="69"/>
  <c r="BE17" i="69"/>
  <c r="BD17" i="69"/>
  <c r="BC17" i="69"/>
  <c r="AE17" i="69"/>
  <c r="AD17" i="69"/>
  <c r="AC17" i="69"/>
  <c r="AB17" i="69"/>
  <c r="AA17" i="69"/>
  <c r="DF16" i="69"/>
  <c r="DE16" i="69"/>
  <c r="DD16" i="69"/>
  <c r="DC16" i="69"/>
  <c r="DB16" i="69"/>
  <c r="DA16" i="69"/>
  <c r="CZ16" i="69"/>
  <c r="CY16" i="69"/>
  <c r="CC16" i="69"/>
  <c r="CB16" i="69"/>
  <c r="BF16" i="69"/>
  <c r="BE16" i="69"/>
  <c r="BD16" i="69"/>
  <c r="BC16" i="69"/>
  <c r="AE16" i="69"/>
  <c r="AD16" i="69"/>
  <c r="AC16" i="69"/>
  <c r="AB16" i="69"/>
  <c r="AA16" i="69"/>
  <c r="DF15" i="69"/>
  <c r="DE15" i="69"/>
  <c r="DD15" i="69"/>
  <c r="DC15" i="69"/>
  <c r="DB15" i="69"/>
  <c r="DA15" i="69"/>
  <c r="CZ15" i="69"/>
  <c r="CY15" i="69"/>
  <c r="CC15" i="69"/>
  <c r="CB15" i="69"/>
  <c r="BF15" i="69"/>
  <c r="BE15" i="69"/>
  <c r="BD15" i="69"/>
  <c r="BC15" i="69"/>
  <c r="AE15" i="69"/>
  <c r="AD15" i="69"/>
  <c r="AC15" i="69"/>
  <c r="AB15" i="69"/>
  <c r="AA15" i="69"/>
  <c r="DF14" i="69"/>
  <c r="DE14" i="69"/>
  <c r="DD14" i="69"/>
  <c r="DC14" i="69"/>
  <c r="DB14" i="69"/>
  <c r="DA14" i="69"/>
  <c r="CZ14" i="69"/>
  <c r="CY14" i="69"/>
  <c r="CC14" i="69"/>
  <c r="CB14" i="69"/>
  <c r="BF14" i="69"/>
  <c r="BE14" i="69"/>
  <c r="BD14" i="69"/>
  <c r="BC14" i="69"/>
  <c r="AE14" i="69"/>
  <c r="AD14" i="69"/>
  <c r="AC14" i="69"/>
  <c r="AB14" i="69"/>
  <c r="AA14" i="69"/>
  <c r="DF13" i="69"/>
  <c r="DE13" i="69"/>
  <c r="DD13" i="69"/>
  <c r="DC13" i="69"/>
  <c r="DB13" i="69"/>
  <c r="DA13" i="69"/>
  <c r="CZ13" i="69"/>
  <c r="CY13" i="69"/>
  <c r="CC13" i="69"/>
  <c r="CB13" i="69"/>
  <c r="BF13" i="69"/>
  <c r="BE13" i="69"/>
  <c r="BD13" i="69"/>
  <c r="BC13" i="69"/>
  <c r="AE13" i="69"/>
  <c r="AD13" i="69"/>
  <c r="AC13" i="69"/>
  <c r="AB13" i="69"/>
  <c r="AA13" i="69"/>
  <c r="DF12" i="69"/>
  <c r="DE12" i="69"/>
  <c r="DD12" i="69"/>
  <c r="DC12" i="69"/>
  <c r="DB12" i="69"/>
  <c r="DA12" i="69"/>
  <c r="CZ12" i="69"/>
  <c r="CY12" i="69"/>
  <c r="CC12" i="69"/>
  <c r="CB12" i="69"/>
  <c r="BF12" i="69"/>
  <c r="BE12" i="69"/>
  <c r="BD12" i="69"/>
  <c r="BC12" i="69"/>
  <c r="AE12" i="69"/>
  <c r="AD12" i="69"/>
  <c r="AC12" i="69"/>
  <c r="AB12" i="69"/>
  <c r="AA12" i="69"/>
  <c r="DF11" i="69"/>
  <c r="DE11" i="69"/>
  <c r="DD11" i="69"/>
  <c r="DC11" i="69"/>
  <c r="DB11" i="69"/>
  <c r="DA11" i="69"/>
  <c r="CZ11" i="69"/>
  <c r="CY11" i="69"/>
  <c r="CC11" i="69"/>
  <c r="CB11" i="69"/>
  <c r="CX11" i="69" s="1"/>
  <c r="BF11" i="69"/>
  <c r="BE11" i="69"/>
  <c r="BD11" i="69"/>
  <c r="BC11" i="69"/>
  <c r="AE11" i="69"/>
  <c r="AD11" i="69"/>
  <c r="AC11" i="69"/>
  <c r="AB11" i="69"/>
  <c r="AA11" i="69"/>
  <c r="DF10" i="69"/>
  <c r="DE10" i="69"/>
  <c r="DD10" i="69"/>
  <c r="DC10" i="69"/>
  <c r="DB10" i="69"/>
  <c r="DA10" i="69"/>
  <c r="CZ10" i="69"/>
  <c r="CY10" i="69"/>
  <c r="CC10" i="69"/>
  <c r="CB10" i="69"/>
  <c r="CX10" i="69" s="1"/>
  <c r="BF10" i="69"/>
  <c r="BE10" i="69"/>
  <c r="BD10" i="69"/>
  <c r="BC10" i="69"/>
  <c r="AE10" i="69"/>
  <c r="AD10" i="69"/>
  <c r="AC10" i="69"/>
  <c r="AB10" i="69"/>
  <c r="AA10" i="69"/>
  <c r="DF9" i="69"/>
  <c r="DE9" i="69"/>
  <c r="DD9" i="69"/>
  <c r="DC9" i="69"/>
  <c r="DB9" i="69"/>
  <c r="DA9" i="69"/>
  <c r="CZ9" i="69"/>
  <c r="CY9" i="69"/>
  <c r="CC9" i="69"/>
  <c r="CB9" i="69"/>
  <c r="CX9" i="69" s="1"/>
  <c r="BF9" i="69"/>
  <c r="BE9" i="69"/>
  <c r="BD9" i="69"/>
  <c r="BC9" i="69"/>
  <c r="AE9" i="69"/>
  <c r="AD9" i="69"/>
  <c r="AC9" i="69"/>
  <c r="AB9" i="69"/>
  <c r="AA9" i="69"/>
  <c r="A9" i="69"/>
  <c r="AO86" i="68"/>
  <c r="BL86" i="68" s="1"/>
  <c r="AO85" i="68"/>
  <c r="BL85" i="68" s="1"/>
  <c r="AO84" i="68"/>
  <c r="BL84" i="68" s="1"/>
  <c r="AO83" i="68"/>
  <c r="BL83" i="68" s="1"/>
  <c r="A49" i="68"/>
  <c r="A45" i="68"/>
  <c r="A44" i="68"/>
  <c r="A43" i="68"/>
  <c r="A42" i="68"/>
  <c r="A40" i="68"/>
  <c r="AE35" i="68"/>
  <c r="AD35" i="68"/>
  <c r="AC35" i="68"/>
  <c r="AB35" i="68"/>
  <c r="AA35" i="68"/>
  <c r="DF34" i="68"/>
  <c r="DE34" i="68"/>
  <c r="DD34" i="68"/>
  <c r="DC34" i="68"/>
  <c r="DB34" i="68"/>
  <c r="DA34" i="68"/>
  <c r="CZ34" i="68"/>
  <c r="CY34" i="68"/>
  <c r="CC34" i="68"/>
  <c r="CB34" i="68"/>
  <c r="BF34" i="68"/>
  <c r="BE34" i="68"/>
  <c r="BD34" i="68"/>
  <c r="BC34" i="68"/>
  <c r="AE34" i="68"/>
  <c r="AD34" i="68"/>
  <c r="AC34" i="68"/>
  <c r="AB34" i="68"/>
  <c r="AA34" i="68"/>
  <c r="DF33" i="68"/>
  <c r="DE33" i="68"/>
  <c r="DD33" i="68"/>
  <c r="DC33" i="68"/>
  <c r="DB33" i="68"/>
  <c r="DA33" i="68"/>
  <c r="CZ33" i="68"/>
  <c r="CY33" i="68"/>
  <c r="CC33" i="68"/>
  <c r="CB33" i="68"/>
  <c r="BF33" i="68"/>
  <c r="BE33" i="68"/>
  <c r="BD33" i="68"/>
  <c r="BC33" i="68"/>
  <c r="AE33" i="68"/>
  <c r="AD33" i="68"/>
  <c r="AC33" i="68"/>
  <c r="AB33" i="68"/>
  <c r="AA33" i="68"/>
  <c r="DF32" i="68"/>
  <c r="DE32" i="68"/>
  <c r="DD32" i="68"/>
  <c r="DC32" i="68"/>
  <c r="DB32" i="68"/>
  <c r="DA32" i="68"/>
  <c r="CZ32" i="68"/>
  <c r="CY32" i="68"/>
  <c r="CC32" i="68"/>
  <c r="CB32" i="68"/>
  <c r="BF32" i="68"/>
  <c r="BE32" i="68"/>
  <c r="BD32" i="68"/>
  <c r="BC32" i="68"/>
  <c r="AE32" i="68"/>
  <c r="AD32" i="68"/>
  <c r="AC32" i="68"/>
  <c r="AB32" i="68"/>
  <c r="AA32" i="68"/>
  <c r="DF31" i="68"/>
  <c r="DE31" i="68"/>
  <c r="DD31" i="68"/>
  <c r="DC31" i="68"/>
  <c r="DB31" i="68"/>
  <c r="DA31" i="68"/>
  <c r="CZ31" i="68"/>
  <c r="CY31" i="68"/>
  <c r="CC31" i="68"/>
  <c r="CB31" i="68"/>
  <c r="BF31" i="68"/>
  <c r="BE31" i="68"/>
  <c r="BD31" i="68"/>
  <c r="BC31" i="68"/>
  <c r="AE31" i="68"/>
  <c r="AD31" i="68"/>
  <c r="AC31" i="68"/>
  <c r="AB31" i="68"/>
  <c r="AA31" i="68"/>
  <c r="DF30" i="68"/>
  <c r="DE30" i="68"/>
  <c r="DD30" i="68"/>
  <c r="DC30" i="68"/>
  <c r="DB30" i="68"/>
  <c r="DA30" i="68"/>
  <c r="CZ30" i="68"/>
  <c r="CY30" i="68"/>
  <c r="CC30" i="68"/>
  <c r="CB30" i="68"/>
  <c r="BF30" i="68"/>
  <c r="BE30" i="68"/>
  <c r="BD30" i="68"/>
  <c r="BC30" i="68"/>
  <c r="AE30" i="68"/>
  <c r="AD30" i="68"/>
  <c r="AC30" i="68"/>
  <c r="AB30" i="68"/>
  <c r="AA30" i="68"/>
  <c r="DF29" i="68"/>
  <c r="DE29" i="68"/>
  <c r="DD29" i="68"/>
  <c r="DC29" i="68"/>
  <c r="DB29" i="68"/>
  <c r="DA29" i="68"/>
  <c r="CZ29" i="68"/>
  <c r="CY29" i="68"/>
  <c r="CC29" i="68"/>
  <c r="CB29" i="68"/>
  <c r="BF29" i="68"/>
  <c r="BE29" i="68"/>
  <c r="BD29" i="68"/>
  <c r="BC29" i="68"/>
  <c r="AE29" i="68"/>
  <c r="AD29" i="68"/>
  <c r="AC29" i="68"/>
  <c r="AB29" i="68"/>
  <c r="AA29" i="68"/>
  <c r="DF28" i="68"/>
  <c r="DE28" i="68"/>
  <c r="DD28" i="68"/>
  <c r="DC28" i="68"/>
  <c r="DB28" i="68"/>
  <c r="DA28" i="68"/>
  <c r="CZ28" i="68"/>
  <c r="CY28" i="68"/>
  <c r="CC28" i="68"/>
  <c r="CB28" i="68"/>
  <c r="BF28" i="68"/>
  <c r="BE28" i="68"/>
  <c r="BD28" i="68"/>
  <c r="BC28" i="68"/>
  <c r="AE28" i="68"/>
  <c r="AD28" i="68"/>
  <c r="AC28" i="68"/>
  <c r="AB28" i="68"/>
  <c r="AA28" i="68"/>
  <c r="DF27" i="68"/>
  <c r="DE27" i="68"/>
  <c r="DD27" i="68"/>
  <c r="DC27" i="68"/>
  <c r="DB27" i="68"/>
  <c r="DA27" i="68"/>
  <c r="CZ27" i="68"/>
  <c r="CY27" i="68"/>
  <c r="CC27" i="68"/>
  <c r="CB27" i="68"/>
  <c r="BF27" i="68"/>
  <c r="BE27" i="68"/>
  <c r="BD27" i="68"/>
  <c r="BC27" i="68"/>
  <c r="AE27" i="68"/>
  <c r="AD27" i="68"/>
  <c r="AC27" i="68"/>
  <c r="AB27" i="68"/>
  <c r="AA27" i="68"/>
  <c r="DF26" i="68"/>
  <c r="DE26" i="68"/>
  <c r="DD26" i="68"/>
  <c r="DC26" i="68"/>
  <c r="DB26" i="68"/>
  <c r="DA26" i="68"/>
  <c r="CZ26" i="68"/>
  <c r="CY26" i="68"/>
  <c r="CC26" i="68"/>
  <c r="CB26" i="68"/>
  <c r="BF26" i="68"/>
  <c r="BE26" i="68"/>
  <c r="BD26" i="68"/>
  <c r="BC26" i="68"/>
  <c r="AE26" i="68"/>
  <c r="AD26" i="68"/>
  <c r="AC26" i="68"/>
  <c r="AB26" i="68"/>
  <c r="AA26" i="68"/>
  <c r="DF25" i="68"/>
  <c r="DE25" i="68"/>
  <c r="DD25" i="68"/>
  <c r="DC25" i="68"/>
  <c r="DB25" i="68"/>
  <c r="DA25" i="68"/>
  <c r="CZ25" i="68"/>
  <c r="CY25" i="68"/>
  <c r="CC25" i="68"/>
  <c r="CB25" i="68"/>
  <c r="BF25" i="68"/>
  <c r="BE25" i="68"/>
  <c r="BD25" i="68"/>
  <c r="BC25" i="68"/>
  <c r="AE25" i="68"/>
  <c r="AD25" i="68"/>
  <c r="AC25" i="68"/>
  <c r="AB25" i="68"/>
  <c r="AA25" i="68"/>
  <c r="DF24" i="68"/>
  <c r="DE24" i="68"/>
  <c r="DD24" i="68"/>
  <c r="DC24" i="68"/>
  <c r="DB24" i="68"/>
  <c r="DA24" i="68"/>
  <c r="CZ24" i="68"/>
  <c r="CY24" i="68"/>
  <c r="CC24" i="68"/>
  <c r="CB24" i="68"/>
  <c r="BF24" i="68"/>
  <c r="BE24" i="68"/>
  <c r="BD24" i="68"/>
  <c r="BC24" i="68"/>
  <c r="AE24" i="68"/>
  <c r="AD24" i="68"/>
  <c r="AC24" i="68"/>
  <c r="AB24" i="68"/>
  <c r="AA24" i="68"/>
  <c r="DF23" i="68"/>
  <c r="DE23" i="68"/>
  <c r="DD23" i="68"/>
  <c r="DC23" i="68"/>
  <c r="DB23" i="68"/>
  <c r="DA23" i="68"/>
  <c r="CZ23" i="68"/>
  <c r="CY23" i="68"/>
  <c r="CC23" i="68"/>
  <c r="CB23" i="68"/>
  <c r="BF23" i="68"/>
  <c r="BE23" i="68"/>
  <c r="BD23" i="68"/>
  <c r="BC23" i="68"/>
  <c r="AE23" i="68"/>
  <c r="AD23" i="68"/>
  <c r="AC23" i="68"/>
  <c r="AB23" i="68"/>
  <c r="AA23" i="68"/>
  <c r="DF22" i="68"/>
  <c r="DE22" i="68"/>
  <c r="DD22" i="68"/>
  <c r="DC22" i="68"/>
  <c r="DB22" i="68"/>
  <c r="DA22" i="68"/>
  <c r="CZ22" i="68"/>
  <c r="CY22" i="68"/>
  <c r="CC22" i="68"/>
  <c r="CB22" i="68"/>
  <c r="BF22" i="68"/>
  <c r="BE22" i="68"/>
  <c r="BD22" i="68"/>
  <c r="BC22" i="68"/>
  <c r="AE22" i="68"/>
  <c r="AD22" i="68"/>
  <c r="AC22" i="68"/>
  <c r="AB22" i="68"/>
  <c r="AA22" i="68"/>
  <c r="DF21" i="68"/>
  <c r="DE21" i="68"/>
  <c r="DD21" i="68"/>
  <c r="DC21" i="68"/>
  <c r="DB21" i="68"/>
  <c r="DA21" i="68"/>
  <c r="CZ21" i="68"/>
  <c r="CY21" i="68"/>
  <c r="CC21" i="68"/>
  <c r="CB21" i="68"/>
  <c r="BF21" i="68"/>
  <c r="BE21" i="68"/>
  <c r="BD21" i="68"/>
  <c r="BC21" i="68"/>
  <c r="AE21" i="68"/>
  <c r="AD21" i="68"/>
  <c r="AC21" i="68"/>
  <c r="AB21" i="68"/>
  <c r="AA21" i="68"/>
  <c r="DF20" i="68"/>
  <c r="DE20" i="68"/>
  <c r="DD20" i="68"/>
  <c r="DC20" i="68"/>
  <c r="DB20" i="68"/>
  <c r="DA20" i="68"/>
  <c r="CZ20" i="68"/>
  <c r="CY20" i="68"/>
  <c r="CC20" i="68"/>
  <c r="CB20" i="68"/>
  <c r="BF20" i="68"/>
  <c r="BE20" i="68"/>
  <c r="BD20" i="68"/>
  <c r="BC20" i="68"/>
  <c r="AE20" i="68"/>
  <c r="AD20" i="68"/>
  <c r="AC20" i="68"/>
  <c r="AB20" i="68"/>
  <c r="AA20" i="68"/>
  <c r="DF19" i="68"/>
  <c r="DE19" i="68"/>
  <c r="DD19" i="68"/>
  <c r="DC19" i="68"/>
  <c r="DB19" i="68"/>
  <c r="DA19" i="68"/>
  <c r="CZ19" i="68"/>
  <c r="CY19" i="68"/>
  <c r="CC19" i="68"/>
  <c r="CB19" i="68"/>
  <c r="BF19" i="68"/>
  <c r="BE19" i="68"/>
  <c r="BD19" i="68"/>
  <c r="BC19" i="68"/>
  <c r="AE19" i="68"/>
  <c r="AD19" i="68"/>
  <c r="AC19" i="68"/>
  <c r="AB19" i="68"/>
  <c r="AA19" i="68"/>
  <c r="DF18" i="68"/>
  <c r="DE18" i="68"/>
  <c r="DD18" i="68"/>
  <c r="DC18" i="68"/>
  <c r="DB18" i="68"/>
  <c r="DA18" i="68"/>
  <c r="CZ18" i="68"/>
  <c r="CY18" i="68"/>
  <c r="CC18" i="68"/>
  <c r="CB18" i="68"/>
  <c r="BF18" i="68"/>
  <c r="BE18" i="68"/>
  <c r="BD18" i="68"/>
  <c r="BC18" i="68"/>
  <c r="AE18" i="68"/>
  <c r="AD18" i="68"/>
  <c r="AC18" i="68"/>
  <c r="AB18" i="68"/>
  <c r="AA18" i="68"/>
  <c r="DF17" i="68"/>
  <c r="DE17" i="68"/>
  <c r="DD17" i="68"/>
  <c r="DC17" i="68"/>
  <c r="DB17" i="68"/>
  <c r="DA17" i="68"/>
  <c r="CZ17" i="68"/>
  <c r="CY17" i="68"/>
  <c r="CC17" i="68"/>
  <c r="CB17" i="68"/>
  <c r="BF17" i="68"/>
  <c r="BE17" i="68"/>
  <c r="BD17" i="68"/>
  <c r="BC17" i="68"/>
  <c r="AE17" i="68"/>
  <c r="AD17" i="68"/>
  <c r="AC17" i="68"/>
  <c r="AB17" i="68"/>
  <c r="AA17" i="68"/>
  <c r="DF16" i="68"/>
  <c r="DE16" i="68"/>
  <c r="DD16" i="68"/>
  <c r="DC16" i="68"/>
  <c r="DB16" i="68"/>
  <c r="DA16" i="68"/>
  <c r="CZ16" i="68"/>
  <c r="CY16" i="68"/>
  <c r="CC16" i="68"/>
  <c r="CB16" i="68"/>
  <c r="BF16" i="68"/>
  <c r="BE16" i="68"/>
  <c r="BD16" i="68"/>
  <c r="BC16" i="68"/>
  <c r="AE16" i="68"/>
  <c r="AD16" i="68"/>
  <c r="AC16" i="68"/>
  <c r="AB16" i="68"/>
  <c r="AA16" i="68"/>
  <c r="DF15" i="68"/>
  <c r="DE15" i="68"/>
  <c r="DD15" i="68"/>
  <c r="DC15" i="68"/>
  <c r="DB15" i="68"/>
  <c r="DA15" i="68"/>
  <c r="CZ15" i="68"/>
  <c r="CY15" i="68"/>
  <c r="CC15" i="68"/>
  <c r="CB15" i="68"/>
  <c r="BF15" i="68"/>
  <c r="BE15" i="68"/>
  <c r="BD15" i="68"/>
  <c r="BC15" i="68"/>
  <c r="AE15" i="68"/>
  <c r="AD15" i="68"/>
  <c r="AC15" i="68"/>
  <c r="AB15" i="68"/>
  <c r="AA15" i="68"/>
  <c r="DF14" i="68"/>
  <c r="DE14" i="68"/>
  <c r="DD14" i="68"/>
  <c r="DC14" i="68"/>
  <c r="DB14" i="68"/>
  <c r="DA14" i="68"/>
  <c r="CZ14" i="68"/>
  <c r="CY14" i="68"/>
  <c r="CC14" i="68"/>
  <c r="CB14" i="68"/>
  <c r="BF14" i="68"/>
  <c r="BE14" i="68"/>
  <c r="BD14" i="68"/>
  <c r="BC14" i="68"/>
  <c r="AE14" i="68"/>
  <c r="AD14" i="68"/>
  <c r="AC14" i="68"/>
  <c r="AB14" i="68"/>
  <c r="AA14" i="68"/>
  <c r="DF13" i="68"/>
  <c r="DE13" i="68"/>
  <c r="DD13" i="68"/>
  <c r="DC13" i="68"/>
  <c r="DB13" i="68"/>
  <c r="DA13" i="68"/>
  <c r="CZ13" i="68"/>
  <c r="CY13" i="68"/>
  <c r="CC13" i="68"/>
  <c r="CB13" i="68"/>
  <c r="BF13" i="68"/>
  <c r="BE13" i="68"/>
  <c r="BD13" i="68"/>
  <c r="BC13" i="68"/>
  <c r="AE13" i="68"/>
  <c r="AD13" i="68"/>
  <c r="AC13" i="68"/>
  <c r="AB13" i="68"/>
  <c r="AA13" i="68"/>
  <c r="DF12" i="68"/>
  <c r="DE12" i="68"/>
  <c r="DD12" i="68"/>
  <c r="DC12" i="68"/>
  <c r="DB12" i="68"/>
  <c r="DA12" i="68"/>
  <c r="CZ12" i="68"/>
  <c r="CY12" i="68"/>
  <c r="CC12" i="68"/>
  <c r="CB12" i="68"/>
  <c r="BF12" i="68"/>
  <c r="BE12" i="68"/>
  <c r="BD12" i="68"/>
  <c r="BC12" i="68"/>
  <c r="AE12" i="68"/>
  <c r="AD12" i="68"/>
  <c r="AC12" i="68"/>
  <c r="AB12" i="68"/>
  <c r="AA12" i="68"/>
  <c r="DF11" i="68"/>
  <c r="DE11" i="68"/>
  <c r="DD11" i="68"/>
  <c r="DC11" i="68"/>
  <c r="DB11" i="68"/>
  <c r="DA11" i="68"/>
  <c r="CZ11" i="68"/>
  <c r="CY11" i="68"/>
  <c r="CC11" i="68"/>
  <c r="CB11" i="68"/>
  <c r="BF11" i="68"/>
  <c r="BE11" i="68"/>
  <c r="BD11" i="68"/>
  <c r="BC11" i="68"/>
  <c r="AE11" i="68"/>
  <c r="AD11" i="68"/>
  <c r="AC11" i="68"/>
  <c r="AB11" i="68"/>
  <c r="AA11" i="68"/>
  <c r="DF10" i="68"/>
  <c r="DE10" i="68"/>
  <c r="DD10" i="68"/>
  <c r="DC10" i="68"/>
  <c r="DB10" i="68"/>
  <c r="DA10" i="68"/>
  <c r="CZ10" i="68"/>
  <c r="CY10" i="68"/>
  <c r="CC10" i="68"/>
  <c r="CB10" i="68"/>
  <c r="BF10" i="68"/>
  <c r="BE10" i="68"/>
  <c r="BD10" i="68"/>
  <c r="BC10" i="68"/>
  <c r="AE10" i="68"/>
  <c r="AD10" i="68"/>
  <c r="AC10" i="68"/>
  <c r="AB10" i="68"/>
  <c r="AA10" i="68"/>
  <c r="DF9" i="68"/>
  <c r="DE9" i="68"/>
  <c r="DD9" i="68"/>
  <c r="DC9" i="68"/>
  <c r="DB9" i="68"/>
  <c r="DA9" i="68"/>
  <c r="CZ9" i="68"/>
  <c r="CY9" i="68"/>
  <c r="CC9" i="68"/>
  <c r="CB9" i="68"/>
  <c r="BF9" i="68"/>
  <c r="BE9" i="68"/>
  <c r="BD9" i="68"/>
  <c r="BC9" i="68"/>
  <c r="AE9" i="68"/>
  <c r="AD9" i="68"/>
  <c r="AC9" i="68"/>
  <c r="AB9" i="68"/>
  <c r="A9" i="68"/>
  <c r="AO88" i="67"/>
  <c r="BL88" i="67" s="1"/>
  <c r="AO87" i="67"/>
  <c r="BL87" i="67" s="1"/>
  <c r="AO86" i="67"/>
  <c r="BL86" i="67" s="1"/>
  <c r="AO85" i="67"/>
  <c r="BL85" i="67" s="1"/>
  <c r="A51" i="67"/>
  <c r="A47" i="67"/>
  <c r="A46" i="67"/>
  <c r="A45" i="67"/>
  <c r="A44" i="67"/>
  <c r="A42" i="67"/>
  <c r="R40" i="67"/>
  <c r="DF39" i="67"/>
  <c r="DE39" i="67"/>
  <c r="DD39" i="67"/>
  <c r="DC39" i="67"/>
  <c r="DB39" i="67"/>
  <c r="DA39" i="67"/>
  <c r="CZ39" i="67"/>
  <c r="CY39" i="67"/>
  <c r="CC39" i="67"/>
  <c r="CB39" i="67"/>
  <c r="CX39" i="67" s="1"/>
  <c r="BF39" i="67"/>
  <c r="BE39" i="67"/>
  <c r="BD39" i="67"/>
  <c r="BC39" i="67"/>
  <c r="AE39" i="67"/>
  <c r="AD39" i="67"/>
  <c r="AC39" i="67"/>
  <c r="AB39" i="67"/>
  <c r="AA39" i="67"/>
  <c r="DF38" i="67"/>
  <c r="DE38" i="67"/>
  <c r="DD38" i="67"/>
  <c r="DC38" i="67"/>
  <c r="DB38" i="67"/>
  <c r="DA38" i="67"/>
  <c r="CZ38" i="67"/>
  <c r="CY38" i="67"/>
  <c r="CC38" i="67"/>
  <c r="CB38" i="67"/>
  <c r="CX38" i="67" s="1"/>
  <c r="BF38" i="67"/>
  <c r="BE38" i="67"/>
  <c r="BD38" i="67"/>
  <c r="BC38" i="67"/>
  <c r="AE38" i="67"/>
  <c r="AD38" i="67"/>
  <c r="AC38" i="67"/>
  <c r="AB38" i="67"/>
  <c r="AA38" i="67"/>
  <c r="DF37" i="67"/>
  <c r="DE37" i="67"/>
  <c r="DD37" i="67"/>
  <c r="DC37" i="67"/>
  <c r="DB37" i="67"/>
  <c r="DA37" i="67"/>
  <c r="CZ37" i="67"/>
  <c r="CY37" i="67"/>
  <c r="CC37" i="67"/>
  <c r="CB37" i="67"/>
  <c r="CX37" i="67" s="1"/>
  <c r="BF37" i="67"/>
  <c r="BE37" i="67"/>
  <c r="BD37" i="67"/>
  <c r="BC37" i="67"/>
  <c r="AE37" i="67"/>
  <c r="AD37" i="67"/>
  <c r="AC37" i="67"/>
  <c r="AB37" i="67"/>
  <c r="AA37" i="67"/>
  <c r="DF36" i="67"/>
  <c r="DE36" i="67"/>
  <c r="DD36" i="67"/>
  <c r="DC36" i="67"/>
  <c r="DB36" i="67"/>
  <c r="DA36" i="67"/>
  <c r="CZ36" i="67"/>
  <c r="CY36" i="67"/>
  <c r="CC36" i="67"/>
  <c r="CB36" i="67"/>
  <c r="BF36" i="67"/>
  <c r="BE36" i="67"/>
  <c r="BD36" i="67"/>
  <c r="BC36" i="67"/>
  <c r="AE36" i="67"/>
  <c r="AD36" i="67"/>
  <c r="AC36" i="67"/>
  <c r="AB36" i="67"/>
  <c r="AA36" i="67"/>
  <c r="DF35" i="67"/>
  <c r="DE35" i="67"/>
  <c r="DD35" i="67"/>
  <c r="DC35" i="67"/>
  <c r="DB35" i="67"/>
  <c r="DA35" i="67"/>
  <c r="CZ35" i="67"/>
  <c r="CY35" i="67"/>
  <c r="CC35" i="67"/>
  <c r="CB35" i="67"/>
  <c r="BF35" i="67"/>
  <c r="BE35" i="67"/>
  <c r="BD35" i="67"/>
  <c r="BC35" i="67"/>
  <c r="AE35" i="67"/>
  <c r="AD35" i="67"/>
  <c r="AC35" i="67"/>
  <c r="AB35" i="67"/>
  <c r="AA35" i="67"/>
  <c r="DF34" i="67"/>
  <c r="DE34" i="67"/>
  <c r="DD34" i="67"/>
  <c r="DC34" i="67"/>
  <c r="DB34" i="67"/>
  <c r="DA34" i="67"/>
  <c r="CZ34" i="67"/>
  <c r="CY34" i="67"/>
  <c r="CC34" i="67"/>
  <c r="CB34" i="67"/>
  <c r="BF34" i="67"/>
  <c r="BE34" i="67"/>
  <c r="BD34" i="67"/>
  <c r="BC34" i="67"/>
  <c r="AE34" i="67"/>
  <c r="AD34" i="67"/>
  <c r="AC34" i="67"/>
  <c r="AB34" i="67"/>
  <c r="AA34" i="67"/>
  <c r="DF33" i="67"/>
  <c r="DE33" i="67"/>
  <c r="DD33" i="67"/>
  <c r="DC33" i="67"/>
  <c r="DB33" i="67"/>
  <c r="DA33" i="67"/>
  <c r="CZ33" i="67"/>
  <c r="CY33" i="67"/>
  <c r="CC33" i="67"/>
  <c r="CB33" i="67"/>
  <c r="CX33" i="67" s="1"/>
  <c r="BF33" i="67"/>
  <c r="BE33" i="67"/>
  <c r="BD33" i="67"/>
  <c r="BC33" i="67"/>
  <c r="AE33" i="67"/>
  <c r="AD33" i="67"/>
  <c r="AC33" i="67"/>
  <c r="AB33" i="67"/>
  <c r="AA33" i="67"/>
  <c r="DF32" i="67"/>
  <c r="DE32" i="67"/>
  <c r="DD32" i="67"/>
  <c r="DC32" i="67"/>
  <c r="DB32" i="67"/>
  <c r="DA32" i="67"/>
  <c r="CZ32" i="67"/>
  <c r="CY32" i="67"/>
  <c r="CC32" i="67"/>
  <c r="CB32" i="67"/>
  <c r="BF32" i="67"/>
  <c r="BE32" i="67"/>
  <c r="BD32" i="67"/>
  <c r="BC32" i="67"/>
  <c r="AE32" i="67"/>
  <c r="AD32" i="67"/>
  <c r="AC32" i="67"/>
  <c r="AB32" i="67"/>
  <c r="AA32" i="67"/>
  <c r="DF31" i="67"/>
  <c r="DE31" i="67"/>
  <c r="DD31" i="67"/>
  <c r="DC31" i="67"/>
  <c r="DB31" i="67"/>
  <c r="DA31" i="67"/>
  <c r="CZ31" i="67"/>
  <c r="CY31" i="67"/>
  <c r="CC31" i="67"/>
  <c r="CB31" i="67"/>
  <c r="CX31" i="67" s="1"/>
  <c r="BF31" i="67"/>
  <c r="BE31" i="67"/>
  <c r="BD31" i="67"/>
  <c r="BC31" i="67"/>
  <c r="AE31" i="67"/>
  <c r="AD31" i="67"/>
  <c r="AC31" i="67"/>
  <c r="AB31" i="67"/>
  <c r="AA31" i="67"/>
  <c r="DF30" i="67"/>
  <c r="DE30" i="67"/>
  <c r="DD30" i="67"/>
  <c r="DC30" i="67"/>
  <c r="DB30" i="67"/>
  <c r="DA30" i="67"/>
  <c r="CZ30" i="67"/>
  <c r="CY30" i="67"/>
  <c r="CC30" i="67"/>
  <c r="CB30" i="67"/>
  <c r="BF30" i="67"/>
  <c r="BE30" i="67"/>
  <c r="BD30" i="67"/>
  <c r="BC30" i="67"/>
  <c r="AE30" i="67"/>
  <c r="AD30" i="67"/>
  <c r="AC30" i="67"/>
  <c r="AB30" i="67"/>
  <c r="AA30" i="67"/>
  <c r="DF29" i="67"/>
  <c r="DE29" i="67"/>
  <c r="DD29" i="67"/>
  <c r="DC29" i="67"/>
  <c r="DB29" i="67"/>
  <c r="DA29" i="67"/>
  <c r="CZ29" i="67"/>
  <c r="CY29" i="67"/>
  <c r="CC29" i="67"/>
  <c r="CB29" i="67"/>
  <c r="BF29" i="67"/>
  <c r="BE29" i="67"/>
  <c r="BD29" i="67"/>
  <c r="BC29" i="67"/>
  <c r="AE29" i="67"/>
  <c r="AD29" i="67"/>
  <c r="AC29" i="67"/>
  <c r="AB29" i="67"/>
  <c r="AA29" i="67"/>
  <c r="DF28" i="67"/>
  <c r="DE28" i="67"/>
  <c r="DD28" i="67"/>
  <c r="DC28" i="67"/>
  <c r="DB28" i="67"/>
  <c r="DA28" i="67"/>
  <c r="CZ28" i="67"/>
  <c r="CY28" i="67"/>
  <c r="CC28" i="67"/>
  <c r="CB28" i="67"/>
  <c r="BF28" i="67"/>
  <c r="BE28" i="67"/>
  <c r="BD28" i="67"/>
  <c r="BC28" i="67"/>
  <c r="AE28" i="67"/>
  <c r="AD28" i="67"/>
  <c r="AC28" i="67"/>
  <c r="AB28" i="67"/>
  <c r="AA28" i="67"/>
  <c r="DF27" i="67"/>
  <c r="DE27" i="67"/>
  <c r="DD27" i="67"/>
  <c r="DC27" i="67"/>
  <c r="DB27" i="67"/>
  <c r="DA27" i="67"/>
  <c r="CZ27" i="67"/>
  <c r="CY27" i="67"/>
  <c r="CC27" i="67"/>
  <c r="CB27" i="67"/>
  <c r="BF27" i="67"/>
  <c r="BE27" i="67"/>
  <c r="BD27" i="67"/>
  <c r="BC27" i="67"/>
  <c r="AE27" i="67"/>
  <c r="AD27" i="67"/>
  <c r="AC27" i="67"/>
  <c r="AB27" i="67"/>
  <c r="AA27" i="67"/>
  <c r="DF26" i="67"/>
  <c r="DE26" i="67"/>
  <c r="DD26" i="67"/>
  <c r="DC26" i="67"/>
  <c r="DB26" i="67"/>
  <c r="DA26" i="67"/>
  <c r="CZ26" i="67"/>
  <c r="CY26" i="67"/>
  <c r="CC26" i="67"/>
  <c r="CB26" i="67"/>
  <c r="BF26" i="67"/>
  <c r="BE26" i="67"/>
  <c r="BD26" i="67"/>
  <c r="BC26" i="67"/>
  <c r="AE26" i="67"/>
  <c r="AD26" i="67"/>
  <c r="AC26" i="67"/>
  <c r="AB26" i="67"/>
  <c r="AA26" i="67"/>
  <c r="DF25" i="67"/>
  <c r="DE25" i="67"/>
  <c r="DD25" i="67"/>
  <c r="DC25" i="67"/>
  <c r="DB25" i="67"/>
  <c r="DA25" i="67"/>
  <c r="CZ25" i="67"/>
  <c r="CY25" i="67"/>
  <c r="CC25" i="67"/>
  <c r="CB25" i="67"/>
  <c r="CX25" i="67" s="1"/>
  <c r="BF25" i="67"/>
  <c r="BE25" i="67"/>
  <c r="BD25" i="67"/>
  <c r="BC25" i="67"/>
  <c r="AE25" i="67"/>
  <c r="AD25" i="67"/>
  <c r="AC25" i="67"/>
  <c r="AB25" i="67"/>
  <c r="AA25" i="67"/>
  <c r="DF24" i="67"/>
  <c r="DE24" i="67"/>
  <c r="DD24" i="67"/>
  <c r="DC24" i="67"/>
  <c r="DB24" i="67"/>
  <c r="DA24" i="67"/>
  <c r="CZ24" i="67"/>
  <c r="CY24" i="67"/>
  <c r="CC24" i="67"/>
  <c r="CB24" i="67"/>
  <c r="CX24" i="67" s="1"/>
  <c r="BF24" i="67"/>
  <c r="BE24" i="67"/>
  <c r="BD24" i="67"/>
  <c r="BC24" i="67"/>
  <c r="AE24" i="67"/>
  <c r="AD24" i="67"/>
  <c r="AC24" i="67"/>
  <c r="AB24" i="67"/>
  <c r="AA24" i="67"/>
  <c r="DF23" i="67"/>
  <c r="DE23" i="67"/>
  <c r="DD23" i="67"/>
  <c r="DC23" i="67"/>
  <c r="DB23" i="67"/>
  <c r="DA23" i="67"/>
  <c r="CZ23" i="67"/>
  <c r="CY23" i="67"/>
  <c r="CC23" i="67"/>
  <c r="CB23" i="67"/>
  <c r="BF23" i="67"/>
  <c r="BE23" i="67"/>
  <c r="BD23" i="67"/>
  <c r="BC23" i="67"/>
  <c r="AE23" i="67"/>
  <c r="AD23" i="67"/>
  <c r="AC23" i="67"/>
  <c r="AB23" i="67"/>
  <c r="AA23" i="67"/>
  <c r="DF22" i="67"/>
  <c r="DE22" i="67"/>
  <c r="DD22" i="67"/>
  <c r="DC22" i="67"/>
  <c r="DB22" i="67"/>
  <c r="DA22" i="67"/>
  <c r="CZ22" i="67"/>
  <c r="CY22" i="67"/>
  <c r="CC22" i="67"/>
  <c r="CB22" i="67"/>
  <c r="BF22" i="67"/>
  <c r="BE22" i="67"/>
  <c r="BD22" i="67"/>
  <c r="BC22" i="67"/>
  <c r="AE22" i="67"/>
  <c r="AD22" i="67"/>
  <c r="AC22" i="67"/>
  <c r="AB22" i="67"/>
  <c r="AA22" i="67"/>
  <c r="DF21" i="67"/>
  <c r="DE21" i="67"/>
  <c r="DD21" i="67"/>
  <c r="DC21" i="67"/>
  <c r="DB21" i="67"/>
  <c r="DA21" i="67"/>
  <c r="CZ21" i="67"/>
  <c r="CY21" i="67"/>
  <c r="CC21" i="67"/>
  <c r="CB21" i="67"/>
  <c r="BF21" i="67"/>
  <c r="BE21" i="67"/>
  <c r="BD21" i="67"/>
  <c r="BC21" i="67"/>
  <c r="AE21" i="67"/>
  <c r="AD21" i="67"/>
  <c r="AC21" i="67"/>
  <c r="AB21" i="67"/>
  <c r="AA21" i="67"/>
  <c r="DF20" i="67"/>
  <c r="DE20" i="67"/>
  <c r="DD20" i="67"/>
  <c r="DC20" i="67"/>
  <c r="DB20" i="67"/>
  <c r="DA20" i="67"/>
  <c r="CZ20" i="67"/>
  <c r="CY20" i="67"/>
  <c r="CC20" i="67"/>
  <c r="CB20" i="67"/>
  <c r="BF20" i="67"/>
  <c r="BE20" i="67"/>
  <c r="BD20" i="67"/>
  <c r="BC20" i="67"/>
  <c r="AE20" i="67"/>
  <c r="AD20" i="67"/>
  <c r="AC20" i="67"/>
  <c r="AB20" i="67"/>
  <c r="AA20" i="67"/>
  <c r="DF19" i="67"/>
  <c r="DE19" i="67"/>
  <c r="DD19" i="67"/>
  <c r="DC19" i="67"/>
  <c r="DB19" i="67"/>
  <c r="DA19" i="67"/>
  <c r="CZ19" i="67"/>
  <c r="CY19" i="67"/>
  <c r="CC19" i="67"/>
  <c r="CB19" i="67"/>
  <c r="BF19" i="67"/>
  <c r="BE19" i="67"/>
  <c r="BD19" i="67"/>
  <c r="BC19" i="67"/>
  <c r="AE19" i="67"/>
  <c r="AD19" i="67"/>
  <c r="AC19" i="67"/>
  <c r="AB19" i="67"/>
  <c r="AA19" i="67"/>
  <c r="DF18" i="67"/>
  <c r="DE18" i="67"/>
  <c r="DD18" i="67"/>
  <c r="DC18" i="67"/>
  <c r="DB18" i="67"/>
  <c r="DA18" i="67"/>
  <c r="CZ18" i="67"/>
  <c r="CY18" i="67"/>
  <c r="CC18" i="67"/>
  <c r="CB18" i="67"/>
  <c r="BF18" i="67"/>
  <c r="BE18" i="67"/>
  <c r="BD18" i="67"/>
  <c r="BC18" i="67"/>
  <c r="AE18" i="67"/>
  <c r="AD18" i="67"/>
  <c r="AC18" i="67"/>
  <c r="AB18" i="67"/>
  <c r="AA18" i="67"/>
  <c r="DF17" i="67"/>
  <c r="DE17" i="67"/>
  <c r="DD17" i="67"/>
  <c r="DC17" i="67"/>
  <c r="DB17" i="67"/>
  <c r="DA17" i="67"/>
  <c r="CZ17" i="67"/>
  <c r="CY17" i="67"/>
  <c r="CC17" i="67"/>
  <c r="CB17" i="67"/>
  <c r="CX17" i="67" s="1"/>
  <c r="BF17" i="67"/>
  <c r="BE17" i="67"/>
  <c r="BD17" i="67"/>
  <c r="BC17" i="67"/>
  <c r="AE17" i="67"/>
  <c r="AD17" i="67"/>
  <c r="AC17" i="67"/>
  <c r="AB17" i="67"/>
  <c r="AA17" i="67"/>
  <c r="DF16" i="67"/>
  <c r="DE16" i="67"/>
  <c r="DD16" i="67"/>
  <c r="DC16" i="67"/>
  <c r="DB16" i="67"/>
  <c r="DA16" i="67"/>
  <c r="CZ16" i="67"/>
  <c r="CY16" i="67"/>
  <c r="CC16" i="67"/>
  <c r="CB16" i="67"/>
  <c r="BF16" i="67"/>
  <c r="BE16" i="67"/>
  <c r="BD16" i="67"/>
  <c r="BC16" i="67"/>
  <c r="AE16" i="67"/>
  <c r="AD16" i="67"/>
  <c r="AC16" i="67"/>
  <c r="AB16" i="67"/>
  <c r="AA16" i="67"/>
  <c r="DF15" i="67"/>
  <c r="DE15" i="67"/>
  <c r="DD15" i="67"/>
  <c r="DC15" i="67"/>
  <c r="DB15" i="67"/>
  <c r="DA15" i="67"/>
  <c r="CZ15" i="67"/>
  <c r="CY15" i="67"/>
  <c r="CC15" i="67"/>
  <c r="CB15" i="67"/>
  <c r="BF15" i="67"/>
  <c r="BE15" i="67"/>
  <c r="BD15" i="67"/>
  <c r="BC15" i="67"/>
  <c r="AE15" i="67"/>
  <c r="AD15" i="67"/>
  <c r="AC15" i="67"/>
  <c r="AB15" i="67"/>
  <c r="AA15" i="67"/>
  <c r="DF14" i="67"/>
  <c r="DE14" i="67"/>
  <c r="DD14" i="67"/>
  <c r="DC14" i="67"/>
  <c r="DB14" i="67"/>
  <c r="DA14" i="67"/>
  <c r="CZ14" i="67"/>
  <c r="CY14" i="67"/>
  <c r="CC14" i="67"/>
  <c r="CB14" i="67"/>
  <c r="BF14" i="67"/>
  <c r="BE14" i="67"/>
  <c r="BD14" i="67"/>
  <c r="BC14" i="67"/>
  <c r="AE14" i="67"/>
  <c r="AD14" i="67"/>
  <c r="AC14" i="67"/>
  <c r="AB14" i="67"/>
  <c r="AA14" i="67"/>
  <c r="DF13" i="67"/>
  <c r="DE13" i="67"/>
  <c r="DD13" i="67"/>
  <c r="DC13" i="67"/>
  <c r="DB13" i="67"/>
  <c r="DA13" i="67"/>
  <c r="CZ13" i="67"/>
  <c r="CY13" i="67"/>
  <c r="CC13" i="67"/>
  <c r="CB13" i="67"/>
  <c r="BF13" i="67"/>
  <c r="BE13" i="67"/>
  <c r="BD13" i="67"/>
  <c r="BC13" i="67"/>
  <c r="AE13" i="67"/>
  <c r="AD13" i="67"/>
  <c r="AC13" i="67"/>
  <c r="AB13" i="67"/>
  <c r="AA13" i="67"/>
  <c r="DF12" i="67"/>
  <c r="DE12" i="67"/>
  <c r="DD12" i="67"/>
  <c r="DC12" i="67"/>
  <c r="DB12" i="67"/>
  <c r="DA12" i="67"/>
  <c r="CZ12" i="67"/>
  <c r="CY12" i="67"/>
  <c r="CC12" i="67"/>
  <c r="CB12" i="67"/>
  <c r="CX12" i="67" s="1"/>
  <c r="BF12" i="67"/>
  <c r="BE12" i="67"/>
  <c r="BD12" i="67"/>
  <c r="BC12" i="67"/>
  <c r="AE12" i="67"/>
  <c r="AD12" i="67"/>
  <c r="AC12" i="67"/>
  <c r="AB12" i="67"/>
  <c r="AA12" i="67"/>
  <c r="DF11" i="67"/>
  <c r="DE11" i="67"/>
  <c r="DD11" i="67"/>
  <c r="DC11" i="67"/>
  <c r="DB11" i="67"/>
  <c r="DA11" i="67"/>
  <c r="CZ11" i="67"/>
  <c r="CY11" i="67"/>
  <c r="CC11" i="67"/>
  <c r="CB11" i="67"/>
  <c r="BF11" i="67"/>
  <c r="BE11" i="67"/>
  <c r="BD11" i="67"/>
  <c r="BC11" i="67"/>
  <c r="AE11" i="67"/>
  <c r="AD11" i="67"/>
  <c r="AC11" i="67"/>
  <c r="AB11" i="67"/>
  <c r="AA11" i="67"/>
  <c r="DF10" i="67"/>
  <c r="DE10" i="67"/>
  <c r="DD10" i="67"/>
  <c r="DC10" i="67"/>
  <c r="DB10" i="67"/>
  <c r="DA10" i="67"/>
  <c r="CZ10" i="67"/>
  <c r="CY10" i="67"/>
  <c r="CC10" i="67"/>
  <c r="CB10" i="67"/>
  <c r="BF10" i="67"/>
  <c r="BE10" i="67"/>
  <c r="BD10" i="67"/>
  <c r="BC10" i="67"/>
  <c r="AE10" i="67"/>
  <c r="AD10" i="67"/>
  <c r="AC10" i="67"/>
  <c r="AB10" i="67"/>
  <c r="AA10" i="67"/>
  <c r="DF9" i="67"/>
  <c r="DE9" i="67"/>
  <c r="DD9" i="67"/>
  <c r="DC9" i="67"/>
  <c r="DB9" i="67"/>
  <c r="DA9" i="67"/>
  <c r="CZ9" i="67"/>
  <c r="CY9" i="67"/>
  <c r="CC9" i="67"/>
  <c r="CB9" i="67"/>
  <c r="CX9" i="67" s="1"/>
  <c r="BF9" i="67"/>
  <c r="BE9" i="67"/>
  <c r="BD9" i="67"/>
  <c r="BC9" i="67"/>
  <c r="AE9" i="67"/>
  <c r="AD9" i="67"/>
  <c r="AC9" i="67"/>
  <c r="AB9" i="67"/>
  <c r="AA9" i="67"/>
  <c r="A9" i="67"/>
  <c r="AO88" i="66"/>
  <c r="BL88" i="66" s="1"/>
  <c r="AO87" i="66"/>
  <c r="BL87" i="66" s="1"/>
  <c r="AO86" i="66"/>
  <c r="BL86" i="66" s="1"/>
  <c r="AO85" i="66"/>
  <c r="BL85" i="66" s="1"/>
  <c r="A51" i="66"/>
  <c r="A47" i="66"/>
  <c r="A46" i="66"/>
  <c r="A45" i="66"/>
  <c r="A44" i="66"/>
  <c r="A42" i="66"/>
  <c r="R40" i="66"/>
  <c r="DF39" i="66"/>
  <c r="DE39" i="66"/>
  <c r="DD39" i="66"/>
  <c r="DC39" i="66"/>
  <c r="DB39" i="66"/>
  <c r="DA39" i="66"/>
  <c r="CZ39" i="66"/>
  <c r="CY39" i="66"/>
  <c r="CC39" i="66"/>
  <c r="CB39" i="66"/>
  <c r="BF39" i="66"/>
  <c r="BE39" i="66"/>
  <c r="BD39" i="66"/>
  <c r="BC39" i="66"/>
  <c r="AE39" i="66"/>
  <c r="AD39" i="66"/>
  <c r="AC39" i="66"/>
  <c r="AB39" i="66"/>
  <c r="AA39" i="66"/>
  <c r="DF38" i="66"/>
  <c r="DE38" i="66"/>
  <c r="DD38" i="66"/>
  <c r="DC38" i="66"/>
  <c r="DB38" i="66"/>
  <c r="DA38" i="66"/>
  <c r="CZ38" i="66"/>
  <c r="CY38" i="66"/>
  <c r="CC38" i="66"/>
  <c r="CB38" i="66"/>
  <c r="CX38" i="66" s="1"/>
  <c r="BF38" i="66"/>
  <c r="BE38" i="66"/>
  <c r="BD38" i="66"/>
  <c r="BC38" i="66"/>
  <c r="AE38" i="66"/>
  <c r="AD38" i="66"/>
  <c r="AC38" i="66"/>
  <c r="AB38" i="66"/>
  <c r="AA38" i="66"/>
  <c r="DF37" i="66"/>
  <c r="DE37" i="66"/>
  <c r="DD37" i="66"/>
  <c r="DC37" i="66"/>
  <c r="DB37" i="66"/>
  <c r="DA37" i="66"/>
  <c r="CZ37" i="66"/>
  <c r="CY37" i="66"/>
  <c r="CC37" i="66"/>
  <c r="CB37" i="66"/>
  <c r="BF37" i="66"/>
  <c r="BE37" i="66"/>
  <c r="BD37" i="66"/>
  <c r="BC37" i="66"/>
  <c r="AE37" i="66"/>
  <c r="AD37" i="66"/>
  <c r="AC37" i="66"/>
  <c r="AB37" i="66"/>
  <c r="AA37" i="66"/>
  <c r="DF36" i="66"/>
  <c r="DE36" i="66"/>
  <c r="DD36" i="66"/>
  <c r="DC36" i="66"/>
  <c r="DB36" i="66"/>
  <c r="DA36" i="66"/>
  <c r="CZ36" i="66"/>
  <c r="CY36" i="66"/>
  <c r="CC36" i="66"/>
  <c r="CB36" i="66"/>
  <c r="BF36" i="66"/>
  <c r="BE36" i="66"/>
  <c r="BD36" i="66"/>
  <c r="BC36" i="66"/>
  <c r="AE36" i="66"/>
  <c r="AD36" i="66"/>
  <c r="AC36" i="66"/>
  <c r="AB36" i="66"/>
  <c r="AA36" i="66"/>
  <c r="DF35" i="66"/>
  <c r="DE35" i="66"/>
  <c r="DD35" i="66"/>
  <c r="DC35" i="66"/>
  <c r="DB35" i="66"/>
  <c r="DA35" i="66"/>
  <c r="CZ35" i="66"/>
  <c r="CY35" i="66"/>
  <c r="CC35" i="66"/>
  <c r="CB35" i="66"/>
  <c r="BF35" i="66"/>
  <c r="BE35" i="66"/>
  <c r="BD35" i="66"/>
  <c r="BC35" i="66"/>
  <c r="AE35" i="66"/>
  <c r="AD35" i="66"/>
  <c r="AC35" i="66"/>
  <c r="AB35" i="66"/>
  <c r="AA35" i="66"/>
  <c r="DF34" i="66"/>
  <c r="DE34" i="66"/>
  <c r="DD34" i="66"/>
  <c r="DC34" i="66"/>
  <c r="DB34" i="66"/>
  <c r="DA34" i="66"/>
  <c r="CZ34" i="66"/>
  <c r="CY34" i="66"/>
  <c r="CC34" i="66"/>
  <c r="CB34" i="66"/>
  <c r="BF34" i="66"/>
  <c r="BE34" i="66"/>
  <c r="BD34" i="66"/>
  <c r="BC34" i="66"/>
  <c r="AE34" i="66"/>
  <c r="AD34" i="66"/>
  <c r="AC34" i="66"/>
  <c r="AB34" i="66"/>
  <c r="AA34" i="66"/>
  <c r="DF33" i="66"/>
  <c r="DE33" i="66"/>
  <c r="DD33" i="66"/>
  <c r="DC33" i="66"/>
  <c r="DB33" i="66"/>
  <c r="DA33" i="66"/>
  <c r="CZ33" i="66"/>
  <c r="CY33" i="66"/>
  <c r="CC33" i="66"/>
  <c r="CB33" i="66"/>
  <c r="BF33" i="66"/>
  <c r="BE33" i="66"/>
  <c r="BD33" i="66"/>
  <c r="BC33" i="66"/>
  <c r="AE33" i="66"/>
  <c r="AD33" i="66"/>
  <c r="AC33" i="66"/>
  <c r="AB33" i="66"/>
  <c r="AA33" i="66"/>
  <c r="DF32" i="66"/>
  <c r="DE32" i="66"/>
  <c r="DD32" i="66"/>
  <c r="DC32" i="66"/>
  <c r="DB32" i="66"/>
  <c r="DA32" i="66"/>
  <c r="CZ32" i="66"/>
  <c r="CY32" i="66"/>
  <c r="CC32" i="66"/>
  <c r="CB32" i="66"/>
  <c r="CX32" i="66" s="1"/>
  <c r="BF32" i="66"/>
  <c r="BE32" i="66"/>
  <c r="BD32" i="66"/>
  <c r="BC32" i="66"/>
  <c r="AE32" i="66"/>
  <c r="AD32" i="66"/>
  <c r="AC32" i="66"/>
  <c r="AB32" i="66"/>
  <c r="AA32" i="66"/>
  <c r="DF31" i="66"/>
  <c r="DE31" i="66"/>
  <c r="DD31" i="66"/>
  <c r="DC31" i="66"/>
  <c r="DB31" i="66"/>
  <c r="DA31" i="66"/>
  <c r="CZ31" i="66"/>
  <c r="CY31" i="66"/>
  <c r="CC31" i="66"/>
  <c r="CB31" i="66"/>
  <c r="BF31" i="66"/>
  <c r="BE31" i="66"/>
  <c r="BD31" i="66"/>
  <c r="BC31" i="66"/>
  <c r="AE31" i="66"/>
  <c r="AD31" i="66"/>
  <c r="AC31" i="66"/>
  <c r="AB31" i="66"/>
  <c r="AA31" i="66"/>
  <c r="DF30" i="66"/>
  <c r="DE30" i="66"/>
  <c r="DD30" i="66"/>
  <c r="DC30" i="66"/>
  <c r="DB30" i="66"/>
  <c r="DA30" i="66"/>
  <c r="CZ30" i="66"/>
  <c r="CY30" i="66"/>
  <c r="CC30" i="66"/>
  <c r="CB30" i="66"/>
  <c r="BF30" i="66"/>
  <c r="BE30" i="66"/>
  <c r="BD30" i="66"/>
  <c r="BC30" i="66"/>
  <c r="AE30" i="66"/>
  <c r="AD30" i="66"/>
  <c r="AC30" i="66"/>
  <c r="AB30" i="66"/>
  <c r="AA30" i="66"/>
  <c r="DF29" i="66"/>
  <c r="DE29" i="66"/>
  <c r="DD29" i="66"/>
  <c r="DC29" i="66"/>
  <c r="DB29" i="66"/>
  <c r="DA29" i="66"/>
  <c r="CZ29" i="66"/>
  <c r="CY29" i="66"/>
  <c r="CC29" i="66"/>
  <c r="CB29" i="66"/>
  <c r="BF29" i="66"/>
  <c r="BE29" i="66"/>
  <c r="BD29" i="66"/>
  <c r="BC29" i="66"/>
  <c r="AE29" i="66"/>
  <c r="AD29" i="66"/>
  <c r="AC29" i="66"/>
  <c r="AB29" i="66"/>
  <c r="AA29" i="66"/>
  <c r="DF28" i="66"/>
  <c r="DE28" i="66"/>
  <c r="DD28" i="66"/>
  <c r="DC28" i="66"/>
  <c r="DB28" i="66"/>
  <c r="DA28" i="66"/>
  <c r="CZ28" i="66"/>
  <c r="CY28" i="66"/>
  <c r="CC28" i="66"/>
  <c r="CB28" i="66"/>
  <c r="BF28" i="66"/>
  <c r="BE28" i="66"/>
  <c r="BD28" i="66"/>
  <c r="BC28" i="66"/>
  <c r="AE28" i="66"/>
  <c r="AD28" i="66"/>
  <c r="AC28" i="66"/>
  <c r="AB28" i="66"/>
  <c r="AA28" i="66"/>
  <c r="DF27" i="66"/>
  <c r="DE27" i="66"/>
  <c r="DD27" i="66"/>
  <c r="DC27" i="66"/>
  <c r="DB27" i="66"/>
  <c r="DA27" i="66"/>
  <c r="CZ27" i="66"/>
  <c r="CY27" i="66"/>
  <c r="CC27" i="66"/>
  <c r="CB27" i="66"/>
  <c r="CX27" i="66" s="1"/>
  <c r="BF27" i="66"/>
  <c r="BE27" i="66"/>
  <c r="BD27" i="66"/>
  <c r="BC27" i="66"/>
  <c r="AE27" i="66"/>
  <c r="AD27" i="66"/>
  <c r="AC27" i="66"/>
  <c r="AB27" i="66"/>
  <c r="AA27" i="66"/>
  <c r="DF26" i="66"/>
  <c r="DE26" i="66"/>
  <c r="DD26" i="66"/>
  <c r="DC26" i="66"/>
  <c r="DB26" i="66"/>
  <c r="DA26" i="66"/>
  <c r="CZ26" i="66"/>
  <c r="CY26" i="66"/>
  <c r="CC26" i="66"/>
  <c r="CB26" i="66"/>
  <c r="BF26" i="66"/>
  <c r="BE26" i="66"/>
  <c r="BD26" i="66"/>
  <c r="BC26" i="66"/>
  <c r="AE26" i="66"/>
  <c r="AD26" i="66"/>
  <c r="AC26" i="66"/>
  <c r="AB26" i="66"/>
  <c r="AA26" i="66"/>
  <c r="DF25" i="66"/>
  <c r="DE25" i="66"/>
  <c r="DD25" i="66"/>
  <c r="DC25" i="66"/>
  <c r="DB25" i="66"/>
  <c r="DA25" i="66"/>
  <c r="CZ25" i="66"/>
  <c r="CY25" i="66"/>
  <c r="CC25" i="66"/>
  <c r="CB25" i="66"/>
  <c r="BF25" i="66"/>
  <c r="BE25" i="66"/>
  <c r="BD25" i="66"/>
  <c r="BC25" i="66"/>
  <c r="AE25" i="66"/>
  <c r="AD25" i="66"/>
  <c r="AC25" i="66"/>
  <c r="AB25" i="66"/>
  <c r="AA25" i="66"/>
  <c r="DF24" i="66"/>
  <c r="DE24" i="66"/>
  <c r="DD24" i="66"/>
  <c r="DC24" i="66"/>
  <c r="DB24" i="66"/>
  <c r="DA24" i="66"/>
  <c r="CZ24" i="66"/>
  <c r="CY24" i="66"/>
  <c r="CC24" i="66"/>
  <c r="CB24" i="66"/>
  <c r="BF24" i="66"/>
  <c r="BE24" i="66"/>
  <c r="BD24" i="66"/>
  <c r="BC24" i="66"/>
  <c r="AE24" i="66"/>
  <c r="AD24" i="66"/>
  <c r="AC24" i="66"/>
  <c r="AB24" i="66"/>
  <c r="AA24" i="66"/>
  <c r="DF23" i="66"/>
  <c r="DE23" i="66"/>
  <c r="DD23" i="66"/>
  <c r="DC23" i="66"/>
  <c r="DB23" i="66"/>
  <c r="DA23" i="66"/>
  <c r="CZ23" i="66"/>
  <c r="CY23" i="66"/>
  <c r="CC23" i="66"/>
  <c r="CB23" i="66"/>
  <c r="BF23" i="66"/>
  <c r="BE23" i="66"/>
  <c r="BD23" i="66"/>
  <c r="BC23" i="66"/>
  <c r="AE23" i="66"/>
  <c r="AD23" i="66"/>
  <c r="AC23" i="66"/>
  <c r="AB23" i="66"/>
  <c r="AA23" i="66"/>
  <c r="DF22" i="66"/>
  <c r="DE22" i="66"/>
  <c r="DD22" i="66"/>
  <c r="DC22" i="66"/>
  <c r="DB22" i="66"/>
  <c r="DA22" i="66"/>
  <c r="CZ22" i="66"/>
  <c r="CY22" i="66"/>
  <c r="CC22" i="66"/>
  <c r="CB22" i="66"/>
  <c r="BF22" i="66"/>
  <c r="BE22" i="66"/>
  <c r="BD22" i="66"/>
  <c r="BC22" i="66"/>
  <c r="AE22" i="66"/>
  <c r="AD22" i="66"/>
  <c r="AC22" i="66"/>
  <c r="AB22" i="66"/>
  <c r="AA22" i="66"/>
  <c r="DF21" i="66"/>
  <c r="DE21" i="66"/>
  <c r="DD21" i="66"/>
  <c r="DC21" i="66"/>
  <c r="DB21" i="66"/>
  <c r="DA21" i="66"/>
  <c r="CZ21" i="66"/>
  <c r="CY21" i="66"/>
  <c r="CC21" i="66"/>
  <c r="CB21" i="66"/>
  <c r="BF21" i="66"/>
  <c r="BE21" i="66"/>
  <c r="BD21" i="66"/>
  <c r="BC21" i="66"/>
  <c r="AE21" i="66"/>
  <c r="AD21" i="66"/>
  <c r="AC21" i="66"/>
  <c r="AB21" i="66"/>
  <c r="AA21" i="66"/>
  <c r="DF20" i="66"/>
  <c r="DE20" i="66"/>
  <c r="DD20" i="66"/>
  <c r="DC20" i="66"/>
  <c r="DB20" i="66"/>
  <c r="DA20" i="66"/>
  <c r="CZ20" i="66"/>
  <c r="CY20" i="66"/>
  <c r="CC20" i="66"/>
  <c r="CB20" i="66"/>
  <c r="BF20" i="66"/>
  <c r="BE20" i="66"/>
  <c r="BD20" i="66"/>
  <c r="BC20" i="66"/>
  <c r="AE20" i="66"/>
  <c r="AD20" i="66"/>
  <c r="AC20" i="66"/>
  <c r="AB20" i="66"/>
  <c r="AA20" i="66"/>
  <c r="DF19" i="66"/>
  <c r="DE19" i="66"/>
  <c r="DD19" i="66"/>
  <c r="DC19" i="66"/>
  <c r="DB19" i="66"/>
  <c r="DA19" i="66"/>
  <c r="CZ19" i="66"/>
  <c r="CY19" i="66"/>
  <c r="CC19" i="66"/>
  <c r="CB19" i="66"/>
  <c r="BF19" i="66"/>
  <c r="BE19" i="66"/>
  <c r="BD19" i="66"/>
  <c r="BC19" i="66"/>
  <c r="AE19" i="66"/>
  <c r="AD19" i="66"/>
  <c r="AC19" i="66"/>
  <c r="AB19" i="66"/>
  <c r="AA19" i="66"/>
  <c r="DF18" i="66"/>
  <c r="DE18" i="66"/>
  <c r="DD18" i="66"/>
  <c r="DC18" i="66"/>
  <c r="DB18" i="66"/>
  <c r="DA18" i="66"/>
  <c r="CZ18" i="66"/>
  <c r="CY18" i="66"/>
  <c r="CC18" i="66"/>
  <c r="CB18" i="66"/>
  <c r="BF18" i="66"/>
  <c r="BE18" i="66"/>
  <c r="BD18" i="66"/>
  <c r="BC18" i="66"/>
  <c r="AE18" i="66"/>
  <c r="AD18" i="66"/>
  <c r="AC18" i="66"/>
  <c r="AB18" i="66"/>
  <c r="AA18" i="66"/>
  <c r="DF17" i="66"/>
  <c r="DE17" i="66"/>
  <c r="DD17" i="66"/>
  <c r="DC17" i="66"/>
  <c r="DB17" i="66"/>
  <c r="DA17" i="66"/>
  <c r="CZ17" i="66"/>
  <c r="CY17" i="66"/>
  <c r="CC17" i="66"/>
  <c r="CB17" i="66"/>
  <c r="BF17" i="66"/>
  <c r="BE17" i="66"/>
  <c r="BD17" i="66"/>
  <c r="BC17" i="66"/>
  <c r="AE17" i="66"/>
  <c r="AD17" i="66"/>
  <c r="AC17" i="66"/>
  <c r="AB17" i="66"/>
  <c r="AA17" i="66"/>
  <c r="DF16" i="66"/>
  <c r="DE16" i="66"/>
  <c r="DD16" i="66"/>
  <c r="DC16" i="66"/>
  <c r="DB16" i="66"/>
  <c r="DA16" i="66"/>
  <c r="CZ16" i="66"/>
  <c r="CY16" i="66"/>
  <c r="CC16" i="66"/>
  <c r="CB16" i="66"/>
  <c r="CX16" i="66" s="1"/>
  <c r="BF16" i="66"/>
  <c r="BE16" i="66"/>
  <c r="BD16" i="66"/>
  <c r="BC16" i="66"/>
  <c r="AE16" i="66"/>
  <c r="AD16" i="66"/>
  <c r="AC16" i="66"/>
  <c r="AB16" i="66"/>
  <c r="AA16" i="66"/>
  <c r="DF15" i="66"/>
  <c r="DE15" i="66"/>
  <c r="DD15" i="66"/>
  <c r="DC15" i="66"/>
  <c r="DB15" i="66"/>
  <c r="DA15" i="66"/>
  <c r="CZ15" i="66"/>
  <c r="CY15" i="66"/>
  <c r="CC15" i="66"/>
  <c r="CB15" i="66"/>
  <c r="BF15" i="66"/>
  <c r="BE15" i="66"/>
  <c r="BD15" i="66"/>
  <c r="BC15" i="66"/>
  <c r="AE15" i="66"/>
  <c r="AD15" i="66"/>
  <c r="AC15" i="66"/>
  <c r="AB15" i="66"/>
  <c r="AA15" i="66"/>
  <c r="DF14" i="66"/>
  <c r="DE14" i="66"/>
  <c r="DD14" i="66"/>
  <c r="DC14" i="66"/>
  <c r="DB14" i="66"/>
  <c r="DA14" i="66"/>
  <c r="CZ14" i="66"/>
  <c r="CY14" i="66"/>
  <c r="CC14" i="66"/>
  <c r="CB14" i="66"/>
  <c r="BF14" i="66"/>
  <c r="BE14" i="66"/>
  <c r="BD14" i="66"/>
  <c r="BC14" i="66"/>
  <c r="AE14" i="66"/>
  <c r="AD14" i="66"/>
  <c r="AC14" i="66"/>
  <c r="AB14" i="66"/>
  <c r="AA14" i="66"/>
  <c r="DF13" i="66"/>
  <c r="DE13" i="66"/>
  <c r="DD13" i="66"/>
  <c r="DC13" i="66"/>
  <c r="DB13" i="66"/>
  <c r="DA13" i="66"/>
  <c r="CZ13" i="66"/>
  <c r="CY13" i="66"/>
  <c r="CC13" i="66"/>
  <c r="CB13" i="66"/>
  <c r="BF13" i="66"/>
  <c r="BE13" i="66"/>
  <c r="BD13" i="66"/>
  <c r="BC13" i="66"/>
  <c r="AE13" i="66"/>
  <c r="AD13" i="66"/>
  <c r="AC13" i="66"/>
  <c r="AB13" i="66"/>
  <c r="AA13" i="66"/>
  <c r="DF12" i="66"/>
  <c r="DE12" i="66"/>
  <c r="DD12" i="66"/>
  <c r="DC12" i="66"/>
  <c r="DB12" i="66"/>
  <c r="DA12" i="66"/>
  <c r="CZ12" i="66"/>
  <c r="CY12" i="66"/>
  <c r="CC12" i="66"/>
  <c r="CB12" i="66"/>
  <c r="BF12" i="66"/>
  <c r="BE12" i="66"/>
  <c r="BD12" i="66"/>
  <c r="BC12" i="66"/>
  <c r="AE12" i="66"/>
  <c r="AD12" i="66"/>
  <c r="AC12" i="66"/>
  <c r="AB12" i="66"/>
  <c r="AA12" i="66"/>
  <c r="DF11" i="66"/>
  <c r="DE11" i="66"/>
  <c r="DD11" i="66"/>
  <c r="DC11" i="66"/>
  <c r="DB11" i="66"/>
  <c r="DA11" i="66"/>
  <c r="CZ11" i="66"/>
  <c r="CY11" i="66"/>
  <c r="CC11" i="66"/>
  <c r="CB11" i="66"/>
  <c r="CX11" i="66" s="1"/>
  <c r="BF11" i="66"/>
  <c r="BE11" i="66"/>
  <c r="BD11" i="66"/>
  <c r="BC11" i="66"/>
  <c r="AE11" i="66"/>
  <c r="AD11" i="66"/>
  <c r="AC11" i="66"/>
  <c r="AB11" i="66"/>
  <c r="AA11" i="66"/>
  <c r="DF10" i="66"/>
  <c r="DE10" i="66"/>
  <c r="DD10" i="66"/>
  <c r="DC10" i="66"/>
  <c r="DB10" i="66"/>
  <c r="DA10" i="66"/>
  <c r="CZ10" i="66"/>
  <c r="CY10" i="66"/>
  <c r="CC10" i="66"/>
  <c r="CB10" i="66"/>
  <c r="BF10" i="66"/>
  <c r="BE10" i="66"/>
  <c r="BD10" i="66"/>
  <c r="BC10" i="66"/>
  <c r="AE10" i="66"/>
  <c r="AD10" i="66"/>
  <c r="AC10" i="66"/>
  <c r="AB10" i="66"/>
  <c r="AA10" i="66"/>
  <c r="DF9" i="66"/>
  <c r="DE9" i="66"/>
  <c r="DD9" i="66"/>
  <c r="DC9" i="66"/>
  <c r="DB9" i="66"/>
  <c r="DA9" i="66"/>
  <c r="CZ9" i="66"/>
  <c r="CY9" i="66"/>
  <c r="CC9" i="66"/>
  <c r="CB9" i="66"/>
  <c r="CX9" i="66" s="1"/>
  <c r="BF9" i="66"/>
  <c r="BE9" i="66"/>
  <c r="BD9" i="66"/>
  <c r="BC9" i="66"/>
  <c r="AE9" i="66"/>
  <c r="AD9" i="66"/>
  <c r="AC9" i="66"/>
  <c r="AB9" i="66"/>
  <c r="AA9" i="66"/>
  <c r="A9" i="66"/>
  <c r="AO87" i="65"/>
  <c r="BL87" i="65" s="1"/>
  <c r="AO86" i="65"/>
  <c r="BL86" i="65" s="1"/>
  <c r="AO85" i="65"/>
  <c r="BL85" i="65" s="1"/>
  <c r="AO84" i="65"/>
  <c r="BL84" i="65" s="1"/>
  <c r="A50" i="65"/>
  <c r="A46" i="65"/>
  <c r="A45" i="65"/>
  <c r="A44" i="65"/>
  <c r="A43" i="65"/>
  <c r="A41" i="65"/>
  <c r="R39" i="65"/>
  <c r="DF38" i="65"/>
  <c r="DE38" i="65"/>
  <c r="DD38" i="65"/>
  <c r="DC38" i="65"/>
  <c r="DB38" i="65"/>
  <c r="DA38" i="65"/>
  <c r="CZ38" i="65"/>
  <c r="CY38" i="65"/>
  <c r="CC38" i="65"/>
  <c r="CB38" i="65"/>
  <c r="BF38" i="65"/>
  <c r="BE38" i="65"/>
  <c r="BD38" i="65"/>
  <c r="BC38" i="65"/>
  <c r="AE38" i="65"/>
  <c r="AD38" i="65"/>
  <c r="AC38" i="65"/>
  <c r="AB38" i="65"/>
  <c r="AA38" i="65"/>
  <c r="DF37" i="65"/>
  <c r="DE37" i="65"/>
  <c r="DD37" i="65"/>
  <c r="DC37" i="65"/>
  <c r="DB37" i="65"/>
  <c r="DA37" i="65"/>
  <c r="CZ37" i="65"/>
  <c r="CY37" i="65"/>
  <c r="CC37" i="65"/>
  <c r="CB37" i="65"/>
  <c r="BF37" i="65"/>
  <c r="BE37" i="65"/>
  <c r="BD37" i="65"/>
  <c r="BC37" i="65"/>
  <c r="AE37" i="65"/>
  <c r="AD37" i="65"/>
  <c r="AC37" i="65"/>
  <c r="AB37" i="65"/>
  <c r="AA37" i="65"/>
  <c r="DF36" i="65"/>
  <c r="DE36" i="65"/>
  <c r="DD36" i="65"/>
  <c r="DC36" i="65"/>
  <c r="DB36" i="65"/>
  <c r="DA36" i="65"/>
  <c r="CZ36" i="65"/>
  <c r="CY36" i="65"/>
  <c r="CC36" i="65"/>
  <c r="CB36" i="65"/>
  <c r="CX36" i="65" s="1"/>
  <c r="BF36" i="65"/>
  <c r="BE36" i="65"/>
  <c r="BD36" i="65"/>
  <c r="BC36" i="65"/>
  <c r="AE36" i="65"/>
  <c r="AD36" i="65"/>
  <c r="AC36" i="65"/>
  <c r="AB36" i="65"/>
  <c r="AA36" i="65"/>
  <c r="DF35" i="65"/>
  <c r="DE35" i="65"/>
  <c r="DD35" i="65"/>
  <c r="DC35" i="65"/>
  <c r="DB35" i="65"/>
  <c r="DA35" i="65"/>
  <c r="CZ35" i="65"/>
  <c r="CY35" i="65"/>
  <c r="CC35" i="65"/>
  <c r="CB35" i="65"/>
  <c r="BF35" i="65"/>
  <c r="BE35" i="65"/>
  <c r="BD35" i="65"/>
  <c r="BC35" i="65"/>
  <c r="AE35" i="65"/>
  <c r="AD35" i="65"/>
  <c r="AC35" i="65"/>
  <c r="AB35" i="65"/>
  <c r="AA35" i="65"/>
  <c r="DF34" i="65"/>
  <c r="DE34" i="65"/>
  <c r="DD34" i="65"/>
  <c r="DC34" i="65"/>
  <c r="DB34" i="65"/>
  <c r="DA34" i="65"/>
  <c r="CZ34" i="65"/>
  <c r="CY34" i="65"/>
  <c r="CC34" i="65"/>
  <c r="CB34" i="65"/>
  <c r="BF34" i="65"/>
  <c r="BE34" i="65"/>
  <c r="BD34" i="65"/>
  <c r="BC34" i="65"/>
  <c r="AE34" i="65"/>
  <c r="AD34" i="65"/>
  <c r="AC34" i="65"/>
  <c r="AB34" i="65"/>
  <c r="AA34" i="65"/>
  <c r="DF33" i="65"/>
  <c r="DE33" i="65"/>
  <c r="DD33" i="65"/>
  <c r="DC33" i="65"/>
  <c r="DB33" i="65"/>
  <c r="DA33" i="65"/>
  <c r="CZ33" i="65"/>
  <c r="CY33" i="65"/>
  <c r="CC33" i="65"/>
  <c r="CB33" i="65"/>
  <c r="BF33" i="65"/>
  <c r="BE33" i="65"/>
  <c r="BD33" i="65"/>
  <c r="BC33" i="65"/>
  <c r="AE33" i="65"/>
  <c r="AD33" i="65"/>
  <c r="AC33" i="65"/>
  <c r="AB33" i="65"/>
  <c r="AA33" i="65"/>
  <c r="DF32" i="65"/>
  <c r="DE32" i="65"/>
  <c r="DD32" i="65"/>
  <c r="DC32" i="65"/>
  <c r="DB32" i="65"/>
  <c r="DA32" i="65"/>
  <c r="CZ32" i="65"/>
  <c r="CY32" i="65"/>
  <c r="CC32" i="65"/>
  <c r="CB32" i="65"/>
  <c r="BF32" i="65"/>
  <c r="BE32" i="65"/>
  <c r="BD32" i="65"/>
  <c r="BC32" i="65"/>
  <c r="AE32" i="65"/>
  <c r="AD32" i="65"/>
  <c r="AC32" i="65"/>
  <c r="AB32" i="65"/>
  <c r="AA32" i="65"/>
  <c r="DF31" i="65"/>
  <c r="DE31" i="65"/>
  <c r="DD31" i="65"/>
  <c r="DC31" i="65"/>
  <c r="DB31" i="65"/>
  <c r="DA31" i="65"/>
  <c r="CZ31" i="65"/>
  <c r="CY31" i="65"/>
  <c r="CC31" i="65"/>
  <c r="CB31" i="65"/>
  <c r="BF31" i="65"/>
  <c r="BE31" i="65"/>
  <c r="BD31" i="65"/>
  <c r="BC31" i="65"/>
  <c r="AE31" i="65"/>
  <c r="AD31" i="65"/>
  <c r="AC31" i="65"/>
  <c r="AB31" i="65"/>
  <c r="AA31" i="65"/>
  <c r="DF30" i="65"/>
  <c r="DE30" i="65"/>
  <c r="DD30" i="65"/>
  <c r="DC30" i="65"/>
  <c r="DB30" i="65"/>
  <c r="DA30" i="65"/>
  <c r="CZ30" i="65"/>
  <c r="CY30" i="65"/>
  <c r="CC30" i="65"/>
  <c r="CB30" i="65"/>
  <c r="BF30" i="65"/>
  <c r="BE30" i="65"/>
  <c r="BD30" i="65"/>
  <c r="BC30" i="65"/>
  <c r="AE30" i="65"/>
  <c r="AD30" i="65"/>
  <c r="AC30" i="65"/>
  <c r="AB30" i="65"/>
  <c r="AA30" i="65"/>
  <c r="DF29" i="65"/>
  <c r="DE29" i="65"/>
  <c r="DD29" i="65"/>
  <c r="DC29" i="65"/>
  <c r="DB29" i="65"/>
  <c r="DA29" i="65"/>
  <c r="CZ29" i="65"/>
  <c r="CY29" i="65"/>
  <c r="CC29" i="65"/>
  <c r="CB29" i="65"/>
  <c r="BF29" i="65"/>
  <c r="BE29" i="65"/>
  <c r="BD29" i="65"/>
  <c r="BC29" i="65"/>
  <c r="AE29" i="65"/>
  <c r="AD29" i="65"/>
  <c r="AC29" i="65"/>
  <c r="AB29" i="65"/>
  <c r="AA29" i="65"/>
  <c r="DF28" i="65"/>
  <c r="DE28" i="65"/>
  <c r="DD28" i="65"/>
  <c r="DC28" i="65"/>
  <c r="DB28" i="65"/>
  <c r="DA28" i="65"/>
  <c r="CZ28" i="65"/>
  <c r="CY28" i="65"/>
  <c r="CC28" i="65"/>
  <c r="CB28" i="65"/>
  <c r="CX28" i="65" s="1"/>
  <c r="BF28" i="65"/>
  <c r="BE28" i="65"/>
  <c r="BD28" i="65"/>
  <c r="BC28" i="65"/>
  <c r="AE28" i="65"/>
  <c r="AD28" i="65"/>
  <c r="AC28" i="65"/>
  <c r="AB28" i="65"/>
  <c r="AA28" i="65"/>
  <c r="DF27" i="65"/>
  <c r="DE27" i="65"/>
  <c r="DD27" i="65"/>
  <c r="DC27" i="65"/>
  <c r="DB27" i="65"/>
  <c r="DA27" i="65"/>
  <c r="CZ27" i="65"/>
  <c r="CY27" i="65"/>
  <c r="CC27" i="65"/>
  <c r="CB27" i="65"/>
  <c r="CX27" i="65" s="1"/>
  <c r="BF27" i="65"/>
  <c r="BE27" i="65"/>
  <c r="BD27" i="65"/>
  <c r="BC27" i="65"/>
  <c r="AE27" i="65"/>
  <c r="AD27" i="65"/>
  <c r="AC27" i="65"/>
  <c r="AB27" i="65"/>
  <c r="AA27" i="65"/>
  <c r="DF26" i="65"/>
  <c r="DE26" i="65"/>
  <c r="DD26" i="65"/>
  <c r="DC26" i="65"/>
  <c r="DB26" i="65"/>
  <c r="DA26" i="65"/>
  <c r="CZ26" i="65"/>
  <c r="CY26" i="65"/>
  <c r="CC26" i="65"/>
  <c r="CB26" i="65"/>
  <c r="BF26" i="65"/>
  <c r="BE26" i="65"/>
  <c r="BD26" i="65"/>
  <c r="BC26" i="65"/>
  <c r="AE26" i="65"/>
  <c r="AD26" i="65"/>
  <c r="AC26" i="65"/>
  <c r="AB26" i="65"/>
  <c r="AA26" i="65"/>
  <c r="DF25" i="65"/>
  <c r="DE25" i="65"/>
  <c r="DD25" i="65"/>
  <c r="DC25" i="65"/>
  <c r="DB25" i="65"/>
  <c r="DA25" i="65"/>
  <c r="CZ25" i="65"/>
  <c r="CY25" i="65"/>
  <c r="CC25" i="65"/>
  <c r="CB25" i="65"/>
  <c r="CX25" i="65" s="1"/>
  <c r="BF25" i="65"/>
  <c r="BE25" i="65"/>
  <c r="BD25" i="65"/>
  <c r="BC25" i="65"/>
  <c r="AE25" i="65"/>
  <c r="AD25" i="65"/>
  <c r="AC25" i="65"/>
  <c r="AB25" i="65"/>
  <c r="AA25" i="65"/>
  <c r="DF24" i="65"/>
  <c r="DE24" i="65"/>
  <c r="DD24" i="65"/>
  <c r="DC24" i="65"/>
  <c r="DB24" i="65"/>
  <c r="DA24" i="65"/>
  <c r="CZ24" i="65"/>
  <c r="CY24" i="65"/>
  <c r="CC24" i="65"/>
  <c r="CB24" i="65"/>
  <c r="BF24" i="65"/>
  <c r="BE24" i="65"/>
  <c r="BD24" i="65"/>
  <c r="BC24" i="65"/>
  <c r="AE24" i="65"/>
  <c r="AD24" i="65"/>
  <c r="AC24" i="65"/>
  <c r="AB24" i="65"/>
  <c r="AA24" i="65"/>
  <c r="DF23" i="65"/>
  <c r="DE23" i="65"/>
  <c r="DD23" i="65"/>
  <c r="DC23" i="65"/>
  <c r="DB23" i="65"/>
  <c r="DA23" i="65"/>
  <c r="CZ23" i="65"/>
  <c r="CY23" i="65"/>
  <c r="CC23" i="65"/>
  <c r="CB23" i="65"/>
  <c r="BF23" i="65"/>
  <c r="BE23" i="65"/>
  <c r="BD23" i="65"/>
  <c r="BC23" i="65"/>
  <c r="AE23" i="65"/>
  <c r="AD23" i="65"/>
  <c r="AC23" i="65"/>
  <c r="AB23" i="65"/>
  <c r="AA23" i="65"/>
  <c r="DF22" i="65"/>
  <c r="DE22" i="65"/>
  <c r="DD22" i="65"/>
  <c r="DC22" i="65"/>
  <c r="DB22" i="65"/>
  <c r="DA22" i="65"/>
  <c r="CZ22" i="65"/>
  <c r="CY22" i="65"/>
  <c r="CC22" i="65"/>
  <c r="CB22" i="65"/>
  <c r="BF22" i="65"/>
  <c r="BE22" i="65"/>
  <c r="BD22" i="65"/>
  <c r="BC22" i="65"/>
  <c r="AE22" i="65"/>
  <c r="AD22" i="65"/>
  <c r="AC22" i="65"/>
  <c r="AB22" i="65"/>
  <c r="AA22" i="65"/>
  <c r="DF21" i="65"/>
  <c r="DE21" i="65"/>
  <c r="DD21" i="65"/>
  <c r="DC21" i="65"/>
  <c r="DB21" i="65"/>
  <c r="DA21" i="65"/>
  <c r="CZ21" i="65"/>
  <c r="CY21" i="65"/>
  <c r="CC21" i="65"/>
  <c r="CB21" i="65"/>
  <c r="BF21" i="65"/>
  <c r="BE21" i="65"/>
  <c r="BD21" i="65"/>
  <c r="BC21" i="65"/>
  <c r="AE21" i="65"/>
  <c r="AD21" i="65"/>
  <c r="AC21" i="65"/>
  <c r="AB21" i="65"/>
  <c r="AA21" i="65"/>
  <c r="DF20" i="65"/>
  <c r="DE20" i="65"/>
  <c r="DD20" i="65"/>
  <c r="DC20" i="65"/>
  <c r="DB20" i="65"/>
  <c r="DA20" i="65"/>
  <c r="CZ20" i="65"/>
  <c r="CY20" i="65"/>
  <c r="CC20" i="65"/>
  <c r="CB20" i="65"/>
  <c r="BF20" i="65"/>
  <c r="BE20" i="65"/>
  <c r="BD20" i="65"/>
  <c r="BC20" i="65"/>
  <c r="AE20" i="65"/>
  <c r="AD20" i="65"/>
  <c r="AC20" i="65"/>
  <c r="AB20" i="65"/>
  <c r="AA20" i="65"/>
  <c r="DF19" i="65"/>
  <c r="DE19" i="65"/>
  <c r="DD19" i="65"/>
  <c r="DC19" i="65"/>
  <c r="DB19" i="65"/>
  <c r="DA19" i="65"/>
  <c r="CZ19" i="65"/>
  <c r="CY19" i="65"/>
  <c r="CC19" i="65"/>
  <c r="CB19" i="65"/>
  <c r="CX19" i="65" s="1"/>
  <c r="BF19" i="65"/>
  <c r="BE19" i="65"/>
  <c r="BD19" i="65"/>
  <c r="BC19" i="65"/>
  <c r="AE19" i="65"/>
  <c r="AD19" i="65"/>
  <c r="AC19" i="65"/>
  <c r="AB19" i="65"/>
  <c r="AA19" i="65"/>
  <c r="DF18" i="65"/>
  <c r="DE18" i="65"/>
  <c r="DD18" i="65"/>
  <c r="DC18" i="65"/>
  <c r="DB18" i="65"/>
  <c r="DA18" i="65"/>
  <c r="CZ18" i="65"/>
  <c r="CY18" i="65"/>
  <c r="CC18" i="65"/>
  <c r="CB18" i="65"/>
  <c r="CX18" i="65" s="1"/>
  <c r="BF18" i="65"/>
  <c r="BE18" i="65"/>
  <c r="BD18" i="65"/>
  <c r="BC18" i="65"/>
  <c r="AE18" i="65"/>
  <c r="AD18" i="65"/>
  <c r="AC18" i="65"/>
  <c r="AB18" i="65"/>
  <c r="AA18" i="65"/>
  <c r="DF17" i="65"/>
  <c r="DE17" i="65"/>
  <c r="DD17" i="65"/>
  <c r="DC17" i="65"/>
  <c r="DB17" i="65"/>
  <c r="DA17" i="65"/>
  <c r="CZ17" i="65"/>
  <c r="CY17" i="65"/>
  <c r="CC17" i="65"/>
  <c r="CB17" i="65"/>
  <c r="CX17" i="65" s="1"/>
  <c r="BF17" i="65"/>
  <c r="BE17" i="65"/>
  <c r="BD17" i="65"/>
  <c r="BC17" i="65"/>
  <c r="AE17" i="65"/>
  <c r="AD17" i="65"/>
  <c r="AC17" i="65"/>
  <c r="AB17" i="65"/>
  <c r="AA17" i="65"/>
  <c r="DF16" i="65"/>
  <c r="DE16" i="65"/>
  <c r="DD16" i="65"/>
  <c r="DC16" i="65"/>
  <c r="DB16" i="65"/>
  <c r="DA16" i="65"/>
  <c r="CZ16" i="65"/>
  <c r="CY16" i="65"/>
  <c r="CC16" i="65"/>
  <c r="CB16" i="65"/>
  <c r="BF16" i="65"/>
  <c r="BE16" i="65"/>
  <c r="BD16" i="65"/>
  <c r="BC16" i="65"/>
  <c r="AE16" i="65"/>
  <c r="AD16" i="65"/>
  <c r="AC16" i="65"/>
  <c r="AB16" i="65"/>
  <c r="AA16" i="65"/>
  <c r="DF15" i="65"/>
  <c r="DE15" i="65"/>
  <c r="DD15" i="65"/>
  <c r="DC15" i="65"/>
  <c r="DB15" i="65"/>
  <c r="DA15" i="65"/>
  <c r="CZ15" i="65"/>
  <c r="CY15" i="65"/>
  <c r="CC15" i="65"/>
  <c r="CB15" i="65"/>
  <c r="BF15" i="65"/>
  <c r="BE15" i="65"/>
  <c r="BD15" i="65"/>
  <c r="BC15" i="65"/>
  <c r="AE15" i="65"/>
  <c r="AD15" i="65"/>
  <c r="AC15" i="65"/>
  <c r="AB15" i="65"/>
  <c r="AA15" i="65"/>
  <c r="DF14" i="65"/>
  <c r="DE14" i="65"/>
  <c r="DD14" i="65"/>
  <c r="DC14" i="65"/>
  <c r="DB14" i="65"/>
  <c r="DA14" i="65"/>
  <c r="CZ14" i="65"/>
  <c r="CY14" i="65"/>
  <c r="CC14" i="65"/>
  <c r="CB14" i="65"/>
  <c r="CX14" i="65" s="1"/>
  <c r="BF14" i="65"/>
  <c r="BE14" i="65"/>
  <c r="BD14" i="65"/>
  <c r="BC14" i="65"/>
  <c r="AE14" i="65"/>
  <c r="AD14" i="65"/>
  <c r="AC14" i="65"/>
  <c r="AB14" i="65"/>
  <c r="AA14" i="65"/>
  <c r="DF13" i="65"/>
  <c r="DE13" i="65"/>
  <c r="DD13" i="65"/>
  <c r="DC13" i="65"/>
  <c r="DB13" i="65"/>
  <c r="DA13" i="65"/>
  <c r="CZ13" i="65"/>
  <c r="CY13" i="65"/>
  <c r="CC13" i="65"/>
  <c r="CB13" i="65"/>
  <c r="CX13" i="65" s="1"/>
  <c r="BF13" i="65"/>
  <c r="BE13" i="65"/>
  <c r="BD13" i="65"/>
  <c r="BC13" i="65"/>
  <c r="AE13" i="65"/>
  <c r="AD13" i="65"/>
  <c r="AC13" i="65"/>
  <c r="AB13" i="65"/>
  <c r="AA13" i="65"/>
  <c r="DF12" i="65"/>
  <c r="DE12" i="65"/>
  <c r="DD12" i="65"/>
  <c r="DC12" i="65"/>
  <c r="DB12" i="65"/>
  <c r="DA12" i="65"/>
  <c r="CZ12" i="65"/>
  <c r="CY12" i="65"/>
  <c r="CC12" i="65"/>
  <c r="CB12" i="65"/>
  <c r="BF12" i="65"/>
  <c r="BE12" i="65"/>
  <c r="BD12" i="65"/>
  <c r="BC12" i="65"/>
  <c r="AE12" i="65"/>
  <c r="AD12" i="65"/>
  <c r="AC12" i="65"/>
  <c r="AB12" i="65"/>
  <c r="AA12" i="65"/>
  <c r="DF11" i="65"/>
  <c r="DE11" i="65"/>
  <c r="DD11" i="65"/>
  <c r="DC11" i="65"/>
  <c r="DB11" i="65"/>
  <c r="DA11" i="65"/>
  <c r="CZ11" i="65"/>
  <c r="CY11" i="65"/>
  <c r="CC11" i="65"/>
  <c r="CB11" i="65"/>
  <c r="CX11" i="65" s="1"/>
  <c r="BF11" i="65"/>
  <c r="BE11" i="65"/>
  <c r="BD11" i="65"/>
  <c r="BC11" i="65"/>
  <c r="AE11" i="65"/>
  <c r="AD11" i="65"/>
  <c r="AC11" i="65"/>
  <c r="AB11" i="65"/>
  <c r="AA11" i="65"/>
  <c r="DF10" i="65"/>
  <c r="DE10" i="65"/>
  <c r="DD10" i="65"/>
  <c r="DC10" i="65"/>
  <c r="DB10" i="65"/>
  <c r="DA10" i="65"/>
  <c r="CZ10" i="65"/>
  <c r="CY10" i="65"/>
  <c r="CC10" i="65"/>
  <c r="CB10" i="65"/>
  <c r="CX10" i="65" s="1"/>
  <c r="BF10" i="65"/>
  <c r="BE10" i="65"/>
  <c r="BD10" i="65"/>
  <c r="BC10" i="65"/>
  <c r="AE10" i="65"/>
  <c r="AD10" i="65"/>
  <c r="AC10" i="65"/>
  <c r="AB10" i="65"/>
  <c r="AA10" i="65"/>
  <c r="DF9" i="65"/>
  <c r="DE9" i="65"/>
  <c r="DD9" i="65"/>
  <c r="DC9" i="65"/>
  <c r="DB9" i="65"/>
  <c r="DA9" i="65"/>
  <c r="CZ9" i="65"/>
  <c r="CY9" i="65"/>
  <c r="CC9" i="65"/>
  <c r="CB9" i="65"/>
  <c r="BF9" i="65"/>
  <c r="BE9" i="65"/>
  <c r="BD9" i="65"/>
  <c r="BC9" i="65"/>
  <c r="AE9" i="65"/>
  <c r="AD9" i="65"/>
  <c r="AC9" i="65"/>
  <c r="AB9" i="65"/>
  <c r="AA9" i="65"/>
  <c r="A9" i="65"/>
  <c r="AO88" i="64"/>
  <c r="BL88" i="64" s="1"/>
  <c r="AO87" i="64"/>
  <c r="BL87" i="64" s="1"/>
  <c r="AO86" i="64"/>
  <c r="BL86" i="64" s="1"/>
  <c r="AO85" i="64"/>
  <c r="BL85" i="64" s="1"/>
  <c r="A46" i="64"/>
  <c r="A45" i="64"/>
  <c r="A44" i="64"/>
  <c r="A42" i="64"/>
  <c r="R40" i="64"/>
  <c r="DF39" i="64"/>
  <c r="DE39" i="64"/>
  <c r="DD39" i="64"/>
  <c r="DC39" i="64"/>
  <c r="DB39" i="64"/>
  <c r="DA39" i="64"/>
  <c r="CZ39" i="64"/>
  <c r="CY39" i="64"/>
  <c r="CC39" i="64"/>
  <c r="CB39" i="64"/>
  <c r="CX39" i="64" s="1"/>
  <c r="BF39" i="64"/>
  <c r="BE39" i="64"/>
  <c r="BD39" i="64"/>
  <c r="BC39" i="64"/>
  <c r="AE39" i="64"/>
  <c r="AD39" i="64"/>
  <c r="AC39" i="64"/>
  <c r="AB39" i="64"/>
  <c r="AA39" i="64"/>
  <c r="DF38" i="64"/>
  <c r="DE38" i="64"/>
  <c r="DD38" i="64"/>
  <c r="DC38" i="64"/>
  <c r="DB38" i="64"/>
  <c r="DA38" i="64"/>
  <c r="CZ38" i="64"/>
  <c r="CY38" i="64"/>
  <c r="CC38" i="64"/>
  <c r="CB38" i="64"/>
  <c r="CX38" i="64" s="1"/>
  <c r="BF38" i="64"/>
  <c r="BE38" i="64"/>
  <c r="BD38" i="64"/>
  <c r="BC38" i="64"/>
  <c r="AE38" i="64"/>
  <c r="AD38" i="64"/>
  <c r="AC38" i="64"/>
  <c r="AB38" i="64"/>
  <c r="AA38" i="64"/>
  <c r="DF37" i="64"/>
  <c r="DE37" i="64"/>
  <c r="DD37" i="64"/>
  <c r="DC37" i="64"/>
  <c r="DB37" i="64"/>
  <c r="DA37" i="64"/>
  <c r="CZ37" i="64"/>
  <c r="CY37" i="64"/>
  <c r="CC37" i="64"/>
  <c r="CB37" i="64"/>
  <c r="CX37" i="64" s="1"/>
  <c r="BF37" i="64"/>
  <c r="BE37" i="64"/>
  <c r="BD37" i="64"/>
  <c r="BC37" i="64"/>
  <c r="AE37" i="64"/>
  <c r="AD37" i="64"/>
  <c r="AC37" i="64"/>
  <c r="AB37" i="64"/>
  <c r="AA37" i="64"/>
  <c r="DF36" i="64"/>
  <c r="DE36" i="64"/>
  <c r="DD36" i="64"/>
  <c r="DC36" i="64"/>
  <c r="DB36" i="64"/>
  <c r="DA36" i="64"/>
  <c r="CZ36" i="64"/>
  <c r="CY36" i="64"/>
  <c r="CC36" i="64"/>
  <c r="CB36" i="64"/>
  <c r="BF36" i="64"/>
  <c r="BE36" i="64"/>
  <c r="BD36" i="64"/>
  <c r="BC36" i="64"/>
  <c r="AE36" i="64"/>
  <c r="AD36" i="64"/>
  <c r="AC36" i="64"/>
  <c r="AB36" i="64"/>
  <c r="AA36" i="64"/>
  <c r="DF35" i="64"/>
  <c r="DE35" i="64"/>
  <c r="DD35" i="64"/>
  <c r="DC35" i="64"/>
  <c r="DB35" i="64"/>
  <c r="DA35" i="64"/>
  <c r="CZ35" i="64"/>
  <c r="CY35" i="64"/>
  <c r="CC35" i="64"/>
  <c r="CB35" i="64"/>
  <c r="BF35" i="64"/>
  <c r="BE35" i="64"/>
  <c r="BD35" i="64"/>
  <c r="BC35" i="64"/>
  <c r="AE35" i="64"/>
  <c r="AD35" i="64"/>
  <c r="AC35" i="64"/>
  <c r="AB35" i="64"/>
  <c r="AA35" i="64"/>
  <c r="DF34" i="64"/>
  <c r="DE34" i="64"/>
  <c r="DD34" i="64"/>
  <c r="DC34" i="64"/>
  <c r="DB34" i="64"/>
  <c r="DA34" i="64"/>
  <c r="CZ34" i="64"/>
  <c r="CY34" i="64"/>
  <c r="CC34" i="64"/>
  <c r="CB34" i="64"/>
  <c r="CX34" i="64" s="1"/>
  <c r="BF34" i="64"/>
  <c r="BE34" i="64"/>
  <c r="BD34" i="64"/>
  <c r="BC34" i="64"/>
  <c r="AE34" i="64"/>
  <c r="AD34" i="64"/>
  <c r="AC34" i="64"/>
  <c r="AB34" i="64"/>
  <c r="AA34" i="64"/>
  <c r="DF33" i="64"/>
  <c r="DE33" i="64"/>
  <c r="DD33" i="64"/>
  <c r="DC33" i="64"/>
  <c r="DB33" i="64"/>
  <c r="DA33" i="64"/>
  <c r="CZ33" i="64"/>
  <c r="CY33" i="64"/>
  <c r="CC33" i="64"/>
  <c r="CB33" i="64"/>
  <c r="CX33" i="64" s="1"/>
  <c r="BF33" i="64"/>
  <c r="BE33" i="64"/>
  <c r="BD33" i="64"/>
  <c r="BC33" i="64"/>
  <c r="AE33" i="64"/>
  <c r="AD33" i="64"/>
  <c r="AC33" i="64"/>
  <c r="AB33" i="64"/>
  <c r="AA33" i="64"/>
  <c r="DF32" i="64"/>
  <c r="DE32" i="64"/>
  <c r="DD32" i="64"/>
  <c r="DC32" i="64"/>
  <c r="DB32" i="64"/>
  <c r="DA32" i="64"/>
  <c r="CZ32" i="64"/>
  <c r="CY32" i="64"/>
  <c r="CC32" i="64"/>
  <c r="CB32" i="64"/>
  <c r="BF32" i="64"/>
  <c r="BE32" i="64"/>
  <c r="BD32" i="64"/>
  <c r="BC32" i="64"/>
  <c r="AE32" i="64"/>
  <c r="AD32" i="64"/>
  <c r="AC32" i="64"/>
  <c r="AB32" i="64"/>
  <c r="AA32" i="64"/>
  <c r="DF31" i="64"/>
  <c r="DE31" i="64"/>
  <c r="DD31" i="64"/>
  <c r="DC31" i="64"/>
  <c r="DB31" i="64"/>
  <c r="DA31" i="64"/>
  <c r="CZ31" i="64"/>
  <c r="CY31" i="64"/>
  <c r="CC31" i="64"/>
  <c r="CB31" i="64"/>
  <c r="BF31" i="64"/>
  <c r="BE31" i="64"/>
  <c r="BD31" i="64"/>
  <c r="BC31" i="64"/>
  <c r="AE31" i="64"/>
  <c r="AD31" i="64"/>
  <c r="AC31" i="64"/>
  <c r="AB31" i="64"/>
  <c r="AA31" i="64"/>
  <c r="DF30" i="64"/>
  <c r="DE30" i="64"/>
  <c r="DD30" i="64"/>
  <c r="DC30" i="64"/>
  <c r="DB30" i="64"/>
  <c r="DA30" i="64"/>
  <c r="CZ30" i="64"/>
  <c r="CY30" i="64"/>
  <c r="CC30" i="64"/>
  <c r="CB30" i="64"/>
  <c r="CX30" i="64" s="1"/>
  <c r="BF30" i="64"/>
  <c r="BE30" i="64"/>
  <c r="BD30" i="64"/>
  <c r="BC30" i="64"/>
  <c r="AE30" i="64"/>
  <c r="AD30" i="64"/>
  <c r="AC30" i="64"/>
  <c r="AB30" i="64"/>
  <c r="AA30" i="64"/>
  <c r="DF29" i="64"/>
  <c r="DE29" i="64"/>
  <c r="DD29" i="64"/>
  <c r="DC29" i="64"/>
  <c r="DB29" i="64"/>
  <c r="DA29" i="64"/>
  <c r="CZ29" i="64"/>
  <c r="CY29" i="64"/>
  <c r="CC29" i="64"/>
  <c r="CB29" i="64"/>
  <c r="CX29" i="64" s="1"/>
  <c r="BF29" i="64"/>
  <c r="BE29" i="64"/>
  <c r="BD29" i="64"/>
  <c r="BC29" i="64"/>
  <c r="AE29" i="64"/>
  <c r="AD29" i="64"/>
  <c r="AC29" i="64"/>
  <c r="AB29" i="64"/>
  <c r="AA29" i="64"/>
  <c r="DF28" i="64"/>
  <c r="DE28" i="64"/>
  <c r="DD28" i="64"/>
  <c r="DC28" i="64"/>
  <c r="DB28" i="64"/>
  <c r="DA28" i="64"/>
  <c r="CZ28" i="64"/>
  <c r="CY28" i="64"/>
  <c r="CC28" i="64"/>
  <c r="CB28" i="64"/>
  <c r="BF28" i="64"/>
  <c r="BE28" i="64"/>
  <c r="BD28" i="64"/>
  <c r="BC28" i="64"/>
  <c r="AE28" i="64"/>
  <c r="AD28" i="64"/>
  <c r="AC28" i="64"/>
  <c r="AB28" i="64"/>
  <c r="AA28" i="64"/>
  <c r="DF27" i="64"/>
  <c r="DE27" i="64"/>
  <c r="DD27" i="64"/>
  <c r="DC27" i="64"/>
  <c r="DB27" i="64"/>
  <c r="DA27" i="64"/>
  <c r="CZ27" i="64"/>
  <c r="CY27" i="64"/>
  <c r="CC27" i="64"/>
  <c r="CB27" i="64"/>
  <c r="BF27" i="64"/>
  <c r="BE27" i="64"/>
  <c r="BD27" i="64"/>
  <c r="BC27" i="64"/>
  <c r="AE27" i="64"/>
  <c r="AD27" i="64"/>
  <c r="AC27" i="64"/>
  <c r="AB27" i="64"/>
  <c r="AA27" i="64"/>
  <c r="DF26" i="64"/>
  <c r="DE26" i="64"/>
  <c r="DD26" i="64"/>
  <c r="DC26" i="64"/>
  <c r="DB26" i="64"/>
  <c r="DA26" i="64"/>
  <c r="CZ26" i="64"/>
  <c r="CY26" i="64"/>
  <c r="CC26" i="64"/>
  <c r="CB26" i="64"/>
  <c r="CX26" i="64" s="1"/>
  <c r="BF26" i="64"/>
  <c r="BE26" i="64"/>
  <c r="BD26" i="64"/>
  <c r="BC26" i="64"/>
  <c r="AE26" i="64"/>
  <c r="AD26" i="64"/>
  <c r="AC26" i="64"/>
  <c r="AB26" i="64"/>
  <c r="AA26" i="64"/>
  <c r="DF25" i="64"/>
  <c r="DE25" i="64"/>
  <c r="DD25" i="64"/>
  <c r="DC25" i="64"/>
  <c r="DB25" i="64"/>
  <c r="DA25" i="64"/>
  <c r="CZ25" i="64"/>
  <c r="CY25" i="64"/>
  <c r="CC25" i="64"/>
  <c r="CB25" i="64"/>
  <c r="CX25" i="64" s="1"/>
  <c r="BF25" i="64"/>
  <c r="BE25" i="64"/>
  <c r="BD25" i="64"/>
  <c r="BC25" i="64"/>
  <c r="AE25" i="64"/>
  <c r="AD25" i="64"/>
  <c r="AC25" i="64"/>
  <c r="AB25" i="64"/>
  <c r="AA25" i="64"/>
  <c r="DF24" i="64"/>
  <c r="DE24" i="64"/>
  <c r="DD24" i="64"/>
  <c r="DC24" i="64"/>
  <c r="DB24" i="64"/>
  <c r="DA24" i="64"/>
  <c r="CZ24" i="64"/>
  <c r="CY24" i="64"/>
  <c r="CC24" i="64"/>
  <c r="CB24" i="64"/>
  <c r="CX24" i="64" s="1"/>
  <c r="BF24" i="64"/>
  <c r="BE24" i="64"/>
  <c r="BD24" i="64"/>
  <c r="BC24" i="64"/>
  <c r="AE24" i="64"/>
  <c r="AD24" i="64"/>
  <c r="AC24" i="64"/>
  <c r="AB24" i="64"/>
  <c r="AA24" i="64"/>
  <c r="DF23" i="64"/>
  <c r="DE23" i="64"/>
  <c r="DD23" i="64"/>
  <c r="DC23" i="64"/>
  <c r="DB23" i="64"/>
  <c r="DA23" i="64"/>
  <c r="CZ23" i="64"/>
  <c r="CY23" i="64"/>
  <c r="CC23" i="64"/>
  <c r="CB23" i="64"/>
  <c r="BF23" i="64"/>
  <c r="BE23" i="64"/>
  <c r="BD23" i="64"/>
  <c r="BC23" i="64"/>
  <c r="AE23" i="64"/>
  <c r="AD23" i="64"/>
  <c r="AC23" i="64"/>
  <c r="AB23" i="64"/>
  <c r="AA23" i="64"/>
  <c r="DF22" i="64"/>
  <c r="DE22" i="64"/>
  <c r="DD22" i="64"/>
  <c r="DC22" i="64"/>
  <c r="DB22" i="64"/>
  <c r="DA22" i="64"/>
  <c r="CZ22" i="64"/>
  <c r="CY22" i="64"/>
  <c r="CC22" i="64"/>
  <c r="CB22" i="64"/>
  <c r="BF22" i="64"/>
  <c r="BE22" i="64"/>
  <c r="BD22" i="64"/>
  <c r="BC22" i="64"/>
  <c r="AE22" i="64"/>
  <c r="AD22" i="64"/>
  <c r="AC22" i="64"/>
  <c r="AB22" i="64"/>
  <c r="AA22" i="64"/>
  <c r="DF21" i="64"/>
  <c r="DE21" i="64"/>
  <c r="DD21" i="64"/>
  <c r="DC21" i="64"/>
  <c r="DB21" i="64"/>
  <c r="DA21" i="64"/>
  <c r="CZ21" i="64"/>
  <c r="CY21" i="64"/>
  <c r="CC21" i="64"/>
  <c r="CB21" i="64"/>
  <c r="CX21" i="64" s="1"/>
  <c r="BF21" i="64"/>
  <c r="BE21" i="64"/>
  <c r="BD21" i="64"/>
  <c r="BC21" i="64"/>
  <c r="AE21" i="64"/>
  <c r="AD21" i="64"/>
  <c r="AC21" i="64"/>
  <c r="AB21" i="64"/>
  <c r="AA21" i="64"/>
  <c r="DF20" i="64"/>
  <c r="DE20" i="64"/>
  <c r="DD20" i="64"/>
  <c r="DC20" i="64"/>
  <c r="DB20" i="64"/>
  <c r="DA20" i="64"/>
  <c r="CZ20" i="64"/>
  <c r="CY20" i="64"/>
  <c r="CC20" i="64"/>
  <c r="CB20" i="64"/>
  <c r="BF20" i="64"/>
  <c r="BE20" i="64"/>
  <c r="BD20" i="64"/>
  <c r="BC20" i="64"/>
  <c r="AE20" i="64"/>
  <c r="AD20" i="64"/>
  <c r="AC20" i="64"/>
  <c r="AB20" i="64"/>
  <c r="AA20" i="64"/>
  <c r="DF19" i="64"/>
  <c r="DE19" i="64"/>
  <c r="DD19" i="64"/>
  <c r="DC19" i="64"/>
  <c r="DB19" i="64"/>
  <c r="DA19" i="64"/>
  <c r="CZ19" i="64"/>
  <c r="CY19" i="64"/>
  <c r="CC19" i="64"/>
  <c r="CB19" i="64"/>
  <c r="BF19" i="64"/>
  <c r="BE19" i="64"/>
  <c r="BD19" i="64"/>
  <c r="BC19" i="64"/>
  <c r="AE19" i="64"/>
  <c r="AD19" i="64"/>
  <c r="AC19" i="64"/>
  <c r="AB19" i="64"/>
  <c r="AA19" i="64"/>
  <c r="DF18" i="64"/>
  <c r="DE18" i="64"/>
  <c r="DD18" i="64"/>
  <c r="DC18" i="64"/>
  <c r="DB18" i="64"/>
  <c r="DA18" i="64"/>
  <c r="CZ18" i="64"/>
  <c r="CY18" i="64"/>
  <c r="CC18" i="64"/>
  <c r="CB18" i="64"/>
  <c r="BF18" i="64"/>
  <c r="BE18" i="64"/>
  <c r="BD18" i="64"/>
  <c r="BC18" i="64"/>
  <c r="AE18" i="64"/>
  <c r="AD18" i="64"/>
  <c r="AC18" i="64"/>
  <c r="AB18" i="64"/>
  <c r="AA18" i="64"/>
  <c r="DF17" i="64"/>
  <c r="DE17" i="64"/>
  <c r="DD17" i="64"/>
  <c r="DC17" i="64"/>
  <c r="DB17" i="64"/>
  <c r="DA17" i="64"/>
  <c r="CZ17" i="64"/>
  <c r="CY17" i="64"/>
  <c r="CC17" i="64"/>
  <c r="CB17" i="64"/>
  <c r="BF17" i="64"/>
  <c r="BE17" i="64"/>
  <c r="BD17" i="64"/>
  <c r="BC17" i="64"/>
  <c r="AE17" i="64"/>
  <c r="AD17" i="64"/>
  <c r="AC17" i="64"/>
  <c r="AB17" i="64"/>
  <c r="AA17" i="64"/>
  <c r="DF16" i="64"/>
  <c r="DE16" i="64"/>
  <c r="DD16" i="64"/>
  <c r="DC16" i="64"/>
  <c r="DB16" i="64"/>
  <c r="DA16" i="64"/>
  <c r="CZ16" i="64"/>
  <c r="CY16" i="64"/>
  <c r="CC16" i="64"/>
  <c r="CB16" i="64"/>
  <c r="BF16" i="64"/>
  <c r="BE16" i="64"/>
  <c r="BD16" i="64"/>
  <c r="BC16" i="64"/>
  <c r="AE16" i="64"/>
  <c r="AD16" i="64"/>
  <c r="AC16" i="64"/>
  <c r="AB16" i="64"/>
  <c r="AA16" i="64"/>
  <c r="DF15" i="64"/>
  <c r="DE15" i="64"/>
  <c r="DD15" i="64"/>
  <c r="DC15" i="64"/>
  <c r="DB15" i="64"/>
  <c r="DA15" i="64"/>
  <c r="CZ15" i="64"/>
  <c r="CY15" i="64"/>
  <c r="CC15" i="64"/>
  <c r="CB15" i="64"/>
  <c r="CX15" i="64" s="1"/>
  <c r="BF15" i="64"/>
  <c r="BE15" i="64"/>
  <c r="BD15" i="64"/>
  <c r="BC15" i="64"/>
  <c r="AE15" i="64"/>
  <c r="AD15" i="64"/>
  <c r="AC15" i="64"/>
  <c r="AB15" i="64"/>
  <c r="AA15" i="64"/>
  <c r="DF14" i="64"/>
  <c r="DE14" i="64"/>
  <c r="DD14" i="64"/>
  <c r="DC14" i="64"/>
  <c r="DB14" i="64"/>
  <c r="DA14" i="64"/>
  <c r="CZ14" i="64"/>
  <c r="CY14" i="64"/>
  <c r="CC14" i="64"/>
  <c r="CB14" i="64"/>
  <c r="CX14" i="64" s="1"/>
  <c r="BF14" i="64"/>
  <c r="BE14" i="64"/>
  <c r="BD14" i="64"/>
  <c r="BC14" i="64"/>
  <c r="AE14" i="64"/>
  <c r="AD14" i="64"/>
  <c r="AC14" i="64"/>
  <c r="AB14" i="64"/>
  <c r="AA14" i="64"/>
  <c r="DF13" i="64"/>
  <c r="DE13" i="64"/>
  <c r="DD13" i="64"/>
  <c r="DC13" i="64"/>
  <c r="DB13" i="64"/>
  <c r="DA13" i="64"/>
  <c r="CZ13" i="64"/>
  <c r="CY13" i="64"/>
  <c r="CC13" i="64"/>
  <c r="CB13" i="64"/>
  <c r="CX13" i="64" s="1"/>
  <c r="BF13" i="64"/>
  <c r="BE13" i="64"/>
  <c r="BD13" i="64"/>
  <c r="BC13" i="64"/>
  <c r="AE13" i="64"/>
  <c r="AD13" i="64"/>
  <c r="AC13" i="64"/>
  <c r="AB13" i="64"/>
  <c r="AA13" i="64"/>
  <c r="DF12" i="64"/>
  <c r="DE12" i="64"/>
  <c r="DD12" i="64"/>
  <c r="DC12" i="64"/>
  <c r="DB12" i="64"/>
  <c r="DA12" i="64"/>
  <c r="CZ12" i="64"/>
  <c r="CY12" i="64"/>
  <c r="CC12" i="64"/>
  <c r="CB12" i="64"/>
  <c r="BF12" i="64"/>
  <c r="BE12" i="64"/>
  <c r="BD12" i="64"/>
  <c r="BC12" i="64"/>
  <c r="AE12" i="64"/>
  <c r="AD12" i="64"/>
  <c r="AC12" i="64"/>
  <c r="AB12" i="64"/>
  <c r="AA12" i="64"/>
  <c r="DF11" i="64"/>
  <c r="DE11" i="64"/>
  <c r="DD11" i="64"/>
  <c r="DC11" i="64"/>
  <c r="DB11" i="64"/>
  <c r="DA11" i="64"/>
  <c r="CZ11" i="64"/>
  <c r="CY11" i="64"/>
  <c r="CC11" i="64"/>
  <c r="CB11" i="64"/>
  <c r="CX11" i="64" s="1"/>
  <c r="BF11" i="64"/>
  <c r="BE11" i="64"/>
  <c r="BD11" i="64"/>
  <c r="BC11" i="64"/>
  <c r="AE11" i="64"/>
  <c r="AD11" i="64"/>
  <c r="AC11" i="64"/>
  <c r="AB11" i="64"/>
  <c r="AA11" i="64"/>
  <c r="DF10" i="64"/>
  <c r="DE10" i="64"/>
  <c r="DD10" i="64"/>
  <c r="DC10" i="64"/>
  <c r="DB10" i="64"/>
  <c r="DA10" i="64"/>
  <c r="CZ10" i="64"/>
  <c r="CY10" i="64"/>
  <c r="CC10" i="64"/>
  <c r="CB10" i="64"/>
  <c r="CX10" i="64" s="1"/>
  <c r="BF10" i="64"/>
  <c r="BE10" i="64"/>
  <c r="BD10" i="64"/>
  <c r="BC10" i="64"/>
  <c r="AE10" i="64"/>
  <c r="AD10" i="64"/>
  <c r="AC10" i="64"/>
  <c r="AB10" i="64"/>
  <c r="AA10" i="64"/>
  <c r="DF9" i="64"/>
  <c r="DE9" i="64"/>
  <c r="DD9" i="64"/>
  <c r="DC9" i="64"/>
  <c r="DB9" i="64"/>
  <c r="DA9" i="64"/>
  <c r="CZ9" i="64"/>
  <c r="CY9" i="64"/>
  <c r="CC9" i="64"/>
  <c r="CB9" i="64"/>
  <c r="CX9" i="64" s="1"/>
  <c r="BF9" i="64"/>
  <c r="BE9" i="64"/>
  <c r="BD9" i="64"/>
  <c r="BC9" i="64"/>
  <c r="AE9" i="64"/>
  <c r="AD9" i="64"/>
  <c r="AC9" i="64"/>
  <c r="AB9" i="64"/>
  <c r="AA9" i="64"/>
  <c r="A9" i="64"/>
  <c r="R39" i="63"/>
  <c r="AO87" i="63"/>
  <c r="BL87" i="63" s="1"/>
  <c r="AO86" i="63"/>
  <c r="BL86" i="63" s="1"/>
  <c r="AO85" i="63"/>
  <c r="BL85" i="63" s="1"/>
  <c r="AO84" i="63"/>
  <c r="BL84" i="63" s="1"/>
  <c r="A50" i="63"/>
  <c r="A46" i="63"/>
  <c r="A45" i="63"/>
  <c r="A44" i="63"/>
  <c r="A43" i="63"/>
  <c r="A41" i="63"/>
  <c r="DF38" i="63"/>
  <c r="DE38" i="63"/>
  <c r="DD38" i="63"/>
  <c r="DC38" i="63"/>
  <c r="DB38" i="63"/>
  <c r="DA38" i="63"/>
  <c r="CZ38" i="63"/>
  <c r="CY38" i="63"/>
  <c r="CC38" i="63"/>
  <c r="CB38" i="63"/>
  <c r="BF38" i="63"/>
  <c r="BE38" i="63"/>
  <c r="BD38" i="63"/>
  <c r="BC38" i="63"/>
  <c r="AE38" i="63"/>
  <c r="AD38" i="63"/>
  <c r="AC38" i="63"/>
  <c r="AB38" i="63"/>
  <c r="AA38" i="63"/>
  <c r="Y38" i="63"/>
  <c r="DF37" i="63"/>
  <c r="DE37" i="63"/>
  <c r="DD37" i="63"/>
  <c r="DC37" i="63"/>
  <c r="DB37" i="63"/>
  <c r="DA37" i="63"/>
  <c r="CZ37" i="63"/>
  <c r="CY37" i="63"/>
  <c r="CC37" i="63"/>
  <c r="CB37" i="63"/>
  <c r="CX37" i="63" s="1"/>
  <c r="BF37" i="63"/>
  <c r="BE37" i="63"/>
  <c r="BD37" i="63"/>
  <c r="BC37" i="63"/>
  <c r="AE37" i="63"/>
  <c r="AD37" i="63"/>
  <c r="AC37" i="63"/>
  <c r="AB37" i="63"/>
  <c r="AA37" i="63"/>
  <c r="Y37" i="63"/>
  <c r="DF36" i="63"/>
  <c r="DE36" i="63"/>
  <c r="DD36" i="63"/>
  <c r="DC36" i="63"/>
  <c r="DB36" i="63"/>
  <c r="DA36" i="63"/>
  <c r="CZ36" i="63"/>
  <c r="CY36" i="63"/>
  <c r="CC36" i="63"/>
  <c r="CB36" i="63"/>
  <c r="CX36" i="63" s="1"/>
  <c r="BF36" i="63"/>
  <c r="BE36" i="63"/>
  <c r="BD36" i="63"/>
  <c r="BC36" i="63"/>
  <c r="AE36" i="63"/>
  <c r="AD36" i="63"/>
  <c r="AC36" i="63"/>
  <c r="AB36" i="63"/>
  <c r="AA36" i="63"/>
  <c r="Y36" i="63"/>
  <c r="DF35" i="63"/>
  <c r="DE35" i="63"/>
  <c r="DD35" i="63"/>
  <c r="DC35" i="63"/>
  <c r="DB35" i="63"/>
  <c r="DA35" i="63"/>
  <c r="CZ35" i="63"/>
  <c r="CY35" i="63"/>
  <c r="CC35" i="63"/>
  <c r="CB35" i="63"/>
  <c r="CX35" i="63" s="1"/>
  <c r="BF35" i="63"/>
  <c r="BE35" i="63"/>
  <c r="BD35" i="63"/>
  <c r="BC35" i="63"/>
  <c r="AE35" i="63"/>
  <c r="AD35" i="63"/>
  <c r="AC35" i="63"/>
  <c r="AB35" i="63"/>
  <c r="AA35" i="63"/>
  <c r="Y35" i="63"/>
  <c r="DF34" i="63"/>
  <c r="DE34" i="63"/>
  <c r="DD34" i="63"/>
  <c r="DC34" i="63"/>
  <c r="DB34" i="63"/>
  <c r="DA34" i="63"/>
  <c r="CZ34" i="63"/>
  <c r="CY34" i="63"/>
  <c r="CC34" i="63"/>
  <c r="CB34" i="63"/>
  <c r="BF34" i="63"/>
  <c r="BE34" i="63"/>
  <c r="BD34" i="63"/>
  <c r="BC34" i="63"/>
  <c r="AE34" i="63"/>
  <c r="AD34" i="63"/>
  <c r="AC34" i="63"/>
  <c r="AB34" i="63"/>
  <c r="AA34" i="63"/>
  <c r="Y34" i="63"/>
  <c r="DF33" i="63"/>
  <c r="DE33" i="63"/>
  <c r="DD33" i="63"/>
  <c r="DC33" i="63"/>
  <c r="DB33" i="63"/>
  <c r="DA33" i="63"/>
  <c r="CZ33" i="63"/>
  <c r="CY33" i="63"/>
  <c r="CC33" i="63"/>
  <c r="CB33" i="63"/>
  <c r="BF33" i="63"/>
  <c r="BE33" i="63"/>
  <c r="BD33" i="63"/>
  <c r="BC33" i="63"/>
  <c r="AE33" i="63"/>
  <c r="AD33" i="63"/>
  <c r="AC33" i="63"/>
  <c r="AB33" i="63"/>
  <c r="AA33" i="63"/>
  <c r="Y33" i="63"/>
  <c r="DF32" i="63"/>
  <c r="DE32" i="63"/>
  <c r="DD32" i="63"/>
  <c r="DC32" i="63"/>
  <c r="DB32" i="63"/>
  <c r="DA32" i="63"/>
  <c r="CZ32" i="63"/>
  <c r="CY32" i="63"/>
  <c r="CC32" i="63"/>
  <c r="CB32" i="63"/>
  <c r="CX32" i="63" s="1"/>
  <c r="BF32" i="63"/>
  <c r="BE32" i="63"/>
  <c r="BD32" i="63"/>
  <c r="BC32" i="63"/>
  <c r="AE32" i="63"/>
  <c r="AD32" i="63"/>
  <c r="AC32" i="63"/>
  <c r="AB32" i="63"/>
  <c r="AA32" i="63"/>
  <c r="DF31" i="63"/>
  <c r="DE31" i="63"/>
  <c r="DD31" i="63"/>
  <c r="DC31" i="63"/>
  <c r="DB31" i="63"/>
  <c r="DA31" i="63"/>
  <c r="CZ31" i="63"/>
  <c r="CY31" i="63"/>
  <c r="CC31" i="63"/>
  <c r="CB31" i="63"/>
  <c r="CX31" i="63" s="1"/>
  <c r="BF31" i="63"/>
  <c r="BE31" i="63"/>
  <c r="BD31" i="63"/>
  <c r="BC31" i="63"/>
  <c r="AE31" i="63"/>
  <c r="AD31" i="63"/>
  <c r="AC31" i="63"/>
  <c r="AB31" i="63"/>
  <c r="AA31" i="63"/>
  <c r="Y31" i="63"/>
  <c r="DF30" i="63"/>
  <c r="DE30" i="63"/>
  <c r="DD30" i="63"/>
  <c r="DC30" i="63"/>
  <c r="DB30" i="63"/>
  <c r="DA30" i="63"/>
  <c r="CZ30" i="63"/>
  <c r="CY30" i="63"/>
  <c r="CC30" i="63"/>
  <c r="CB30" i="63"/>
  <c r="CX30" i="63" s="1"/>
  <c r="BF30" i="63"/>
  <c r="BE30" i="63"/>
  <c r="BD30" i="63"/>
  <c r="BC30" i="63"/>
  <c r="AE30" i="63"/>
  <c r="AD30" i="63"/>
  <c r="AC30" i="63"/>
  <c r="AB30" i="63"/>
  <c r="AA30" i="63"/>
  <c r="Y30" i="63"/>
  <c r="DF29" i="63"/>
  <c r="DE29" i="63"/>
  <c r="DD29" i="63"/>
  <c r="DC29" i="63"/>
  <c r="DB29" i="63"/>
  <c r="DA29" i="63"/>
  <c r="CZ29" i="63"/>
  <c r="CY29" i="63"/>
  <c r="CC29" i="63"/>
  <c r="CB29" i="63"/>
  <c r="CX29" i="63" s="1"/>
  <c r="BF29" i="63"/>
  <c r="BE29" i="63"/>
  <c r="BD29" i="63"/>
  <c r="BC29" i="63"/>
  <c r="AE29" i="63"/>
  <c r="AD29" i="63"/>
  <c r="AC29" i="63"/>
  <c r="AB29" i="63"/>
  <c r="AA29" i="63"/>
  <c r="DF28" i="63"/>
  <c r="DE28" i="63"/>
  <c r="DD28" i="63"/>
  <c r="DC28" i="63"/>
  <c r="DB28" i="63"/>
  <c r="DA28" i="63"/>
  <c r="CZ28" i="63"/>
  <c r="CY28" i="63"/>
  <c r="CC28" i="63"/>
  <c r="CB28" i="63"/>
  <c r="CX28" i="63" s="1"/>
  <c r="BF28" i="63"/>
  <c r="BE28" i="63"/>
  <c r="BD28" i="63"/>
  <c r="BC28" i="63"/>
  <c r="AE28" i="63"/>
  <c r="AD28" i="63"/>
  <c r="AC28" i="63"/>
  <c r="AB28" i="63"/>
  <c r="AA28" i="63"/>
  <c r="DF27" i="63"/>
  <c r="DE27" i="63"/>
  <c r="DD27" i="63"/>
  <c r="DC27" i="63"/>
  <c r="DB27" i="63"/>
  <c r="DA27" i="63"/>
  <c r="CZ27" i="63"/>
  <c r="CY27" i="63"/>
  <c r="CC27" i="63"/>
  <c r="CB27" i="63"/>
  <c r="CX27" i="63" s="1"/>
  <c r="BF27" i="63"/>
  <c r="BE27" i="63"/>
  <c r="BD27" i="63"/>
  <c r="BC27" i="63"/>
  <c r="AE27" i="63"/>
  <c r="AD27" i="63"/>
  <c r="AC27" i="63"/>
  <c r="AB27" i="63"/>
  <c r="AA27" i="63"/>
  <c r="Y27" i="63"/>
  <c r="DF26" i="63"/>
  <c r="DE26" i="63"/>
  <c r="DD26" i="63"/>
  <c r="DC26" i="63"/>
  <c r="DB26" i="63"/>
  <c r="DA26" i="63"/>
  <c r="CZ26" i="63"/>
  <c r="CY26" i="63"/>
  <c r="CC26" i="63"/>
  <c r="CB26" i="63"/>
  <c r="BF26" i="63"/>
  <c r="BE26" i="63"/>
  <c r="BD26" i="63"/>
  <c r="BC26" i="63"/>
  <c r="AE26" i="63"/>
  <c r="AD26" i="63"/>
  <c r="AC26" i="63"/>
  <c r="AB26" i="63"/>
  <c r="AA26" i="63"/>
  <c r="Y26" i="63"/>
  <c r="DF25" i="63"/>
  <c r="DE25" i="63"/>
  <c r="DD25" i="63"/>
  <c r="DC25" i="63"/>
  <c r="DB25" i="63"/>
  <c r="DA25" i="63"/>
  <c r="CZ25" i="63"/>
  <c r="CY25" i="63"/>
  <c r="CC25" i="63"/>
  <c r="CB25" i="63"/>
  <c r="CX25" i="63" s="1"/>
  <c r="BF25" i="63"/>
  <c r="BE25" i="63"/>
  <c r="BD25" i="63"/>
  <c r="BC25" i="63"/>
  <c r="AE25" i="63"/>
  <c r="AD25" i="63"/>
  <c r="AC25" i="63"/>
  <c r="AB25" i="63"/>
  <c r="AA25" i="63"/>
  <c r="DF24" i="63"/>
  <c r="DE24" i="63"/>
  <c r="DD24" i="63"/>
  <c r="DC24" i="63"/>
  <c r="DB24" i="63"/>
  <c r="DA24" i="63"/>
  <c r="CZ24" i="63"/>
  <c r="CY24" i="63"/>
  <c r="CC24" i="63"/>
  <c r="CB24" i="63"/>
  <c r="BF24" i="63"/>
  <c r="BE24" i="63"/>
  <c r="BD24" i="63"/>
  <c r="BC24" i="63"/>
  <c r="AE24" i="63"/>
  <c r="AD24" i="63"/>
  <c r="AC24" i="63"/>
  <c r="AB24" i="63"/>
  <c r="AA24" i="63"/>
  <c r="DF23" i="63"/>
  <c r="DE23" i="63"/>
  <c r="DD23" i="63"/>
  <c r="DC23" i="63"/>
  <c r="DB23" i="63"/>
  <c r="DA23" i="63"/>
  <c r="CZ23" i="63"/>
  <c r="CY23" i="63"/>
  <c r="CC23" i="63"/>
  <c r="CB23" i="63"/>
  <c r="BF23" i="63"/>
  <c r="BE23" i="63"/>
  <c r="BD23" i="63"/>
  <c r="BC23" i="63"/>
  <c r="AE23" i="63"/>
  <c r="AD23" i="63"/>
  <c r="AC23" i="63"/>
  <c r="AB23" i="63"/>
  <c r="AA23" i="63"/>
  <c r="DF22" i="63"/>
  <c r="DE22" i="63"/>
  <c r="DD22" i="63"/>
  <c r="DC22" i="63"/>
  <c r="DB22" i="63"/>
  <c r="DA22" i="63"/>
  <c r="CZ22" i="63"/>
  <c r="CY22" i="63"/>
  <c r="CC22" i="63"/>
  <c r="CB22" i="63"/>
  <c r="BF22" i="63"/>
  <c r="BE22" i="63"/>
  <c r="BD22" i="63"/>
  <c r="BC22" i="63"/>
  <c r="AE22" i="63"/>
  <c r="AD22" i="63"/>
  <c r="AC22" i="63"/>
  <c r="AB22" i="63"/>
  <c r="AA22" i="63"/>
  <c r="DF21" i="63"/>
  <c r="DE21" i="63"/>
  <c r="DD21" i="63"/>
  <c r="DC21" i="63"/>
  <c r="DB21" i="63"/>
  <c r="DA21" i="63"/>
  <c r="CZ21" i="63"/>
  <c r="CY21" i="63"/>
  <c r="CC21" i="63"/>
  <c r="CB21" i="63"/>
  <c r="CX21" i="63" s="1"/>
  <c r="BF21" i="63"/>
  <c r="BE21" i="63"/>
  <c r="BD21" i="63"/>
  <c r="BC21" i="63"/>
  <c r="AE21" i="63"/>
  <c r="AD21" i="63"/>
  <c r="AC21" i="63"/>
  <c r="AB21" i="63"/>
  <c r="AA21" i="63"/>
  <c r="DF20" i="63"/>
  <c r="DE20" i="63"/>
  <c r="DD20" i="63"/>
  <c r="DC20" i="63"/>
  <c r="DB20" i="63"/>
  <c r="DA20" i="63"/>
  <c r="CZ20" i="63"/>
  <c r="CY20" i="63"/>
  <c r="CC20" i="63"/>
  <c r="CB20" i="63"/>
  <c r="BF20" i="63"/>
  <c r="BE20" i="63"/>
  <c r="BD20" i="63"/>
  <c r="BC20" i="63"/>
  <c r="AE20" i="63"/>
  <c r="AD20" i="63"/>
  <c r="AC20" i="63"/>
  <c r="AB20" i="63"/>
  <c r="AA20" i="63"/>
  <c r="DF19" i="63"/>
  <c r="DE19" i="63"/>
  <c r="DD19" i="63"/>
  <c r="DC19" i="63"/>
  <c r="DB19" i="63"/>
  <c r="DA19" i="63"/>
  <c r="CZ19" i="63"/>
  <c r="CY19" i="63"/>
  <c r="CC19" i="63"/>
  <c r="CB19" i="63"/>
  <c r="BF19" i="63"/>
  <c r="BE19" i="63"/>
  <c r="BD19" i="63"/>
  <c r="BC19" i="63"/>
  <c r="AE19" i="63"/>
  <c r="AD19" i="63"/>
  <c r="AC19" i="63"/>
  <c r="AB19" i="63"/>
  <c r="AA19" i="63"/>
  <c r="DF18" i="63"/>
  <c r="DE18" i="63"/>
  <c r="DD18" i="63"/>
  <c r="DC18" i="63"/>
  <c r="DB18" i="63"/>
  <c r="DA18" i="63"/>
  <c r="CZ18" i="63"/>
  <c r="CY18" i="63"/>
  <c r="CC18" i="63"/>
  <c r="CB18" i="63"/>
  <c r="BF18" i="63"/>
  <c r="BE18" i="63"/>
  <c r="BD18" i="63"/>
  <c r="BC18" i="63"/>
  <c r="AE18" i="63"/>
  <c r="AD18" i="63"/>
  <c r="AC18" i="63"/>
  <c r="AB18" i="63"/>
  <c r="AA18" i="63"/>
  <c r="DF17" i="63"/>
  <c r="DE17" i="63"/>
  <c r="DD17" i="63"/>
  <c r="DC17" i="63"/>
  <c r="DB17" i="63"/>
  <c r="DA17" i="63"/>
  <c r="CZ17" i="63"/>
  <c r="CY17" i="63"/>
  <c r="CC17" i="63"/>
  <c r="CB17" i="63"/>
  <c r="BF17" i="63"/>
  <c r="BE17" i="63"/>
  <c r="BD17" i="63"/>
  <c r="BC17" i="63"/>
  <c r="AE17" i="63"/>
  <c r="AD17" i="63"/>
  <c r="AC17" i="63"/>
  <c r="AB17" i="63"/>
  <c r="AA17" i="63"/>
  <c r="Y17" i="63"/>
  <c r="DF16" i="63"/>
  <c r="DE16" i="63"/>
  <c r="DD16" i="63"/>
  <c r="DC16" i="63"/>
  <c r="DB16" i="63"/>
  <c r="DA16" i="63"/>
  <c r="CZ16" i="63"/>
  <c r="CY16" i="63"/>
  <c r="CC16" i="63"/>
  <c r="CB16" i="63"/>
  <c r="CX16" i="63" s="1"/>
  <c r="BF16" i="63"/>
  <c r="BE16" i="63"/>
  <c r="BD16" i="63"/>
  <c r="BC16" i="63"/>
  <c r="AE16" i="63"/>
  <c r="AD16" i="63"/>
  <c r="AC16" i="63"/>
  <c r="AB16" i="63"/>
  <c r="AA16" i="63"/>
  <c r="Y16" i="63"/>
  <c r="DF15" i="63"/>
  <c r="DE15" i="63"/>
  <c r="DD15" i="63"/>
  <c r="DC15" i="63"/>
  <c r="DB15" i="63"/>
  <c r="DA15" i="63"/>
  <c r="CZ15" i="63"/>
  <c r="CY15" i="63"/>
  <c r="CC15" i="63"/>
  <c r="CB15" i="63"/>
  <c r="CX15" i="63" s="1"/>
  <c r="BF15" i="63"/>
  <c r="BE15" i="63"/>
  <c r="BD15" i="63"/>
  <c r="BC15" i="63"/>
  <c r="AE15" i="63"/>
  <c r="AD15" i="63"/>
  <c r="AC15" i="63"/>
  <c r="AB15" i="63"/>
  <c r="AA15" i="63"/>
  <c r="DF14" i="63"/>
  <c r="DE14" i="63"/>
  <c r="DD14" i="63"/>
  <c r="DC14" i="63"/>
  <c r="DB14" i="63"/>
  <c r="DA14" i="63"/>
  <c r="CZ14" i="63"/>
  <c r="CY14" i="63"/>
  <c r="CC14" i="63"/>
  <c r="CB14" i="63"/>
  <c r="CX14" i="63" s="1"/>
  <c r="BF14" i="63"/>
  <c r="BE14" i="63"/>
  <c r="BD14" i="63"/>
  <c r="BC14" i="63"/>
  <c r="AE14" i="63"/>
  <c r="AD14" i="63"/>
  <c r="AC14" i="63"/>
  <c r="AB14" i="63"/>
  <c r="AA14" i="63"/>
  <c r="Y14" i="63"/>
  <c r="DF13" i="63"/>
  <c r="DE13" i="63"/>
  <c r="DD13" i="63"/>
  <c r="DC13" i="63"/>
  <c r="DB13" i="63"/>
  <c r="DA13" i="63"/>
  <c r="CZ13" i="63"/>
  <c r="CY13" i="63"/>
  <c r="CC13" i="63"/>
  <c r="CB13" i="63"/>
  <c r="BF13" i="63"/>
  <c r="BE13" i="63"/>
  <c r="BD13" i="63"/>
  <c r="BC13" i="63"/>
  <c r="AE13" i="63"/>
  <c r="AD13" i="63"/>
  <c r="AC13" i="63"/>
  <c r="AB13" i="63"/>
  <c r="AA13" i="63"/>
  <c r="Y13" i="63"/>
  <c r="DF12" i="63"/>
  <c r="DE12" i="63"/>
  <c r="DD12" i="63"/>
  <c r="DC12" i="63"/>
  <c r="DB12" i="63"/>
  <c r="DA12" i="63"/>
  <c r="CZ12" i="63"/>
  <c r="CY12" i="63"/>
  <c r="CC12" i="63"/>
  <c r="CB12" i="63"/>
  <c r="BF12" i="63"/>
  <c r="BE12" i="63"/>
  <c r="BD12" i="63"/>
  <c r="BC12" i="63"/>
  <c r="AE12" i="63"/>
  <c r="AD12" i="63"/>
  <c r="AC12" i="63"/>
  <c r="AB12" i="63"/>
  <c r="AA12" i="63"/>
  <c r="Y12" i="63"/>
  <c r="DF11" i="63"/>
  <c r="DE11" i="63"/>
  <c r="DD11" i="63"/>
  <c r="DC11" i="63"/>
  <c r="DB11" i="63"/>
  <c r="DA11" i="63"/>
  <c r="CZ11" i="63"/>
  <c r="CY11" i="63"/>
  <c r="CC11" i="63"/>
  <c r="CB11" i="63"/>
  <c r="BF11" i="63"/>
  <c r="BE11" i="63"/>
  <c r="BD11" i="63"/>
  <c r="BC11" i="63"/>
  <c r="AE11" i="63"/>
  <c r="AD11" i="63"/>
  <c r="AC11" i="63"/>
  <c r="AB11" i="63"/>
  <c r="AA11" i="63"/>
  <c r="DF10" i="63"/>
  <c r="DE10" i="63"/>
  <c r="DD10" i="63"/>
  <c r="DC10" i="63"/>
  <c r="DB10" i="63"/>
  <c r="DA10" i="63"/>
  <c r="CZ10" i="63"/>
  <c r="CY10" i="63"/>
  <c r="CC10" i="63"/>
  <c r="CB10" i="63"/>
  <c r="CX10" i="63" s="1"/>
  <c r="BF10" i="63"/>
  <c r="BE10" i="63"/>
  <c r="BD10" i="63"/>
  <c r="BC10" i="63"/>
  <c r="AE10" i="63"/>
  <c r="AD10" i="63"/>
  <c r="AC10" i="63"/>
  <c r="AB10" i="63"/>
  <c r="AA10" i="63"/>
  <c r="Y10" i="63"/>
  <c r="DF9" i="63"/>
  <c r="DE9" i="63"/>
  <c r="DD9" i="63"/>
  <c r="DC9" i="63"/>
  <c r="DB9" i="63"/>
  <c r="DA9" i="63"/>
  <c r="CZ9" i="63"/>
  <c r="CY9" i="63"/>
  <c r="CC9" i="63"/>
  <c r="CB9" i="63"/>
  <c r="BF9" i="63"/>
  <c r="BE9" i="63"/>
  <c r="BD9" i="63"/>
  <c r="BC9" i="63"/>
  <c r="AE9" i="63"/>
  <c r="AD9" i="63"/>
  <c r="AC9" i="63"/>
  <c r="AB9" i="63"/>
  <c r="AA9" i="63"/>
  <c r="Y9" i="63"/>
  <c r="A9" i="63"/>
  <c r="CY11" i="41"/>
  <c r="CZ11" i="41"/>
  <c r="DA11" i="41"/>
  <c r="DB11" i="41"/>
  <c r="DC11" i="41"/>
  <c r="DD11" i="41"/>
  <c r="DE11" i="41"/>
  <c r="DF11" i="41"/>
  <c r="CY12" i="41"/>
  <c r="CZ12" i="41"/>
  <c r="DA12" i="41"/>
  <c r="DB12" i="41"/>
  <c r="DC12" i="41"/>
  <c r="DD12" i="41"/>
  <c r="DE12" i="41"/>
  <c r="DF12" i="41"/>
  <c r="CY13" i="41"/>
  <c r="CZ13" i="41"/>
  <c r="DA13" i="41"/>
  <c r="DB13" i="41"/>
  <c r="DC13" i="41"/>
  <c r="DD13" i="41"/>
  <c r="DE13" i="41"/>
  <c r="DF13" i="41"/>
  <c r="CY14" i="41"/>
  <c r="CZ14" i="41"/>
  <c r="DA14" i="41"/>
  <c r="DB14" i="41"/>
  <c r="DC14" i="41"/>
  <c r="DD14" i="41"/>
  <c r="DE14" i="41"/>
  <c r="DF14" i="41"/>
  <c r="CY15" i="41"/>
  <c r="CZ15" i="41"/>
  <c r="DA15" i="41"/>
  <c r="DB15" i="41"/>
  <c r="DC15" i="41"/>
  <c r="DD15" i="41"/>
  <c r="DE15" i="41"/>
  <c r="DF15" i="41"/>
  <c r="CY16" i="41"/>
  <c r="CZ16" i="41"/>
  <c r="DA16" i="41"/>
  <c r="DB16" i="41"/>
  <c r="DC16" i="41"/>
  <c r="DD16" i="41"/>
  <c r="DE16" i="41"/>
  <c r="DF16" i="41"/>
  <c r="CY17" i="41"/>
  <c r="CZ17" i="41"/>
  <c r="DA17" i="41"/>
  <c r="DB17" i="41"/>
  <c r="DC17" i="41"/>
  <c r="DD17" i="41"/>
  <c r="DE17" i="41"/>
  <c r="DF17" i="41"/>
  <c r="CY18" i="41"/>
  <c r="CZ18" i="41"/>
  <c r="DA18" i="41"/>
  <c r="DB18" i="41"/>
  <c r="DC18" i="41"/>
  <c r="DD18" i="41"/>
  <c r="DE18" i="41"/>
  <c r="DF18" i="41"/>
  <c r="CY19" i="41"/>
  <c r="CZ19" i="41"/>
  <c r="DA19" i="41"/>
  <c r="DB19" i="41"/>
  <c r="DC19" i="41"/>
  <c r="DD19" i="41"/>
  <c r="DE19" i="41"/>
  <c r="DF19" i="41"/>
  <c r="CY20" i="41"/>
  <c r="CZ20" i="41"/>
  <c r="DA20" i="41"/>
  <c r="DB20" i="41"/>
  <c r="DC20" i="41"/>
  <c r="DD20" i="41"/>
  <c r="DE20" i="41"/>
  <c r="DF20" i="41"/>
  <c r="CY21" i="41"/>
  <c r="CZ21" i="41"/>
  <c r="DA21" i="41"/>
  <c r="DB21" i="41"/>
  <c r="DC21" i="41"/>
  <c r="DD21" i="41"/>
  <c r="DE21" i="41"/>
  <c r="DF21" i="41"/>
  <c r="CY22" i="41"/>
  <c r="CZ22" i="41"/>
  <c r="DA22" i="41"/>
  <c r="DB22" i="41"/>
  <c r="DC22" i="41"/>
  <c r="DD22" i="41"/>
  <c r="DE22" i="41"/>
  <c r="DF22" i="41"/>
  <c r="CY23" i="41"/>
  <c r="CZ23" i="41"/>
  <c r="DA23" i="41"/>
  <c r="DB23" i="41"/>
  <c r="DC23" i="41"/>
  <c r="DD23" i="41"/>
  <c r="DE23" i="41"/>
  <c r="DF23" i="41"/>
  <c r="CY24" i="41"/>
  <c r="CZ24" i="41"/>
  <c r="DA24" i="41"/>
  <c r="DB24" i="41"/>
  <c r="DC24" i="41"/>
  <c r="DD24" i="41"/>
  <c r="DE24" i="41"/>
  <c r="DF24" i="41"/>
  <c r="CY25" i="41"/>
  <c r="CZ25" i="41"/>
  <c r="DA25" i="41"/>
  <c r="DB25" i="41"/>
  <c r="DC25" i="41"/>
  <c r="DD25" i="41"/>
  <c r="DE25" i="41"/>
  <c r="DF25" i="41"/>
  <c r="CY26" i="41"/>
  <c r="CZ26" i="41"/>
  <c r="DA26" i="41"/>
  <c r="DB26" i="41"/>
  <c r="DC26" i="41"/>
  <c r="DD26" i="41"/>
  <c r="DE26" i="41"/>
  <c r="DF26" i="41"/>
  <c r="CY27" i="41"/>
  <c r="CZ27" i="41"/>
  <c r="DA27" i="41"/>
  <c r="DB27" i="41"/>
  <c r="DC27" i="41"/>
  <c r="DD27" i="41"/>
  <c r="DE27" i="41"/>
  <c r="DF27" i="41"/>
  <c r="CY28" i="41"/>
  <c r="CZ28" i="41"/>
  <c r="DA28" i="41"/>
  <c r="DB28" i="41"/>
  <c r="DC28" i="41"/>
  <c r="DD28" i="41"/>
  <c r="DE28" i="41"/>
  <c r="DF28" i="41"/>
  <c r="CY29" i="41"/>
  <c r="CZ29" i="41"/>
  <c r="DA29" i="41"/>
  <c r="DB29" i="41"/>
  <c r="DC29" i="41"/>
  <c r="DD29" i="41"/>
  <c r="DE29" i="41"/>
  <c r="DF29" i="41"/>
  <c r="CY30" i="41"/>
  <c r="CZ30" i="41"/>
  <c r="DA30" i="41"/>
  <c r="DB30" i="41"/>
  <c r="DC30" i="41"/>
  <c r="DD30" i="41"/>
  <c r="DE30" i="41"/>
  <c r="DF30" i="41"/>
  <c r="CY31" i="41"/>
  <c r="CZ31" i="41"/>
  <c r="DA31" i="41"/>
  <c r="DB31" i="41"/>
  <c r="DC31" i="41"/>
  <c r="DD31" i="41"/>
  <c r="DE31" i="41"/>
  <c r="DF31" i="41"/>
  <c r="CY32" i="41"/>
  <c r="CZ32" i="41"/>
  <c r="DA32" i="41"/>
  <c r="DB32" i="41"/>
  <c r="DC32" i="41"/>
  <c r="DD32" i="41"/>
  <c r="DE32" i="41"/>
  <c r="DF32" i="41"/>
  <c r="CY33" i="41"/>
  <c r="CZ33" i="41"/>
  <c r="DA33" i="41"/>
  <c r="DB33" i="41"/>
  <c r="DC33" i="41"/>
  <c r="DD33" i="41"/>
  <c r="DE33" i="41"/>
  <c r="DF33" i="41"/>
  <c r="CY34" i="41"/>
  <c r="CZ34" i="41"/>
  <c r="DA34" i="41"/>
  <c r="DB34" i="41"/>
  <c r="DC34" i="41"/>
  <c r="DD34" i="41"/>
  <c r="DE34" i="41"/>
  <c r="DF34" i="41"/>
  <c r="CY35" i="41"/>
  <c r="CZ35" i="41"/>
  <c r="DA35" i="41"/>
  <c r="DB35" i="41"/>
  <c r="DC35" i="41"/>
  <c r="DD35" i="41"/>
  <c r="DE35" i="41"/>
  <c r="DF35" i="41"/>
  <c r="CY36" i="41"/>
  <c r="CZ36" i="41"/>
  <c r="DA36" i="41"/>
  <c r="DB36" i="41"/>
  <c r="DC36" i="41"/>
  <c r="DD36" i="41"/>
  <c r="DE36" i="41"/>
  <c r="DF36" i="41"/>
  <c r="CY37" i="41"/>
  <c r="CZ37" i="41"/>
  <c r="DA37" i="41"/>
  <c r="DB37" i="41"/>
  <c r="DC37" i="41"/>
  <c r="DD37" i="41"/>
  <c r="DE37" i="41"/>
  <c r="DF37" i="41"/>
  <c r="CY38" i="41"/>
  <c r="CZ38" i="41"/>
  <c r="DA38" i="41"/>
  <c r="DB38" i="41"/>
  <c r="DC38" i="41"/>
  <c r="DD38" i="41"/>
  <c r="DE38" i="41"/>
  <c r="DF38" i="41"/>
  <c r="CY39" i="41"/>
  <c r="CZ39" i="41"/>
  <c r="DA39" i="41"/>
  <c r="DB39" i="41"/>
  <c r="DC39" i="41"/>
  <c r="DD39" i="41"/>
  <c r="DE39" i="41"/>
  <c r="DF39" i="41"/>
  <c r="CY40" i="41"/>
  <c r="CZ40" i="41"/>
  <c r="DA40" i="41"/>
  <c r="DB40" i="41"/>
  <c r="DC40" i="41"/>
  <c r="DD40" i="41"/>
  <c r="DE40" i="41"/>
  <c r="DF40" i="41"/>
  <c r="DF10" i="41"/>
  <c r="DE10" i="41"/>
  <c r="DD10" i="41"/>
  <c r="DC10" i="41"/>
  <c r="DB10" i="41"/>
  <c r="DA10" i="41"/>
  <c r="CZ10" i="41"/>
  <c r="CY10" i="41"/>
  <c r="CX26" i="73" l="1"/>
  <c r="CX16" i="73"/>
  <c r="CX38" i="72"/>
  <c r="CX26" i="67"/>
  <c r="CX13" i="67"/>
  <c r="CX23" i="73"/>
  <c r="CX31" i="73"/>
  <c r="CX39" i="73"/>
  <c r="CX15" i="72"/>
  <c r="CX23" i="72"/>
  <c r="CX32" i="71"/>
  <c r="FP14" i="70"/>
  <c r="FR14" i="70"/>
  <c r="FR25" i="70"/>
  <c r="FP25" i="70"/>
  <c r="FP20" i="70"/>
  <c r="FR20" i="70"/>
  <c r="FP28" i="70"/>
  <c r="FR28" i="70"/>
  <c r="FR23" i="70"/>
  <c r="FP23" i="70"/>
  <c r="CX28" i="70"/>
  <c r="FR26" i="70"/>
  <c r="FP26" i="70"/>
  <c r="CX31" i="70"/>
  <c r="FR13" i="70"/>
  <c r="FP13" i="70"/>
  <c r="FR21" i="70"/>
  <c r="FP21" i="70"/>
  <c r="FR29" i="70"/>
  <c r="FP29" i="70"/>
  <c r="FP27" i="70"/>
  <c r="FR27" i="70"/>
  <c r="FR35" i="70"/>
  <c r="FP35" i="70"/>
  <c r="FR22" i="70"/>
  <c r="FP22" i="70"/>
  <c r="CX13" i="70"/>
  <c r="CX21" i="70"/>
  <c r="FR24" i="70"/>
  <c r="FP24" i="70"/>
  <c r="FR22" i="69"/>
  <c r="FP22" i="69"/>
  <c r="FR38" i="69"/>
  <c r="FP38" i="69"/>
  <c r="FP17" i="69"/>
  <c r="FR17" i="69"/>
  <c r="FP28" i="69"/>
  <c r="FR28" i="69"/>
  <c r="FR23" i="69"/>
  <c r="FP23" i="69"/>
  <c r="FR31" i="69"/>
  <c r="FP31" i="69"/>
  <c r="FR10" i="69"/>
  <c r="FP10" i="69"/>
  <c r="FR37" i="69"/>
  <c r="FP37" i="69"/>
  <c r="FP24" i="69"/>
  <c r="FR24" i="69"/>
  <c r="FR27" i="69"/>
  <c r="FP27" i="69"/>
  <c r="FR9" i="69"/>
  <c r="FP9" i="69"/>
  <c r="CX21" i="67"/>
  <c r="FR32" i="67"/>
  <c r="FP32" i="67"/>
  <c r="FP11" i="67"/>
  <c r="FR11" i="67"/>
  <c r="FR27" i="67"/>
  <c r="FP27" i="67"/>
  <c r="FP30" i="67"/>
  <c r="FR30" i="67"/>
  <c r="CX14" i="67"/>
  <c r="CX30" i="67"/>
  <c r="FR33" i="67"/>
  <c r="FP33" i="67"/>
  <c r="FR12" i="67"/>
  <c r="FP12" i="67"/>
  <c r="FR20" i="67"/>
  <c r="FP20" i="67"/>
  <c r="FR28" i="67"/>
  <c r="FP28" i="67"/>
  <c r="FP31" i="67"/>
  <c r="FR31" i="67"/>
  <c r="FR10" i="67"/>
  <c r="FP10" i="67"/>
  <c r="FR26" i="67"/>
  <c r="FP26" i="67"/>
  <c r="FR34" i="67"/>
  <c r="FP34" i="67"/>
  <c r="FR13" i="67"/>
  <c r="FP13" i="67"/>
  <c r="FR29" i="67"/>
  <c r="FP29" i="67"/>
  <c r="H44" i="67"/>
  <c r="G14" i="1"/>
  <c r="FP9" i="67"/>
  <c r="FR9" i="67"/>
  <c r="H45" i="67"/>
  <c r="G13" i="1"/>
  <c r="J51" i="1"/>
  <c r="CX14" i="72"/>
  <c r="CX17" i="71"/>
  <c r="CX20" i="71"/>
  <c r="FL16" i="63"/>
  <c r="FJ16" i="63"/>
  <c r="FJ26" i="63"/>
  <c r="FL26" i="63"/>
  <c r="FL12" i="63"/>
  <c r="FJ12" i="63"/>
  <c r="FJ14" i="63"/>
  <c r="FL14" i="63"/>
  <c r="FL33" i="63"/>
  <c r="FJ33" i="63"/>
  <c r="FJ35" i="63"/>
  <c r="FL35" i="63"/>
  <c r="FL37" i="63"/>
  <c r="FJ37" i="63"/>
  <c r="FL10" i="63"/>
  <c r="FJ10" i="63"/>
  <c r="FL31" i="63"/>
  <c r="FJ31" i="63"/>
  <c r="FL17" i="63"/>
  <c r="FJ17" i="63"/>
  <c r="FL27" i="63"/>
  <c r="FJ27" i="63"/>
  <c r="FL13" i="63"/>
  <c r="FJ13" i="63"/>
  <c r="FL34" i="63"/>
  <c r="FJ34" i="63"/>
  <c r="FL36" i="63"/>
  <c r="FJ36" i="63"/>
  <c r="FJ38" i="63"/>
  <c r="FL38" i="63"/>
  <c r="FJ30" i="63"/>
  <c r="FL30" i="63"/>
  <c r="FR38" i="70"/>
  <c r="FP38" i="70"/>
  <c r="FP37" i="70"/>
  <c r="FR37" i="70"/>
  <c r="FR36" i="70"/>
  <c r="FP36" i="70"/>
  <c r="FP33" i="70"/>
  <c r="FR33" i="70"/>
  <c r="FR32" i="70"/>
  <c r="FP32" i="70"/>
  <c r="FR31" i="70"/>
  <c r="FP31" i="70"/>
  <c r="FP30" i="70"/>
  <c r="FR30" i="70"/>
  <c r="FP19" i="70"/>
  <c r="FR19" i="70"/>
  <c r="FR18" i="70"/>
  <c r="FP18" i="70"/>
  <c r="FR17" i="70"/>
  <c r="FP17" i="70"/>
  <c r="FR16" i="70"/>
  <c r="FP16" i="70"/>
  <c r="FR15" i="70"/>
  <c r="FP15" i="70"/>
  <c r="FR12" i="70"/>
  <c r="FP12" i="70"/>
  <c r="FP11" i="70"/>
  <c r="FR11" i="70"/>
  <c r="FR10" i="70"/>
  <c r="FP10" i="70"/>
  <c r="FR9" i="70"/>
  <c r="FP9" i="70"/>
  <c r="FR39" i="69"/>
  <c r="FP39" i="69"/>
  <c r="FR36" i="69"/>
  <c r="FP36" i="69"/>
  <c r="FP35" i="69"/>
  <c r="FR35" i="69"/>
  <c r="FR34" i="69"/>
  <c r="FP34" i="69"/>
  <c r="FR33" i="69"/>
  <c r="FP33" i="69"/>
  <c r="FR32" i="69"/>
  <c r="FP32" i="69"/>
  <c r="FR29" i="69"/>
  <c r="FP29" i="69"/>
  <c r="FR26" i="69"/>
  <c r="FP26" i="69"/>
  <c r="FP25" i="69"/>
  <c r="FR25" i="69"/>
  <c r="FR21" i="69"/>
  <c r="FP21" i="69"/>
  <c r="FP20" i="69"/>
  <c r="FR20" i="69"/>
  <c r="FR19" i="69"/>
  <c r="FP19" i="69"/>
  <c r="FR18" i="69"/>
  <c r="FP18" i="69"/>
  <c r="FP15" i="69"/>
  <c r="FR15" i="69"/>
  <c r="FR14" i="69"/>
  <c r="FP14" i="69"/>
  <c r="FR13" i="69"/>
  <c r="FP13" i="69"/>
  <c r="FP12" i="69"/>
  <c r="FR12" i="69"/>
  <c r="CX12" i="69"/>
  <c r="FR11" i="69"/>
  <c r="FP11" i="69"/>
  <c r="FP39" i="67"/>
  <c r="FR39" i="67"/>
  <c r="FP38" i="67"/>
  <c r="FR38" i="67"/>
  <c r="FR37" i="67"/>
  <c r="FP37" i="67"/>
  <c r="FR36" i="67"/>
  <c r="FP36" i="67"/>
  <c r="FP35" i="67"/>
  <c r="FR35" i="67"/>
  <c r="FR25" i="67"/>
  <c r="FP25" i="67"/>
  <c r="FP24" i="67"/>
  <c r="FR24" i="67"/>
  <c r="FR23" i="67"/>
  <c r="FP23" i="67"/>
  <c r="FR22" i="67"/>
  <c r="FP22" i="67"/>
  <c r="FR21" i="67"/>
  <c r="FP21" i="67"/>
  <c r="FR18" i="67"/>
  <c r="FP18" i="67"/>
  <c r="FP17" i="67"/>
  <c r="FR17" i="67"/>
  <c r="FR16" i="67"/>
  <c r="FP16" i="67"/>
  <c r="FR15" i="67"/>
  <c r="FP15" i="67"/>
  <c r="FP14" i="67"/>
  <c r="FR14" i="67"/>
  <c r="CX25" i="73"/>
  <c r="CX24" i="73"/>
  <c r="FP12" i="73"/>
  <c r="FR12" i="73"/>
  <c r="FP20" i="73"/>
  <c r="FR20" i="73"/>
  <c r="FP28" i="73"/>
  <c r="FR28" i="73"/>
  <c r="FP36" i="73"/>
  <c r="FR36" i="73"/>
  <c r="FR15" i="73"/>
  <c r="FP15" i="73"/>
  <c r="FR23" i="73"/>
  <c r="FP23" i="73"/>
  <c r="FR31" i="73"/>
  <c r="FP31" i="73"/>
  <c r="FP39" i="73"/>
  <c r="FR39" i="73"/>
  <c r="FR10" i="73"/>
  <c r="FP10" i="73"/>
  <c r="FR18" i="73"/>
  <c r="FP18" i="73"/>
  <c r="FR26" i="73"/>
  <c r="FP26" i="73"/>
  <c r="FR34" i="73"/>
  <c r="FP34" i="73"/>
  <c r="FR13" i="73"/>
  <c r="FP13" i="73"/>
  <c r="FR21" i="73"/>
  <c r="FP21" i="73"/>
  <c r="FR29" i="73"/>
  <c r="FP29" i="73"/>
  <c r="FR37" i="73"/>
  <c r="FP37" i="73"/>
  <c r="FR16" i="73"/>
  <c r="FP16" i="73"/>
  <c r="CX21" i="73"/>
  <c r="FR24" i="73"/>
  <c r="FP24" i="73"/>
  <c r="CX29" i="73"/>
  <c r="FR32" i="73"/>
  <c r="FP32" i="73"/>
  <c r="CX37" i="73"/>
  <c r="FR11" i="73"/>
  <c r="FP11" i="73"/>
  <c r="FR19" i="73"/>
  <c r="FP19" i="73"/>
  <c r="FR27" i="73"/>
  <c r="FP27" i="73"/>
  <c r="FR35" i="73"/>
  <c r="FP35" i="73"/>
  <c r="CX11" i="73"/>
  <c r="FR14" i="73"/>
  <c r="FP14" i="73"/>
  <c r="CX19" i="73"/>
  <c r="FR22" i="73"/>
  <c r="FP22" i="73"/>
  <c r="CX27" i="73"/>
  <c r="FR30" i="73"/>
  <c r="FP30" i="73"/>
  <c r="CX35" i="73"/>
  <c r="FR38" i="73"/>
  <c r="FP38" i="73"/>
  <c r="CX14" i="73"/>
  <c r="FP17" i="73"/>
  <c r="FR17" i="73"/>
  <c r="CX22" i="73"/>
  <c r="FP25" i="73"/>
  <c r="FR25" i="73"/>
  <c r="CX30" i="73"/>
  <c r="FP33" i="73"/>
  <c r="FR33" i="73"/>
  <c r="CX38" i="73"/>
  <c r="FR9" i="73"/>
  <c r="FP9" i="73"/>
  <c r="FR14" i="72"/>
  <c r="FP14" i="72"/>
  <c r="FR22" i="72"/>
  <c r="FP22" i="72"/>
  <c r="FR38" i="72"/>
  <c r="FP38" i="72"/>
  <c r="FR17" i="72"/>
  <c r="FP17" i="72"/>
  <c r="FR25" i="72"/>
  <c r="FP25" i="72"/>
  <c r="FR33" i="72"/>
  <c r="FP33" i="72"/>
  <c r="FP12" i="72"/>
  <c r="FR12" i="72"/>
  <c r="FP20" i="72"/>
  <c r="FR20" i="72"/>
  <c r="FR28" i="72"/>
  <c r="FP28" i="72"/>
  <c r="FR36" i="72"/>
  <c r="FP36" i="72"/>
  <c r="FP15" i="72"/>
  <c r="FR15" i="72"/>
  <c r="FP23" i="72"/>
  <c r="FR23" i="72"/>
  <c r="FR31" i="72"/>
  <c r="FP31" i="72"/>
  <c r="FR10" i="72"/>
  <c r="FP10" i="72"/>
  <c r="FR18" i="72"/>
  <c r="FP18" i="72"/>
  <c r="FR26" i="72"/>
  <c r="FP26" i="72"/>
  <c r="FP34" i="72"/>
  <c r="FR34" i="72"/>
  <c r="FR13" i="72"/>
  <c r="FP13" i="72"/>
  <c r="CX18" i="72"/>
  <c r="FR21" i="72"/>
  <c r="FP21" i="72"/>
  <c r="FP37" i="72"/>
  <c r="FR37" i="72"/>
  <c r="FR16" i="72"/>
  <c r="FP16" i="72"/>
  <c r="FR24" i="72"/>
  <c r="FP24" i="72"/>
  <c r="FR32" i="72"/>
  <c r="FP32" i="72"/>
  <c r="FR11" i="72"/>
  <c r="FP11" i="72"/>
  <c r="FR19" i="72"/>
  <c r="FP19" i="72"/>
  <c r="FR27" i="72"/>
  <c r="FP27" i="72"/>
  <c r="FR35" i="72"/>
  <c r="FP35" i="72"/>
  <c r="FR9" i="72"/>
  <c r="FP9" i="72"/>
  <c r="CX9" i="72"/>
  <c r="FR17" i="71"/>
  <c r="FP17" i="71"/>
  <c r="FR25" i="71"/>
  <c r="FP25" i="71"/>
  <c r="FR12" i="71"/>
  <c r="FP12" i="71"/>
  <c r="FR20" i="71"/>
  <c r="FP20" i="71"/>
  <c r="FR28" i="71"/>
  <c r="FP28" i="71"/>
  <c r="FR36" i="71"/>
  <c r="FP36" i="71"/>
  <c r="FR15" i="71"/>
  <c r="FP15" i="71"/>
  <c r="FR23" i="71"/>
  <c r="FP23" i="71"/>
  <c r="FP31" i="71"/>
  <c r="FR31" i="71"/>
  <c r="FR39" i="71"/>
  <c r="FP39" i="71"/>
  <c r="FR10" i="71"/>
  <c r="FP10" i="71"/>
  <c r="FR18" i="71"/>
  <c r="FP18" i="71"/>
  <c r="FR26" i="71"/>
  <c r="FP26" i="71"/>
  <c r="FP34" i="71"/>
  <c r="FR34" i="71"/>
  <c r="FR13" i="71"/>
  <c r="FP13" i="71"/>
  <c r="FR21" i="71"/>
  <c r="FP21" i="71"/>
  <c r="FR29" i="71"/>
  <c r="FP29" i="71"/>
  <c r="FR37" i="71"/>
  <c r="FP37" i="71"/>
  <c r="FR16" i="71"/>
  <c r="FP16" i="71"/>
  <c r="FR24" i="71"/>
  <c r="FP24" i="71"/>
  <c r="FP32" i="71"/>
  <c r="FR32" i="71"/>
  <c r="FP11" i="71"/>
  <c r="FR11" i="71"/>
  <c r="FP19" i="71"/>
  <c r="FR19" i="71"/>
  <c r="FP27" i="71"/>
  <c r="FR27" i="71"/>
  <c r="FR35" i="71"/>
  <c r="FP35" i="71"/>
  <c r="FP14" i="71"/>
  <c r="FR14" i="71"/>
  <c r="FP22" i="71"/>
  <c r="FR22" i="71"/>
  <c r="FR30" i="71"/>
  <c r="FP30" i="71"/>
  <c r="FR38" i="71"/>
  <c r="FP38" i="71"/>
  <c r="FR9" i="71"/>
  <c r="FP9" i="71"/>
  <c r="CX33" i="71"/>
  <c r="FR16" i="69"/>
  <c r="FP16" i="69"/>
  <c r="FR19" i="67"/>
  <c r="FP19" i="67"/>
  <c r="FR27" i="64"/>
  <c r="FR40" i="64" s="1"/>
  <c r="FP27" i="64"/>
  <c r="FP40" i="64" s="1"/>
  <c r="FR29" i="63"/>
  <c r="FP29" i="63"/>
  <c r="FR24" i="65"/>
  <c r="FR40" i="65" s="1"/>
  <c r="FP24" i="65"/>
  <c r="FP40" i="65" s="1"/>
  <c r="FR29" i="66"/>
  <c r="FP29" i="66"/>
  <c r="FR23" i="63"/>
  <c r="FP23" i="63"/>
  <c r="FR22" i="66"/>
  <c r="FP22" i="66"/>
  <c r="FR30" i="72"/>
  <c r="FP30" i="72"/>
  <c r="AC39" i="72"/>
  <c r="FP29" i="72"/>
  <c r="FR29" i="72"/>
  <c r="FP33" i="71"/>
  <c r="FR33" i="71"/>
  <c r="FR34" i="70"/>
  <c r="FP34" i="70"/>
  <c r="FR30" i="69"/>
  <c r="FP30" i="69"/>
  <c r="CX22" i="66"/>
  <c r="CX35" i="66"/>
  <c r="CX13" i="66"/>
  <c r="CX29" i="66"/>
  <c r="CX37" i="66"/>
  <c r="CX29" i="67"/>
  <c r="CX37" i="65"/>
  <c r="CX30" i="65"/>
  <c r="CX17" i="64"/>
  <c r="CX19" i="64"/>
  <c r="CX22" i="64"/>
  <c r="CX22" i="72"/>
  <c r="CX13" i="72"/>
  <c r="CX16" i="72"/>
  <c r="CX17" i="72"/>
  <c r="CX36" i="72"/>
  <c r="CX26" i="72"/>
  <c r="CX37" i="72"/>
  <c r="CX39" i="71"/>
  <c r="CX24" i="71"/>
  <c r="CX14" i="71"/>
  <c r="CX19" i="71"/>
  <c r="CX12" i="71"/>
  <c r="CX36" i="71"/>
  <c r="CX18" i="71"/>
  <c r="CX26" i="71"/>
  <c r="CX37" i="71"/>
  <c r="CX20" i="70"/>
  <c r="CX10" i="70"/>
  <c r="CX29" i="70"/>
  <c r="CX24" i="70"/>
  <c r="CX32" i="70"/>
  <c r="CX11" i="70"/>
  <c r="CX19" i="70"/>
  <c r="CX27" i="70"/>
  <c r="CX35" i="70"/>
  <c r="CX22" i="70"/>
  <c r="CX38" i="70"/>
  <c r="CX25" i="70"/>
  <c r="CX30" i="69"/>
  <c r="CX26" i="69"/>
  <c r="CX23" i="69"/>
  <c r="CX17" i="69"/>
  <c r="CX13" i="69"/>
  <c r="CX21" i="69"/>
  <c r="CX29" i="69"/>
  <c r="CX37" i="69"/>
  <c r="FR13" i="68"/>
  <c r="FP13" i="68"/>
  <c r="FR21" i="68"/>
  <c r="FP21" i="68"/>
  <c r="FR29" i="68"/>
  <c r="FP29" i="68"/>
  <c r="FR16" i="68"/>
  <c r="FP16" i="68"/>
  <c r="FP32" i="68"/>
  <c r="FR32" i="68"/>
  <c r="FP11" i="68"/>
  <c r="FR11" i="68"/>
  <c r="FP19" i="68"/>
  <c r="FR19" i="68"/>
  <c r="FR27" i="68"/>
  <c r="FP27" i="68"/>
  <c r="FR35" i="68"/>
  <c r="FP35" i="68"/>
  <c r="FR14" i="68"/>
  <c r="FP14" i="68"/>
  <c r="FR22" i="68"/>
  <c r="FP22" i="68"/>
  <c r="FP30" i="68"/>
  <c r="FR30" i="68"/>
  <c r="FR17" i="68"/>
  <c r="FP17" i="68"/>
  <c r="FR25" i="68"/>
  <c r="FP25" i="68"/>
  <c r="FR33" i="68"/>
  <c r="FP33" i="68"/>
  <c r="FR12" i="68"/>
  <c r="FP12" i="68"/>
  <c r="FR20" i="68"/>
  <c r="FP20" i="68"/>
  <c r="FR28" i="68"/>
  <c r="FP28" i="68"/>
  <c r="FR15" i="68"/>
  <c r="FP15" i="68"/>
  <c r="FR23" i="68"/>
  <c r="FP23" i="68"/>
  <c r="FP31" i="68"/>
  <c r="FR31" i="68"/>
  <c r="FP10" i="68"/>
  <c r="FR10" i="68"/>
  <c r="FP18" i="68"/>
  <c r="FR18" i="68"/>
  <c r="FR26" i="68"/>
  <c r="FP26" i="68"/>
  <c r="FR34" i="68"/>
  <c r="FP34" i="68"/>
  <c r="CX34" i="67"/>
  <c r="CX32" i="67"/>
  <c r="CX10" i="67"/>
  <c r="CX11" i="67"/>
  <c r="CX27" i="67"/>
  <c r="CX20" i="67"/>
  <c r="CX23" i="67"/>
  <c r="CX26" i="66"/>
  <c r="CX19" i="66"/>
  <c r="CX30" i="66"/>
  <c r="CX33" i="66"/>
  <c r="CX12" i="66"/>
  <c r="CX36" i="66"/>
  <c r="CX15" i="66"/>
  <c r="CX23" i="66"/>
  <c r="CX31" i="66"/>
  <c r="CX39" i="66"/>
  <c r="CX34" i="66"/>
  <c r="CX38" i="65"/>
  <c r="CX35" i="65"/>
  <c r="CX29" i="65"/>
  <c r="CX15" i="65"/>
  <c r="CX31" i="65"/>
  <c r="CX24" i="65"/>
  <c r="CX32" i="65"/>
  <c r="CX22" i="65"/>
  <c r="CX23" i="63"/>
  <c r="CX13" i="63"/>
  <c r="CX12" i="63"/>
  <c r="CX11" i="63"/>
  <c r="CX20" i="63"/>
  <c r="CX28" i="64"/>
  <c r="CX32" i="64"/>
  <c r="CX35" i="64"/>
  <c r="CX23" i="64"/>
  <c r="CX27" i="64"/>
  <c r="CX16" i="65"/>
  <c r="CX16" i="69"/>
  <c r="CX19" i="67"/>
  <c r="CX20" i="64"/>
  <c r="CX11" i="71"/>
  <c r="CX14" i="70"/>
  <c r="FR24" i="68"/>
  <c r="FP24" i="68"/>
  <c r="CX13" i="73"/>
  <c r="CX22" i="63"/>
  <c r="CX31" i="72"/>
  <c r="CX31" i="71"/>
  <c r="CX16" i="71"/>
  <c r="CX33" i="70"/>
  <c r="CX39" i="69"/>
  <c r="CX27" i="69"/>
  <c r="CX14" i="69"/>
  <c r="CX22" i="67"/>
  <c r="CX18" i="67"/>
  <c r="CX24" i="66"/>
  <c r="CX14" i="66"/>
  <c r="CX9" i="65"/>
  <c r="CX31" i="64"/>
  <c r="CX19" i="72"/>
  <c r="CX28" i="71"/>
  <c r="CX13" i="71"/>
  <c r="CX30" i="70"/>
  <c r="CX33" i="69"/>
  <c r="CX36" i="69"/>
  <c r="CX36" i="67"/>
  <c r="CX15" i="67"/>
  <c r="CX28" i="66"/>
  <c r="CX10" i="66"/>
  <c r="CX34" i="65"/>
  <c r="CX26" i="65"/>
  <c r="CX20" i="65"/>
  <c r="CX23" i="65"/>
  <c r="CX12" i="65"/>
  <c r="CX20" i="72"/>
  <c r="CX12" i="72"/>
  <c r="CX11" i="72"/>
  <c r="CX35" i="72"/>
  <c r="CX33" i="72"/>
  <c r="CX32" i="72"/>
  <c r="CX27" i="72"/>
  <c r="CX25" i="72"/>
  <c r="CX28" i="72"/>
  <c r="CX24" i="72"/>
  <c r="CX35" i="71"/>
  <c r="CX34" i="71"/>
  <c r="CX29" i="71"/>
  <c r="CX27" i="71"/>
  <c r="CX23" i="71"/>
  <c r="CX21" i="71"/>
  <c r="CX10" i="71"/>
  <c r="CX37" i="70"/>
  <c r="CX9" i="70"/>
  <c r="CX16" i="70"/>
  <c r="CX17" i="70"/>
  <c r="CX15" i="70"/>
  <c r="CX34" i="69"/>
  <c r="CX32" i="69"/>
  <c r="CX25" i="69"/>
  <c r="CX28" i="69"/>
  <c r="BF38" i="68"/>
  <c r="CX35" i="67"/>
  <c r="CX28" i="67"/>
  <c r="CX16" i="67"/>
  <c r="CX25" i="66"/>
  <c r="CX17" i="66"/>
  <c r="CX20" i="66"/>
  <c r="CX18" i="66"/>
  <c r="CX21" i="66"/>
  <c r="CX33" i="65"/>
  <c r="CX21" i="65"/>
  <c r="CX36" i="64"/>
  <c r="CX18" i="64"/>
  <c r="CX16" i="64"/>
  <c r="CX12" i="64"/>
  <c r="CX38" i="63"/>
  <c r="CX33" i="63"/>
  <c r="CX26" i="63"/>
  <c r="CX17" i="63"/>
  <c r="CX19" i="63"/>
  <c r="CX18" i="63"/>
  <c r="CX18" i="69"/>
  <c r="CX15" i="69"/>
  <c r="DD38" i="68"/>
  <c r="CX34" i="63"/>
  <c r="CX24" i="63"/>
  <c r="BC38" i="68"/>
  <c r="DA38" i="68"/>
  <c r="AE38" i="68"/>
  <c r="CZ38" i="68"/>
  <c r="BD38" i="68"/>
  <c r="DB38" i="68"/>
  <c r="BC40" i="64"/>
  <c r="AB38" i="68"/>
  <c r="CB38" i="68"/>
  <c r="DE38" i="68"/>
  <c r="AD38" i="68"/>
  <c r="CY38" i="68"/>
  <c r="CC38" i="68"/>
  <c r="DF38" i="68"/>
  <c r="AA38" i="68"/>
  <c r="BE38" i="68"/>
  <c r="DC38" i="68"/>
  <c r="AC38" i="68"/>
  <c r="BC39" i="63"/>
  <c r="B9" i="73"/>
  <c r="AT3" i="23" s="1"/>
  <c r="AA3" i="25" s="1"/>
  <c r="AS3" i="23"/>
  <c r="Z3" i="25" s="1"/>
  <c r="BC39" i="72"/>
  <c r="B9" i="72"/>
  <c r="AP3" i="23" s="1"/>
  <c r="V3" i="25" s="1"/>
  <c r="AO3" i="23"/>
  <c r="U3" i="25" s="1"/>
  <c r="A10" i="71"/>
  <c r="AK4" i="23" s="1"/>
  <c r="P4" i="25" s="1"/>
  <c r="AK3" i="23"/>
  <c r="P3" i="25" s="1"/>
  <c r="B9" i="70"/>
  <c r="AH3" i="23" s="1"/>
  <c r="L3" i="25" s="1"/>
  <c r="AG3" i="23"/>
  <c r="K3" i="25" s="1"/>
  <c r="A10" i="69"/>
  <c r="AC4" i="23" s="1"/>
  <c r="F4" i="25" s="1"/>
  <c r="AC3" i="23"/>
  <c r="F3" i="25" s="1"/>
  <c r="A10" i="68"/>
  <c r="Y4" i="23" s="1"/>
  <c r="A4" i="25" s="1"/>
  <c r="Y3" i="23"/>
  <c r="A3" i="25" s="1"/>
  <c r="B9" i="67"/>
  <c r="V3" i="23" s="1"/>
  <c r="AA3" i="24" s="1"/>
  <c r="U3" i="23"/>
  <c r="Z3" i="24" s="1"/>
  <c r="A10" i="66"/>
  <c r="Q3" i="23"/>
  <c r="U3" i="24" s="1"/>
  <c r="B9" i="65"/>
  <c r="N3" i="23" s="1"/>
  <c r="Q3" i="24" s="1"/>
  <c r="M3" i="23"/>
  <c r="P3" i="24" s="1"/>
  <c r="A10" i="64"/>
  <c r="I4" i="23" s="1"/>
  <c r="K4" i="24" s="1"/>
  <c r="I3" i="23"/>
  <c r="K3" i="24" s="1"/>
  <c r="A10" i="63"/>
  <c r="E3" i="23"/>
  <c r="F3" i="24" s="1"/>
  <c r="H45" i="68"/>
  <c r="H47" i="64"/>
  <c r="D77" i="67"/>
  <c r="D77" i="66"/>
  <c r="D76" i="65"/>
  <c r="B10" i="71"/>
  <c r="AL10" i="71" s="1"/>
  <c r="BD40" i="64"/>
  <c r="BC39" i="65"/>
  <c r="BF40" i="64"/>
  <c r="AB40" i="64"/>
  <c r="CB40" i="64"/>
  <c r="AC40" i="64"/>
  <c r="CC40" i="64"/>
  <c r="AD40" i="64"/>
  <c r="AE40" i="64"/>
  <c r="BE40" i="64"/>
  <c r="AA40" i="64"/>
  <c r="CZ40" i="64"/>
  <c r="CY40" i="64"/>
  <c r="F52" i="50"/>
  <c r="BE39" i="65"/>
  <c r="AD39" i="63"/>
  <c r="A10" i="70"/>
  <c r="B9" i="69"/>
  <c r="B9" i="66"/>
  <c r="B9" i="64"/>
  <c r="J3" i="23" s="1"/>
  <c r="L3" i="24" s="1"/>
  <c r="CZ39" i="65"/>
  <c r="DF39" i="63"/>
  <c r="DB39" i="65"/>
  <c r="DG14" i="65"/>
  <c r="DF40" i="64"/>
  <c r="DG26" i="72"/>
  <c r="DG34" i="72"/>
  <c r="DD40" i="64"/>
  <c r="DG17" i="65"/>
  <c r="DG33" i="65"/>
  <c r="DG37" i="65"/>
  <c r="DG18" i="66"/>
  <c r="DG16" i="67"/>
  <c r="DG33" i="70"/>
  <c r="DG26" i="63"/>
  <c r="DG23" i="65"/>
  <c r="DG27" i="65"/>
  <c r="DG38" i="67"/>
  <c r="DG30" i="64"/>
  <c r="DG30" i="63"/>
  <c r="DG20" i="65"/>
  <c r="DG24" i="65"/>
  <c r="DG36" i="65"/>
  <c r="DG10" i="66"/>
  <c r="DG24" i="67"/>
  <c r="DG12" i="64"/>
  <c r="DG23" i="64"/>
  <c r="DG10" i="73"/>
  <c r="DG10" i="63"/>
  <c r="DG14" i="63"/>
  <c r="DG17" i="63"/>
  <c r="DG27" i="64"/>
  <c r="DG31" i="64"/>
  <c r="DG13" i="66"/>
  <c r="DG19" i="67"/>
  <c r="DG23" i="67"/>
  <c r="DG31" i="71"/>
  <c r="DG11" i="64"/>
  <c r="DG18" i="64"/>
  <c r="DG26" i="64"/>
  <c r="DG16" i="66"/>
  <c r="DG16" i="73"/>
  <c r="DG24" i="73"/>
  <c r="DG34" i="64"/>
  <c r="DG38" i="64"/>
  <c r="DG11" i="65"/>
  <c r="DG18" i="65"/>
  <c r="DG22" i="65"/>
  <c r="DG26" i="65"/>
  <c r="DG11" i="67"/>
  <c r="DG18" i="67"/>
  <c r="DG22" i="67"/>
  <c r="DG16" i="72"/>
  <c r="DG27" i="66"/>
  <c r="DG31" i="66"/>
  <c r="DG11" i="69"/>
  <c r="DG19" i="73"/>
  <c r="DG37" i="64"/>
  <c r="DG10" i="65"/>
  <c r="DG25" i="65"/>
  <c r="DG29" i="65"/>
  <c r="DG26" i="70"/>
  <c r="DG10" i="71"/>
  <c r="DG13" i="64"/>
  <c r="DG16" i="64"/>
  <c r="DG24" i="64"/>
  <c r="DG14" i="68"/>
  <c r="DG37" i="70"/>
  <c r="DG30" i="70"/>
  <c r="DG23" i="70"/>
  <c r="DG11" i="73"/>
  <c r="DG37" i="72"/>
  <c r="DG13" i="72"/>
  <c r="DG23" i="71"/>
  <c r="DG18" i="68"/>
  <c r="DG12" i="70"/>
  <c r="DG12" i="73"/>
  <c r="DG15" i="73"/>
  <c r="AB40" i="73"/>
  <c r="CB40" i="73"/>
  <c r="DG18" i="73"/>
  <c r="DG14" i="73"/>
  <c r="DG17" i="73"/>
  <c r="DG23" i="73"/>
  <c r="DG25" i="73"/>
  <c r="DG20" i="73"/>
  <c r="DG27" i="73"/>
  <c r="DG26" i="73"/>
  <c r="BC40" i="73"/>
  <c r="CZ40" i="73"/>
  <c r="DG29" i="73"/>
  <c r="DG28" i="73"/>
  <c r="DF40" i="73"/>
  <c r="DG34" i="73"/>
  <c r="BD40" i="73"/>
  <c r="DG37" i="73"/>
  <c r="DG38" i="73"/>
  <c r="AC40" i="73"/>
  <c r="DE40" i="73"/>
  <c r="AD40" i="73"/>
  <c r="CY40" i="73"/>
  <c r="AE40" i="73"/>
  <c r="DG38" i="72"/>
  <c r="DG36" i="72"/>
  <c r="DG35" i="72"/>
  <c r="DG25" i="72"/>
  <c r="DG29" i="72"/>
  <c r="AE39" i="72"/>
  <c r="CY39" i="72"/>
  <c r="DG24" i="72"/>
  <c r="DG23" i="72"/>
  <c r="DG27" i="72"/>
  <c r="CZ39" i="72"/>
  <c r="BE39" i="72"/>
  <c r="DG19" i="72"/>
  <c r="DG20" i="72"/>
  <c r="AB39" i="72"/>
  <c r="CB39" i="72"/>
  <c r="DD39" i="72"/>
  <c r="DG17" i="72"/>
  <c r="AD39" i="72"/>
  <c r="DG12" i="72"/>
  <c r="CC39" i="72"/>
  <c r="DE39" i="72"/>
  <c r="AA39" i="72"/>
  <c r="DC39" i="72"/>
  <c r="DG11" i="72"/>
  <c r="BD39" i="72"/>
  <c r="DA39" i="72"/>
  <c r="DG10" i="72"/>
  <c r="DG34" i="71"/>
  <c r="DG37" i="71"/>
  <c r="DG36" i="71"/>
  <c r="DG26" i="71"/>
  <c r="DG30" i="71"/>
  <c r="DG24" i="71"/>
  <c r="DG17" i="71"/>
  <c r="BC40" i="71"/>
  <c r="DG21" i="71"/>
  <c r="DG20" i="71"/>
  <c r="DG18" i="71"/>
  <c r="DG15" i="71"/>
  <c r="AC40" i="71"/>
  <c r="DE40" i="71"/>
  <c r="DG14" i="71"/>
  <c r="DF40" i="71"/>
  <c r="DG13" i="71"/>
  <c r="AB40" i="71"/>
  <c r="DD40" i="71"/>
  <c r="DG12" i="71"/>
  <c r="AA40" i="71"/>
  <c r="DC40" i="71"/>
  <c r="BD40" i="71"/>
  <c r="AE40" i="71"/>
  <c r="DG36" i="70"/>
  <c r="DG35" i="70"/>
  <c r="DG25" i="70"/>
  <c r="DG20" i="70"/>
  <c r="DG21" i="70"/>
  <c r="DG19" i="70"/>
  <c r="DG18" i="70"/>
  <c r="DG17" i="70"/>
  <c r="DG22" i="70"/>
  <c r="DG16" i="70"/>
  <c r="DG15" i="70"/>
  <c r="DD39" i="70"/>
  <c r="DG14" i="70"/>
  <c r="BC39" i="70"/>
  <c r="CZ39" i="70"/>
  <c r="DG11" i="70"/>
  <c r="AD39" i="70"/>
  <c r="DE39" i="70"/>
  <c r="DG10" i="70"/>
  <c r="AE39" i="70"/>
  <c r="BD39" i="70"/>
  <c r="DA39" i="70"/>
  <c r="BE39" i="70"/>
  <c r="DG39" i="69"/>
  <c r="DG37" i="69"/>
  <c r="DG32" i="69"/>
  <c r="DG36" i="69"/>
  <c r="DG35" i="69"/>
  <c r="DG34" i="69"/>
  <c r="DG27" i="69"/>
  <c r="CB40" i="69"/>
  <c r="DG25" i="69"/>
  <c r="DG29" i="69"/>
  <c r="DG28" i="69"/>
  <c r="DG18" i="69"/>
  <c r="DG17" i="69"/>
  <c r="DG16" i="69"/>
  <c r="DG21" i="69"/>
  <c r="DG19" i="69"/>
  <c r="DG12" i="69"/>
  <c r="DG10" i="69"/>
  <c r="AD40" i="69"/>
  <c r="DF40" i="69"/>
  <c r="CY40" i="69"/>
  <c r="CZ40" i="69"/>
  <c r="BD40" i="69"/>
  <c r="AC40" i="69"/>
  <c r="DG30" i="68"/>
  <c r="DG33" i="68"/>
  <c r="DG28" i="68"/>
  <c r="DG27" i="68"/>
  <c r="DG22" i="68"/>
  <c r="DG21" i="68"/>
  <c r="DG25" i="68"/>
  <c r="DG24" i="68"/>
  <c r="DG23" i="68"/>
  <c r="DG16" i="68"/>
  <c r="DG15" i="68"/>
  <c r="DG10" i="68"/>
  <c r="DG17" i="66"/>
  <c r="DG36" i="67"/>
  <c r="DG34" i="67"/>
  <c r="DG37" i="67"/>
  <c r="DA40" i="67"/>
  <c r="DG27" i="67"/>
  <c r="AA40" i="67"/>
  <c r="DG26" i="67"/>
  <c r="DG30" i="67"/>
  <c r="AC40" i="67"/>
  <c r="CC40" i="67"/>
  <c r="DE40" i="67"/>
  <c r="DG25" i="67"/>
  <c r="DG29" i="67"/>
  <c r="AE40" i="67"/>
  <c r="CY40" i="67"/>
  <c r="DG21" i="67"/>
  <c r="DG17" i="67"/>
  <c r="DF40" i="67"/>
  <c r="DG15" i="67"/>
  <c r="DG14" i="67"/>
  <c r="DG13" i="67"/>
  <c r="BE40" i="67"/>
  <c r="DG12" i="67"/>
  <c r="AB40" i="67"/>
  <c r="CB40" i="67"/>
  <c r="DD40" i="67"/>
  <c r="DG10" i="67"/>
  <c r="AB40" i="66"/>
  <c r="CB40" i="66"/>
  <c r="DG34" i="66"/>
  <c r="DG38" i="66"/>
  <c r="DG36" i="66"/>
  <c r="DG26" i="66"/>
  <c r="DG30" i="66"/>
  <c r="DG25" i="66"/>
  <c r="DG28" i="66"/>
  <c r="CY40" i="66"/>
  <c r="DG22" i="66"/>
  <c r="BC40" i="66"/>
  <c r="CZ40" i="66"/>
  <c r="DG21" i="66"/>
  <c r="BE40" i="66"/>
  <c r="DB40" i="66"/>
  <c r="DG20" i="66"/>
  <c r="DG19" i="66"/>
  <c r="AD40" i="66"/>
  <c r="DF40" i="66"/>
  <c r="BD40" i="66"/>
  <c r="DA40" i="66"/>
  <c r="AC40" i="66"/>
  <c r="CC40" i="66"/>
  <c r="DE40" i="66"/>
  <c r="DG14" i="66"/>
  <c r="BF40" i="66"/>
  <c r="DG11" i="66"/>
  <c r="AE40" i="66"/>
  <c r="DG35" i="65"/>
  <c r="BD39" i="65"/>
  <c r="DA39" i="65"/>
  <c r="DG31" i="65"/>
  <c r="DG21" i="65"/>
  <c r="CY39" i="65"/>
  <c r="DG15" i="65"/>
  <c r="BF39" i="65"/>
  <c r="CC39" i="65"/>
  <c r="DG13" i="65"/>
  <c r="AD39" i="65"/>
  <c r="DG12" i="65"/>
  <c r="CB39" i="65"/>
  <c r="DD39" i="65"/>
  <c r="AE39" i="65"/>
  <c r="DG36" i="64"/>
  <c r="DG29" i="64"/>
  <c r="DG22" i="64"/>
  <c r="DC40" i="64"/>
  <c r="DG21" i="64"/>
  <c r="DG20" i="64"/>
  <c r="DG19" i="64"/>
  <c r="DG15" i="64"/>
  <c r="DG14" i="64"/>
  <c r="DE40" i="64"/>
  <c r="DG10" i="64"/>
  <c r="A10" i="65"/>
  <c r="A10" i="67"/>
  <c r="AS9" i="70"/>
  <c r="B9" i="71"/>
  <c r="AL3" i="23" s="1"/>
  <c r="Q3" i="25" s="1"/>
  <c r="A10" i="73"/>
  <c r="AT9" i="70"/>
  <c r="AG9" i="70"/>
  <c r="AJ9" i="70"/>
  <c r="AO9" i="70"/>
  <c r="AR9" i="70"/>
  <c r="AC39" i="63"/>
  <c r="DE39" i="63"/>
  <c r="AZ9" i="73"/>
  <c r="AR9" i="73"/>
  <c r="AJ9" i="73"/>
  <c r="AY9" i="73"/>
  <c r="AQ9" i="73"/>
  <c r="AI9" i="73"/>
  <c r="AX9" i="73"/>
  <c r="AP9" i="73"/>
  <c r="AH9" i="73"/>
  <c r="AW9" i="73"/>
  <c r="AO9" i="73"/>
  <c r="AG9" i="73"/>
  <c r="AV9" i="73"/>
  <c r="AN9" i="73"/>
  <c r="AU9" i="73"/>
  <c r="AM9" i="73"/>
  <c r="AT9" i="73"/>
  <c r="AL9" i="73"/>
  <c r="AS9" i="73"/>
  <c r="AK9" i="73"/>
  <c r="D9" i="73"/>
  <c r="DG13" i="73"/>
  <c r="DG9" i="73"/>
  <c r="BE40" i="73"/>
  <c r="CC40" i="73"/>
  <c r="DA40" i="73"/>
  <c r="BF40" i="73"/>
  <c r="DB40" i="73"/>
  <c r="DC40" i="73"/>
  <c r="AA40" i="73"/>
  <c r="DD40" i="73"/>
  <c r="DG21" i="73"/>
  <c r="DG22" i="73"/>
  <c r="DG30" i="73"/>
  <c r="DG36" i="73"/>
  <c r="DG32" i="73"/>
  <c r="DG31" i="73"/>
  <c r="DG35" i="73"/>
  <c r="DG39" i="73"/>
  <c r="D77" i="73"/>
  <c r="Y76" i="73"/>
  <c r="DG33" i="73"/>
  <c r="H47" i="73"/>
  <c r="AL9" i="72"/>
  <c r="AS9" i="72"/>
  <c r="AK9" i="72"/>
  <c r="AZ9" i="72"/>
  <c r="AR9" i="72"/>
  <c r="AY9" i="72"/>
  <c r="AQ9" i="72"/>
  <c r="AX9" i="72"/>
  <c r="AP9" i="72"/>
  <c r="AH9" i="72"/>
  <c r="AW9" i="72"/>
  <c r="AO9" i="72"/>
  <c r="AG9" i="72"/>
  <c r="AV9" i="72"/>
  <c r="AU9" i="72"/>
  <c r="AM9" i="72"/>
  <c r="DG9" i="72"/>
  <c r="A10" i="72"/>
  <c r="AO4" i="23" s="1"/>
  <c r="U4" i="25" s="1"/>
  <c r="DG14" i="72"/>
  <c r="BF39" i="72"/>
  <c r="DB39" i="72"/>
  <c r="DG18" i="72"/>
  <c r="DG15" i="72"/>
  <c r="DF39" i="72"/>
  <c r="DG22" i="72"/>
  <c r="DG21" i="72"/>
  <c r="DG30" i="72"/>
  <c r="DG28" i="72"/>
  <c r="DG31" i="72"/>
  <c r="DG33" i="72"/>
  <c r="DG32" i="72"/>
  <c r="D76" i="72"/>
  <c r="H46" i="72"/>
  <c r="A11" i="71"/>
  <c r="AK5" i="23" s="1"/>
  <c r="P5" i="25" s="1"/>
  <c r="CB40" i="71"/>
  <c r="AD40" i="71"/>
  <c r="DG11" i="71"/>
  <c r="DG16" i="71"/>
  <c r="CY40" i="71"/>
  <c r="DG9" i="71"/>
  <c r="CZ40" i="71"/>
  <c r="BE40" i="71"/>
  <c r="CC40" i="71"/>
  <c r="DA40" i="71"/>
  <c r="BF40" i="71"/>
  <c r="DB40" i="71"/>
  <c r="DG19" i="71"/>
  <c r="DG25" i="71"/>
  <c r="DG28" i="71"/>
  <c r="DG22" i="71"/>
  <c r="DG27" i="71"/>
  <c r="DG29" i="71"/>
  <c r="DG38" i="71"/>
  <c r="DG32" i="71"/>
  <c r="DG39" i="71"/>
  <c r="DG33" i="71"/>
  <c r="D77" i="71"/>
  <c r="DG35" i="71"/>
  <c r="H47" i="71"/>
  <c r="AK9" i="70"/>
  <c r="AU9" i="70"/>
  <c r="DG13" i="70"/>
  <c r="AY9" i="70"/>
  <c r="AQ9" i="70"/>
  <c r="AI9" i="70"/>
  <c r="AX9" i="70"/>
  <c r="AP9" i="70"/>
  <c r="AH9" i="70"/>
  <c r="AA39" i="70"/>
  <c r="AL9" i="70"/>
  <c r="AV9" i="70"/>
  <c r="D9" i="70"/>
  <c r="AB39" i="70"/>
  <c r="AM9" i="70"/>
  <c r="AW9" i="70"/>
  <c r="CB39" i="70"/>
  <c r="DF39" i="70"/>
  <c r="D75" i="68"/>
  <c r="AC39" i="70"/>
  <c r="AN9" i="70"/>
  <c r="AZ9" i="70"/>
  <c r="CC39" i="70"/>
  <c r="CY39" i="70"/>
  <c r="DG9" i="70"/>
  <c r="DG24" i="70"/>
  <c r="BF39" i="70"/>
  <c r="DB39" i="70"/>
  <c r="DC39" i="70"/>
  <c r="DG28" i="70"/>
  <c r="DG27" i="70"/>
  <c r="DG29" i="70"/>
  <c r="DG32" i="70"/>
  <c r="DG38" i="70"/>
  <c r="DG31" i="70"/>
  <c r="DG34" i="70"/>
  <c r="D76" i="70"/>
  <c r="Y75" i="70"/>
  <c r="H46" i="70"/>
  <c r="DG9" i="69"/>
  <c r="A11" i="69"/>
  <c r="AC5" i="23" s="1"/>
  <c r="F5" i="25" s="1"/>
  <c r="B10" i="69"/>
  <c r="AD4" i="23" s="1"/>
  <c r="G4" i="25" s="1"/>
  <c r="AE40" i="69"/>
  <c r="DG13" i="69"/>
  <c r="DG14" i="69"/>
  <c r="BC40" i="69"/>
  <c r="DG15" i="69"/>
  <c r="BE40" i="69"/>
  <c r="CC40" i="69"/>
  <c r="DA40" i="69"/>
  <c r="BF40" i="69"/>
  <c r="DB40" i="69"/>
  <c r="DG23" i="69"/>
  <c r="AY9" i="69"/>
  <c r="DC40" i="69"/>
  <c r="DG22" i="69"/>
  <c r="AA40" i="69"/>
  <c r="AJ9" i="69"/>
  <c r="DD40" i="69"/>
  <c r="AB40" i="69"/>
  <c r="DE40" i="69"/>
  <c r="DG20" i="69"/>
  <c r="DG26" i="69"/>
  <c r="DG24" i="69"/>
  <c r="DG30" i="69"/>
  <c r="DG31" i="69"/>
  <c r="DG38" i="69"/>
  <c r="D77" i="69"/>
  <c r="H47" i="69"/>
  <c r="DG33" i="69"/>
  <c r="DG9" i="68"/>
  <c r="DG19" i="68"/>
  <c r="A11" i="68"/>
  <c r="Y5" i="23" s="1"/>
  <c r="A5" i="25" s="1"/>
  <c r="B9" i="68"/>
  <c r="DG13" i="68"/>
  <c r="DG11" i="68"/>
  <c r="DG12" i="68"/>
  <c r="DG17" i="68"/>
  <c r="DG20" i="68"/>
  <c r="DG29" i="68"/>
  <c r="DG26" i="68"/>
  <c r="DG32" i="68"/>
  <c r="DG31" i="68"/>
  <c r="DG34" i="68"/>
  <c r="AK9" i="67"/>
  <c r="AU9" i="67"/>
  <c r="AY9" i="67"/>
  <c r="AQ9" i="67"/>
  <c r="AI9" i="67"/>
  <c r="AX9" i="67"/>
  <c r="AP9" i="67"/>
  <c r="AH9" i="67"/>
  <c r="AL9" i="67"/>
  <c r="AV9" i="67"/>
  <c r="D9" i="67"/>
  <c r="X3" i="23" s="1"/>
  <c r="AD3" i="24" s="1"/>
  <c r="AM9" i="67"/>
  <c r="AW9" i="67"/>
  <c r="AN9" i="67"/>
  <c r="AZ9" i="67"/>
  <c r="DG9" i="67"/>
  <c r="AD40" i="67"/>
  <c r="AO9" i="67"/>
  <c r="CZ40" i="67"/>
  <c r="AR9" i="67"/>
  <c r="AG9" i="67"/>
  <c r="AS9" i="67"/>
  <c r="BC40" i="67"/>
  <c r="AJ9" i="67"/>
  <c r="AT9" i="67"/>
  <c r="BD40" i="67"/>
  <c r="DG20" i="67"/>
  <c r="BF40" i="67"/>
  <c r="DB40" i="67"/>
  <c r="DC40" i="67"/>
  <c r="DG31" i="67"/>
  <c r="DG28" i="67"/>
  <c r="DG39" i="67"/>
  <c r="DG32" i="67"/>
  <c r="DG35" i="67"/>
  <c r="DG33" i="67"/>
  <c r="H47" i="67"/>
  <c r="DG9" i="66"/>
  <c r="B10" i="66"/>
  <c r="R4" i="23" s="1"/>
  <c r="V4" i="24" s="1"/>
  <c r="DC40" i="66"/>
  <c r="AA40" i="66"/>
  <c r="DD40" i="66"/>
  <c r="DG12" i="66"/>
  <c r="DG15" i="66"/>
  <c r="DG24" i="66"/>
  <c r="DG23" i="66"/>
  <c r="DG33" i="66"/>
  <c r="DG37" i="66"/>
  <c r="DG29" i="66"/>
  <c r="DG39" i="66"/>
  <c r="DG32" i="66"/>
  <c r="DG35" i="66"/>
  <c r="H47" i="66"/>
  <c r="AA39" i="65"/>
  <c r="DC39" i="65"/>
  <c r="DG16" i="65"/>
  <c r="AB39" i="65"/>
  <c r="DE39" i="65"/>
  <c r="AC39" i="65"/>
  <c r="DF39" i="65"/>
  <c r="DG19" i="65"/>
  <c r="DG9" i="65"/>
  <c r="DG28" i="65"/>
  <c r="DG30" i="65"/>
  <c r="DG32" i="65"/>
  <c r="DG38" i="65"/>
  <c r="DG34" i="65"/>
  <c r="H46" i="65"/>
  <c r="B10" i="64"/>
  <c r="J4" i="23" s="1"/>
  <c r="L4" i="24" s="1"/>
  <c r="A11" i="64"/>
  <c r="I5" i="23" s="1"/>
  <c r="K5" i="24" s="1"/>
  <c r="DG9" i="64"/>
  <c r="DA40" i="64"/>
  <c r="DG17" i="64"/>
  <c r="DB40" i="64"/>
  <c r="DG25" i="64"/>
  <c r="DG28" i="64"/>
  <c r="DG32" i="64"/>
  <c r="DG39" i="64"/>
  <c r="DG33" i="64"/>
  <c r="DG35" i="64"/>
  <c r="D77" i="64"/>
  <c r="DG23" i="63"/>
  <c r="DG27" i="63"/>
  <c r="DG9" i="63"/>
  <c r="DG13" i="63"/>
  <c r="DG12" i="63"/>
  <c r="DG15" i="63"/>
  <c r="DG20" i="63"/>
  <c r="DG21" i="63"/>
  <c r="DG25" i="63"/>
  <c r="DG19" i="63"/>
  <c r="DG22" i="63"/>
  <c r="AA39" i="63"/>
  <c r="DC39" i="63"/>
  <c r="DG11" i="63"/>
  <c r="DG18" i="63"/>
  <c r="DG24" i="63"/>
  <c r="AB39" i="63"/>
  <c r="DD39" i="63"/>
  <c r="B9" i="63"/>
  <c r="A11" i="63"/>
  <c r="E5" i="23" s="1"/>
  <c r="F5" i="24" s="1"/>
  <c r="CY39" i="63"/>
  <c r="BD39" i="63"/>
  <c r="AE39" i="63"/>
  <c r="CZ39" i="63"/>
  <c r="BE39" i="63"/>
  <c r="CC39" i="63"/>
  <c r="DA39" i="63"/>
  <c r="CB39" i="63"/>
  <c r="BF39" i="63"/>
  <c r="DB39" i="63"/>
  <c r="DG16" i="63"/>
  <c r="DG28" i="63"/>
  <c r="DG29" i="63"/>
  <c r="DG36" i="63"/>
  <c r="DG32" i="63"/>
  <c r="DG31" i="63"/>
  <c r="DG34" i="63"/>
  <c r="DG37" i="63"/>
  <c r="DG38" i="63"/>
  <c r="DG35" i="63"/>
  <c r="DG33" i="63"/>
  <c r="D76" i="63"/>
  <c r="H46" i="63"/>
  <c r="A48" i="41"/>
  <c r="J32" i="1" l="1"/>
  <c r="J10" i="44"/>
  <c r="FR40" i="67"/>
  <c r="FP40" i="63"/>
  <c r="FP40" i="70"/>
  <c r="FR40" i="70"/>
  <c r="FP40" i="67"/>
  <c r="FR40" i="63"/>
  <c r="FR40" i="69"/>
  <c r="FP40" i="69"/>
  <c r="FR40" i="72"/>
  <c r="FR40" i="71"/>
  <c r="FR40" i="73"/>
  <c r="FP40" i="73"/>
  <c r="FP40" i="71"/>
  <c r="FP40" i="66"/>
  <c r="FR40" i="66"/>
  <c r="FP40" i="72"/>
  <c r="CL9" i="68"/>
  <c r="CS9" i="68"/>
  <c r="CJ9" i="68"/>
  <c r="CR9" i="68"/>
  <c r="CI9" i="68"/>
  <c r="CQ9" i="68"/>
  <c r="CH9" i="68"/>
  <c r="CP9" i="68"/>
  <c r="CG9" i="68"/>
  <c r="CW9" i="68"/>
  <c r="CO9" i="68"/>
  <c r="CF9" i="68"/>
  <c r="CV9" i="68"/>
  <c r="CN9" i="68"/>
  <c r="CE9" i="68"/>
  <c r="CU9" i="68"/>
  <c r="CM9" i="68"/>
  <c r="CD9" i="68"/>
  <c r="CT9" i="68"/>
  <c r="CK9" i="68"/>
  <c r="BY9" i="68"/>
  <c r="BQ9" i="68"/>
  <c r="BI9" i="68"/>
  <c r="BX9" i="68"/>
  <c r="BP9" i="68"/>
  <c r="BH9" i="68"/>
  <c r="BW9" i="68"/>
  <c r="BO9" i="68"/>
  <c r="BG9" i="68"/>
  <c r="BU9" i="68"/>
  <c r="BM9" i="68"/>
  <c r="BT9" i="68"/>
  <c r="BL9" i="68"/>
  <c r="BN9" i="68"/>
  <c r="BS9" i="68"/>
  <c r="BK9" i="68"/>
  <c r="BV9" i="68"/>
  <c r="BZ9" i="68"/>
  <c r="BR9" i="68"/>
  <c r="BJ9" i="68"/>
  <c r="FP40" i="68"/>
  <c r="FR40" i="68"/>
  <c r="AR10" i="71"/>
  <c r="AV10" i="71"/>
  <c r="AU10" i="71"/>
  <c r="AN10" i="71"/>
  <c r="AZ10" i="71"/>
  <c r="AH10" i="71"/>
  <c r="AS10" i="71"/>
  <c r="AY10" i="71"/>
  <c r="AQ10" i="71"/>
  <c r="AO10" i="71"/>
  <c r="AJ10" i="71"/>
  <c r="D78" i="73"/>
  <c r="H43" i="73" s="1"/>
  <c r="AT34" i="23" s="1"/>
  <c r="AN9" i="72"/>
  <c r="AI9" i="72"/>
  <c r="AJ9" i="72"/>
  <c r="D9" i="72"/>
  <c r="AT9" i="72"/>
  <c r="AV9" i="65"/>
  <c r="AN9" i="65"/>
  <c r="AZ9" i="65"/>
  <c r="AK9" i="65"/>
  <c r="AT9" i="65"/>
  <c r="AJ9" i="65"/>
  <c r="AX9" i="65"/>
  <c r="AS9" i="65"/>
  <c r="AH9" i="65"/>
  <c r="AG9" i="65"/>
  <c r="AO9" i="65"/>
  <c r="AR9" i="65"/>
  <c r="AQ9" i="65"/>
  <c r="AM9" i="65"/>
  <c r="AY9" i="65"/>
  <c r="AW9" i="65"/>
  <c r="AI9" i="65"/>
  <c r="AU9" i="65"/>
  <c r="AP9" i="65"/>
  <c r="D9" i="65"/>
  <c r="P3" i="23" s="1"/>
  <c r="T3" i="24" s="1"/>
  <c r="AL9" i="65"/>
  <c r="B10" i="68"/>
  <c r="AI10" i="68" s="1"/>
  <c r="B10" i="73"/>
  <c r="AT4" i="23" s="1"/>
  <c r="AA4" i="25" s="1"/>
  <c r="AS4" i="23"/>
  <c r="Z4" i="25" s="1"/>
  <c r="A11" i="70"/>
  <c r="AG4" i="23"/>
  <c r="K4" i="25" s="1"/>
  <c r="DG38" i="68"/>
  <c r="A11" i="67"/>
  <c r="U4" i="23"/>
  <c r="Z4" i="24" s="1"/>
  <c r="AD3" i="25"/>
  <c r="AV3" i="23"/>
  <c r="AD3" i="23"/>
  <c r="G3" i="25" s="1"/>
  <c r="Z3" i="23"/>
  <c r="B3" i="25" s="1"/>
  <c r="O3" i="25"/>
  <c r="AJ3" i="23"/>
  <c r="AL4" i="23"/>
  <c r="Q4" i="25" s="1"/>
  <c r="Y3" i="25"/>
  <c r="AR3" i="23"/>
  <c r="A11" i="66"/>
  <c r="Q4" i="23"/>
  <c r="U4" i="24" s="1"/>
  <c r="A11" i="65"/>
  <c r="M5" i="23" s="1"/>
  <c r="P5" i="24" s="1"/>
  <c r="M4" i="23"/>
  <c r="P4" i="24" s="1"/>
  <c r="B10" i="63"/>
  <c r="E4" i="23"/>
  <c r="F4" i="24" s="1"/>
  <c r="R3" i="23"/>
  <c r="V3" i="24" s="1"/>
  <c r="AP9" i="63"/>
  <c r="F3" i="23"/>
  <c r="G3" i="24" s="1"/>
  <c r="AI10" i="71"/>
  <c r="D10" i="71"/>
  <c r="AK10" i="71"/>
  <c r="AT10" i="71"/>
  <c r="AP10" i="71"/>
  <c r="AW10" i="71"/>
  <c r="AX10" i="71"/>
  <c r="AG10" i="71"/>
  <c r="AM10" i="71"/>
  <c r="AQ9" i="69"/>
  <c r="AX9" i="69"/>
  <c r="AW9" i="69"/>
  <c r="AI9" i="69"/>
  <c r="AP9" i="69"/>
  <c r="AO9" i="69"/>
  <c r="AL9" i="69"/>
  <c r="AS9" i="69"/>
  <c r="AG9" i="69"/>
  <c r="AK9" i="69"/>
  <c r="AZ9" i="69"/>
  <c r="D9" i="69"/>
  <c r="AR9" i="69"/>
  <c r="G25" i="50"/>
  <c r="G27" i="50" s="1"/>
  <c r="AZ9" i="66"/>
  <c r="AZ9" i="63"/>
  <c r="D77" i="65"/>
  <c r="H42" i="65" s="1"/>
  <c r="D78" i="66"/>
  <c r="H43" i="66" s="1"/>
  <c r="B10" i="70"/>
  <c r="B11" i="70"/>
  <c r="D78" i="71"/>
  <c r="H43" i="71" s="1"/>
  <c r="AY9" i="71"/>
  <c r="AN9" i="71"/>
  <c r="F44" i="50"/>
  <c r="AV9" i="69"/>
  <c r="AH9" i="69"/>
  <c r="AN9" i="69"/>
  <c r="AP10" i="73"/>
  <c r="D9" i="71"/>
  <c r="AM9" i="71"/>
  <c r="AH9" i="71"/>
  <c r="AO9" i="71"/>
  <c r="AP9" i="71"/>
  <c r="AW9" i="71"/>
  <c r="AX9" i="71"/>
  <c r="AU9" i="71"/>
  <c r="AQ9" i="71"/>
  <c r="AV9" i="71"/>
  <c r="AZ9" i="71"/>
  <c r="AL9" i="71"/>
  <c r="AU9" i="69"/>
  <c r="B10" i="67"/>
  <c r="V4" i="23" s="1"/>
  <c r="AA4" i="24" s="1"/>
  <c r="AM9" i="69"/>
  <c r="AT9" i="69"/>
  <c r="AR9" i="66"/>
  <c r="AX9" i="66"/>
  <c r="AS9" i="66"/>
  <c r="AP9" i="66"/>
  <c r="AH9" i="66"/>
  <c r="AM9" i="66"/>
  <c r="AT9" i="66"/>
  <c r="AJ9" i="66"/>
  <c r="AN9" i="66"/>
  <c r="AG9" i="66"/>
  <c r="AY9" i="66"/>
  <c r="AO9" i="66"/>
  <c r="AU9" i="66"/>
  <c r="D9" i="66"/>
  <c r="T3" i="23" s="1"/>
  <c r="Y3" i="24" s="1"/>
  <c r="AQ9" i="66"/>
  <c r="AK9" i="66"/>
  <c r="AI9" i="66"/>
  <c r="AV9" i="66"/>
  <c r="AL9" i="66"/>
  <c r="AW9" i="66"/>
  <c r="AY9" i="64"/>
  <c r="AQ9" i="64"/>
  <c r="AI9" i="64"/>
  <c r="AW9" i="64"/>
  <c r="AN9" i="64"/>
  <c r="AU9" i="64"/>
  <c r="AT9" i="64"/>
  <c r="AS9" i="64"/>
  <c r="AX9" i="64"/>
  <c r="AO9" i="64"/>
  <c r="AM9" i="64"/>
  <c r="AL9" i="64"/>
  <c r="AK9" i="64"/>
  <c r="AG9" i="64"/>
  <c r="D9" i="64"/>
  <c r="L3" i="23" s="1"/>
  <c r="O3" i="24" s="1"/>
  <c r="AZ9" i="64"/>
  <c r="AH9" i="64"/>
  <c r="AR9" i="64"/>
  <c r="AV9" i="64"/>
  <c r="AP9" i="64"/>
  <c r="AJ9" i="64"/>
  <c r="AY9" i="63"/>
  <c r="AN9" i="63"/>
  <c r="AX9" i="63"/>
  <c r="AU9" i="63"/>
  <c r="AV9" i="63"/>
  <c r="AJ9" i="63"/>
  <c r="AI9" i="63"/>
  <c r="AW9" i="63"/>
  <c r="AT9" i="63"/>
  <c r="AL9" i="63"/>
  <c r="AM9" i="63"/>
  <c r="D77" i="63"/>
  <c r="H42" i="63" s="1"/>
  <c r="F34" i="23" s="1"/>
  <c r="H34" i="24" s="1"/>
  <c r="F43" i="50"/>
  <c r="F33" i="50"/>
  <c r="P9" i="67"/>
  <c r="AX10" i="73"/>
  <c r="AL10" i="73"/>
  <c r="AG10" i="73"/>
  <c r="AO10" i="73"/>
  <c r="D10" i="73"/>
  <c r="AJ10" i="73"/>
  <c r="A11" i="73"/>
  <c r="AI10" i="73"/>
  <c r="AR10" i="73"/>
  <c r="AQ10" i="73"/>
  <c r="AM10" i="73"/>
  <c r="AH10" i="73"/>
  <c r="AY10" i="73"/>
  <c r="AU10" i="73"/>
  <c r="AK9" i="71"/>
  <c r="AT9" i="71"/>
  <c r="AR9" i="71"/>
  <c r="AJ9" i="71"/>
  <c r="AI9" i="71"/>
  <c r="AG9" i="71"/>
  <c r="B10" i="65"/>
  <c r="N4" i="23" s="1"/>
  <c r="Q4" i="24" s="1"/>
  <c r="AR9" i="63"/>
  <c r="D9" i="63"/>
  <c r="H3" i="23" s="1"/>
  <c r="J3" i="24" s="1"/>
  <c r="AN10" i="73"/>
  <c r="AW10" i="73"/>
  <c r="AZ10" i="73"/>
  <c r="AK10" i="73"/>
  <c r="AT10" i="73"/>
  <c r="AV10" i="73"/>
  <c r="AS10" i="73"/>
  <c r="AS9" i="71"/>
  <c r="D77" i="70"/>
  <c r="H42" i="70" s="1"/>
  <c r="AH34" i="23" s="1"/>
  <c r="M34" i="25" s="1"/>
  <c r="D78" i="69"/>
  <c r="H43" i="69" s="1"/>
  <c r="AD34" i="23" s="1"/>
  <c r="H34" i="25" s="1"/>
  <c r="D78" i="64"/>
  <c r="D77" i="72"/>
  <c r="H42" i="72" s="1"/>
  <c r="AP34" i="23" s="1"/>
  <c r="W34" i="25" s="1"/>
  <c r="D76" i="68"/>
  <c r="H41" i="68" s="1"/>
  <c r="Z34" i="23" s="1"/>
  <c r="C34" i="25" s="1"/>
  <c r="D78" i="67"/>
  <c r="BB9" i="73"/>
  <c r="BA9" i="70"/>
  <c r="N9" i="70" s="1"/>
  <c r="BA9" i="73"/>
  <c r="DG40" i="73"/>
  <c r="CA9" i="73"/>
  <c r="A11" i="72"/>
  <c r="AO5" i="23" s="1"/>
  <c r="U5" i="25" s="1"/>
  <c r="B10" i="72"/>
  <c r="AP4" i="23" s="1"/>
  <c r="V4" i="25" s="1"/>
  <c r="DG39" i="72"/>
  <c r="A12" i="71"/>
  <c r="AK6" i="23" s="1"/>
  <c r="P6" i="25" s="1"/>
  <c r="B11" i="71"/>
  <c r="AL5" i="23" s="1"/>
  <c r="Q5" i="25" s="1"/>
  <c r="DG40" i="71"/>
  <c r="BB9" i="70"/>
  <c r="CA9" i="70"/>
  <c r="AP11" i="70"/>
  <c r="DG39" i="70"/>
  <c r="AV10" i="69"/>
  <c r="AN10" i="69"/>
  <c r="AU10" i="69"/>
  <c r="AM10" i="69"/>
  <c r="AT10" i="69"/>
  <c r="AL10" i="69"/>
  <c r="AS10" i="69"/>
  <c r="AK10" i="69"/>
  <c r="D10" i="69"/>
  <c r="AZ10" i="69"/>
  <c r="AR10" i="69"/>
  <c r="AJ10" i="69"/>
  <c r="AP10" i="69"/>
  <c r="AO10" i="69"/>
  <c r="AI10" i="69"/>
  <c r="AH10" i="69"/>
  <c r="AQ10" i="69"/>
  <c r="AY10" i="69"/>
  <c r="AG10" i="69"/>
  <c r="AX10" i="69"/>
  <c r="AW10" i="69"/>
  <c r="A12" i="69"/>
  <c r="AC6" i="23" s="1"/>
  <c r="F6" i="25" s="1"/>
  <c r="B11" i="69"/>
  <c r="AD5" i="23" s="1"/>
  <c r="G5" i="25" s="1"/>
  <c r="DG40" i="69"/>
  <c r="A12" i="68"/>
  <c r="Y6" i="23" s="1"/>
  <c r="A6" i="25" s="1"/>
  <c r="B11" i="68"/>
  <c r="AW9" i="68"/>
  <c r="AO9" i="68"/>
  <c r="AG9" i="68"/>
  <c r="AV9" i="68"/>
  <c r="AN9" i="68"/>
  <c r="AR9" i="68"/>
  <c r="AH9" i="68"/>
  <c r="AQ9" i="68"/>
  <c r="AZ9" i="68"/>
  <c r="AP9" i="68"/>
  <c r="D9" i="68"/>
  <c r="AY9" i="68"/>
  <c r="AM9" i="68"/>
  <c r="AX9" i="68"/>
  <c r="AL9" i="68"/>
  <c r="AU9" i="68"/>
  <c r="AK9" i="68"/>
  <c r="AT9" i="68"/>
  <c r="AJ9" i="68"/>
  <c r="AS9" i="68"/>
  <c r="AI9" i="68"/>
  <c r="DG40" i="67"/>
  <c r="CA9" i="67"/>
  <c r="BB9" i="67"/>
  <c r="BA9" i="67"/>
  <c r="DG40" i="66"/>
  <c r="AV10" i="66"/>
  <c r="AN10" i="66"/>
  <c r="AU10" i="66"/>
  <c r="AM10" i="66"/>
  <c r="AT10" i="66"/>
  <c r="AL10" i="66"/>
  <c r="AS10" i="66"/>
  <c r="AK10" i="66"/>
  <c r="D10" i="66"/>
  <c r="T4" i="23" s="1"/>
  <c r="Y4" i="24" s="1"/>
  <c r="AZ10" i="66"/>
  <c r="AR10" i="66"/>
  <c r="AJ10" i="66"/>
  <c r="AY10" i="66"/>
  <c r="AQ10" i="66"/>
  <c r="AI10" i="66"/>
  <c r="AX10" i="66"/>
  <c r="AP10" i="66"/>
  <c r="AH10" i="66"/>
  <c r="AW10" i="66"/>
  <c r="AO10" i="66"/>
  <c r="AG10" i="66"/>
  <c r="DG39" i="65"/>
  <c r="B11" i="65"/>
  <c r="N5" i="23" s="1"/>
  <c r="Q5" i="24" s="1"/>
  <c r="A12" i="65"/>
  <c r="M6" i="23" s="1"/>
  <c r="P6" i="24" s="1"/>
  <c r="A12" i="64"/>
  <c r="I6" i="23" s="1"/>
  <c r="K6" i="24" s="1"/>
  <c r="B11" i="64"/>
  <c r="J5" i="23" s="1"/>
  <c r="L5" i="24" s="1"/>
  <c r="AT10" i="64"/>
  <c r="AL10" i="64"/>
  <c r="AS10" i="64"/>
  <c r="AK10" i="64"/>
  <c r="D10" i="64"/>
  <c r="L4" i="23" s="1"/>
  <c r="O4" i="24" s="1"/>
  <c r="AZ10" i="64"/>
  <c r="AR10" i="64"/>
  <c r="AJ10" i="64"/>
  <c r="AY10" i="64"/>
  <c r="AQ10" i="64"/>
  <c r="AI10" i="64"/>
  <c r="AX10" i="64"/>
  <c r="AP10" i="64"/>
  <c r="AH10" i="64"/>
  <c r="AW10" i="64"/>
  <c r="AO10" i="64"/>
  <c r="AG10" i="64"/>
  <c r="AV10" i="64"/>
  <c r="AN10" i="64"/>
  <c r="AU10" i="64"/>
  <c r="AM10" i="64"/>
  <c r="DG40" i="64"/>
  <c r="AQ9" i="63"/>
  <c r="AK9" i="63"/>
  <c r="AG9" i="63"/>
  <c r="AS9" i="63"/>
  <c r="AO9" i="63"/>
  <c r="AH9" i="63"/>
  <c r="A12" i="63"/>
  <c r="E6" i="23" s="1"/>
  <c r="F6" i="24" s="1"/>
  <c r="B11" i="63"/>
  <c r="F5" i="23" s="1"/>
  <c r="G5" i="24" s="1"/>
  <c r="DG39" i="63"/>
  <c r="E15" i="62"/>
  <c r="AF13" i="66" s="1"/>
  <c r="AF40" i="66" s="1"/>
  <c r="F6" i="62"/>
  <c r="A1" i="23" s="1"/>
  <c r="AO1" i="61"/>
  <c r="E104" i="1"/>
  <c r="J63" i="1"/>
  <c r="H43" i="67" l="1"/>
  <c r="V34" i="23" s="1"/>
  <c r="AB34" i="24" s="1"/>
  <c r="G12" i="1"/>
  <c r="BA9" i="72"/>
  <c r="N9" i="72" s="1"/>
  <c r="BB9" i="72"/>
  <c r="Z5" i="23"/>
  <c r="B5" i="25" s="1"/>
  <c r="CL11" i="68"/>
  <c r="CF11" i="68"/>
  <c r="CO11" i="68"/>
  <c r="CW11" i="68"/>
  <c r="BK11" i="68"/>
  <c r="BT11" i="68"/>
  <c r="CG11" i="68"/>
  <c r="CP11" i="68"/>
  <c r="BM11" i="68"/>
  <c r="BU11" i="68"/>
  <c r="CH11" i="68"/>
  <c r="CQ11" i="68"/>
  <c r="BN11" i="68"/>
  <c r="BV11" i="68"/>
  <c r="CI11" i="68"/>
  <c r="CR11" i="68"/>
  <c r="BO11" i="68"/>
  <c r="BW11" i="68"/>
  <c r="CJ11" i="68"/>
  <c r="CS11" i="68"/>
  <c r="BP11" i="68"/>
  <c r="BX11" i="68"/>
  <c r="CK11" i="68"/>
  <c r="CT11" i="68"/>
  <c r="BH11" i="68"/>
  <c r="BQ11" i="68"/>
  <c r="BY11" i="68"/>
  <c r="CM11" i="68"/>
  <c r="CU11" i="68"/>
  <c r="BI11" i="68"/>
  <c r="BR11" i="68"/>
  <c r="BZ11" i="68"/>
  <c r="CE11" i="68"/>
  <c r="CN11" i="68"/>
  <c r="CV11" i="68"/>
  <c r="BJ11" i="68"/>
  <c r="BS11" i="68"/>
  <c r="BL11" i="68"/>
  <c r="BG11" i="68"/>
  <c r="CD11" i="68"/>
  <c r="CL10" i="68"/>
  <c r="CH10" i="68"/>
  <c r="CQ10" i="68"/>
  <c r="BN10" i="68"/>
  <c r="BV10" i="68"/>
  <c r="CI10" i="68"/>
  <c r="CR10" i="68"/>
  <c r="BG10" i="68"/>
  <c r="BO10" i="68"/>
  <c r="BW10" i="68"/>
  <c r="CJ10" i="68"/>
  <c r="CS10" i="68"/>
  <c r="BH10" i="68"/>
  <c r="BP10" i="68"/>
  <c r="BX10" i="68"/>
  <c r="CK10" i="68"/>
  <c r="CT10" i="68"/>
  <c r="BI10" i="68"/>
  <c r="BQ10" i="68"/>
  <c r="BY10" i="68"/>
  <c r="CD10" i="68"/>
  <c r="CM10" i="68"/>
  <c r="CU10" i="68"/>
  <c r="BJ10" i="68"/>
  <c r="BR10" i="68"/>
  <c r="BZ10" i="68"/>
  <c r="CE10" i="68"/>
  <c r="CN10" i="68"/>
  <c r="CV10" i="68"/>
  <c r="BK10" i="68"/>
  <c r="BS10" i="68"/>
  <c r="CF10" i="68"/>
  <c r="CO10" i="68"/>
  <c r="CW10" i="68"/>
  <c r="BL10" i="68"/>
  <c r="BT10" i="68"/>
  <c r="CG10" i="68"/>
  <c r="CP10" i="68"/>
  <c r="BM10" i="68"/>
  <c r="BU10" i="68"/>
  <c r="AX10" i="68"/>
  <c r="CX9" i="68"/>
  <c r="AR10" i="68"/>
  <c r="BA9" i="65"/>
  <c r="BB9" i="65"/>
  <c r="P9" i="73"/>
  <c r="AM10" i="68"/>
  <c r="AG10" i="68"/>
  <c r="AJ10" i="68"/>
  <c r="AU10" i="68"/>
  <c r="AO10" i="68"/>
  <c r="BB10" i="71"/>
  <c r="AK10" i="68"/>
  <c r="AZ10" i="68"/>
  <c r="AH10" i="68"/>
  <c r="AT10" i="68"/>
  <c r="AY10" i="68"/>
  <c r="AQ10" i="68"/>
  <c r="D10" i="68"/>
  <c r="AL10" i="68"/>
  <c r="AW10" i="68"/>
  <c r="Z4" i="23"/>
  <c r="B4" i="25" s="1"/>
  <c r="AV10" i="68"/>
  <c r="AN10" i="68"/>
  <c r="AP10" i="68"/>
  <c r="AS10" i="68"/>
  <c r="H45" i="65"/>
  <c r="N34" i="23"/>
  <c r="R34" i="24" s="1"/>
  <c r="H46" i="66"/>
  <c r="R34" i="23"/>
  <c r="W34" i="24" s="1"/>
  <c r="H46" i="71"/>
  <c r="AL34" i="23"/>
  <c r="R34" i="25" s="1"/>
  <c r="AB34" i="25"/>
  <c r="H43" i="64"/>
  <c r="A12" i="73"/>
  <c r="AS6" i="23" s="1"/>
  <c r="Z6" i="25" s="1"/>
  <c r="AS5" i="23"/>
  <c r="Z5" i="25" s="1"/>
  <c r="A12" i="70"/>
  <c r="AG5" i="23"/>
  <c r="K5" i="25" s="1"/>
  <c r="AG11" i="70"/>
  <c r="AH5" i="23"/>
  <c r="L5" i="25" s="1"/>
  <c r="AK11" i="70"/>
  <c r="AI11" i="70"/>
  <c r="AJ10" i="70"/>
  <c r="AU11" i="70"/>
  <c r="AY11" i="70"/>
  <c r="AQ11" i="70"/>
  <c r="AN11" i="70"/>
  <c r="AV11" i="70"/>
  <c r="AF3" i="23"/>
  <c r="J3" i="25"/>
  <c r="AT10" i="70"/>
  <c r="AH4" i="23"/>
  <c r="L4" i="25" s="1"/>
  <c r="J4" i="25"/>
  <c r="AF4" i="23"/>
  <c r="AL11" i="70"/>
  <c r="AJ11" i="70"/>
  <c r="AX11" i="70"/>
  <c r="AV4" i="23"/>
  <c r="AD4" i="25"/>
  <c r="T4" i="25"/>
  <c r="AN4" i="23"/>
  <c r="AN3" i="23"/>
  <c r="T3" i="25"/>
  <c r="E3" i="25"/>
  <c r="AB3" i="23"/>
  <c r="AT11" i="70"/>
  <c r="D11" i="70"/>
  <c r="B11" i="67"/>
  <c r="U5" i="23"/>
  <c r="Z5" i="24" s="1"/>
  <c r="A12" i="67"/>
  <c r="B11" i="66"/>
  <c r="Q5" i="23"/>
  <c r="U5" i="24" s="1"/>
  <c r="A12" i="66"/>
  <c r="F4" i="23"/>
  <c r="G4" i="24" s="1"/>
  <c r="AM10" i="63"/>
  <c r="AW10" i="63"/>
  <c r="AZ10" i="63"/>
  <c r="AR10" i="63"/>
  <c r="AJ10" i="63"/>
  <c r="AT10" i="63"/>
  <c r="AO10" i="63"/>
  <c r="AN10" i="63"/>
  <c r="AV10" i="63"/>
  <c r="AY10" i="63"/>
  <c r="AS10" i="63"/>
  <c r="AX10" i="63"/>
  <c r="AK10" i="63"/>
  <c r="AL10" i="63"/>
  <c r="AU10" i="63"/>
  <c r="AG10" i="63"/>
  <c r="AQ10" i="63"/>
  <c r="AH10" i="63"/>
  <c r="AP10" i="63"/>
  <c r="AI10" i="63"/>
  <c r="D10" i="63"/>
  <c r="H4" i="23" s="1"/>
  <c r="J4" i="24" s="1"/>
  <c r="BA10" i="71"/>
  <c r="N10" i="71" s="1"/>
  <c r="AS11" i="70"/>
  <c r="AX10" i="70"/>
  <c r="BB9" i="69"/>
  <c r="AL10" i="70"/>
  <c r="AO11" i="70"/>
  <c r="AH11" i="70"/>
  <c r="AW11" i="70"/>
  <c r="AZ11" i="70"/>
  <c r="AR10" i="70"/>
  <c r="AM11" i="70"/>
  <c r="AR11" i="70"/>
  <c r="V53" i="64"/>
  <c r="V44" i="65" s="1"/>
  <c r="H44" i="68"/>
  <c r="D5" i="74"/>
  <c r="D25" i="74" s="1"/>
  <c r="D27" i="74" s="1"/>
  <c r="D10" i="70"/>
  <c r="AS10" i="70"/>
  <c r="AO10" i="70"/>
  <c r="AI10" i="70"/>
  <c r="AW10" i="70"/>
  <c r="AY10" i="70"/>
  <c r="AG10" i="70"/>
  <c r="AN10" i="70"/>
  <c r="AP10" i="70"/>
  <c r="AH10" i="70"/>
  <c r="AV10" i="70"/>
  <c r="AQ10" i="70"/>
  <c r="AM10" i="70"/>
  <c r="AZ10" i="70"/>
  <c r="AU10" i="70"/>
  <c r="AK10" i="70"/>
  <c r="AL10" i="65"/>
  <c r="AT10" i="65"/>
  <c r="AU10" i="65"/>
  <c r="D10" i="65"/>
  <c r="P4" i="23" s="1"/>
  <c r="T4" i="24" s="1"/>
  <c r="AI10" i="65"/>
  <c r="AJ10" i="65"/>
  <c r="B11" i="73"/>
  <c r="AK11" i="73" s="1"/>
  <c r="AR10" i="65"/>
  <c r="AK10" i="65"/>
  <c r="AX10" i="65"/>
  <c r="AO10" i="65"/>
  <c r="AP10" i="65"/>
  <c r="AG10" i="65"/>
  <c r="AQ10" i="65"/>
  <c r="AZ10" i="65"/>
  <c r="AS10" i="65"/>
  <c r="AN10" i="65"/>
  <c r="AW10" i="65"/>
  <c r="AY10" i="65"/>
  <c r="AV10" i="65"/>
  <c r="AM10" i="65"/>
  <c r="BB9" i="66"/>
  <c r="F51" i="50"/>
  <c r="BA9" i="69"/>
  <c r="N9" i="69" s="1"/>
  <c r="AZ10" i="67"/>
  <c r="AR10" i="67"/>
  <c r="AW10" i="67"/>
  <c r="AG10" i="67"/>
  <c r="AO10" i="67"/>
  <c r="AQ10" i="67"/>
  <c r="AJ10" i="67"/>
  <c r="AV10" i="67"/>
  <c r="AY10" i="67"/>
  <c r="AN10" i="67"/>
  <c r="AI10" i="67"/>
  <c r="AX10" i="67"/>
  <c r="D10" i="67"/>
  <c r="X4" i="23" s="1"/>
  <c r="AD4" i="24" s="1"/>
  <c r="AL10" i="67"/>
  <c r="AU10" i="67"/>
  <c r="AK10" i="67"/>
  <c r="AT10" i="67"/>
  <c r="AH10" i="67"/>
  <c r="AM10" i="67"/>
  <c r="AP10" i="67"/>
  <c r="AS10" i="67"/>
  <c r="BA9" i="66"/>
  <c r="N9" i="66" s="1"/>
  <c r="AH10" i="65"/>
  <c r="BB9" i="64"/>
  <c r="CA9" i="64"/>
  <c r="O9" i="64" s="1"/>
  <c r="BA9" i="64"/>
  <c r="N9" i="64" s="1"/>
  <c r="H45" i="63"/>
  <c r="I44" i="71"/>
  <c r="I45" i="73"/>
  <c r="I44" i="73"/>
  <c r="I44" i="72"/>
  <c r="I44" i="66"/>
  <c r="I44" i="63"/>
  <c r="I44" i="65"/>
  <c r="I43" i="70"/>
  <c r="I43" i="72"/>
  <c r="I45" i="69"/>
  <c r="I43" i="63"/>
  <c r="I44" i="69"/>
  <c r="I43" i="68"/>
  <c r="I42" i="68"/>
  <c r="I45" i="64"/>
  <c r="I44" i="64"/>
  <c r="I45" i="71"/>
  <c r="I43" i="65"/>
  <c r="I44" i="70"/>
  <c r="I45" i="66"/>
  <c r="I45" i="67"/>
  <c r="I44" i="67"/>
  <c r="H46" i="73"/>
  <c r="H45" i="70"/>
  <c r="H46" i="69"/>
  <c r="F34" i="50"/>
  <c r="F6" i="50"/>
  <c r="F25" i="50" s="1"/>
  <c r="P10" i="73"/>
  <c r="BB9" i="71"/>
  <c r="CA10" i="73"/>
  <c r="O10" i="73" s="1"/>
  <c r="Z9" i="73" s="1"/>
  <c r="BA9" i="71"/>
  <c r="N9" i="71" s="1"/>
  <c r="BA10" i="73"/>
  <c r="N10" i="73" s="1"/>
  <c r="BB9" i="63"/>
  <c r="BB10" i="73"/>
  <c r="H46" i="67"/>
  <c r="H45" i="72"/>
  <c r="N9" i="73"/>
  <c r="O9" i="73"/>
  <c r="B12" i="73"/>
  <c r="AT6" i="23" s="1"/>
  <c r="AA6" i="25" s="1"/>
  <c r="A13" i="73"/>
  <c r="AS7" i="23" s="1"/>
  <c r="Z7" i="25" s="1"/>
  <c r="AW10" i="72"/>
  <c r="AO10" i="72"/>
  <c r="AG10" i="72"/>
  <c r="AV10" i="72"/>
  <c r="AN10" i="72"/>
  <c r="AU10" i="72"/>
  <c r="AM10" i="72"/>
  <c r="AT10" i="72"/>
  <c r="AL10" i="72"/>
  <c r="AS10" i="72"/>
  <c r="AK10" i="72"/>
  <c r="D10" i="72"/>
  <c r="AZ10" i="72"/>
  <c r="AR10" i="72"/>
  <c r="AJ10" i="72"/>
  <c r="AY10" i="72"/>
  <c r="AQ10" i="72"/>
  <c r="AI10" i="72"/>
  <c r="AX10" i="72"/>
  <c r="AP10" i="72"/>
  <c r="AH10" i="72"/>
  <c r="B11" i="72"/>
  <c r="AP5" i="23" s="1"/>
  <c r="V5" i="25" s="1"/>
  <c r="A12" i="72"/>
  <c r="AO6" i="23" s="1"/>
  <c r="U6" i="25" s="1"/>
  <c r="AV11" i="71"/>
  <c r="AN11" i="71"/>
  <c r="AU11" i="71"/>
  <c r="AM11" i="71"/>
  <c r="AT11" i="71"/>
  <c r="AL11" i="71"/>
  <c r="AS11" i="71"/>
  <c r="AK11" i="71"/>
  <c r="D11" i="71"/>
  <c r="AW11" i="71"/>
  <c r="AG11" i="71"/>
  <c r="AR11" i="71"/>
  <c r="AQ11" i="71"/>
  <c r="AP11" i="71"/>
  <c r="AO11" i="71"/>
  <c r="AZ11" i="71"/>
  <c r="AJ11" i="71"/>
  <c r="AY11" i="71"/>
  <c r="AI11" i="71"/>
  <c r="AX11" i="71"/>
  <c r="AH11" i="71"/>
  <c r="A13" i="71"/>
  <c r="AK7" i="23" s="1"/>
  <c r="P7" i="25" s="1"/>
  <c r="B12" i="71"/>
  <c r="AL6" i="23" s="1"/>
  <c r="Q6" i="25" s="1"/>
  <c r="O9" i="70"/>
  <c r="B12" i="69"/>
  <c r="AD6" i="23" s="1"/>
  <c r="G6" i="25" s="1"/>
  <c r="A13" i="69"/>
  <c r="AC7" i="23" s="1"/>
  <c r="F7" i="25" s="1"/>
  <c r="AY11" i="69"/>
  <c r="AQ11" i="69"/>
  <c r="AI11" i="69"/>
  <c r="AX11" i="69"/>
  <c r="AP11" i="69"/>
  <c r="AH11" i="69"/>
  <c r="AW11" i="69"/>
  <c r="AO11" i="69"/>
  <c r="AG11" i="69"/>
  <c r="AV11" i="69"/>
  <c r="AN11" i="69"/>
  <c r="AU11" i="69"/>
  <c r="AM11" i="69"/>
  <c r="AR11" i="69"/>
  <c r="AL11" i="69"/>
  <c r="AS11" i="69"/>
  <c r="AK11" i="69"/>
  <c r="AJ11" i="69"/>
  <c r="D11" i="69"/>
  <c r="AZ11" i="69"/>
  <c r="AT11" i="69"/>
  <c r="BB10" i="69"/>
  <c r="BA10" i="69"/>
  <c r="BB9" i="68"/>
  <c r="BA9" i="68"/>
  <c r="AU11" i="68"/>
  <c r="AM11" i="68"/>
  <c r="AT11" i="68"/>
  <c r="AL11" i="68"/>
  <c r="AR11" i="68"/>
  <c r="AH11" i="68"/>
  <c r="AQ11" i="68"/>
  <c r="AG11" i="68"/>
  <c r="AZ11" i="68"/>
  <c r="AP11" i="68"/>
  <c r="AY11" i="68"/>
  <c r="AO11" i="68"/>
  <c r="D11" i="68"/>
  <c r="AX11" i="68"/>
  <c r="AN11" i="68"/>
  <c r="AW11" i="68"/>
  <c r="AK11" i="68"/>
  <c r="AV11" i="68"/>
  <c r="AJ11" i="68"/>
  <c r="AS11" i="68"/>
  <c r="AI11" i="68"/>
  <c r="A13" i="68"/>
  <c r="Y7" i="23" s="1"/>
  <c r="A7" i="25" s="1"/>
  <c r="B12" i="68"/>
  <c r="N9" i="67"/>
  <c r="O9" i="67"/>
  <c r="BB10" i="66"/>
  <c r="BA10" i="66"/>
  <c r="N9" i="65"/>
  <c r="A13" i="65"/>
  <c r="M7" i="23" s="1"/>
  <c r="P7" i="24" s="1"/>
  <c r="B12" i="65"/>
  <c r="N6" i="23" s="1"/>
  <c r="Q6" i="24" s="1"/>
  <c r="AS11" i="65"/>
  <c r="AK11" i="65"/>
  <c r="D11" i="65"/>
  <c r="P5" i="23" s="1"/>
  <c r="T5" i="24" s="1"/>
  <c r="AZ11" i="65"/>
  <c r="AR11" i="65"/>
  <c r="AJ11" i="65"/>
  <c r="AY11" i="65"/>
  <c r="AQ11" i="65"/>
  <c r="AI11" i="65"/>
  <c r="AX11" i="65"/>
  <c r="AP11" i="65"/>
  <c r="AH11" i="65"/>
  <c r="AW11" i="65"/>
  <c r="AO11" i="65"/>
  <c r="AG11" i="65"/>
  <c r="AV11" i="65"/>
  <c r="AN11" i="65"/>
  <c r="AU11" i="65"/>
  <c r="AM11" i="65"/>
  <c r="AT11" i="65"/>
  <c r="AL11" i="65"/>
  <c r="BB10" i="64"/>
  <c r="BA10" i="64"/>
  <c r="N10" i="64" s="1"/>
  <c r="AW11" i="64"/>
  <c r="AO11" i="64"/>
  <c r="AG11" i="64"/>
  <c r="AV11" i="64"/>
  <c r="AN11" i="64"/>
  <c r="AU11" i="64"/>
  <c r="AM11" i="64"/>
  <c r="AT11" i="64"/>
  <c r="AL11" i="64"/>
  <c r="AS11" i="64"/>
  <c r="AK11" i="64"/>
  <c r="D11" i="64"/>
  <c r="L5" i="23" s="1"/>
  <c r="O5" i="24" s="1"/>
  <c r="AZ11" i="64"/>
  <c r="AR11" i="64"/>
  <c r="AJ11" i="64"/>
  <c r="AY11" i="64"/>
  <c r="AQ11" i="64"/>
  <c r="AI11" i="64"/>
  <c r="AX11" i="64"/>
  <c r="AP11" i="64"/>
  <c r="AH11" i="64"/>
  <c r="A13" i="64"/>
  <c r="I7" i="23" s="1"/>
  <c r="K7" i="24" s="1"/>
  <c r="B12" i="64"/>
  <c r="J6" i="23" s="1"/>
  <c r="L6" i="24" s="1"/>
  <c r="CA10" i="64"/>
  <c r="O10" i="64" s="1"/>
  <c r="BA9" i="63"/>
  <c r="N9" i="63" s="1"/>
  <c r="AW11" i="63"/>
  <c r="AO11" i="63"/>
  <c r="AG11" i="63"/>
  <c r="AV11" i="63"/>
  <c r="AN11" i="63"/>
  <c r="AT11" i="63"/>
  <c r="AU11" i="63"/>
  <c r="AM11" i="63"/>
  <c r="AL11" i="63"/>
  <c r="AS11" i="63"/>
  <c r="AK11" i="63"/>
  <c r="D11" i="63"/>
  <c r="H5" i="23" s="1"/>
  <c r="J5" i="24" s="1"/>
  <c r="AZ11" i="63"/>
  <c r="AR11" i="63"/>
  <c r="AJ11" i="63"/>
  <c r="AY11" i="63"/>
  <c r="AX11" i="63"/>
  <c r="AP11" i="63"/>
  <c r="AQ11" i="63"/>
  <c r="AI11" i="63"/>
  <c r="AH11" i="63"/>
  <c r="B12" i="63"/>
  <c r="F6" i="23" s="1"/>
  <c r="G6" i="24" s="1"/>
  <c r="A13" i="63"/>
  <c r="E7" i="23" s="1"/>
  <c r="F7" i="24" s="1"/>
  <c r="AA10" i="41"/>
  <c r="Z11" i="41"/>
  <c r="Z12" i="41"/>
  <c r="Z13" i="41"/>
  <c r="Z14" i="41"/>
  <c r="Z17" i="41"/>
  <c r="Z18" i="41"/>
  <c r="Z19" i="41"/>
  <c r="Z20" i="41"/>
  <c r="Z21" i="41"/>
  <c r="Z22" i="41"/>
  <c r="Z24" i="41"/>
  <c r="Z26" i="41"/>
  <c r="Z27" i="41"/>
  <c r="Z28" i="41"/>
  <c r="Z29" i="41"/>
  <c r="Z30" i="41"/>
  <c r="Z31" i="41"/>
  <c r="Z32" i="41"/>
  <c r="Z33" i="41"/>
  <c r="Z34" i="41"/>
  <c r="Z35" i="41"/>
  <c r="Z36" i="41"/>
  <c r="Z37" i="41"/>
  <c r="Z39" i="41"/>
  <c r="Z40" i="41"/>
  <c r="A52" i="41"/>
  <c r="A47" i="41"/>
  <c r="A46" i="41"/>
  <c r="A45" i="41"/>
  <c r="A43" i="41"/>
  <c r="B17" i="46"/>
  <c r="B18" i="46"/>
  <c r="B19" i="46"/>
  <c r="B20" i="46"/>
  <c r="B21" i="46"/>
  <c r="B22" i="46"/>
  <c r="A17" i="46"/>
  <c r="A18" i="46"/>
  <c r="A19" i="46"/>
  <c r="A20" i="46"/>
  <c r="A21" i="46"/>
  <c r="A22"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C21" i="46"/>
  <c r="D21" i="46"/>
  <c r="E21" i="46"/>
  <c r="F21" i="46"/>
  <c r="G21" i="46"/>
  <c r="C22" i="46"/>
  <c r="D22" i="46"/>
  <c r="E22" i="46"/>
  <c r="F22" i="46"/>
  <c r="G22" i="46"/>
  <c r="D4" i="46"/>
  <c r="E4" i="46"/>
  <c r="F4" i="46"/>
  <c r="G4" i="46"/>
  <c r="C4" i="46"/>
  <c r="A1" i="46"/>
  <c r="AB4" i="23" l="1"/>
  <c r="E4" i="25" s="1"/>
  <c r="AB5" i="23"/>
  <c r="E5" i="25" s="1"/>
  <c r="CX10" i="68"/>
  <c r="CL12" i="68"/>
  <c r="CN12" i="68"/>
  <c r="CV12" i="68"/>
  <c r="BI12" i="68"/>
  <c r="BR12" i="68"/>
  <c r="BZ12" i="68"/>
  <c r="CD12" i="68"/>
  <c r="CO12" i="68"/>
  <c r="CW12" i="68"/>
  <c r="BJ12" i="68"/>
  <c r="BS12" i="68"/>
  <c r="CF12" i="68"/>
  <c r="CP12" i="68"/>
  <c r="BK12" i="68"/>
  <c r="BT12" i="68"/>
  <c r="CG12" i="68"/>
  <c r="CQ12" i="68"/>
  <c r="BL12" i="68"/>
  <c r="BU12" i="68"/>
  <c r="CH12" i="68"/>
  <c r="CR12" i="68"/>
  <c r="BN12" i="68"/>
  <c r="BV12" i="68"/>
  <c r="CI12" i="68"/>
  <c r="CS12" i="68"/>
  <c r="BO12" i="68"/>
  <c r="BW12" i="68"/>
  <c r="CK12" i="68"/>
  <c r="CT12" i="68"/>
  <c r="BP12" i="68"/>
  <c r="BX12" i="68"/>
  <c r="CM12" i="68"/>
  <c r="CU12" i="68"/>
  <c r="BG12" i="68"/>
  <c r="BQ12" i="68"/>
  <c r="BY12" i="68"/>
  <c r="BH12" i="68"/>
  <c r="CE12" i="68"/>
  <c r="CJ12" i="68"/>
  <c r="BM12" i="68"/>
  <c r="CX11" i="68"/>
  <c r="BB10" i="68"/>
  <c r="BA10" i="68"/>
  <c r="N10" i="68" s="1"/>
  <c r="H46" i="64"/>
  <c r="J34" i="23"/>
  <c r="BB11" i="70"/>
  <c r="AG6" i="23"/>
  <c r="K6" i="25" s="1"/>
  <c r="A13" i="70"/>
  <c r="B12" i="70"/>
  <c r="T5" i="25"/>
  <c r="AN5" i="23"/>
  <c r="O5" i="25"/>
  <c r="AJ5" i="23"/>
  <c r="AT5" i="23"/>
  <c r="AA5" i="25" s="1"/>
  <c r="AJ4" i="23"/>
  <c r="O4" i="25"/>
  <c r="U6" i="23"/>
  <c r="Z6" i="24" s="1"/>
  <c r="B12" i="67"/>
  <c r="A13" i="67"/>
  <c r="V5" i="23"/>
  <c r="AA5" i="24" s="1"/>
  <c r="AO11" i="67"/>
  <c r="AX11" i="67"/>
  <c r="AS11" i="67"/>
  <c r="AP11" i="67"/>
  <c r="AG11" i="67"/>
  <c r="AL11" i="67"/>
  <c r="AI11" i="67"/>
  <c r="D11" i="67"/>
  <c r="X5" i="23" s="1"/>
  <c r="AD5" i="24" s="1"/>
  <c r="AN11" i="67"/>
  <c r="AZ11" i="67"/>
  <c r="AY11" i="67"/>
  <c r="AT11" i="67"/>
  <c r="AH11" i="67"/>
  <c r="AM11" i="67"/>
  <c r="AJ11" i="67"/>
  <c r="AQ11" i="67"/>
  <c r="AU11" i="67"/>
  <c r="AV11" i="67"/>
  <c r="AK11" i="67"/>
  <c r="AR11" i="67"/>
  <c r="AW11" i="67"/>
  <c r="AR4" i="23"/>
  <c r="Y4" i="25"/>
  <c r="Z6" i="23"/>
  <c r="B6" i="25" s="1"/>
  <c r="J5" i="25"/>
  <c r="AF5" i="23"/>
  <c r="Q6" i="23"/>
  <c r="U6" i="24" s="1"/>
  <c r="A13" i="66"/>
  <c r="B12" i="66"/>
  <c r="R5" i="23"/>
  <c r="V5" i="24" s="1"/>
  <c r="AX11" i="66"/>
  <c r="AK11" i="66"/>
  <c r="D11" i="66"/>
  <c r="T5" i="23" s="1"/>
  <c r="Y5" i="24" s="1"/>
  <c r="AG11" i="66"/>
  <c r="AU11" i="66"/>
  <c r="AZ11" i="66"/>
  <c r="AY11" i="66"/>
  <c r="AM11" i="66"/>
  <c r="AS11" i="66"/>
  <c r="AV11" i="66"/>
  <c r="AH11" i="66"/>
  <c r="AR11" i="66"/>
  <c r="AQ11" i="66"/>
  <c r="AW11" i="66"/>
  <c r="AT11" i="66"/>
  <c r="AJ11" i="66"/>
  <c r="AI11" i="66"/>
  <c r="AP11" i="66"/>
  <c r="AL11" i="66"/>
  <c r="AN11" i="66"/>
  <c r="AO11" i="66"/>
  <c r="BA10" i="63"/>
  <c r="N10" i="63" s="1"/>
  <c r="BB10" i="63"/>
  <c r="V45" i="65"/>
  <c r="V52" i="65" s="1"/>
  <c r="V45" i="66" s="1"/>
  <c r="BA11" i="70"/>
  <c r="N11" i="70" s="1"/>
  <c r="CA11" i="70"/>
  <c r="O11" i="70" s="1"/>
  <c r="AR11" i="73"/>
  <c r="AH11" i="73"/>
  <c r="AI11" i="73"/>
  <c r="AZ11" i="73"/>
  <c r="AT11" i="73"/>
  <c r="AQ11" i="73"/>
  <c r="AY11" i="73"/>
  <c r="AV11" i="73"/>
  <c r="BB10" i="70"/>
  <c r="BA10" i="70"/>
  <c r="N10" i="70" s="1"/>
  <c r="D31" i="74"/>
  <c r="D29" i="74"/>
  <c r="D33" i="74"/>
  <c r="CA10" i="70"/>
  <c r="O10" i="70" s="1"/>
  <c r="AN11" i="73"/>
  <c r="AO11" i="73"/>
  <c r="AW11" i="73"/>
  <c r="AJ11" i="73"/>
  <c r="AP11" i="73"/>
  <c r="AS11" i="73"/>
  <c r="AX11" i="73"/>
  <c r="AG11" i="73"/>
  <c r="BB10" i="67"/>
  <c r="AM11" i="73"/>
  <c r="D11" i="73"/>
  <c r="AL11" i="73"/>
  <c r="AU11" i="73"/>
  <c r="BB10" i="65"/>
  <c r="BA10" i="65"/>
  <c r="N10" i="65" s="1"/>
  <c r="P10" i="67"/>
  <c r="BA10" i="67"/>
  <c r="N10" i="67" s="1"/>
  <c r="CA10" i="67"/>
  <c r="O10" i="67" s="1"/>
  <c r="F26" i="50"/>
  <c r="Q10" i="73"/>
  <c r="A14" i="73"/>
  <c r="AS8" i="23" s="1"/>
  <c r="Z8" i="25" s="1"/>
  <c r="B13" i="73"/>
  <c r="AT7" i="23" s="1"/>
  <c r="AA7" i="25" s="1"/>
  <c r="AS12" i="73"/>
  <c r="AK12" i="73"/>
  <c r="D12" i="73"/>
  <c r="AZ12" i="73"/>
  <c r="AR12" i="73"/>
  <c r="AJ12" i="73"/>
  <c r="AY12" i="73"/>
  <c r="AQ12" i="73"/>
  <c r="AI12" i="73"/>
  <c r="AX12" i="73"/>
  <c r="AP12" i="73"/>
  <c r="AH12" i="73"/>
  <c r="AW12" i="73"/>
  <c r="AO12" i="73"/>
  <c r="AG12" i="73"/>
  <c r="AV12" i="73"/>
  <c r="AN12" i="73"/>
  <c r="AU12" i="73"/>
  <c r="AM12" i="73"/>
  <c r="AT12" i="73"/>
  <c r="AL12" i="73"/>
  <c r="Q9" i="73"/>
  <c r="AZ11" i="72"/>
  <c r="AR11" i="72"/>
  <c r="AJ11" i="72"/>
  <c r="AY11" i="72"/>
  <c r="AQ11" i="72"/>
  <c r="AI11" i="72"/>
  <c r="AX11" i="72"/>
  <c r="AP11" i="72"/>
  <c r="AH11" i="72"/>
  <c r="AW11" i="72"/>
  <c r="AO11" i="72"/>
  <c r="AG11" i="72"/>
  <c r="AV11" i="72"/>
  <c r="AN11" i="72"/>
  <c r="AU11" i="72"/>
  <c r="AM11" i="72"/>
  <c r="AT11" i="72"/>
  <c r="AL11" i="72"/>
  <c r="AS11" i="72"/>
  <c r="AK11" i="72"/>
  <c r="D11" i="72"/>
  <c r="BB10" i="72"/>
  <c r="BA10" i="72"/>
  <c r="B12" i="72"/>
  <c r="AP6" i="23" s="1"/>
  <c r="V6" i="25" s="1"/>
  <c r="A13" i="72"/>
  <c r="AO7" i="23" s="1"/>
  <c r="U7" i="25" s="1"/>
  <c r="B13" i="71"/>
  <c r="AL7" i="23" s="1"/>
  <c r="Q7" i="25" s="1"/>
  <c r="A14" i="71"/>
  <c r="AK8" i="23" s="1"/>
  <c r="P8" i="25" s="1"/>
  <c r="BB11" i="71"/>
  <c r="BA11" i="71"/>
  <c r="AY12" i="71"/>
  <c r="AQ12" i="71"/>
  <c r="AI12" i="71"/>
  <c r="AX12" i="71"/>
  <c r="AP12" i="71"/>
  <c r="AH12" i="71"/>
  <c r="AW12" i="71"/>
  <c r="AO12" i="71"/>
  <c r="AG12" i="71"/>
  <c r="AV12" i="71"/>
  <c r="AN12" i="71"/>
  <c r="AS12" i="71"/>
  <c r="AR12" i="71"/>
  <c r="AM12" i="71"/>
  <c r="AL12" i="71"/>
  <c r="AK12" i="71"/>
  <c r="AZ12" i="71"/>
  <c r="AJ12" i="71"/>
  <c r="AU12" i="71"/>
  <c r="AT12" i="71"/>
  <c r="D12" i="71"/>
  <c r="N10" i="69"/>
  <c r="BB11" i="69"/>
  <c r="BA11" i="69"/>
  <c r="N11" i="69" s="1"/>
  <c r="A14" i="69"/>
  <c r="AC8" i="23" s="1"/>
  <c r="F8" i="25" s="1"/>
  <c r="B13" i="69"/>
  <c r="AD7" i="23" s="1"/>
  <c r="G7" i="25" s="1"/>
  <c r="AT12" i="69"/>
  <c r="AL12" i="69"/>
  <c r="AS12" i="69"/>
  <c r="AK12" i="69"/>
  <c r="D12" i="69"/>
  <c r="AZ12" i="69"/>
  <c r="AR12" i="69"/>
  <c r="AJ12" i="69"/>
  <c r="AY12" i="69"/>
  <c r="AQ12" i="69"/>
  <c r="AI12" i="69"/>
  <c r="AX12" i="69"/>
  <c r="AP12" i="69"/>
  <c r="AH12" i="69"/>
  <c r="AW12" i="69"/>
  <c r="AO12" i="69"/>
  <c r="AG12" i="69"/>
  <c r="AV12" i="69"/>
  <c r="AN12" i="69"/>
  <c r="AU12" i="69"/>
  <c r="AM12" i="69"/>
  <c r="AV12" i="68"/>
  <c r="AN12" i="68"/>
  <c r="AU12" i="68"/>
  <c r="AM12" i="68"/>
  <c r="AT12" i="68"/>
  <c r="AJ12" i="68"/>
  <c r="AS12" i="68"/>
  <c r="AI12" i="68"/>
  <c r="AQ12" i="68"/>
  <c r="D12" i="68"/>
  <c r="AP12" i="68"/>
  <c r="AO12" i="68"/>
  <c r="AZ12" i="68"/>
  <c r="AL12" i="68"/>
  <c r="AY12" i="68"/>
  <c r="AK12" i="68"/>
  <c r="AX12" i="68"/>
  <c r="AH12" i="68"/>
  <c r="AW12" i="68"/>
  <c r="AG12" i="68"/>
  <c r="AR12" i="68"/>
  <c r="B13" i="68"/>
  <c r="A14" i="68"/>
  <c r="Y8" i="23" s="1"/>
  <c r="A8" i="25" s="1"/>
  <c r="N9" i="68"/>
  <c r="BB11" i="68"/>
  <c r="BA11" i="68"/>
  <c r="N11" i="68" s="1"/>
  <c r="Q9" i="67"/>
  <c r="N10" i="66"/>
  <c r="Y9" i="66" s="1"/>
  <c r="BB11" i="65"/>
  <c r="BA11" i="65"/>
  <c r="N11" i="65" s="1"/>
  <c r="AV12" i="65"/>
  <c r="AN12" i="65"/>
  <c r="AU12" i="65"/>
  <c r="AM12" i="65"/>
  <c r="AT12" i="65"/>
  <c r="AL12" i="65"/>
  <c r="AS12" i="65"/>
  <c r="AK12" i="65"/>
  <c r="D12" i="65"/>
  <c r="P6" i="23" s="1"/>
  <c r="T6" i="24" s="1"/>
  <c r="AZ12" i="65"/>
  <c r="AR12" i="65"/>
  <c r="AJ12" i="65"/>
  <c r="AY12" i="65"/>
  <c r="AQ12" i="65"/>
  <c r="AI12" i="65"/>
  <c r="AX12" i="65"/>
  <c r="AP12" i="65"/>
  <c r="AH12" i="65"/>
  <c r="AW12" i="65"/>
  <c r="AO12" i="65"/>
  <c r="AG12" i="65"/>
  <c r="A14" i="65"/>
  <c r="M8" i="23" s="1"/>
  <c r="P8" i="24" s="1"/>
  <c r="B13" i="65"/>
  <c r="N7" i="23" s="1"/>
  <c r="Q7" i="24" s="1"/>
  <c r="BB11" i="64"/>
  <c r="BA11" i="64"/>
  <c r="N11" i="64" s="1"/>
  <c r="AW12" i="64"/>
  <c r="AO12" i="64"/>
  <c r="AG12" i="64"/>
  <c r="AV12" i="64"/>
  <c r="AN12" i="64"/>
  <c r="AY12" i="64"/>
  <c r="AM12" i="64"/>
  <c r="AX12" i="64"/>
  <c r="AL12" i="64"/>
  <c r="AU12" i="64"/>
  <c r="AK12" i="64"/>
  <c r="AT12" i="64"/>
  <c r="AJ12" i="64"/>
  <c r="AS12" i="64"/>
  <c r="AI12" i="64"/>
  <c r="AR12" i="64"/>
  <c r="AH12" i="64"/>
  <c r="AQ12" i="64"/>
  <c r="AZ12" i="64"/>
  <c r="AP12" i="64"/>
  <c r="D12" i="64"/>
  <c r="L6" i="23" s="1"/>
  <c r="O6" i="24" s="1"/>
  <c r="B13" i="64"/>
  <c r="J7" i="23" s="1"/>
  <c r="L7" i="24" s="1"/>
  <c r="A14" i="64"/>
  <c r="I8" i="23" s="1"/>
  <c r="K8" i="24" s="1"/>
  <c r="B13" i="63"/>
  <c r="F7" i="23" s="1"/>
  <c r="G7" i="24" s="1"/>
  <c r="A14" i="63"/>
  <c r="E8" i="23" s="1"/>
  <c r="F8" i="24" s="1"/>
  <c r="AZ12" i="63"/>
  <c r="AR12" i="63"/>
  <c r="AJ12" i="63"/>
  <c r="AY12" i="63"/>
  <c r="AQ12" i="63"/>
  <c r="AI12" i="63"/>
  <c r="AX12" i="63"/>
  <c r="AP12" i="63"/>
  <c r="AH12" i="63"/>
  <c r="AW12" i="63"/>
  <c r="AO12" i="63"/>
  <c r="AG12" i="63"/>
  <c r="AV12" i="63"/>
  <c r="AN12" i="63"/>
  <c r="AU12" i="63"/>
  <c r="AM12" i="63"/>
  <c r="AT12" i="63"/>
  <c r="AL12" i="63"/>
  <c r="AK12" i="63"/>
  <c r="AS12" i="63"/>
  <c r="D12" i="63"/>
  <c r="H6" i="23" s="1"/>
  <c r="J6" i="24" s="1"/>
  <c r="CA11" i="63"/>
  <c r="BB11" i="63"/>
  <c r="BA11" i="63"/>
  <c r="AB6" i="23" l="1"/>
  <c r="E6" i="25" s="1"/>
  <c r="Z7" i="23"/>
  <c r="B7" i="25" s="1"/>
  <c r="CL13" i="68"/>
  <c r="CM13" i="68"/>
  <c r="CU13" i="68"/>
  <c r="BP13" i="68"/>
  <c r="BX13" i="68"/>
  <c r="CN13" i="68"/>
  <c r="CV13" i="68"/>
  <c r="BG13" i="68"/>
  <c r="BQ13" i="68"/>
  <c r="BY13" i="68"/>
  <c r="CD13" i="68"/>
  <c r="CO13" i="68"/>
  <c r="CW13" i="68"/>
  <c r="BH13" i="68"/>
  <c r="BR13" i="68"/>
  <c r="BZ13" i="68"/>
  <c r="CE13" i="68"/>
  <c r="CP13" i="68"/>
  <c r="BJ13" i="68"/>
  <c r="BS13" i="68"/>
  <c r="CG13" i="68"/>
  <c r="CQ13" i="68"/>
  <c r="BK13" i="68"/>
  <c r="BT13" i="68"/>
  <c r="CH13" i="68"/>
  <c r="CR13" i="68"/>
  <c r="BL13" i="68"/>
  <c r="BU13" i="68"/>
  <c r="CI13" i="68"/>
  <c r="CS13" i="68"/>
  <c r="BM13" i="68"/>
  <c r="BV13" i="68"/>
  <c r="CJ13" i="68"/>
  <c r="CT13" i="68"/>
  <c r="BO13" i="68"/>
  <c r="BW13" i="68"/>
  <c r="BN13" i="68"/>
  <c r="BI13" i="68"/>
  <c r="CK13" i="68"/>
  <c r="CF13" i="68"/>
  <c r="CX12" i="68"/>
  <c r="M34" i="24"/>
  <c r="AH6" i="23"/>
  <c r="L6" i="25" s="1"/>
  <c r="D12" i="70"/>
  <c r="AZ12" i="70"/>
  <c r="AY12" i="70"/>
  <c r="AU12" i="70"/>
  <c r="AP12" i="70"/>
  <c r="AX12" i="70"/>
  <c r="AR12" i="70"/>
  <c r="AQ12" i="70"/>
  <c r="AK12" i="70"/>
  <c r="AN12" i="70"/>
  <c r="AJ12" i="70"/>
  <c r="AI12" i="70"/>
  <c r="AS12" i="70"/>
  <c r="AG12" i="70"/>
  <c r="AO12" i="70"/>
  <c r="AV12" i="70"/>
  <c r="AW12" i="70"/>
  <c r="AL12" i="70"/>
  <c r="AT12" i="70"/>
  <c r="AH12" i="70"/>
  <c r="AM12" i="70"/>
  <c r="AG7" i="23"/>
  <c r="K7" i="25" s="1"/>
  <c r="A14" i="70"/>
  <c r="B13" i="70"/>
  <c r="U7" i="23"/>
  <c r="Z7" i="24" s="1"/>
  <c r="A14" i="67"/>
  <c r="B13" i="67"/>
  <c r="AN6" i="23"/>
  <c r="T6" i="25"/>
  <c r="V6" i="23"/>
  <c r="AA6" i="24" s="1"/>
  <c r="AH12" i="67"/>
  <c r="AT12" i="67"/>
  <c r="AV12" i="67"/>
  <c r="AP12" i="67"/>
  <c r="AL12" i="67"/>
  <c r="AX12" i="67"/>
  <c r="AO12" i="67"/>
  <c r="AZ12" i="67"/>
  <c r="AY12" i="67"/>
  <c r="AN12" i="67"/>
  <c r="AU12" i="67"/>
  <c r="AS12" i="67"/>
  <c r="AR12" i="67"/>
  <c r="AQ12" i="67"/>
  <c r="AW12" i="67"/>
  <c r="AK12" i="67"/>
  <c r="AG12" i="67"/>
  <c r="AJ12" i="67"/>
  <c r="AI12" i="67"/>
  <c r="AM12" i="67"/>
  <c r="D12" i="67"/>
  <c r="X6" i="23" s="1"/>
  <c r="AD6" i="24" s="1"/>
  <c r="AV6" i="23"/>
  <c r="AD6" i="25"/>
  <c r="AR5" i="23"/>
  <c r="Y5" i="25"/>
  <c r="P11" i="67"/>
  <c r="J6" i="25"/>
  <c r="AF6" i="23"/>
  <c r="AV5" i="23"/>
  <c r="AD5" i="25"/>
  <c r="CA11" i="67"/>
  <c r="O11" i="67" s="1"/>
  <c r="BA11" i="67"/>
  <c r="N11" i="67" s="1"/>
  <c r="BB11" i="67"/>
  <c r="CA11" i="66"/>
  <c r="O11" i="66" s="1"/>
  <c r="BB11" i="66"/>
  <c r="BA11" i="66"/>
  <c r="N11" i="66" s="1"/>
  <c r="R6" i="23"/>
  <c r="V6" i="24" s="1"/>
  <c r="AO12" i="66"/>
  <c r="AR12" i="66"/>
  <c r="D12" i="66"/>
  <c r="T6" i="23" s="1"/>
  <c r="Y6" i="24" s="1"/>
  <c r="AW12" i="66"/>
  <c r="AH12" i="66"/>
  <c r="AZ12" i="66"/>
  <c r="AK12" i="66"/>
  <c r="AP12" i="66"/>
  <c r="AS12" i="66"/>
  <c r="AT12" i="66"/>
  <c r="AI12" i="66"/>
  <c r="AU12" i="66"/>
  <c r="AL12" i="66"/>
  <c r="AX12" i="66"/>
  <c r="AM12" i="66"/>
  <c r="AN12" i="66"/>
  <c r="AV12" i="66"/>
  <c r="AQ12" i="66"/>
  <c r="AY12" i="66"/>
  <c r="AJ12" i="66"/>
  <c r="AG12" i="66"/>
  <c r="Q7" i="23"/>
  <c r="U7" i="24" s="1"/>
  <c r="A14" i="66"/>
  <c r="B13" i="66"/>
  <c r="V46" i="66"/>
  <c r="V53" i="66" s="1"/>
  <c r="V45" i="67" s="1"/>
  <c r="BB11" i="73"/>
  <c r="D35" i="74"/>
  <c r="CA11" i="73"/>
  <c r="O11" i="73" s="1"/>
  <c r="BA11" i="73"/>
  <c r="N11" i="73" s="1"/>
  <c r="P11" i="73"/>
  <c r="Q10" i="67"/>
  <c r="F35" i="50"/>
  <c r="F36" i="50" s="1"/>
  <c r="P12" i="73"/>
  <c r="BB12" i="73"/>
  <c r="BA12" i="73"/>
  <c r="N12" i="73" s="1"/>
  <c r="Y11" i="73" s="1"/>
  <c r="CA12" i="73"/>
  <c r="AW13" i="73"/>
  <c r="AO13" i="73"/>
  <c r="AG13" i="73"/>
  <c r="AV13" i="73"/>
  <c r="AN13" i="73"/>
  <c r="AU13" i="73"/>
  <c r="AM13" i="73"/>
  <c r="AT13" i="73"/>
  <c r="AL13" i="73"/>
  <c r="AY13" i="73"/>
  <c r="AI13" i="73"/>
  <c r="AX13" i="73"/>
  <c r="AH13" i="73"/>
  <c r="D13" i="73"/>
  <c r="AS13" i="73"/>
  <c r="AR13" i="73"/>
  <c r="AQ13" i="73"/>
  <c r="AP13" i="73"/>
  <c r="AK13" i="73"/>
  <c r="AZ13" i="73"/>
  <c r="AJ13" i="73"/>
  <c r="B14" i="73"/>
  <c r="AT8" i="23" s="1"/>
  <c r="AA8" i="25" s="1"/>
  <c r="A15" i="73"/>
  <c r="AS9" i="23" s="1"/>
  <c r="Z9" i="25" s="1"/>
  <c r="N10" i="72"/>
  <c r="CA11" i="72"/>
  <c r="O11" i="72" s="1"/>
  <c r="A14" i="72"/>
  <c r="AO8" i="23" s="1"/>
  <c r="U8" i="25" s="1"/>
  <c r="B13" i="72"/>
  <c r="AP7" i="23" s="1"/>
  <c r="V7" i="25" s="1"/>
  <c r="AU12" i="72"/>
  <c r="AM12" i="72"/>
  <c r="AT12" i="72"/>
  <c r="AL12" i="72"/>
  <c r="AS12" i="72"/>
  <c r="AK12" i="72"/>
  <c r="D12" i="72"/>
  <c r="AZ12" i="72"/>
  <c r="AR12" i="72"/>
  <c r="AJ12" i="72"/>
  <c r="AY12" i="72"/>
  <c r="AQ12" i="72"/>
  <c r="AI12" i="72"/>
  <c r="AX12" i="72"/>
  <c r="AP12" i="72"/>
  <c r="AH12" i="72"/>
  <c r="AW12" i="72"/>
  <c r="AO12" i="72"/>
  <c r="AG12" i="72"/>
  <c r="AV12" i="72"/>
  <c r="AN12" i="72"/>
  <c r="BB11" i="72"/>
  <c r="BA11" i="72"/>
  <c r="N11" i="72" s="1"/>
  <c r="BB12" i="71"/>
  <c r="BA12" i="71"/>
  <c r="N12" i="71" s="1"/>
  <c r="Y11" i="71" s="1"/>
  <c r="N11" i="71"/>
  <c r="A15" i="71"/>
  <c r="AK9" i="23" s="1"/>
  <c r="P9" i="25" s="1"/>
  <c r="B14" i="71"/>
  <c r="AL8" i="23" s="1"/>
  <c r="Q8" i="25" s="1"/>
  <c r="AT13" i="71"/>
  <c r="AL13" i="71"/>
  <c r="AS13" i="71"/>
  <c r="AK13" i="71"/>
  <c r="D13" i="71"/>
  <c r="AZ13" i="71"/>
  <c r="AR13" i="71"/>
  <c r="AJ13" i="71"/>
  <c r="AY13" i="71"/>
  <c r="AQ13" i="71"/>
  <c r="AI13" i="71"/>
  <c r="AX13" i="71"/>
  <c r="AW13" i="71"/>
  <c r="AV13" i="71"/>
  <c r="AN13" i="71"/>
  <c r="AM13" i="71"/>
  <c r="AH13" i="71"/>
  <c r="AG13" i="71"/>
  <c r="AU13" i="71"/>
  <c r="AP13" i="71"/>
  <c r="AO13" i="71"/>
  <c r="CA12" i="69"/>
  <c r="O12" i="69" s="1"/>
  <c r="B14" i="69"/>
  <c r="AD8" i="23" s="1"/>
  <c r="G8" i="25" s="1"/>
  <c r="A15" i="69"/>
  <c r="AC9" i="23" s="1"/>
  <c r="F9" i="25" s="1"/>
  <c r="BB12" i="69"/>
  <c r="BA12" i="69"/>
  <c r="N12" i="69" s="1"/>
  <c r="AW13" i="69"/>
  <c r="AO13" i="69"/>
  <c r="AG13" i="69"/>
  <c r="AV13" i="69"/>
  <c r="AN13" i="69"/>
  <c r="AU13" i="69"/>
  <c r="AM13" i="69"/>
  <c r="AT13" i="69"/>
  <c r="AL13" i="69"/>
  <c r="AS13" i="69"/>
  <c r="AK13" i="69"/>
  <c r="D13" i="69"/>
  <c r="AZ13" i="69"/>
  <c r="AR13" i="69"/>
  <c r="AJ13" i="69"/>
  <c r="AY13" i="69"/>
  <c r="AQ13" i="69"/>
  <c r="AI13" i="69"/>
  <c r="AX13" i="69"/>
  <c r="AP13" i="69"/>
  <c r="AH13" i="69"/>
  <c r="B14" i="68"/>
  <c r="A15" i="68"/>
  <c r="Y9" i="23" s="1"/>
  <c r="A9" i="25" s="1"/>
  <c r="CA12" i="68"/>
  <c r="O12" i="68" s="1"/>
  <c r="AY13" i="68"/>
  <c r="AQ13" i="68"/>
  <c r="AI13" i="68"/>
  <c r="AX13" i="68"/>
  <c r="AP13" i="68"/>
  <c r="AH13" i="68"/>
  <c r="AZ13" i="68"/>
  <c r="AN13" i="68"/>
  <c r="AW13" i="68"/>
  <c r="AM13" i="68"/>
  <c r="D13" i="68"/>
  <c r="AS13" i="68"/>
  <c r="AR13" i="68"/>
  <c r="AO13" i="68"/>
  <c r="AL13" i="68"/>
  <c r="AK13" i="68"/>
  <c r="AV13" i="68"/>
  <c r="AJ13" i="68"/>
  <c r="AU13" i="68"/>
  <c r="AG13" i="68"/>
  <c r="AT13" i="68"/>
  <c r="BB12" i="68"/>
  <c r="BA12" i="68"/>
  <c r="N12" i="68" s="1"/>
  <c r="Y12" i="68" s="1"/>
  <c r="AY13" i="65"/>
  <c r="AQ13" i="65"/>
  <c r="AI13" i="65"/>
  <c r="AX13" i="65"/>
  <c r="AP13" i="65"/>
  <c r="AH13" i="65"/>
  <c r="AW13" i="65"/>
  <c r="AO13" i="65"/>
  <c r="AG13" i="65"/>
  <c r="AV13" i="65"/>
  <c r="AN13" i="65"/>
  <c r="AU13" i="65"/>
  <c r="AM13" i="65"/>
  <c r="AT13" i="65"/>
  <c r="AL13" i="65"/>
  <c r="AS13" i="65"/>
  <c r="AK13" i="65"/>
  <c r="D13" i="65"/>
  <c r="P7" i="23" s="1"/>
  <c r="T7" i="24" s="1"/>
  <c r="AZ13" i="65"/>
  <c r="AR13" i="65"/>
  <c r="AJ13" i="65"/>
  <c r="B14" i="65"/>
  <c r="N8" i="23" s="1"/>
  <c r="Q8" i="24" s="1"/>
  <c r="A15" i="65"/>
  <c r="M9" i="23" s="1"/>
  <c r="P9" i="24" s="1"/>
  <c r="BB12" i="65"/>
  <c r="BA12" i="65"/>
  <c r="BB12" i="64"/>
  <c r="BA12" i="64"/>
  <c r="B14" i="64"/>
  <c r="J8" i="23" s="1"/>
  <c r="L8" i="24" s="1"/>
  <c r="A15" i="64"/>
  <c r="I9" i="23" s="1"/>
  <c r="K9" i="24" s="1"/>
  <c r="AZ13" i="64"/>
  <c r="AR13" i="64"/>
  <c r="AJ13" i="64"/>
  <c r="AY13" i="64"/>
  <c r="AQ13" i="64"/>
  <c r="AI13" i="64"/>
  <c r="AP13" i="64"/>
  <c r="AO13" i="64"/>
  <c r="AX13" i="64"/>
  <c r="AN13" i="64"/>
  <c r="AW13" i="64"/>
  <c r="AM13" i="64"/>
  <c r="D13" i="64"/>
  <c r="L7" i="23" s="1"/>
  <c r="O7" i="24" s="1"/>
  <c r="AV13" i="64"/>
  <c r="AL13" i="64"/>
  <c r="AU13" i="64"/>
  <c r="AK13" i="64"/>
  <c r="AT13" i="64"/>
  <c r="AH13" i="64"/>
  <c r="AS13" i="64"/>
  <c r="AG13" i="64"/>
  <c r="O11" i="63"/>
  <c r="CA12" i="63"/>
  <c r="O12" i="63" s="1"/>
  <c r="A15" i="63"/>
  <c r="E9" i="23" s="1"/>
  <c r="F9" i="24" s="1"/>
  <c r="B14" i="63"/>
  <c r="F8" i="23" s="1"/>
  <c r="G8" i="24" s="1"/>
  <c r="BB12" i="63"/>
  <c r="BA12" i="63"/>
  <c r="N12" i="63" s="1"/>
  <c r="AU13" i="63"/>
  <c r="AM13" i="63"/>
  <c r="AT13" i="63"/>
  <c r="AL13" i="63"/>
  <c r="AS13" i="63"/>
  <c r="AK13" i="63"/>
  <c r="D13" i="63"/>
  <c r="H7" i="23" s="1"/>
  <c r="J7" i="24" s="1"/>
  <c r="AZ13" i="63"/>
  <c r="AR13" i="63"/>
  <c r="AJ13" i="63"/>
  <c r="AY13" i="63"/>
  <c r="AQ13" i="63"/>
  <c r="AI13" i="63"/>
  <c r="AX13" i="63"/>
  <c r="AP13" i="63"/>
  <c r="AH13" i="63"/>
  <c r="AW13" i="63"/>
  <c r="AO13" i="63"/>
  <c r="AG13" i="63"/>
  <c r="AV13" i="63"/>
  <c r="AN13" i="63"/>
  <c r="N11" i="63"/>
  <c r="Y11" i="63" s="1"/>
  <c r="FJ11" i="63" l="1"/>
  <c r="FL11" i="63"/>
  <c r="FJ11" i="73"/>
  <c r="FL11" i="73"/>
  <c r="FL11" i="71"/>
  <c r="FJ11" i="71"/>
  <c r="AB7" i="23"/>
  <c r="E7" i="25" s="1"/>
  <c r="Z8" i="23"/>
  <c r="B8" i="25" s="1"/>
  <c r="CJ14" i="68"/>
  <c r="CS14" i="68"/>
  <c r="BM14" i="68"/>
  <c r="BV14" i="68"/>
  <c r="CK14" i="68"/>
  <c r="CT14" i="68"/>
  <c r="BN14" i="68"/>
  <c r="BW14" i="68"/>
  <c r="CM14" i="68"/>
  <c r="CU14" i="68"/>
  <c r="BP14" i="68"/>
  <c r="BX14" i="68"/>
  <c r="CD14" i="68"/>
  <c r="CN14" i="68"/>
  <c r="CV14" i="68"/>
  <c r="BG14" i="68"/>
  <c r="BQ14" i="68"/>
  <c r="BY14" i="68"/>
  <c r="CE14" i="68"/>
  <c r="CO14" i="68"/>
  <c r="CW14" i="68"/>
  <c r="BH14" i="68"/>
  <c r="BR14" i="68"/>
  <c r="BZ14" i="68"/>
  <c r="CF14" i="68"/>
  <c r="CP14" i="68"/>
  <c r="BI14" i="68"/>
  <c r="BS14" i="68"/>
  <c r="CH14" i="68"/>
  <c r="CQ14" i="68"/>
  <c r="BK14" i="68"/>
  <c r="BT14" i="68"/>
  <c r="CI14" i="68"/>
  <c r="CR14" i="68"/>
  <c r="BL14" i="68"/>
  <c r="BU14" i="68"/>
  <c r="BO14" i="68"/>
  <c r="CL14" i="68"/>
  <c r="CG14" i="68"/>
  <c r="BJ14" i="68"/>
  <c r="CX13" i="68"/>
  <c r="FL12" i="68"/>
  <c r="FJ12" i="68"/>
  <c r="AH7" i="23"/>
  <c r="L7" i="25" s="1"/>
  <c r="AI13" i="70"/>
  <c r="AP13" i="70"/>
  <c r="AK13" i="70"/>
  <c r="AW13" i="70"/>
  <c r="AQ13" i="70"/>
  <c r="AV13" i="70"/>
  <c r="AO13" i="70"/>
  <c r="AT13" i="70"/>
  <c r="AG13" i="70"/>
  <c r="AJ13" i="70"/>
  <c r="AS13" i="70"/>
  <c r="AL13" i="70"/>
  <c r="AX13" i="70"/>
  <c r="AN13" i="70"/>
  <c r="D13" i="70"/>
  <c r="AU13" i="70"/>
  <c r="AR13" i="70"/>
  <c r="AM13" i="70"/>
  <c r="AH13" i="70"/>
  <c r="AY13" i="70"/>
  <c r="AZ13" i="70"/>
  <c r="AG8" i="23"/>
  <c r="K8" i="25" s="1"/>
  <c r="A15" i="70"/>
  <c r="B14" i="70"/>
  <c r="BB12" i="70"/>
  <c r="BA12" i="70"/>
  <c r="N12" i="70" s="1"/>
  <c r="CA12" i="70"/>
  <c r="O12" i="70" s="1"/>
  <c r="AJ6" i="23"/>
  <c r="O6" i="25"/>
  <c r="Q11" i="67"/>
  <c r="BB12" i="67"/>
  <c r="BA12" i="67"/>
  <c r="N12" i="67" s="1"/>
  <c r="Y11" i="67" s="1"/>
  <c r="AV7" i="23"/>
  <c r="AD7" i="25"/>
  <c r="AR6" i="23"/>
  <c r="Y6" i="25"/>
  <c r="J7" i="25"/>
  <c r="AF7" i="23"/>
  <c r="AN7" i="23"/>
  <c r="T7" i="25"/>
  <c r="V7" i="23"/>
  <c r="AA7" i="24" s="1"/>
  <c r="AL13" i="67"/>
  <c r="D13" i="67"/>
  <c r="X7" i="23" s="1"/>
  <c r="AD7" i="24" s="1"/>
  <c r="AR13" i="67"/>
  <c r="AX13" i="67"/>
  <c r="AK13" i="67"/>
  <c r="AO13" i="67"/>
  <c r="AU13" i="67"/>
  <c r="AH13" i="67"/>
  <c r="AT13" i="67"/>
  <c r="AM13" i="67"/>
  <c r="AQ13" i="67"/>
  <c r="AY13" i="67"/>
  <c r="AZ13" i="67"/>
  <c r="AN13" i="67"/>
  <c r="AI13" i="67"/>
  <c r="AW13" i="67"/>
  <c r="AJ13" i="67"/>
  <c r="AV13" i="67"/>
  <c r="AS13" i="67"/>
  <c r="AG13" i="67"/>
  <c r="AP13" i="67"/>
  <c r="U8" i="23"/>
  <c r="Z8" i="24" s="1"/>
  <c r="B14" i="67"/>
  <c r="A15" i="67"/>
  <c r="BA12" i="66"/>
  <c r="N12" i="66" s="1"/>
  <c r="Y11" i="66" s="1"/>
  <c r="BB12" i="66"/>
  <c r="CA12" i="66"/>
  <c r="O12" i="66" s="1"/>
  <c r="R7" i="23"/>
  <c r="V7" i="24" s="1"/>
  <c r="AO13" i="66"/>
  <c r="AX13" i="66"/>
  <c r="AG13" i="66"/>
  <c r="AR13" i="66"/>
  <c r="AZ13" i="66"/>
  <c r="AP13" i="66"/>
  <c r="AN13" i="66"/>
  <c r="D13" i="66"/>
  <c r="T7" i="23" s="1"/>
  <c r="Y7" i="24" s="1"/>
  <c r="AH13" i="66"/>
  <c r="AU13" i="66"/>
  <c r="AK13" i="66"/>
  <c r="AS13" i="66"/>
  <c r="AV13" i="66"/>
  <c r="AI13" i="66"/>
  <c r="AQ13" i="66"/>
  <c r="AM13" i="66"/>
  <c r="AL13" i="66"/>
  <c r="AT13" i="66"/>
  <c r="AY13" i="66"/>
  <c r="AW13" i="66"/>
  <c r="AJ13" i="66"/>
  <c r="Q8" i="23"/>
  <c r="U8" i="24" s="1"/>
  <c r="B14" i="66"/>
  <c r="A15" i="66"/>
  <c r="V46" i="67"/>
  <c r="V53" i="67" s="1"/>
  <c r="V43" i="68" s="1"/>
  <c r="G33" i="50"/>
  <c r="P13" i="73"/>
  <c r="B15" i="73"/>
  <c r="AT9" i="23" s="1"/>
  <c r="AA9" i="25" s="1"/>
  <c r="A16" i="73"/>
  <c r="AS10" i="23" s="1"/>
  <c r="Z10" i="25" s="1"/>
  <c r="CA13" i="73"/>
  <c r="O13" i="73" s="1"/>
  <c r="O12" i="73"/>
  <c r="BB13" i="73"/>
  <c r="BA13" i="73"/>
  <c r="N13" i="73" s="1"/>
  <c r="Q11" i="73"/>
  <c r="AZ14" i="73"/>
  <c r="AR14" i="73"/>
  <c r="AJ14" i="73"/>
  <c r="AY14" i="73"/>
  <c r="AQ14" i="73"/>
  <c r="AI14" i="73"/>
  <c r="AX14" i="73"/>
  <c r="AP14" i="73"/>
  <c r="AH14" i="73"/>
  <c r="AW14" i="73"/>
  <c r="AO14" i="73"/>
  <c r="AG14" i="73"/>
  <c r="AS14" i="73"/>
  <c r="AN14" i="73"/>
  <c r="AM14" i="73"/>
  <c r="AL14" i="73"/>
  <c r="AK14" i="73"/>
  <c r="AV14" i="73"/>
  <c r="AU14" i="73"/>
  <c r="AT14" i="73"/>
  <c r="D14" i="73"/>
  <c r="AZ13" i="72"/>
  <c r="AX13" i="72"/>
  <c r="AP13" i="72"/>
  <c r="AH13" i="72"/>
  <c r="AW13" i="72"/>
  <c r="AO13" i="72"/>
  <c r="AG13" i="72"/>
  <c r="AV13" i="72"/>
  <c r="AN13" i="72"/>
  <c r="AU13" i="72"/>
  <c r="AM13" i="72"/>
  <c r="AT13" i="72"/>
  <c r="AL13" i="72"/>
  <c r="AS13" i="72"/>
  <c r="AK13" i="72"/>
  <c r="D13" i="72"/>
  <c r="AR13" i="72"/>
  <c r="AJ13" i="72"/>
  <c r="AY13" i="72"/>
  <c r="AQ13" i="72"/>
  <c r="AI13" i="72"/>
  <c r="A15" i="72"/>
  <c r="AO9" i="23" s="1"/>
  <c r="U9" i="25" s="1"/>
  <c r="B14" i="72"/>
  <c r="AP8" i="23" s="1"/>
  <c r="V8" i="25" s="1"/>
  <c r="BB12" i="72"/>
  <c r="BA12" i="72"/>
  <c r="N12" i="72" s="1"/>
  <c r="CA12" i="72"/>
  <c r="O12" i="72" s="1"/>
  <c r="BB13" i="71"/>
  <c r="BA13" i="71"/>
  <c r="N13" i="71" s="1"/>
  <c r="B15" i="71"/>
  <c r="AL9" i="23" s="1"/>
  <c r="Q9" i="25" s="1"/>
  <c r="A16" i="71"/>
  <c r="AK10" i="23" s="1"/>
  <c r="P10" i="25" s="1"/>
  <c r="CA13" i="71"/>
  <c r="O13" i="71" s="1"/>
  <c r="AW14" i="71"/>
  <c r="AO14" i="71"/>
  <c r="AG14" i="71"/>
  <c r="AV14" i="71"/>
  <c r="AN14" i="71"/>
  <c r="AU14" i="71"/>
  <c r="AM14" i="71"/>
  <c r="AT14" i="71"/>
  <c r="AL14" i="71"/>
  <c r="AS14" i="71"/>
  <c r="AK14" i="71"/>
  <c r="D14" i="71"/>
  <c r="AZ14" i="71"/>
  <c r="AR14" i="71"/>
  <c r="AJ14" i="71"/>
  <c r="AY14" i="71"/>
  <c r="AQ14" i="71"/>
  <c r="AI14" i="71"/>
  <c r="AX14" i="71"/>
  <c r="AP14" i="71"/>
  <c r="AH14" i="71"/>
  <c r="A16" i="69"/>
  <c r="AC10" i="23" s="1"/>
  <c r="F10" i="25" s="1"/>
  <c r="B15" i="69"/>
  <c r="AD9" i="23" s="1"/>
  <c r="G9" i="25" s="1"/>
  <c r="AZ14" i="69"/>
  <c r="AR14" i="69"/>
  <c r="AJ14" i="69"/>
  <c r="AY14" i="69"/>
  <c r="AQ14" i="69"/>
  <c r="AI14" i="69"/>
  <c r="AX14" i="69"/>
  <c r="AP14" i="69"/>
  <c r="AH14" i="69"/>
  <c r="AW14" i="69"/>
  <c r="AO14" i="69"/>
  <c r="AG14" i="69"/>
  <c r="AV14" i="69"/>
  <c r="AN14" i="69"/>
  <c r="AU14" i="69"/>
  <c r="AM14" i="69"/>
  <c r="AT14" i="69"/>
  <c r="AL14" i="69"/>
  <c r="AS14" i="69"/>
  <c r="AK14" i="69"/>
  <c r="D14" i="69"/>
  <c r="BB13" i="69"/>
  <c r="BA13" i="69"/>
  <c r="CA13" i="69"/>
  <c r="O13" i="69" s="1"/>
  <c r="BB13" i="68"/>
  <c r="BA13" i="68"/>
  <c r="A16" i="68"/>
  <c r="Y10" i="23" s="1"/>
  <c r="A10" i="25" s="1"/>
  <c r="B15" i="68"/>
  <c r="CA13" i="68"/>
  <c r="AT14" i="68"/>
  <c r="AL14" i="68"/>
  <c r="AS14" i="68"/>
  <c r="AK14" i="68"/>
  <c r="D14" i="68"/>
  <c r="AV14" i="68"/>
  <c r="AJ14" i="68"/>
  <c r="AU14" i="68"/>
  <c r="AI14" i="68"/>
  <c r="AR14" i="68"/>
  <c r="AQ14" i="68"/>
  <c r="AP14" i="68"/>
  <c r="AO14" i="68"/>
  <c r="AZ14" i="68"/>
  <c r="AN14" i="68"/>
  <c r="AY14" i="68"/>
  <c r="AM14" i="68"/>
  <c r="AX14" i="68"/>
  <c r="AH14" i="68"/>
  <c r="AW14" i="68"/>
  <c r="AG14" i="68"/>
  <c r="CA13" i="65"/>
  <c r="B15" i="65"/>
  <c r="N9" i="23" s="1"/>
  <c r="Q9" i="24" s="1"/>
  <c r="A16" i="65"/>
  <c r="M10" i="23" s="1"/>
  <c r="P10" i="24" s="1"/>
  <c r="AT14" i="65"/>
  <c r="AL14" i="65"/>
  <c r="AS14" i="65"/>
  <c r="AK14" i="65"/>
  <c r="D14" i="65"/>
  <c r="P8" i="23" s="1"/>
  <c r="T8" i="24" s="1"/>
  <c r="AZ14" i="65"/>
  <c r="AR14" i="65"/>
  <c r="AJ14" i="65"/>
  <c r="AY14" i="65"/>
  <c r="AQ14" i="65"/>
  <c r="AI14" i="65"/>
  <c r="AX14" i="65"/>
  <c r="AP14" i="65"/>
  <c r="AH14" i="65"/>
  <c r="AW14" i="65"/>
  <c r="AO14" i="65"/>
  <c r="AG14" i="65"/>
  <c r="AV14" i="65"/>
  <c r="AN14" i="65"/>
  <c r="AU14" i="65"/>
  <c r="AM14" i="65"/>
  <c r="N12" i="65"/>
  <c r="BB13" i="65"/>
  <c r="BA13" i="65"/>
  <c r="N13" i="65" s="1"/>
  <c r="AU14" i="64"/>
  <c r="AM14" i="64"/>
  <c r="AT14" i="64"/>
  <c r="AL14" i="64"/>
  <c r="AY14" i="64"/>
  <c r="AO14" i="64"/>
  <c r="D14" i="64"/>
  <c r="L8" i="23" s="1"/>
  <c r="O8" i="24" s="1"/>
  <c r="AX14" i="64"/>
  <c r="AN14" i="64"/>
  <c r="AW14" i="64"/>
  <c r="AK14" i="64"/>
  <c r="AV14" i="64"/>
  <c r="AJ14" i="64"/>
  <c r="AS14" i="64"/>
  <c r="AI14" i="64"/>
  <c r="AR14" i="64"/>
  <c r="AH14" i="64"/>
  <c r="AQ14" i="64"/>
  <c r="AG14" i="64"/>
  <c r="AZ14" i="64"/>
  <c r="AP14" i="64"/>
  <c r="BB13" i="64"/>
  <c r="BA13" i="64"/>
  <c r="N13" i="64" s="1"/>
  <c r="N12" i="64"/>
  <c r="Y11" i="64" s="1"/>
  <c r="A16" i="64"/>
  <c r="I10" i="23" s="1"/>
  <c r="K10" i="24" s="1"/>
  <c r="B15" i="64"/>
  <c r="J9" i="23" s="1"/>
  <c r="L9" i="24" s="1"/>
  <c r="BB13" i="63"/>
  <c r="BA13" i="63"/>
  <c r="AX14" i="63"/>
  <c r="AP14" i="63"/>
  <c r="AH14" i="63"/>
  <c r="AW14" i="63"/>
  <c r="AO14" i="63"/>
  <c r="AG14" i="63"/>
  <c r="AV14" i="63"/>
  <c r="AN14" i="63"/>
  <c r="AU14" i="63"/>
  <c r="AM14" i="63"/>
  <c r="AT14" i="63"/>
  <c r="AL14" i="63"/>
  <c r="AS14" i="63"/>
  <c r="AK14" i="63"/>
  <c r="D14" i="63"/>
  <c r="H8" i="23" s="1"/>
  <c r="J8" i="24" s="1"/>
  <c r="AZ14" i="63"/>
  <c r="AR14" i="63"/>
  <c r="AJ14" i="63"/>
  <c r="AY14" i="63"/>
  <c r="AQ14" i="63"/>
  <c r="AI14" i="63"/>
  <c r="B15" i="63"/>
  <c r="F9" i="23" s="1"/>
  <c r="G9" i="24" s="1"/>
  <c r="A16" i="63"/>
  <c r="E10" i="23" s="1"/>
  <c r="F10" i="24" s="1"/>
  <c r="FJ11" i="66" l="1"/>
  <c r="FL11" i="66"/>
  <c r="FJ11" i="67"/>
  <c r="FL11" i="67"/>
  <c r="FJ11" i="64"/>
  <c r="FL11" i="64"/>
  <c r="AB8" i="23"/>
  <c r="E8" i="25" s="1"/>
  <c r="CX14" i="68"/>
  <c r="Z9" i="23"/>
  <c r="B9" i="25" s="1"/>
  <c r="CL15" i="68"/>
  <c r="CG15" i="68"/>
  <c r="CR15" i="68"/>
  <c r="BJ15" i="68"/>
  <c r="BT15" i="68"/>
  <c r="CI15" i="68"/>
  <c r="CS15" i="68"/>
  <c r="BL15" i="68"/>
  <c r="BU15" i="68"/>
  <c r="CJ15" i="68"/>
  <c r="CT15" i="68"/>
  <c r="BM15" i="68"/>
  <c r="BV15" i="68"/>
  <c r="CK15" i="68"/>
  <c r="CU15" i="68"/>
  <c r="BN15" i="68"/>
  <c r="BW15" i="68"/>
  <c r="CN15" i="68"/>
  <c r="CV15" i="68"/>
  <c r="BO15" i="68"/>
  <c r="BX15" i="68"/>
  <c r="CD15" i="68"/>
  <c r="CO15" i="68"/>
  <c r="CW15" i="68"/>
  <c r="BG15" i="68"/>
  <c r="BQ15" i="68"/>
  <c r="BY15" i="68"/>
  <c r="CE15" i="68"/>
  <c r="CP15" i="68"/>
  <c r="BH15" i="68"/>
  <c r="BR15" i="68"/>
  <c r="BZ15" i="68"/>
  <c r="CF15" i="68"/>
  <c r="CQ15" i="68"/>
  <c r="BI15" i="68"/>
  <c r="BS15" i="68"/>
  <c r="BK15" i="68"/>
  <c r="BP15" i="68"/>
  <c r="CM15" i="68"/>
  <c r="CH15" i="68"/>
  <c r="BB13" i="70"/>
  <c r="BA13" i="70"/>
  <c r="N13" i="70" s="1"/>
  <c r="AH8" i="23"/>
  <c r="L8" i="25" s="1"/>
  <c r="AO14" i="70"/>
  <c r="AM14" i="70"/>
  <c r="AX14" i="70"/>
  <c r="AG14" i="70"/>
  <c r="AZ14" i="70"/>
  <c r="AN14" i="70"/>
  <c r="AU14" i="70"/>
  <c r="AP14" i="70"/>
  <c r="AR14" i="70"/>
  <c r="AH14" i="70"/>
  <c r="D14" i="70"/>
  <c r="AK14" i="70"/>
  <c r="AV14" i="70"/>
  <c r="AS14" i="70"/>
  <c r="AQ14" i="70"/>
  <c r="AL14" i="70"/>
  <c r="AI14" i="70"/>
  <c r="AT14" i="70"/>
  <c r="AJ14" i="70"/>
  <c r="AW14" i="70"/>
  <c r="AY14" i="70"/>
  <c r="AG9" i="23"/>
  <c r="K9" i="25" s="1"/>
  <c r="B15" i="70"/>
  <c r="A16" i="70"/>
  <c r="AJ7" i="23"/>
  <c r="O7" i="25"/>
  <c r="CA13" i="70"/>
  <c r="O13" i="70" s="1"/>
  <c r="U9" i="23"/>
  <c r="Z9" i="24" s="1"/>
  <c r="A16" i="67"/>
  <c r="B15" i="67"/>
  <c r="J8" i="25"/>
  <c r="AF8" i="23"/>
  <c r="T8" i="25"/>
  <c r="AN8" i="23"/>
  <c r="V8" i="23"/>
  <c r="AA8" i="24" s="1"/>
  <c r="AI14" i="67"/>
  <c r="AN14" i="67"/>
  <c r="AT14" i="67"/>
  <c r="AK14" i="67"/>
  <c r="AJ14" i="67"/>
  <c r="AX14" i="67"/>
  <c r="AL14" i="67"/>
  <c r="D14" i="67"/>
  <c r="X8" i="23" s="1"/>
  <c r="AD8" i="24" s="1"/>
  <c r="AS14" i="67"/>
  <c r="AW14" i="67"/>
  <c r="AU14" i="67"/>
  <c r="AR14" i="67"/>
  <c r="AO14" i="67"/>
  <c r="AM14" i="67"/>
  <c r="AV14" i="67"/>
  <c r="AG14" i="67"/>
  <c r="AY14" i="67"/>
  <c r="AP14" i="67"/>
  <c r="AZ14" i="67"/>
  <c r="AH14" i="67"/>
  <c r="AQ14" i="67"/>
  <c r="Y7" i="25"/>
  <c r="AR7" i="23"/>
  <c r="AV8" i="23"/>
  <c r="AD8" i="25"/>
  <c r="BB13" i="67"/>
  <c r="BA13" i="67"/>
  <c r="N13" i="67" s="1"/>
  <c r="Q9" i="23"/>
  <c r="U9" i="24" s="1"/>
  <c r="A16" i="66"/>
  <c r="B15" i="66"/>
  <c r="BA13" i="66"/>
  <c r="N13" i="66" s="1"/>
  <c r="BB13" i="66"/>
  <c r="R8" i="23"/>
  <c r="V8" i="24" s="1"/>
  <c r="AM14" i="66"/>
  <c r="AG14" i="66"/>
  <c r="AH14" i="66"/>
  <c r="AP14" i="66"/>
  <c r="AV14" i="66"/>
  <c r="AZ14" i="66"/>
  <c r="AX14" i="66"/>
  <c r="AL14" i="66"/>
  <c r="AT14" i="66"/>
  <c r="AS14" i="66"/>
  <c r="AR14" i="66"/>
  <c r="AN14" i="66"/>
  <c r="AK14" i="66"/>
  <c r="AJ14" i="66"/>
  <c r="AY14" i="66"/>
  <c r="AW14" i="66"/>
  <c r="D14" i="66"/>
  <c r="T8" i="23" s="1"/>
  <c r="Y8" i="24" s="1"/>
  <c r="AO14" i="66"/>
  <c r="AU14" i="66"/>
  <c r="AI14" i="66"/>
  <c r="AQ14" i="66"/>
  <c r="G34" i="50"/>
  <c r="Q12" i="73"/>
  <c r="Z11" i="73"/>
  <c r="Z40" i="73" s="1"/>
  <c r="P14" i="73"/>
  <c r="Q13" i="73"/>
  <c r="BB14" i="73"/>
  <c r="BA14" i="73"/>
  <c r="N14" i="73" s="1"/>
  <c r="Y13" i="73" s="1"/>
  <c r="CA14" i="73"/>
  <c r="O14" i="73" s="1"/>
  <c r="A17" i="73"/>
  <c r="AS11" i="23" s="1"/>
  <c r="Z11" i="25" s="1"/>
  <c r="B16" i="73"/>
  <c r="AT10" i="23" s="1"/>
  <c r="AA10" i="25" s="1"/>
  <c r="AU15" i="73"/>
  <c r="AM15" i="73"/>
  <c r="AT15" i="73"/>
  <c r="AL15" i="73"/>
  <c r="AS15" i="73"/>
  <c r="AK15" i="73"/>
  <c r="D15" i="73"/>
  <c r="AZ15" i="73"/>
  <c r="AR15" i="73"/>
  <c r="AJ15" i="73"/>
  <c r="AW15" i="73"/>
  <c r="AO15" i="73"/>
  <c r="AG15" i="73"/>
  <c r="AV15" i="73"/>
  <c r="AN15" i="73"/>
  <c r="AY15" i="73"/>
  <c r="AX15" i="73"/>
  <c r="AQ15" i="73"/>
  <c r="AP15" i="73"/>
  <c r="AI15" i="73"/>
  <c r="AH15" i="73"/>
  <c r="BB13" i="72"/>
  <c r="BA13" i="72"/>
  <c r="N13" i="72" s="1"/>
  <c r="CA13" i="72"/>
  <c r="A16" i="72"/>
  <c r="AO10" i="23" s="1"/>
  <c r="U10" i="25" s="1"/>
  <c r="B15" i="72"/>
  <c r="AP9" i="23" s="1"/>
  <c r="V9" i="25" s="1"/>
  <c r="AU14" i="72"/>
  <c r="AM14" i="72"/>
  <c r="AS14" i="72"/>
  <c r="AK14" i="72"/>
  <c r="D14" i="72"/>
  <c r="AY14" i="72"/>
  <c r="AQ14" i="72"/>
  <c r="AI14" i="72"/>
  <c r="AX14" i="72"/>
  <c r="AP14" i="72"/>
  <c r="AH14" i="72"/>
  <c r="AW14" i="72"/>
  <c r="AO14" i="72"/>
  <c r="AG14" i="72"/>
  <c r="AV14" i="72"/>
  <c r="AN14" i="72"/>
  <c r="AZ14" i="72"/>
  <c r="AT14" i="72"/>
  <c r="AR14" i="72"/>
  <c r="AL14" i="72"/>
  <c r="AJ14" i="72"/>
  <c r="A17" i="71"/>
  <c r="AK11" i="23" s="1"/>
  <c r="P11" i="25" s="1"/>
  <c r="B16" i="71"/>
  <c r="AL10" i="23" s="1"/>
  <c r="Q10" i="25" s="1"/>
  <c r="BB14" i="71"/>
  <c r="BA14" i="71"/>
  <c r="AS15" i="71"/>
  <c r="AK15" i="71"/>
  <c r="D15" i="71"/>
  <c r="AZ15" i="71"/>
  <c r="AR15" i="71"/>
  <c r="AJ15" i="71"/>
  <c r="AQ15" i="71"/>
  <c r="AG15" i="71"/>
  <c r="AP15" i="71"/>
  <c r="AY15" i="71"/>
  <c r="AO15" i="71"/>
  <c r="AX15" i="71"/>
  <c r="AN15" i="71"/>
  <c r="AW15" i="71"/>
  <c r="AM15" i="71"/>
  <c r="AV15" i="71"/>
  <c r="AL15" i="71"/>
  <c r="AU15" i="71"/>
  <c r="AI15" i="71"/>
  <c r="AT15" i="71"/>
  <c r="AH15" i="71"/>
  <c r="CA14" i="71"/>
  <c r="O14" i="71" s="1"/>
  <c r="N13" i="69"/>
  <c r="Y12" i="69" s="1"/>
  <c r="BB14" i="69"/>
  <c r="BA14" i="69"/>
  <c r="N14" i="69" s="1"/>
  <c r="Y13" i="69" s="1"/>
  <c r="AU15" i="69"/>
  <c r="AM15" i="69"/>
  <c r="AT15" i="69"/>
  <c r="AL15" i="69"/>
  <c r="AS15" i="69"/>
  <c r="AK15" i="69"/>
  <c r="D15" i="69"/>
  <c r="AZ15" i="69"/>
  <c r="AR15" i="69"/>
  <c r="AJ15" i="69"/>
  <c r="AY15" i="69"/>
  <c r="AQ15" i="69"/>
  <c r="AI15" i="69"/>
  <c r="AX15" i="69"/>
  <c r="AP15" i="69"/>
  <c r="AH15" i="69"/>
  <c r="AW15" i="69"/>
  <c r="AO15" i="69"/>
  <c r="AG15" i="69"/>
  <c r="AV15" i="69"/>
  <c r="AN15" i="69"/>
  <c r="B16" i="69"/>
  <c r="AD10" i="23" s="1"/>
  <c r="G10" i="25" s="1"/>
  <c r="A17" i="69"/>
  <c r="AC11" i="23" s="1"/>
  <c r="F11" i="25" s="1"/>
  <c r="O13" i="68"/>
  <c r="AW15" i="68"/>
  <c r="AO15" i="68"/>
  <c r="AG15" i="68"/>
  <c r="AV15" i="68"/>
  <c r="AN15" i="68"/>
  <c r="AS15" i="68"/>
  <c r="AI15" i="68"/>
  <c r="AR15" i="68"/>
  <c r="AH15" i="68"/>
  <c r="AZ15" i="68"/>
  <c r="AL15" i="68"/>
  <c r="AY15" i="68"/>
  <c r="AK15" i="68"/>
  <c r="AX15" i="68"/>
  <c r="AJ15" i="68"/>
  <c r="D15" i="68"/>
  <c r="AU15" i="68"/>
  <c r="AT15" i="68"/>
  <c r="AQ15" i="68"/>
  <c r="AP15" i="68"/>
  <c r="AM15" i="68"/>
  <c r="B16" i="68"/>
  <c r="A17" i="68"/>
  <c r="Y11" i="23" s="1"/>
  <c r="A11" i="25" s="1"/>
  <c r="N13" i="68"/>
  <c r="BB14" i="68"/>
  <c r="BA14" i="68"/>
  <c r="N14" i="68" s="1"/>
  <c r="Y14" i="68" s="1"/>
  <c r="BB14" i="65"/>
  <c r="BA14" i="65"/>
  <c r="A17" i="65"/>
  <c r="M11" i="23" s="1"/>
  <c r="P11" i="24" s="1"/>
  <c r="B16" i="65"/>
  <c r="N10" i="23" s="1"/>
  <c r="Q10" i="24" s="1"/>
  <c r="AW15" i="65"/>
  <c r="AO15" i="65"/>
  <c r="AG15" i="65"/>
  <c r="AV15" i="65"/>
  <c r="AN15" i="65"/>
  <c r="AU15" i="65"/>
  <c r="AM15" i="65"/>
  <c r="AT15" i="65"/>
  <c r="AL15" i="65"/>
  <c r="AS15" i="65"/>
  <c r="AK15" i="65"/>
  <c r="D15" i="65"/>
  <c r="P9" i="23" s="1"/>
  <c r="T9" i="24" s="1"/>
  <c r="AZ15" i="65"/>
  <c r="AR15" i="65"/>
  <c r="AJ15" i="65"/>
  <c r="AY15" i="65"/>
  <c r="AQ15" i="65"/>
  <c r="AI15" i="65"/>
  <c r="AX15" i="65"/>
  <c r="AP15" i="65"/>
  <c r="AH15" i="65"/>
  <c r="CA14" i="65"/>
  <c r="O14" i="65" s="1"/>
  <c r="O13" i="65"/>
  <c r="BB14" i="64"/>
  <c r="BA14" i="64"/>
  <c r="AX15" i="64"/>
  <c r="AP15" i="64"/>
  <c r="AH15" i="64"/>
  <c r="AW15" i="64"/>
  <c r="AO15" i="64"/>
  <c r="AG15" i="64"/>
  <c r="AV15" i="64"/>
  <c r="AL15" i="64"/>
  <c r="AU15" i="64"/>
  <c r="AK15" i="64"/>
  <c r="AT15" i="64"/>
  <c r="AJ15" i="64"/>
  <c r="AS15" i="64"/>
  <c r="AI15" i="64"/>
  <c r="AR15" i="64"/>
  <c r="AQ15" i="64"/>
  <c r="D15" i="64"/>
  <c r="L9" i="23" s="1"/>
  <c r="O9" i="24" s="1"/>
  <c r="AZ15" i="64"/>
  <c r="AN15" i="64"/>
  <c r="AY15" i="64"/>
  <c r="AM15" i="64"/>
  <c r="B16" i="64"/>
  <c r="J10" i="23" s="1"/>
  <c r="L10" i="24" s="1"/>
  <c r="A17" i="64"/>
  <c r="I11" i="23" s="1"/>
  <c r="K11" i="24" s="1"/>
  <c r="AS15" i="63"/>
  <c r="AZ15" i="63"/>
  <c r="AR15" i="63"/>
  <c r="AJ15" i="63"/>
  <c r="AV15" i="63"/>
  <c r="AL15" i="63"/>
  <c r="D15" i="63"/>
  <c r="H9" i="23" s="1"/>
  <c r="J9" i="24" s="1"/>
  <c r="AU15" i="63"/>
  <c r="AK15" i="63"/>
  <c r="AT15" i="63"/>
  <c r="AI15" i="63"/>
  <c r="AQ15" i="63"/>
  <c r="AH15" i="63"/>
  <c r="AP15" i="63"/>
  <c r="AG15" i="63"/>
  <c r="AY15" i="63"/>
  <c r="AO15" i="63"/>
  <c r="AX15" i="63"/>
  <c r="AN15" i="63"/>
  <c r="AW15" i="63"/>
  <c r="AM15" i="63"/>
  <c r="A17" i="63"/>
  <c r="E11" i="23" s="1"/>
  <c r="F11" i="24" s="1"/>
  <c r="B16" i="63"/>
  <c r="F10" i="23" s="1"/>
  <c r="G10" i="24" s="1"/>
  <c r="N13" i="63"/>
  <c r="BB14" i="63"/>
  <c r="BA14" i="63"/>
  <c r="N14" i="63" s="1"/>
  <c r="FJ13" i="69" l="1"/>
  <c r="FL13" i="69"/>
  <c r="FL12" i="69"/>
  <c r="FJ12" i="69"/>
  <c r="FL13" i="73"/>
  <c r="FJ13" i="73"/>
  <c r="AB9" i="23"/>
  <c r="E9" i="25" s="1"/>
  <c r="CX15" i="68"/>
  <c r="Z10" i="23"/>
  <c r="B10" i="25" s="1"/>
  <c r="CL16" i="68"/>
  <c r="CF16" i="68"/>
  <c r="CO16" i="68"/>
  <c r="CW16" i="68"/>
  <c r="BH16" i="68"/>
  <c r="BP16" i="68"/>
  <c r="BX16" i="68"/>
  <c r="CG16" i="68"/>
  <c r="CP16" i="68"/>
  <c r="BI16" i="68"/>
  <c r="BQ16" i="68"/>
  <c r="BY16" i="68"/>
  <c r="CH16" i="68"/>
  <c r="CQ16" i="68"/>
  <c r="BJ16" i="68"/>
  <c r="BR16" i="68"/>
  <c r="BZ16" i="68"/>
  <c r="CI16" i="68"/>
  <c r="CR16" i="68"/>
  <c r="BK16" i="68"/>
  <c r="BS16" i="68"/>
  <c r="CJ16" i="68"/>
  <c r="CS16" i="68"/>
  <c r="BL16" i="68"/>
  <c r="BT16" i="68"/>
  <c r="CK16" i="68"/>
  <c r="CT16" i="68"/>
  <c r="BM16" i="68"/>
  <c r="BU16" i="68"/>
  <c r="CD16" i="68"/>
  <c r="CM16" i="68"/>
  <c r="CU16" i="68"/>
  <c r="BN16" i="68"/>
  <c r="BV16" i="68"/>
  <c r="CE16" i="68"/>
  <c r="CN16" i="68"/>
  <c r="CV16" i="68"/>
  <c r="BG16" i="68"/>
  <c r="BO16" i="68"/>
  <c r="BW16" i="68"/>
  <c r="FL14" i="68"/>
  <c r="FJ14" i="68"/>
  <c r="BB14" i="70"/>
  <c r="BA14" i="70"/>
  <c r="N14" i="70" s="1"/>
  <c r="Y14" i="70" s="1"/>
  <c r="AJ8" i="23"/>
  <c r="O8" i="25"/>
  <c r="CA14" i="70"/>
  <c r="O14" i="70" s="1"/>
  <c r="AG10" i="23"/>
  <c r="K10" i="25" s="1"/>
  <c r="A17" i="70"/>
  <c r="B16" i="70"/>
  <c r="AH9" i="23"/>
  <c r="L9" i="25" s="1"/>
  <c r="AS15" i="70"/>
  <c r="AQ15" i="70"/>
  <c r="AX15" i="70"/>
  <c r="AL15" i="70"/>
  <c r="AK15" i="70"/>
  <c r="AZ15" i="70"/>
  <c r="AG15" i="70"/>
  <c r="AN15" i="70"/>
  <c r="D15" i="70"/>
  <c r="AR15" i="70"/>
  <c r="AY15" i="70"/>
  <c r="AJ15" i="70"/>
  <c r="AT15" i="70"/>
  <c r="AO15" i="70"/>
  <c r="AH15" i="70"/>
  <c r="AW15" i="70"/>
  <c r="AM15" i="70"/>
  <c r="AU15" i="70"/>
  <c r="AP15" i="70"/>
  <c r="AV15" i="70"/>
  <c r="AI15" i="70"/>
  <c r="P14" i="70"/>
  <c r="AD9" i="25"/>
  <c r="AV9" i="23"/>
  <c r="Y13" i="68"/>
  <c r="V9" i="23"/>
  <c r="AA9" i="24" s="1"/>
  <c r="AL15" i="67"/>
  <c r="D15" i="67"/>
  <c r="X9" i="23" s="1"/>
  <c r="AD9" i="24" s="1"/>
  <c r="AR15" i="67"/>
  <c r="AQ15" i="67"/>
  <c r="AH15" i="67"/>
  <c r="AS15" i="67"/>
  <c r="AP15" i="67"/>
  <c r="AJ15" i="67"/>
  <c r="AI15" i="67"/>
  <c r="AV15" i="67"/>
  <c r="AN15" i="67"/>
  <c r="AW15" i="67"/>
  <c r="AO15" i="67"/>
  <c r="AT15" i="67"/>
  <c r="AY15" i="67"/>
  <c r="AG15" i="67"/>
  <c r="AZ15" i="67"/>
  <c r="AX15" i="67"/>
  <c r="AK15" i="67"/>
  <c r="AU15" i="67"/>
  <c r="AM15" i="67"/>
  <c r="T9" i="25"/>
  <c r="AN9" i="23"/>
  <c r="Y8" i="25"/>
  <c r="AR8" i="23"/>
  <c r="U10" i="23"/>
  <c r="Z10" i="24" s="1"/>
  <c r="A17" i="67"/>
  <c r="B16" i="67"/>
  <c r="AF9" i="23"/>
  <c r="J9" i="25"/>
  <c r="BB14" i="67"/>
  <c r="BA14" i="67"/>
  <c r="N14" i="67" s="1"/>
  <c r="BB14" i="66"/>
  <c r="BA14" i="66"/>
  <c r="N14" i="66" s="1"/>
  <c r="R9" i="23"/>
  <c r="V9" i="24" s="1"/>
  <c r="AV15" i="66"/>
  <c r="AP15" i="66"/>
  <c r="AY15" i="66"/>
  <c r="AZ15" i="66"/>
  <c r="AN15" i="66"/>
  <c r="AX15" i="66"/>
  <c r="AR15" i="66"/>
  <c r="AI15" i="66"/>
  <c r="AW15" i="66"/>
  <c r="AH15" i="66"/>
  <c r="AK15" i="66"/>
  <c r="AO15" i="66"/>
  <c r="AT15" i="66"/>
  <c r="D15" i="66"/>
  <c r="T9" i="23" s="1"/>
  <c r="Y9" i="24" s="1"/>
  <c r="AG15" i="66"/>
  <c r="AU15" i="66"/>
  <c r="AL15" i="66"/>
  <c r="AM15" i="66"/>
  <c r="AS15" i="66"/>
  <c r="AQ15" i="66"/>
  <c r="AJ15" i="66"/>
  <c r="Q10" i="23"/>
  <c r="U10" i="24" s="1"/>
  <c r="B16" i="66"/>
  <c r="A17" i="66"/>
  <c r="P15" i="73"/>
  <c r="Q14" i="73"/>
  <c r="CA15" i="73"/>
  <c r="O15" i="73" s="1"/>
  <c r="BB15" i="73"/>
  <c r="BA15" i="73"/>
  <c r="AX16" i="73"/>
  <c r="AP16" i="73"/>
  <c r="AH16" i="73"/>
  <c r="AW16" i="73"/>
  <c r="AO16" i="73"/>
  <c r="AG16" i="73"/>
  <c r="AV16" i="73"/>
  <c r="AN16" i="73"/>
  <c r="AU16" i="73"/>
  <c r="AM16" i="73"/>
  <c r="AT16" i="73"/>
  <c r="AL16" i="73"/>
  <c r="AS16" i="73"/>
  <c r="AK16" i="73"/>
  <c r="D16" i="73"/>
  <c r="AZ16" i="73"/>
  <c r="AR16" i="73"/>
  <c r="AJ16" i="73"/>
  <c r="AY16" i="73"/>
  <c r="AQ16" i="73"/>
  <c r="AI16" i="73"/>
  <c r="B17" i="73"/>
  <c r="AT11" i="23" s="1"/>
  <c r="AA11" i="25" s="1"/>
  <c r="A18" i="73"/>
  <c r="AS12" i="23" s="1"/>
  <c r="Z12" i="25" s="1"/>
  <c r="AX15" i="72"/>
  <c r="AP15" i="72"/>
  <c r="AH15" i="72"/>
  <c r="AV15" i="72"/>
  <c r="AN15" i="72"/>
  <c r="AT15" i="72"/>
  <c r="AL15" i="72"/>
  <c r="AS15" i="72"/>
  <c r="AK15" i="72"/>
  <c r="D15" i="72"/>
  <c r="AZ15" i="72"/>
  <c r="AR15" i="72"/>
  <c r="AJ15" i="72"/>
  <c r="AY15" i="72"/>
  <c r="AQ15" i="72"/>
  <c r="AI15" i="72"/>
  <c r="AW15" i="72"/>
  <c r="AU15" i="72"/>
  <c r="AO15" i="72"/>
  <c r="AM15" i="72"/>
  <c r="AG15" i="72"/>
  <c r="A17" i="72"/>
  <c r="AO11" i="23" s="1"/>
  <c r="U11" i="25" s="1"/>
  <c r="B16" i="72"/>
  <c r="AP10" i="23" s="1"/>
  <c r="V10" i="25" s="1"/>
  <c r="BB14" i="72"/>
  <c r="BA14" i="72"/>
  <c r="O13" i="72"/>
  <c r="CA15" i="71"/>
  <c r="N14" i="71"/>
  <c r="BB15" i="71"/>
  <c r="BA15" i="71"/>
  <c r="N15" i="71" s="1"/>
  <c r="AV16" i="71"/>
  <c r="AN16" i="71"/>
  <c r="AU16" i="71"/>
  <c r="AM16" i="71"/>
  <c r="AZ16" i="71"/>
  <c r="AP16" i="71"/>
  <c r="AY16" i="71"/>
  <c r="AO16" i="71"/>
  <c r="D16" i="71"/>
  <c r="AX16" i="71"/>
  <c r="AL16" i="71"/>
  <c r="AW16" i="71"/>
  <c r="AK16" i="71"/>
  <c r="AT16" i="71"/>
  <c r="AJ16" i="71"/>
  <c r="AS16" i="71"/>
  <c r="AI16" i="71"/>
  <c r="AR16" i="71"/>
  <c r="AH16" i="71"/>
  <c r="AQ16" i="71"/>
  <c r="AG16" i="71"/>
  <c r="A18" i="71"/>
  <c r="AK12" i="23" s="1"/>
  <c r="P12" i="25" s="1"/>
  <c r="B17" i="71"/>
  <c r="AL11" i="23" s="1"/>
  <c r="Q11" i="25" s="1"/>
  <c r="AS16" i="69"/>
  <c r="AK16" i="69"/>
  <c r="D16" i="69"/>
  <c r="AY16" i="69"/>
  <c r="AQ16" i="69"/>
  <c r="AI16" i="69"/>
  <c r="AZ16" i="69"/>
  <c r="AO16" i="69"/>
  <c r="AX16" i="69"/>
  <c r="AN16" i="69"/>
  <c r="AW16" i="69"/>
  <c r="AM16" i="69"/>
  <c r="AV16" i="69"/>
  <c r="AL16" i="69"/>
  <c r="AU16" i="69"/>
  <c r="AJ16" i="69"/>
  <c r="AT16" i="69"/>
  <c r="AH16" i="69"/>
  <c r="AR16" i="69"/>
  <c r="AG16" i="69"/>
  <c r="AP16" i="69"/>
  <c r="A18" i="69"/>
  <c r="AC12" i="23" s="1"/>
  <c r="F12" i="25" s="1"/>
  <c r="B17" i="69"/>
  <c r="AD11" i="23" s="1"/>
  <c r="G11" i="25" s="1"/>
  <c r="BB15" i="69"/>
  <c r="BA15" i="69"/>
  <c r="N15" i="69" s="1"/>
  <c r="A18" i="68"/>
  <c r="Y12" i="23" s="1"/>
  <c r="A12" i="25" s="1"/>
  <c r="B17" i="68"/>
  <c r="AZ16" i="68"/>
  <c r="AR16" i="68"/>
  <c r="AJ16" i="68"/>
  <c r="AY16" i="68"/>
  <c r="AQ16" i="68"/>
  <c r="AI16" i="68"/>
  <c r="AV16" i="68"/>
  <c r="AL16" i="68"/>
  <c r="AU16" i="68"/>
  <c r="AK16" i="68"/>
  <c r="AM16" i="68"/>
  <c r="AX16" i="68"/>
  <c r="AH16" i="68"/>
  <c r="AW16" i="68"/>
  <c r="AG16" i="68"/>
  <c r="AT16" i="68"/>
  <c r="AS16" i="68"/>
  <c r="AP16" i="68"/>
  <c r="AO16" i="68"/>
  <c r="D16" i="68"/>
  <c r="AN16" i="68"/>
  <c r="BB15" i="68"/>
  <c r="BA15" i="68"/>
  <c r="N15" i="68" s="1"/>
  <c r="AU16" i="65"/>
  <c r="AM16" i="65"/>
  <c r="AT16" i="65"/>
  <c r="AL16" i="65"/>
  <c r="AV16" i="65"/>
  <c r="AJ16" i="65"/>
  <c r="AS16" i="65"/>
  <c r="AI16" i="65"/>
  <c r="AR16" i="65"/>
  <c r="AH16" i="65"/>
  <c r="AQ16" i="65"/>
  <c r="AG16" i="65"/>
  <c r="AZ16" i="65"/>
  <c r="AP16" i="65"/>
  <c r="AY16" i="65"/>
  <c r="AO16" i="65"/>
  <c r="D16" i="65"/>
  <c r="P10" i="23" s="1"/>
  <c r="T10" i="24" s="1"/>
  <c r="AX16" i="65"/>
  <c r="AN16" i="65"/>
  <c r="AW16" i="65"/>
  <c r="AK16" i="65"/>
  <c r="B17" i="65"/>
  <c r="N11" i="23" s="1"/>
  <c r="Q11" i="24" s="1"/>
  <c r="A18" i="65"/>
  <c r="M12" i="23" s="1"/>
  <c r="P12" i="24" s="1"/>
  <c r="N14" i="65"/>
  <c r="BB15" i="65"/>
  <c r="BA15" i="65"/>
  <c r="N15" i="65" s="1"/>
  <c r="A18" i="64"/>
  <c r="I12" i="23" s="1"/>
  <c r="K12" i="24" s="1"/>
  <c r="B17" i="64"/>
  <c r="J11" i="23" s="1"/>
  <c r="L11" i="24" s="1"/>
  <c r="AT16" i="64"/>
  <c r="AL16" i="64"/>
  <c r="AS16" i="64"/>
  <c r="AK16" i="64"/>
  <c r="D16" i="64"/>
  <c r="L10" i="23" s="1"/>
  <c r="O10" i="24" s="1"/>
  <c r="AZ16" i="64"/>
  <c r="AR16" i="64"/>
  <c r="AJ16" i="64"/>
  <c r="AY16" i="64"/>
  <c r="AQ16" i="64"/>
  <c r="AI16" i="64"/>
  <c r="AM16" i="64"/>
  <c r="AX16" i="64"/>
  <c r="AH16" i="64"/>
  <c r="AW16" i="64"/>
  <c r="AG16" i="64"/>
  <c r="AV16" i="64"/>
  <c r="AU16" i="64"/>
  <c r="AP16" i="64"/>
  <c r="AO16" i="64"/>
  <c r="AN16" i="64"/>
  <c r="BB15" i="64"/>
  <c r="BA15" i="64"/>
  <c r="N15" i="64" s="1"/>
  <c r="N14" i="64"/>
  <c r="AV16" i="63"/>
  <c r="AN16" i="63"/>
  <c r="AU16" i="63"/>
  <c r="AM16" i="63"/>
  <c r="AS16" i="63"/>
  <c r="AI16" i="63"/>
  <c r="AR16" i="63"/>
  <c r="AH16" i="63"/>
  <c r="AQ16" i="63"/>
  <c r="AG16" i="63"/>
  <c r="AZ16" i="63"/>
  <c r="AP16" i="63"/>
  <c r="AY16" i="63"/>
  <c r="AO16" i="63"/>
  <c r="D16" i="63"/>
  <c r="H10" i="23" s="1"/>
  <c r="J10" i="24" s="1"/>
  <c r="AX16" i="63"/>
  <c r="AL16" i="63"/>
  <c r="AW16" i="63"/>
  <c r="AK16" i="63"/>
  <c r="AT16" i="63"/>
  <c r="AJ16" i="63"/>
  <c r="B17" i="63"/>
  <c r="F11" i="23" s="1"/>
  <c r="G11" i="24" s="1"/>
  <c r="A18" i="63"/>
  <c r="E12" i="23" s="1"/>
  <c r="F12" i="24" s="1"/>
  <c r="BB15" i="63"/>
  <c r="BA15" i="63"/>
  <c r="FL14" i="70" l="1"/>
  <c r="FJ14" i="70"/>
  <c r="AB10" i="23"/>
  <c r="E10" i="25" s="1"/>
  <c r="CX16" i="68"/>
  <c r="Z11" i="23"/>
  <c r="B11" i="25" s="1"/>
  <c r="CL17" i="68"/>
  <c r="CK17" i="68"/>
  <c r="CT17" i="68"/>
  <c r="BL17" i="68"/>
  <c r="BT17" i="68"/>
  <c r="CD17" i="68"/>
  <c r="CM17" i="68"/>
  <c r="CU17" i="68"/>
  <c r="BM17" i="68"/>
  <c r="BU17" i="68"/>
  <c r="CE17" i="68"/>
  <c r="CN17" i="68"/>
  <c r="CV17" i="68"/>
  <c r="BN17" i="68"/>
  <c r="BV17" i="68"/>
  <c r="CF17" i="68"/>
  <c r="CO17" i="68"/>
  <c r="CW17" i="68"/>
  <c r="BG17" i="68"/>
  <c r="BO17" i="68"/>
  <c r="BW17" i="68"/>
  <c r="CG17" i="68"/>
  <c r="CP17" i="68"/>
  <c r="BH17" i="68"/>
  <c r="BP17" i="68"/>
  <c r="BX17" i="68"/>
  <c r="CH17" i="68"/>
  <c r="CQ17" i="68"/>
  <c r="BI17" i="68"/>
  <c r="BQ17" i="68"/>
  <c r="BY17" i="68"/>
  <c r="CI17" i="68"/>
  <c r="CR17" i="68"/>
  <c r="BJ17" i="68"/>
  <c r="BR17" i="68"/>
  <c r="BZ17" i="68"/>
  <c r="CJ17" i="68"/>
  <c r="CS17" i="68"/>
  <c r="BK17" i="68"/>
  <c r="BS17" i="68"/>
  <c r="FL13" i="68"/>
  <c r="FJ13" i="68"/>
  <c r="AH10" i="23"/>
  <c r="L10" i="25" s="1"/>
  <c r="AR16" i="70"/>
  <c r="AH16" i="70"/>
  <c r="AY16" i="70"/>
  <c r="AS16" i="70"/>
  <c r="AV16" i="70"/>
  <c r="AO16" i="70"/>
  <c r="AW16" i="70"/>
  <c r="AI16" i="70"/>
  <c r="AN16" i="70"/>
  <c r="AZ16" i="70"/>
  <c r="D16" i="70"/>
  <c r="AK16" i="70"/>
  <c r="AP16" i="70"/>
  <c r="AT16" i="70"/>
  <c r="AU16" i="70"/>
  <c r="AQ16" i="70"/>
  <c r="AX16" i="70"/>
  <c r="AJ16" i="70"/>
  <c r="AL16" i="70"/>
  <c r="AM16" i="70"/>
  <c r="AG16" i="70"/>
  <c r="AG11" i="23"/>
  <c r="K11" i="25" s="1"/>
  <c r="A18" i="70"/>
  <c r="B17" i="70"/>
  <c r="BA15" i="70"/>
  <c r="N15" i="70" s="1"/>
  <c r="BB15" i="70"/>
  <c r="Q14" i="70"/>
  <c r="O9" i="25"/>
  <c r="AJ9" i="23"/>
  <c r="CA15" i="70"/>
  <c r="O15" i="70" s="1"/>
  <c r="T10" i="25"/>
  <c r="AN10" i="23"/>
  <c r="AF10" i="23"/>
  <c r="J10" i="25"/>
  <c r="BB15" i="67"/>
  <c r="BA15" i="67"/>
  <c r="N15" i="67" s="1"/>
  <c r="CA15" i="67"/>
  <c r="O15" i="67" s="1"/>
  <c r="Y9" i="25"/>
  <c r="AR9" i="23"/>
  <c r="V10" i="23"/>
  <c r="AA10" i="24" s="1"/>
  <c r="AV16" i="67"/>
  <c r="AN16" i="67"/>
  <c r="AX16" i="67"/>
  <c r="AJ16" i="67"/>
  <c r="AW16" i="67"/>
  <c r="AS16" i="67"/>
  <c r="AP16" i="67"/>
  <c r="AI16" i="67"/>
  <c r="AO16" i="67"/>
  <c r="AT16" i="67"/>
  <c r="AK16" i="67"/>
  <c r="AZ16" i="67"/>
  <c r="AY16" i="67"/>
  <c r="AH16" i="67"/>
  <c r="AM16" i="67"/>
  <c r="AG16" i="67"/>
  <c r="AU16" i="67"/>
  <c r="AL16" i="67"/>
  <c r="D16" i="67"/>
  <c r="X10" i="23" s="1"/>
  <c r="AD10" i="24" s="1"/>
  <c r="AR16" i="67"/>
  <c r="AQ16" i="67"/>
  <c r="AD10" i="25"/>
  <c r="AV10" i="23"/>
  <c r="U11" i="23"/>
  <c r="Z11" i="24" s="1"/>
  <c r="B17" i="67"/>
  <c r="A18" i="67"/>
  <c r="Q11" i="23"/>
  <c r="U11" i="24" s="1"/>
  <c r="B17" i="66"/>
  <c r="A18" i="66"/>
  <c r="R10" i="23"/>
  <c r="V10" i="24" s="1"/>
  <c r="AR16" i="66"/>
  <c r="AI16" i="66"/>
  <c r="AT16" i="66"/>
  <c r="AU16" i="66"/>
  <c r="AJ16" i="66"/>
  <c r="AV16" i="66"/>
  <c r="AN16" i="66"/>
  <c r="AK16" i="66"/>
  <c r="AW16" i="66"/>
  <c r="AS16" i="66"/>
  <c r="AL16" i="66"/>
  <c r="AO16" i="66"/>
  <c r="AX16" i="66"/>
  <c r="AG16" i="66"/>
  <c r="AM16" i="66"/>
  <c r="AY16" i="66"/>
  <c r="AP16" i="66"/>
  <c r="D16" i="66"/>
  <c r="T10" i="23" s="1"/>
  <c r="Y10" i="24" s="1"/>
  <c r="AZ16" i="66"/>
  <c r="AQ16" i="66"/>
  <c r="AH16" i="66"/>
  <c r="BA15" i="66"/>
  <c r="N15" i="66" s="1"/>
  <c r="BB15" i="66"/>
  <c r="P16" i="73"/>
  <c r="CA16" i="73"/>
  <c r="O16" i="73" s="1"/>
  <c r="BB16" i="73"/>
  <c r="BA16" i="73"/>
  <c r="N16" i="73" s="1"/>
  <c r="A19" i="73"/>
  <c r="AS13" i="23" s="1"/>
  <c r="Z13" i="25" s="1"/>
  <c r="B18" i="73"/>
  <c r="AT12" i="23" s="1"/>
  <c r="AA12" i="25" s="1"/>
  <c r="N15" i="73"/>
  <c r="AS17" i="73"/>
  <c r="AK17" i="73"/>
  <c r="D17" i="73"/>
  <c r="AZ17" i="73"/>
  <c r="AR17" i="73"/>
  <c r="AJ17" i="73"/>
  <c r="AY17" i="73"/>
  <c r="AQ17" i="73"/>
  <c r="AI17" i="73"/>
  <c r="AX17" i="73"/>
  <c r="AP17" i="73"/>
  <c r="AH17" i="73"/>
  <c r="AW17" i="73"/>
  <c r="AO17" i="73"/>
  <c r="AG17" i="73"/>
  <c r="AV17" i="73"/>
  <c r="AN17" i="73"/>
  <c r="AU17" i="73"/>
  <c r="AM17" i="73"/>
  <c r="AT17" i="73"/>
  <c r="AL17" i="73"/>
  <c r="AS16" i="72"/>
  <c r="AK16" i="72"/>
  <c r="D16" i="72"/>
  <c r="AY16" i="72"/>
  <c r="AQ16" i="72"/>
  <c r="AI16" i="72"/>
  <c r="AX16" i="72"/>
  <c r="AP16" i="72"/>
  <c r="AH16" i="72"/>
  <c r="AW16" i="72"/>
  <c r="AO16" i="72"/>
  <c r="AG16" i="72"/>
  <c r="AV16" i="72"/>
  <c r="AN16" i="72"/>
  <c r="AU16" i="72"/>
  <c r="AM16" i="72"/>
  <c r="AT16" i="72"/>
  <c r="AL16" i="72"/>
  <c r="AR16" i="72"/>
  <c r="AJ16" i="72"/>
  <c r="AZ16" i="72"/>
  <c r="N14" i="72"/>
  <c r="A18" i="72"/>
  <c r="AO12" i="23" s="1"/>
  <c r="U12" i="25" s="1"/>
  <c r="B17" i="72"/>
  <c r="AP11" i="23" s="1"/>
  <c r="V11" i="25" s="1"/>
  <c r="BB15" i="72"/>
  <c r="BA15" i="72"/>
  <c r="N15" i="72" s="1"/>
  <c r="AY17" i="71"/>
  <c r="AQ17" i="71"/>
  <c r="AI17" i="71"/>
  <c r="AX17" i="71"/>
  <c r="AP17" i="71"/>
  <c r="AH17" i="71"/>
  <c r="AT17" i="71"/>
  <c r="AJ17" i="71"/>
  <c r="AS17" i="71"/>
  <c r="AG17" i="71"/>
  <c r="AR17" i="71"/>
  <c r="AO17" i="71"/>
  <c r="AZ17" i="71"/>
  <c r="AN17" i="71"/>
  <c r="AW17" i="71"/>
  <c r="AM17" i="71"/>
  <c r="D17" i="71"/>
  <c r="AV17" i="71"/>
  <c r="AL17" i="71"/>
  <c r="AU17" i="71"/>
  <c r="AK17" i="71"/>
  <c r="A19" i="71"/>
  <c r="AK13" i="23" s="1"/>
  <c r="P13" i="25" s="1"/>
  <c r="B18" i="71"/>
  <c r="AL12" i="23" s="1"/>
  <c r="Q12" i="25" s="1"/>
  <c r="BB16" i="71"/>
  <c r="BA16" i="71"/>
  <c r="N16" i="71" s="1"/>
  <c r="O15" i="71"/>
  <c r="BB16" i="69"/>
  <c r="BA16" i="69"/>
  <c r="N16" i="69" s="1"/>
  <c r="AV17" i="69"/>
  <c r="AN17" i="69"/>
  <c r="AT17" i="69"/>
  <c r="AL17" i="69"/>
  <c r="AS17" i="69"/>
  <c r="AK17" i="69"/>
  <c r="D17" i="69"/>
  <c r="AZ17" i="69"/>
  <c r="AR17" i="69"/>
  <c r="AJ17" i="69"/>
  <c r="AM17" i="69"/>
  <c r="AY17" i="69"/>
  <c r="AI17" i="69"/>
  <c r="AX17" i="69"/>
  <c r="AH17" i="69"/>
  <c r="AW17" i="69"/>
  <c r="AG17" i="69"/>
  <c r="AU17" i="69"/>
  <c r="AQ17" i="69"/>
  <c r="AP17" i="69"/>
  <c r="AO17" i="69"/>
  <c r="A19" i="69"/>
  <c r="AC13" i="23" s="1"/>
  <c r="F13" i="25" s="1"/>
  <c r="B18" i="69"/>
  <c r="AD12" i="23" s="1"/>
  <c r="G12" i="25" s="1"/>
  <c r="BB16" i="68"/>
  <c r="BA16" i="68"/>
  <c r="N16" i="68" s="1"/>
  <c r="Y16" i="68" s="1"/>
  <c r="AU17" i="68"/>
  <c r="AM17" i="68"/>
  <c r="AT17" i="68"/>
  <c r="AL17" i="68"/>
  <c r="AS17" i="68"/>
  <c r="AI17" i="68"/>
  <c r="AR17" i="68"/>
  <c r="AH17" i="68"/>
  <c r="AZ17" i="68"/>
  <c r="AN17" i="68"/>
  <c r="AY17" i="68"/>
  <c r="AK17" i="68"/>
  <c r="AX17" i="68"/>
  <c r="AJ17" i="68"/>
  <c r="AW17" i="68"/>
  <c r="AG17" i="68"/>
  <c r="AV17" i="68"/>
  <c r="AQ17" i="68"/>
  <c r="D17" i="68"/>
  <c r="AP17" i="68"/>
  <c r="AO17" i="68"/>
  <c r="A19" i="68"/>
  <c r="Y13" i="23" s="1"/>
  <c r="A13" i="25" s="1"/>
  <c r="B18" i="68"/>
  <c r="B18" i="65"/>
  <c r="N12" i="23" s="1"/>
  <c r="Q12" i="24" s="1"/>
  <c r="A19" i="65"/>
  <c r="M13" i="23" s="1"/>
  <c r="P13" i="24" s="1"/>
  <c r="AX17" i="65"/>
  <c r="AP17" i="65"/>
  <c r="AH17" i="65"/>
  <c r="AW17" i="65"/>
  <c r="AO17" i="65"/>
  <c r="AG17" i="65"/>
  <c r="AR17" i="65"/>
  <c r="AQ17" i="65"/>
  <c r="AZ17" i="65"/>
  <c r="AN17" i="65"/>
  <c r="D17" i="65"/>
  <c r="P11" i="23" s="1"/>
  <c r="T11" i="24" s="1"/>
  <c r="AY17" i="65"/>
  <c r="AM17" i="65"/>
  <c r="AV17" i="65"/>
  <c r="AL17" i="65"/>
  <c r="AU17" i="65"/>
  <c r="AK17" i="65"/>
  <c r="AT17" i="65"/>
  <c r="AJ17" i="65"/>
  <c r="AS17" i="65"/>
  <c r="AI17" i="65"/>
  <c r="BB16" i="65"/>
  <c r="BA16" i="65"/>
  <c r="BB16" i="64"/>
  <c r="BA16" i="64"/>
  <c r="AW17" i="64"/>
  <c r="AO17" i="64"/>
  <c r="AG17" i="64"/>
  <c r="AV17" i="64"/>
  <c r="AN17" i="64"/>
  <c r="AU17" i="64"/>
  <c r="AM17" i="64"/>
  <c r="AT17" i="64"/>
  <c r="AL17" i="64"/>
  <c r="AZ17" i="64"/>
  <c r="AR17" i="64"/>
  <c r="AP17" i="64"/>
  <c r="AK17" i="64"/>
  <c r="AJ17" i="64"/>
  <c r="AI17" i="64"/>
  <c r="AY17" i="64"/>
  <c r="AH17" i="64"/>
  <c r="D17" i="64"/>
  <c r="L11" i="23" s="1"/>
  <c r="O11" i="24" s="1"/>
  <c r="AX17" i="64"/>
  <c r="AS17" i="64"/>
  <c r="AQ17" i="64"/>
  <c r="B18" i="64"/>
  <c r="J12" i="23" s="1"/>
  <c r="L12" i="24" s="1"/>
  <c r="A19" i="64"/>
  <c r="I13" i="23" s="1"/>
  <c r="K13" i="24" s="1"/>
  <c r="CA16" i="64"/>
  <c r="AY17" i="63"/>
  <c r="AQ17" i="63"/>
  <c r="AI17" i="63"/>
  <c r="AX17" i="63"/>
  <c r="AP17" i="63"/>
  <c r="AH17" i="63"/>
  <c r="AW17" i="63"/>
  <c r="AM17" i="63"/>
  <c r="D17" i="63"/>
  <c r="H11" i="23" s="1"/>
  <c r="J11" i="24" s="1"/>
  <c r="AV17" i="63"/>
  <c r="AL17" i="63"/>
  <c r="AU17" i="63"/>
  <c r="AK17" i="63"/>
  <c r="AT17" i="63"/>
  <c r="AJ17" i="63"/>
  <c r="AS17" i="63"/>
  <c r="AG17" i="63"/>
  <c r="AR17" i="63"/>
  <c r="AO17" i="63"/>
  <c r="AZ17" i="63"/>
  <c r="AN17" i="63"/>
  <c r="N15" i="63"/>
  <c r="A19" i="63"/>
  <c r="E13" i="23" s="1"/>
  <c r="F13" i="24" s="1"/>
  <c r="B18" i="63"/>
  <c r="F12" i="23" s="1"/>
  <c r="G12" i="24" s="1"/>
  <c r="BB16" i="63"/>
  <c r="BA16" i="63"/>
  <c r="N16" i="63" s="1"/>
  <c r="AB11" i="23" l="1"/>
  <c r="E11" i="25" s="1"/>
  <c r="CX17" i="68"/>
  <c r="Z12" i="23"/>
  <c r="B12" i="25" s="1"/>
  <c r="CL18" i="68"/>
  <c r="CH18" i="68"/>
  <c r="CQ18" i="68"/>
  <c r="BH18" i="68"/>
  <c r="BP18" i="68"/>
  <c r="BX18" i="68"/>
  <c r="CI18" i="68"/>
  <c r="CR18" i="68"/>
  <c r="BI18" i="68"/>
  <c r="BQ18" i="68"/>
  <c r="CJ18" i="68"/>
  <c r="CS18" i="68"/>
  <c r="BJ18" i="68"/>
  <c r="BR18" i="68"/>
  <c r="BZ18" i="68"/>
  <c r="CK18" i="68"/>
  <c r="CT18" i="68"/>
  <c r="BK18" i="68"/>
  <c r="BS18" i="68"/>
  <c r="CD18" i="68"/>
  <c r="CM18" i="68"/>
  <c r="CU18" i="68"/>
  <c r="BL18" i="68"/>
  <c r="CE18" i="68"/>
  <c r="CN18" i="68"/>
  <c r="CV18" i="68"/>
  <c r="BM18" i="68"/>
  <c r="BU18" i="68"/>
  <c r="CF18" i="68"/>
  <c r="CO18" i="68"/>
  <c r="CW18" i="68"/>
  <c r="BN18" i="68"/>
  <c r="BV18" i="68"/>
  <c r="CG18" i="68"/>
  <c r="CP18" i="68"/>
  <c r="BG18" i="68"/>
  <c r="BO18" i="68"/>
  <c r="BW18" i="68"/>
  <c r="BT18" i="68"/>
  <c r="BY18" i="68"/>
  <c r="FJ16" i="68"/>
  <c r="FL16" i="68"/>
  <c r="AH11" i="23"/>
  <c r="L11" i="25" s="1"/>
  <c r="AY17" i="70"/>
  <c r="AP17" i="70"/>
  <c r="AM17" i="70"/>
  <c r="AK17" i="70"/>
  <c r="AZ17" i="70"/>
  <c r="AQ17" i="70"/>
  <c r="AH17" i="70"/>
  <c r="AN17" i="70"/>
  <c r="AR17" i="70"/>
  <c r="AI17" i="70"/>
  <c r="AJ17" i="70"/>
  <c r="AV17" i="70"/>
  <c r="AT17" i="70"/>
  <c r="D17" i="70"/>
  <c r="AW17" i="70"/>
  <c r="AL17" i="70"/>
  <c r="AO17" i="70"/>
  <c r="AS17" i="70"/>
  <c r="AX17" i="70"/>
  <c r="AG17" i="70"/>
  <c r="AU17" i="70"/>
  <c r="AJ10" i="23"/>
  <c r="O10" i="25"/>
  <c r="CA16" i="70"/>
  <c r="O16" i="70" s="1"/>
  <c r="AG12" i="23"/>
  <c r="K12" i="25" s="1"/>
  <c r="B18" i="70"/>
  <c r="A19" i="70"/>
  <c r="BB16" i="70"/>
  <c r="BA16" i="70"/>
  <c r="N16" i="70" s="1"/>
  <c r="U12" i="23"/>
  <c r="Z12" i="24" s="1"/>
  <c r="B18" i="67"/>
  <c r="A19" i="67"/>
  <c r="BB16" i="67"/>
  <c r="BA16" i="67"/>
  <c r="N16" i="67" s="1"/>
  <c r="J11" i="25"/>
  <c r="AF11" i="23"/>
  <c r="V11" i="23"/>
  <c r="AA11" i="24" s="1"/>
  <c r="AQ17" i="67"/>
  <c r="AZ17" i="67"/>
  <c r="AI17" i="67"/>
  <c r="AN17" i="67"/>
  <c r="AS17" i="67"/>
  <c r="AY17" i="67"/>
  <c r="AR17" i="67"/>
  <c r="AK17" i="67"/>
  <c r="AJ17" i="67"/>
  <c r="AW17" i="67"/>
  <c r="AT17" i="67"/>
  <c r="D17" i="67"/>
  <c r="X11" i="23" s="1"/>
  <c r="AD11" i="24" s="1"/>
  <c r="AL17" i="67"/>
  <c r="AH17" i="67"/>
  <c r="AO17" i="67"/>
  <c r="AU17" i="67"/>
  <c r="AX17" i="67"/>
  <c r="AG17" i="67"/>
  <c r="AM17" i="67"/>
  <c r="AP17" i="67"/>
  <c r="AV17" i="67"/>
  <c r="AV11" i="23"/>
  <c r="AD11" i="25"/>
  <c r="T11" i="25"/>
  <c r="AN11" i="23"/>
  <c r="Y10" i="25"/>
  <c r="AR10" i="23"/>
  <c r="CA16" i="67"/>
  <c r="O16" i="67" s="1"/>
  <c r="BB16" i="66"/>
  <c r="BA16" i="66"/>
  <c r="N16" i="66" s="1"/>
  <c r="Q12" i="23"/>
  <c r="U12" i="24" s="1"/>
  <c r="B18" i="66"/>
  <c r="A19" i="66"/>
  <c r="R11" i="23"/>
  <c r="V11" i="24" s="1"/>
  <c r="AT17" i="66"/>
  <c r="AK17" i="66"/>
  <c r="AR17" i="66"/>
  <c r="AQ17" i="66"/>
  <c r="AH17" i="66"/>
  <c r="AV17" i="66"/>
  <c r="AL17" i="66"/>
  <c r="D17" i="66"/>
  <c r="T11" i="23" s="1"/>
  <c r="Y11" i="24" s="1"/>
  <c r="AJ17" i="66"/>
  <c r="AI17" i="66"/>
  <c r="AN17" i="66"/>
  <c r="AU17" i="66"/>
  <c r="AO17" i="66"/>
  <c r="AG17" i="66"/>
  <c r="AM17" i="66"/>
  <c r="AW17" i="66"/>
  <c r="AX17" i="66"/>
  <c r="AS17" i="66"/>
  <c r="AZ17" i="66"/>
  <c r="AY17" i="66"/>
  <c r="AP17" i="66"/>
  <c r="G35" i="50"/>
  <c r="G36" i="50" s="1"/>
  <c r="P17" i="73"/>
  <c r="Q16" i="73"/>
  <c r="CA17" i="73"/>
  <c r="O17" i="73" s="1"/>
  <c r="Q15" i="73"/>
  <c r="BB17" i="73"/>
  <c r="BA17" i="73"/>
  <c r="N17" i="73" s="1"/>
  <c r="Y16" i="73" s="1"/>
  <c r="AV18" i="73"/>
  <c r="AN18" i="73"/>
  <c r="AU18" i="73"/>
  <c r="AM18" i="73"/>
  <c r="AT18" i="73"/>
  <c r="AL18" i="73"/>
  <c r="AS18" i="73"/>
  <c r="AK18" i="73"/>
  <c r="D18" i="73"/>
  <c r="AZ18" i="73"/>
  <c r="AR18" i="73"/>
  <c r="AJ18" i="73"/>
  <c r="AY18" i="73"/>
  <c r="AQ18" i="73"/>
  <c r="AI18" i="73"/>
  <c r="AX18" i="73"/>
  <c r="AP18" i="73"/>
  <c r="AH18" i="73"/>
  <c r="AW18" i="73"/>
  <c r="AO18" i="73"/>
  <c r="AG18" i="73"/>
  <c r="A20" i="73"/>
  <c r="AS14" i="23" s="1"/>
  <c r="Z14" i="25" s="1"/>
  <c r="B19" i="73"/>
  <c r="AT13" i="23" s="1"/>
  <c r="AA13" i="25" s="1"/>
  <c r="A19" i="72"/>
  <c r="AO13" i="23" s="1"/>
  <c r="U13" i="25" s="1"/>
  <c r="B18" i="72"/>
  <c r="AP12" i="23" s="1"/>
  <c r="V12" i="25" s="1"/>
  <c r="AV17" i="72"/>
  <c r="AN17" i="72"/>
  <c r="AT17" i="72"/>
  <c r="AL17" i="72"/>
  <c r="AS17" i="72"/>
  <c r="AK17" i="72"/>
  <c r="D17" i="72"/>
  <c r="AZ17" i="72"/>
  <c r="AR17" i="72"/>
  <c r="AJ17" i="72"/>
  <c r="AY17" i="72"/>
  <c r="AQ17" i="72"/>
  <c r="AI17" i="72"/>
  <c r="AX17" i="72"/>
  <c r="AP17" i="72"/>
  <c r="AH17" i="72"/>
  <c r="AW17" i="72"/>
  <c r="AO17" i="72"/>
  <c r="AG17" i="72"/>
  <c r="AU17" i="72"/>
  <c r="AM17" i="72"/>
  <c r="BB16" i="72"/>
  <c r="BA16" i="72"/>
  <c r="N16" i="72" s="1"/>
  <c r="AT18" i="71"/>
  <c r="AL18" i="71"/>
  <c r="AS18" i="71"/>
  <c r="AK18" i="71"/>
  <c r="D18" i="71"/>
  <c r="AZ18" i="71"/>
  <c r="AP18" i="71"/>
  <c r="AY18" i="71"/>
  <c r="AO18" i="71"/>
  <c r="AX18" i="71"/>
  <c r="AN18" i="71"/>
  <c r="AW18" i="71"/>
  <c r="AM18" i="71"/>
  <c r="AV18" i="71"/>
  <c r="AJ18" i="71"/>
  <c r="AU18" i="71"/>
  <c r="AI18" i="71"/>
  <c r="AR18" i="71"/>
  <c r="AH18" i="71"/>
  <c r="AQ18" i="71"/>
  <c r="AG18" i="71"/>
  <c r="A20" i="71"/>
  <c r="AK14" i="23" s="1"/>
  <c r="P14" i="25" s="1"/>
  <c r="B19" i="71"/>
  <c r="AL13" i="23" s="1"/>
  <c r="Q13" i="25" s="1"/>
  <c r="BB17" i="71"/>
  <c r="BA17" i="71"/>
  <c r="N17" i="71" s="1"/>
  <c r="Y16" i="71" s="1"/>
  <c r="AY18" i="69"/>
  <c r="AQ18" i="69"/>
  <c r="AI18" i="69"/>
  <c r="AX18" i="69"/>
  <c r="AP18" i="69"/>
  <c r="AH18" i="69"/>
  <c r="AW18" i="69"/>
  <c r="AO18" i="69"/>
  <c r="AG18" i="69"/>
  <c r="AV18" i="69"/>
  <c r="AN18" i="69"/>
  <c r="AU18" i="69"/>
  <c r="AM18" i="69"/>
  <c r="AL18" i="69"/>
  <c r="AK18" i="69"/>
  <c r="AJ18" i="69"/>
  <c r="D18" i="69"/>
  <c r="AZ18" i="69"/>
  <c r="AT18" i="69"/>
  <c r="AS18" i="69"/>
  <c r="AR18" i="69"/>
  <c r="BB17" i="69"/>
  <c r="BA17" i="69"/>
  <c r="N17" i="69" s="1"/>
  <c r="Y16" i="69" s="1"/>
  <c r="B19" i="69"/>
  <c r="AD13" i="23" s="1"/>
  <c r="G13" i="25" s="1"/>
  <c r="A20" i="69"/>
  <c r="AC14" i="23" s="1"/>
  <c r="F14" i="25" s="1"/>
  <c r="B19" i="68"/>
  <c r="A20" i="68"/>
  <c r="Y14" i="23" s="1"/>
  <c r="A14" i="25" s="1"/>
  <c r="BB17" i="68"/>
  <c r="BA17" i="68"/>
  <c r="N17" i="68" s="1"/>
  <c r="AX18" i="68"/>
  <c r="AP18" i="68"/>
  <c r="AH18" i="68"/>
  <c r="AW18" i="68"/>
  <c r="AO18" i="68"/>
  <c r="AG18" i="68"/>
  <c r="AQ18" i="68"/>
  <c r="AZ18" i="68"/>
  <c r="AN18" i="68"/>
  <c r="D18" i="68"/>
  <c r="AR18" i="68"/>
  <c r="AM18" i="68"/>
  <c r="AL18" i="68"/>
  <c r="AY18" i="68"/>
  <c r="AK18" i="68"/>
  <c r="AV18" i="68"/>
  <c r="AJ18" i="68"/>
  <c r="AU18" i="68"/>
  <c r="AI18" i="68"/>
  <c r="AT18" i="68"/>
  <c r="AS18" i="68"/>
  <c r="BB17" i="65"/>
  <c r="BA17" i="65"/>
  <c r="N17" i="65" s="1"/>
  <c r="Y17" i="65" s="1"/>
  <c r="A20" i="65"/>
  <c r="M14" i="23" s="1"/>
  <c r="P14" i="24" s="1"/>
  <c r="B19" i="65"/>
  <c r="N13" i="23" s="1"/>
  <c r="Q13" i="24" s="1"/>
  <c r="AS18" i="65"/>
  <c r="AK18" i="65"/>
  <c r="D18" i="65"/>
  <c r="P12" i="23" s="1"/>
  <c r="T12" i="24" s="1"/>
  <c r="AZ18" i="65"/>
  <c r="AR18" i="65"/>
  <c r="AJ18" i="65"/>
  <c r="AV18" i="65"/>
  <c r="AL18" i="65"/>
  <c r="AU18" i="65"/>
  <c r="AI18" i="65"/>
  <c r="AT18" i="65"/>
  <c r="AH18" i="65"/>
  <c r="AQ18" i="65"/>
  <c r="AG18" i="65"/>
  <c r="AP18" i="65"/>
  <c r="AY18" i="65"/>
  <c r="AO18" i="65"/>
  <c r="AX18" i="65"/>
  <c r="AN18" i="65"/>
  <c r="AW18" i="65"/>
  <c r="AM18" i="65"/>
  <c r="N16" i="65"/>
  <c r="Y16" i="65" s="1"/>
  <c r="BB17" i="64"/>
  <c r="BA17" i="64"/>
  <c r="N17" i="64" s="1"/>
  <c r="Y16" i="64" s="1"/>
  <c r="B19" i="64"/>
  <c r="J13" i="23" s="1"/>
  <c r="L13" i="24" s="1"/>
  <c r="A20" i="64"/>
  <c r="I14" i="23" s="1"/>
  <c r="K14" i="24" s="1"/>
  <c r="N16" i="64"/>
  <c r="O16" i="64"/>
  <c r="AZ18" i="64"/>
  <c r="AR18" i="64"/>
  <c r="AJ18" i="64"/>
  <c r="AY18" i="64"/>
  <c r="AQ18" i="64"/>
  <c r="AI18" i="64"/>
  <c r="AX18" i="64"/>
  <c r="AP18" i="64"/>
  <c r="AH18" i="64"/>
  <c r="AW18" i="64"/>
  <c r="AO18" i="64"/>
  <c r="AG18" i="64"/>
  <c r="AV18" i="64"/>
  <c r="AN18" i="64"/>
  <c r="AU18" i="64"/>
  <c r="AM18" i="64"/>
  <c r="AL18" i="64"/>
  <c r="AK18" i="64"/>
  <c r="D18" i="64"/>
  <c r="L12" i="23" s="1"/>
  <c r="O12" i="24" s="1"/>
  <c r="AT18" i="64"/>
  <c r="AS18" i="64"/>
  <c r="CA17" i="64"/>
  <c r="O17" i="64" s="1"/>
  <c r="BB17" i="63"/>
  <c r="BA17" i="63"/>
  <c r="N17" i="63" s="1"/>
  <c r="Y15" i="63"/>
  <c r="AT18" i="63"/>
  <c r="AL18" i="63"/>
  <c r="AS18" i="63"/>
  <c r="AK18" i="63"/>
  <c r="D18" i="63"/>
  <c r="H12" i="23" s="1"/>
  <c r="J12" i="24" s="1"/>
  <c r="AU18" i="63"/>
  <c r="AI18" i="63"/>
  <c r="AR18" i="63"/>
  <c r="AH18" i="63"/>
  <c r="AQ18" i="63"/>
  <c r="AG18" i="63"/>
  <c r="AZ18" i="63"/>
  <c r="AP18" i="63"/>
  <c r="AY18" i="63"/>
  <c r="AO18" i="63"/>
  <c r="AX18" i="63"/>
  <c r="AN18" i="63"/>
  <c r="AW18" i="63"/>
  <c r="AM18" i="63"/>
  <c r="AV18" i="63"/>
  <c r="AJ18" i="63"/>
  <c r="A20" i="63"/>
  <c r="E14" i="23" s="1"/>
  <c r="F14" i="24" s="1"/>
  <c r="B19" i="63"/>
  <c r="F13" i="23" s="1"/>
  <c r="G13" i="24" s="1"/>
  <c r="FJ16" i="64" l="1"/>
  <c r="FL16" i="64"/>
  <c r="FL16" i="65"/>
  <c r="FJ16" i="65"/>
  <c r="FJ17" i="65"/>
  <c r="FL17" i="65"/>
  <c r="FL15" i="63"/>
  <c r="FJ15" i="63"/>
  <c r="FL16" i="73"/>
  <c r="FJ16" i="73"/>
  <c r="FJ16" i="71"/>
  <c r="FL16" i="71"/>
  <c r="FL16" i="69"/>
  <c r="FJ16" i="69"/>
  <c r="AB12" i="23"/>
  <c r="E12" i="25" s="1"/>
  <c r="CX18" i="68"/>
  <c r="Z13" i="23"/>
  <c r="B13" i="25" s="1"/>
  <c r="CL19" i="68"/>
  <c r="CE19" i="68"/>
  <c r="CN19" i="68"/>
  <c r="CV19" i="68"/>
  <c r="CF19" i="68"/>
  <c r="CO19" i="68"/>
  <c r="CW19" i="68"/>
  <c r="CG19" i="68"/>
  <c r="CP19" i="68"/>
  <c r="CH19" i="68"/>
  <c r="CQ19" i="68"/>
  <c r="CI19" i="68"/>
  <c r="CR19" i="68"/>
  <c r="CJ19" i="68"/>
  <c r="CS19" i="68"/>
  <c r="CK19" i="68"/>
  <c r="CT19" i="68"/>
  <c r="CD19" i="68"/>
  <c r="CM19" i="68"/>
  <c r="CU19" i="68"/>
  <c r="BH19" i="68"/>
  <c r="BP19" i="68"/>
  <c r="BX19" i="68"/>
  <c r="BI19" i="68"/>
  <c r="BQ19" i="68"/>
  <c r="BY19" i="68"/>
  <c r="BJ19" i="68"/>
  <c r="BR19" i="68"/>
  <c r="BZ19" i="68"/>
  <c r="BK19" i="68"/>
  <c r="BS19" i="68"/>
  <c r="BL19" i="68"/>
  <c r="BT19" i="68"/>
  <c r="BM19" i="68"/>
  <c r="BU19" i="68"/>
  <c r="BN19" i="68"/>
  <c r="BV19" i="68"/>
  <c r="BG19" i="68"/>
  <c r="BO19" i="68"/>
  <c r="BW19" i="68"/>
  <c r="O11" i="25"/>
  <c r="AJ11" i="23"/>
  <c r="BB17" i="70"/>
  <c r="BA17" i="70"/>
  <c r="N17" i="70" s="1"/>
  <c r="AG13" i="23"/>
  <c r="K13" i="25" s="1"/>
  <c r="A20" i="70"/>
  <c r="B19" i="70"/>
  <c r="AH12" i="23"/>
  <c r="L12" i="25" s="1"/>
  <c r="AX18" i="70"/>
  <c r="AS18" i="70"/>
  <c r="AZ18" i="70"/>
  <c r="AY18" i="70"/>
  <c r="AP18" i="70"/>
  <c r="AO18" i="70"/>
  <c r="AT18" i="70"/>
  <c r="AK18" i="70"/>
  <c r="AR18" i="70"/>
  <c r="AQ18" i="70"/>
  <c r="AH18" i="70"/>
  <c r="AL18" i="70"/>
  <c r="D18" i="70"/>
  <c r="AJ18" i="70"/>
  <c r="AI18" i="70"/>
  <c r="AN18" i="70"/>
  <c r="AU18" i="70"/>
  <c r="AG18" i="70"/>
  <c r="AM18" i="70"/>
  <c r="AW18" i="70"/>
  <c r="AV18" i="70"/>
  <c r="CA17" i="70"/>
  <c r="O17" i="70" s="1"/>
  <c r="AV12" i="23"/>
  <c r="AD12" i="25"/>
  <c r="BA17" i="67"/>
  <c r="N17" i="67" s="1"/>
  <c r="BB17" i="67"/>
  <c r="T12" i="25"/>
  <c r="AN12" i="23"/>
  <c r="Y11" i="25"/>
  <c r="AR11" i="23"/>
  <c r="U13" i="23"/>
  <c r="Z13" i="24" s="1"/>
  <c r="A20" i="67"/>
  <c r="B19" i="67"/>
  <c r="J12" i="25"/>
  <c r="AF12" i="23"/>
  <c r="V12" i="23"/>
  <c r="AA12" i="24" s="1"/>
  <c r="AZ18" i="67"/>
  <c r="AQ18" i="67"/>
  <c r="AH18" i="67"/>
  <c r="AL18" i="67"/>
  <c r="AS18" i="67"/>
  <c r="AR18" i="67"/>
  <c r="AI18" i="67"/>
  <c r="AV18" i="67"/>
  <c r="AT18" i="67"/>
  <c r="AO18" i="67"/>
  <c r="AK18" i="67"/>
  <c r="AJ18" i="67"/>
  <c r="AN18" i="67"/>
  <c r="AW18" i="67"/>
  <c r="AU18" i="67"/>
  <c r="AG18" i="67"/>
  <c r="AX18" i="67"/>
  <c r="AM18" i="67"/>
  <c r="AY18" i="67"/>
  <c r="AP18" i="67"/>
  <c r="D18" i="67"/>
  <c r="X12" i="23" s="1"/>
  <c r="AD12" i="24" s="1"/>
  <c r="Q13" i="23"/>
  <c r="U13" i="24" s="1"/>
  <c r="B19" i="66"/>
  <c r="A20" i="66"/>
  <c r="R12" i="23"/>
  <c r="V12" i="24" s="1"/>
  <c r="AP18" i="66"/>
  <c r="AM18" i="66"/>
  <c r="AJ18" i="66"/>
  <c r="AI18" i="66"/>
  <c r="AH18" i="66"/>
  <c r="AV18" i="66"/>
  <c r="AN18" i="66"/>
  <c r="AW18" i="66"/>
  <c r="AS18" i="66"/>
  <c r="AO18" i="66"/>
  <c r="AT18" i="66"/>
  <c r="AK18" i="66"/>
  <c r="AZ18" i="66"/>
  <c r="AY18" i="66"/>
  <c r="AX18" i="66"/>
  <c r="AG18" i="66"/>
  <c r="AU18" i="66"/>
  <c r="AL18" i="66"/>
  <c r="D18" i="66"/>
  <c r="T12" i="23" s="1"/>
  <c r="Y12" i="24" s="1"/>
  <c r="AR18" i="66"/>
  <c r="AQ18" i="66"/>
  <c r="BB17" i="66"/>
  <c r="BA17" i="66"/>
  <c r="N17" i="66" s="1"/>
  <c r="Q17" i="73"/>
  <c r="P18" i="73"/>
  <c r="CA18" i="73"/>
  <c r="O18" i="73" s="1"/>
  <c r="AY19" i="73"/>
  <c r="AQ19" i="73"/>
  <c r="AI19" i="73"/>
  <c r="AX19" i="73"/>
  <c r="AP19" i="73"/>
  <c r="AH19" i="73"/>
  <c r="AW19" i="73"/>
  <c r="AO19" i="73"/>
  <c r="AG19" i="73"/>
  <c r="AV19" i="73"/>
  <c r="AN19" i="73"/>
  <c r="AU19" i="73"/>
  <c r="AM19" i="73"/>
  <c r="AT19" i="73"/>
  <c r="AL19" i="73"/>
  <c r="AS19" i="73"/>
  <c r="AK19" i="73"/>
  <c r="D19" i="73"/>
  <c r="AZ19" i="73"/>
  <c r="AR19" i="73"/>
  <c r="AJ19" i="73"/>
  <c r="B20" i="73"/>
  <c r="AT14" i="23" s="1"/>
  <c r="AA14" i="25" s="1"/>
  <c r="A21" i="73"/>
  <c r="AS15" i="23" s="1"/>
  <c r="Z15" i="25" s="1"/>
  <c r="BB18" i="73"/>
  <c r="BA18" i="73"/>
  <c r="N18" i="73" s="1"/>
  <c r="Y17" i="73" s="1"/>
  <c r="BB17" i="72"/>
  <c r="BA17" i="72"/>
  <c r="N17" i="72" s="1"/>
  <c r="AY18" i="72"/>
  <c r="AQ18" i="72"/>
  <c r="AI18" i="72"/>
  <c r="AW18" i="72"/>
  <c r="AO18" i="72"/>
  <c r="AG18" i="72"/>
  <c r="AV18" i="72"/>
  <c r="AN18" i="72"/>
  <c r="AU18" i="72"/>
  <c r="AM18" i="72"/>
  <c r="AT18" i="72"/>
  <c r="AL18" i="72"/>
  <c r="AS18" i="72"/>
  <c r="AK18" i="72"/>
  <c r="D18" i="72"/>
  <c r="AZ18" i="72"/>
  <c r="AR18" i="72"/>
  <c r="AJ18" i="72"/>
  <c r="AX18" i="72"/>
  <c r="AP18" i="72"/>
  <c r="AH18" i="72"/>
  <c r="B19" i="72"/>
  <c r="AP13" i="23" s="1"/>
  <c r="V13" i="25" s="1"/>
  <c r="A20" i="72"/>
  <c r="AO14" i="23" s="1"/>
  <c r="U14" i="25" s="1"/>
  <c r="AW19" i="71"/>
  <c r="AO19" i="71"/>
  <c r="AG19" i="71"/>
  <c r="AV19" i="71"/>
  <c r="AN19" i="71"/>
  <c r="AU19" i="71"/>
  <c r="AT19" i="71"/>
  <c r="AZ19" i="71"/>
  <c r="AL19" i="71"/>
  <c r="AY19" i="71"/>
  <c r="AK19" i="71"/>
  <c r="AX19" i="71"/>
  <c r="AJ19" i="71"/>
  <c r="AS19" i="71"/>
  <c r="AI19" i="71"/>
  <c r="AR19" i="71"/>
  <c r="AH19" i="71"/>
  <c r="AQ19" i="71"/>
  <c r="AP19" i="71"/>
  <c r="AM19" i="71"/>
  <c r="D19" i="71"/>
  <c r="B20" i="71"/>
  <c r="AL14" i="23" s="1"/>
  <c r="Q14" i="25" s="1"/>
  <c r="A21" i="71"/>
  <c r="AK15" i="23" s="1"/>
  <c r="P15" i="25" s="1"/>
  <c r="BB18" i="71"/>
  <c r="BA18" i="71"/>
  <c r="N18" i="71" s="1"/>
  <c r="BB18" i="69"/>
  <c r="BA18" i="69"/>
  <c r="N18" i="69" s="1"/>
  <c r="A21" i="69"/>
  <c r="AC15" i="23" s="1"/>
  <c r="F15" i="25" s="1"/>
  <c r="B20" i="69"/>
  <c r="AD14" i="23" s="1"/>
  <c r="G14" i="25" s="1"/>
  <c r="AT19" i="69"/>
  <c r="AL19" i="69"/>
  <c r="AS19" i="69"/>
  <c r="AK19" i="69"/>
  <c r="D19" i="69"/>
  <c r="AZ19" i="69"/>
  <c r="AR19" i="69"/>
  <c r="AJ19" i="69"/>
  <c r="AY19" i="69"/>
  <c r="AQ19" i="69"/>
  <c r="AI19" i="69"/>
  <c r="AX19" i="69"/>
  <c r="AP19" i="69"/>
  <c r="AH19" i="69"/>
  <c r="AW19" i="69"/>
  <c r="AO19" i="69"/>
  <c r="AG19" i="69"/>
  <c r="AV19" i="69"/>
  <c r="AN19" i="69"/>
  <c r="AU19" i="69"/>
  <c r="AM19" i="69"/>
  <c r="BB18" i="68"/>
  <c r="BA18" i="68"/>
  <c r="N18" i="68" s="1"/>
  <c r="A21" i="68"/>
  <c r="Y15" i="23" s="1"/>
  <c r="A15" i="25" s="1"/>
  <c r="B20" i="68"/>
  <c r="AT19" i="68"/>
  <c r="AL19" i="68"/>
  <c r="AS19" i="68"/>
  <c r="AK19" i="68"/>
  <c r="D19" i="68"/>
  <c r="AZ19" i="68"/>
  <c r="AR19" i="68"/>
  <c r="AJ19" i="68"/>
  <c r="AY19" i="68"/>
  <c r="AQ19" i="68"/>
  <c r="AI19" i="68"/>
  <c r="AM19" i="68"/>
  <c r="AX19" i="68"/>
  <c r="AH19" i="68"/>
  <c r="AV19" i="68"/>
  <c r="AU19" i="68"/>
  <c r="AP19" i="68"/>
  <c r="AO19" i="68"/>
  <c r="AN19" i="68"/>
  <c r="AG19" i="68"/>
  <c r="AW19" i="68"/>
  <c r="AV19" i="65"/>
  <c r="AN19" i="65"/>
  <c r="AU19" i="65"/>
  <c r="AM19" i="65"/>
  <c r="AT19" i="65"/>
  <c r="AL19" i="65"/>
  <c r="AZ19" i="65"/>
  <c r="AR19" i="65"/>
  <c r="AJ19" i="65"/>
  <c r="AY19" i="65"/>
  <c r="AQ19" i="65"/>
  <c r="AI19" i="65"/>
  <c r="AG19" i="65"/>
  <c r="AX19" i="65"/>
  <c r="D19" i="65"/>
  <c r="P13" i="23" s="1"/>
  <c r="T13" i="24" s="1"/>
  <c r="AW19" i="65"/>
  <c r="AS19" i="65"/>
  <c r="AP19" i="65"/>
  <c r="AO19" i="65"/>
  <c r="AK19" i="65"/>
  <c r="AH19" i="65"/>
  <c r="A21" i="65"/>
  <c r="M15" i="23" s="1"/>
  <c r="P15" i="24" s="1"/>
  <c r="B20" i="65"/>
  <c r="N14" i="23" s="1"/>
  <c r="Q14" i="24" s="1"/>
  <c r="BB18" i="65"/>
  <c r="BA18" i="65"/>
  <c r="N18" i="65" s="1"/>
  <c r="A21" i="64"/>
  <c r="I15" i="23" s="1"/>
  <c r="K15" i="24" s="1"/>
  <c r="B20" i="64"/>
  <c r="J14" i="23" s="1"/>
  <c r="L14" i="24" s="1"/>
  <c r="AU19" i="64"/>
  <c r="AM19" i="64"/>
  <c r="AT19" i="64"/>
  <c r="AL19" i="64"/>
  <c r="AS19" i="64"/>
  <c r="AK19" i="64"/>
  <c r="D19" i="64"/>
  <c r="L13" i="23" s="1"/>
  <c r="O13" i="24" s="1"/>
  <c r="AZ19" i="64"/>
  <c r="AR19" i="64"/>
  <c r="AJ19" i="64"/>
  <c r="AY19" i="64"/>
  <c r="AQ19" i="64"/>
  <c r="AI19" i="64"/>
  <c r="AX19" i="64"/>
  <c r="AP19" i="64"/>
  <c r="AH19" i="64"/>
  <c r="AW19" i="64"/>
  <c r="AO19" i="64"/>
  <c r="AG19" i="64"/>
  <c r="AV19" i="64"/>
  <c r="AN19" i="64"/>
  <c r="BB18" i="64"/>
  <c r="BA18" i="64"/>
  <c r="N18" i="64" s="1"/>
  <c r="Y17" i="64" s="1"/>
  <c r="AW19" i="63"/>
  <c r="AO19" i="63"/>
  <c r="AG19" i="63"/>
  <c r="AV19" i="63"/>
  <c r="AN19" i="63"/>
  <c r="AQ19" i="63"/>
  <c r="AZ19" i="63"/>
  <c r="AP19" i="63"/>
  <c r="AY19" i="63"/>
  <c r="AM19" i="63"/>
  <c r="D19" i="63"/>
  <c r="H13" i="23" s="1"/>
  <c r="J13" i="24" s="1"/>
  <c r="AX19" i="63"/>
  <c r="AL19" i="63"/>
  <c r="AU19" i="63"/>
  <c r="AK19" i="63"/>
  <c r="AT19" i="63"/>
  <c r="AJ19" i="63"/>
  <c r="AS19" i="63"/>
  <c r="AI19" i="63"/>
  <c r="AR19" i="63"/>
  <c r="AH19" i="63"/>
  <c r="BB18" i="63"/>
  <c r="BA18" i="63"/>
  <c r="N18" i="63" s="1"/>
  <c r="Y18" i="63" s="1"/>
  <c r="CA18" i="63"/>
  <c r="O18" i="63" s="1"/>
  <c r="B20" i="63"/>
  <c r="F14" i="23" s="1"/>
  <c r="G14" i="24" s="1"/>
  <c r="A21" i="63"/>
  <c r="E15" i="23" s="1"/>
  <c r="F15" i="24" s="1"/>
  <c r="FL17" i="64" l="1"/>
  <c r="FJ17" i="64"/>
  <c r="FL18" i="63"/>
  <c r="FJ18" i="63"/>
  <c r="FL17" i="73"/>
  <c r="FL40" i="73" s="1"/>
  <c r="FJ17" i="73"/>
  <c r="FJ40" i="73" s="1"/>
  <c r="AB13" i="23"/>
  <c r="E13" i="25" s="1"/>
  <c r="Z14" i="23"/>
  <c r="B14" i="25" s="1"/>
  <c r="CL20" i="68"/>
  <c r="CJ20" i="68"/>
  <c r="CS20" i="68"/>
  <c r="CK20" i="68"/>
  <c r="CT20" i="68"/>
  <c r="CD20" i="68"/>
  <c r="CM20" i="68"/>
  <c r="CU20" i="68"/>
  <c r="CE20" i="68"/>
  <c r="CN20" i="68"/>
  <c r="CV20" i="68"/>
  <c r="CF20" i="68"/>
  <c r="CO20" i="68"/>
  <c r="CW20" i="68"/>
  <c r="CG20" i="68"/>
  <c r="CP20" i="68"/>
  <c r="CH20" i="68"/>
  <c r="CQ20" i="68"/>
  <c r="CI20" i="68"/>
  <c r="CR20" i="68"/>
  <c r="BL20" i="68"/>
  <c r="BT20" i="68"/>
  <c r="BM20" i="68"/>
  <c r="BU20" i="68"/>
  <c r="BN20" i="68"/>
  <c r="BV20" i="68"/>
  <c r="BG20" i="68"/>
  <c r="BO20" i="68"/>
  <c r="BW20" i="68"/>
  <c r="BH20" i="68"/>
  <c r="BP20" i="68"/>
  <c r="BX20" i="68"/>
  <c r="BI20" i="68"/>
  <c r="BQ20" i="68"/>
  <c r="BY20" i="68"/>
  <c r="BJ20" i="68"/>
  <c r="BR20" i="68"/>
  <c r="BZ20" i="68"/>
  <c r="BK20" i="68"/>
  <c r="BS20" i="68"/>
  <c r="CX19" i="68"/>
  <c r="P19" i="68" s="1"/>
  <c r="Y40" i="73"/>
  <c r="AH13" i="23"/>
  <c r="L13" i="25" s="1"/>
  <c r="AV19" i="70"/>
  <c r="AS19" i="70"/>
  <c r="AZ19" i="70"/>
  <c r="AI19" i="70"/>
  <c r="AN19" i="70"/>
  <c r="AK19" i="70"/>
  <c r="AR19" i="70"/>
  <c r="AW19" i="70"/>
  <c r="AT19" i="70"/>
  <c r="D19" i="70"/>
  <c r="AJ19" i="70"/>
  <c r="AO19" i="70"/>
  <c r="AL19" i="70"/>
  <c r="AX19" i="70"/>
  <c r="AG19" i="70"/>
  <c r="AU19" i="70"/>
  <c r="AP19" i="70"/>
  <c r="AM19" i="70"/>
  <c r="AH19" i="70"/>
  <c r="AY19" i="70"/>
  <c r="AQ19" i="70"/>
  <c r="BB18" i="70"/>
  <c r="BA18" i="70"/>
  <c r="N18" i="70" s="1"/>
  <c r="AG14" i="23"/>
  <c r="K14" i="25" s="1"/>
  <c r="B20" i="70"/>
  <c r="A21" i="70"/>
  <c r="CA18" i="70"/>
  <c r="O18" i="70" s="1"/>
  <c r="O12" i="25"/>
  <c r="AJ12" i="23"/>
  <c r="J13" i="25"/>
  <c r="AF13" i="23"/>
  <c r="T13" i="25"/>
  <c r="AN13" i="23"/>
  <c r="AV13" i="23"/>
  <c r="AD13" i="25"/>
  <c r="V13" i="23"/>
  <c r="AA13" i="24" s="1"/>
  <c r="AP19" i="67"/>
  <c r="AQ19" i="67"/>
  <c r="AH19" i="67"/>
  <c r="AS19" i="67"/>
  <c r="AZ19" i="67"/>
  <c r="AY19" i="67"/>
  <c r="AK19" i="67"/>
  <c r="AX19" i="67"/>
  <c r="AR19" i="67"/>
  <c r="AV19" i="67"/>
  <c r="D19" i="67"/>
  <c r="X13" i="23" s="1"/>
  <c r="AD13" i="24" s="1"/>
  <c r="AJ19" i="67"/>
  <c r="AI19" i="67"/>
  <c r="AN19" i="67"/>
  <c r="AT19" i="67"/>
  <c r="AO19" i="67"/>
  <c r="AW19" i="67"/>
  <c r="AL19" i="67"/>
  <c r="AU19" i="67"/>
  <c r="AM19" i="67"/>
  <c r="AG19" i="67"/>
  <c r="BA18" i="67"/>
  <c r="N18" i="67" s="1"/>
  <c r="BB18" i="67"/>
  <c r="U14" i="23"/>
  <c r="Z14" i="24" s="1"/>
  <c r="A21" i="67"/>
  <c r="B20" i="67"/>
  <c r="AR12" i="23"/>
  <c r="Y12" i="25"/>
  <c r="CA18" i="66"/>
  <c r="O18" i="66" s="1"/>
  <c r="BB18" i="66"/>
  <c r="BA18" i="66"/>
  <c r="N18" i="66" s="1"/>
  <c r="Q14" i="23"/>
  <c r="U14" i="24" s="1"/>
  <c r="A21" i="66"/>
  <c r="B20" i="66"/>
  <c r="R13" i="23"/>
  <c r="V13" i="24" s="1"/>
  <c r="AK19" i="66"/>
  <c r="AZ19" i="66"/>
  <c r="AY19" i="66"/>
  <c r="AH19" i="66"/>
  <c r="AN19" i="66"/>
  <c r="D19" i="66"/>
  <c r="T13" i="23" s="1"/>
  <c r="Y13" i="24" s="1"/>
  <c r="AR19" i="66"/>
  <c r="AQ19" i="66"/>
  <c r="AJ19" i="66"/>
  <c r="AI19" i="66"/>
  <c r="AV19" i="66"/>
  <c r="AW19" i="66"/>
  <c r="AO19" i="66"/>
  <c r="AT19" i="66"/>
  <c r="AL19" i="66"/>
  <c r="AM19" i="66"/>
  <c r="AX19" i="66"/>
  <c r="AG19" i="66"/>
  <c r="AU19" i="66"/>
  <c r="AS19" i="66"/>
  <c r="AP19" i="66"/>
  <c r="G42" i="50"/>
  <c r="P19" i="73"/>
  <c r="Q18" i="73"/>
  <c r="B21" i="73"/>
  <c r="AT15" i="23" s="1"/>
  <c r="AA15" i="25" s="1"/>
  <c r="A22" i="73"/>
  <c r="AS16" i="23" s="1"/>
  <c r="Z16" i="25" s="1"/>
  <c r="CA19" i="73"/>
  <c r="O19" i="73" s="1"/>
  <c r="AT20" i="73"/>
  <c r="AL20" i="73"/>
  <c r="AS20" i="73"/>
  <c r="AK20" i="73"/>
  <c r="D20" i="73"/>
  <c r="AZ20" i="73"/>
  <c r="AR20" i="73"/>
  <c r="AJ20" i="73"/>
  <c r="AY20" i="73"/>
  <c r="AQ20" i="73"/>
  <c r="AI20" i="73"/>
  <c r="AX20" i="73"/>
  <c r="AP20" i="73"/>
  <c r="AH20" i="73"/>
  <c r="AW20" i="73"/>
  <c r="AO20" i="73"/>
  <c r="AG20" i="73"/>
  <c r="AV20" i="73"/>
  <c r="AN20" i="73"/>
  <c r="AU20" i="73"/>
  <c r="AM20" i="73"/>
  <c r="BB19" i="73"/>
  <c r="BA19" i="73"/>
  <c r="N19" i="73" s="1"/>
  <c r="A21" i="72"/>
  <c r="AO15" i="23" s="1"/>
  <c r="U15" i="25" s="1"/>
  <c r="B20" i="72"/>
  <c r="AP14" i="23" s="1"/>
  <c r="V14" i="25" s="1"/>
  <c r="AT19" i="72"/>
  <c r="AL19" i="72"/>
  <c r="AZ19" i="72"/>
  <c r="AR19" i="72"/>
  <c r="AJ19" i="72"/>
  <c r="AY19" i="72"/>
  <c r="AQ19" i="72"/>
  <c r="AI19" i="72"/>
  <c r="AX19" i="72"/>
  <c r="AP19" i="72"/>
  <c r="AH19" i="72"/>
  <c r="AW19" i="72"/>
  <c r="AO19" i="72"/>
  <c r="AG19" i="72"/>
  <c r="AV19" i="72"/>
  <c r="AN19" i="72"/>
  <c r="AU19" i="72"/>
  <c r="AM19" i="72"/>
  <c r="AS19" i="72"/>
  <c r="AK19" i="72"/>
  <c r="D19" i="72"/>
  <c r="BB18" i="72"/>
  <c r="BA18" i="72"/>
  <c r="N18" i="72" s="1"/>
  <c r="Y18" i="72" s="1"/>
  <c r="CA18" i="72"/>
  <c r="O18" i="72" s="1"/>
  <c r="BB19" i="71"/>
  <c r="BA19" i="71"/>
  <c r="N19" i="71" s="1"/>
  <c r="B21" i="71"/>
  <c r="AL15" i="23" s="1"/>
  <c r="Q15" i="25" s="1"/>
  <c r="A22" i="71"/>
  <c r="AK16" i="23" s="1"/>
  <c r="P16" i="25" s="1"/>
  <c r="AX20" i="71"/>
  <c r="AP20" i="71"/>
  <c r="AH20" i="71"/>
  <c r="AW20" i="71"/>
  <c r="AO20" i="71"/>
  <c r="AG20" i="71"/>
  <c r="AV20" i="71"/>
  <c r="AL20" i="71"/>
  <c r="AU20" i="71"/>
  <c r="AK20" i="71"/>
  <c r="AT20" i="71"/>
  <c r="AJ20" i="71"/>
  <c r="AS20" i="71"/>
  <c r="AI20" i="71"/>
  <c r="AY20" i="71"/>
  <c r="D20" i="71"/>
  <c r="AR20" i="71"/>
  <c r="AQ20" i="71"/>
  <c r="AN20" i="71"/>
  <c r="AM20" i="71"/>
  <c r="AZ20" i="71"/>
  <c r="BB19" i="69"/>
  <c r="BA19" i="69"/>
  <c r="N19" i="69" s="1"/>
  <c r="AW20" i="69"/>
  <c r="AO20" i="69"/>
  <c r="AG20" i="69"/>
  <c r="AV20" i="69"/>
  <c r="AN20" i="69"/>
  <c r="AU20" i="69"/>
  <c r="AM20" i="69"/>
  <c r="AT20" i="69"/>
  <c r="AL20" i="69"/>
  <c r="AS20" i="69"/>
  <c r="AK20" i="69"/>
  <c r="D20" i="69"/>
  <c r="AZ20" i="69"/>
  <c r="AR20" i="69"/>
  <c r="AJ20" i="69"/>
  <c r="AY20" i="69"/>
  <c r="AQ20" i="69"/>
  <c r="AI20" i="69"/>
  <c r="AX20" i="69"/>
  <c r="AP20" i="69"/>
  <c r="AH20" i="69"/>
  <c r="B21" i="69"/>
  <c r="AD15" i="23" s="1"/>
  <c r="G15" i="25" s="1"/>
  <c r="A22" i="69"/>
  <c r="AC16" i="23" s="1"/>
  <c r="F16" i="25" s="1"/>
  <c r="CA19" i="69"/>
  <c r="O19" i="69" s="1"/>
  <c r="BB19" i="68"/>
  <c r="BA19" i="68"/>
  <c r="N19" i="68" s="1"/>
  <c r="AW20" i="68"/>
  <c r="AO20" i="68"/>
  <c r="AG20" i="68"/>
  <c r="AV20" i="68"/>
  <c r="AN20" i="68"/>
  <c r="AU20" i="68"/>
  <c r="AM20" i="68"/>
  <c r="AT20" i="68"/>
  <c r="AL20" i="68"/>
  <c r="AK20" i="68"/>
  <c r="AZ20" i="68"/>
  <c r="AJ20" i="68"/>
  <c r="AX20" i="68"/>
  <c r="AH20" i="68"/>
  <c r="AR20" i="68"/>
  <c r="AP20" i="68"/>
  <c r="AY20" i="68"/>
  <c r="AS20" i="68"/>
  <c r="AQ20" i="68"/>
  <c r="AI20" i="68"/>
  <c r="D20" i="68"/>
  <c r="B21" i="68"/>
  <c r="A22" i="68"/>
  <c r="Y16" i="23" s="1"/>
  <c r="A16" i="25" s="1"/>
  <c r="CA19" i="68"/>
  <c r="O19" i="68" s="1"/>
  <c r="BB19" i="65"/>
  <c r="BA19" i="65"/>
  <c r="N19" i="65" s="1"/>
  <c r="AY20" i="65"/>
  <c r="AQ20" i="65"/>
  <c r="AI20" i="65"/>
  <c r="AX20" i="65"/>
  <c r="AP20" i="65"/>
  <c r="AH20" i="65"/>
  <c r="AW20" i="65"/>
  <c r="AO20" i="65"/>
  <c r="AG20" i="65"/>
  <c r="AV20" i="65"/>
  <c r="AN20" i="65"/>
  <c r="AU20" i="65"/>
  <c r="AM20" i="65"/>
  <c r="AT20" i="65"/>
  <c r="AL20" i="65"/>
  <c r="AS20" i="65"/>
  <c r="AK20" i="65"/>
  <c r="D20" i="65"/>
  <c r="P14" i="23" s="1"/>
  <c r="T14" i="24" s="1"/>
  <c r="AZ20" i="65"/>
  <c r="AR20" i="65"/>
  <c r="AJ20" i="65"/>
  <c r="B21" i="65"/>
  <c r="N15" i="23" s="1"/>
  <c r="Q15" i="24" s="1"/>
  <c r="A22" i="65"/>
  <c r="M16" i="23" s="1"/>
  <c r="P16" i="24" s="1"/>
  <c r="AX20" i="64"/>
  <c r="AP20" i="64"/>
  <c r="AH20" i="64"/>
  <c r="AW20" i="64"/>
  <c r="AO20" i="64"/>
  <c r="AG20" i="64"/>
  <c r="AV20" i="64"/>
  <c r="AN20" i="64"/>
  <c r="AU20" i="64"/>
  <c r="AM20" i="64"/>
  <c r="AT20" i="64"/>
  <c r="AL20" i="64"/>
  <c r="AS20" i="64"/>
  <c r="AK20" i="64"/>
  <c r="D20" i="64"/>
  <c r="L14" i="23" s="1"/>
  <c r="O14" i="24" s="1"/>
  <c r="AZ20" i="64"/>
  <c r="AR20" i="64"/>
  <c r="AJ20" i="64"/>
  <c r="AY20" i="64"/>
  <c r="AQ20" i="64"/>
  <c r="AI20" i="64"/>
  <c r="B21" i="64"/>
  <c r="J15" i="23" s="1"/>
  <c r="L15" i="24" s="1"/>
  <c r="A22" i="64"/>
  <c r="I16" i="23" s="1"/>
  <c r="K16" i="24" s="1"/>
  <c r="BB19" i="64"/>
  <c r="BA19" i="64"/>
  <c r="N19" i="64" s="1"/>
  <c r="B21" i="63"/>
  <c r="F15" i="23" s="1"/>
  <c r="G15" i="24" s="1"/>
  <c r="A22" i="63"/>
  <c r="E16" i="23" s="1"/>
  <c r="F16" i="24" s="1"/>
  <c r="AZ20" i="63"/>
  <c r="AR20" i="63"/>
  <c r="AJ20" i="63"/>
  <c r="AY20" i="63"/>
  <c r="AQ20" i="63"/>
  <c r="AI20" i="63"/>
  <c r="AW20" i="63"/>
  <c r="AO20" i="63"/>
  <c r="AG20" i="63"/>
  <c r="AV20" i="63"/>
  <c r="AK20" i="63"/>
  <c r="AU20" i="63"/>
  <c r="AH20" i="63"/>
  <c r="AT20" i="63"/>
  <c r="AS20" i="63"/>
  <c r="AP20" i="63"/>
  <c r="AN20" i="63"/>
  <c r="D20" i="63"/>
  <c r="H14" i="23" s="1"/>
  <c r="J14" i="24" s="1"/>
  <c r="AM20" i="63"/>
  <c r="AX20" i="63"/>
  <c r="AL20" i="63"/>
  <c r="BB19" i="63"/>
  <c r="BA19" i="63"/>
  <c r="N19" i="63" s="1"/>
  <c r="Y19" i="63" s="1"/>
  <c r="CA19" i="63"/>
  <c r="O19" i="63" s="1"/>
  <c r="FJ19" i="63" l="1"/>
  <c r="FL19" i="63"/>
  <c r="FL18" i="72"/>
  <c r="FJ18" i="72"/>
  <c r="AB14" i="23"/>
  <c r="E14" i="25" s="1"/>
  <c r="CX20" i="68"/>
  <c r="P20" i="68" s="1"/>
  <c r="Z15" i="23"/>
  <c r="B15" i="25" s="1"/>
  <c r="CL21" i="68"/>
  <c r="CG21" i="68"/>
  <c r="CP21" i="68"/>
  <c r="CH21" i="68"/>
  <c r="CQ21" i="68"/>
  <c r="CI21" i="68"/>
  <c r="CR21" i="68"/>
  <c r="CJ21" i="68"/>
  <c r="CS21" i="68"/>
  <c r="CK21" i="68"/>
  <c r="CT21" i="68"/>
  <c r="CD21" i="68"/>
  <c r="CM21" i="68"/>
  <c r="CU21" i="68"/>
  <c r="CE21" i="68"/>
  <c r="CN21" i="68"/>
  <c r="CV21" i="68"/>
  <c r="CF21" i="68"/>
  <c r="CO21" i="68"/>
  <c r="CW21" i="68"/>
  <c r="BH21" i="68"/>
  <c r="BP21" i="68"/>
  <c r="BX21" i="68"/>
  <c r="BI21" i="68"/>
  <c r="BQ21" i="68"/>
  <c r="BY21" i="68"/>
  <c r="BJ21" i="68"/>
  <c r="BR21" i="68"/>
  <c r="BZ21" i="68"/>
  <c r="BK21" i="68"/>
  <c r="BS21" i="68"/>
  <c r="BL21" i="68"/>
  <c r="BT21" i="68"/>
  <c r="BM21" i="68"/>
  <c r="BU21" i="68"/>
  <c r="BN21" i="68"/>
  <c r="BV21" i="68"/>
  <c r="BG21" i="68"/>
  <c r="BO21" i="68"/>
  <c r="BW21" i="68"/>
  <c r="BB19" i="70"/>
  <c r="BA19" i="70"/>
  <c r="N19" i="70" s="1"/>
  <c r="Y19" i="70" s="1"/>
  <c r="O13" i="25"/>
  <c r="AJ13" i="23"/>
  <c r="AG15" i="23"/>
  <c r="K15" i="25" s="1"/>
  <c r="B21" i="70"/>
  <c r="A22" i="70"/>
  <c r="AH14" i="23"/>
  <c r="L14" i="25" s="1"/>
  <c r="AJ20" i="70"/>
  <c r="AW20" i="70"/>
  <c r="AU20" i="70"/>
  <c r="AO20" i="70"/>
  <c r="AM20" i="70"/>
  <c r="AK20" i="70"/>
  <c r="D20" i="70"/>
  <c r="AS20" i="70"/>
  <c r="AG20" i="70"/>
  <c r="AY20" i="70"/>
  <c r="AV20" i="70"/>
  <c r="AZ20" i="70"/>
  <c r="AQ20" i="70"/>
  <c r="AX20" i="70"/>
  <c r="AL20" i="70"/>
  <c r="AT20" i="70"/>
  <c r="AR20" i="70"/>
  <c r="AI20" i="70"/>
  <c r="AN20" i="70"/>
  <c r="AH20" i="70"/>
  <c r="AP20" i="70"/>
  <c r="J14" i="25"/>
  <c r="AF14" i="23"/>
  <c r="BA19" i="67"/>
  <c r="N19" i="67" s="1"/>
  <c r="Y18" i="67" s="1"/>
  <c r="BB19" i="67"/>
  <c r="V14" i="23"/>
  <c r="AA14" i="24" s="1"/>
  <c r="AO20" i="67"/>
  <c r="AG20" i="67"/>
  <c r="AQ20" i="67"/>
  <c r="AV20" i="67"/>
  <c r="D20" i="67"/>
  <c r="X14" i="23" s="1"/>
  <c r="AD14" i="24" s="1"/>
  <c r="AW20" i="67"/>
  <c r="AR20" i="67"/>
  <c r="AM20" i="67"/>
  <c r="AY20" i="67"/>
  <c r="AJ20" i="67"/>
  <c r="AN20" i="67"/>
  <c r="AZ20" i="67"/>
  <c r="AK20" i="67"/>
  <c r="AH20" i="67"/>
  <c r="AI20" i="67"/>
  <c r="AP20" i="67"/>
  <c r="AT20" i="67"/>
  <c r="AS20" i="67"/>
  <c r="AL20" i="67"/>
  <c r="AU20" i="67"/>
  <c r="AX20" i="67"/>
  <c r="AN14" i="23"/>
  <c r="T14" i="25"/>
  <c r="AV14" i="23"/>
  <c r="AD14" i="25"/>
  <c r="U15" i="23"/>
  <c r="Z15" i="24" s="1"/>
  <c r="A22" i="67"/>
  <c r="B21" i="67"/>
  <c r="AR13" i="23"/>
  <c r="Y13" i="25"/>
  <c r="CA19" i="66"/>
  <c r="O19" i="66" s="1"/>
  <c r="R14" i="23"/>
  <c r="V14" i="24" s="1"/>
  <c r="AN20" i="66"/>
  <c r="AY20" i="66"/>
  <c r="AH20" i="66"/>
  <c r="AS20" i="66"/>
  <c r="AQ20" i="66"/>
  <c r="AT20" i="66"/>
  <c r="AK20" i="66"/>
  <c r="AZ20" i="66"/>
  <c r="AI20" i="66"/>
  <c r="D20" i="66"/>
  <c r="T14" i="23" s="1"/>
  <c r="Y14" i="24" s="1"/>
  <c r="AJ20" i="66"/>
  <c r="AU20" i="66"/>
  <c r="AL20" i="66"/>
  <c r="AR20" i="66"/>
  <c r="AM20" i="66"/>
  <c r="AW20" i="66"/>
  <c r="AO20" i="66"/>
  <c r="AX20" i="66"/>
  <c r="AG20" i="66"/>
  <c r="AP20" i="66"/>
  <c r="AV20" i="66"/>
  <c r="Q15" i="23"/>
  <c r="U15" i="24" s="1"/>
  <c r="A22" i="66"/>
  <c r="B21" i="66"/>
  <c r="BB19" i="66"/>
  <c r="BA19" i="66"/>
  <c r="N19" i="66" s="1"/>
  <c r="Y18" i="66" s="1"/>
  <c r="D21" i="68"/>
  <c r="P20" i="73"/>
  <c r="Q19" i="73"/>
  <c r="Q19" i="68"/>
  <c r="A23" i="73"/>
  <c r="AS17" i="23" s="1"/>
  <c r="Z17" i="25" s="1"/>
  <c r="B22" i="73"/>
  <c r="AT16" i="23" s="1"/>
  <c r="AA16" i="25" s="1"/>
  <c r="BB20" i="73"/>
  <c r="BA20" i="73"/>
  <c r="N20" i="73" s="1"/>
  <c r="CA20" i="73"/>
  <c r="O20" i="73" s="1"/>
  <c r="AW21" i="73"/>
  <c r="AO21" i="73"/>
  <c r="AG21" i="73"/>
  <c r="AV21" i="73"/>
  <c r="AN21" i="73"/>
  <c r="AU21" i="73"/>
  <c r="AM21" i="73"/>
  <c r="AT21" i="73"/>
  <c r="AL21" i="73"/>
  <c r="AS21" i="73"/>
  <c r="AK21" i="73"/>
  <c r="D21" i="73"/>
  <c r="AZ21" i="73"/>
  <c r="AR21" i="73"/>
  <c r="AJ21" i="73"/>
  <c r="AY21" i="73"/>
  <c r="AQ21" i="73"/>
  <c r="AI21" i="73"/>
  <c r="AX21" i="73"/>
  <c r="AP21" i="73"/>
  <c r="AH21" i="73"/>
  <c r="CA19" i="72"/>
  <c r="O19" i="72" s="1"/>
  <c r="BB19" i="72"/>
  <c r="BA19" i="72"/>
  <c r="N19" i="72" s="1"/>
  <c r="Y19" i="72" s="1"/>
  <c r="AZ20" i="72"/>
  <c r="AR20" i="72"/>
  <c r="AY20" i="72"/>
  <c r="AX20" i="72"/>
  <c r="AO20" i="72"/>
  <c r="AG20" i="72"/>
  <c r="AV20" i="72"/>
  <c r="AM20" i="72"/>
  <c r="AU20" i="72"/>
  <c r="AL20" i="72"/>
  <c r="AT20" i="72"/>
  <c r="AK20" i="72"/>
  <c r="D20" i="72"/>
  <c r="AS20" i="72"/>
  <c r="AJ20" i="72"/>
  <c r="AQ20" i="72"/>
  <c r="AI20" i="72"/>
  <c r="AP20" i="72"/>
  <c r="AH20" i="72"/>
  <c r="AW20" i="72"/>
  <c r="AN20" i="72"/>
  <c r="A22" i="72"/>
  <c r="AO16" i="23" s="1"/>
  <c r="U16" i="25" s="1"/>
  <c r="B21" i="72"/>
  <c r="AP15" i="23" s="1"/>
  <c r="V15" i="25" s="1"/>
  <c r="A23" i="71"/>
  <c r="AK17" i="23" s="1"/>
  <c r="P17" i="25" s="1"/>
  <c r="B22" i="71"/>
  <c r="AL16" i="23" s="1"/>
  <c r="Q16" i="25" s="1"/>
  <c r="BB20" i="71"/>
  <c r="BA20" i="71"/>
  <c r="N20" i="71" s="1"/>
  <c r="AS21" i="71"/>
  <c r="AK21" i="71"/>
  <c r="D21" i="71"/>
  <c r="AZ21" i="71"/>
  <c r="AR21" i="71"/>
  <c r="AJ21" i="71"/>
  <c r="AP21" i="71"/>
  <c r="AY21" i="71"/>
  <c r="AO21" i="71"/>
  <c r="AX21" i="71"/>
  <c r="AN21" i="71"/>
  <c r="AW21" i="71"/>
  <c r="AM21" i="71"/>
  <c r="AQ21" i="71"/>
  <c r="AL21" i="71"/>
  <c r="AI21" i="71"/>
  <c r="AH21" i="71"/>
  <c r="AG21" i="71"/>
  <c r="AV21" i="71"/>
  <c r="AU21" i="71"/>
  <c r="AT21" i="71"/>
  <c r="B22" i="69"/>
  <c r="AD16" i="23" s="1"/>
  <c r="G16" i="25" s="1"/>
  <c r="A23" i="69"/>
  <c r="AC17" i="23" s="1"/>
  <c r="F17" i="25" s="1"/>
  <c r="CA20" i="69"/>
  <c r="O20" i="69" s="1"/>
  <c r="AZ21" i="69"/>
  <c r="AR21" i="69"/>
  <c r="AJ21" i="69"/>
  <c r="AY21" i="69"/>
  <c r="AQ21" i="69"/>
  <c r="AI21" i="69"/>
  <c r="AX21" i="69"/>
  <c r="AP21" i="69"/>
  <c r="AH21" i="69"/>
  <c r="AW21" i="69"/>
  <c r="AO21" i="69"/>
  <c r="AG21" i="69"/>
  <c r="AV21" i="69"/>
  <c r="AN21" i="69"/>
  <c r="AU21" i="69"/>
  <c r="AM21" i="69"/>
  <c r="AT21" i="69"/>
  <c r="AL21" i="69"/>
  <c r="D21" i="69"/>
  <c r="AS21" i="69"/>
  <c r="AK21" i="69"/>
  <c r="BB20" i="69"/>
  <c r="BA20" i="69"/>
  <c r="N20" i="69" s="1"/>
  <c r="AZ21" i="68"/>
  <c r="AR21" i="68"/>
  <c r="AJ21" i="68"/>
  <c r="AY21" i="68"/>
  <c r="AQ21" i="68"/>
  <c r="AI21" i="68"/>
  <c r="AX21" i="68"/>
  <c r="AP21" i="68"/>
  <c r="AH21" i="68"/>
  <c r="AW21" i="68"/>
  <c r="AO21" i="68"/>
  <c r="AG21" i="68"/>
  <c r="AT21" i="68"/>
  <c r="AS21" i="68"/>
  <c r="AM21" i="68"/>
  <c r="AK21" i="68"/>
  <c r="AV21" i="68"/>
  <c r="AU21" i="68"/>
  <c r="AL21" i="68"/>
  <c r="AN21" i="68"/>
  <c r="CA20" i="68"/>
  <c r="O20" i="68" s="1"/>
  <c r="B22" i="68"/>
  <c r="A23" i="68"/>
  <c r="Y17" i="23" s="1"/>
  <c r="A17" i="25" s="1"/>
  <c r="BB20" i="68"/>
  <c r="BA20" i="68"/>
  <c r="N20" i="68" s="1"/>
  <c r="CA20" i="65"/>
  <c r="O20" i="65" s="1"/>
  <c r="AT21" i="65"/>
  <c r="AL21" i="65"/>
  <c r="AS21" i="65"/>
  <c r="AK21" i="65"/>
  <c r="D21" i="65"/>
  <c r="P15" i="23" s="1"/>
  <c r="T15" i="24" s="1"/>
  <c r="AZ21" i="65"/>
  <c r="AR21" i="65"/>
  <c r="AJ21" i="65"/>
  <c r="AY21" i="65"/>
  <c r="AQ21" i="65"/>
  <c r="AI21" i="65"/>
  <c r="AX21" i="65"/>
  <c r="AP21" i="65"/>
  <c r="AH21" i="65"/>
  <c r="AW21" i="65"/>
  <c r="AO21" i="65"/>
  <c r="AG21" i="65"/>
  <c r="AV21" i="65"/>
  <c r="AN21" i="65"/>
  <c r="AU21" i="65"/>
  <c r="AM21" i="65"/>
  <c r="BB20" i="65"/>
  <c r="BA20" i="65"/>
  <c r="N20" i="65" s="1"/>
  <c r="Y20" i="65" s="1"/>
  <c r="A23" i="65"/>
  <c r="M17" i="23" s="1"/>
  <c r="P17" i="24" s="1"/>
  <c r="B22" i="65"/>
  <c r="N16" i="23" s="1"/>
  <c r="Q16" i="24" s="1"/>
  <c r="BB20" i="64"/>
  <c r="BA20" i="64"/>
  <c r="N20" i="64" s="1"/>
  <c r="Y19" i="64" s="1"/>
  <c r="A23" i="64"/>
  <c r="I17" i="23" s="1"/>
  <c r="K17" i="24" s="1"/>
  <c r="B22" i="64"/>
  <c r="J16" i="23" s="1"/>
  <c r="L16" i="24" s="1"/>
  <c r="AS21" i="64"/>
  <c r="AK21" i="64"/>
  <c r="D21" i="64"/>
  <c r="L15" i="23" s="1"/>
  <c r="O15" i="24" s="1"/>
  <c r="AZ21" i="64"/>
  <c r="AR21" i="64"/>
  <c r="AJ21" i="64"/>
  <c r="AY21" i="64"/>
  <c r="AQ21" i="64"/>
  <c r="AI21" i="64"/>
  <c r="AX21" i="64"/>
  <c r="AP21" i="64"/>
  <c r="AH21" i="64"/>
  <c r="AW21" i="64"/>
  <c r="AO21" i="64"/>
  <c r="AG21" i="64"/>
  <c r="AV21" i="64"/>
  <c r="AN21" i="64"/>
  <c r="AU21" i="64"/>
  <c r="AM21" i="64"/>
  <c r="AT21" i="64"/>
  <c r="AL21" i="64"/>
  <c r="BB20" i="63"/>
  <c r="BA20" i="63"/>
  <c r="N20" i="63" s="1"/>
  <c r="Y20" i="63" s="1"/>
  <c r="A23" i="63"/>
  <c r="E17" i="23" s="1"/>
  <c r="F17" i="24" s="1"/>
  <c r="B22" i="63"/>
  <c r="F16" i="23" s="1"/>
  <c r="G16" i="24" s="1"/>
  <c r="AU21" i="63"/>
  <c r="AM21" i="63"/>
  <c r="AT21" i="63"/>
  <c r="AL21" i="63"/>
  <c r="AS21" i="63"/>
  <c r="AK21" i="63"/>
  <c r="D21" i="63"/>
  <c r="H15" i="23" s="1"/>
  <c r="J15" i="24" s="1"/>
  <c r="AZ21" i="63"/>
  <c r="AR21" i="63"/>
  <c r="AJ21" i="63"/>
  <c r="AY21" i="63"/>
  <c r="AQ21" i="63"/>
  <c r="AI21" i="63"/>
  <c r="AX21" i="63"/>
  <c r="AP21" i="63"/>
  <c r="AH21" i="63"/>
  <c r="AV21" i="63"/>
  <c r="AN21" i="63"/>
  <c r="AW21" i="63"/>
  <c r="AO21" i="63"/>
  <c r="AG21" i="63"/>
  <c r="FL20" i="63" l="1"/>
  <c r="FJ20" i="63"/>
  <c r="FL18" i="66"/>
  <c r="FJ18" i="66"/>
  <c r="FJ19" i="64"/>
  <c r="FL19" i="64"/>
  <c r="FJ20" i="65"/>
  <c r="FL20" i="65"/>
  <c r="FL19" i="70"/>
  <c r="FJ19" i="70"/>
  <c r="FL19" i="72"/>
  <c r="FJ19" i="72"/>
  <c r="FL18" i="67"/>
  <c r="FJ18" i="67"/>
  <c r="AB15" i="23"/>
  <c r="E15" i="25" s="1"/>
  <c r="Z16" i="23"/>
  <c r="B16" i="25" s="1"/>
  <c r="CL22" i="68"/>
  <c r="CD22" i="68"/>
  <c r="CM22" i="68"/>
  <c r="CU22" i="68"/>
  <c r="CE22" i="68"/>
  <c r="CN22" i="68"/>
  <c r="CV22" i="68"/>
  <c r="CF22" i="68"/>
  <c r="CO22" i="68"/>
  <c r="CW22" i="68"/>
  <c r="CG22" i="68"/>
  <c r="CP22" i="68"/>
  <c r="CH22" i="68"/>
  <c r="CQ22" i="68"/>
  <c r="CI22" i="68"/>
  <c r="CR22" i="68"/>
  <c r="CJ22" i="68"/>
  <c r="CS22" i="68"/>
  <c r="CK22" i="68"/>
  <c r="CT22" i="68"/>
  <c r="BL22" i="68"/>
  <c r="BT22" i="68"/>
  <c r="BM22" i="68"/>
  <c r="BU22" i="68"/>
  <c r="BN22" i="68"/>
  <c r="BV22" i="68"/>
  <c r="BG22" i="68"/>
  <c r="BO22" i="68"/>
  <c r="BW22" i="68"/>
  <c r="BH22" i="68"/>
  <c r="BP22" i="68"/>
  <c r="BX22" i="68"/>
  <c r="BI22" i="68"/>
  <c r="BQ22" i="68"/>
  <c r="BY22" i="68"/>
  <c r="BJ22" i="68"/>
  <c r="BR22" i="68"/>
  <c r="BZ22" i="68"/>
  <c r="BK22" i="68"/>
  <c r="BS22" i="68"/>
  <c r="CX21" i="68"/>
  <c r="P21" i="68" s="1"/>
  <c r="BB20" i="70"/>
  <c r="BA20" i="70"/>
  <c r="N20" i="70" s="1"/>
  <c r="O14" i="25"/>
  <c r="AJ14" i="23"/>
  <c r="AG16" i="23"/>
  <c r="K16" i="25" s="1"/>
  <c r="A23" i="70"/>
  <c r="B22" i="70"/>
  <c r="AH15" i="23"/>
  <c r="L15" i="25" s="1"/>
  <c r="AH21" i="70"/>
  <c r="AY21" i="70"/>
  <c r="AT21" i="70"/>
  <c r="AW21" i="70"/>
  <c r="AO21" i="70"/>
  <c r="AL21" i="70"/>
  <c r="AK21" i="70"/>
  <c r="AS21" i="70"/>
  <c r="D21" i="70"/>
  <c r="AU21" i="70"/>
  <c r="AI21" i="70"/>
  <c r="AZ21" i="70"/>
  <c r="AM21" i="70"/>
  <c r="AP21" i="70"/>
  <c r="AV21" i="70"/>
  <c r="AQ21" i="70"/>
  <c r="AX21" i="70"/>
  <c r="AJ21" i="70"/>
  <c r="AG21" i="70"/>
  <c r="AN21" i="70"/>
  <c r="AR21" i="70"/>
  <c r="Y14" i="25"/>
  <c r="AR14" i="23"/>
  <c r="BA20" i="67"/>
  <c r="N20" i="67" s="1"/>
  <c r="Y19" i="67" s="1"/>
  <c r="BB20" i="67"/>
  <c r="AN15" i="23"/>
  <c r="T15" i="25"/>
  <c r="AD15" i="25"/>
  <c r="AV15" i="23"/>
  <c r="V15" i="23"/>
  <c r="AA15" i="24" s="1"/>
  <c r="AX21" i="67"/>
  <c r="AL21" i="67"/>
  <c r="D21" i="67"/>
  <c r="X15" i="23" s="1"/>
  <c r="AD15" i="24" s="1"/>
  <c r="AK21" i="67"/>
  <c r="AY21" i="67"/>
  <c r="AP21" i="67"/>
  <c r="AO21" i="67"/>
  <c r="AU21" i="67"/>
  <c r="AQ21" i="67"/>
  <c r="AH21" i="67"/>
  <c r="AS21" i="67"/>
  <c r="AW21" i="67"/>
  <c r="AM21" i="67"/>
  <c r="AI21" i="67"/>
  <c r="AG21" i="67"/>
  <c r="AR21" i="67"/>
  <c r="AZ21" i="67"/>
  <c r="AT21" i="67"/>
  <c r="AN21" i="67"/>
  <c r="AJ21" i="67"/>
  <c r="AV21" i="67"/>
  <c r="U16" i="23"/>
  <c r="Z16" i="24" s="1"/>
  <c r="A23" i="67"/>
  <c r="B22" i="67"/>
  <c r="J15" i="25"/>
  <c r="AF15" i="23"/>
  <c r="R15" i="23"/>
  <c r="V15" i="24" s="1"/>
  <c r="AW21" i="66"/>
  <c r="AS21" i="66"/>
  <c r="AR21" i="66"/>
  <c r="AO21" i="66"/>
  <c r="AT21" i="66"/>
  <c r="AK21" i="66"/>
  <c r="AJ21" i="66"/>
  <c r="AG21" i="66"/>
  <c r="AU21" i="66"/>
  <c r="AL21" i="66"/>
  <c r="D21" i="66"/>
  <c r="T15" i="23" s="1"/>
  <c r="Y15" i="24" s="1"/>
  <c r="AX21" i="66"/>
  <c r="AM21" i="66"/>
  <c r="AY21" i="66"/>
  <c r="AP21" i="66"/>
  <c r="AQ21" i="66"/>
  <c r="AH21" i="66"/>
  <c r="AI21" i="66"/>
  <c r="AV21" i="66"/>
  <c r="AN21" i="66"/>
  <c r="AZ21" i="66"/>
  <c r="Q16" i="23"/>
  <c r="U16" i="24" s="1"/>
  <c r="A23" i="66"/>
  <c r="B22" i="66"/>
  <c r="BB20" i="66"/>
  <c r="BA20" i="66"/>
  <c r="N20" i="66" s="1"/>
  <c r="Y19" i="66" s="1"/>
  <c r="P21" i="73"/>
  <c r="Q20" i="73"/>
  <c r="Q20" i="68"/>
  <c r="BB21" i="73"/>
  <c r="BA21" i="73"/>
  <c r="N21" i="73" s="1"/>
  <c r="AY22" i="73"/>
  <c r="AQ22" i="73"/>
  <c r="AX22" i="73"/>
  <c r="AP22" i="73"/>
  <c r="AH22" i="73"/>
  <c r="AV22" i="73"/>
  <c r="AN22" i="73"/>
  <c r="AT22" i="73"/>
  <c r="AI22" i="73"/>
  <c r="AS22" i="73"/>
  <c r="AG22" i="73"/>
  <c r="AR22" i="73"/>
  <c r="AO22" i="73"/>
  <c r="AM22" i="73"/>
  <c r="D22" i="73"/>
  <c r="AZ22" i="73"/>
  <c r="AL22" i="73"/>
  <c r="AW22" i="73"/>
  <c r="AK22" i="73"/>
  <c r="AU22" i="73"/>
  <c r="AJ22" i="73"/>
  <c r="CA21" i="73"/>
  <c r="O21" i="73" s="1"/>
  <c r="B23" i="73"/>
  <c r="AT17" i="23" s="1"/>
  <c r="AA17" i="25" s="1"/>
  <c r="A24" i="73"/>
  <c r="AS18" i="23" s="1"/>
  <c r="Z18" i="25" s="1"/>
  <c r="AW21" i="72"/>
  <c r="AO21" i="72"/>
  <c r="AG21" i="72"/>
  <c r="AV21" i="72"/>
  <c r="AN21" i="72"/>
  <c r="AU21" i="72"/>
  <c r="AM21" i="72"/>
  <c r="AT21" i="72"/>
  <c r="AL21" i="72"/>
  <c r="AZ21" i="72"/>
  <c r="AJ21" i="72"/>
  <c r="AX21" i="72"/>
  <c r="AH21" i="72"/>
  <c r="AS21" i="72"/>
  <c r="D21" i="72"/>
  <c r="AR21" i="72"/>
  <c r="AQ21" i="72"/>
  <c r="AP21" i="72"/>
  <c r="AK21" i="72"/>
  <c r="AY21" i="72"/>
  <c r="AI21" i="72"/>
  <c r="B22" i="72"/>
  <c r="AP16" i="23" s="1"/>
  <c r="V16" i="25" s="1"/>
  <c r="A23" i="72"/>
  <c r="AO17" i="23" s="1"/>
  <c r="U17" i="25" s="1"/>
  <c r="BB20" i="72"/>
  <c r="BA20" i="72"/>
  <c r="N20" i="72" s="1"/>
  <c r="BB21" i="71"/>
  <c r="BA21" i="71"/>
  <c r="N21" i="71" s="1"/>
  <c r="AV22" i="71"/>
  <c r="AN22" i="71"/>
  <c r="AU22" i="71"/>
  <c r="AM22" i="71"/>
  <c r="AY22" i="71"/>
  <c r="AO22" i="71"/>
  <c r="D22" i="71"/>
  <c r="AX22" i="71"/>
  <c r="AL22" i="71"/>
  <c r="AW22" i="71"/>
  <c r="AK22" i="71"/>
  <c r="AT22" i="71"/>
  <c r="AJ22" i="71"/>
  <c r="AS22" i="71"/>
  <c r="AI22" i="71"/>
  <c r="AR22" i="71"/>
  <c r="AH22" i="71"/>
  <c r="AZ22" i="71"/>
  <c r="AP22" i="71"/>
  <c r="AQ22" i="71"/>
  <c r="AG22" i="71"/>
  <c r="CA21" i="71"/>
  <c r="O21" i="71" s="1"/>
  <c r="A24" i="71"/>
  <c r="AK18" i="23" s="1"/>
  <c r="P18" i="25" s="1"/>
  <c r="B23" i="71"/>
  <c r="AL17" i="23" s="1"/>
  <c r="Q17" i="25" s="1"/>
  <c r="BB21" i="69"/>
  <c r="BA21" i="69"/>
  <c r="N21" i="69" s="1"/>
  <c r="A24" i="69"/>
  <c r="AC18" i="23" s="1"/>
  <c r="F18" i="25" s="1"/>
  <c r="B23" i="69"/>
  <c r="AD17" i="23" s="1"/>
  <c r="G17" i="25" s="1"/>
  <c r="AU22" i="69"/>
  <c r="AM22" i="69"/>
  <c r="AT22" i="69"/>
  <c r="AL22" i="69"/>
  <c r="AS22" i="69"/>
  <c r="AK22" i="69"/>
  <c r="D22" i="69"/>
  <c r="AZ22" i="69"/>
  <c r="AR22" i="69"/>
  <c r="AJ22" i="69"/>
  <c r="AY22" i="69"/>
  <c r="AQ22" i="69"/>
  <c r="AI22" i="69"/>
  <c r="AX22" i="69"/>
  <c r="AP22" i="69"/>
  <c r="AH22" i="69"/>
  <c r="AW22" i="69"/>
  <c r="AO22" i="69"/>
  <c r="AG22" i="69"/>
  <c r="AV22" i="69"/>
  <c r="AN22" i="69"/>
  <c r="A24" i="68"/>
  <c r="Y18" i="23" s="1"/>
  <c r="A18" i="25" s="1"/>
  <c r="B23" i="68"/>
  <c r="AU22" i="68"/>
  <c r="AM22" i="68"/>
  <c r="AT22" i="68"/>
  <c r="AL22" i="68"/>
  <c r="AS22" i="68"/>
  <c r="AK22" i="68"/>
  <c r="D22" i="68"/>
  <c r="AZ22" i="68"/>
  <c r="AR22" i="68"/>
  <c r="AJ22" i="68"/>
  <c r="AX22" i="68"/>
  <c r="AW22" i="68"/>
  <c r="AO22" i="68"/>
  <c r="AG22" i="68"/>
  <c r="AV22" i="68"/>
  <c r="AN22" i="68"/>
  <c r="AY22" i="68"/>
  <c r="AQ22" i="68"/>
  <c r="AP22" i="68"/>
  <c r="AI22" i="68"/>
  <c r="AH22" i="68"/>
  <c r="CA21" i="68"/>
  <c r="O21" i="68" s="1"/>
  <c r="BB21" i="68"/>
  <c r="BA21" i="68"/>
  <c r="N21" i="68" s="1"/>
  <c r="CA21" i="65"/>
  <c r="O21" i="65" s="1"/>
  <c r="AW22" i="65"/>
  <c r="AO22" i="65"/>
  <c r="AG22" i="65"/>
  <c r="AV22" i="65"/>
  <c r="AN22" i="65"/>
  <c r="AU22" i="65"/>
  <c r="AM22" i="65"/>
  <c r="AT22" i="65"/>
  <c r="AL22" i="65"/>
  <c r="AS22" i="65"/>
  <c r="AK22" i="65"/>
  <c r="D22" i="65"/>
  <c r="P16" i="23" s="1"/>
  <c r="T16" i="24" s="1"/>
  <c r="AZ22" i="65"/>
  <c r="AR22" i="65"/>
  <c r="AJ22" i="65"/>
  <c r="AY22" i="65"/>
  <c r="AQ22" i="65"/>
  <c r="AI22" i="65"/>
  <c r="AX22" i="65"/>
  <c r="AP22" i="65"/>
  <c r="AH22" i="65"/>
  <c r="B23" i="65"/>
  <c r="N17" i="23" s="1"/>
  <c r="Q17" i="24" s="1"/>
  <c r="A24" i="65"/>
  <c r="M18" i="23" s="1"/>
  <c r="P18" i="24" s="1"/>
  <c r="BB21" i="65"/>
  <c r="BA21" i="65"/>
  <c r="N21" i="65" s="1"/>
  <c r="Y21" i="65" s="1"/>
  <c r="BB21" i="64"/>
  <c r="BA21" i="64"/>
  <c r="N21" i="64" s="1"/>
  <c r="Y20" i="64" s="1"/>
  <c r="AV22" i="64"/>
  <c r="AN22" i="64"/>
  <c r="AU22" i="64"/>
  <c r="AM22" i="64"/>
  <c r="AT22" i="64"/>
  <c r="AL22" i="64"/>
  <c r="AS22" i="64"/>
  <c r="AK22" i="64"/>
  <c r="D22" i="64"/>
  <c r="L16" i="23" s="1"/>
  <c r="O16" i="24" s="1"/>
  <c r="AZ22" i="64"/>
  <c r="AR22" i="64"/>
  <c r="AJ22" i="64"/>
  <c r="AY22" i="64"/>
  <c r="AQ22" i="64"/>
  <c r="AI22" i="64"/>
  <c r="AX22" i="64"/>
  <c r="AP22" i="64"/>
  <c r="AH22" i="64"/>
  <c r="AW22" i="64"/>
  <c r="AO22" i="64"/>
  <c r="AG22" i="64"/>
  <c r="A24" i="64"/>
  <c r="I18" i="23" s="1"/>
  <c r="K18" i="24" s="1"/>
  <c r="B23" i="64"/>
  <c r="J17" i="23" s="1"/>
  <c r="L17" i="24" s="1"/>
  <c r="BB21" i="63"/>
  <c r="BA21" i="63"/>
  <c r="N21" i="63" s="1"/>
  <c r="Y21" i="63" s="1"/>
  <c r="AX22" i="63"/>
  <c r="AP22" i="63"/>
  <c r="AH22" i="63"/>
  <c r="AW22" i="63"/>
  <c r="AO22" i="63"/>
  <c r="AG22" i="63"/>
  <c r="AV22" i="63"/>
  <c r="AN22" i="63"/>
  <c r="AU22" i="63"/>
  <c r="AM22" i="63"/>
  <c r="AT22" i="63"/>
  <c r="AL22" i="63"/>
  <c r="AS22" i="63"/>
  <c r="AK22" i="63"/>
  <c r="D22" i="63"/>
  <c r="H16" i="23" s="1"/>
  <c r="J16" i="24" s="1"/>
  <c r="AZ22" i="63"/>
  <c r="AR22" i="63"/>
  <c r="AJ22" i="63"/>
  <c r="AY22" i="63"/>
  <c r="AQ22" i="63"/>
  <c r="AI22" i="63"/>
  <c r="B23" i="63"/>
  <c r="F17" i="23" s="1"/>
  <c r="G17" i="24" s="1"/>
  <c r="A24" i="63"/>
  <c r="E18" i="23" s="1"/>
  <c r="F18" i="24" s="1"/>
  <c r="FL21" i="63" l="1"/>
  <c r="FJ21" i="63"/>
  <c r="FL21" i="65"/>
  <c r="FJ21" i="65"/>
  <c r="FJ19" i="66"/>
  <c r="FL19" i="66"/>
  <c r="FL20" i="64"/>
  <c r="FL40" i="64" s="1"/>
  <c r="FJ20" i="64"/>
  <c r="FJ40" i="64" s="1"/>
  <c r="FJ19" i="67"/>
  <c r="FL19" i="67"/>
  <c r="AB16" i="23"/>
  <c r="E16" i="25" s="1"/>
  <c r="CX22" i="68"/>
  <c r="P22" i="68" s="1"/>
  <c r="Z17" i="23"/>
  <c r="B17" i="25" s="1"/>
  <c r="CL23" i="68"/>
  <c r="CI23" i="68"/>
  <c r="CR23" i="68"/>
  <c r="CJ23" i="68"/>
  <c r="CS23" i="68"/>
  <c r="CK23" i="68"/>
  <c r="CT23" i="68"/>
  <c r="CD23" i="68"/>
  <c r="CM23" i="68"/>
  <c r="CU23" i="68"/>
  <c r="CE23" i="68"/>
  <c r="CN23" i="68"/>
  <c r="CV23" i="68"/>
  <c r="CF23" i="68"/>
  <c r="CO23" i="68"/>
  <c r="CW23" i="68"/>
  <c r="CG23" i="68"/>
  <c r="CP23" i="68"/>
  <c r="CH23" i="68"/>
  <c r="CQ23" i="68"/>
  <c r="BH23" i="68"/>
  <c r="BP23" i="68"/>
  <c r="BX23" i="68"/>
  <c r="BI23" i="68"/>
  <c r="BQ23" i="68"/>
  <c r="BY23" i="68"/>
  <c r="BJ23" i="68"/>
  <c r="BR23" i="68"/>
  <c r="BZ23" i="68"/>
  <c r="BK23" i="68"/>
  <c r="BS23" i="68"/>
  <c r="BL23" i="68"/>
  <c r="BT23" i="68"/>
  <c r="BM23" i="68"/>
  <c r="BU23" i="68"/>
  <c r="BN23" i="68"/>
  <c r="BV23" i="68"/>
  <c r="BG23" i="68"/>
  <c r="BO23" i="68"/>
  <c r="BW23" i="68"/>
  <c r="Y40" i="64"/>
  <c r="AJ15" i="23"/>
  <c r="O15" i="25"/>
  <c r="AH16" i="23"/>
  <c r="L16" i="25" s="1"/>
  <c r="AJ22" i="70"/>
  <c r="AM22" i="70"/>
  <c r="AK22" i="70"/>
  <c r="AZ22" i="70"/>
  <c r="AV22" i="70"/>
  <c r="AW22" i="70"/>
  <c r="AR22" i="70"/>
  <c r="AN22" i="70"/>
  <c r="D22" i="70"/>
  <c r="AO22" i="70"/>
  <c r="AG22" i="70"/>
  <c r="AS22" i="70"/>
  <c r="AL22" i="70"/>
  <c r="AX22" i="70"/>
  <c r="AI22" i="70"/>
  <c r="AP22" i="70"/>
  <c r="AQ22" i="70"/>
  <c r="AH22" i="70"/>
  <c r="AT22" i="70"/>
  <c r="AY22" i="70"/>
  <c r="AU22" i="70"/>
  <c r="AG17" i="23"/>
  <c r="K17" i="25" s="1"/>
  <c r="B23" i="70"/>
  <c r="A24" i="70"/>
  <c r="BA21" i="70"/>
  <c r="N21" i="70" s="1"/>
  <c r="BB21" i="70"/>
  <c r="BA21" i="67"/>
  <c r="N21" i="67" s="1"/>
  <c r="BB21" i="67"/>
  <c r="AD16" i="25"/>
  <c r="AV16" i="23"/>
  <c r="T16" i="25"/>
  <c r="AN16" i="23"/>
  <c r="V16" i="23"/>
  <c r="AA16" i="24" s="1"/>
  <c r="AH22" i="67"/>
  <c r="AQ22" i="67"/>
  <c r="AV22" i="67"/>
  <c r="AR22" i="67"/>
  <c r="AP22" i="67"/>
  <c r="AN22" i="67"/>
  <c r="AY22" i="67"/>
  <c r="AW22" i="67"/>
  <c r="AU22" i="67"/>
  <c r="AS22" i="67"/>
  <c r="AO22" i="67"/>
  <c r="AM22" i="67"/>
  <c r="AI22" i="67"/>
  <c r="AJ22" i="67"/>
  <c r="AT22" i="67"/>
  <c r="AK22" i="67"/>
  <c r="AG22" i="67"/>
  <c r="D22" i="67"/>
  <c r="X16" i="23" s="1"/>
  <c r="AD16" i="24" s="1"/>
  <c r="AZ22" i="67"/>
  <c r="AX22" i="67"/>
  <c r="AL22" i="67"/>
  <c r="U17" i="23"/>
  <c r="Z17" i="24" s="1"/>
  <c r="A24" i="67"/>
  <c r="B23" i="67"/>
  <c r="J16" i="25"/>
  <c r="AF16" i="23"/>
  <c r="Y15" i="25"/>
  <c r="AR15" i="23"/>
  <c r="R16" i="23"/>
  <c r="V16" i="24" s="1"/>
  <c r="AX22" i="66"/>
  <c r="AG22" i="66"/>
  <c r="AU22" i="66"/>
  <c r="AP22" i="66"/>
  <c r="AM22" i="66"/>
  <c r="AV22" i="66"/>
  <c r="AS22" i="66"/>
  <c r="AZ22" i="66"/>
  <c r="AY22" i="66"/>
  <c r="AH22" i="66"/>
  <c r="AK22" i="66"/>
  <c r="AR22" i="66"/>
  <c r="AQ22" i="66"/>
  <c r="AT22" i="66"/>
  <c r="D22" i="66"/>
  <c r="T16" i="23" s="1"/>
  <c r="Y16" i="24" s="1"/>
  <c r="AJ22" i="66"/>
  <c r="AI22" i="66"/>
  <c r="AL22" i="66"/>
  <c r="AN22" i="66"/>
  <c r="AO22" i="66"/>
  <c r="AW22" i="66"/>
  <c r="Q17" i="23"/>
  <c r="U17" i="24" s="1"/>
  <c r="A24" i="66"/>
  <c r="B23" i="66"/>
  <c r="BB21" i="66"/>
  <c r="BA21" i="66"/>
  <c r="N21" i="66" s="1"/>
  <c r="P22" i="73"/>
  <c r="Q21" i="73"/>
  <c r="Q21" i="68"/>
  <c r="A25" i="73"/>
  <c r="AS19" i="23" s="1"/>
  <c r="Z19" i="25" s="1"/>
  <c r="B24" i="73"/>
  <c r="AT18" i="23" s="1"/>
  <c r="AA18" i="25" s="1"/>
  <c r="CA22" i="73"/>
  <c r="O22" i="73" s="1"/>
  <c r="AT23" i="73"/>
  <c r="AL23" i="73"/>
  <c r="AS23" i="73"/>
  <c r="AK23" i="73"/>
  <c r="D23" i="73"/>
  <c r="AZ23" i="73"/>
  <c r="AR23" i="73"/>
  <c r="AJ23" i="73"/>
  <c r="AY23" i="73"/>
  <c r="AQ23" i="73"/>
  <c r="AI23" i="73"/>
  <c r="AX23" i="73"/>
  <c r="AP23" i="73"/>
  <c r="AH23" i="73"/>
  <c r="AW23" i="73"/>
  <c r="AO23" i="73"/>
  <c r="AG23" i="73"/>
  <c r="AN23" i="73"/>
  <c r="AM23" i="73"/>
  <c r="AV23" i="73"/>
  <c r="AU23" i="73"/>
  <c r="BB22" i="73"/>
  <c r="BA22" i="73"/>
  <c r="N22" i="73" s="1"/>
  <c r="BB21" i="72"/>
  <c r="BA21" i="72"/>
  <c r="N21" i="72" s="1"/>
  <c r="Y21" i="72" s="1"/>
  <c r="B23" i="72"/>
  <c r="AP17" i="23" s="1"/>
  <c r="V17" i="25" s="1"/>
  <c r="A24" i="72"/>
  <c r="AO18" i="23" s="1"/>
  <c r="U18" i="25" s="1"/>
  <c r="AZ22" i="72"/>
  <c r="AR22" i="72"/>
  <c r="AJ22" i="72"/>
  <c r="AY22" i="72"/>
  <c r="AQ22" i="72"/>
  <c r="AI22" i="72"/>
  <c r="AX22" i="72"/>
  <c r="AP22" i="72"/>
  <c r="AH22" i="72"/>
  <c r="AW22" i="72"/>
  <c r="AO22" i="72"/>
  <c r="AG22" i="72"/>
  <c r="AT22" i="72"/>
  <c r="D22" i="72"/>
  <c r="AN22" i="72"/>
  <c r="AM22" i="72"/>
  <c r="AL22" i="72"/>
  <c r="AK22" i="72"/>
  <c r="AV22" i="72"/>
  <c r="AU22" i="72"/>
  <c r="AS22" i="72"/>
  <c r="AY23" i="71"/>
  <c r="AQ23" i="71"/>
  <c r="AI23" i="71"/>
  <c r="AX23" i="71"/>
  <c r="AP23" i="71"/>
  <c r="AH23" i="71"/>
  <c r="AS23" i="71"/>
  <c r="AG23" i="71"/>
  <c r="AR23" i="71"/>
  <c r="AO23" i="71"/>
  <c r="AZ23" i="71"/>
  <c r="AN23" i="71"/>
  <c r="AW23" i="71"/>
  <c r="AM23" i="71"/>
  <c r="D23" i="71"/>
  <c r="AV23" i="71"/>
  <c r="AL23" i="71"/>
  <c r="AT23" i="71"/>
  <c r="AJ23" i="71"/>
  <c r="AU23" i="71"/>
  <c r="AK23" i="71"/>
  <c r="A25" i="71"/>
  <c r="AK19" i="23" s="1"/>
  <c r="P19" i="25" s="1"/>
  <c r="B24" i="71"/>
  <c r="AL18" i="23" s="1"/>
  <c r="Q18" i="25" s="1"/>
  <c r="BB22" i="71"/>
  <c r="BA22" i="71"/>
  <c r="N22" i="71" s="1"/>
  <c r="Y21" i="71" s="1"/>
  <c r="CA22" i="71"/>
  <c r="O22" i="71" s="1"/>
  <c r="AX23" i="69"/>
  <c r="AP23" i="69"/>
  <c r="AH23" i="69"/>
  <c r="AW23" i="69"/>
  <c r="AO23" i="69"/>
  <c r="AG23" i="69"/>
  <c r="AV23" i="69"/>
  <c r="AN23" i="69"/>
  <c r="AU23" i="69"/>
  <c r="AM23" i="69"/>
  <c r="AT23" i="69"/>
  <c r="AL23" i="69"/>
  <c r="AS23" i="69"/>
  <c r="AK23" i="69"/>
  <c r="D23" i="69"/>
  <c r="AZ23" i="69"/>
  <c r="AR23" i="69"/>
  <c r="AJ23" i="69"/>
  <c r="AY23" i="69"/>
  <c r="AQ23" i="69"/>
  <c r="AI23" i="69"/>
  <c r="A25" i="69"/>
  <c r="AC19" i="23" s="1"/>
  <c r="F19" i="25" s="1"/>
  <c r="B24" i="69"/>
  <c r="AD18" i="23" s="1"/>
  <c r="G18" i="25" s="1"/>
  <c r="BB22" i="69"/>
  <c r="BA22" i="69"/>
  <c r="N22" i="69" s="1"/>
  <c r="BB22" i="68"/>
  <c r="BA22" i="68"/>
  <c r="N22" i="68" s="1"/>
  <c r="CA22" i="68"/>
  <c r="O22" i="68" s="1"/>
  <c r="AX23" i="68"/>
  <c r="AP23" i="68"/>
  <c r="AH23" i="68"/>
  <c r="AW23" i="68"/>
  <c r="AO23" i="68"/>
  <c r="AG23" i="68"/>
  <c r="AV23" i="68"/>
  <c r="AN23" i="68"/>
  <c r="AU23" i="68"/>
  <c r="AM23" i="68"/>
  <c r="AT23" i="68"/>
  <c r="AL23" i="68"/>
  <c r="AS23" i="68"/>
  <c r="AK23" i="68"/>
  <c r="D23" i="68"/>
  <c r="AZ23" i="68"/>
  <c r="AR23" i="68"/>
  <c r="AJ23" i="68"/>
  <c r="AY23" i="68"/>
  <c r="AQ23" i="68"/>
  <c r="AI23" i="68"/>
  <c r="B24" i="68"/>
  <c r="A25" i="68"/>
  <c r="Y19" i="23" s="1"/>
  <c r="A19" i="25" s="1"/>
  <c r="BB22" i="65"/>
  <c r="BA22" i="65"/>
  <c r="N22" i="65" s="1"/>
  <c r="B24" i="65"/>
  <c r="N18" i="23" s="1"/>
  <c r="Q18" i="24" s="1"/>
  <c r="A25" i="65"/>
  <c r="M19" i="23" s="1"/>
  <c r="P19" i="24" s="1"/>
  <c r="AZ23" i="65"/>
  <c r="AR23" i="65"/>
  <c r="AJ23" i="65"/>
  <c r="AY23" i="65"/>
  <c r="AQ23" i="65"/>
  <c r="AI23" i="65"/>
  <c r="AX23" i="65"/>
  <c r="AP23" i="65"/>
  <c r="AH23" i="65"/>
  <c r="AW23" i="65"/>
  <c r="AO23" i="65"/>
  <c r="AG23" i="65"/>
  <c r="AV23" i="65"/>
  <c r="AN23" i="65"/>
  <c r="AU23" i="65"/>
  <c r="AM23" i="65"/>
  <c r="AT23" i="65"/>
  <c r="AL23" i="65"/>
  <c r="AS23" i="65"/>
  <c r="AK23" i="65"/>
  <c r="D23" i="65"/>
  <c r="P17" i="23" s="1"/>
  <c r="T17" i="24" s="1"/>
  <c r="AY23" i="64"/>
  <c r="AQ23" i="64"/>
  <c r="AI23" i="64"/>
  <c r="AX23" i="64"/>
  <c r="AP23" i="64"/>
  <c r="AW23" i="64"/>
  <c r="AO23" i="64"/>
  <c r="AV23" i="64"/>
  <c r="AN23" i="64"/>
  <c r="AR23" i="64"/>
  <c r="AM23" i="64"/>
  <c r="D23" i="64"/>
  <c r="L17" i="23" s="1"/>
  <c r="O17" i="24" s="1"/>
  <c r="AL23" i="64"/>
  <c r="AK23" i="64"/>
  <c r="AZ23" i="64"/>
  <c r="AJ23" i="64"/>
  <c r="AU23" i="64"/>
  <c r="AH23" i="64"/>
  <c r="AT23" i="64"/>
  <c r="AG23" i="64"/>
  <c r="AS23" i="64"/>
  <c r="B24" i="64"/>
  <c r="J18" i="23" s="1"/>
  <c r="L18" i="24" s="1"/>
  <c r="A25" i="64"/>
  <c r="I19" i="23" s="1"/>
  <c r="K19" i="24" s="1"/>
  <c r="BB22" i="64"/>
  <c r="BA22" i="64"/>
  <c r="N22" i="64" s="1"/>
  <c r="A25" i="63"/>
  <c r="E19" i="23" s="1"/>
  <c r="F19" i="24" s="1"/>
  <c r="B24" i="63"/>
  <c r="F18" i="23" s="1"/>
  <c r="G18" i="24" s="1"/>
  <c r="AS23" i="63"/>
  <c r="AK23" i="63"/>
  <c r="D23" i="63"/>
  <c r="H17" i="23" s="1"/>
  <c r="J17" i="24" s="1"/>
  <c r="AZ23" i="63"/>
  <c r="AR23" i="63"/>
  <c r="AJ23" i="63"/>
  <c r="AY23" i="63"/>
  <c r="AQ23" i="63"/>
  <c r="AI23" i="63"/>
  <c r="AX23" i="63"/>
  <c r="AP23" i="63"/>
  <c r="AH23" i="63"/>
  <c r="AW23" i="63"/>
  <c r="AO23" i="63"/>
  <c r="AG23" i="63"/>
  <c r="AV23" i="63"/>
  <c r="AN23" i="63"/>
  <c r="AU23" i="63"/>
  <c r="AM23" i="63"/>
  <c r="AT23" i="63"/>
  <c r="AL23" i="63"/>
  <c r="BB22" i="63"/>
  <c r="BA22" i="63"/>
  <c r="N22" i="63" s="1"/>
  <c r="Y22" i="63" s="1"/>
  <c r="FJ22" i="63" l="1"/>
  <c r="FL22" i="63"/>
  <c r="FL21" i="72"/>
  <c r="FJ21" i="72"/>
  <c r="FJ21" i="71"/>
  <c r="FL21" i="71"/>
  <c r="AB17" i="23"/>
  <c r="E17" i="25" s="1"/>
  <c r="CX23" i="68"/>
  <c r="Z18" i="23"/>
  <c r="B18" i="25" s="1"/>
  <c r="CL24" i="68"/>
  <c r="CF24" i="68"/>
  <c r="CO24" i="68"/>
  <c r="CW24" i="68"/>
  <c r="CG24" i="68"/>
  <c r="CP24" i="68"/>
  <c r="CH24" i="68"/>
  <c r="CQ24" i="68"/>
  <c r="CI24" i="68"/>
  <c r="CR24" i="68"/>
  <c r="CJ24" i="68"/>
  <c r="CS24" i="68"/>
  <c r="CK24" i="68"/>
  <c r="CT24" i="68"/>
  <c r="CD24" i="68"/>
  <c r="CM24" i="68"/>
  <c r="CU24" i="68"/>
  <c r="CE24" i="68"/>
  <c r="CN24" i="68"/>
  <c r="CV24" i="68"/>
  <c r="BL24" i="68"/>
  <c r="BT24" i="68"/>
  <c r="BM24" i="68"/>
  <c r="BU24" i="68"/>
  <c r="BN24" i="68"/>
  <c r="BV24" i="68"/>
  <c r="BG24" i="68"/>
  <c r="BO24" i="68"/>
  <c r="BW24" i="68"/>
  <c r="BH24" i="68"/>
  <c r="BP24" i="68"/>
  <c r="BX24" i="68"/>
  <c r="BI24" i="68"/>
  <c r="BQ24" i="68"/>
  <c r="BY24" i="68"/>
  <c r="BJ24" i="68"/>
  <c r="BR24" i="68"/>
  <c r="BZ24" i="68"/>
  <c r="BK24" i="68"/>
  <c r="BS24" i="68"/>
  <c r="AG18" i="23"/>
  <c r="K18" i="25" s="1"/>
  <c r="A25" i="70"/>
  <c r="B24" i="70"/>
  <c r="AH17" i="23"/>
  <c r="L17" i="25" s="1"/>
  <c r="AK23" i="70"/>
  <c r="AR23" i="70"/>
  <c r="AU23" i="70"/>
  <c r="AP23" i="70"/>
  <c r="D23" i="70"/>
  <c r="AJ23" i="70"/>
  <c r="AW23" i="70"/>
  <c r="AI23" i="70"/>
  <c r="AM23" i="70"/>
  <c r="AQ23" i="70"/>
  <c r="AY23" i="70"/>
  <c r="AG23" i="70"/>
  <c r="AV23" i="70"/>
  <c r="AX23" i="70"/>
  <c r="AL23" i="70"/>
  <c r="AT23" i="70"/>
  <c r="AO23" i="70"/>
  <c r="AN23" i="70"/>
  <c r="AH23" i="70"/>
  <c r="AS23" i="70"/>
  <c r="AZ23" i="70"/>
  <c r="BB22" i="70"/>
  <c r="BA22" i="70"/>
  <c r="N22" i="70" s="1"/>
  <c r="AJ16" i="23"/>
  <c r="O16" i="25"/>
  <c r="Y16" i="25"/>
  <c r="AR16" i="23"/>
  <c r="V17" i="23"/>
  <c r="AA17" i="24" s="1"/>
  <c r="AJ23" i="67"/>
  <c r="AI23" i="67"/>
  <c r="D23" i="67"/>
  <c r="X17" i="23" s="1"/>
  <c r="AD17" i="24" s="1"/>
  <c r="AK23" i="67"/>
  <c r="AR23" i="67"/>
  <c r="AM23" i="67"/>
  <c r="AY23" i="67"/>
  <c r="AO23" i="67"/>
  <c r="AV23" i="67"/>
  <c r="AL23" i="67"/>
  <c r="AU23" i="67"/>
  <c r="AQ23" i="67"/>
  <c r="AN23" i="67"/>
  <c r="AX23" i="67"/>
  <c r="AH23" i="67"/>
  <c r="AW23" i="67"/>
  <c r="AP23" i="67"/>
  <c r="AT23" i="67"/>
  <c r="AZ23" i="67"/>
  <c r="AS23" i="67"/>
  <c r="AG23" i="67"/>
  <c r="U18" i="23"/>
  <c r="Z18" i="24" s="1"/>
  <c r="A25" i="67"/>
  <c r="B24" i="67"/>
  <c r="T17" i="25"/>
  <c r="AN17" i="23"/>
  <c r="AD17" i="25"/>
  <c r="AV17" i="23"/>
  <c r="BA22" i="67"/>
  <c r="N22" i="67" s="1"/>
  <c r="BB22" i="67"/>
  <c r="AF17" i="23"/>
  <c r="J17" i="25"/>
  <c r="CA22" i="67"/>
  <c r="O22" i="67" s="1"/>
  <c r="BB22" i="66"/>
  <c r="BA22" i="66"/>
  <c r="N22" i="66" s="1"/>
  <c r="Y21" i="66" s="1"/>
  <c r="R17" i="23"/>
  <c r="V17" i="24" s="1"/>
  <c r="AU23" i="66"/>
  <c r="AQ23" i="66"/>
  <c r="AO23" i="66"/>
  <c r="AH23" i="66"/>
  <c r="AM23" i="66"/>
  <c r="AG23" i="66"/>
  <c r="AS23" i="66"/>
  <c r="AW23" i="66"/>
  <c r="AT23" i="66"/>
  <c r="AK23" i="66"/>
  <c r="AZ23" i="66"/>
  <c r="AL23" i="66"/>
  <c r="AI23" i="66"/>
  <c r="AP23" i="66"/>
  <c r="D23" i="66"/>
  <c r="T17" i="23" s="1"/>
  <c r="Y17" i="24" s="1"/>
  <c r="AX23" i="66"/>
  <c r="AN23" i="66"/>
  <c r="AV23" i="66"/>
  <c r="AR23" i="66"/>
  <c r="AY23" i="66"/>
  <c r="AJ23" i="66"/>
  <c r="Q18" i="23"/>
  <c r="U18" i="24" s="1"/>
  <c r="A25" i="66"/>
  <c r="B24" i="66"/>
  <c r="P23" i="64"/>
  <c r="P23" i="73"/>
  <c r="P23" i="68"/>
  <c r="Q22" i="73"/>
  <c r="BB23" i="73"/>
  <c r="BA23" i="73"/>
  <c r="N23" i="73" s="1"/>
  <c r="AW24" i="73"/>
  <c r="AO24" i="73"/>
  <c r="AG24" i="73"/>
  <c r="AV24" i="73"/>
  <c r="AN24" i="73"/>
  <c r="AU24" i="73"/>
  <c r="AM24" i="73"/>
  <c r="AT24" i="73"/>
  <c r="AL24" i="73"/>
  <c r="AS24" i="73"/>
  <c r="AK24" i="73"/>
  <c r="D24" i="73"/>
  <c r="AZ24" i="73"/>
  <c r="AR24" i="73"/>
  <c r="AJ24" i="73"/>
  <c r="AX24" i="73"/>
  <c r="AP24" i="73"/>
  <c r="AH24" i="73"/>
  <c r="AY24" i="73"/>
  <c r="AQ24" i="73"/>
  <c r="AI24" i="73"/>
  <c r="CA23" i="73"/>
  <c r="O23" i="73" s="1"/>
  <c r="B25" i="73"/>
  <c r="AT19" i="23" s="1"/>
  <c r="AA19" i="25" s="1"/>
  <c r="A26" i="73"/>
  <c r="AS20" i="23" s="1"/>
  <c r="Z20" i="25" s="1"/>
  <c r="BB22" i="72"/>
  <c r="BA22" i="72"/>
  <c r="N22" i="72" s="1"/>
  <c r="Y22" i="72" s="1"/>
  <c r="A25" i="72"/>
  <c r="AO19" i="23" s="1"/>
  <c r="U19" i="25" s="1"/>
  <c r="B24" i="72"/>
  <c r="AP18" i="23" s="1"/>
  <c r="V18" i="25" s="1"/>
  <c r="AU23" i="72"/>
  <c r="AM23" i="72"/>
  <c r="AT23" i="72"/>
  <c r="AL23" i="72"/>
  <c r="AS23" i="72"/>
  <c r="AK23" i="72"/>
  <c r="D23" i="72"/>
  <c r="AZ23" i="72"/>
  <c r="AR23" i="72"/>
  <c r="AJ23" i="72"/>
  <c r="AP23" i="72"/>
  <c r="AN23" i="72"/>
  <c r="AY23" i="72"/>
  <c r="AI23" i="72"/>
  <c r="AX23" i="72"/>
  <c r="AH23" i="72"/>
  <c r="AW23" i="72"/>
  <c r="AG23" i="72"/>
  <c r="AV23" i="72"/>
  <c r="AQ23" i="72"/>
  <c r="AO23" i="72"/>
  <c r="BB23" i="71"/>
  <c r="BA23" i="71"/>
  <c r="N23" i="71" s="1"/>
  <c r="Y22" i="71" s="1"/>
  <c r="AT24" i="71"/>
  <c r="AL24" i="71"/>
  <c r="AS24" i="71"/>
  <c r="AK24" i="71"/>
  <c r="D24" i="71"/>
  <c r="AZ24" i="71"/>
  <c r="AR24" i="71"/>
  <c r="AJ24" i="71"/>
  <c r="AX24" i="71"/>
  <c r="AP24" i="71"/>
  <c r="AH24" i="71"/>
  <c r="AU24" i="71"/>
  <c r="AQ24" i="71"/>
  <c r="AO24" i="71"/>
  <c r="AN24" i="71"/>
  <c r="AM24" i="71"/>
  <c r="AY24" i="71"/>
  <c r="AI24" i="71"/>
  <c r="AW24" i="71"/>
  <c r="AG24" i="71"/>
  <c r="AV24" i="71"/>
  <c r="A26" i="71"/>
  <c r="AK20" i="23" s="1"/>
  <c r="P20" i="25" s="1"/>
  <c r="B25" i="71"/>
  <c r="AL19" i="23" s="1"/>
  <c r="Q19" i="25" s="1"/>
  <c r="BB23" i="69"/>
  <c r="BA23" i="69"/>
  <c r="N23" i="69" s="1"/>
  <c r="Y22" i="69" s="1"/>
  <c r="AU24" i="69"/>
  <c r="AM24" i="69"/>
  <c r="AT24" i="69"/>
  <c r="AL24" i="69"/>
  <c r="AS24" i="69"/>
  <c r="AK24" i="69"/>
  <c r="D24" i="69"/>
  <c r="AV24" i="69"/>
  <c r="AH24" i="69"/>
  <c r="AR24" i="69"/>
  <c r="AG24" i="69"/>
  <c r="AQ24" i="69"/>
  <c r="AP24" i="69"/>
  <c r="AZ24" i="69"/>
  <c r="AO24" i="69"/>
  <c r="AY24" i="69"/>
  <c r="AN24" i="69"/>
  <c r="AX24" i="69"/>
  <c r="AJ24" i="69"/>
  <c r="AW24" i="69"/>
  <c r="AI24" i="69"/>
  <c r="A26" i="69"/>
  <c r="AC20" i="23" s="1"/>
  <c r="F20" i="25" s="1"/>
  <c r="B25" i="69"/>
  <c r="AD19" i="23" s="1"/>
  <c r="G19" i="25" s="1"/>
  <c r="A26" i="68"/>
  <c r="Y20" i="23" s="1"/>
  <c r="A20" i="25" s="1"/>
  <c r="B25" i="68"/>
  <c r="CA23" i="68"/>
  <c r="O23" i="68" s="1"/>
  <c r="AS24" i="68"/>
  <c r="AK24" i="68"/>
  <c r="D24" i="68"/>
  <c r="AZ24" i="68"/>
  <c r="AR24" i="68"/>
  <c r="AJ24" i="68"/>
  <c r="AY24" i="68"/>
  <c r="AQ24" i="68"/>
  <c r="AI24" i="68"/>
  <c r="AX24" i="68"/>
  <c r="AP24" i="68"/>
  <c r="AH24" i="68"/>
  <c r="AW24" i="68"/>
  <c r="AO24" i="68"/>
  <c r="AG24" i="68"/>
  <c r="AV24" i="68"/>
  <c r="AN24" i="68"/>
  <c r="AU24" i="68"/>
  <c r="AM24" i="68"/>
  <c r="AT24" i="68"/>
  <c r="AL24" i="68"/>
  <c r="BB23" i="68"/>
  <c r="BA23" i="68"/>
  <c r="N23" i="68" s="1"/>
  <c r="Q22" i="68"/>
  <c r="BB23" i="65"/>
  <c r="BA23" i="65"/>
  <c r="N23" i="65" s="1"/>
  <c r="A26" i="65"/>
  <c r="M20" i="23" s="1"/>
  <c r="P20" i="24" s="1"/>
  <c r="B25" i="65"/>
  <c r="N19" i="23" s="1"/>
  <c r="Q19" i="24" s="1"/>
  <c r="AT24" i="65"/>
  <c r="AL24" i="65"/>
  <c r="AX24" i="65"/>
  <c r="AO24" i="65"/>
  <c r="AW24" i="65"/>
  <c r="AN24" i="65"/>
  <c r="AV24" i="65"/>
  <c r="AM24" i="65"/>
  <c r="D24" i="65"/>
  <c r="P18" i="23" s="1"/>
  <c r="T18" i="24" s="1"/>
  <c r="AU24" i="65"/>
  <c r="AK24" i="65"/>
  <c r="AS24" i="65"/>
  <c r="AJ24" i="65"/>
  <c r="AR24" i="65"/>
  <c r="AI24" i="65"/>
  <c r="AZ24" i="65"/>
  <c r="AQ24" i="65"/>
  <c r="AH24" i="65"/>
  <c r="AY24" i="65"/>
  <c r="AP24" i="65"/>
  <c r="AG24" i="65"/>
  <c r="BB23" i="64"/>
  <c r="BA23" i="64"/>
  <c r="N23" i="64" s="1"/>
  <c r="CA23" i="64"/>
  <c r="O23" i="64" s="1"/>
  <c r="A26" i="64"/>
  <c r="I20" i="23" s="1"/>
  <c r="K20" i="24" s="1"/>
  <c r="B25" i="64"/>
  <c r="J19" i="23" s="1"/>
  <c r="L19" i="24" s="1"/>
  <c r="AT24" i="64"/>
  <c r="AL24" i="64"/>
  <c r="AS24" i="64"/>
  <c r="AK24" i="64"/>
  <c r="D24" i="64"/>
  <c r="L18" i="23" s="1"/>
  <c r="O18" i="24" s="1"/>
  <c r="AZ24" i="64"/>
  <c r="AR24" i="64"/>
  <c r="AJ24" i="64"/>
  <c r="AY24" i="64"/>
  <c r="AQ24" i="64"/>
  <c r="AI24" i="64"/>
  <c r="AX24" i="64"/>
  <c r="AH24" i="64"/>
  <c r="AW24" i="64"/>
  <c r="AG24" i="64"/>
  <c r="AV24" i="64"/>
  <c r="AU24" i="64"/>
  <c r="AP24" i="64"/>
  <c r="AO24" i="64"/>
  <c r="AN24" i="64"/>
  <c r="AM24" i="64"/>
  <c r="BB23" i="63"/>
  <c r="BA23" i="63"/>
  <c r="N23" i="63" s="1"/>
  <c r="Y23" i="63" s="1"/>
  <c r="AZ24" i="63"/>
  <c r="AR24" i="63"/>
  <c r="AW24" i="63"/>
  <c r="AN24" i="63"/>
  <c r="AV24" i="63"/>
  <c r="AM24" i="63"/>
  <c r="AU24" i="63"/>
  <c r="AL24" i="63"/>
  <c r="AT24" i="63"/>
  <c r="AK24" i="63"/>
  <c r="D24" i="63"/>
  <c r="H18" i="23" s="1"/>
  <c r="J18" i="24" s="1"/>
  <c r="AS24" i="63"/>
  <c r="AJ24" i="63"/>
  <c r="AQ24" i="63"/>
  <c r="AI24" i="63"/>
  <c r="AY24" i="63"/>
  <c r="AP24" i="63"/>
  <c r="AH24" i="63"/>
  <c r="AX24" i="63"/>
  <c r="AO24" i="63"/>
  <c r="AG24" i="63"/>
  <c r="A26" i="63"/>
  <c r="E20" i="23" s="1"/>
  <c r="F20" i="24" s="1"/>
  <c r="B25" i="63"/>
  <c r="F19" i="23" s="1"/>
  <c r="G19" i="24" s="1"/>
  <c r="FL22" i="69" l="1"/>
  <c r="FL40" i="69" s="1"/>
  <c r="FJ22" i="69"/>
  <c r="FJ40" i="69" s="1"/>
  <c r="FJ22" i="72"/>
  <c r="FL22" i="72"/>
  <c r="FL22" i="71"/>
  <c r="FJ22" i="71"/>
  <c r="FJ23" i="63"/>
  <c r="FL23" i="63"/>
  <c r="FJ21" i="66"/>
  <c r="FL21" i="66"/>
  <c r="AB18" i="23"/>
  <c r="E18" i="25" s="1"/>
  <c r="Z19" i="23"/>
  <c r="B19" i="25" s="1"/>
  <c r="CL25" i="68"/>
  <c r="CM25" i="68"/>
  <c r="CU25" i="68"/>
  <c r="CE25" i="68"/>
  <c r="CN25" i="68"/>
  <c r="CV25" i="68"/>
  <c r="CF25" i="68"/>
  <c r="CO25" i="68"/>
  <c r="CW25" i="68"/>
  <c r="CG25" i="68"/>
  <c r="CP25" i="68"/>
  <c r="CH25" i="68"/>
  <c r="CQ25" i="68"/>
  <c r="CI25" i="68"/>
  <c r="CR25" i="68"/>
  <c r="CJ25" i="68"/>
  <c r="CS25" i="68"/>
  <c r="CK25" i="68"/>
  <c r="CT25" i="68"/>
  <c r="BI25" i="68"/>
  <c r="BR25" i="68"/>
  <c r="BZ25" i="68"/>
  <c r="BJ25" i="68"/>
  <c r="BS25" i="68"/>
  <c r="BK25" i="68"/>
  <c r="BT25" i="68"/>
  <c r="BM25" i="68"/>
  <c r="BU25" i="68"/>
  <c r="BN25" i="68"/>
  <c r="BV25" i="68"/>
  <c r="BO25" i="68"/>
  <c r="BW25" i="68"/>
  <c r="BP25" i="68"/>
  <c r="BX25" i="68"/>
  <c r="BH25" i="68"/>
  <c r="BQ25" i="68"/>
  <c r="BY25" i="68"/>
  <c r="BL25" i="68"/>
  <c r="CD25" i="68"/>
  <c r="BG25" i="68"/>
  <c r="CX24" i="68"/>
  <c r="P24" i="68" s="1"/>
  <c r="Y40" i="69"/>
  <c r="CA23" i="70"/>
  <c r="O23" i="70" s="1"/>
  <c r="O17" i="25"/>
  <c r="AJ17" i="23"/>
  <c r="AH18" i="23"/>
  <c r="L18" i="25" s="1"/>
  <c r="AK24" i="70"/>
  <c r="D24" i="70"/>
  <c r="AU24" i="70"/>
  <c r="AZ24" i="70"/>
  <c r="AM24" i="70"/>
  <c r="AS24" i="70"/>
  <c r="AP24" i="70"/>
  <c r="AI24" i="70"/>
  <c r="AX24" i="70"/>
  <c r="AT24" i="70"/>
  <c r="AQ24" i="70"/>
  <c r="AV24" i="70"/>
  <c r="AJ24" i="70"/>
  <c r="AG24" i="70"/>
  <c r="AL24" i="70"/>
  <c r="AN24" i="70"/>
  <c r="AR24" i="70"/>
  <c r="AY24" i="70"/>
  <c r="AW24" i="70"/>
  <c r="AH24" i="70"/>
  <c r="AO24" i="70"/>
  <c r="BB23" i="70"/>
  <c r="BA23" i="70"/>
  <c r="N23" i="70" s="1"/>
  <c r="Y23" i="70" s="1"/>
  <c r="AG19" i="23"/>
  <c r="K19" i="25" s="1"/>
  <c r="A26" i="70"/>
  <c r="B25" i="70"/>
  <c r="AN18" i="23"/>
  <c r="T18" i="25"/>
  <c r="Y17" i="25"/>
  <c r="AR17" i="23"/>
  <c r="AD18" i="25"/>
  <c r="AV18" i="23"/>
  <c r="CA23" i="67"/>
  <c r="O23" i="67" s="1"/>
  <c r="BB23" i="67"/>
  <c r="BA23" i="67"/>
  <c r="N23" i="67" s="1"/>
  <c r="Y22" i="67" s="1"/>
  <c r="J18" i="25"/>
  <c r="AF18" i="23"/>
  <c r="V18" i="23"/>
  <c r="AA18" i="24" s="1"/>
  <c r="AY24" i="67"/>
  <c r="AH24" i="67"/>
  <c r="AQ24" i="67"/>
  <c r="AV24" i="67"/>
  <c r="AZ24" i="67"/>
  <c r="AI24" i="67"/>
  <c r="AN24" i="67"/>
  <c r="AS24" i="67"/>
  <c r="AR24" i="67"/>
  <c r="AK24" i="67"/>
  <c r="AJ24" i="67"/>
  <c r="AW24" i="67"/>
  <c r="AT24" i="67"/>
  <c r="D24" i="67"/>
  <c r="X18" i="23" s="1"/>
  <c r="AD18" i="24" s="1"/>
  <c r="AO24" i="67"/>
  <c r="AU24" i="67"/>
  <c r="AL24" i="67"/>
  <c r="AP24" i="67"/>
  <c r="AX24" i="67"/>
  <c r="AG24" i="67"/>
  <c r="AM24" i="67"/>
  <c r="U19" i="23"/>
  <c r="Z19" i="24" s="1"/>
  <c r="B25" i="67"/>
  <c r="A26" i="67"/>
  <c r="R18" i="23"/>
  <c r="V18" i="24" s="1"/>
  <c r="AH24" i="66"/>
  <c r="AT24" i="66"/>
  <c r="AL24" i="66"/>
  <c r="AQ24" i="66"/>
  <c r="AV24" i="66"/>
  <c r="AY24" i="66"/>
  <c r="AI24" i="66"/>
  <c r="AN24" i="66"/>
  <c r="AM24" i="66"/>
  <c r="AW24" i="66"/>
  <c r="AS24" i="66"/>
  <c r="AO24" i="66"/>
  <c r="AK24" i="66"/>
  <c r="AJ24" i="66"/>
  <c r="AX24" i="66"/>
  <c r="AG24" i="66"/>
  <c r="AZ24" i="66"/>
  <c r="AU24" i="66"/>
  <c r="AP24" i="66"/>
  <c r="AR24" i="66"/>
  <c r="D24" i="66"/>
  <c r="T18" i="23" s="1"/>
  <c r="Y18" i="24" s="1"/>
  <c r="Q19" i="23"/>
  <c r="U19" i="24" s="1"/>
  <c r="A26" i="66"/>
  <c r="B25" i="66"/>
  <c r="BB23" i="66"/>
  <c r="BA23" i="66"/>
  <c r="N23" i="66" s="1"/>
  <c r="Y22" i="66" s="1"/>
  <c r="P24" i="64"/>
  <c r="P24" i="73"/>
  <c r="Q23" i="68"/>
  <c r="AZ25" i="73"/>
  <c r="AR25" i="73"/>
  <c r="AJ25" i="73"/>
  <c r="AY25" i="73"/>
  <c r="AQ25" i="73"/>
  <c r="AI25" i="73"/>
  <c r="AX25" i="73"/>
  <c r="AP25" i="73"/>
  <c r="AH25" i="73"/>
  <c r="AW25" i="73"/>
  <c r="AO25" i="73"/>
  <c r="AG25" i="73"/>
  <c r="AV25" i="73"/>
  <c r="AN25" i="73"/>
  <c r="AU25" i="73"/>
  <c r="AM25" i="73"/>
  <c r="AT25" i="73"/>
  <c r="AL25" i="73"/>
  <c r="AS25" i="73"/>
  <c r="AK25" i="73"/>
  <c r="D25" i="73"/>
  <c r="CA24" i="73"/>
  <c r="O24" i="73" s="1"/>
  <c r="Q23" i="73"/>
  <c r="B26" i="73"/>
  <c r="AT20" i="23" s="1"/>
  <c r="AA20" i="25" s="1"/>
  <c r="A27" i="73"/>
  <c r="AS21" i="23" s="1"/>
  <c r="Z21" i="25" s="1"/>
  <c r="BB24" i="73"/>
  <c r="BA24" i="73"/>
  <c r="N24" i="73" s="1"/>
  <c r="AX24" i="72"/>
  <c r="AP24" i="72"/>
  <c r="AH24" i="72"/>
  <c r="AW24" i="72"/>
  <c r="AO24" i="72"/>
  <c r="AG24" i="72"/>
  <c r="AV24" i="72"/>
  <c r="AN24" i="72"/>
  <c r="AU24" i="72"/>
  <c r="AM24" i="72"/>
  <c r="AS24" i="72"/>
  <c r="AK24" i="72"/>
  <c r="D24" i="72"/>
  <c r="AZ24" i="72"/>
  <c r="AR24" i="72"/>
  <c r="AJ24" i="72"/>
  <c r="AY24" i="72"/>
  <c r="AQ24" i="72"/>
  <c r="AI24" i="72"/>
  <c r="AT24" i="72"/>
  <c r="AL24" i="72"/>
  <c r="B25" i="72"/>
  <c r="AP19" i="23" s="1"/>
  <c r="V19" i="25" s="1"/>
  <c r="A26" i="72"/>
  <c r="AO20" i="23" s="1"/>
  <c r="U20" i="25" s="1"/>
  <c r="BB23" i="72"/>
  <c r="BA23" i="72"/>
  <c r="N23" i="72" s="1"/>
  <c r="AW25" i="71"/>
  <c r="AO25" i="71"/>
  <c r="AG25" i="71"/>
  <c r="AR25" i="71"/>
  <c r="AI25" i="71"/>
  <c r="AZ25" i="71"/>
  <c r="AQ25" i="71"/>
  <c r="AH25" i="71"/>
  <c r="AY25" i="71"/>
  <c r="AP25" i="71"/>
  <c r="AX25" i="71"/>
  <c r="AN25" i="71"/>
  <c r="AV25" i="71"/>
  <c r="AM25" i="71"/>
  <c r="D25" i="71"/>
  <c r="AJ25" i="71"/>
  <c r="AU25" i="71"/>
  <c r="AT25" i="71"/>
  <c r="AS25" i="71"/>
  <c r="AL25" i="71"/>
  <c r="AK25" i="71"/>
  <c r="B26" i="71"/>
  <c r="AL20" i="23" s="1"/>
  <c r="Q20" i="25" s="1"/>
  <c r="A27" i="71"/>
  <c r="AK21" i="23" s="1"/>
  <c r="P21" i="25" s="1"/>
  <c r="BB24" i="71"/>
  <c r="BA24" i="71"/>
  <c r="N24" i="71" s="1"/>
  <c r="AX25" i="69"/>
  <c r="AP25" i="69"/>
  <c r="AH25" i="69"/>
  <c r="AW25" i="69"/>
  <c r="AO25" i="69"/>
  <c r="AG25" i="69"/>
  <c r="AV25" i="69"/>
  <c r="AN25" i="69"/>
  <c r="AU25" i="69"/>
  <c r="AM25" i="69"/>
  <c r="AS25" i="69"/>
  <c r="AK25" i="69"/>
  <c r="D25" i="69"/>
  <c r="AZ25" i="69"/>
  <c r="AR25" i="69"/>
  <c r="AJ25" i="69"/>
  <c r="AQ25" i="69"/>
  <c r="AL25" i="69"/>
  <c r="AI25" i="69"/>
  <c r="AY25" i="69"/>
  <c r="AT25" i="69"/>
  <c r="B26" i="69"/>
  <c r="AD20" i="23" s="1"/>
  <c r="G20" i="25" s="1"/>
  <c r="A27" i="69"/>
  <c r="AC21" i="23" s="1"/>
  <c r="F21" i="25" s="1"/>
  <c r="BB24" i="69"/>
  <c r="BA24" i="69"/>
  <c r="N24" i="69" s="1"/>
  <c r="BB24" i="68"/>
  <c r="BA24" i="68"/>
  <c r="N24" i="68" s="1"/>
  <c r="Y24" i="68" s="1"/>
  <c r="CA24" i="68"/>
  <c r="O24" i="68" s="1"/>
  <c r="AY25" i="68"/>
  <c r="AQ25" i="68"/>
  <c r="AI25" i="68"/>
  <c r="AX25" i="68"/>
  <c r="AO25" i="68"/>
  <c r="AW25" i="68"/>
  <c r="AN25" i="68"/>
  <c r="AV25" i="68"/>
  <c r="AM25" i="68"/>
  <c r="AU25" i="68"/>
  <c r="AL25" i="68"/>
  <c r="D25" i="68"/>
  <c r="AT25" i="68"/>
  <c r="AK25" i="68"/>
  <c r="AS25" i="68"/>
  <c r="AJ25" i="68"/>
  <c r="AR25" i="68"/>
  <c r="AH25" i="68"/>
  <c r="AZ25" i="68"/>
  <c r="AP25" i="68"/>
  <c r="AG25" i="68"/>
  <c r="A27" i="68"/>
  <c r="Y21" i="23" s="1"/>
  <c r="A21" i="25" s="1"/>
  <c r="B26" i="68"/>
  <c r="BB24" i="65"/>
  <c r="BA24" i="65"/>
  <c r="N24" i="65" s="1"/>
  <c r="Y24" i="65" s="1"/>
  <c r="AW25" i="65"/>
  <c r="AO25" i="65"/>
  <c r="AG25" i="65"/>
  <c r="AV25" i="65"/>
  <c r="AN25" i="65"/>
  <c r="AU25" i="65"/>
  <c r="AK25" i="65"/>
  <c r="AT25" i="65"/>
  <c r="AJ25" i="65"/>
  <c r="AS25" i="65"/>
  <c r="AI25" i="65"/>
  <c r="AR25" i="65"/>
  <c r="AH25" i="65"/>
  <c r="AQ25" i="65"/>
  <c r="AZ25" i="65"/>
  <c r="AP25" i="65"/>
  <c r="D25" i="65"/>
  <c r="P19" i="23" s="1"/>
  <c r="T19" i="24" s="1"/>
  <c r="AY25" i="65"/>
  <c r="AM25" i="65"/>
  <c r="AX25" i="65"/>
  <c r="AL25" i="65"/>
  <c r="B26" i="65"/>
  <c r="N20" i="23" s="1"/>
  <c r="Q20" i="24" s="1"/>
  <c r="A27" i="65"/>
  <c r="M21" i="23" s="1"/>
  <c r="P21" i="24" s="1"/>
  <c r="AW25" i="64"/>
  <c r="AO25" i="64"/>
  <c r="AG25" i="64"/>
  <c r="AV25" i="64"/>
  <c r="AN25" i="64"/>
  <c r="AU25" i="64"/>
  <c r="AM25" i="64"/>
  <c r="AT25" i="64"/>
  <c r="AL25" i="64"/>
  <c r="AS25" i="64"/>
  <c r="AK25" i="64"/>
  <c r="AP25" i="64"/>
  <c r="AJ25" i="64"/>
  <c r="AI25" i="64"/>
  <c r="AZ25" i="64"/>
  <c r="AH25" i="64"/>
  <c r="D25" i="64"/>
  <c r="L19" i="23" s="1"/>
  <c r="O19" i="24" s="1"/>
  <c r="AY25" i="64"/>
  <c r="AX25" i="64"/>
  <c r="AR25" i="64"/>
  <c r="AQ25" i="64"/>
  <c r="B26" i="64"/>
  <c r="J20" i="23" s="1"/>
  <c r="L20" i="24" s="1"/>
  <c r="A27" i="64"/>
  <c r="I21" i="23" s="1"/>
  <c r="K21" i="24" s="1"/>
  <c r="Q23" i="64"/>
  <c r="BB24" i="64"/>
  <c r="BA24" i="64"/>
  <c r="N24" i="64" s="1"/>
  <c r="CA24" i="64"/>
  <c r="O24" i="64" s="1"/>
  <c r="AV25" i="63"/>
  <c r="AN25" i="63"/>
  <c r="AU25" i="63"/>
  <c r="AM25" i="63"/>
  <c r="AQ25" i="63"/>
  <c r="AG25" i="63"/>
  <c r="AZ25" i="63"/>
  <c r="AP25" i="63"/>
  <c r="AY25" i="63"/>
  <c r="AO25" i="63"/>
  <c r="D25" i="63"/>
  <c r="H19" i="23" s="1"/>
  <c r="J19" i="24" s="1"/>
  <c r="AX25" i="63"/>
  <c r="AL25" i="63"/>
  <c r="AW25" i="63"/>
  <c r="AK25" i="63"/>
  <c r="AT25" i="63"/>
  <c r="AJ25" i="63"/>
  <c r="AS25" i="63"/>
  <c r="AI25" i="63"/>
  <c r="AR25" i="63"/>
  <c r="AH25" i="63"/>
  <c r="A27" i="63"/>
  <c r="E21" i="23" s="1"/>
  <c r="F21" i="24" s="1"/>
  <c r="B26" i="63"/>
  <c r="F20" i="23" s="1"/>
  <c r="G20" i="24" s="1"/>
  <c r="BB24" i="63"/>
  <c r="BA24" i="63"/>
  <c r="N24" i="63" s="1"/>
  <c r="Y24" i="63" s="1"/>
  <c r="FL24" i="63" l="1"/>
  <c r="FJ24" i="63"/>
  <c r="FL23" i="70"/>
  <c r="FJ23" i="70"/>
  <c r="FL22" i="67"/>
  <c r="FJ22" i="67"/>
  <c r="FJ24" i="65"/>
  <c r="FJ40" i="65" s="1"/>
  <c r="FL24" i="65"/>
  <c r="FL40" i="65" s="1"/>
  <c r="FL22" i="66"/>
  <c r="FJ22" i="66"/>
  <c r="AB19" i="23"/>
  <c r="E19" i="25" s="1"/>
  <c r="CX25" i="68"/>
  <c r="Z20" i="23"/>
  <c r="B20" i="25" s="1"/>
  <c r="CL26" i="68"/>
  <c r="CK26" i="68"/>
  <c r="CT26" i="68"/>
  <c r="CM26" i="68"/>
  <c r="CU26" i="68"/>
  <c r="CN26" i="68"/>
  <c r="CV26" i="68"/>
  <c r="CD26" i="68"/>
  <c r="CO26" i="68"/>
  <c r="CW26" i="68"/>
  <c r="CF26" i="68"/>
  <c r="CP26" i="68"/>
  <c r="CG26" i="68"/>
  <c r="CQ26" i="68"/>
  <c r="CH26" i="68"/>
  <c r="CR26" i="68"/>
  <c r="CI26" i="68"/>
  <c r="CS26" i="68"/>
  <c r="BP26" i="68"/>
  <c r="BX26" i="68"/>
  <c r="BG26" i="68"/>
  <c r="BQ26" i="68"/>
  <c r="BY26" i="68"/>
  <c r="BI26" i="68"/>
  <c r="BR26" i="68"/>
  <c r="BZ26" i="68"/>
  <c r="BJ26" i="68"/>
  <c r="BS26" i="68"/>
  <c r="BK26" i="68"/>
  <c r="BT26" i="68"/>
  <c r="BL26" i="68"/>
  <c r="BU26" i="68"/>
  <c r="BN26" i="68"/>
  <c r="BV26" i="68"/>
  <c r="BO26" i="68"/>
  <c r="BW26" i="68"/>
  <c r="BH26" i="68"/>
  <c r="CJ26" i="68"/>
  <c r="CE26" i="68"/>
  <c r="BM26" i="68"/>
  <c r="Y39" i="65"/>
  <c r="FJ24" i="68"/>
  <c r="FL24" i="68"/>
  <c r="CA24" i="70"/>
  <c r="O24" i="70" s="1"/>
  <c r="BA24" i="70"/>
  <c r="N24" i="70" s="1"/>
  <c r="Y24" i="70" s="1"/>
  <c r="BB24" i="70"/>
  <c r="AH19" i="23"/>
  <c r="L19" i="25" s="1"/>
  <c r="AI25" i="70"/>
  <c r="AO25" i="70"/>
  <c r="AW25" i="70"/>
  <c r="AM25" i="70"/>
  <c r="AU25" i="70"/>
  <c r="D25" i="70"/>
  <c r="AK25" i="70"/>
  <c r="AX25" i="70"/>
  <c r="AS25" i="70"/>
  <c r="AP25" i="70"/>
  <c r="AZ25" i="70"/>
  <c r="AV25" i="70"/>
  <c r="AG25" i="70"/>
  <c r="AH25" i="70"/>
  <c r="AN25" i="70"/>
  <c r="AL25" i="70"/>
  <c r="AT25" i="70"/>
  <c r="AY25" i="70"/>
  <c r="AJ25" i="70"/>
  <c r="AR25" i="70"/>
  <c r="AQ25" i="70"/>
  <c r="AG20" i="23"/>
  <c r="K20" i="25" s="1"/>
  <c r="A27" i="70"/>
  <c r="B26" i="70"/>
  <c r="O18" i="25"/>
  <c r="AJ18" i="23"/>
  <c r="U20" i="23"/>
  <c r="Z20" i="24" s="1"/>
  <c r="B26" i="67"/>
  <c r="A27" i="67"/>
  <c r="AN19" i="23"/>
  <c r="T19" i="25"/>
  <c r="V19" i="23"/>
  <c r="AA19" i="24" s="1"/>
  <c r="AM25" i="67"/>
  <c r="AX25" i="67"/>
  <c r="AY25" i="67"/>
  <c r="AP25" i="67"/>
  <c r="AZ25" i="67"/>
  <c r="AQ25" i="67"/>
  <c r="AH25" i="67"/>
  <c r="AK25" i="67"/>
  <c r="AS25" i="67"/>
  <c r="AR25" i="67"/>
  <c r="AI25" i="67"/>
  <c r="AV25" i="67"/>
  <c r="AJ25" i="67"/>
  <c r="AT25" i="67"/>
  <c r="D25" i="67"/>
  <c r="X19" i="23" s="1"/>
  <c r="AD19" i="24" s="1"/>
  <c r="AW25" i="67"/>
  <c r="AG25" i="67"/>
  <c r="AL25" i="67"/>
  <c r="AO25" i="67"/>
  <c r="AN25" i="67"/>
  <c r="AU25" i="67"/>
  <c r="BB24" i="67"/>
  <c r="BA24" i="67"/>
  <c r="N24" i="67" s="1"/>
  <c r="Y23" i="67" s="1"/>
  <c r="Y18" i="25"/>
  <c r="AR18" i="23"/>
  <c r="J19" i="25"/>
  <c r="AF19" i="23"/>
  <c r="AV19" i="23"/>
  <c r="AD19" i="25"/>
  <c r="BB24" i="66"/>
  <c r="BA24" i="66"/>
  <c r="N24" i="66" s="1"/>
  <c r="R19" i="23"/>
  <c r="V19" i="24" s="1"/>
  <c r="AT25" i="66"/>
  <c r="AK25" i="66"/>
  <c r="AZ25" i="66"/>
  <c r="AY25" i="66"/>
  <c r="AP25" i="66"/>
  <c r="AL25" i="66"/>
  <c r="D25" i="66"/>
  <c r="T19" i="23" s="1"/>
  <c r="Y19" i="24" s="1"/>
  <c r="AR25" i="66"/>
  <c r="AQ25" i="66"/>
  <c r="AH25" i="66"/>
  <c r="AJ25" i="66"/>
  <c r="AI25" i="66"/>
  <c r="AV25" i="66"/>
  <c r="AW25" i="66"/>
  <c r="AU25" i="66"/>
  <c r="AO25" i="66"/>
  <c r="AM25" i="66"/>
  <c r="AS25" i="66"/>
  <c r="AX25" i="66"/>
  <c r="AG25" i="66"/>
  <c r="AN25" i="66"/>
  <c r="Q20" i="23"/>
  <c r="U20" i="24" s="1"/>
  <c r="A27" i="66"/>
  <c r="B26" i="66"/>
  <c r="P25" i="73"/>
  <c r="P25" i="64"/>
  <c r="Q24" i="64"/>
  <c r="CA25" i="64"/>
  <c r="O25" i="64" s="1"/>
  <c r="A28" i="73"/>
  <c r="AS22" i="23" s="1"/>
  <c r="Z22" i="25" s="1"/>
  <c r="B27" i="73"/>
  <c r="AT21" i="23" s="1"/>
  <c r="AA21" i="25" s="1"/>
  <c r="CA25" i="73"/>
  <c r="O25" i="73" s="1"/>
  <c r="AU26" i="73"/>
  <c r="AM26" i="73"/>
  <c r="AT26" i="73"/>
  <c r="AL26" i="73"/>
  <c r="AS26" i="73"/>
  <c r="AK26" i="73"/>
  <c r="D26" i="73"/>
  <c r="AZ26" i="73"/>
  <c r="AR26" i="73"/>
  <c r="AJ26" i="73"/>
  <c r="AY26" i="73"/>
  <c r="AQ26" i="73"/>
  <c r="AI26" i="73"/>
  <c r="AX26" i="73"/>
  <c r="AP26" i="73"/>
  <c r="AH26" i="73"/>
  <c r="AW26" i="73"/>
  <c r="AO26" i="73"/>
  <c r="AG26" i="73"/>
  <c r="AV26" i="73"/>
  <c r="AN26" i="73"/>
  <c r="Q24" i="73"/>
  <c r="BB25" i="73"/>
  <c r="BA25" i="73"/>
  <c r="N25" i="73" s="1"/>
  <c r="BB24" i="72"/>
  <c r="BA24" i="72"/>
  <c r="N24" i="72" s="1"/>
  <c r="A27" i="72"/>
  <c r="AO21" i="23" s="1"/>
  <c r="U21" i="25" s="1"/>
  <c r="B26" i="72"/>
  <c r="AP20" i="23" s="1"/>
  <c r="V20" i="25" s="1"/>
  <c r="AS25" i="72"/>
  <c r="AK25" i="72"/>
  <c r="D25" i="72"/>
  <c r="AZ25" i="72"/>
  <c r="AR25" i="72"/>
  <c r="AJ25" i="72"/>
  <c r="AY25" i="72"/>
  <c r="AQ25" i="72"/>
  <c r="AI25" i="72"/>
  <c r="AX25" i="72"/>
  <c r="AP25" i="72"/>
  <c r="AH25" i="72"/>
  <c r="AV25" i="72"/>
  <c r="AN25" i="72"/>
  <c r="AU25" i="72"/>
  <c r="AM25" i="72"/>
  <c r="AT25" i="72"/>
  <c r="AL25" i="72"/>
  <c r="AW25" i="72"/>
  <c r="AO25" i="72"/>
  <c r="AG25" i="72"/>
  <c r="BB25" i="71"/>
  <c r="BA25" i="71"/>
  <c r="N25" i="71" s="1"/>
  <c r="A28" i="71"/>
  <c r="AK22" i="23" s="1"/>
  <c r="P22" i="25" s="1"/>
  <c r="B27" i="71"/>
  <c r="AL21" i="23" s="1"/>
  <c r="Q21" i="25" s="1"/>
  <c r="AZ26" i="71"/>
  <c r="AR26" i="71"/>
  <c r="AJ26" i="71"/>
  <c r="AU26" i="71"/>
  <c r="AL26" i="71"/>
  <c r="D26" i="71"/>
  <c r="AT26" i="71"/>
  <c r="AK26" i="71"/>
  <c r="AS26" i="71"/>
  <c r="AI26" i="71"/>
  <c r="AQ26" i="71"/>
  <c r="AH26" i="71"/>
  <c r="AY26" i="71"/>
  <c r="AP26" i="71"/>
  <c r="AG26" i="71"/>
  <c r="AX26" i="71"/>
  <c r="AO26" i="71"/>
  <c r="AW26" i="71"/>
  <c r="AV26" i="71"/>
  <c r="AN26" i="71"/>
  <c r="AM26" i="71"/>
  <c r="BB25" i="69"/>
  <c r="BA25" i="69"/>
  <c r="N25" i="69" s="1"/>
  <c r="B27" i="69"/>
  <c r="AD21" i="23" s="1"/>
  <c r="G21" i="25" s="1"/>
  <c r="A28" i="69"/>
  <c r="AC22" i="23" s="1"/>
  <c r="F22" i="25" s="1"/>
  <c r="AS26" i="69"/>
  <c r="AK26" i="69"/>
  <c r="D26" i="69"/>
  <c r="AZ26" i="69"/>
  <c r="AR26" i="69"/>
  <c r="AJ26" i="69"/>
  <c r="AY26" i="69"/>
  <c r="AQ26" i="69"/>
  <c r="AI26" i="69"/>
  <c r="AX26" i="69"/>
  <c r="AP26" i="69"/>
  <c r="AH26" i="69"/>
  <c r="AW26" i="69"/>
  <c r="AO26" i="69"/>
  <c r="AG26" i="69"/>
  <c r="AV26" i="69"/>
  <c r="AN26" i="69"/>
  <c r="AU26" i="69"/>
  <c r="AM26" i="69"/>
  <c r="AT26" i="69"/>
  <c r="AL26" i="69"/>
  <c r="BB25" i="68"/>
  <c r="BA25" i="68"/>
  <c r="N25" i="68" s="1"/>
  <c r="AV26" i="68"/>
  <c r="AN26" i="68"/>
  <c r="AT26" i="68"/>
  <c r="AL26" i="68"/>
  <c r="AS26" i="68"/>
  <c r="AK26" i="68"/>
  <c r="AZ26" i="68"/>
  <c r="AO26" i="68"/>
  <c r="AY26" i="68"/>
  <c r="AM26" i="68"/>
  <c r="AX26" i="68"/>
  <c r="AJ26" i="68"/>
  <c r="AW26" i="68"/>
  <c r="AI26" i="68"/>
  <c r="AU26" i="68"/>
  <c r="AH26" i="68"/>
  <c r="AR26" i="68"/>
  <c r="AG26" i="68"/>
  <c r="AQ26" i="68"/>
  <c r="AP26" i="68"/>
  <c r="D26" i="68"/>
  <c r="Q24" i="68"/>
  <c r="A28" i="68"/>
  <c r="Y22" i="23" s="1"/>
  <c r="A22" i="25" s="1"/>
  <c r="B27" i="68"/>
  <c r="CA25" i="68"/>
  <c r="O25" i="68" s="1"/>
  <c r="AZ26" i="65"/>
  <c r="AR26" i="65"/>
  <c r="AJ26" i="65"/>
  <c r="AY26" i="65"/>
  <c r="AQ26" i="65"/>
  <c r="AI26" i="65"/>
  <c r="AX26" i="65"/>
  <c r="AN26" i="65"/>
  <c r="AW26" i="65"/>
  <c r="AM26" i="65"/>
  <c r="D26" i="65"/>
  <c r="P20" i="23" s="1"/>
  <c r="T20" i="24" s="1"/>
  <c r="AV26" i="65"/>
  <c r="AL26" i="65"/>
  <c r="AU26" i="65"/>
  <c r="AK26" i="65"/>
  <c r="AT26" i="65"/>
  <c r="AH26" i="65"/>
  <c r="AS26" i="65"/>
  <c r="AG26" i="65"/>
  <c r="AP26" i="65"/>
  <c r="AO26" i="65"/>
  <c r="B27" i="65"/>
  <c r="N21" i="23" s="1"/>
  <c r="Q21" i="24" s="1"/>
  <c r="A28" i="65"/>
  <c r="M22" i="23" s="1"/>
  <c r="P22" i="24" s="1"/>
  <c r="BB25" i="65"/>
  <c r="BA25" i="65"/>
  <c r="N25" i="65" s="1"/>
  <c r="BB25" i="64"/>
  <c r="BA25" i="64"/>
  <c r="N25" i="64" s="1"/>
  <c r="B27" i="64"/>
  <c r="J21" i="23" s="1"/>
  <c r="L21" i="24" s="1"/>
  <c r="A28" i="64"/>
  <c r="I22" i="23" s="1"/>
  <c r="K22" i="24" s="1"/>
  <c r="AZ26" i="64"/>
  <c r="AR26" i="64"/>
  <c r="AJ26" i="64"/>
  <c r="AY26" i="64"/>
  <c r="AQ26" i="64"/>
  <c r="AI26" i="64"/>
  <c r="AX26" i="64"/>
  <c r="AP26" i="64"/>
  <c r="AH26" i="64"/>
  <c r="AW26" i="64"/>
  <c r="AO26" i="64"/>
  <c r="AG26" i="64"/>
  <c r="AV26" i="64"/>
  <c r="AN26" i="64"/>
  <c r="AK26" i="64"/>
  <c r="D26" i="64"/>
  <c r="L20" i="23" s="1"/>
  <c r="O20" i="24" s="1"/>
  <c r="AU26" i="64"/>
  <c r="AT26" i="64"/>
  <c r="AS26" i="64"/>
  <c r="AM26" i="64"/>
  <c r="AL26" i="64"/>
  <c r="AY26" i="63"/>
  <c r="AQ26" i="63"/>
  <c r="AI26" i="63"/>
  <c r="AX26" i="63"/>
  <c r="AP26" i="63"/>
  <c r="AH26" i="63"/>
  <c r="AU26" i="63"/>
  <c r="AK26" i="63"/>
  <c r="AT26" i="63"/>
  <c r="AJ26" i="63"/>
  <c r="AS26" i="63"/>
  <c r="AG26" i="63"/>
  <c r="AR26" i="63"/>
  <c r="AO26" i="63"/>
  <c r="AZ26" i="63"/>
  <c r="AN26" i="63"/>
  <c r="AW26" i="63"/>
  <c r="AM26" i="63"/>
  <c r="D26" i="63"/>
  <c r="H20" i="23" s="1"/>
  <c r="J20" i="24" s="1"/>
  <c r="AV26" i="63"/>
  <c r="AL26" i="63"/>
  <c r="A28" i="63"/>
  <c r="E22" i="23" s="1"/>
  <c r="F22" i="24" s="1"/>
  <c r="B27" i="63"/>
  <c r="F21" i="23" s="1"/>
  <c r="G21" i="24" s="1"/>
  <c r="CA25" i="63"/>
  <c r="O25" i="63" s="1"/>
  <c r="BB25" i="63"/>
  <c r="BA25" i="63"/>
  <c r="N25" i="63" s="1"/>
  <c r="Y25" i="63" s="1"/>
  <c r="FL25" i="63" l="1"/>
  <c r="FJ25" i="63"/>
  <c r="FL24" i="70"/>
  <c r="FJ24" i="70"/>
  <c r="FJ23" i="67"/>
  <c r="FL23" i="67"/>
  <c r="AB20" i="23"/>
  <c r="E20" i="25" s="1"/>
  <c r="CX26" i="68"/>
  <c r="Z21" i="23"/>
  <c r="B21" i="25" s="1"/>
  <c r="CL27" i="68"/>
  <c r="CI27" i="68"/>
  <c r="CS27" i="68"/>
  <c r="CJ27" i="68"/>
  <c r="CT27" i="68"/>
  <c r="CM27" i="68"/>
  <c r="CU27" i="68"/>
  <c r="CN27" i="68"/>
  <c r="CV27" i="68"/>
  <c r="CD27" i="68"/>
  <c r="CO27" i="68"/>
  <c r="CW27" i="68"/>
  <c r="CE27" i="68"/>
  <c r="CP27" i="68"/>
  <c r="CG27" i="68"/>
  <c r="CQ27" i="68"/>
  <c r="CH27" i="68"/>
  <c r="CR27" i="68"/>
  <c r="BM27" i="68"/>
  <c r="BV27" i="68"/>
  <c r="BO27" i="68"/>
  <c r="BW27" i="68"/>
  <c r="BP27" i="68"/>
  <c r="BX27" i="68"/>
  <c r="BG27" i="68"/>
  <c r="BQ27" i="68"/>
  <c r="BY27" i="68"/>
  <c r="BH27" i="68"/>
  <c r="BR27" i="68"/>
  <c r="BZ27" i="68"/>
  <c r="BJ27" i="68"/>
  <c r="BS27" i="68"/>
  <c r="BK27" i="68"/>
  <c r="BT27" i="68"/>
  <c r="BL27" i="68"/>
  <c r="BU27" i="68"/>
  <c r="CK27" i="68"/>
  <c r="BI27" i="68"/>
  <c r="BN27" i="68"/>
  <c r="CF27" i="68"/>
  <c r="AJ19" i="23"/>
  <c r="O19" i="25"/>
  <c r="AH20" i="23"/>
  <c r="L20" i="25" s="1"/>
  <c r="D26" i="70"/>
  <c r="AM26" i="70"/>
  <c r="AI26" i="70"/>
  <c r="AX26" i="70"/>
  <c r="AZ26" i="70"/>
  <c r="AN26" i="70"/>
  <c r="AR26" i="70"/>
  <c r="AT26" i="70"/>
  <c r="AP26" i="70"/>
  <c r="AV26" i="70"/>
  <c r="AL26" i="70"/>
  <c r="AJ26" i="70"/>
  <c r="AH26" i="70"/>
  <c r="AY26" i="70"/>
  <c r="AS26" i="70"/>
  <c r="AQ26" i="70"/>
  <c r="AO26" i="70"/>
  <c r="AK26" i="70"/>
  <c r="AW26" i="70"/>
  <c r="AU26" i="70"/>
  <c r="AG26" i="70"/>
  <c r="BB25" i="70"/>
  <c r="BA25" i="70"/>
  <c r="N25" i="70" s="1"/>
  <c r="AG21" i="23"/>
  <c r="K21" i="25" s="1"/>
  <c r="B27" i="70"/>
  <c r="A28" i="70"/>
  <c r="AV20" i="23"/>
  <c r="AD20" i="25"/>
  <c r="J20" i="25"/>
  <c r="AF20" i="23"/>
  <c r="T20" i="25"/>
  <c r="AN20" i="23"/>
  <c r="BA25" i="67"/>
  <c r="N25" i="67" s="1"/>
  <c r="BB25" i="67"/>
  <c r="U21" i="23"/>
  <c r="Z21" i="24" s="1"/>
  <c r="B27" i="67"/>
  <c r="A28" i="67"/>
  <c r="Y19" i="25"/>
  <c r="AR19" i="23"/>
  <c r="V20" i="23"/>
  <c r="AA20" i="24" s="1"/>
  <c r="AW26" i="67"/>
  <c r="AL26" i="67"/>
  <c r="AR26" i="67"/>
  <c r="AO26" i="67"/>
  <c r="AU26" i="67"/>
  <c r="AY26" i="67"/>
  <c r="AQ26" i="67"/>
  <c r="D26" i="67"/>
  <c r="X20" i="23" s="1"/>
  <c r="AD20" i="24" s="1"/>
  <c r="AI26" i="67"/>
  <c r="AX26" i="67"/>
  <c r="AG26" i="67"/>
  <c r="AM26" i="67"/>
  <c r="AK26" i="67"/>
  <c r="AP26" i="67"/>
  <c r="AH26" i="67"/>
  <c r="AJ26" i="67"/>
  <c r="AS26" i="67"/>
  <c r="AZ26" i="67"/>
  <c r="AV26" i="67"/>
  <c r="AN26" i="67"/>
  <c r="AT26" i="67"/>
  <c r="CA25" i="66"/>
  <c r="O25" i="66" s="1"/>
  <c r="BB25" i="66"/>
  <c r="BA25" i="66"/>
  <c r="N25" i="66" s="1"/>
  <c r="R20" i="23"/>
  <c r="V20" i="24" s="1"/>
  <c r="AV26" i="66"/>
  <c r="AN26" i="66"/>
  <c r="AX26" i="66"/>
  <c r="AW26" i="66"/>
  <c r="AS26" i="66"/>
  <c r="AP26" i="66"/>
  <c r="AO26" i="66"/>
  <c r="AT26" i="66"/>
  <c r="AK26" i="66"/>
  <c r="AZ26" i="66"/>
  <c r="AY26" i="66"/>
  <c r="AH26" i="66"/>
  <c r="AG26" i="66"/>
  <c r="AU26" i="66"/>
  <c r="AL26" i="66"/>
  <c r="D26" i="66"/>
  <c r="T20" i="23" s="1"/>
  <c r="Y20" i="24" s="1"/>
  <c r="AR26" i="66"/>
  <c r="AQ26" i="66"/>
  <c r="AM26" i="66"/>
  <c r="AJ26" i="66"/>
  <c r="AI26" i="66"/>
  <c r="Q21" i="23"/>
  <c r="U21" i="24" s="1"/>
  <c r="A28" i="66"/>
  <c r="B27" i="66"/>
  <c r="P26" i="73"/>
  <c r="P26" i="64"/>
  <c r="P26" i="71"/>
  <c r="Q25" i="73"/>
  <c r="Q25" i="64"/>
  <c r="CA26" i="71"/>
  <c r="O26" i="71" s="1"/>
  <c r="BB26" i="73"/>
  <c r="BA26" i="73"/>
  <c r="N26" i="73" s="1"/>
  <c r="CA26" i="73"/>
  <c r="O26" i="73" s="1"/>
  <c r="AX27" i="73"/>
  <c r="AP27" i="73"/>
  <c r="AH27" i="73"/>
  <c r="AW27" i="73"/>
  <c r="AO27" i="73"/>
  <c r="AG27" i="73"/>
  <c r="AV27" i="73"/>
  <c r="AN27" i="73"/>
  <c r="AU27" i="73"/>
  <c r="AM27" i="73"/>
  <c r="AT27" i="73"/>
  <c r="AL27" i="73"/>
  <c r="AS27" i="73"/>
  <c r="AK27" i="73"/>
  <c r="D27" i="73"/>
  <c r="AZ27" i="73"/>
  <c r="AR27" i="73"/>
  <c r="AJ27" i="73"/>
  <c r="AY27" i="73"/>
  <c r="AQ27" i="73"/>
  <c r="AI27" i="73"/>
  <c r="A29" i="73"/>
  <c r="AS23" i="23" s="1"/>
  <c r="Z23" i="25" s="1"/>
  <c r="B28" i="73"/>
  <c r="AT22" i="23" s="1"/>
  <c r="AA22" i="25" s="1"/>
  <c r="BB25" i="72"/>
  <c r="BA25" i="72"/>
  <c r="N25" i="72" s="1"/>
  <c r="AV26" i="72"/>
  <c r="AN26" i="72"/>
  <c r="AU26" i="72"/>
  <c r="AM26" i="72"/>
  <c r="AT26" i="72"/>
  <c r="AL26" i="72"/>
  <c r="AS26" i="72"/>
  <c r="AK26" i="72"/>
  <c r="D26" i="72"/>
  <c r="AY26" i="72"/>
  <c r="AQ26" i="72"/>
  <c r="AI26" i="72"/>
  <c r="AX26" i="72"/>
  <c r="AP26" i="72"/>
  <c r="AH26" i="72"/>
  <c r="AW26" i="72"/>
  <c r="AO26" i="72"/>
  <c r="AG26" i="72"/>
  <c r="AR26" i="72"/>
  <c r="AZ26" i="72"/>
  <c r="AJ26" i="72"/>
  <c r="CA25" i="72"/>
  <c r="O25" i="72" s="1"/>
  <c r="A28" i="72"/>
  <c r="AO22" i="23" s="1"/>
  <c r="U22" i="25" s="1"/>
  <c r="B27" i="72"/>
  <c r="AP21" i="23" s="1"/>
  <c r="V21" i="25" s="1"/>
  <c r="AW27" i="71"/>
  <c r="AO27" i="71"/>
  <c r="AG27" i="71"/>
  <c r="AV27" i="71"/>
  <c r="AN27" i="71"/>
  <c r="AU27" i="71"/>
  <c r="AM27" i="71"/>
  <c r="AY27" i="71"/>
  <c r="AQ27" i="71"/>
  <c r="AI27" i="71"/>
  <c r="AZ27" i="71"/>
  <c r="AJ27" i="71"/>
  <c r="AX27" i="71"/>
  <c r="AH27" i="71"/>
  <c r="AT27" i="71"/>
  <c r="D27" i="71"/>
  <c r="AS27" i="71"/>
  <c r="AR27" i="71"/>
  <c r="AP27" i="71"/>
  <c r="AL27" i="71"/>
  <c r="AK27" i="71"/>
  <c r="B28" i="71"/>
  <c r="AL22" i="23" s="1"/>
  <c r="Q22" i="25" s="1"/>
  <c r="A29" i="71"/>
  <c r="AK23" i="23" s="1"/>
  <c r="P23" i="25" s="1"/>
  <c r="BB26" i="71"/>
  <c r="BA26" i="71"/>
  <c r="N26" i="71" s="1"/>
  <c r="Y25" i="71" s="1"/>
  <c r="BB26" i="69"/>
  <c r="BA26" i="69"/>
  <c r="N26" i="69" s="1"/>
  <c r="A29" i="69"/>
  <c r="AC23" i="23" s="1"/>
  <c r="F23" i="25" s="1"/>
  <c r="B28" i="69"/>
  <c r="AD22" i="23" s="1"/>
  <c r="G22" i="25" s="1"/>
  <c r="CA26" i="69"/>
  <c r="O26" i="69" s="1"/>
  <c r="AV27" i="69"/>
  <c r="AN27" i="69"/>
  <c r="AU27" i="69"/>
  <c r="AM27" i="69"/>
  <c r="AT27" i="69"/>
  <c r="AL27" i="69"/>
  <c r="AS27" i="69"/>
  <c r="AK27" i="69"/>
  <c r="D27" i="69"/>
  <c r="AZ27" i="69"/>
  <c r="AR27" i="69"/>
  <c r="AJ27" i="69"/>
  <c r="AY27" i="69"/>
  <c r="AQ27" i="69"/>
  <c r="AI27" i="69"/>
  <c r="AX27" i="69"/>
  <c r="AP27" i="69"/>
  <c r="AH27" i="69"/>
  <c r="AW27" i="69"/>
  <c r="AO27" i="69"/>
  <c r="AG27" i="69"/>
  <c r="AY27" i="68"/>
  <c r="AQ27" i="68"/>
  <c r="AI27" i="68"/>
  <c r="AX27" i="68"/>
  <c r="AP27" i="68"/>
  <c r="AH27" i="68"/>
  <c r="AW27" i="68"/>
  <c r="AO27" i="68"/>
  <c r="AG27" i="68"/>
  <c r="AV27" i="68"/>
  <c r="AN27" i="68"/>
  <c r="AU27" i="68"/>
  <c r="AT27" i="68"/>
  <c r="D27" i="68"/>
  <c r="AS27" i="68"/>
  <c r="AR27" i="68"/>
  <c r="AM27" i="68"/>
  <c r="AL27" i="68"/>
  <c r="AK27" i="68"/>
  <c r="AZ27" i="68"/>
  <c r="AJ27" i="68"/>
  <c r="B28" i="68"/>
  <c r="A29" i="68"/>
  <c r="Y23" i="23" s="1"/>
  <c r="A23" i="25" s="1"/>
  <c r="BB26" i="68"/>
  <c r="BA26" i="68"/>
  <c r="N26" i="68" s="1"/>
  <c r="CA26" i="68"/>
  <c r="O26" i="68" s="1"/>
  <c r="A29" i="65"/>
  <c r="M23" i="23" s="1"/>
  <c r="P23" i="24" s="1"/>
  <c r="B28" i="65"/>
  <c r="N22" i="23" s="1"/>
  <c r="Q22" i="24" s="1"/>
  <c r="BB26" i="65"/>
  <c r="BA26" i="65"/>
  <c r="N26" i="65" s="1"/>
  <c r="AS27" i="65"/>
  <c r="AK27" i="65"/>
  <c r="D27" i="65"/>
  <c r="P21" i="23" s="1"/>
  <c r="T21" i="24" s="1"/>
  <c r="AZ27" i="65"/>
  <c r="AR27" i="65"/>
  <c r="AJ27" i="65"/>
  <c r="AQ27" i="65"/>
  <c r="AG27" i="65"/>
  <c r="AP27" i="65"/>
  <c r="AT27" i="65"/>
  <c r="AO27" i="65"/>
  <c r="AN27" i="65"/>
  <c r="AY27" i="65"/>
  <c r="AM27" i="65"/>
  <c r="AX27" i="65"/>
  <c r="AL27" i="65"/>
  <c r="AW27" i="65"/>
  <c r="AI27" i="65"/>
  <c r="AV27" i="65"/>
  <c r="AH27" i="65"/>
  <c r="AU27" i="65"/>
  <c r="BB26" i="64"/>
  <c r="BA26" i="64"/>
  <c r="N26" i="64" s="1"/>
  <c r="B28" i="64"/>
  <c r="J22" i="23" s="1"/>
  <c r="L22" i="24" s="1"/>
  <c r="A29" i="64"/>
  <c r="I23" i="23" s="1"/>
  <c r="K23" i="24" s="1"/>
  <c r="CA26" i="64"/>
  <c r="O26" i="64" s="1"/>
  <c r="AU27" i="64"/>
  <c r="AM27" i="64"/>
  <c r="AT27" i="64"/>
  <c r="AL27" i="64"/>
  <c r="AS27" i="64"/>
  <c r="AK27" i="64"/>
  <c r="D27" i="64"/>
  <c r="L21" i="23" s="1"/>
  <c r="O21" i="24" s="1"/>
  <c r="AZ27" i="64"/>
  <c r="AR27" i="64"/>
  <c r="AJ27" i="64"/>
  <c r="AY27" i="64"/>
  <c r="AQ27" i="64"/>
  <c r="AI27" i="64"/>
  <c r="AX27" i="64"/>
  <c r="AP27" i="64"/>
  <c r="AW27" i="64"/>
  <c r="AV27" i="64"/>
  <c r="AO27" i="64"/>
  <c r="AN27" i="64"/>
  <c r="AH27" i="64"/>
  <c r="AG27" i="64"/>
  <c r="CA26" i="63"/>
  <c r="O26" i="63" s="1"/>
  <c r="AT27" i="63"/>
  <c r="AL27" i="63"/>
  <c r="AS27" i="63"/>
  <c r="AK27" i="63"/>
  <c r="D27" i="63"/>
  <c r="H21" i="23" s="1"/>
  <c r="J21" i="24" s="1"/>
  <c r="AQ27" i="63"/>
  <c r="AG27" i="63"/>
  <c r="AZ27" i="63"/>
  <c r="AP27" i="63"/>
  <c r="AY27" i="63"/>
  <c r="AO27" i="63"/>
  <c r="AX27" i="63"/>
  <c r="AN27" i="63"/>
  <c r="AW27" i="63"/>
  <c r="AM27" i="63"/>
  <c r="AV27" i="63"/>
  <c r="AJ27" i="63"/>
  <c r="AU27" i="63"/>
  <c r="AI27" i="63"/>
  <c r="AR27" i="63"/>
  <c r="AH27" i="63"/>
  <c r="B28" i="63"/>
  <c r="F22" i="23" s="1"/>
  <c r="G22" i="24" s="1"/>
  <c r="A29" i="63"/>
  <c r="E23" i="23" s="1"/>
  <c r="F23" i="24" s="1"/>
  <c r="BB26" i="63"/>
  <c r="BA26" i="63"/>
  <c r="N26" i="63" s="1"/>
  <c r="FL25" i="71" l="1"/>
  <c r="FL40" i="71" s="1"/>
  <c r="FJ25" i="71"/>
  <c r="FJ40" i="71" s="1"/>
  <c r="AB21" i="23"/>
  <c r="E21" i="25" s="1"/>
  <c r="CX27" i="68"/>
  <c r="Z22" i="23"/>
  <c r="B22" i="25" s="1"/>
  <c r="CH28" i="68"/>
  <c r="CQ28" i="68"/>
  <c r="CI28" i="68"/>
  <c r="CR28" i="68"/>
  <c r="CJ28" i="68"/>
  <c r="CS28" i="68"/>
  <c r="CK28" i="68"/>
  <c r="CT28" i="68"/>
  <c r="CM28" i="68"/>
  <c r="CU28" i="68"/>
  <c r="CD28" i="68"/>
  <c r="CN28" i="68"/>
  <c r="CV28" i="68"/>
  <c r="CE28" i="68"/>
  <c r="CO28" i="68"/>
  <c r="CW28" i="68"/>
  <c r="CF28" i="68"/>
  <c r="CP28" i="68"/>
  <c r="BK28" i="68"/>
  <c r="BT28" i="68"/>
  <c r="BL28" i="68"/>
  <c r="BU28" i="68"/>
  <c r="BM28" i="68"/>
  <c r="BV28" i="68"/>
  <c r="BN28" i="68"/>
  <c r="BW28" i="68"/>
  <c r="BP28" i="68"/>
  <c r="BX28" i="68"/>
  <c r="BG28" i="68"/>
  <c r="BQ28" i="68"/>
  <c r="BY28" i="68"/>
  <c r="BH28" i="68"/>
  <c r="BR28" i="68"/>
  <c r="BZ28" i="68"/>
  <c r="BI28" i="68"/>
  <c r="BS28" i="68"/>
  <c r="CG28" i="68"/>
  <c r="BO28" i="68"/>
  <c r="BJ28" i="68"/>
  <c r="CL28" i="68"/>
  <c r="Y40" i="71"/>
  <c r="BA26" i="70"/>
  <c r="N26" i="70" s="1"/>
  <c r="BB26" i="70"/>
  <c r="AG22" i="23"/>
  <c r="K22" i="25" s="1"/>
  <c r="B28" i="70"/>
  <c r="A29" i="70"/>
  <c r="AJ20" i="23"/>
  <c r="O20" i="25"/>
  <c r="AH21" i="23"/>
  <c r="L21" i="25" s="1"/>
  <c r="AZ27" i="70"/>
  <c r="D27" i="70"/>
  <c r="AK27" i="70"/>
  <c r="AH27" i="70"/>
  <c r="AR27" i="70"/>
  <c r="AG27" i="70"/>
  <c r="AU27" i="70"/>
  <c r="AJ27" i="70"/>
  <c r="AY27" i="70"/>
  <c r="AM27" i="70"/>
  <c r="AO27" i="70"/>
  <c r="AW27" i="70"/>
  <c r="AL27" i="70"/>
  <c r="AS27" i="70"/>
  <c r="AP27" i="70"/>
  <c r="AX27" i="70"/>
  <c r="AQ27" i="70"/>
  <c r="AT27" i="70"/>
  <c r="AN27" i="70"/>
  <c r="AV27" i="70"/>
  <c r="AI27" i="70"/>
  <c r="BB26" i="67"/>
  <c r="BA26" i="67"/>
  <c r="N26" i="67" s="1"/>
  <c r="T21" i="25"/>
  <c r="AN21" i="23"/>
  <c r="AR20" i="23"/>
  <c r="Y20" i="25"/>
  <c r="U22" i="23"/>
  <c r="Z22" i="24" s="1"/>
  <c r="A29" i="67"/>
  <c r="B28" i="67"/>
  <c r="J21" i="25"/>
  <c r="AF21" i="23"/>
  <c r="V21" i="23"/>
  <c r="AA21" i="24" s="1"/>
  <c r="AQ27" i="67"/>
  <c r="AT27" i="67"/>
  <c r="AI27" i="67"/>
  <c r="AH27" i="67"/>
  <c r="AZ27" i="67"/>
  <c r="AL27" i="67"/>
  <c r="AY27" i="67"/>
  <c r="AS27" i="67"/>
  <c r="AR27" i="67"/>
  <c r="AV27" i="67"/>
  <c r="AP27" i="67"/>
  <c r="AK27" i="67"/>
  <c r="AJ27" i="67"/>
  <c r="AW27" i="67"/>
  <c r="AN27" i="67"/>
  <c r="AM27" i="67"/>
  <c r="D27" i="67"/>
  <c r="X21" i="23" s="1"/>
  <c r="AD21" i="24" s="1"/>
  <c r="AO27" i="67"/>
  <c r="AX27" i="67"/>
  <c r="AU27" i="67"/>
  <c r="AG27" i="67"/>
  <c r="AV21" i="23"/>
  <c r="AD21" i="25"/>
  <c r="Q22" i="23"/>
  <c r="U22" i="24" s="1"/>
  <c r="B28" i="66"/>
  <c r="A29" i="66"/>
  <c r="BB26" i="66"/>
  <c r="BA26" i="66"/>
  <c r="N26" i="66" s="1"/>
  <c r="R21" i="23"/>
  <c r="V21" i="24" s="1"/>
  <c r="AO27" i="66"/>
  <c r="AU27" i="66"/>
  <c r="AL27" i="66"/>
  <c r="D27" i="66"/>
  <c r="T21" i="23" s="1"/>
  <c r="Y21" i="24" s="1"/>
  <c r="AH27" i="66"/>
  <c r="AX27" i="66"/>
  <c r="AG27" i="66"/>
  <c r="AM27" i="66"/>
  <c r="AP27" i="66"/>
  <c r="AY27" i="66"/>
  <c r="AQ27" i="66"/>
  <c r="AV27" i="66"/>
  <c r="AZ27" i="66"/>
  <c r="AI27" i="66"/>
  <c r="AN27" i="66"/>
  <c r="AS27" i="66"/>
  <c r="AR27" i="66"/>
  <c r="AJ27" i="66"/>
  <c r="AW27" i="66"/>
  <c r="AT27" i="66"/>
  <c r="AK27" i="66"/>
  <c r="CA26" i="66"/>
  <c r="O26" i="66" s="1"/>
  <c r="P27" i="64"/>
  <c r="Q26" i="71"/>
  <c r="P27" i="73"/>
  <c r="Q26" i="73"/>
  <c r="AY28" i="73"/>
  <c r="AQ28" i="73"/>
  <c r="AI28" i="73"/>
  <c r="AX28" i="73"/>
  <c r="AO28" i="73"/>
  <c r="AW28" i="73"/>
  <c r="AN28" i="73"/>
  <c r="AV28" i="73"/>
  <c r="AM28" i="73"/>
  <c r="AU28" i="73"/>
  <c r="AL28" i="73"/>
  <c r="D28" i="73"/>
  <c r="AT28" i="73"/>
  <c r="AK28" i="73"/>
  <c r="AS28" i="73"/>
  <c r="AJ28" i="73"/>
  <c r="AR28" i="73"/>
  <c r="AH28" i="73"/>
  <c r="AZ28" i="73"/>
  <c r="AP28" i="73"/>
  <c r="AG28" i="73"/>
  <c r="B29" i="73"/>
  <c r="AT23" i="23" s="1"/>
  <c r="AA23" i="25" s="1"/>
  <c r="A30" i="73"/>
  <c r="AS24" i="23" s="1"/>
  <c r="Z24" i="25" s="1"/>
  <c r="BB27" i="73"/>
  <c r="BA27" i="73"/>
  <c r="N27" i="73" s="1"/>
  <c r="CA27" i="73"/>
  <c r="O27" i="73" s="1"/>
  <c r="AS27" i="72"/>
  <c r="AK27" i="72"/>
  <c r="D27" i="72"/>
  <c r="AU27" i="72"/>
  <c r="AL27" i="72"/>
  <c r="AT27" i="72"/>
  <c r="AJ27" i="72"/>
  <c r="AR27" i="72"/>
  <c r="AI27" i="72"/>
  <c r="AZ27" i="72"/>
  <c r="AQ27" i="72"/>
  <c r="AH27" i="72"/>
  <c r="AY27" i="72"/>
  <c r="AP27" i="72"/>
  <c r="AG27" i="72"/>
  <c r="AX27" i="72"/>
  <c r="AO27" i="72"/>
  <c r="AW27" i="72"/>
  <c r="AN27" i="72"/>
  <c r="AV27" i="72"/>
  <c r="AM27" i="72"/>
  <c r="A29" i="72"/>
  <c r="AO23" i="23" s="1"/>
  <c r="U23" i="25" s="1"/>
  <c r="B28" i="72"/>
  <c r="AP22" i="23" s="1"/>
  <c r="V22" i="25" s="1"/>
  <c r="BB26" i="72"/>
  <c r="BA26" i="72"/>
  <c r="N26" i="72" s="1"/>
  <c r="CA26" i="72"/>
  <c r="O26" i="72" s="1"/>
  <c r="BB27" i="71"/>
  <c r="BA27" i="71"/>
  <c r="N27" i="71" s="1"/>
  <c r="A30" i="71"/>
  <c r="AK24" i="23" s="1"/>
  <c r="P24" i="25" s="1"/>
  <c r="B29" i="71"/>
  <c r="AL23" i="23" s="1"/>
  <c r="Q23" i="25" s="1"/>
  <c r="AZ28" i="71"/>
  <c r="AR28" i="71"/>
  <c r="AJ28" i="71"/>
  <c r="AY28" i="71"/>
  <c r="AQ28" i="71"/>
  <c r="AI28" i="71"/>
  <c r="AX28" i="71"/>
  <c r="AP28" i="71"/>
  <c r="AH28" i="71"/>
  <c r="AV28" i="71"/>
  <c r="AN28" i="71"/>
  <c r="AT28" i="71"/>
  <c r="AL28" i="71"/>
  <c r="AW28" i="71"/>
  <c r="D28" i="71"/>
  <c r="AU28" i="71"/>
  <c r="AS28" i="71"/>
  <c r="AO28" i="71"/>
  <c r="AM28" i="71"/>
  <c r="AK28" i="71"/>
  <c r="AG28" i="71"/>
  <c r="BB27" i="69"/>
  <c r="BA27" i="69"/>
  <c r="N27" i="69" s="1"/>
  <c r="AW28" i="69"/>
  <c r="AO28" i="69"/>
  <c r="AG28" i="69"/>
  <c r="AZ28" i="69"/>
  <c r="AQ28" i="69"/>
  <c r="AH28" i="69"/>
  <c r="AY28" i="69"/>
  <c r="AP28" i="69"/>
  <c r="AX28" i="69"/>
  <c r="AN28" i="69"/>
  <c r="AV28" i="69"/>
  <c r="AM28" i="69"/>
  <c r="D28" i="69"/>
  <c r="AU28" i="69"/>
  <c r="AL28" i="69"/>
  <c r="AT28" i="69"/>
  <c r="AK28" i="69"/>
  <c r="AS28" i="69"/>
  <c r="AJ28" i="69"/>
  <c r="AR28" i="69"/>
  <c r="AI28" i="69"/>
  <c r="B29" i="69"/>
  <c r="AD23" i="23" s="1"/>
  <c r="G23" i="25" s="1"/>
  <c r="A30" i="69"/>
  <c r="AC24" i="23" s="1"/>
  <c r="F24" i="25" s="1"/>
  <c r="CA27" i="69"/>
  <c r="O27" i="69" s="1"/>
  <c r="BB27" i="68"/>
  <c r="BA27" i="68"/>
  <c r="N27" i="68" s="1"/>
  <c r="CA27" i="68"/>
  <c r="O27" i="68" s="1"/>
  <c r="A30" i="68"/>
  <c r="Y24" i="23" s="1"/>
  <c r="A24" i="25" s="1"/>
  <c r="B29" i="68"/>
  <c r="AT28" i="68"/>
  <c r="AL28" i="68"/>
  <c r="AS28" i="68"/>
  <c r="AK28" i="68"/>
  <c r="D28" i="68"/>
  <c r="AZ28" i="68"/>
  <c r="AR28" i="68"/>
  <c r="AJ28" i="68"/>
  <c r="AY28" i="68"/>
  <c r="AQ28" i="68"/>
  <c r="AI28" i="68"/>
  <c r="AO28" i="68"/>
  <c r="AN28" i="68"/>
  <c r="AM28" i="68"/>
  <c r="AX28" i="68"/>
  <c r="AH28" i="68"/>
  <c r="AW28" i="68"/>
  <c r="AG28" i="68"/>
  <c r="AV28" i="68"/>
  <c r="AU28" i="68"/>
  <c r="AP28" i="68"/>
  <c r="BB27" i="65"/>
  <c r="BA27" i="65"/>
  <c r="N27" i="65" s="1"/>
  <c r="CA27" i="65"/>
  <c r="O27" i="65" s="1"/>
  <c r="AV28" i="65"/>
  <c r="AN28" i="65"/>
  <c r="AU28" i="65"/>
  <c r="AM28" i="65"/>
  <c r="AZ28" i="65"/>
  <c r="AP28" i="65"/>
  <c r="AY28" i="65"/>
  <c r="AO28" i="65"/>
  <c r="D28" i="65"/>
  <c r="P22" i="23" s="1"/>
  <c r="T22" i="24" s="1"/>
  <c r="AX28" i="65"/>
  <c r="AJ28" i="65"/>
  <c r="AW28" i="65"/>
  <c r="AI28" i="65"/>
  <c r="AT28" i="65"/>
  <c r="AH28" i="65"/>
  <c r="AS28" i="65"/>
  <c r="AG28" i="65"/>
  <c r="AR28" i="65"/>
  <c r="AQ28" i="65"/>
  <c r="AL28" i="65"/>
  <c r="AK28" i="65"/>
  <c r="A30" i="65"/>
  <c r="M24" i="23" s="1"/>
  <c r="P24" i="24" s="1"/>
  <c r="B29" i="65"/>
  <c r="N23" i="23" s="1"/>
  <c r="Q23" i="24" s="1"/>
  <c r="CA27" i="64"/>
  <c r="O27" i="64" s="1"/>
  <c r="A30" i="64"/>
  <c r="I24" i="23" s="1"/>
  <c r="K24" i="24" s="1"/>
  <c r="B29" i="64"/>
  <c r="J23" i="23" s="1"/>
  <c r="L23" i="24" s="1"/>
  <c r="AX28" i="64"/>
  <c r="AP28" i="64"/>
  <c r="AH28" i="64"/>
  <c r="AW28" i="64"/>
  <c r="AO28" i="64"/>
  <c r="AG28" i="64"/>
  <c r="AV28" i="64"/>
  <c r="AN28" i="64"/>
  <c r="AU28" i="64"/>
  <c r="AM28" i="64"/>
  <c r="AT28" i="64"/>
  <c r="AL28" i="64"/>
  <c r="AS28" i="64"/>
  <c r="AK28" i="64"/>
  <c r="D28" i="64"/>
  <c r="L22" i="23" s="1"/>
  <c r="O22" i="24" s="1"/>
  <c r="AZ28" i="64"/>
  <c r="AR28" i="64"/>
  <c r="AJ28" i="64"/>
  <c r="AY28" i="64"/>
  <c r="AQ28" i="64"/>
  <c r="AI28" i="64"/>
  <c r="Q26" i="64"/>
  <c r="BB27" i="64"/>
  <c r="BA27" i="64"/>
  <c r="N27" i="64" s="1"/>
  <c r="B29" i="63"/>
  <c r="F23" i="23" s="1"/>
  <c r="G23" i="24" s="1"/>
  <c r="A30" i="63"/>
  <c r="E24" i="23" s="1"/>
  <c r="F24" i="24" s="1"/>
  <c r="BB27" i="63"/>
  <c r="BA27" i="63"/>
  <c r="N27" i="63" s="1"/>
  <c r="AW28" i="63"/>
  <c r="AO28" i="63"/>
  <c r="AY28" i="63"/>
  <c r="AP28" i="63"/>
  <c r="AG28" i="63"/>
  <c r="AX28" i="63"/>
  <c r="AN28" i="63"/>
  <c r="AQ28" i="63"/>
  <c r="D28" i="63"/>
  <c r="H22" i="23" s="1"/>
  <c r="J22" i="24" s="1"/>
  <c r="AM28" i="63"/>
  <c r="AZ28" i="63"/>
  <c r="AL28" i="63"/>
  <c r="AV28" i="63"/>
  <c r="AK28" i="63"/>
  <c r="AU28" i="63"/>
  <c r="AJ28" i="63"/>
  <c r="AT28" i="63"/>
  <c r="AI28" i="63"/>
  <c r="AS28" i="63"/>
  <c r="AH28" i="63"/>
  <c r="AR28" i="63"/>
  <c r="AB22" i="23" l="1"/>
  <c r="E22" i="25" s="1"/>
  <c r="CX28" i="68"/>
  <c r="Z23" i="23"/>
  <c r="B23" i="25" s="1"/>
  <c r="CL29" i="68"/>
  <c r="CE29" i="68"/>
  <c r="CP29" i="68"/>
  <c r="CF29" i="68"/>
  <c r="CQ29" i="68"/>
  <c r="CG29" i="68"/>
  <c r="CR29" i="68"/>
  <c r="CI29" i="68"/>
  <c r="CS29" i="68"/>
  <c r="CJ29" i="68"/>
  <c r="CT29" i="68"/>
  <c r="CK29" i="68"/>
  <c r="CU29" i="68"/>
  <c r="CN29" i="68"/>
  <c r="CV29" i="68"/>
  <c r="CD29" i="68"/>
  <c r="CO29" i="68"/>
  <c r="CW29" i="68"/>
  <c r="BH29" i="68"/>
  <c r="BR29" i="68"/>
  <c r="BZ29" i="68"/>
  <c r="BI29" i="68"/>
  <c r="BS29" i="68"/>
  <c r="BJ29" i="68"/>
  <c r="BT29" i="68"/>
  <c r="BL29" i="68"/>
  <c r="BU29" i="68"/>
  <c r="BM29" i="68"/>
  <c r="BV29" i="68"/>
  <c r="BN29" i="68"/>
  <c r="BW29" i="68"/>
  <c r="BO29" i="68"/>
  <c r="BX29" i="68"/>
  <c r="BG29" i="68"/>
  <c r="BQ29" i="68"/>
  <c r="BY29" i="68"/>
  <c r="BP29" i="68"/>
  <c r="BK29" i="68"/>
  <c r="CH29" i="68"/>
  <c r="CM29" i="68"/>
  <c r="BB27" i="70"/>
  <c r="BA27" i="70"/>
  <c r="N27" i="70" s="1"/>
  <c r="Y27" i="70" s="1"/>
  <c r="AG23" i="23"/>
  <c r="K23" i="25" s="1"/>
  <c r="B29" i="70"/>
  <c r="A30" i="70"/>
  <c r="O21" i="25"/>
  <c r="AJ21" i="23"/>
  <c r="AH22" i="23"/>
  <c r="L22" i="25" s="1"/>
  <c r="AP28" i="70"/>
  <c r="AW28" i="70"/>
  <c r="AI28" i="70"/>
  <c r="AH28" i="70"/>
  <c r="AL28" i="70"/>
  <c r="AQ28" i="70"/>
  <c r="AT28" i="70"/>
  <c r="AN28" i="70"/>
  <c r="D28" i="70"/>
  <c r="AJ28" i="70"/>
  <c r="AZ28" i="70"/>
  <c r="AU28" i="70"/>
  <c r="AV28" i="70"/>
  <c r="AR28" i="70"/>
  <c r="AM28" i="70"/>
  <c r="AK28" i="70"/>
  <c r="AG28" i="70"/>
  <c r="AY28" i="70"/>
  <c r="AX28" i="70"/>
  <c r="AS28" i="70"/>
  <c r="AO28" i="70"/>
  <c r="BA27" i="67"/>
  <c r="N27" i="67" s="1"/>
  <c r="Y26" i="67" s="1"/>
  <c r="BB27" i="67"/>
  <c r="AV22" i="23"/>
  <c r="AD22" i="25"/>
  <c r="J22" i="25"/>
  <c r="AF22" i="23"/>
  <c r="AN22" i="23"/>
  <c r="T22" i="25"/>
  <c r="AR21" i="23"/>
  <c r="Y21" i="25"/>
  <c r="V22" i="23"/>
  <c r="AA22" i="24" s="1"/>
  <c r="AV28" i="67"/>
  <c r="AR28" i="67"/>
  <c r="AP28" i="67"/>
  <c r="AH28" i="67"/>
  <c r="AN28" i="67"/>
  <c r="AL28" i="67"/>
  <c r="AS28" i="67"/>
  <c r="AY28" i="67"/>
  <c r="AX28" i="67"/>
  <c r="AW28" i="67"/>
  <c r="AU28" i="67"/>
  <c r="AK28" i="67"/>
  <c r="AI28" i="67"/>
  <c r="AT28" i="67"/>
  <c r="AQ28" i="67"/>
  <c r="AM28" i="67"/>
  <c r="AZ28" i="67"/>
  <c r="AO28" i="67"/>
  <c r="D28" i="67"/>
  <c r="X22" i="23" s="1"/>
  <c r="AD22" i="24" s="1"/>
  <c r="AG28" i="67"/>
  <c r="AJ28" i="67"/>
  <c r="U23" i="23"/>
  <c r="Z23" i="24" s="1"/>
  <c r="B29" i="67"/>
  <c r="A30" i="67"/>
  <c r="BB27" i="66"/>
  <c r="BA27" i="66"/>
  <c r="N27" i="66" s="1"/>
  <c r="Q23" i="23"/>
  <c r="U23" i="24" s="1"/>
  <c r="A30" i="66"/>
  <c r="B29" i="66"/>
  <c r="R22" i="23"/>
  <c r="V22" i="24" s="1"/>
  <c r="AI28" i="66"/>
  <c r="AX28" i="66"/>
  <c r="AV28" i="66"/>
  <c r="AY28" i="66"/>
  <c r="AO28" i="66"/>
  <c r="AM28" i="66"/>
  <c r="AP28" i="66"/>
  <c r="AZ28" i="66"/>
  <c r="AT28" i="66"/>
  <c r="AG28" i="66"/>
  <c r="AJ28" i="66"/>
  <c r="AS28" i="66"/>
  <c r="AU28" i="66"/>
  <c r="AQ28" i="66"/>
  <c r="AK28" i="66"/>
  <c r="AW28" i="66"/>
  <c r="AL28" i="66"/>
  <c r="AH28" i="66"/>
  <c r="AN28" i="66"/>
  <c r="D28" i="66"/>
  <c r="T22" i="23" s="1"/>
  <c r="Y22" i="24" s="1"/>
  <c r="AR28" i="66"/>
  <c r="Q27" i="64"/>
  <c r="P28" i="64"/>
  <c r="P28" i="73"/>
  <c r="Q27" i="73"/>
  <c r="CA28" i="73"/>
  <c r="O28" i="73" s="1"/>
  <c r="B30" i="73"/>
  <c r="AT24" i="23" s="1"/>
  <c r="AA24" i="25" s="1"/>
  <c r="A31" i="73"/>
  <c r="AS25" i="23" s="1"/>
  <c r="Z25" i="25" s="1"/>
  <c r="AU29" i="73"/>
  <c r="AM29" i="73"/>
  <c r="AT29" i="73"/>
  <c r="AL29" i="73"/>
  <c r="AX29" i="73"/>
  <c r="AN29" i="73"/>
  <c r="AW29" i="73"/>
  <c r="AK29" i="73"/>
  <c r="AV29" i="73"/>
  <c r="AJ29" i="73"/>
  <c r="AS29" i="73"/>
  <c r="AI29" i="73"/>
  <c r="AR29" i="73"/>
  <c r="AH29" i="73"/>
  <c r="AQ29" i="73"/>
  <c r="AG29" i="73"/>
  <c r="AZ29" i="73"/>
  <c r="AP29" i="73"/>
  <c r="AY29" i="73"/>
  <c r="AO29" i="73"/>
  <c r="D29" i="73"/>
  <c r="BB28" i="73"/>
  <c r="BA28" i="73"/>
  <c r="N28" i="73" s="1"/>
  <c r="AY28" i="72"/>
  <c r="AQ28" i="72"/>
  <c r="AI28" i="72"/>
  <c r="AW28" i="72"/>
  <c r="AV28" i="72"/>
  <c r="AN28" i="72"/>
  <c r="AT28" i="72"/>
  <c r="AJ28" i="72"/>
  <c r="AS28" i="72"/>
  <c r="AH28" i="72"/>
  <c r="AR28" i="72"/>
  <c r="AG28" i="72"/>
  <c r="AP28" i="72"/>
  <c r="AO28" i="72"/>
  <c r="AZ28" i="72"/>
  <c r="AM28" i="72"/>
  <c r="D28" i="72"/>
  <c r="AX28" i="72"/>
  <c r="AL28" i="72"/>
  <c r="AU28" i="72"/>
  <c r="AK28" i="72"/>
  <c r="B29" i="72"/>
  <c r="AP23" i="23" s="1"/>
  <c r="V23" i="25" s="1"/>
  <c r="A30" i="72"/>
  <c r="AO24" i="23" s="1"/>
  <c r="U24" i="25" s="1"/>
  <c r="BB27" i="72"/>
  <c r="BA27" i="72"/>
  <c r="N27" i="72" s="1"/>
  <c r="BB28" i="71"/>
  <c r="BA28" i="71"/>
  <c r="N28" i="71" s="1"/>
  <c r="AU29" i="71"/>
  <c r="AM29" i="71"/>
  <c r="AT29" i="71"/>
  <c r="AL29" i="71"/>
  <c r="AS29" i="71"/>
  <c r="AK29" i="71"/>
  <c r="D29" i="71"/>
  <c r="AY29" i="71"/>
  <c r="AQ29" i="71"/>
  <c r="AI29" i="71"/>
  <c r="AW29" i="71"/>
  <c r="AO29" i="71"/>
  <c r="AG29" i="71"/>
  <c r="AX29" i="71"/>
  <c r="AV29" i="71"/>
  <c r="AR29" i="71"/>
  <c r="AP29" i="71"/>
  <c r="AN29" i="71"/>
  <c r="AJ29" i="71"/>
  <c r="AZ29" i="71"/>
  <c r="AH29" i="71"/>
  <c r="CA28" i="71"/>
  <c r="O28" i="71" s="1"/>
  <c r="A31" i="71"/>
  <c r="AK25" i="23" s="1"/>
  <c r="P25" i="25" s="1"/>
  <c r="B30" i="71"/>
  <c r="AL24" i="23" s="1"/>
  <c r="Q24" i="25" s="1"/>
  <c r="A31" i="69"/>
  <c r="AC25" i="23" s="1"/>
  <c r="F25" i="25" s="1"/>
  <c r="B30" i="69"/>
  <c r="AD24" i="23" s="1"/>
  <c r="G24" i="25" s="1"/>
  <c r="AZ29" i="69"/>
  <c r="AR29" i="69"/>
  <c r="AJ29" i="69"/>
  <c r="AY29" i="69"/>
  <c r="AQ29" i="69"/>
  <c r="AI29" i="69"/>
  <c r="AV29" i="69"/>
  <c r="AL29" i="69"/>
  <c r="AU29" i="69"/>
  <c r="AK29" i="69"/>
  <c r="AT29" i="69"/>
  <c r="AH29" i="69"/>
  <c r="AS29" i="69"/>
  <c r="AG29" i="69"/>
  <c r="AP29" i="69"/>
  <c r="AO29" i="69"/>
  <c r="AX29" i="69"/>
  <c r="AN29" i="69"/>
  <c r="AW29" i="69"/>
  <c r="AM29" i="69"/>
  <c r="D29" i="69"/>
  <c r="BB28" i="69"/>
  <c r="BA28" i="69"/>
  <c r="N28" i="69" s="1"/>
  <c r="BB28" i="68"/>
  <c r="BA28" i="68"/>
  <c r="N28" i="68" s="1"/>
  <c r="AW29" i="68"/>
  <c r="AO29" i="68"/>
  <c r="AG29" i="68"/>
  <c r="AV29" i="68"/>
  <c r="AN29" i="68"/>
  <c r="AU29" i="68"/>
  <c r="AM29" i="68"/>
  <c r="AT29" i="68"/>
  <c r="AL29" i="68"/>
  <c r="AR29" i="68"/>
  <c r="AQ29" i="68"/>
  <c r="AP29" i="68"/>
  <c r="AK29" i="68"/>
  <c r="AZ29" i="68"/>
  <c r="AJ29" i="68"/>
  <c r="AY29" i="68"/>
  <c r="AI29" i="68"/>
  <c r="AX29" i="68"/>
  <c r="AH29" i="68"/>
  <c r="D29" i="68"/>
  <c r="AS29" i="68"/>
  <c r="B30" i="68"/>
  <c r="A31" i="68"/>
  <c r="Y25" i="23" s="1"/>
  <c r="A25" i="25" s="1"/>
  <c r="BB28" i="65"/>
  <c r="BA28" i="65"/>
  <c r="N28" i="65" s="1"/>
  <c r="CA28" i="65"/>
  <c r="O28" i="65" s="1"/>
  <c r="AY29" i="65"/>
  <c r="AQ29" i="65"/>
  <c r="AI29" i="65"/>
  <c r="AX29" i="65"/>
  <c r="AP29" i="65"/>
  <c r="AH29" i="65"/>
  <c r="AT29" i="65"/>
  <c r="AJ29" i="65"/>
  <c r="AS29" i="65"/>
  <c r="AG29" i="65"/>
  <c r="AR29" i="65"/>
  <c r="AO29" i="65"/>
  <c r="AN29" i="65"/>
  <c r="AM29" i="65"/>
  <c r="AL29" i="65"/>
  <c r="AK29" i="65"/>
  <c r="AZ29" i="65"/>
  <c r="AW29" i="65"/>
  <c r="D29" i="65"/>
  <c r="P23" i="23" s="1"/>
  <c r="T23" i="24" s="1"/>
  <c r="AV29" i="65"/>
  <c r="AU29" i="65"/>
  <c r="B30" i="65"/>
  <c r="N24" i="23" s="1"/>
  <c r="Q24" i="24" s="1"/>
  <c r="A31" i="65"/>
  <c r="M25" i="23" s="1"/>
  <c r="P25" i="24" s="1"/>
  <c r="BB28" i="64"/>
  <c r="BA28" i="64"/>
  <c r="N28" i="64" s="1"/>
  <c r="AX29" i="64"/>
  <c r="AP29" i="64"/>
  <c r="AH29" i="64"/>
  <c r="AR29" i="64"/>
  <c r="AI29" i="64"/>
  <c r="AZ29" i="64"/>
  <c r="AQ29" i="64"/>
  <c r="AG29" i="64"/>
  <c r="AY29" i="64"/>
  <c r="AO29" i="64"/>
  <c r="AW29" i="64"/>
  <c r="AN29" i="64"/>
  <c r="AV29" i="64"/>
  <c r="AM29" i="64"/>
  <c r="AU29" i="64"/>
  <c r="AL29" i="64"/>
  <c r="D29" i="64"/>
  <c r="L23" i="23" s="1"/>
  <c r="O23" i="24" s="1"/>
  <c r="AT29" i="64"/>
  <c r="AK29" i="64"/>
  <c r="AS29" i="64"/>
  <c r="AJ29" i="64"/>
  <c r="A31" i="64"/>
  <c r="I25" i="23" s="1"/>
  <c r="K25" i="24" s="1"/>
  <c r="B30" i="64"/>
  <c r="J24" i="23" s="1"/>
  <c r="L24" i="24" s="1"/>
  <c r="CA28" i="64"/>
  <c r="O28" i="64" s="1"/>
  <c r="A31" i="63"/>
  <c r="E25" i="23" s="1"/>
  <c r="F25" i="24" s="1"/>
  <c r="B30" i="63"/>
  <c r="F24" i="23" s="1"/>
  <c r="G24" i="24" s="1"/>
  <c r="BB28" i="63"/>
  <c r="BA28" i="63"/>
  <c r="N28" i="63" s="1"/>
  <c r="Y28" i="63" s="1"/>
  <c r="AZ29" i="63"/>
  <c r="AR29" i="63"/>
  <c r="AJ29" i="63"/>
  <c r="AS29" i="63"/>
  <c r="AI29" i="63"/>
  <c r="AQ29" i="63"/>
  <c r="AH29" i="63"/>
  <c r="AX29" i="63"/>
  <c r="AO29" i="63"/>
  <c r="AV29" i="63"/>
  <c r="AG29" i="63"/>
  <c r="AU29" i="63"/>
  <c r="AT29" i="63"/>
  <c r="AP29" i="63"/>
  <c r="D29" i="63"/>
  <c r="H23" i="23" s="1"/>
  <c r="J23" i="24" s="1"/>
  <c r="AN29" i="63"/>
  <c r="AM29" i="63"/>
  <c r="AY29" i="63"/>
  <c r="AL29" i="63"/>
  <c r="AW29" i="63"/>
  <c r="AK29" i="63"/>
  <c r="FL27" i="70" l="1"/>
  <c r="FJ27" i="70"/>
  <c r="FL28" i="63"/>
  <c r="FJ28" i="63"/>
  <c r="FJ26" i="67"/>
  <c r="FL26" i="67"/>
  <c r="AB23" i="23"/>
  <c r="E23" i="25" s="1"/>
  <c r="Z24" i="23"/>
  <c r="B24" i="25" s="1"/>
  <c r="CL30" i="68"/>
  <c r="CD30" i="68"/>
  <c r="CM30" i="68"/>
  <c r="CU30" i="68"/>
  <c r="CE30" i="68"/>
  <c r="CN30" i="68"/>
  <c r="CV30" i="68"/>
  <c r="CF30" i="68"/>
  <c r="CO30" i="68"/>
  <c r="CW30" i="68"/>
  <c r="CG30" i="68"/>
  <c r="CP30" i="68"/>
  <c r="CH30" i="68"/>
  <c r="CQ30" i="68"/>
  <c r="CI30" i="68"/>
  <c r="CR30" i="68"/>
  <c r="CJ30" i="68"/>
  <c r="CS30" i="68"/>
  <c r="CK30" i="68"/>
  <c r="CT30" i="68"/>
  <c r="BN30" i="68"/>
  <c r="BV30" i="68"/>
  <c r="BG30" i="68"/>
  <c r="BO30" i="68"/>
  <c r="BW30" i="68"/>
  <c r="BH30" i="68"/>
  <c r="BP30" i="68"/>
  <c r="BX30" i="68"/>
  <c r="BI30" i="68"/>
  <c r="BQ30" i="68"/>
  <c r="BY30" i="68"/>
  <c r="BJ30" i="68"/>
  <c r="BR30" i="68"/>
  <c r="BZ30" i="68"/>
  <c r="BK30" i="68"/>
  <c r="BS30" i="68"/>
  <c r="BL30" i="68"/>
  <c r="BT30" i="68"/>
  <c r="BM30" i="68"/>
  <c r="BU30" i="68"/>
  <c r="CX29" i="68"/>
  <c r="AJ22" i="23"/>
  <c r="O22" i="25"/>
  <c r="AG24" i="23"/>
  <c r="K24" i="25" s="1"/>
  <c r="B30" i="70"/>
  <c r="A31" i="70"/>
  <c r="AH23" i="23"/>
  <c r="L23" i="25" s="1"/>
  <c r="AS29" i="70"/>
  <c r="AP29" i="70"/>
  <c r="AT29" i="70"/>
  <c r="AK29" i="70"/>
  <c r="AH29" i="70"/>
  <c r="AI29" i="70"/>
  <c r="D29" i="70"/>
  <c r="AY29" i="70"/>
  <c r="AV29" i="70"/>
  <c r="AN29" i="70"/>
  <c r="AL29" i="70"/>
  <c r="AZ29" i="70"/>
  <c r="AR29" i="70"/>
  <c r="AO29" i="70"/>
  <c r="AG29" i="70"/>
  <c r="AW29" i="70"/>
  <c r="AU29" i="70"/>
  <c r="AX29" i="70"/>
  <c r="AQ29" i="70"/>
  <c r="AM29" i="70"/>
  <c r="AJ29" i="70"/>
  <c r="BB28" i="70"/>
  <c r="BA28" i="70"/>
  <c r="N28" i="70" s="1"/>
  <c r="J23" i="25"/>
  <c r="AF23" i="23"/>
  <c r="U24" i="23"/>
  <c r="Z24" i="24" s="1"/>
  <c r="B30" i="67"/>
  <c r="A31" i="67"/>
  <c r="AD23" i="25"/>
  <c r="AV23" i="23"/>
  <c r="V23" i="23"/>
  <c r="AA23" i="24" s="1"/>
  <c r="AX29" i="67"/>
  <c r="AG29" i="67"/>
  <c r="AZ29" i="67"/>
  <c r="AY29" i="67"/>
  <c r="AP29" i="67"/>
  <c r="D29" i="67"/>
  <c r="X23" i="23" s="1"/>
  <c r="AD23" i="24" s="1"/>
  <c r="AM29" i="67"/>
  <c r="AV29" i="67"/>
  <c r="AR29" i="67"/>
  <c r="AQ29" i="67"/>
  <c r="AH29" i="67"/>
  <c r="AJ29" i="67"/>
  <c r="AI29" i="67"/>
  <c r="AU29" i="67"/>
  <c r="AL29" i="67"/>
  <c r="AN29" i="67"/>
  <c r="AT29" i="67"/>
  <c r="AK29" i="67"/>
  <c r="AW29" i="67"/>
  <c r="AO29" i="67"/>
  <c r="AS29" i="67"/>
  <c r="BA28" i="67"/>
  <c r="N28" i="67" s="1"/>
  <c r="Y27" i="67" s="1"/>
  <c r="BB28" i="67"/>
  <c r="AN23" i="23"/>
  <c r="T23" i="25"/>
  <c r="Y22" i="25"/>
  <c r="AR22" i="23"/>
  <c r="BB28" i="66"/>
  <c r="BA28" i="66"/>
  <c r="N28" i="66" s="1"/>
  <c r="R23" i="23"/>
  <c r="V23" i="24" s="1"/>
  <c r="AY29" i="66"/>
  <c r="AW29" i="66"/>
  <c r="AR29" i="66"/>
  <c r="AO29" i="66"/>
  <c r="AU29" i="66"/>
  <c r="AH29" i="66"/>
  <c r="D29" i="66"/>
  <c r="T23" i="23" s="1"/>
  <c r="Y23" i="24" s="1"/>
  <c r="AM29" i="66"/>
  <c r="AS29" i="66"/>
  <c r="AZ29" i="66"/>
  <c r="AI29" i="66"/>
  <c r="AP29" i="66"/>
  <c r="AK29" i="66"/>
  <c r="AV29" i="66"/>
  <c r="AT29" i="66"/>
  <c r="AQ29" i="66"/>
  <c r="AX29" i="66"/>
  <c r="AN29" i="66"/>
  <c r="AJ29" i="66"/>
  <c r="AG29" i="66"/>
  <c r="AL29" i="66"/>
  <c r="Q24" i="23"/>
  <c r="U24" i="24" s="1"/>
  <c r="B30" i="66"/>
  <c r="A31" i="66"/>
  <c r="P29" i="73"/>
  <c r="Q28" i="73"/>
  <c r="CA29" i="73"/>
  <c r="O29" i="73" s="1"/>
  <c r="A32" i="73"/>
  <c r="AS26" i="23" s="1"/>
  <c r="Z26" i="25" s="1"/>
  <c r="B31" i="73"/>
  <c r="AT25" i="23" s="1"/>
  <c r="AA25" i="25" s="1"/>
  <c r="AX30" i="73"/>
  <c r="AP30" i="73"/>
  <c r="AH30" i="73"/>
  <c r="AW30" i="73"/>
  <c r="AO30" i="73"/>
  <c r="AG30" i="73"/>
  <c r="AT30" i="73"/>
  <c r="AJ30" i="73"/>
  <c r="AS30" i="73"/>
  <c r="AI30" i="73"/>
  <c r="AR30" i="73"/>
  <c r="AQ30" i="73"/>
  <c r="AZ30" i="73"/>
  <c r="AN30" i="73"/>
  <c r="D30" i="73"/>
  <c r="AY30" i="73"/>
  <c r="AM30" i="73"/>
  <c r="AV30" i="73"/>
  <c r="AL30" i="73"/>
  <c r="AU30" i="73"/>
  <c r="AK30" i="73"/>
  <c r="BB29" i="73"/>
  <c r="BA29" i="73"/>
  <c r="N29" i="73" s="1"/>
  <c r="B30" i="72"/>
  <c r="AP24" i="23" s="1"/>
  <c r="V24" i="25" s="1"/>
  <c r="A31" i="72"/>
  <c r="AO25" i="23" s="1"/>
  <c r="U25" i="25" s="1"/>
  <c r="AT29" i="72"/>
  <c r="AL29" i="72"/>
  <c r="AZ29" i="72"/>
  <c r="AR29" i="72"/>
  <c r="AJ29" i="72"/>
  <c r="AY29" i="72"/>
  <c r="AQ29" i="72"/>
  <c r="AI29" i="72"/>
  <c r="AX29" i="72"/>
  <c r="AP29" i="72"/>
  <c r="AH29" i="72"/>
  <c r="AW29" i="72"/>
  <c r="AO29" i="72"/>
  <c r="AG29" i="72"/>
  <c r="AM29" i="72"/>
  <c r="AK29" i="72"/>
  <c r="D29" i="72"/>
  <c r="AV29" i="72"/>
  <c r="AU29" i="72"/>
  <c r="AS29" i="72"/>
  <c r="AN29" i="72"/>
  <c r="BB28" i="72"/>
  <c r="BA28" i="72"/>
  <c r="N28" i="72" s="1"/>
  <c r="Y28" i="72" s="1"/>
  <c r="AX30" i="71"/>
  <c r="AP30" i="71"/>
  <c r="AH30" i="71"/>
  <c r="AW30" i="71"/>
  <c r="AO30" i="71"/>
  <c r="AG30" i="71"/>
  <c r="AV30" i="71"/>
  <c r="AN30" i="71"/>
  <c r="AT30" i="71"/>
  <c r="AL30" i="71"/>
  <c r="AZ30" i="71"/>
  <c r="AR30" i="71"/>
  <c r="AJ30" i="71"/>
  <c r="AY30" i="71"/>
  <c r="AU30" i="71"/>
  <c r="AS30" i="71"/>
  <c r="AQ30" i="71"/>
  <c r="AM30" i="71"/>
  <c r="AK30" i="71"/>
  <c r="AI30" i="71"/>
  <c r="D30" i="71"/>
  <c r="A32" i="71"/>
  <c r="AK26" i="23" s="1"/>
  <c r="P26" i="25" s="1"/>
  <c r="B31" i="71"/>
  <c r="AL25" i="23" s="1"/>
  <c r="Q25" i="25" s="1"/>
  <c r="BB29" i="71"/>
  <c r="BA29" i="71"/>
  <c r="N29" i="71" s="1"/>
  <c r="CA29" i="71"/>
  <c r="O29" i="71" s="1"/>
  <c r="AU30" i="69"/>
  <c r="AM30" i="69"/>
  <c r="AT30" i="69"/>
  <c r="AL30" i="69"/>
  <c r="AS30" i="69"/>
  <c r="AI30" i="69"/>
  <c r="AR30" i="69"/>
  <c r="AH30" i="69"/>
  <c r="AQ30" i="69"/>
  <c r="AG30" i="69"/>
  <c r="AZ30" i="69"/>
  <c r="AP30" i="69"/>
  <c r="AY30" i="69"/>
  <c r="AO30" i="69"/>
  <c r="D30" i="69"/>
  <c r="AX30" i="69"/>
  <c r="AN30" i="69"/>
  <c r="AW30" i="69"/>
  <c r="AK30" i="69"/>
  <c r="AV30" i="69"/>
  <c r="AJ30" i="69"/>
  <c r="BB29" i="69"/>
  <c r="BA29" i="69"/>
  <c r="N29" i="69" s="1"/>
  <c r="A32" i="69"/>
  <c r="AC26" i="23" s="1"/>
  <c r="F26" i="25" s="1"/>
  <c r="B31" i="69"/>
  <c r="AD25" i="23" s="1"/>
  <c r="G25" i="25" s="1"/>
  <c r="B31" i="68"/>
  <c r="A32" i="68"/>
  <c r="Y26" i="23" s="1"/>
  <c r="A26" i="25" s="1"/>
  <c r="AZ30" i="68"/>
  <c r="AR30" i="68"/>
  <c r="AJ30" i="68"/>
  <c r="AY30" i="68"/>
  <c r="AQ30" i="68"/>
  <c r="AI30" i="68"/>
  <c r="AX30" i="68"/>
  <c r="AP30" i="68"/>
  <c r="AH30" i="68"/>
  <c r="AW30" i="68"/>
  <c r="AO30" i="68"/>
  <c r="AG30" i="68"/>
  <c r="AV30" i="68"/>
  <c r="AN30" i="68"/>
  <c r="AU30" i="68"/>
  <c r="AM30" i="68"/>
  <c r="AT30" i="68"/>
  <c r="AS30" i="68"/>
  <c r="AL30" i="68"/>
  <c r="AK30" i="68"/>
  <c r="D30" i="68"/>
  <c r="BB29" i="68"/>
  <c r="BA29" i="68"/>
  <c r="N29" i="68" s="1"/>
  <c r="BB29" i="65"/>
  <c r="BA29" i="65"/>
  <c r="N29" i="65" s="1"/>
  <c r="AT30" i="65"/>
  <c r="AL30" i="65"/>
  <c r="AS30" i="65"/>
  <c r="AK30" i="65"/>
  <c r="D30" i="65"/>
  <c r="P24" i="23" s="1"/>
  <c r="T24" i="24" s="1"/>
  <c r="AZ30" i="65"/>
  <c r="AP30" i="65"/>
  <c r="AY30" i="65"/>
  <c r="AO30" i="65"/>
  <c r="AX30" i="65"/>
  <c r="AN30" i="65"/>
  <c r="AW30" i="65"/>
  <c r="AM30" i="65"/>
  <c r="AU30" i="65"/>
  <c r="AI30" i="65"/>
  <c r="AV30" i="65"/>
  <c r="AR30" i="65"/>
  <c r="AQ30" i="65"/>
  <c r="AJ30" i="65"/>
  <c r="AH30" i="65"/>
  <c r="AG30" i="65"/>
  <c r="B31" i="65"/>
  <c r="N25" i="23" s="1"/>
  <c r="Q25" i="24" s="1"/>
  <c r="A32" i="65"/>
  <c r="M26" i="23" s="1"/>
  <c r="P26" i="24" s="1"/>
  <c r="BB29" i="64"/>
  <c r="BA29" i="64"/>
  <c r="N29" i="64" s="1"/>
  <c r="A32" i="64"/>
  <c r="I26" i="23" s="1"/>
  <c r="K26" i="24" s="1"/>
  <c r="B31" i="64"/>
  <c r="J25" i="23" s="1"/>
  <c r="L25" i="24" s="1"/>
  <c r="CA29" i="64"/>
  <c r="O29" i="64" s="1"/>
  <c r="AS30" i="64"/>
  <c r="AK30" i="64"/>
  <c r="D30" i="64"/>
  <c r="L24" i="23" s="1"/>
  <c r="O24" i="24" s="1"/>
  <c r="AZ30" i="64"/>
  <c r="AR30" i="64"/>
  <c r="AJ30" i="64"/>
  <c r="AY30" i="64"/>
  <c r="AQ30" i="64"/>
  <c r="AI30" i="64"/>
  <c r="AO30" i="64"/>
  <c r="AN30" i="64"/>
  <c r="AX30" i="64"/>
  <c r="AM30" i="64"/>
  <c r="AW30" i="64"/>
  <c r="AL30" i="64"/>
  <c r="AV30" i="64"/>
  <c r="AH30" i="64"/>
  <c r="AU30" i="64"/>
  <c r="AG30" i="64"/>
  <c r="AT30" i="64"/>
  <c r="AP30" i="64"/>
  <c r="Q28" i="64"/>
  <c r="AV30" i="63"/>
  <c r="AN30" i="63"/>
  <c r="AU30" i="63"/>
  <c r="AM30" i="63"/>
  <c r="AS30" i="63"/>
  <c r="AK30" i="63"/>
  <c r="D30" i="63"/>
  <c r="H24" i="23" s="1"/>
  <c r="J24" i="24" s="1"/>
  <c r="AY30" i="63"/>
  <c r="AL30" i="63"/>
  <c r="AX30" i="63"/>
  <c r="AJ30" i="63"/>
  <c r="AW30" i="63"/>
  <c r="AI30" i="63"/>
  <c r="AT30" i="63"/>
  <c r="AH30" i="63"/>
  <c r="AO30" i="63"/>
  <c r="AG30" i="63"/>
  <c r="AZ30" i="63"/>
  <c r="AR30" i="63"/>
  <c r="AQ30" i="63"/>
  <c r="AP30" i="63"/>
  <c r="A32" i="63"/>
  <c r="E26" i="23" s="1"/>
  <c r="F26" i="24" s="1"/>
  <c r="B31" i="63"/>
  <c r="F25" i="23" s="1"/>
  <c r="G25" i="24" s="1"/>
  <c r="BB29" i="63"/>
  <c r="BA29" i="63"/>
  <c r="N29" i="63" s="1"/>
  <c r="Y29" i="63" s="1"/>
  <c r="FL27" i="67" l="1"/>
  <c r="FL40" i="67" s="1"/>
  <c r="FJ27" i="67"/>
  <c r="FJ40" i="67" s="1"/>
  <c r="Y40" i="67"/>
  <c r="FJ29" i="63"/>
  <c r="FL29" i="63"/>
  <c r="FL28" i="72"/>
  <c r="FJ28" i="72"/>
  <c r="DW40" i="68"/>
  <c r="Y29" i="68"/>
  <c r="AB24" i="23"/>
  <c r="E24" i="25" s="1"/>
  <c r="Z25" i="23"/>
  <c r="B25" i="25" s="1"/>
  <c r="CL31" i="68"/>
  <c r="CI31" i="68"/>
  <c r="CR31" i="68"/>
  <c r="CJ31" i="68"/>
  <c r="CS31" i="68"/>
  <c r="CK31" i="68"/>
  <c r="CT31" i="68"/>
  <c r="CD31" i="68"/>
  <c r="CM31" i="68"/>
  <c r="CU31" i="68"/>
  <c r="CE31" i="68"/>
  <c r="CN31" i="68"/>
  <c r="CV31" i="68"/>
  <c r="CF31" i="68"/>
  <c r="CO31" i="68"/>
  <c r="CW31" i="68"/>
  <c r="CG31" i="68"/>
  <c r="CP31" i="68"/>
  <c r="CH31" i="68"/>
  <c r="CQ31" i="68"/>
  <c r="BJ31" i="68"/>
  <c r="BR31" i="68"/>
  <c r="BZ31" i="68"/>
  <c r="BK31" i="68"/>
  <c r="BS31" i="68"/>
  <c r="BL31" i="68"/>
  <c r="BT31" i="68"/>
  <c r="BM31" i="68"/>
  <c r="BU31" i="68"/>
  <c r="BN31" i="68"/>
  <c r="BV31" i="68"/>
  <c r="BG31" i="68"/>
  <c r="BO31" i="68"/>
  <c r="BW31" i="68"/>
  <c r="BH31" i="68"/>
  <c r="BP31" i="68"/>
  <c r="BX31" i="68"/>
  <c r="BI31" i="68"/>
  <c r="BQ31" i="68"/>
  <c r="BY31" i="68"/>
  <c r="CX30" i="68"/>
  <c r="AJ23" i="23"/>
  <c r="O23" i="25"/>
  <c r="AG25" i="23"/>
  <c r="K25" i="25" s="1"/>
  <c r="B31" i="70"/>
  <c r="A32" i="70"/>
  <c r="AH24" i="23"/>
  <c r="L24" i="25" s="1"/>
  <c r="AM30" i="70"/>
  <c r="AZ30" i="70"/>
  <c r="AQ30" i="70"/>
  <c r="AS30" i="70"/>
  <c r="AR30" i="70"/>
  <c r="AI30" i="70"/>
  <c r="AV30" i="70"/>
  <c r="AK30" i="70"/>
  <c r="AJ30" i="70"/>
  <c r="AN30" i="70"/>
  <c r="D30" i="70"/>
  <c r="AT30" i="70"/>
  <c r="AW30" i="70"/>
  <c r="AL30" i="70"/>
  <c r="AX30" i="70"/>
  <c r="AO30" i="70"/>
  <c r="AP30" i="70"/>
  <c r="AG30" i="70"/>
  <c r="AU30" i="70"/>
  <c r="AY30" i="70"/>
  <c r="AH30" i="70"/>
  <c r="BA29" i="70"/>
  <c r="N29" i="70" s="1"/>
  <c r="BB29" i="70"/>
  <c r="J24" i="25"/>
  <c r="AF24" i="23"/>
  <c r="T24" i="25"/>
  <c r="AN24" i="23"/>
  <c r="AD24" i="25"/>
  <c r="AV24" i="23"/>
  <c r="BB29" i="67"/>
  <c r="BA29" i="67"/>
  <c r="N29" i="67" s="1"/>
  <c r="U25" i="23"/>
  <c r="Z25" i="24" s="1"/>
  <c r="A32" i="67"/>
  <c r="B31" i="67"/>
  <c r="V24" i="23"/>
  <c r="AA24" i="24" s="1"/>
  <c r="AS30" i="67"/>
  <c r="AT30" i="67"/>
  <c r="AK30" i="67"/>
  <c r="AZ30" i="67"/>
  <c r="AY30" i="67"/>
  <c r="AX30" i="67"/>
  <c r="AU30" i="67"/>
  <c r="AL30" i="67"/>
  <c r="D30" i="67"/>
  <c r="X24" i="23" s="1"/>
  <c r="AD24" i="24" s="1"/>
  <c r="AR30" i="67"/>
  <c r="AQ30" i="67"/>
  <c r="AM30" i="67"/>
  <c r="AJ30" i="67"/>
  <c r="AI30" i="67"/>
  <c r="AW30" i="67"/>
  <c r="AO30" i="67"/>
  <c r="AV30" i="67"/>
  <c r="AH30" i="67"/>
  <c r="AN30" i="67"/>
  <c r="AG30" i="67"/>
  <c r="AP30" i="67"/>
  <c r="CA29" i="67"/>
  <c r="O29" i="67" s="1"/>
  <c r="Y23" i="25"/>
  <c r="AR23" i="23"/>
  <c r="Q25" i="23"/>
  <c r="U25" i="24" s="1"/>
  <c r="A32" i="66"/>
  <c r="B31" i="66"/>
  <c r="R24" i="23"/>
  <c r="V24" i="24" s="1"/>
  <c r="AO30" i="66"/>
  <c r="D30" i="66"/>
  <c r="T24" i="23" s="1"/>
  <c r="Y24" i="24" s="1"/>
  <c r="AK30" i="66"/>
  <c r="AX30" i="66"/>
  <c r="AG30" i="66"/>
  <c r="AM30" i="66"/>
  <c r="AY30" i="66"/>
  <c r="AP30" i="66"/>
  <c r="AV30" i="66"/>
  <c r="AT30" i="66"/>
  <c r="AQ30" i="66"/>
  <c r="AH30" i="66"/>
  <c r="AI30" i="66"/>
  <c r="AS30" i="66"/>
  <c r="AN30" i="66"/>
  <c r="AZ30" i="66"/>
  <c r="AU30" i="66"/>
  <c r="AL30" i="66"/>
  <c r="AW30" i="66"/>
  <c r="AR30" i="66"/>
  <c r="AJ30" i="66"/>
  <c r="BB29" i="66"/>
  <c r="BA29" i="66"/>
  <c r="N29" i="66" s="1"/>
  <c r="P30" i="73"/>
  <c r="Q29" i="73"/>
  <c r="CA30" i="73"/>
  <c r="O30" i="73" s="1"/>
  <c r="AS31" i="73"/>
  <c r="AK31" i="73"/>
  <c r="D31" i="73"/>
  <c r="AZ31" i="73"/>
  <c r="AR31" i="73"/>
  <c r="AJ31" i="73"/>
  <c r="AX31" i="73"/>
  <c r="AP31" i="73"/>
  <c r="AH31" i="73"/>
  <c r="AY31" i="73"/>
  <c r="AM31" i="73"/>
  <c r="AW31" i="73"/>
  <c r="AL31" i="73"/>
  <c r="AV31" i="73"/>
  <c r="AI31" i="73"/>
  <c r="AU31" i="73"/>
  <c r="AG31" i="73"/>
  <c r="AT31" i="73"/>
  <c r="AQ31" i="73"/>
  <c r="AO31" i="73"/>
  <c r="AN31" i="73"/>
  <c r="BB30" i="73"/>
  <c r="BA30" i="73"/>
  <c r="N30" i="73" s="1"/>
  <c r="A33" i="73"/>
  <c r="AS27" i="23" s="1"/>
  <c r="Z27" i="25" s="1"/>
  <c r="B32" i="73"/>
  <c r="AT26" i="23" s="1"/>
  <c r="AA26" i="25" s="1"/>
  <c r="BB29" i="72"/>
  <c r="BA29" i="72"/>
  <c r="N29" i="72" s="1"/>
  <c r="Y29" i="72" s="1"/>
  <c r="B31" i="72"/>
  <c r="AP25" i="23" s="1"/>
  <c r="V25" i="25" s="1"/>
  <c r="A32" i="72"/>
  <c r="AO26" i="23" s="1"/>
  <c r="U26" i="25" s="1"/>
  <c r="AW30" i="72"/>
  <c r="AO30" i="72"/>
  <c r="AG30" i="72"/>
  <c r="AU30" i="72"/>
  <c r="AM30" i="72"/>
  <c r="AT30" i="72"/>
  <c r="AL30" i="72"/>
  <c r="AS30" i="72"/>
  <c r="AK30" i="72"/>
  <c r="D30" i="72"/>
  <c r="AZ30" i="72"/>
  <c r="AR30" i="72"/>
  <c r="AJ30" i="72"/>
  <c r="AN30" i="72"/>
  <c r="AI30" i="72"/>
  <c r="AH30" i="72"/>
  <c r="AY30" i="72"/>
  <c r="AX30" i="72"/>
  <c r="AV30" i="72"/>
  <c r="AQ30" i="72"/>
  <c r="AP30" i="72"/>
  <c r="BB30" i="71"/>
  <c r="BA30" i="71"/>
  <c r="N30" i="71" s="1"/>
  <c r="AS31" i="71"/>
  <c r="AK31" i="71"/>
  <c r="D31" i="71"/>
  <c r="AZ31" i="71"/>
  <c r="AR31" i="71"/>
  <c r="AJ31" i="71"/>
  <c r="AY31" i="71"/>
  <c r="AQ31" i="71"/>
  <c r="AI31" i="71"/>
  <c r="AW31" i="71"/>
  <c r="AO31" i="71"/>
  <c r="AG31" i="71"/>
  <c r="AU31" i="71"/>
  <c r="AM31" i="71"/>
  <c r="AT31" i="71"/>
  <c r="AP31" i="71"/>
  <c r="AN31" i="71"/>
  <c r="AL31" i="71"/>
  <c r="AH31" i="71"/>
  <c r="AX31" i="71"/>
  <c r="AV31" i="71"/>
  <c r="B32" i="71"/>
  <c r="AL26" i="23" s="1"/>
  <c r="Q26" i="25" s="1"/>
  <c r="A33" i="71"/>
  <c r="AK27" i="23" s="1"/>
  <c r="P27" i="25" s="1"/>
  <c r="B32" i="69"/>
  <c r="AD26" i="23" s="1"/>
  <c r="G26" i="25" s="1"/>
  <c r="A33" i="69"/>
  <c r="AC27" i="23" s="1"/>
  <c r="F27" i="25" s="1"/>
  <c r="BB30" i="69"/>
  <c r="BA30" i="69"/>
  <c r="N30" i="69" s="1"/>
  <c r="AX31" i="69"/>
  <c r="AP31" i="69"/>
  <c r="AH31" i="69"/>
  <c r="AW31" i="69"/>
  <c r="AO31" i="69"/>
  <c r="AG31" i="69"/>
  <c r="AQ31" i="69"/>
  <c r="AZ31" i="69"/>
  <c r="AN31" i="69"/>
  <c r="D31" i="69"/>
  <c r="AY31" i="69"/>
  <c r="AM31" i="69"/>
  <c r="AV31" i="69"/>
  <c r="AL31" i="69"/>
  <c r="AU31" i="69"/>
  <c r="AK31" i="69"/>
  <c r="AT31" i="69"/>
  <c r="AJ31" i="69"/>
  <c r="AS31" i="69"/>
  <c r="AI31" i="69"/>
  <c r="AR31" i="69"/>
  <c r="BB30" i="68"/>
  <c r="BA30" i="68"/>
  <c r="N30" i="68" s="1"/>
  <c r="Y30" i="68" s="1"/>
  <c r="B32" i="68"/>
  <c r="A33" i="68"/>
  <c r="Y27" i="23" s="1"/>
  <c r="A27" i="25" s="1"/>
  <c r="AU31" i="68"/>
  <c r="AM31" i="68"/>
  <c r="AZ31" i="68"/>
  <c r="AR31" i="68"/>
  <c r="AJ31" i="68"/>
  <c r="AP31" i="68"/>
  <c r="AY31" i="68"/>
  <c r="AO31" i="68"/>
  <c r="AX31" i="68"/>
  <c r="AN31" i="68"/>
  <c r="D31" i="68"/>
  <c r="AW31" i="68"/>
  <c r="AL31" i="68"/>
  <c r="AV31" i="68"/>
  <c r="AK31" i="68"/>
  <c r="AT31" i="68"/>
  <c r="AI31" i="68"/>
  <c r="AS31" i="68"/>
  <c r="AH31" i="68"/>
  <c r="AQ31" i="68"/>
  <c r="AG31" i="68"/>
  <c r="BB30" i="65"/>
  <c r="BA30" i="65"/>
  <c r="N30" i="65" s="1"/>
  <c r="A33" i="65"/>
  <c r="M27" i="23" s="1"/>
  <c r="P27" i="24" s="1"/>
  <c r="B32" i="65"/>
  <c r="N26" i="23" s="1"/>
  <c r="Q26" i="24" s="1"/>
  <c r="AU31" i="65"/>
  <c r="AM31" i="65"/>
  <c r="AZ31" i="65"/>
  <c r="AR31" i="65"/>
  <c r="AJ31" i="65"/>
  <c r="AP31" i="65"/>
  <c r="AY31" i="65"/>
  <c r="AO31" i="65"/>
  <c r="AV31" i="65"/>
  <c r="AH31" i="65"/>
  <c r="AT31" i="65"/>
  <c r="AG31" i="65"/>
  <c r="AS31" i="65"/>
  <c r="D31" i="65"/>
  <c r="P25" i="23" s="1"/>
  <c r="T25" i="24" s="1"/>
  <c r="AQ31" i="65"/>
  <c r="AL31" i="65"/>
  <c r="AX31" i="65"/>
  <c r="AK31" i="65"/>
  <c r="AW31" i="65"/>
  <c r="AI31" i="65"/>
  <c r="AN31" i="65"/>
  <c r="CA30" i="64"/>
  <c r="O30" i="64" s="1"/>
  <c r="AV31" i="64"/>
  <c r="AN31" i="64"/>
  <c r="AU31" i="64"/>
  <c r="AM31" i="64"/>
  <c r="AT31" i="64"/>
  <c r="AL31" i="64"/>
  <c r="AP31" i="64"/>
  <c r="AZ31" i="64"/>
  <c r="AO31" i="64"/>
  <c r="AY31" i="64"/>
  <c r="AK31" i="64"/>
  <c r="AX31" i="64"/>
  <c r="AJ31" i="64"/>
  <c r="AW31" i="64"/>
  <c r="AI31" i="64"/>
  <c r="AS31" i="64"/>
  <c r="AH31" i="64"/>
  <c r="AR31" i="64"/>
  <c r="AG31" i="64"/>
  <c r="AQ31" i="64"/>
  <c r="D31" i="64"/>
  <c r="L25" i="23" s="1"/>
  <c r="O25" i="24" s="1"/>
  <c r="B32" i="64"/>
  <c r="J26" i="23" s="1"/>
  <c r="L26" i="24" s="1"/>
  <c r="A33" i="64"/>
  <c r="I27" i="23" s="1"/>
  <c r="K27" i="24" s="1"/>
  <c r="BB30" i="64"/>
  <c r="BA30" i="64"/>
  <c r="N30" i="64" s="1"/>
  <c r="AY31" i="63"/>
  <c r="AQ31" i="63"/>
  <c r="AI31" i="63"/>
  <c r="AX31" i="63"/>
  <c r="AP31" i="63"/>
  <c r="AH31" i="63"/>
  <c r="AV31" i="63"/>
  <c r="AN31" i="63"/>
  <c r="AT31" i="63"/>
  <c r="AG31" i="63"/>
  <c r="AS31" i="63"/>
  <c r="AR31" i="63"/>
  <c r="AO31" i="63"/>
  <c r="D31" i="63"/>
  <c r="H25" i="23" s="1"/>
  <c r="J25" i="24" s="1"/>
  <c r="AM31" i="63"/>
  <c r="AZ31" i="63"/>
  <c r="AW31" i="63"/>
  <c r="AU31" i="63"/>
  <c r="AL31" i="63"/>
  <c r="AK31" i="63"/>
  <c r="AJ31" i="63"/>
  <c r="BB30" i="63"/>
  <c r="BA30" i="63"/>
  <c r="N30" i="63" s="1"/>
  <c r="B32" i="63"/>
  <c r="F26" i="23" s="1"/>
  <c r="G26" i="24" s="1"/>
  <c r="A33" i="63"/>
  <c r="E27" i="23" s="1"/>
  <c r="F27" i="24" s="1"/>
  <c r="FL29" i="72" l="1"/>
  <c r="FL40" i="72" s="1"/>
  <c r="FJ29" i="72"/>
  <c r="FJ40" i="72" s="1"/>
  <c r="Y39" i="72"/>
  <c r="DU40" i="68"/>
  <c r="P63" i="68" s="1"/>
  <c r="FJ29" i="68"/>
  <c r="FL29" i="68"/>
  <c r="AB25" i="23"/>
  <c r="E25" i="25" s="1"/>
  <c r="Z26" i="23"/>
  <c r="B26" i="25" s="1"/>
  <c r="CL32" i="68"/>
  <c r="CG32" i="68"/>
  <c r="CP32" i="68"/>
  <c r="CH32" i="68"/>
  <c r="CQ32" i="68"/>
  <c r="CI32" i="68"/>
  <c r="CR32" i="68"/>
  <c r="CJ32" i="68"/>
  <c r="CS32" i="68"/>
  <c r="CK32" i="68"/>
  <c r="CT32" i="68"/>
  <c r="CM32" i="68"/>
  <c r="CU32" i="68"/>
  <c r="CE32" i="68"/>
  <c r="CN32" i="68"/>
  <c r="CV32" i="68"/>
  <c r="CF32" i="68"/>
  <c r="CO32" i="68"/>
  <c r="CW32" i="68"/>
  <c r="BP32" i="68"/>
  <c r="BX32" i="68"/>
  <c r="BH32" i="68"/>
  <c r="BQ32" i="68"/>
  <c r="BY32" i="68"/>
  <c r="BI32" i="68"/>
  <c r="BR32" i="68"/>
  <c r="BZ32" i="68"/>
  <c r="BJ32" i="68"/>
  <c r="BS32" i="68"/>
  <c r="BK32" i="68"/>
  <c r="BT32" i="68"/>
  <c r="BM32" i="68"/>
  <c r="BU32" i="68"/>
  <c r="BN32" i="68"/>
  <c r="BV32" i="68"/>
  <c r="BO32" i="68"/>
  <c r="BW32" i="68"/>
  <c r="BL32" i="68"/>
  <c r="CD32" i="68"/>
  <c r="BG32" i="68"/>
  <c r="CX31" i="68"/>
  <c r="FJ30" i="68"/>
  <c r="FL30" i="68"/>
  <c r="Y38" i="68"/>
  <c r="CA30" i="70"/>
  <c r="O30" i="70" s="1"/>
  <c r="AJ24" i="23"/>
  <c r="O24" i="25"/>
  <c r="AG26" i="23"/>
  <c r="K26" i="25" s="1"/>
  <c r="A33" i="70"/>
  <c r="B32" i="70"/>
  <c r="AH25" i="23"/>
  <c r="L25" i="25" s="1"/>
  <c r="AG31" i="70"/>
  <c r="AY31" i="70"/>
  <c r="AO31" i="70"/>
  <c r="AW31" i="70"/>
  <c r="AS31" i="70"/>
  <c r="AL31" i="70"/>
  <c r="AU31" i="70"/>
  <c r="AZ31" i="70"/>
  <c r="AH31" i="70"/>
  <c r="AT31" i="70"/>
  <c r="AM31" i="70"/>
  <c r="AR31" i="70"/>
  <c r="AP31" i="70"/>
  <c r="AX31" i="70"/>
  <c r="AI31" i="70"/>
  <c r="AJ31" i="70"/>
  <c r="AN31" i="70"/>
  <c r="D31" i="70"/>
  <c r="AV31" i="70"/>
  <c r="AQ31" i="70"/>
  <c r="AK31" i="70"/>
  <c r="BB30" i="70"/>
  <c r="BA30" i="70"/>
  <c r="N30" i="70" s="1"/>
  <c r="AF25" i="23"/>
  <c r="J25" i="25"/>
  <c r="T25" i="25"/>
  <c r="AN25" i="23"/>
  <c r="AD25" i="25"/>
  <c r="AV25" i="23"/>
  <c r="V25" i="23"/>
  <c r="AA25" i="24" s="1"/>
  <c r="AW31" i="67"/>
  <c r="AJ31" i="67"/>
  <c r="AO31" i="67"/>
  <c r="AT31" i="67"/>
  <c r="AG31" i="67"/>
  <c r="AL31" i="67"/>
  <c r="AX31" i="67"/>
  <c r="AU31" i="67"/>
  <c r="AS31" i="67"/>
  <c r="AP31" i="67"/>
  <c r="AM31" i="67"/>
  <c r="AK31" i="67"/>
  <c r="AY31" i="67"/>
  <c r="AH31" i="67"/>
  <c r="D31" i="67"/>
  <c r="X25" i="23" s="1"/>
  <c r="AD25" i="24" s="1"/>
  <c r="AQ31" i="67"/>
  <c r="AV31" i="67"/>
  <c r="AZ31" i="67"/>
  <c r="AI31" i="67"/>
  <c r="AN31" i="67"/>
  <c r="AR31" i="67"/>
  <c r="CA30" i="67"/>
  <c r="O30" i="67" s="1"/>
  <c r="U26" i="23"/>
  <c r="Z26" i="24" s="1"/>
  <c r="B32" i="67"/>
  <c r="A33" i="67"/>
  <c r="Y24" i="25"/>
  <c r="AR24" i="23"/>
  <c r="BB30" i="67"/>
  <c r="BA30" i="67"/>
  <c r="N30" i="67" s="1"/>
  <c r="CA30" i="66"/>
  <c r="O30" i="66" s="1"/>
  <c r="R25" i="23"/>
  <c r="V25" i="24" s="1"/>
  <c r="AK31" i="66"/>
  <c r="AR31" i="66"/>
  <c r="AM31" i="66"/>
  <c r="AH31" i="66"/>
  <c r="AI31" i="66"/>
  <c r="D31" i="66"/>
  <c r="T25" i="23" s="1"/>
  <c r="Y25" i="24" s="1"/>
  <c r="AJ31" i="66"/>
  <c r="AQ31" i="66"/>
  <c r="AT31" i="66"/>
  <c r="AL31" i="66"/>
  <c r="AY31" i="66"/>
  <c r="AW31" i="66"/>
  <c r="AU31" i="66"/>
  <c r="AN31" i="66"/>
  <c r="AP31" i="66"/>
  <c r="AG31" i="66"/>
  <c r="AV31" i="66"/>
  <c r="AS31" i="66"/>
  <c r="AZ31" i="66"/>
  <c r="AX31" i="66"/>
  <c r="AO31" i="66"/>
  <c r="Q26" i="23"/>
  <c r="U26" i="24" s="1"/>
  <c r="B32" i="66"/>
  <c r="A33" i="66"/>
  <c r="BA30" i="66"/>
  <c r="N30" i="66" s="1"/>
  <c r="Y29" i="66" s="1"/>
  <c r="BB30" i="66"/>
  <c r="P31" i="73"/>
  <c r="Q30" i="73"/>
  <c r="AU32" i="73"/>
  <c r="AM32" i="73"/>
  <c r="AT32" i="73"/>
  <c r="AL32" i="73"/>
  <c r="AZ32" i="73"/>
  <c r="AR32" i="73"/>
  <c r="AJ32" i="73"/>
  <c r="AY32" i="73"/>
  <c r="AN32" i="73"/>
  <c r="AX32" i="73"/>
  <c r="AK32" i="73"/>
  <c r="AV32" i="73"/>
  <c r="AH32" i="73"/>
  <c r="AQ32" i="73"/>
  <c r="AO32" i="73"/>
  <c r="D32" i="73"/>
  <c r="AW32" i="73"/>
  <c r="AS32" i="73"/>
  <c r="AP32" i="73"/>
  <c r="AI32" i="73"/>
  <c r="AG32" i="73"/>
  <c r="CA31" i="73"/>
  <c r="O31" i="73" s="1"/>
  <c r="A34" i="73"/>
  <c r="AS28" i="23" s="1"/>
  <c r="Z28" i="25" s="1"/>
  <c r="B33" i="73"/>
  <c r="AT27" i="23" s="1"/>
  <c r="AA27" i="25" s="1"/>
  <c r="BB31" i="73"/>
  <c r="BA31" i="73"/>
  <c r="N31" i="73" s="1"/>
  <c r="A33" i="72"/>
  <c r="AO27" i="23" s="1"/>
  <c r="U27" i="25" s="1"/>
  <c r="B32" i="72"/>
  <c r="AP26" i="23" s="1"/>
  <c r="V26" i="25" s="1"/>
  <c r="AU31" i="72"/>
  <c r="AM31" i="72"/>
  <c r="AT31" i="72"/>
  <c r="AL31" i="72"/>
  <c r="AZ31" i="72"/>
  <c r="AR31" i="72"/>
  <c r="AJ31" i="72"/>
  <c r="AO31" i="72"/>
  <c r="D31" i="72"/>
  <c r="AX31" i="72"/>
  <c r="AK31" i="72"/>
  <c r="AW31" i="72"/>
  <c r="AI31" i="72"/>
  <c r="AV31" i="72"/>
  <c r="AH31" i="72"/>
  <c r="AS31" i="72"/>
  <c r="AG31" i="72"/>
  <c r="AY31" i="72"/>
  <c r="AQ31" i="72"/>
  <c r="AP31" i="72"/>
  <c r="AN31" i="72"/>
  <c r="BB30" i="72"/>
  <c r="BA30" i="72"/>
  <c r="N30" i="72" s="1"/>
  <c r="A34" i="71"/>
  <c r="AK28" i="23" s="1"/>
  <c r="P28" i="25" s="1"/>
  <c r="B33" i="71"/>
  <c r="AL27" i="23" s="1"/>
  <c r="Q27" i="25" s="1"/>
  <c r="AU32" i="71"/>
  <c r="AM32" i="71"/>
  <c r="AT32" i="71"/>
  <c r="AL32" i="71"/>
  <c r="AZ32" i="71"/>
  <c r="AR32" i="71"/>
  <c r="AJ32" i="71"/>
  <c r="AY32" i="71"/>
  <c r="AN32" i="71"/>
  <c r="AX32" i="71"/>
  <c r="AK32" i="71"/>
  <c r="AW32" i="71"/>
  <c r="AI32" i="71"/>
  <c r="AS32" i="71"/>
  <c r="AG32" i="71"/>
  <c r="AP32" i="71"/>
  <c r="AV32" i="71"/>
  <c r="AQ32" i="71"/>
  <c r="AO32" i="71"/>
  <c r="AH32" i="71"/>
  <c r="D32" i="71"/>
  <c r="BB31" i="71"/>
  <c r="BA31" i="71"/>
  <c r="N31" i="71" s="1"/>
  <c r="BB31" i="69"/>
  <c r="BA31" i="69"/>
  <c r="N31" i="69" s="1"/>
  <c r="A34" i="69"/>
  <c r="AC28" i="23" s="1"/>
  <c r="F28" i="25" s="1"/>
  <c r="B33" i="69"/>
  <c r="AD27" i="23" s="1"/>
  <c r="G27" i="25" s="1"/>
  <c r="AU32" i="69"/>
  <c r="AM32" i="69"/>
  <c r="AZ32" i="69"/>
  <c r="AR32" i="69"/>
  <c r="AJ32" i="69"/>
  <c r="AV32" i="69"/>
  <c r="AK32" i="69"/>
  <c r="AT32" i="69"/>
  <c r="AI32" i="69"/>
  <c r="AQ32" i="69"/>
  <c r="AP32" i="69"/>
  <c r="D32" i="69"/>
  <c r="AO32" i="69"/>
  <c r="AN32" i="69"/>
  <c r="AY32" i="69"/>
  <c r="AL32" i="69"/>
  <c r="AX32" i="69"/>
  <c r="AH32" i="69"/>
  <c r="AW32" i="69"/>
  <c r="AG32" i="69"/>
  <c r="AS32" i="69"/>
  <c r="BB31" i="68"/>
  <c r="BA31" i="68"/>
  <c r="N31" i="68" s="1"/>
  <c r="B33" i="68"/>
  <c r="A34" i="68"/>
  <c r="Y28" i="23" s="1"/>
  <c r="A28" i="25" s="1"/>
  <c r="AX32" i="68"/>
  <c r="AP32" i="68"/>
  <c r="AH32" i="68"/>
  <c r="AW32" i="68"/>
  <c r="AO32" i="68"/>
  <c r="AG32" i="68"/>
  <c r="AU32" i="68"/>
  <c r="AM32" i="68"/>
  <c r="AQ32" i="68"/>
  <c r="AN32" i="68"/>
  <c r="AZ32" i="68"/>
  <c r="AL32" i="68"/>
  <c r="AY32" i="68"/>
  <c r="AK32" i="68"/>
  <c r="AV32" i="68"/>
  <c r="AJ32" i="68"/>
  <c r="AT32" i="68"/>
  <c r="AI32" i="68"/>
  <c r="AS32" i="68"/>
  <c r="AR32" i="68"/>
  <c r="D32" i="68"/>
  <c r="AX32" i="65"/>
  <c r="AP32" i="65"/>
  <c r="AH32" i="65"/>
  <c r="AW32" i="65"/>
  <c r="AO32" i="65"/>
  <c r="AG32" i="65"/>
  <c r="AU32" i="65"/>
  <c r="AM32" i="65"/>
  <c r="AY32" i="65"/>
  <c r="AK32" i="65"/>
  <c r="AV32" i="65"/>
  <c r="AJ32" i="65"/>
  <c r="AI32" i="65"/>
  <c r="AZ32" i="65"/>
  <c r="AT32" i="65"/>
  <c r="D32" i="65"/>
  <c r="P26" i="23" s="1"/>
  <c r="T26" i="24" s="1"/>
  <c r="AS32" i="65"/>
  <c r="AR32" i="65"/>
  <c r="AQ32" i="65"/>
  <c r="AN32" i="65"/>
  <c r="AL32" i="65"/>
  <c r="BB31" i="65"/>
  <c r="BA31" i="65"/>
  <c r="N31" i="65" s="1"/>
  <c r="B33" i="65"/>
  <c r="N27" i="23" s="1"/>
  <c r="Q27" i="24" s="1"/>
  <c r="A34" i="65"/>
  <c r="M28" i="23" s="1"/>
  <c r="P28" i="24" s="1"/>
  <c r="CA31" i="64"/>
  <c r="O31" i="64" s="1"/>
  <c r="BB31" i="64"/>
  <c r="BA31" i="64"/>
  <c r="N31" i="64" s="1"/>
  <c r="AU32" i="64"/>
  <c r="AM32" i="64"/>
  <c r="AV32" i="64"/>
  <c r="AL32" i="64"/>
  <c r="D32" i="64"/>
  <c r="L26" i="23" s="1"/>
  <c r="O26" i="24" s="1"/>
  <c r="AT32" i="64"/>
  <c r="AK32" i="64"/>
  <c r="AS32" i="64"/>
  <c r="AJ32" i="64"/>
  <c r="AZ32" i="64"/>
  <c r="AQ32" i="64"/>
  <c r="AH32" i="64"/>
  <c r="AP32" i="64"/>
  <c r="AO32" i="64"/>
  <c r="AN32" i="64"/>
  <c r="AI32" i="64"/>
  <c r="AY32" i="64"/>
  <c r="AG32" i="64"/>
  <c r="AX32" i="64"/>
  <c r="AW32" i="64"/>
  <c r="AR32" i="64"/>
  <c r="A34" i="64"/>
  <c r="I28" i="23" s="1"/>
  <c r="K28" i="24" s="1"/>
  <c r="B33" i="64"/>
  <c r="J27" i="23" s="1"/>
  <c r="L27" i="24" s="1"/>
  <c r="A34" i="63"/>
  <c r="E28" i="23" s="1"/>
  <c r="F28" i="24" s="1"/>
  <c r="B33" i="63"/>
  <c r="F27" i="23" s="1"/>
  <c r="G27" i="24" s="1"/>
  <c r="AU32" i="63"/>
  <c r="AM32" i="63"/>
  <c r="AZ32" i="63"/>
  <c r="AR32" i="63"/>
  <c r="AJ32" i="63"/>
  <c r="AV32" i="63"/>
  <c r="AK32" i="63"/>
  <c r="AT32" i="63"/>
  <c r="AI32" i="63"/>
  <c r="AQ32" i="63"/>
  <c r="AG32" i="63"/>
  <c r="AY32" i="63"/>
  <c r="AH32" i="63"/>
  <c r="AX32" i="63"/>
  <c r="AW32" i="63"/>
  <c r="D32" i="63"/>
  <c r="H26" i="23" s="1"/>
  <c r="J26" i="24" s="1"/>
  <c r="AS32" i="63"/>
  <c r="AP32" i="63"/>
  <c r="AO32" i="63"/>
  <c r="AN32" i="63"/>
  <c r="AL32" i="63"/>
  <c r="BB31" i="63"/>
  <c r="BA31" i="63"/>
  <c r="N31" i="63" s="1"/>
  <c r="FL29" i="66" l="1"/>
  <c r="FL40" i="66" s="1"/>
  <c r="FJ29" i="66"/>
  <c r="FJ40" i="66" s="1"/>
  <c r="FJ40" i="68"/>
  <c r="FL40" i="68"/>
  <c r="AB26" i="23"/>
  <c r="E26" i="25" s="1"/>
  <c r="CX32" i="68"/>
  <c r="Z27" i="23"/>
  <c r="B27" i="25" s="1"/>
  <c r="CL33" i="68"/>
  <c r="CD33" i="68"/>
  <c r="CO33" i="68"/>
  <c r="CW33" i="68"/>
  <c r="CF33" i="68"/>
  <c r="CP33" i="68"/>
  <c r="CG33" i="68"/>
  <c r="CQ33" i="68"/>
  <c r="CH33" i="68"/>
  <c r="CR33" i="68"/>
  <c r="CI33" i="68"/>
  <c r="CS33" i="68"/>
  <c r="CK33" i="68"/>
  <c r="CT33" i="68"/>
  <c r="CM33" i="68"/>
  <c r="CU33" i="68"/>
  <c r="CN33" i="68"/>
  <c r="CV33" i="68"/>
  <c r="BN33" i="68"/>
  <c r="BV33" i="68"/>
  <c r="BO33" i="68"/>
  <c r="BW33" i="68"/>
  <c r="BP33" i="68"/>
  <c r="BX33" i="68"/>
  <c r="BG33" i="68"/>
  <c r="BQ33" i="68"/>
  <c r="BY33" i="68"/>
  <c r="BI33" i="68"/>
  <c r="BR33" i="68"/>
  <c r="BZ33" i="68"/>
  <c r="BJ33" i="68"/>
  <c r="BS33" i="68"/>
  <c r="BK33" i="68"/>
  <c r="BT33" i="68"/>
  <c r="BL33" i="68"/>
  <c r="BU33" i="68"/>
  <c r="CE33" i="68"/>
  <c r="BM33" i="68"/>
  <c r="CJ33" i="68"/>
  <c r="BH33" i="68"/>
  <c r="Y40" i="66"/>
  <c r="AH26" i="23"/>
  <c r="L26" i="25" s="1"/>
  <c r="AW32" i="70"/>
  <c r="AK32" i="70"/>
  <c r="AO32" i="70"/>
  <c r="AS32" i="70"/>
  <c r="AG32" i="70"/>
  <c r="AV32" i="70"/>
  <c r="AX32" i="70"/>
  <c r="AQ32" i="70"/>
  <c r="AZ32" i="70"/>
  <c r="AJ32" i="70"/>
  <c r="AP32" i="70"/>
  <c r="AL32" i="70"/>
  <c r="AH32" i="70"/>
  <c r="AU32" i="70"/>
  <c r="AR32" i="70"/>
  <c r="AT32" i="70"/>
  <c r="AM32" i="70"/>
  <c r="D32" i="70"/>
  <c r="AI32" i="70"/>
  <c r="AN32" i="70"/>
  <c r="AY32" i="70"/>
  <c r="AG27" i="23"/>
  <c r="K27" i="25" s="1"/>
  <c r="B33" i="70"/>
  <c r="A34" i="70"/>
  <c r="CA31" i="70"/>
  <c r="O31" i="70" s="1"/>
  <c r="BB31" i="70"/>
  <c r="BA31" i="70"/>
  <c r="N31" i="70" s="1"/>
  <c r="O25" i="25"/>
  <c r="AJ25" i="23"/>
  <c r="AD26" i="25"/>
  <c r="AV26" i="23"/>
  <c r="Y25" i="25"/>
  <c r="AR25" i="23"/>
  <c r="T26" i="25"/>
  <c r="AN26" i="23"/>
  <c r="U27" i="23"/>
  <c r="Z27" i="24" s="1"/>
  <c r="A34" i="67"/>
  <c r="B33" i="67"/>
  <c r="V26" i="23"/>
  <c r="AA26" i="24" s="1"/>
  <c r="AQ32" i="67"/>
  <c r="AX32" i="67"/>
  <c r="D32" i="67"/>
  <c r="X26" i="23" s="1"/>
  <c r="AD26" i="24" s="1"/>
  <c r="AU32" i="67"/>
  <c r="AW32" i="67"/>
  <c r="AG32" i="67"/>
  <c r="AN32" i="67"/>
  <c r="AM32" i="67"/>
  <c r="AL32" i="67"/>
  <c r="AT32" i="67"/>
  <c r="AZ32" i="67"/>
  <c r="AI32" i="67"/>
  <c r="AR32" i="67"/>
  <c r="AP32" i="67"/>
  <c r="AY32" i="67"/>
  <c r="AO32" i="67"/>
  <c r="AJ32" i="67"/>
  <c r="AV32" i="67"/>
  <c r="AS32" i="67"/>
  <c r="AK32" i="67"/>
  <c r="AH32" i="67"/>
  <c r="J26" i="25"/>
  <c r="AF26" i="23"/>
  <c r="BB31" i="67"/>
  <c r="BA31" i="67"/>
  <c r="N31" i="67" s="1"/>
  <c r="BB31" i="66"/>
  <c r="BA31" i="66"/>
  <c r="N31" i="66" s="1"/>
  <c r="CA31" i="66"/>
  <c r="O31" i="66" s="1"/>
  <c r="Q27" i="23"/>
  <c r="U27" i="24" s="1"/>
  <c r="B33" i="66"/>
  <c r="A34" i="66"/>
  <c r="R26" i="23"/>
  <c r="V26" i="24" s="1"/>
  <c r="AQ32" i="66"/>
  <c r="AY32" i="66"/>
  <c r="AO32" i="66"/>
  <c r="AW32" i="66"/>
  <c r="AV32" i="66"/>
  <c r="AS32" i="66"/>
  <c r="AL32" i="66"/>
  <c r="AP32" i="66"/>
  <c r="AU32" i="66"/>
  <c r="AZ32" i="66"/>
  <c r="AH32" i="66"/>
  <c r="AM32" i="66"/>
  <c r="AR32" i="66"/>
  <c r="AX32" i="66"/>
  <c r="AG32" i="66"/>
  <c r="AT32" i="66"/>
  <c r="AK32" i="66"/>
  <c r="AJ32" i="66"/>
  <c r="AN32" i="66"/>
  <c r="D32" i="66"/>
  <c r="T26" i="23" s="1"/>
  <c r="Y26" i="24" s="1"/>
  <c r="AI32" i="66"/>
  <c r="P32" i="73"/>
  <c r="Q31" i="73"/>
  <c r="AX33" i="73"/>
  <c r="AP33" i="73"/>
  <c r="AH33" i="73"/>
  <c r="AW33" i="73"/>
  <c r="AO33" i="73"/>
  <c r="AG33" i="73"/>
  <c r="AU33" i="73"/>
  <c r="AM33" i="73"/>
  <c r="AY33" i="73"/>
  <c r="AK33" i="73"/>
  <c r="AV33" i="73"/>
  <c r="AJ33" i="73"/>
  <c r="AT33" i="73"/>
  <c r="AI33" i="73"/>
  <c r="AS33" i="73"/>
  <c r="AQ33" i="73"/>
  <c r="AN33" i="73"/>
  <c r="AZ33" i="73"/>
  <c r="AL33" i="73"/>
  <c r="AR33" i="73"/>
  <c r="D33" i="73"/>
  <c r="B34" i="73"/>
  <c r="AT28" i="23" s="1"/>
  <c r="AA28" i="25" s="1"/>
  <c r="A35" i="73"/>
  <c r="AS29" i="23" s="1"/>
  <c r="Z29" i="25" s="1"/>
  <c r="BB32" i="73"/>
  <c r="BA32" i="73"/>
  <c r="N32" i="73" s="1"/>
  <c r="CA32" i="73"/>
  <c r="O32" i="73" s="1"/>
  <c r="AX32" i="72"/>
  <c r="AP32" i="72"/>
  <c r="AH32" i="72"/>
  <c r="AW32" i="72"/>
  <c r="AO32" i="72"/>
  <c r="AG32" i="72"/>
  <c r="AU32" i="72"/>
  <c r="AM32" i="72"/>
  <c r="AZ32" i="72"/>
  <c r="AL32" i="72"/>
  <c r="AV32" i="72"/>
  <c r="AJ32" i="72"/>
  <c r="AT32" i="72"/>
  <c r="AI32" i="72"/>
  <c r="AS32" i="72"/>
  <c r="AR32" i="72"/>
  <c r="D32" i="72"/>
  <c r="AK32" i="72"/>
  <c r="AY32" i="72"/>
  <c r="AQ32" i="72"/>
  <c r="AN32" i="72"/>
  <c r="BB31" i="72"/>
  <c r="BA31" i="72"/>
  <c r="N31" i="72" s="1"/>
  <c r="B33" i="72"/>
  <c r="AP27" i="23" s="1"/>
  <c r="V27" i="25" s="1"/>
  <c r="A34" i="72"/>
  <c r="AO28" i="23" s="1"/>
  <c r="U28" i="25" s="1"/>
  <c r="BB32" i="71"/>
  <c r="BA32" i="71"/>
  <c r="N32" i="71" s="1"/>
  <c r="AX33" i="71"/>
  <c r="AP33" i="71"/>
  <c r="AH33" i="71"/>
  <c r="AW33" i="71"/>
  <c r="AO33" i="71"/>
  <c r="AG33" i="71"/>
  <c r="AU33" i="71"/>
  <c r="AM33" i="71"/>
  <c r="AY33" i="71"/>
  <c r="AK33" i="71"/>
  <c r="AV33" i="71"/>
  <c r="AJ33" i="71"/>
  <c r="AT33" i="71"/>
  <c r="AI33" i="71"/>
  <c r="AR33" i="71"/>
  <c r="D33" i="71"/>
  <c r="AQ33" i="71"/>
  <c r="AN33" i="71"/>
  <c r="AZ33" i="71"/>
  <c r="AS33" i="71"/>
  <c r="AL33" i="71"/>
  <c r="B34" i="71"/>
  <c r="AL28" i="23" s="1"/>
  <c r="Q28" i="25" s="1"/>
  <c r="A35" i="71"/>
  <c r="AK29" i="23" s="1"/>
  <c r="P29" i="25" s="1"/>
  <c r="AX33" i="69"/>
  <c r="AP33" i="69"/>
  <c r="AH33" i="69"/>
  <c r="AW33" i="69"/>
  <c r="AO33" i="69"/>
  <c r="AG33" i="69"/>
  <c r="AU33" i="69"/>
  <c r="AM33" i="69"/>
  <c r="AZ33" i="69"/>
  <c r="AL33" i="69"/>
  <c r="AV33" i="69"/>
  <c r="AJ33" i="69"/>
  <c r="AT33" i="69"/>
  <c r="AI33" i="69"/>
  <c r="AN33" i="69"/>
  <c r="AK33" i="69"/>
  <c r="D33" i="69"/>
  <c r="AY33" i="69"/>
  <c r="AS33" i="69"/>
  <c r="AR33" i="69"/>
  <c r="AQ33" i="69"/>
  <c r="BB32" i="69"/>
  <c r="BA32" i="69"/>
  <c r="N32" i="69" s="1"/>
  <c r="B34" i="69"/>
  <c r="AD28" i="23" s="1"/>
  <c r="G28" i="25" s="1"/>
  <c r="A35" i="69"/>
  <c r="AC29" i="23" s="1"/>
  <c r="F29" i="25" s="1"/>
  <c r="A35" i="68"/>
  <c r="Y29" i="23" s="1"/>
  <c r="A29" i="25" s="1"/>
  <c r="B34" i="68"/>
  <c r="BB32" i="68"/>
  <c r="BA32" i="68"/>
  <c r="N32" i="68" s="1"/>
  <c r="AS33" i="68"/>
  <c r="AK33" i="68"/>
  <c r="D33" i="68"/>
  <c r="AZ33" i="68"/>
  <c r="AR33" i="68"/>
  <c r="AJ33" i="68"/>
  <c r="AX33" i="68"/>
  <c r="AP33" i="68"/>
  <c r="AH33" i="68"/>
  <c r="AV33" i="68"/>
  <c r="AI33" i="68"/>
  <c r="AU33" i="68"/>
  <c r="AG33" i="68"/>
  <c r="AT33" i="68"/>
  <c r="AQ33" i="68"/>
  <c r="AO33" i="68"/>
  <c r="AN33" i="68"/>
  <c r="AY33" i="68"/>
  <c r="AM33" i="68"/>
  <c r="AW33" i="68"/>
  <c r="AL33" i="68"/>
  <c r="BB32" i="65"/>
  <c r="BA32" i="65"/>
  <c r="N32" i="65" s="1"/>
  <c r="A35" i="65"/>
  <c r="M29" i="23" s="1"/>
  <c r="P29" i="24" s="1"/>
  <c r="B34" i="65"/>
  <c r="N28" i="23" s="1"/>
  <c r="Q28" i="24" s="1"/>
  <c r="AS33" i="65"/>
  <c r="AK33" i="65"/>
  <c r="D33" i="65"/>
  <c r="P27" i="23" s="1"/>
  <c r="T27" i="24" s="1"/>
  <c r="AZ33" i="65"/>
  <c r="AR33" i="65"/>
  <c r="AJ33" i="65"/>
  <c r="AX33" i="65"/>
  <c r="AP33" i="65"/>
  <c r="AH33" i="65"/>
  <c r="AQ33" i="65"/>
  <c r="AO33" i="65"/>
  <c r="AW33" i="65"/>
  <c r="AG33" i="65"/>
  <c r="AV33" i="65"/>
  <c r="AU33" i="65"/>
  <c r="AT33" i="65"/>
  <c r="AN33" i="65"/>
  <c r="AM33" i="65"/>
  <c r="AL33" i="65"/>
  <c r="AY33" i="65"/>
  <c r="AI33" i="65"/>
  <c r="A35" i="64"/>
  <c r="I29" i="23" s="1"/>
  <c r="K29" i="24" s="1"/>
  <c r="B34" i="64"/>
  <c r="J28" i="23" s="1"/>
  <c r="L28" i="24" s="1"/>
  <c r="AX33" i="64"/>
  <c r="AP33" i="64"/>
  <c r="AH33" i="64"/>
  <c r="AZ33" i="64"/>
  <c r="AQ33" i="64"/>
  <c r="AG33" i="64"/>
  <c r="AY33" i="64"/>
  <c r="AO33" i="64"/>
  <c r="AW33" i="64"/>
  <c r="AN33" i="64"/>
  <c r="AU33" i="64"/>
  <c r="AL33" i="64"/>
  <c r="D33" i="64"/>
  <c r="L27" i="23" s="1"/>
  <c r="O27" i="24" s="1"/>
  <c r="AI33" i="64"/>
  <c r="AV33" i="64"/>
  <c r="AT33" i="64"/>
  <c r="AS33" i="64"/>
  <c r="AR33" i="64"/>
  <c r="AM33" i="64"/>
  <c r="AK33" i="64"/>
  <c r="AJ33" i="64"/>
  <c r="BB32" i="64"/>
  <c r="BA32" i="64"/>
  <c r="N32" i="64" s="1"/>
  <c r="CA32" i="63"/>
  <c r="O32" i="63" s="1"/>
  <c r="AX33" i="63"/>
  <c r="AP33" i="63"/>
  <c r="AH33" i="63"/>
  <c r="AU33" i="63"/>
  <c r="AM33" i="63"/>
  <c r="AR33" i="63"/>
  <c r="AG33" i="63"/>
  <c r="AQ33" i="63"/>
  <c r="AY33" i="63"/>
  <c r="AN33" i="63"/>
  <c r="D33" i="63"/>
  <c r="H27" i="23" s="1"/>
  <c r="J27" i="24" s="1"/>
  <c r="AL33" i="63"/>
  <c r="AK33" i="63"/>
  <c r="AZ33" i="63"/>
  <c r="AJ33" i="63"/>
  <c r="AW33" i="63"/>
  <c r="AI33" i="63"/>
  <c r="AV33" i="63"/>
  <c r="AT33" i="63"/>
  <c r="AS33" i="63"/>
  <c r="AO33" i="63"/>
  <c r="BB32" i="63"/>
  <c r="BA32" i="63"/>
  <c r="N32" i="63" s="1"/>
  <c r="Y32" i="63" s="1"/>
  <c r="B34" i="63"/>
  <c r="F28" i="23" s="1"/>
  <c r="G28" i="24" s="1"/>
  <c r="A35" i="63"/>
  <c r="E29" i="23" s="1"/>
  <c r="F29" i="24" s="1"/>
  <c r="FL32" i="63" l="1"/>
  <c r="FL40" i="63" s="1"/>
  <c r="FJ32" i="63"/>
  <c r="FJ40" i="63" s="1"/>
  <c r="AB27" i="23"/>
  <c r="E27" i="25" s="1"/>
  <c r="CX33" i="68"/>
  <c r="Z28" i="23"/>
  <c r="B28" i="25" s="1"/>
  <c r="CL34" i="68"/>
  <c r="CN34" i="68"/>
  <c r="CV34" i="68"/>
  <c r="CD34" i="68"/>
  <c r="CO34" i="68"/>
  <c r="CW34" i="68"/>
  <c r="CE34" i="68"/>
  <c r="CP34" i="68"/>
  <c r="CG34" i="68"/>
  <c r="CQ34" i="68"/>
  <c r="CH34" i="68"/>
  <c r="CR34" i="68"/>
  <c r="CI34" i="68"/>
  <c r="CS34" i="68"/>
  <c r="CJ34" i="68"/>
  <c r="CT34" i="68"/>
  <c r="CM34" i="68"/>
  <c r="CU34" i="68"/>
  <c r="BK34" i="68"/>
  <c r="BT34" i="68"/>
  <c r="BL34" i="68"/>
  <c r="BU34" i="68"/>
  <c r="BM34" i="68"/>
  <c r="BV34" i="68"/>
  <c r="BO34" i="68"/>
  <c r="BW34" i="68"/>
  <c r="BP34" i="68"/>
  <c r="BX34" i="68"/>
  <c r="BG34" i="68"/>
  <c r="BQ34" i="68"/>
  <c r="BY34" i="68"/>
  <c r="BH34" i="68"/>
  <c r="BR34" i="68"/>
  <c r="BZ34" i="68"/>
  <c r="BJ34" i="68"/>
  <c r="BS34" i="68"/>
  <c r="BI34" i="68"/>
  <c r="CF34" i="68"/>
  <c r="CK34" i="68"/>
  <c r="BN34" i="68"/>
  <c r="Y39" i="63"/>
  <c r="AH27" i="23"/>
  <c r="L27" i="25" s="1"/>
  <c r="AV33" i="70"/>
  <c r="AX33" i="70"/>
  <c r="AI33" i="70"/>
  <c r="AQ33" i="70"/>
  <c r="AP33" i="70"/>
  <c r="AW33" i="70"/>
  <c r="AS33" i="70"/>
  <c r="AZ33" i="70"/>
  <c r="AH33" i="70"/>
  <c r="AL33" i="70"/>
  <c r="AO33" i="70"/>
  <c r="AK33" i="70"/>
  <c r="AR33" i="70"/>
  <c r="AU33" i="70"/>
  <c r="D33" i="70"/>
  <c r="AJ33" i="70"/>
  <c r="AY33" i="70"/>
  <c r="AG33" i="70"/>
  <c r="AM33" i="70"/>
  <c r="AT33" i="70"/>
  <c r="AN33" i="70"/>
  <c r="AJ26" i="23"/>
  <c r="O26" i="25"/>
  <c r="AG28" i="23"/>
  <c r="K28" i="25" s="1"/>
  <c r="A35" i="70"/>
  <c r="B34" i="70"/>
  <c r="BB32" i="70"/>
  <c r="BA32" i="70"/>
  <c r="N32" i="70" s="1"/>
  <c r="BA32" i="67"/>
  <c r="N32" i="67" s="1"/>
  <c r="BB32" i="67"/>
  <c r="AV27" i="23"/>
  <c r="AD27" i="25"/>
  <c r="AN27" i="23"/>
  <c r="T27" i="25"/>
  <c r="Y26" i="25"/>
  <c r="AR26" i="23"/>
  <c r="V27" i="23"/>
  <c r="AA27" i="24" s="1"/>
  <c r="AP33" i="67"/>
  <c r="AY33" i="67"/>
  <c r="AH33" i="67"/>
  <c r="AU33" i="67"/>
  <c r="AS33" i="67"/>
  <c r="AK33" i="67"/>
  <c r="AM33" i="67"/>
  <c r="AZ33" i="67"/>
  <c r="AQ33" i="67"/>
  <c r="AL33" i="67"/>
  <c r="AW33" i="67"/>
  <c r="AT33" i="67"/>
  <c r="AR33" i="67"/>
  <c r="AN33" i="67"/>
  <c r="AJ33" i="67"/>
  <c r="AO33" i="67"/>
  <c r="AI33" i="67"/>
  <c r="D33" i="67"/>
  <c r="X27" i="23" s="1"/>
  <c r="AD27" i="24" s="1"/>
  <c r="AV33" i="67"/>
  <c r="AX33" i="67"/>
  <c r="AG33" i="67"/>
  <c r="U28" i="23"/>
  <c r="Z28" i="24" s="1"/>
  <c r="B34" i="67"/>
  <c r="A35" i="67"/>
  <c r="J27" i="25"/>
  <c r="AF27" i="23"/>
  <c r="Q28" i="23"/>
  <c r="U28" i="24" s="1"/>
  <c r="B34" i="66"/>
  <c r="A35" i="66"/>
  <c r="CA32" i="66"/>
  <c r="O32" i="66" s="1"/>
  <c r="R27" i="23"/>
  <c r="V27" i="24" s="1"/>
  <c r="AP33" i="66"/>
  <c r="AL33" i="66"/>
  <c r="AR33" i="66"/>
  <c r="D33" i="66"/>
  <c r="T27" i="23" s="1"/>
  <c r="Y27" i="24" s="1"/>
  <c r="AH33" i="66"/>
  <c r="AQ33" i="66"/>
  <c r="AU33" i="66"/>
  <c r="AN33" i="66"/>
  <c r="AJ33" i="66"/>
  <c r="AV33" i="66"/>
  <c r="AM33" i="66"/>
  <c r="AW33" i="66"/>
  <c r="AY33" i="66"/>
  <c r="AT33" i="66"/>
  <c r="AI33" i="66"/>
  <c r="AO33" i="66"/>
  <c r="AS33" i="66"/>
  <c r="AK33" i="66"/>
  <c r="AX33" i="66"/>
  <c r="AG33" i="66"/>
  <c r="AZ33" i="66"/>
  <c r="BB32" i="66"/>
  <c r="BA32" i="66"/>
  <c r="N32" i="66" s="1"/>
  <c r="P33" i="73"/>
  <c r="Q32" i="73"/>
  <c r="CA33" i="73"/>
  <c r="O33" i="73" s="1"/>
  <c r="BB33" i="73"/>
  <c r="BA33" i="73"/>
  <c r="N33" i="73" s="1"/>
  <c r="A36" i="73"/>
  <c r="AS30" i="23" s="1"/>
  <c r="Z30" i="25" s="1"/>
  <c r="B35" i="73"/>
  <c r="AT29" i="23" s="1"/>
  <c r="AA29" i="25" s="1"/>
  <c r="AS34" i="73"/>
  <c r="AK34" i="73"/>
  <c r="D34" i="73"/>
  <c r="AZ34" i="73"/>
  <c r="AR34" i="73"/>
  <c r="AJ34" i="73"/>
  <c r="AX34" i="73"/>
  <c r="AP34" i="73"/>
  <c r="AH34" i="73"/>
  <c r="AQ34" i="73"/>
  <c r="AO34" i="73"/>
  <c r="AN34" i="73"/>
  <c r="AY34" i="73"/>
  <c r="AM34" i="73"/>
  <c r="AV34" i="73"/>
  <c r="AI34" i="73"/>
  <c r="AU34" i="73"/>
  <c r="AG34" i="73"/>
  <c r="AT34" i="73"/>
  <c r="AW34" i="73"/>
  <c r="AL34" i="73"/>
  <c r="A35" i="72"/>
  <c r="AO29" i="23" s="1"/>
  <c r="U29" i="25" s="1"/>
  <c r="B34" i="72"/>
  <c r="AP28" i="23" s="1"/>
  <c r="V28" i="25" s="1"/>
  <c r="BB32" i="72"/>
  <c r="BA32" i="72"/>
  <c r="N32" i="72" s="1"/>
  <c r="AS33" i="72"/>
  <c r="AK33" i="72"/>
  <c r="D33" i="72"/>
  <c r="AZ33" i="72"/>
  <c r="AR33" i="72"/>
  <c r="AJ33" i="72"/>
  <c r="AX33" i="72"/>
  <c r="AP33" i="72"/>
  <c r="AH33" i="72"/>
  <c r="AT33" i="72"/>
  <c r="AO33" i="72"/>
  <c r="AN33" i="72"/>
  <c r="AY33" i="72"/>
  <c r="AM33" i="72"/>
  <c r="AW33" i="72"/>
  <c r="AL33" i="72"/>
  <c r="AV33" i="72"/>
  <c r="AU33" i="72"/>
  <c r="AQ33" i="72"/>
  <c r="AI33" i="72"/>
  <c r="AG33" i="72"/>
  <c r="CA32" i="72"/>
  <c r="O32" i="72" s="1"/>
  <c r="A36" i="71"/>
  <c r="AK30" i="23" s="1"/>
  <c r="P30" i="25" s="1"/>
  <c r="B35" i="71"/>
  <c r="AL29" i="23" s="1"/>
  <c r="Q29" i="25" s="1"/>
  <c r="AS34" i="71"/>
  <c r="AK34" i="71"/>
  <c r="D34" i="71"/>
  <c r="AZ34" i="71"/>
  <c r="AR34" i="71"/>
  <c r="AJ34" i="71"/>
  <c r="AX34" i="71"/>
  <c r="AP34" i="71"/>
  <c r="AH34" i="71"/>
  <c r="AQ34" i="71"/>
  <c r="AO34" i="71"/>
  <c r="AN34" i="71"/>
  <c r="AY34" i="71"/>
  <c r="AM34" i="71"/>
  <c r="AW34" i="71"/>
  <c r="AL34" i="71"/>
  <c r="AV34" i="71"/>
  <c r="AI34" i="71"/>
  <c r="AU34" i="71"/>
  <c r="AG34" i="71"/>
  <c r="AT34" i="71"/>
  <c r="BB33" i="71"/>
  <c r="BA33" i="71"/>
  <c r="N33" i="71" s="1"/>
  <c r="A36" i="69"/>
  <c r="AC30" i="23" s="1"/>
  <c r="F30" i="25" s="1"/>
  <c r="B35" i="69"/>
  <c r="AD29" i="23" s="1"/>
  <c r="G29" i="25" s="1"/>
  <c r="AS34" i="69"/>
  <c r="AK34" i="69"/>
  <c r="D34" i="69"/>
  <c r="AZ34" i="69"/>
  <c r="AR34" i="69"/>
  <c r="AJ34" i="69"/>
  <c r="AX34" i="69"/>
  <c r="AP34" i="69"/>
  <c r="AH34" i="69"/>
  <c r="AT34" i="69"/>
  <c r="AO34" i="69"/>
  <c r="AN34" i="69"/>
  <c r="AY34" i="69"/>
  <c r="AM34" i="69"/>
  <c r="AW34" i="69"/>
  <c r="AL34" i="69"/>
  <c r="AQ34" i="69"/>
  <c r="AI34" i="69"/>
  <c r="AG34" i="69"/>
  <c r="AV34" i="69"/>
  <c r="AU34" i="69"/>
  <c r="BB33" i="69"/>
  <c r="BA33" i="69"/>
  <c r="N33" i="69" s="1"/>
  <c r="CA33" i="69"/>
  <c r="O33" i="69" s="1"/>
  <c r="CA33" i="68"/>
  <c r="O33" i="68" s="1"/>
  <c r="AV34" i="68"/>
  <c r="AN34" i="68"/>
  <c r="AU34" i="68"/>
  <c r="AM34" i="68"/>
  <c r="AS34" i="68"/>
  <c r="AK34" i="68"/>
  <c r="D34" i="68"/>
  <c r="AT34" i="68"/>
  <c r="AH34" i="68"/>
  <c r="AR34" i="68"/>
  <c r="AG34" i="68"/>
  <c r="AQ34" i="68"/>
  <c r="AP34" i="68"/>
  <c r="AZ34" i="68"/>
  <c r="AO34" i="68"/>
  <c r="AY34" i="68"/>
  <c r="AL34" i="68"/>
  <c r="AX34" i="68"/>
  <c r="AJ34" i="68"/>
  <c r="AW34" i="68"/>
  <c r="AI34" i="68"/>
  <c r="BB33" i="68"/>
  <c r="BA33" i="68"/>
  <c r="N33" i="68" s="1"/>
  <c r="A36" i="68"/>
  <c r="B35" i="68"/>
  <c r="BB33" i="65"/>
  <c r="BA33" i="65"/>
  <c r="N33" i="65" s="1"/>
  <c r="AV34" i="65"/>
  <c r="AN34" i="65"/>
  <c r="AU34" i="65"/>
  <c r="AM34" i="65"/>
  <c r="AS34" i="65"/>
  <c r="AK34" i="65"/>
  <c r="D34" i="65"/>
  <c r="P28" i="23" s="1"/>
  <c r="T28" i="24" s="1"/>
  <c r="AP34" i="65"/>
  <c r="AZ34" i="65"/>
  <c r="AO34" i="65"/>
  <c r="AT34" i="65"/>
  <c r="AY34" i="65"/>
  <c r="AH34" i="65"/>
  <c r="AX34" i="65"/>
  <c r="AG34" i="65"/>
  <c r="AW34" i="65"/>
  <c r="AR34" i="65"/>
  <c r="AQ34" i="65"/>
  <c r="AL34" i="65"/>
  <c r="AJ34" i="65"/>
  <c r="AI34" i="65"/>
  <c r="A36" i="65"/>
  <c r="M30" i="23" s="1"/>
  <c r="P30" i="24" s="1"/>
  <c r="B35" i="65"/>
  <c r="N29" i="23" s="1"/>
  <c r="Q29" i="24" s="1"/>
  <c r="BB33" i="64"/>
  <c r="BA33" i="64"/>
  <c r="N33" i="64" s="1"/>
  <c r="AS34" i="64"/>
  <c r="AK34" i="64"/>
  <c r="D34" i="64"/>
  <c r="L28" i="23" s="1"/>
  <c r="O28" i="24" s="1"/>
  <c r="AX34" i="64"/>
  <c r="AP34" i="64"/>
  <c r="AH34" i="64"/>
  <c r="AZ34" i="64"/>
  <c r="AO34" i="64"/>
  <c r="AY34" i="64"/>
  <c r="AN34" i="64"/>
  <c r="AW34" i="64"/>
  <c r="AM34" i="64"/>
  <c r="AV34" i="64"/>
  <c r="AL34" i="64"/>
  <c r="AT34" i="64"/>
  <c r="AI34" i="64"/>
  <c r="AR34" i="64"/>
  <c r="AG34" i="64"/>
  <c r="AQ34" i="64"/>
  <c r="AU34" i="64"/>
  <c r="AJ34" i="64"/>
  <c r="A36" i="64"/>
  <c r="I30" i="23" s="1"/>
  <c r="K30" i="24" s="1"/>
  <c r="B35" i="64"/>
  <c r="J29" i="23" s="1"/>
  <c r="L29" i="24" s="1"/>
  <c r="A36" i="63"/>
  <c r="E30" i="23" s="1"/>
  <c r="F30" i="24" s="1"/>
  <c r="B35" i="63"/>
  <c r="F29" i="23" s="1"/>
  <c r="G29" i="24" s="1"/>
  <c r="AS34" i="63"/>
  <c r="AK34" i="63"/>
  <c r="D34" i="63"/>
  <c r="H28" i="23" s="1"/>
  <c r="J28" i="24" s="1"/>
  <c r="AZ34" i="63"/>
  <c r="AR34" i="63"/>
  <c r="AJ34" i="63"/>
  <c r="AX34" i="63"/>
  <c r="AP34" i="63"/>
  <c r="AH34" i="63"/>
  <c r="AN34" i="63"/>
  <c r="AY34" i="63"/>
  <c r="AM34" i="63"/>
  <c r="AV34" i="63"/>
  <c r="AI34" i="63"/>
  <c r="AT34" i="63"/>
  <c r="AQ34" i="63"/>
  <c r="AO34" i="63"/>
  <c r="AL34" i="63"/>
  <c r="AG34" i="63"/>
  <c r="AW34" i="63"/>
  <c r="AU34" i="63"/>
  <c r="CA33" i="63"/>
  <c r="O33" i="63" s="1"/>
  <c r="BB33" i="63"/>
  <c r="BA33" i="63"/>
  <c r="N33" i="63" s="1"/>
  <c r="AB28" i="23" l="1"/>
  <c r="E28" i="25" s="1"/>
  <c r="CX34" i="68"/>
  <c r="Z29" i="23"/>
  <c r="B29" i="25" s="1"/>
  <c r="CK35" i="68"/>
  <c r="CT35" i="68"/>
  <c r="CM35" i="68"/>
  <c r="CU35" i="68"/>
  <c r="CD35" i="68"/>
  <c r="CN35" i="68"/>
  <c r="CV35" i="68"/>
  <c r="CE35" i="68"/>
  <c r="CO35" i="68"/>
  <c r="CW35" i="68"/>
  <c r="CF35" i="68"/>
  <c r="CP35" i="68"/>
  <c r="CH35" i="68"/>
  <c r="CQ35" i="68"/>
  <c r="CI35" i="68"/>
  <c r="CR35" i="68"/>
  <c r="CJ35" i="68"/>
  <c r="CS35" i="68"/>
  <c r="BH35" i="68"/>
  <c r="BR35" i="68"/>
  <c r="BZ35" i="68"/>
  <c r="BI35" i="68"/>
  <c r="BS35" i="68"/>
  <c r="BK35" i="68"/>
  <c r="BT35" i="68"/>
  <c r="BL35" i="68"/>
  <c r="BU35" i="68"/>
  <c r="BM35" i="68"/>
  <c r="BV35" i="68"/>
  <c r="BN35" i="68"/>
  <c r="BW35" i="68"/>
  <c r="BP35" i="68"/>
  <c r="BX35" i="68"/>
  <c r="BG35" i="68"/>
  <c r="BQ35" i="68"/>
  <c r="BY35" i="68"/>
  <c r="BO35" i="68"/>
  <c r="CG35" i="68"/>
  <c r="CL35" i="68"/>
  <c r="BJ35" i="68"/>
  <c r="AH37" i="68"/>
  <c r="AP37" i="68"/>
  <c r="AX37" i="68"/>
  <c r="AY37" i="68"/>
  <c r="AK37" i="68"/>
  <c r="AU37" i="68"/>
  <c r="AV37" i="68"/>
  <c r="AG37" i="68"/>
  <c r="EF37" i="68" s="1"/>
  <c r="AI37" i="68"/>
  <c r="AQ37" i="68"/>
  <c r="AS37" i="68"/>
  <c r="AO37" i="68"/>
  <c r="D37" i="68"/>
  <c r="EJ37" i="68" s="1"/>
  <c r="AJ37" i="68"/>
  <c r="AR37" i="68"/>
  <c r="AZ37" i="68"/>
  <c r="AM37" i="68"/>
  <c r="AW37" i="68"/>
  <c r="AL37" i="68"/>
  <c r="AT37" i="68"/>
  <c r="AN37" i="68"/>
  <c r="O27" i="25"/>
  <c r="AJ27" i="23"/>
  <c r="AH28" i="23"/>
  <c r="L28" i="25" s="1"/>
  <c r="AN34" i="70"/>
  <c r="AS34" i="70"/>
  <c r="AJ34" i="70"/>
  <c r="AH34" i="70"/>
  <c r="AK34" i="70"/>
  <c r="AP34" i="70"/>
  <c r="AU34" i="70"/>
  <c r="D34" i="70"/>
  <c r="AR34" i="70"/>
  <c r="AY34" i="70"/>
  <c r="AM34" i="70"/>
  <c r="AW34" i="70"/>
  <c r="AG34" i="70"/>
  <c r="AL34" i="70"/>
  <c r="AI34" i="70"/>
  <c r="AZ34" i="70"/>
  <c r="AQ34" i="70"/>
  <c r="AO34" i="70"/>
  <c r="AV34" i="70"/>
  <c r="AX34" i="70"/>
  <c r="AT34" i="70"/>
  <c r="AG29" i="23"/>
  <c r="K29" i="25" s="1"/>
  <c r="A36" i="70"/>
  <c r="B35" i="70"/>
  <c r="BB33" i="70"/>
  <c r="BA33" i="70"/>
  <c r="N33" i="70" s="1"/>
  <c r="Y30" i="23"/>
  <c r="A30" i="25" s="1"/>
  <c r="AV28" i="23"/>
  <c r="AD28" i="25"/>
  <c r="U29" i="23"/>
  <c r="Z29" i="24" s="1"/>
  <c r="A36" i="67"/>
  <c r="B35" i="67"/>
  <c r="V28" i="23"/>
  <c r="AA28" i="24" s="1"/>
  <c r="AJ34" i="67"/>
  <c r="AW34" i="67"/>
  <c r="AO34" i="67"/>
  <c r="AN34" i="67"/>
  <c r="AL34" i="67"/>
  <c r="AU34" i="67"/>
  <c r="AQ34" i="67"/>
  <c r="AG34" i="67"/>
  <c r="AS34" i="67"/>
  <c r="AX34" i="67"/>
  <c r="AY34" i="67"/>
  <c r="AV34" i="67"/>
  <c r="AT34" i="67"/>
  <c r="AK34" i="67"/>
  <c r="AZ34" i="67"/>
  <c r="AP34" i="67"/>
  <c r="AM34" i="67"/>
  <c r="AI34" i="67"/>
  <c r="D34" i="67"/>
  <c r="X28" i="23" s="1"/>
  <c r="AD28" i="24" s="1"/>
  <c r="AR34" i="67"/>
  <c r="AH34" i="67"/>
  <c r="J28" i="25"/>
  <c r="AF28" i="23"/>
  <c r="BB33" i="67"/>
  <c r="BA33" i="67"/>
  <c r="N33" i="67" s="1"/>
  <c r="Y27" i="25"/>
  <c r="AR27" i="23"/>
  <c r="T28" i="25"/>
  <c r="AN28" i="23"/>
  <c r="BB33" i="66"/>
  <c r="BA33" i="66"/>
  <c r="N33" i="66" s="1"/>
  <c r="CA33" i="66"/>
  <c r="O33" i="66" s="1"/>
  <c r="Q29" i="23"/>
  <c r="U29" i="24" s="1"/>
  <c r="A36" i="66"/>
  <c r="B35" i="66"/>
  <c r="R28" i="23"/>
  <c r="V28" i="24" s="1"/>
  <c r="AN34" i="66"/>
  <c r="AL34" i="66"/>
  <c r="AY34" i="66"/>
  <c r="AT34" i="66"/>
  <c r="AM34" i="66"/>
  <c r="AW34" i="66"/>
  <c r="AV34" i="66"/>
  <c r="AS34" i="66"/>
  <c r="AX34" i="66"/>
  <c r="AQ34" i="66"/>
  <c r="AK34" i="66"/>
  <c r="AZ34" i="66"/>
  <c r="AP34" i="66"/>
  <c r="AI34" i="66"/>
  <c r="D34" i="66"/>
  <c r="T28" i="23" s="1"/>
  <c r="Y28" i="24" s="1"/>
  <c r="AR34" i="66"/>
  <c r="AH34" i="66"/>
  <c r="AU34" i="66"/>
  <c r="AO34" i="66"/>
  <c r="AG34" i="66"/>
  <c r="AJ34" i="66"/>
  <c r="AP35" i="68"/>
  <c r="AX35" i="68"/>
  <c r="AW35" i="68"/>
  <c r="AI35" i="68"/>
  <c r="AQ35" i="68"/>
  <c r="AY35" i="68"/>
  <c r="AT35" i="68"/>
  <c r="AJ35" i="68"/>
  <c r="AR35" i="68"/>
  <c r="AZ35" i="68"/>
  <c r="AK35" i="68"/>
  <c r="AS35" i="68"/>
  <c r="AL35" i="68"/>
  <c r="AM35" i="68"/>
  <c r="AV35" i="68"/>
  <c r="AO35" i="68"/>
  <c r="AU35" i="68"/>
  <c r="AN35" i="68"/>
  <c r="P34" i="73"/>
  <c r="Q33" i="73"/>
  <c r="BB34" i="73"/>
  <c r="BA34" i="73"/>
  <c r="N34" i="73" s="1"/>
  <c r="AV35" i="73"/>
  <c r="AN35" i="73"/>
  <c r="AU35" i="73"/>
  <c r="AM35" i="73"/>
  <c r="AS35" i="73"/>
  <c r="AK35" i="73"/>
  <c r="D35" i="73"/>
  <c r="AP35" i="73"/>
  <c r="AZ35" i="73"/>
  <c r="AO35" i="73"/>
  <c r="AY35" i="73"/>
  <c r="AL35" i="73"/>
  <c r="AX35" i="73"/>
  <c r="AJ35" i="73"/>
  <c r="AT35" i="73"/>
  <c r="AH35" i="73"/>
  <c r="AR35" i="73"/>
  <c r="AG35" i="73"/>
  <c r="AQ35" i="73"/>
  <c r="AW35" i="73"/>
  <c r="AI35" i="73"/>
  <c r="A37" i="73"/>
  <c r="AS31" i="23" s="1"/>
  <c r="Z31" i="25" s="1"/>
  <c r="B36" i="73"/>
  <c r="AT30" i="23" s="1"/>
  <c r="AA30" i="25" s="1"/>
  <c r="CA34" i="73"/>
  <c r="O34" i="73" s="1"/>
  <c r="BB33" i="72"/>
  <c r="BA33" i="72"/>
  <c r="N33" i="72" s="1"/>
  <c r="CA33" i="72"/>
  <c r="O33" i="72" s="1"/>
  <c r="AV34" i="72"/>
  <c r="AN34" i="72"/>
  <c r="AU34" i="72"/>
  <c r="AM34" i="72"/>
  <c r="AS34" i="72"/>
  <c r="AK34" i="72"/>
  <c r="D34" i="72"/>
  <c r="AQ34" i="72"/>
  <c r="AZ34" i="72"/>
  <c r="AO34" i="72"/>
  <c r="AY34" i="72"/>
  <c r="AL34" i="72"/>
  <c r="AX34" i="72"/>
  <c r="AJ34" i="72"/>
  <c r="AW34" i="72"/>
  <c r="AI34" i="72"/>
  <c r="AG34" i="72"/>
  <c r="AT34" i="72"/>
  <c r="AR34" i="72"/>
  <c r="AP34" i="72"/>
  <c r="AH34" i="72"/>
  <c r="A36" i="72"/>
  <c r="AO30" i="23" s="1"/>
  <c r="U30" i="25" s="1"/>
  <c r="B35" i="72"/>
  <c r="AP29" i="23" s="1"/>
  <c r="V29" i="25" s="1"/>
  <c r="BB34" i="71"/>
  <c r="BA34" i="71"/>
  <c r="N34" i="71" s="1"/>
  <c r="AV35" i="71"/>
  <c r="AN35" i="71"/>
  <c r="AU35" i="71"/>
  <c r="AM35" i="71"/>
  <c r="AS35" i="71"/>
  <c r="AK35" i="71"/>
  <c r="D35" i="71"/>
  <c r="AY35" i="71"/>
  <c r="AQ35" i="71"/>
  <c r="AI35" i="71"/>
  <c r="AT35" i="71"/>
  <c r="AR35" i="71"/>
  <c r="AP35" i="71"/>
  <c r="AO35" i="71"/>
  <c r="AL35" i="71"/>
  <c r="AZ35" i="71"/>
  <c r="AJ35" i="71"/>
  <c r="AX35" i="71"/>
  <c r="AH35" i="71"/>
  <c r="AG35" i="71"/>
  <c r="AW35" i="71"/>
  <c r="A37" i="71"/>
  <c r="AK31" i="23" s="1"/>
  <c r="P31" i="25" s="1"/>
  <c r="B36" i="71"/>
  <c r="AL30" i="23" s="1"/>
  <c r="Q30" i="25" s="1"/>
  <c r="BB34" i="69"/>
  <c r="BA34" i="69"/>
  <c r="N34" i="69" s="1"/>
  <c r="CA34" i="69"/>
  <c r="O34" i="69" s="1"/>
  <c r="AV35" i="69"/>
  <c r="AN35" i="69"/>
  <c r="AU35" i="69"/>
  <c r="AM35" i="69"/>
  <c r="AS35" i="69"/>
  <c r="AK35" i="69"/>
  <c r="D35" i="69"/>
  <c r="AQ35" i="69"/>
  <c r="AZ35" i="69"/>
  <c r="AO35" i="69"/>
  <c r="AY35" i="69"/>
  <c r="AL35" i="69"/>
  <c r="AX35" i="69"/>
  <c r="AJ35" i="69"/>
  <c r="AW35" i="69"/>
  <c r="AI35" i="69"/>
  <c r="AT35" i="69"/>
  <c r="AR35" i="69"/>
  <c r="AP35" i="69"/>
  <c r="AH35" i="69"/>
  <c r="AG35" i="69"/>
  <c r="A37" i="69"/>
  <c r="AC31" i="23" s="1"/>
  <c r="F31" i="25" s="1"/>
  <c r="B36" i="69"/>
  <c r="AD30" i="23" s="1"/>
  <c r="G30" i="25" s="1"/>
  <c r="AH35" i="68"/>
  <c r="D35" i="68"/>
  <c r="AG35" i="68"/>
  <c r="B36" i="68"/>
  <c r="CA34" i="68"/>
  <c r="O34" i="68" s="1"/>
  <c r="BB34" i="68"/>
  <c r="BA34" i="68"/>
  <c r="N34" i="68" s="1"/>
  <c r="CA34" i="65"/>
  <c r="O34" i="65" s="1"/>
  <c r="AY35" i="65"/>
  <c r="AQ35" i="65"/>
  <c r="AI35" i="65"/>
  <c r="AX35" i="65"/>
  <c r="AP35" i="65"/>
  <c r="AH35" i="65"/>
  <c r="AV35" i="65"/>
  <c r="AN35" i="65"/>
  <c r="AW35" i="65"/>
  <c r="AK35" i="65"/>
  <c r="AU35" i="65"/>
  <c r="AJ35" i="65"/>
  <c r="AO35" i="65"/>
  <c r="D35" i="65"/>
  <c r="P29" i="23" s="1"/>
  <c r="T29" i="24" s="1"/>
  <c r="AM35" i="65"/>
  <c r="AZ35" i="65"/>
  <c r="AT35" i="65"/>
  <c r="AS35" i="65"/>
  <c r="AR35" i="65"/>
  <c r="AL35" i="65"/>
  <c r="AG35" i="65"/>
  <c r="A37" i="65"/>
  <c r="M31" i="23" s="1"/>
  <c r="P31" i="24" s="1"/>
  <c r="B36" i="65"/>
  <c r="N30" i="23" s="1"/>
  <c r="Q30" i="24" s="1"/>
  <c r="BB34" i="65"/>
  <c r="BA34" i="65"/>
  <c r="N34" i="65" s="1"/>
  <c r="A37" i="64"/>
  <c r="I31" i="23" s="1"/>
  <c r="K31" i="24" s="1"/>
  <c r="B36" i="64"/>
  <c r="J30" i="23" s="1"/>
  <c r="L30" i="24" s="1"/>
  <c r="BB34" i="64"/>
  <c r="BA34" i="64"/>
  <c r="N34" i="64" s="1"/>
  <c r="AV35" i="64"/>
  <c r="AN35" i="64"/>
  <c r="AU35" i="64"/>
  <c r="AS35" i="64"/>
  <c r="AK35" i="64"/>
  <c r="D35" i="64"/>
  <c r="L29" i="23" s="1"/>
  <c r="O29" i="24" s="1"/>
  <c r="AX35" i="64"/>
  <c r="AL35" i="64"/>
  <c r="AW35" i="64"/>
  <c r="AJ35" i="64"/>
  <c r="AT35" i="64"/>
  <c r="AI35" i="64"/>
  <c r="AR35" i="64"/>
  <c r="AH35" i="64"/>
  <c r="AP35" i="64"/>
  <c r="AZ35" i="64"/>
  <c r="AO35" i="64"/>
  <c r="AY35" i="64"/>
  <c r="AM35" i="64"/>
  <c r="AQ35" i="64"/>
  <c r="AG35" i="64"/>
  <c r="BB34" i="63"/>
  <c r="BA34" i="63"/>
  <c r="N34" i="63" s="1"/>
  <c r="AV35" i="63"/>
  <c r="AN35" i="63"/>
  <c r="AU35" i="63"/>
  <c r="AM35" i="63"/>
  <c r="AS35" i="63"/>
  <c r="AK35" i="63"/>
  <c r="D35" i="63"/>
  <c r="H29" i="23" s="1"/>
  <c r="J29" i="24" s="1"/>
  <c r="AY35" i="63"/>
  <c r="AL35" i="63"/>
  <c r="AX35" i="63"/>
  <c r="AJ35" i="63"/>
  <c r="AT35" i="63"/>
  <c r="AH35" i="63"/>
  <c r="AR35" i="63"/>
  <c r="AG35" i="63"/>
  <c r="AP35" i="63"/>
  <c r="AO35" i="63"/>
  <c r="AI35" i="63"/>
  <c r="AZ35" i="63"/>
  <c r="AW35" i="63"/>
  <c r="AQ35" i="63"/>
  <c r="A37" i="63"/>
  <c r="E31" i="23" s="1"/>
  <c r="F31" i="24" s="1"/>
  <c r="B36" i="63"/>
  <c r="F30" i="23" s="1"/>
  <c r="G30" i="24" s="1"/>
  <c r="AB29" i="23" l="1"/>
  <c r="E29" i="25" s="1"/>
  <c r="CL36" i="68"/>
  <c r="CI36" i="68"/>
  <c r="CS36" i="68"/>
  <c r="CJ36" i="68"/>
  <c r="CT36" i="68"/>
  <c r="CK36" i="68"/>
  <c r="CU36" i="68"/>
  <c r="CN36" i="68"/>
  <c r="CV36" i="68"/>
  <c r="CD36" i="68"/>
  <c r="CO36" i="68"/>
  <c r="CW36" i="68"/>
  <c r="CE36" i="68"/>
  <c r="CP36" i="68"/>
  <c r="CF36" i="68"/>
  <c r="CQ36" i="68"/>
  <c r="CG36" i="68"/>
  <c r="CR36" i="68"/>
  <c r="BO36" i="68"/>
  <c r="BX36" i="68"/>
  <c r="BG36" i="68"/>
  <c r="BQ36" i="68"/>
  <c r="BY36" i="68"/>
  <c r="BH36" i="68"/>
  <c r="BR36" i="68"/>
  <c r="BZ36" i="68"/>
  <c r="BI36" i="68"/>
  <c r="BS36" i="68"/>
  <c r="BJ36" i="68"/>
  <c r="BT36" i="68"/>
  <c r="BL36" i="68"/>
  <c r="BU36" i="68"/>
  <c r="BM36" i="68"/>
  <c r="BV36" i="68"/>
  <c r="BN36" i="68"/>
  <c r="BW36" i="68"/>
  <c r="BP36" i="68"/>
  <c r="CH36" i="68"/>
  <c r="CM36" i="68"/>
  <c r="BK36" i="68"/>
  <c r="CX35" i="68"/>
  <c r="Z30" i="23"/>
  <c r="B30" i="25" s="1"/>
  <c r="G62" i="68"/>
  <c r="BB37" i="68"/>
  <c r="BA37" i="68"/>
  <c r="N37" i="68" s="1"/>
  <c r="CX37" i="68"/>
  <c r="P37" i="68" s="1"/>
  <c r="CA37" i="68"/>
  <c r="O37" i="68" s="1"/>
  <c r="AH29" i="23"/>
  <c r="L29" i="25" s="1"/>
  <c r="AQ35" i="70"/>
  <c r="AH35" i="70"/>
  <c r="AS35" i="70"/>
  <c r="AI35" i="70"/>
  <c r="AM35" i="70"/>
  <c r="AR35" i="70"/>
  <c r="AW35" i="70"/>
  <c r="AT35" i="70"/>
  <c r="AP35" i="70"/>
  <c r="AV35" i="70"/>
  <c r="AK35" i="70"/>
  <c r="AG35" i="70"/>
  <c r="AN35" i="70"/>
  <c r="AO35" i="70"/>
  <c r="AZ35" i="70"/>
  <c r="AY35" i="70"/>
  <c r="AX35" i="70"/>
  <c r="D35" i="70"/>
  <c r="AL35" i="70"/>
  <c r="AU35" i="70"/>
  <c r="AJ35" i="70"/>
  <c r="AG30" i="23"/>
  <c r="K30" i="25" s="1"/>
  <c r="A37" i="70"/>
  <c r="B36" i="70"/>
  <c r="BA34" i="70"/>
  <c r="N34" i="70" s="1"/>
  <c r="Y34" i="70" s="1"/>
  <c r="BB34" i="70"/>
  <c r="AJ28" i="23"/>
  <c r="O28" i="25"/>
  <c r="Y31" i="23"/>
  <c r="A31" i="25" s="1"/>
  <c r="BA34" i="67"/>
  <c r="N34" i="67" s="1"/>
  <c r="BB34" i="67"/>
  <c r="U30" i="23"/>
  <c r="Z30" i="24" s="1"/>
  <c r="A37" i="67"/>
  <c r="B36" i="67"/>
  <c r="T29" i="25"/>
  <c r="AN29" i="23"/>
  <c r="AR28" i="23"/>
  <c r="Y28" i="25"/>
  <c r="G68" i="68"/>
  <c r="G72" i="68"/>
  <c r="J29" i="25"/>
  <c r="AF29" i="23"/>
  <c r="AV29" i="23"/>
  <c r="AD29" i="25"/>
  <c r="V29" i="23"/>
  <c r="AA29" i="24" s="1"/>
  <c r="AX35" i="67"/>
  <c r="AQ35" i="67"/>
  <c r="AZ35" i="67"/>
  <c r="AJ35" i="67"/>
  <c r="AT35" i="67"/>
  <c r="AO35" i="67"/>
  <c r="AV35" i="67"/>
  <c r="AH35" i="67"/>
  <c r="AN35" i="67"/>
  <c r="AY35" i="67"/>
  <c r="AS35" i="67"/>
  <c r="AL35" i="67"/>
  <c r="AR35" i="67"/>
  <c r="AP35" i="67"/>
  <c r="AU35" i="67"/>
  <c r="AK35" i="67"/>
  <c r="AW35" i="67"/>
  <c r="AG35" i="67"/>
  <c r="AI35" i="67"/>
  <c r="AM35" i="67"/>
  <c r="D35" i="67"/>
  <c r="X29" i="23" s="1"/>
  <c r="AD29" i="24" s="1"/>
  <c r="BB34" i="66"/>
  <c r="BA34" i="66"/>
  <c r="N34" i="66" s="1"/>
  <c r="R29" i="23"/>
  <c r="V29" i="24" s="1"/>
  <c r="AW35" i="66"/>
  <c r="AH35" i="66"/>
  <c r="AZ35" i="66"/>
  <c r="AV35" i="66"/>
  <c r="AR35" i="66"/>
  <c r="AP35" i="66"/>
  <c r="AN35" i="66"/>
  <c r="AG35" i="66"/>
  <c r="AT35" i="66"/>
  <c r="AX35" i="66"/>
  <c r="AS35" i="66"/>
  <c r="AJ35" i="66"/>
  <c r="AY35" i="66"/>
  <c r="AO35" i="66"/>
  <c r="AU35" i="66"/>
  <c r="AK35" i="66"/>
  <c r="AQ35" i="66"/>
  <c r="AL35" i="66"/>
  <c r="AM35" i="66"/>
  <c r="D35" i="66"/>
  <c r="T29" i="23" s="1"/>
  <c r="Y29" i="24" s="1"/>
  <c r="AI35" i="66"/>
  <c r="Q30" i="23"/>
  <c r="U30" i="24" s="1"/>
  <c r="A37" i="66"/>
  <c r="B36" i="66"/>
  <c r="CA34" i="66"/>
  <c r="O34" i="66" s="1"/>
  <c r="AN36" i="68"/>
  <c r="AV36" i="68"/>
  <c r="AS36" i="68"/>
  <c r="AH36" i="68"/>
  <c r="AO36" i="68"/>
  <c r="AW36" i="68"/>
  <c r="AZ36" i="68"/>
  <c r="AP36" i="68"/>
  <c r="AX36" i="68"/>
  <c r="AR36" i="68"/>
  <c r="AK36" i="68"/>
  <c r="AI36" i="68"/>
  <c r="AQ36" i="68"/>
  <c r="AY36" i="68"/>
  <c r="AJ36" i="68"/>
  <c r="AT36" i="68"/>
  <c r="AG36" i="68"/>
  <c r="EF40" i="68" s="1"/>
  <c r="AM36" i="68"/>
  <c r="AU36" i="68"/>
  <c r="AL36" i="68"/>
  <c r="G74" i="68"/>
  <c r="G80" i="68"/>
  <c r="G81" i="68"/>
  <c r="G84" i="68"/>
  <c r="G75" i="68"/>
  <c r="G78" i="68"/>
  <c r="G65" i="68"/>
  <c r="G77" i="68"/>
  <c r="G83" i="68"/>
  <c r="G71" i="68"/>
  <c r="G82" i="68"/>
  <c r="G69" i="68"/>
  <c r="G64" i="68"/>
  <c r="G63" i="68"/>
  <c r="G76" i="68"/>
  <c r="G70" i="68"/>
  <c r="G66" i="68"/>
  <c r="BB35" i="68"/>
  <c r="BA35" i="68"/>
  <c r="N35" i="68" s="1"/>
  <c r="CA35" i="68"/>
  <c r="P35" i="73"/>
  <c r="AY36" i="73"/>
  <c r="AQ36" i="73"/>
  <c r="AI36" i="73"/>
  <c r="AX36" i="73"/>
  <c r="AP36" i="73"/>
  <c r="AH36" i="73"/>
  <c r="AV36" i="73"/>
  <c r="AN36" i="73"/>
  <c r="AW36" i="73"/>
  <c r="AK36" i="73"/>
  <c r="AU36" i="73"/>
  <c r="AJ36" i="73"/>
  <c r="AT36" i="73"/>
  <c r="AG36" i="73"/>
  <c r="AS36" i="73"/>
  <c r="AO36" i="73"/>
  <c r="D36" i="73"/>
  <c r="AM36" i="73"/>
  <c r="AZ36" i="73"/>
  <c r="AL36" i="73"/>
  <c r="AR36" i="73"/>
  <c r="A38" i="73"/>
  <c r="AS32" i="23" s="1"/>
  <c r="Z32" i="25" s="1"/>
  <c r="B37" i="73"/>
  <c r="AT31" i="23" s="1"/>
  <c r="AA31" i="25" s="1"/>
  <c r="BB35" i="73"/>
  <c r="BA35" i="73"/>
  <c r="N35" i="73" s="1"/>
  <c r="CA35" i="73"/>
  <c r="O35" i="73" s="1"/>
  <c r="Q34" i="73"/>
  <c r="A37" i="72"/>
  <c r="AO31" i="23" s="1"/>
  <c r="U31" i="25" s="1"/>
  <c r="B36" i="72"/>
  <c r="AP30" i="23" s="1"/>
  <c r="V30" i="25" s="1"/>
  <c r="CA34" i="72"/>
  <c r="O34" i="72" s="1"/>
  <c r="AY35" i="72"/>
  <c r="AQ35" i="72"/>
  <c r="AI35" i="72"/>
  <c r="AX35" i="72"/>
  <c r="AP35" i="72"/>
  <c r="AH35" i="72"/>
  <c r="AV35" i="72"/>
  <c r="AN35" i="72"/>
  <c r="AZ35" i="72"/>
  <c r="AL35" i="72"/>
  <c r="AW35" i="72"/>
  <c r="AK35" i="72"/>
  <c r="AU35" i="72"/>
  <c r="AJ35" i="72"/>
  <c r="AT35" i="72"/>
  <c r="AG35" i="72"/>
  <c r="AS35" i="72"/>
  <c r="AR35" i="72"/>
  <c r="AO35" i="72"/>
  <c r="D35" i="72"/>
  <c r="AM35" i="72"/>
  <c r="BB34" i="72"/>
  <c r="BA34" i="72"/>
  <c r="N34" i="72" s="1"/>
  <c r="A38" i="71"/>
  <c r="AK32" i="23" s="1"/>
  <c r="P32" i="25" s="1"/>
  <c r="B37" i="71"/>
  <c r="AL31" i="23" s="1"/>
  <c r="Q31" i="25" s="1"/>
  <c r="CA35" i="71"/>
  <c r="O35" i="71" s="1"/>
  <c r="BB35" i="71"/>
  <c r="BA35" i="71"/>
  <c r="N35" i="71" s="1"/>
  <c r="AY36" i="71"/>
  <c r="AQ36" i="71"/>
  <c r="AI36" i="71"/>
  <c r="AX36" i="71"/>
  <c r="AP36" i="71"/>
  <c r="AH36" i="71"/>
  <c r="AV36" i="71"/>
  <c r="AN36" i="71"/>
  <c r="AT36" i="71"/>
  <c r="AL36" i="71"/>
  <c r="AR36" i="71"/>
  <c r="AO36" i="71"/>
  <c r="AM36" i="71"/>
  <c r="AK36" i="71"/>
  <c r="AZ36" i="71"/>
  <c r="AJ36" i="71"/>
  <c r="AW36" i="71"/>
  <c r="AG36" i="71"/>
  <c r="AU36" i="71"/>
  <c r="AS36" i="71"/>
  <c r="D36" i="71"/>
  <c r="AY36" i="69"/>
  <c r="AQ36" i="69"/>
  <c r="AI36" i="69"/>
  <c r="AX36" i="69"/>
  <c r="AP36" i="69"/>
  <c r="AH36" i="69"/>
  <c r="AV36" i="69"/>
  <c r="AN36" i="69"/>
  <c r="AM36" i="69"/>
  <c r="AZ36" i="69"/>
  <c r="AL36" i="69"/>
  <c r="AU36" i="69"/>
  <c r="AJ36" i="69"/>
  <c r="AT36" i="69"/>
  <c r="AG36" i="69"/>
  <c r="AS36" i="69"/>
  <c r="AR36" i="69"/>
  <c r="AW36" i="69"/>
  <c r="AO36" i="69"/>
  <c r="AK36" i="69"/>
  <c r="D36" i="69"/>
  <c r="A38" i="69"/>
  <c r="AC32" i="23" s="1"/>
  <c r="F32" i="25" s="1"/>
  <c r="B37" i="69"/>
  <c r="AD31" i="23" s="1"/>
  <c r="G31" i="25" s="1"/>
  <c r="BB35" i="69"/>
  <c r="BA35" i="69"/>
  <c r="N35" i="69" s="1"/>
  <c r="D36" i="68"/>
  <c r="CA35" i="65"/>
  <c r="O35" i="65" s="1"/>
  <c r="AT36" i="65"/>
  <c r="AL36" i="65"/>
  <c r="AS36" i="65"/>
  <c r="AK36" i="65"/>
  <c r="D36" i="65"/>
  <c r="P30" i="23" s="1"/>
  <c r="T30" i="24" s="1"/>
  <c r="AY36" i="65"/>
  <c r="AQ36" i="65"/>
  <c r="AI36" i="65"/>
  <c r="AR36" i="65"/>
  <c r="AP36" i="65"/>
  <c r="AW36" i="65"/>
  <c r="AJ36" i="65"/>
  <c r="AV36" i="65"/>
  <c r="AH36" i="65"/>
  <c r="AU36" i="65"/>
  <c r="AO36" i="65"/>
  <c r="AN36" i="65"/>
  <c r="AM36" i="65"/>
  <c r="AG36" i="65"/>
  <c r="AZ36" i="65"/>
  <c r="AX36" i="65"/>
  <c r="BB35" i="65"/>
  <c r="BA35" i="65"/>
  <c r="N35" i="65" s="1"/>
  <c r="A38" i="65"/>
  <c r="B37" i="65"/>
  <c r="N31" i="23" s="1"/>
  <c r="Q31" i="24" s="1"/>
  <c r="AY36" i="64"/>
  <c r="AQ36" i="64"/>
  <c r="AI36" i="64"/>
  <c r="AX36" i="64"/>
  <c r="AP36" i="64"/>
  <c r="AH36" i="64"/>
  <c r="AV36" i="64"/>
  <c r="AN36" i="64"/>
  <c r="AS36" i="64"/>
  <c r="AR36" i="64"/>
  <c r="AO36" i="64"/>
  <c r="D36" i="64"/>
  <c r="L30" i="23" s="1"/>
  <c r="O30" i="24" s="1"/>
  <c r="AM36" i="64"/>
  <c r="AW36" i="64"/>
  <c r="AK36" i="64"/>
  <c r="AU36" i="64"/>
  <c r="AJ36" i="64"/>
  <c r="AT36" i="64"/>
  <c r="AG36" i="64"/>
  <c r="AZ36" i="64"/>
  <c r="AL36" i="64"/>
  <c r="BB35" i="64"/>
  <c r="BA35" i="64"/>
  <c r="N35" i="64" s="1"/>
  <c r="A38" i="64"/>
  <c r="I32" i="23" s="1"/>
  <c r="K32" i="24" s="1"/>
  <c r="B37" i="64"/>
  <c r="J31" i="23" s="1"/>
  <c r="L31" i="24" s="1"/>
  <c r="AY36" i="63"/>
  <c r="AQ36" i="63"/>
  <c r="AI36" i="63"/>
  <c r="AX36" i="63"/>
  <c r="AP36" i="63"/>
  <c r="AH36" i="63"/>
  <c r="AV36" i="63"/>
  <c r="AN36" i="63"/>
  <c r="AT36" i="63"/>
  <c r="AG36" i="63"/>
  <c r="AS36" i="63"/>
  <c r="AO36" i="63"/>
  <c r="D36" i="63"/>
  <c r="H30" i="23" s="1"/>
  <c r="J30" i="24" s="1"/>
  <c r="AM36" i="63"/>
  <c r="AW36" i="63"/>
  <c r="AK36" i="63"/>
  <c r="AU36" i="63"/>
  <c r="AR36" i="63"/>
  <c r="AL36" i="63"/>
  <c r="AJ36" i="63"/>
  <c r="AZ36" i="63"/>
  <c r="A38" i="63"/>
  <c r="E32" i="23" s="1"/>
  <c r="F32" i="24" s="1"/>
  <c r="B37" i="63"/>
  <c r="F31" i="23" s="1"/>
  <c r="G31" i="24" s="1"/>
  <c r="BB35" i="63"/>
  <c r="BA35" i="63"/>
  <c r="N35" i="63" s="1"/>
  <c r="FL34" i="70" l="1"/>
  <c r="FL40" i="70" s="1"/>
  <c r="FJ34" i="70"/>
  <c r="FJ40" i="70" s="1"/>
  <c r="Y39" i="70"/>
  <c r="AB30" i="23"/>
  <c r="E30" i="25" s="1"/>
  <c r="EJ40" i="68"/>
  <c r="Q64" i="68" s="1"/>
  <c r="V42" i="68" s="1"/>
  <c r="CX36" i="68"/>
  <c r="Q37" i="68"/>
  <c r="AJ29" i="23"/>
  <c r="O29" i="25"/>
  <c r="AH30" i="23"/>
  <c r="L30" i="25" s="1"/>
  <c r="AS36" i="70"/>
  <c r="AY36" i="70"/>
  <c r="AX36" i="70"/>
  <c r="AV36" i="70"/>
  <c r="AK36" i="70"/>
  <c r="AQ36" i="70"/>
  <c r="AM36" i="70"/>
  <c r="AH36" i="70"/>
  <c r="AR36" i="70"/>
  <c r="AT36" i="70"/>
  <c r="D36" i="70"/>
  <c r="AI36" i="70"/>
  <c r="AL36" i="70"/>
  <c r="AP36" i="70"/>
  <c r="AZ36" i="70"/>
  <c r="AW36" i="70"/>
  <c r="AN36" i="70"/>
  <c r="AJ36" i="70"/>
  <c r="AU36" i="70"/>
  <c r="AG36" i="70"/>
  <c r="AO36" i="70"/>
  <c r="AG31" i="23"/>
  <c r="K31" i="25" s="1"/>
  <c r="B37" i="70"/>
  <c r="A38" i="70"/>
  <c r="BB35" i="70"/>
  <c r="BA35" i="70"/>
  <c r="N35" i="70" s="1"/>
  <c r="Z31" i="23"/>
  <c r="B31" i="25" s="1"/>
  <c r="AB31" i="23"/>
  <c r="E31" i="25" s="1"/>
  <c r="J30" i="25"/>
  <c r="AF30" i="23"/>
  <c r="BA35" i="67"/>
  <c r="N35" i="67" s="1"/>
  <c r="BB35" i="67"/>
  <c r="V30" i="23"/>
  <c r="AA30" i="24" s="1"/>
  <c r="AN36" i="67"/>
  <c r="AZ36" i="67"/>
  <c r="AX36" i="67"/>
  <c r="AL36" i="67"/>
  <c r="AU36" i="67"/>
  <c r="AQ36" i="67"/>
  <c r="AG36" i="67"/>
  <c r="AY36" i="67"/>
  <c r="AP36" i="67"/>
  <c r="AR36" i="67"/>
  <c r="AJ36" i="67"/>
  <c r="AH36" i="67"/>
  <c r="AM36" i="67"/>
  <c r="AT36" i="67"/>
  <c r="AI36" i="67"/>
  <c r="AW36" i="67"/>
  <c r="AO36" i="67"/>
  <c r="AK36" i="67"/>
  <c r="AV36" i="67"/>
  <c r="AS36" i="67"/>
  <c r="D36" i="67"/>
  <c r="X30" i="23" s="1"/>
  <c r="AD30" i="24" s="1"/>
  <c r="AV30" i="23"/>
  <c r="AD30" i="25"/>
  <c r="U31" i="23"/>
  <c r="Z31" i="24" s="1"/>
  <c r="B37" i="67"/>
  <c r="A38" i="67"/>
  <c r="AR29" i="23"/>
  <c r="Y29" i="25"/>
  <c r="AN30" i="23"/>
  <c r="T30" i="25"/>
  <c r="CA35" i="66"/>
  <c r="O35" i="66" s="1"/>
  <c r="R30" i="23"/>
  <c r="V30" i="24" s="1"/>
  <c r="AI36" i="66"/>
  <c r="AW36" i="66"/>
  <c r="AK36" i="66"/>
  <c r="AO36" i="66"/>
  <c r="AG36" i="66"/>
  <c r="AR36" i="66"/>
  <c r="AJ36" i="66"/>
  <c r="AV36" i="66"/>
  <c r="AZ36" i="66"/>
  <c r="AU36" i="66"/>
  <c r="AN36" i="66"/>
  <c r="AL36" i="66"/>
  <c r="AX36" i="66"/>
  <c r="D36" i="66"/>
  <c r="T30" i="23" s="1"/>
  <c r="Y30" i="24" s="1"/>
  <c r="AM36" i="66"/>
  <c r="AY36" i="66"/>
  <c r="AP36" i="66"/>
  <c r="AT36" i="66"/>
  <c r="AQ36" i="66"/>
  <c r="AH36" i="66"/>
  <c r="AS36" i="66"/>
  <c r="Q31" i="23"/>
  <c r="U31" i="24" s="1"/>
  <c r="B37" i="66"/>
  <c r="A38" i="66"/>
  <c r="BB35" i="66"/>
  <c r="BA35" i="66"/>
  <c r="N35" i="66" s="1"/>
  <c r="B38" i="65"/>
  <c r="N32" i="23" s="1"/>
  <c r="Q32" i="24" s="1"/>
  <c r="M32" i="23"/>
  <c r="P32" i="24" s="1"/>
  <c r="BA36" i="68"/>
  <c r="N36" i="68" s="1"/>
  <c r="N38" i="68" s="1"/>
  <c r="I45" i="68" s="1"/>
  <c r="BB36" i="68"/>
  <c r="CA36" i="68"/>
  <c r="P36" i="73"/>
  <c r="G77" i="65"/>
  <c r="G81" i="65"/>
  <c r="G66" i="65"/>
  <c r="G72" i="65"/>
  <c r="G70" i="65"/>
  <c r="G75" i="65"/>
  <c r="G85" i="65"/>
  <c r="G69" i="65"/>
  <c r="G78" i="65"/>
  <c r="G67" i="65"/>
  <c r="G84" i="65"/>
  <c r="G71" i="65"/>
  <c r="G63" i="65"/>
  <c r="G83" i="65"/>
  <c r="G82" i="65"/>
  <c r="G79" i="65"/>
  <c r="G64" i="65"/>
  <c r="G76" i="65"/>
  <c r="G65" i="65"/>
  <c r="G73" i="65"/>
  <c r="Q35" i="73"/>
  <c r="CA36" i="73"/>
  <c r="O36" i="73" s="1"/>
  <c r="AT37" i="73"/>
  <c r="AL37" i="73"/>
  <c r="AS37" i="73"/>
  <c r="AK37" i="73"/>
  <c r="D37" i="73"/>
  <c r="AY37" i="73"/>
  <c r="AQ37" i="73"/>
  <c r="AI37" i="73"/>
  <c r="AR37" i="73"/>
  <c r="AP37" i="73"/>
  <c r="AO37" i="73"/>
  <c r="AZ37" i="73"/>
  <c r="AN37" i="73"/>
  <c r="AW37" i="73"/>
  <c r="AJ37" i="73"/>
  <c r="AV37" i="73"/>
  <c r="AH37" i="73"/>
  <c r="AU37" i="73"/>
  <c r="AG37" i="73"/>
  <c r="EF37" i="73" s="1"/>
  <c r="AX37" i="73"/>
  <c r="AM37" i="73"/>
  <c r="A39" i="73"/>
  <c r="B38" i="73"/>
  <c r="AT32" i="23" s="1"/>
  <c r="AA32" i="25" s="1"/>
  <c r="BB36" i="73"/>
  <c r="BA36" i="73"/>
  <c r="N36" i="73" s="1"/>
  <c r="BB35" i="72"/>
  <c r="BA35" i="72"/>
  <c r="N35" i="72" s="1"/>
  <c r="CA35" i="72"/>
  <c r="O35" i="72" s="1"/>
  <c r="AT36" i="72"/>
  <c r="AL36" i="72"/>
  <c r="AS36" i="72"/>
  <c r="AK36" i="72"/>
  <c r="D36" i="72"/>
  <c r="AY36" i="72"/>
  <c r="AQ36" i="72"/>
  <c r="AI36" i="72"/>
  <c r="AU36" i="72"/>
  <c r="AG36" i="72"/>
  <c r="AR36" i="72"/>
  <c r="AP36" i="72"/>
  <c r="AO36" i="72"/>
  <c r="AZ36" i="72"/>
  <c r="AN36" i="72"/>
  <c r="AX36" i="72"/>
  <c r="AM36" i="72"/>
  <c r="AW36" i="72"/>
  <c r="AJ36" i="72"/>
  <c r="AV36" i="72"/>
  <c r="AH36" i="72"/>
  <c r="A38" i="72"/>
  <c r="B37" i="72"/>
  <c r="AP31" i="23" s="1"/>
  <c r="V31" i="25" s="1"/>
  <c r="BB36" i="71"/>
  <c r="BA36" i="71"/>
  <c r="N36" i="71" s="1"/>
  <c r="CA36" i="71"/>
  <c r="O36" i="71" s="1"/>
  <c r="AT37" i="71"/>
  <c r="AL37" i="71"/>
  <c r="AS37" i="71"/>
  <c r="AK37" i="71"/>
  <c r="D37" i="71"/>
  <c r="AY37" i="71"/>
  <c r="AQ37" i="71"/>
  <c r="AI37" i="71"/>
  <c r="AW37" i="71"/>
  <c r="AO37" i="71"/>
  <c r="AG37" i="71"/>
  <c r="EF37" i="71" s="1"/>
  <c r="AN37" i="71"/>
  <c r="AM37" i="71"/>
  <c r="AZ37" i="71"/>
  <c r="AJ37" i="71"/>
  <c r="AX37" i="71"/>
  <c r="AH37" i="71"/>
  <c r="AV37" i="71"/>
  <c r="AU37" i="71"/>
  <c r="AR37" i="71"/>
  <c r="AP37" i="71"/>
  <c r="A39" i="71"/>
  <c r="B38" i="71"/>
  <c r="AT37" i="69"/>
  <c r="AL37" i="69"/>
  <c r="AS37" i="69"/>
  <c r="AK37" i="69"/>
  <c r="D37" i="69"/>
  <c r="AY37" i="69"/>
  <c r="AQ37" i="69"/>
  <c r="AI37" i="69"/>
  <c r="AV37" i="69"/>
  <c r="AH37" i="69"/>
  <c r="AU37" i="69"/>
  <c r="AG37" i="69"/>
  <c r="EF37" i="69" s="1"/>
  <c r="AP37" i="69"/>
  <c r="AO37" i="69"/>
  <c r="AZ37" i="69"/>
  <c r="AN37" i="69"/>
  <c r="AX37" i="69"/>
  <c r="AM37" i="69"/>
  <c r="AW37" i="69"/>
  <c r="AR37" i="69"/>
  <c r="AJ37" i="69"/>
  <c r="A39" i="69"/>
  <c r="B38" i="69"/>
  <c r="BB36" i="69"/>
  <c r="BA36" i="69"/>
  <c r="N36" i="69" s="1"/>
  <c r="AZ38" i="65"/>
  <c r="AR38" i="65"/>
  <c r="AJ38" i="65"/>
  <c r="AY38" i="65"/>
  <c r="AQ38" i="65"/>
  <c r="AI38" i="65"/>
  <c r="AW38" i="65"/>
  <c r="AO38" i="65"/>
  <c r="AG38" i="65"/>
  <c r="EF38" i="65" s="1"/>
  <c r="AX38" i="65"/>
  <c r="AL38" i="65"/>
  <c r="AV38" i="65"/>
  <c r="AK38" i="65"/>
  <c r="AP38" i="65"/>
  <c r="D38" i="65"/>
  <c r="P32" i="23" s="1"/>
  <c r="T32" i="24" s="1"/>
  <c r="AN38" i="65"/>
  <c r="AS38" i="65"/>
  <c r="AM38" i="65"/>
  <c r="AH38" i="65"/>
  <c r="AU38" i="65"/>
  <c r="AT38" i="65"/>
  <c r="BB36" i="65"/>
  <c r="BA36" i="65"/>
  <c r="N36" i="65" s="1"/>
  <c r="AW37" i="65"/>
  <c r="AO37" i="65"/>
  <c r="AG37" i="65"/>
  <c r="EF37" i="65" s="1"/>
  <c r="AV37" i="65"/>
  <c r="AN37" i="65"/>
  <c r="AT37" i="65"/>
  <c r="AL37" i="65"/>
  <c r="AR37" i="65"/>
  <c r="D37" i="65"/>
  <c r="P31" i="23" s="1"/>
  <c r="T31" i="24" s="1"/>
  <c r="AQ37" i="65"/>
  <c r="AX37" i="65"/>
  <c r="AJ37" i="65"/>
  <c r="AU37" i="65"/>
  <c r="AI37" i="65"/>
  <c r="AK37" i="65"/>
  <c r="AH37" i="65"/>
  <c r="AZ37" i="65"/>
  <c r="AY37" i="65"/>
  <c r="AS37" i="65"/>
  <c r="AP37" i="65"/>
  <c r="AM37" i="65"/>
  <c r="A39" i="64"/>
  <c r="B38" i="64"/>
  <c r="J32" i="23" s="1"/>
  <c r="L32" i="24" s="1"/>
  <c r="AT37" i="64"/>
  <c r="AL37" i="64"/>
  <c r="AS37" i="64"/>
  <c r="AK37" i="64"/>
  <c r="D37" i="64"/>
  <c r="L31" i="23" s="1"/>
  <c r="O31" i="24" s="1"/>
  <c r="AY37" i="64"/>
  <c r="AQ37" i="64"/>
  <c r="AI37" i="64"/>
  <c r="AZ37" i="64"/>
  <c r="AN37" i="64"/>
  <c r="AX37" i="64"/>
  <c r="AM37" i="64"/>
  <c r="AW37" i="64"/>
  <c r="AJ37" i="64"/>
  <c r="AV37" i="64"/>
  <c r="AH37" i="64"/>
  <c r="AR37" i="64"/>
  <c r="AP37" i="64"/>
  <c r="AO37" i="64"/>
  <c r="AU37" i="64"/>
  <c r="AG37" i="64"/>
  <c r="EF37" i="64" s="1"/>
  <c r="BB36" i="64"/>
  <c r="BA36" i="64"/>
  <c r="N36" i="64" s="1"/>
  <c r="AT37" i="63"/>
  <c r="AL37" i="63"/>
  <c r="AS37" i="63"/>
  <c r="AK37" i="63"/>
  <c r="D37" i="63"/>
  <c r="H31" i="23" s="1"/>
  <c r="J31" i="24" s="1"/>
  <c r="AY37" i="63"/>
  <c r="AQ37" i="63"/>
  <c r="AI37" i="63"/>
  <c r="AO37" i="63"/>
  <c r="AZ37" i="63"/>
  <c r="AN37" i="63"/>
  <c r="AW37" i="63"/>
  <c r="AJ37" i="63"/>
  <c r="AV37" i="63"/>
  <c r="AH37" i="63"/>
  <c r="AR37" i="63"/>
  <c r="AX37" i="63"/>
  <c r="AU37" i="63"/>
  <c r="AP37" i="63"/>
  <c r="AM37" i="63"/>
  <c r="AG37" i="63"/>
  <c r="EF37" i="63" s="1"/>
  <c r="B38" i="63"/>
  <c r="F32" i="23" s="1"/>
  <c r="G32" i="24" s="1"/>
  <c r="BB36" i="63"/>
  <c r="BA36" i="63"/>
  <c r="N36" i="63" s="1"/>
  <c r="EF40" i="65" l="1"/>
  <c r="FH37" i="68"/>
  <c r="FG37" i="68"/>
  <c r="FF37" i="68"/>
  <c r="FE37" i="68"/>
  <c r="EZ40" i="68"/>
  <c r="EY40" i="68"/>
  <c r="EX40" i="68"/>
  <c r="EW40" i="68"/>
  <c r="F11" i="50"/>
  <c r="F42" i="50" s="1"/>
  <c r="F45" i="50" s="1"/>
  <c r="V44" i="68"/>
  <c r="V51" i="68" s="1"/>
  <c r="V45" i="69" s="1"/>
  <c r="V46" i="69" s="1"/>
  <c r="V53" i="69" s="1"/>
  <c r="V44" i="70" s="1"/>
  <c r="V45" i="70" s="1"/>
  <c r="V52" i="70" s="1"/>
  <c r="V45" i="71" s="1"/>
  <c r="V46" i="71" s="1"/>
  <c r="V53" i="71" s="1"/>
  <c r="V44" i="72" s="1"/>
  <c r="V45" i="72" s="1"/>
  <c r="V52" i="72" s="1"/>
  <c r="V45" i="73" s="1"/>
  <c r="B39" i="73"/>
  <c r="AT33" i="23" s="1"/>
  <c r="AA33" i="25" s="1"/>
  <c r="AS33" i="23"/>
  <c r="Z33" i="25" s="1"/>
  <c r="B38" i="72"/>
  <c r="AP32" i="23" s="1"/>
  <c r="V32" i="25" s="1"/>
  <c r="AO32" i="23"/>
  <c r="U32" i="25" s="1"/>
  <c r="B39" i="71"/>
  <c r="AK33" i="23"/>
  <c r="P33" i="25" s="1"/>
  <c r="O30" i="25"/>
  <c r="AJ30" i="23"/>
  <c r="B38" i="70"/>
  <c r="AG32" i="23"/>
  <c r="K32" i="25" s="1"/>
  <c r="AH31" i="23"/>
  <c r="L31" i="25" s="1"/>
  <c r="G70" i="70"/>
  <c r="G77" i="70"/>
  <c r="G84" i="70"/>
  <c r="AW37" i="70"/>
  <c r="AM37" i="70"/>
  <c r="AX37" i="70"/>
  <c r="G64" i="70"/>
  <c r="G72" i="70"/>
  <c r="G85" i="70"/>
  <c r="AO37" i="70"/>
  <c r="AU37" i="70"/>
  <c r="G73" i="70"/>
  <c r="G67" i="70"/>
  <c r="G81" i="70"/>
  <c r="AY37" i="70"/>
  <c r="AG37" i="70"/>
  <c r="EF37" i="70" s="1"/>
  <c r="AK37" i="70"/>
  <c r="G76" i="70"/>
  <c r="G71" i="70"/>
  <c r="G79" i="70"/>
  <c r="AQ37" i="70"/>
  <c r="G63" i="70"/>
  <c r="G75" i="70"/>
  <c r="AI37" i="70"/>
  <c r="AZ37" i="70"/>
  <c r="AS37" i="70"/>
  <c r="AH37" i="70"/>
  <c r="G82" i="70"/>
  <c r="G83" i="70"/>
  <c r="G69" i="70"/>
  <c r="AT37" i="70"/>
  <c r="AR37" i="70"/>
  <c r="AP37" i="70"/>
  <c r="G78" i="70"/>
  <c r="G65" i="70"/>
  <c r="G66" i="70"/>
  <c r="AV37" i="70"/>
  <c r="AL37" i="70"/>
  <c r="AJ37" i="70"/>
  <c r="D37" i="70"/>
  <c r="AN37" i="70"/>
  <c r="BB36" i="70"/>
  <c r="BA36" i="70"/>
  <c r="N36" i="70" s="1"/>
  <c r="B39" i="69"/>
  <c r="AD33" i="23" s="1"/>
  <c r="G33" i="25" s="1"/>
  <c r="AC33" i="23"/>
  <c r="F33" i="25" s="1"/>
  <c r="J31" i="25"/>
  <c r="AF31" i="23"/>
  <c r="AD31" i="25"/>
  <c r="AV31" i="23"/>
  <c r="AD32" i="23"/>
  <c r="G32" i="25" s="1"/>
  <c r="AL32" i="23"/>
  <c r="Q32" i="25" s="1"/>
  <c r="AN31" i="23"/>
  <c r="T31" i="25"/>
  <c r="U32" i="23"/>
  <c r="Z32" i="24" s="1"/>
  <c r="A39" i="67"/>
  <c r="B38" i="67"/>
  <c r="BA36" i="67"/>
  <c r="N36" i="67" s="1"/>
  <c r="BB36" i="67"/>
  <c r="V31" i="23"/>
  <c r="AA31" i="24" s="1"/>
  <c r="AN37" i="67"/>
  <c r="AP37" i="67"/>
  <c r="D37" i="67"/>
  <c r="X31" i="23" s="1"/>
  <c r="AD31" i="24" s="1"/>
  <c r="AY37" i="67"/>
  <c r="AT37" i="67"/>
  <c r="AK37" i="67"/>
  <c r="AQ37" i="67"/>
  <c r="AU37" i="67"/>
  <c r="AI37" i="67"/>
  <c r="AX37" i="67"/>
  <c r="AG37" i="67"/>
  <c r="EF37" i="67" s="1"/>
  <c r="AM37" i="67"/>
  <c r="AO37" i="67"/>
  <c r="AV37" i="67"/>
  <c r="AH37" i="67"/>
  <c r="AZ37" i="67"/>
  <c r="AS37" i="67"/>
  <c r="AW37" i="67"/>
  <c r="AJ37" i="67"/>
  <c r="AL37" i="67"/>
  <c r="AR37" i="67"/>
  <c r="CA36" i="67"/>
  <c r="O36" i="67" s="1"/>
  <c r="AR30" i="23"/>
  <c r="Y30" i="25"/>
  <c r="Q32" i="23"/>
  <c r="U32" i="24" s="1"/>
  <c r="B38" i="66"/>
  <c r="CA36" i="66"/>
  <c r="O36" i="66" s="1"/>
  <c r="R31" i="23"/>
  <c r="V31" i="24" s="1"/>
  <c r="AG37" i="66"/>
  <c r="EF37" i="66" s="1"/>
  <c r="AP37" i="66"/>
  <c r="AZ37" i="66"/>
  <c r="AN37" i="66"/>
  <c r="AV37" i="66"/>
  <c r="AH37" i="66"/>
  <c r="AO37" i="66"/>
  <c r="AR37" i="66"/>
  <c r="AS37" i="66"/>
  <c r="AY37" i="66"/>
  <c r="AX37" i="66"/>
  <c r="AJ37" i="66"/>
  <c r="AT37" i="66"/>
  <c r="AK37" i="66"/>
  <c r="AQ37" i="66"/>
  <c r="AM37" i="66"/>
  <c r="AW37" i="66"/>
  <c r="AL37" i="66"/>
  <c r="D37" i="66"/>
  <c r="T31" i="23" s="1"/>
  <c r="Y31" i="24" s="1"/>
  <c r="AI37" i="66"/>
  <c r="AU37" i="66"/>
  <c r="BB36" i="66"/>
  <c r="BA36" i="66"/>
  <c r="N36" i="66" s="1"/>
  <c r="B39" i="64"/>
  <c r="J33" i="23" s="1"/>
  <c r="L33" i="24" s="1"/>
  <c r="I33" i="23"/>
  <c r="K33" i="24" s="1"/>
  <c r="G82" i="73"/>
  <c r="G85" i="68"/>
  <c r="G86" i="65"/>
  <c r="P37" i="73"/>
  <c r="Q36" i="73"/>
  <c r="G64" i="64"/>
  <c r="G82" i="64"/>
  <c r="G73" i="64"/>
  <c r="G66" i="64"/>
  <c r="G67" i="64"/>
  <c r="G83" i="64"/>
  <c r="G68" i="64"/>
  <c r="G72" i="64"/>
  <c r="G84" i="64"/>
  <c r="G77" i="64"/>
  <c r="G86" i="64"/>
  <c r="G78" i="64"/>
  <c r="G79" i="64"/>
  <c r="G71" i="64"/>
  <c r="G85" i="64"/>
  <c r="G65" i="64"/>
  <c r="G80" i="64"/>
  <c r="G74" i="64"/>
  <c r="G76" i="64"/>
  <c r="G70" i="64"/>
  <c r="G77" i="63"/>
  <c r="G84" i="63"/>
  <c r="G85" i="63"/>
  <c r="G64" i="63"/>
  <c r="G78" i="63"/>
  <c r="G65" i="63"/>
  <c r="G69" i="63"/>
  <c r="G66" i="63"/>
  <c r="G72" i="63"/>
  <c r="G71" i="63"/>
  <c r="G63" i="63"/>
  <c r="G76" i="63"/>
  <c r="G70" i="63"/>
  <c r="G82" i="63"/>
  <c r="G81" i="63"/>
  <c r="G83" i="63"/>
  <c r="G79" i="63"/>
  <c r="G75" i="63"/>
  <c r="G67" i="63"/>
  <c r="G73" i="63"/>
  <c r="G74" i="73"/>
  <c r="G86" i="73"/>
  <c r="G78" i="73"/>
  <c r="G77" i="73"/>
  <c r="G84" i="73"/>
  <c r="G67" i="73"/>
  <c r="G83" i="73"/>
  <c r="G79" i="73"/>
  <c r="G70" i="73"/>
  <c r="G64" i="73"/>
  <c r="G65" i="73"/>
  <c r="G85" i="73"/>
  <c r="G76" i="73"/>
  <c r="G72" i="73"/>
  <c r="G66" i="73"/>
  <c r="G71" i="73"/>
  <c r="G80" i="73"/>
  <c r="G73" i="73"/>
  <c r="G68" i="73"/>
  <c r="G83" i="72"/>
  <c r="G82" i="72"/>
  <c r="G65" i="72"/>
  <c r="G72" i="72"/>
  <c r="G71" i="72"/>
  <c r="G77" i="72"/>
  <c r="G81" i="72"/>
  <c r="G67" i="72"/>
  <c r="G76" i="72"/>
  <c r="G63" i="72"/>
  <c r="G70" i="72"/>
  <c r="G69" i="72"/>
  <c r="G78" i="72"/>
  <c r="G66" i="72"/>
  <c r="G84" i="72"/>
  <c r="G79" i="72"/>
  <c r="G85" i="72"/>
  <c r="G75" i="72"/>
  <c r="G73" i="72"/>
  <c r="G64" i="72"/>
  <c r="G65" i="69"/>
  <c r="G67" i="69"/>
  <c r="G85" i="69"/>
  <c r="G79" i="69"/>
  <c r="G74" i="69"/>
  <c r="G80" i="69"/>
  <c r="G84" i="69"/>
  <c r="G86" i="69"/>
  <c r="G72" i="69"/>
  <c r="G77" i="69"/>
  <c r="G70" i="69"/>
  <c r="G83" i="69"/>
  <c r="G78" i="69"/>
  <c r="G71" i="69"/>
  <c r="G66" i="69"/>
  <c r="G73" i="69"/>
  <c r="G64" i="69"/>
  <c r="G82" i="69"/>
  <c r="G68" i="69"/>
  <c r="G76" i="69"/>
  <c r="G65" i="71"/>
  <c r="G80" i="71"/>
  <c r="G83" i="71"/>
  <c r="G71" i="71"/>
  <c r="G72" i="71"/>
  <c r="G74" i="71"/>
  <c r="G73" i="71"/>
  <c r="G68" i="71"/>
  <c r="G85" i="71"/>
  <c r="G84" i="71"/>
  <c r="G82" i="71"/>
  <c r="G66" i="71"/>
  <c r="G77" i="71"/>
  <c r="G67" i="71"/>
  <c r="G76" i="71"/>
  <c r="G86" i="71"/>
  <c r="G70" i="71"/>
  <c r="G64" i="71"/>
  <c r="G79" i="71"/>
  <c r="G78" i="71"/>
  <c r="BB37" i="73"/>
  <c r="BA37" i="73"/>
  <c r="N37" i="73" s="1"/>
  <c r="AW38" i="73"/>
  <c r="AO38" i="73"/>
  <c r="AG38" i="73"/>
  <c r="EF38" i="73" s="1"/>
  <c r="AV38" i="73"/>
  <c r="AN38" i="73"/>
  <c r="AT38" i="73"/>
  <c r="AL38" i="73"/>
  <c r="AR38" i="73"/>
  <c r="D38" i="73"/>
  <c r="AQ38" i="73"/>
  <c r="AP38" i="73"/>
  <c r="AZ38" i="73"/>
  <c r="AM38" i="73"/>
  <c r="AX38" i="73"/>
  <c r="AJ38" i="73"/>
  <c r="AU38" i="73"/>
  <c r="AI38" i="73"/>
  <c r="AS38" i="73"/>
  <c r="AH38" i="73"/>
  <c r="AY38" i="73"/>
  <c r="AK38" i="73"/>
  <c r="CA37" i="73"/>
  <c r="O37" i="73" s="1"/>
  <c r="AZ39" i="73"/>
  <c r="AR39" i="73"/>
  <c r="AJ39" i="73"/>
  <c r="AY39" i="73"/>
  <c r="AQ39" i="73"/>
  <c r="AI39" i="73"/>
  <c r="AW39" i="73"/>
  <c r="AO39" i="73"/>
  <c r="AG39" i="73"/>
  <c r="EF39" i="73" s="1"/>
  <c r="AX39" i="73"/>
  <c r="AL39" i="73"/>
  <c r="AV39" i="73"/>
  <c r="AK39" i="73"/>
  <c r="AU39" i="73"/>
  <c r="AH39" i="73"/>
  <c r="AT39" i="73"/>
  <c r="AP39" i="73"/>
  <c r="D39" i="73"/>
  <c r="AN39" i="73"/>
  <c r="AM39" i="73"/>
  <c r="AS39" i="73"/>
  <c r="AW37" i="72"/>
  <c r="AO37" i="72"/>
  <c r="AG37" i="72"/>
  <c r="EF37" i="72" s="1"/>
  <c r="AV37" i="72"/>
  <c r="AN37" i="72"/>
  <c r="AT37" i="72"/>
  <c r="AL37" i="72"/>
  <c r="AS37" i="72"/>
  <c r="AH37" i="72"/>
  <c r="AR37" i="72"/>
  <c r="D37" i="72"/>
  <c r="AQ37" i="72"/>
  <c r="AP37" i="72"/>
  <c r="AZ37" i="72"/>
  <c r="AM37" i="72"/>
  <c r="AY37" i="72"/>
  <c r="AK37" i="72"/>
  <c r="AX37" i="72"/>
  <c r="AJ37" i="72"/>
  <c r="AU37" i="72"/>
  <c r="AI37" i="72"/>
  <c r="BB36" i="72"/>
  <c r="BA36" i="72"/>
  <c r="N36" i="72" s="1"/>
  <c r="CA36" i="72"/>
  <c r="O36" i="72" s="1"/>
  <c r="AZ38" i="72"/>
  <c r="AR38" i="72"/>
  <c r="AJ38" i="72"/>
  <c r="AY38" i="72"/>
  <c r="AQ38" i="72"/>
  <c r="AI38" i="72"/>
  <c r="AW38" i="72"/>
  <c r="AO38" i="72"/>
  <c r="AG38" i="72"/>
  <c r="EF38" i="72" s="1"/>
  <c r="AM38" i="72"/>
  <c r="AX38" i="72"/>
  <c r="AL38" i="72"/>
  <c r="AV38" i="72"/>
  <c r="AK38" i="72"/>
  <c r="AU38" i="72"/>
  <c r="AH38" i="72"/>
  <c r="AT38" i="72"/>
  <c r="AS38" i="72"/>
  <c r="AP38" i="72"/>
  <c r="D38" i="72"/>
  <c r="AN38" i="72"/>
  <c r="AY38" i="71"/>
  <c r="AQ38" i="71"/>
  <c r="AI38" i="71"/>
  <c r="AW38" i="71"/>
  <c r="AO38" i="71"/>
  <c r="AG38" i="71"/>
  <c r="EF38" i="71" s="1"/>
  <c r="AV38" i="71"/>
  <c r="AN38" i="71"/>
  <c r="AT38" i="71"/>
  <c r="AL38" i="71"/>
  <c r="AZ38" i="71"/>
  <c r="AR38" i="71"/>
  <c r="AJ38" i="71"/>
  <c r="AS38" i="71"/>
  <c r="AP38" i="71"/>
  <c r="AM38" i="71"/>
  <c r="AK38" i="71"/>
  <c r="AH38" i="71"/>
  <c r="D38" i="71"/>
  <c r="AX38" i="71"/>
  <c r="AU38" i="71"/>
  <c r="CA37" i="71"/>
  <c r="O37" i="71" s="1"/>
  <c r="AT39" i="71"/>
  <c r="AL39" i="71"/>
  <c r="AZ39" i="71"/>
  <c r="AR39" i="71"/>
  <c r="AJ39" i="71"/>
  <c r="AY39" i="71"/>
  <c r="AQ39" i="71"/>
  <c r="AI39" i="71"/>
  <c r="AW39" i="71"/>
  <c r="AO39" i="71"/>
  <c r="AG39" i="71"/>
  <c r="EF39" i="71" s="1"/>
  <c r="AU39" i="71"/>
  <c r="AM39" i="71"/>
  <c r="AP39" i="71"/>
  <c r="AN39" i="71"/>
  <c r="AK39" i="71"/>
  <c r="AH39" i="71"/>
  <c r="D39" i="71"/>
  <c r="AX39" i="71"/>
  <c r="AV39" i="71"/>
  <c r="AS39" i="71"/>
  <c r="BB37" i="71"/>
  <c r="BA37" i="71"/>
  <c r="N37" i="71" s="1"/>
  <c r="AW38" i="69"/>
  <c r="AO38" i="69"/>
  <c r="AG38" i="69"/>
  <c r="EF38" i="69" s="1"/>
  <c r="AV38" i="69"/>
  <c r="AN38" i="69"/>
  <c r="AT38" i="69"/>
  <c r="AL38" i="69"/>
  <c r="AU38" i="69"/>
  <c r="AI38" i="69"/>
  <c r="AS38" i="69"/>
  <c r="AH38" i="69"/>
  <c r="AQ38" i="69"/>
  <c r="AP38" i="69"/>
  <c r="AZ38" i="69"/>
  <c r="AM38" i="69"/>
  <c r="AY38" i="69"/>
  <c r="AK38" i="69"/>
  <c r="AX38" i="69"/>
  <c r="AR38" i="69"/>
  <c r="AJ38" i="69"/>
  <c r="D38" i="69"/>
  <c r="AT39" i="69"/>
  <c r="AL39" i="69"/>
  <c r="AZ39" i="69"/>
  <c r="AR39" i="69"/>
  <c r="AJ39" i="69"/>
  <c r="AY39" i="69"/>
  <c r="AQ39" i="69"/>
  <c r="AI39" i="69"/>
  <c r="AW39" i="69"/>
  <c r="AO39" i="69"/>
  <c r="AG39" i="69"/>
  <c r="EF39" i="69" s="1"/>
  <c r="AP39" i="69"/>
  <c r="AN39" i="69"/>
  <c r="AK39" i="69"/>
  <c r="AX39" i="69"/>
  <c r="AH39" i="69"/>
  <c r="AV39" i="69"/>
  <c r="AU39" i="69"/>
  <c r="AS39" i="69"/>
  <c r="AM39" i="69"/>
  <c r="D39" i="69"/>
  <c r="BB37" i="69"/>
  <c r="BA37" i="69"/>
  <c r="N37" i="69" s="1"/>
  <c r="BB37" i="65"/>
  <c r="BA37" i="65"/>
  <c r="N37" i="65" s="1"/>
  <c r="BB38" i="65"/>
  <c r="BA38" i="65"/>
  <c r="CA37" i="64"/>
  <c r="O37" i="64" s="1"/>
  <c r="BB37" i="64"/>
  <c r="BA37" i="64"/>
  <c r="N37" i="64" s="1"/>
  <c r="AW38" i="64"/>
  <c r="AO38" i="64"/>
  <c r="AG38" i="64"/>
  <c r="EF38" i="64" s="1"/>
  <c r="AV38" i="64"/>
  <c r="AN38" i="64"/>
  <c r="AT38" i="64"/>
  <c r="AL38" i="64"/>
  <c r="AZ38" i="64"/>
  <c r="AM38" i="64"/>
  <c r="AY38" i="64"/>
  <c r="AK38" i="64"/>
  <c r="AX38" i="64"/>
  <c r="AJ38" i="64"/>
  <c r="AU38" i="64"/>
  <c r="AI38" i="64"/>
  <c r="AR38" i="64"/>
  <c r="D38" i="64"/>
  <c r="L32" i="23" s="1"/>
  <c r="O32" i="24" s="1"/>
  <c r="AQ38" i="64"/>
  <c r="AP38" i="64"/>
  <c r="AS38" i="64"/>
  <c r="AH38" i="64"/>
  <c r="AZ39" i="64"/>
  <c r="AR39" i="64"/>
  <c r="AJ39" i="64"/>
  <c r="AY39" i="64"/>
  <c r="AQ39" i="64"/>
  <c r="AI39" i="64"/>
  <c r="AW39" i="64"/>
  <c r="AO39" i="64"/>
  <c r="AG39" i="64"/>
  <c r="EF39" i="64" s="1"/>
  <c r="AT39" i="64"/>
  <c r="AS39" i="64"/>
  <c r="AP39" i="64"/>
  <c r="D39" i="64"/>
  <c r="L33" i="23" s="1"/>
  <c r="O33" i="24" s="1"/>
  <c r="AN39" i="64"/>
  <c r="AX39" i="64"/>
  <c r="AL39" i="64"/>
  <c r="AV39" i="64"/>
  <c r="AK39" i="64"/>
  <c r="AU39" i="64"/>
  <c r="AH39" i="64"/>
  <c r="AM39" i="64"/>
  <c r="AW38" i="63"/>
  <c r="AO38" i="63"/>
  <c r="AG38" i="63"/>
  <c r="EF38" i="63" s="1"/>
  <c r="EF40" i="63" s="1"/>
  <c r="AV38" i="63"/>
  <c r="AN38" i="63"/>
  <c r="AT38" i="63"/>
  <c r="AL38" i="63"/>
  <c r="AP38" i="63"/>
  <c r="AZ38" i="63"/>
  <c r="AM38" i="63"/>
  <c r="AY38" i="63"/>
  <c r="AK38" i="63"/>
  <c r="AX38" i="63"/>
  <c r="AJ38" i="63"/>
  <c r="AU38" i="63"/>
  <c r="AI38" i="63"/>
  <c r="AR38" i="63"/>
  <c r="D38" i="63"/>
  <c r="AH38" i="63"/>
  <c r="AS38" i="63"/>
  <c r="AQ38" i="63"/>
  <c r="BB37" i="63"/>
  <c r="BA37" i="63"/>
  <c r="N37" i="63" s="1"/>
  <c r="EF40" i="64" l="1"/>
  <c r="EF40" i="69"/>
  <c r="EF40" i="72"/>
  <c r="EF40" i="73"/>
  <c r="Q66" i="73" s="1"/>
  <c r="V44" i="73" s="1"/>
  <c r="F16" i="50" s="1"/>
  <c r="F53" i="50" s="1"/>
  <c r="F54" i="50" s="1"/>
  <c r="EF40" i="71"/>
  <c r="P70" i="68"/>
  <c r="AL33" i="23"/>
  <c r="Q33" i="25" s="1"/>
  <c r="G86" i="70"/>
  <c r="BA37" i="70"/>
  <c r="N37" i="70" s="1"/>
  <c r="BB37" i="70"/>
  <c r="O31" i="25"/>
  <c r="AJ31" i="23"/>
  <c r="CA37" i="70"/>
  <c r="O37" i="70" s="1"/>
  <c r="AM38" i="70"/>
  <c r="AN38" i="70"/>
  <c r="AX38" i="70"/>
  <c r="AH32" i="23"/>
  <c r="L32" i="25" s="1"/>
  <c r="AW38" i="70"/>
  <c r="AK38" i="70"/>
  <c r="AO38" i="70"/>
  <c r="AS38" i="70"/>
  <c r="AV38" i="70"/>
  <c r="AY38" i="70"/>
  <c r="AG38" i="70"/>
  <c r="EF38" i="70" s="1"/>
  <c r="EF40" i="70" s="1"/>
  <c r="AH38" i="70"/>
  <c r="AT38" i="70"/>
  <c r="AZ38" i="70"/>
  <c r="AQ38" i="70"/>
  <c r="AP38" i="70"/>
  <c r="AL38" i="70"/>
  <c r="AR38" i="70"/>
  <c r="AI38" i="70"/>
  <c r="D38" i="70"/>
  <c r="AJ38" i="70"/>
  <c r="AU38" i="70"/>
  <c r="BA38" i="68"/>
  <c r="CA37" i="67"/>
  <c r="O37" i="67" s="1"/>
  <c r="B39" i="67"/>
  <c r="U33" i="23"/>
  <c r="Z33" i="24" s="1"/>
  <c r="T33" i="25"/>
  <c r="AN33" i="23"/>
  <c r="AD33" i="25"/>
  <c r="AV33" i="23"/>
  <c r="Y32" i="25"/>
  <c r="AR32" i="23"/>
  <c r="AF33" i="23"/>
  <c r="J33" i="25"/>
  <c r="J32" i="25"/>
  <c r="AF32" i="23"/>
  <c r="T32" i="25"/>
  <c r="AN32" i="23"/>
  <c r="Y31" i="25"/>
  <c r="AR31" i="23"/>
  <c r="AV32" i="23"/>
  <c r="AD32" i="25"/>
  <c r="BA37" i="67"/>
  <c r="N37" i="67" s="1"/>
  <c r="BB37" i="67"/>
  <c r="V32" i="23"/>
  <c r="AA32" i="24" s="1"/>
  <c r="G83" i="67"/>
  <c r="G77" i="67"/>
  <c r="G64" i="67"/>
  <c r="AP38" i="67"/>
  <c r="G85" i="67"/>
  <c r="G73" i="67"/>
  <c r="G74" i="67"/>
  <c r="AW38" i="67"/>
  <c r="G80" i="67"/>
  <c r="G71" i="67"/>
  <c r="AO38" i="67"/>
  <c r="AK38" i="67"/>
  <c r="AH38" i="67"/>
  <c r="AQ38" i="67"/>
  <c r="AN38" i="67"/>
  <c r="AU38" i="67"/>
  <c r="G72" i="67"/>
  <c r="G78" i="67"/>
  <c r="AG38" i="67"/>
  <c r="EF38" i="67" s="1"/>
  <c r="AT38" i="67"/>
  <c r="AM38" i="67"/>
  <c r="AI38" i="67"/>
  <c r="AS38" i="67"/>
  <c r="G79" i="67"/>
  <c r="G86" i="67"/>
  <c r="AL38" i="67"/>
  <c r="AX38" i="67"/>
  <c r="G70" i="67"/>
  <c r="G84" i="67"/>
  <c r="AV38" i="67"/>
  <c r="AZ38" i="67"/>
  <c r="AJ38" i="67"/>
  <c r="AR38" i="67"/>
  <c r="D38" i="67"/>
  <c r="X32" i="23" s="1"/>
  <c r="AD32" i="24" s="1"/>
  <c r="G68" i="67"/>
  <c r="G82" i="67"/>
  <c r="G66" i="67"/>
  <c r="AY38" i="67"/>
  <c r="G67" i="67"/>
  <c r="G76" i="67"/>
  <c r="G65" i="67"/>
  <c r="CA37" i="66"/>
  <c r="O37" i="66" s="1"/>
  <c r="BA37" i="66"/>
  <c r="N37" i="66" s="1"/>
  <c r="BB37" i="66"/>
  <c r="Q33" i="23"/>
  <c r="U33" i="24" s="1"/>
  <c r="R32" i="23"/>
  <c r="V32" i="24" s="1"/>
  <c r="G79" i="66"/>
  <c r="G67" i="66"/>
  <c r="AO38" i="66"/>
  <c r="AK38" i="66"/>
  <c r="AR38" i="66"/>
  <c r="AV38" i="66"/>
  <c r="AH38" i="66"/>
  <c r="G65" i="66"/>
  <c r="G72" i="66"/>
  <c r="AG38" i="66"/>
  <c r="EF38" i="66" s="1"/>
  <c r="AU38" i="66"/>
  <c r="T32" i="23"/>
  <c r="Y32" i="24" s="1"/>
  <c r="AS38" i="66"/>
  <c r="AL38" i="66"/>
  <c r="G77" i="66"/>
  <c r="G71" i="66"/>
  <c r="AZ38" i="66"/>
  <c r="AI38" i="66"/>
  <c r="AT38" i="66"/>
  <c r="AQ38" i="66"/>
  <c r="AN38" i="66"/>
  <c r="G82" i="66"/>
  <c r="G80" i="66"/>
  <c r="AM38" i="66"/>
  <c r="AX38" i="66"/>
  <c r="G73" i="66"/>
  <c r="G64" i="66"/>
  <c r="G70" i="66"/>
  <c r="G78" i="66"/>
  <c r="G68" i="66"/>
  <c r="G84" i="66"/>
  <c r="AJ38" i="66"/>
  <c r="AP38" i="66"/>
  <c r="G66" i="66"/>
  <c r="G86" i="66"/>
  <c r="G76" i="66"/>
  <c r="G74" i="66"/>
  <c r="G83" i="66"/>
  <c r="G85" i="66"/>
  <c r="AW38" i="66"/>
  <c r="AY38" i="66"/>
  <c r="AF39" i="63"/>
  <c r="H32" i="23"/>
  <c r="J32" i="24" s="1"/>
  <c r="G87" i="73"/>
  <c r="G86" i="72"/>
  <c r="G87" i="71"/>
  <c r="G87" i="69"/>
  <c r="BA38" i="63"/>
  <c r="N38" i="63" s="1"/>
  <c r="G87" i="64"/>
  <c r="G86" i="63"/>
  <c r="P39" i="73"/>
  <c r="P38" i="73"/>
  <c r="CA37" i="72"/>
  <c r="O37" i="72" s="1"/>
  <c r="BB39" i="73"/>
  <c r="BA39" i="73"/>
  <c r="CA38" i="73"/>
  <c r="O38" i="73" s="1"/>
  <c r="CA39" i="73"/>
  <c r="Q37" i="73"/>
  <c r="BB38" i="73"/>
  <c r="BA38" i="73"/>
  <c r="N38" i="73" s="1"/>
  <c r="BB38" i="72"/>
  <c r="BA38" i="72"/>
  <c r="BB37" i="72"/>
  <c r="BA37" i="72"/>
  <c r="N37" i="72" s="1"/>
  <c r="CA38" i="72"/>
  <c r="BB38" i="71"/>
  <c r="BA38" i="71"/>
  <c r="N38" i="71" s="1"/>
  <c r="BB39" i="71"/>
  <c r="BA39" i="71"/>
  <c r="BB38" i="69"/>
  <c r="BA38" i="69"/>
  <c r="N38" i="69" s="1"/>
  <c r="BB39" i="69"/>
  <c r="BA39" i="69"/>
  <c r="N38" i="65"/>
  <c r="BA39" i="65"/>
  <c r="BB39" i="64"/>
  <c r="BA39" i="64"/>
  <c r="CA38" i="64"/>
  <c r="O38" i="64" s="1"/>
  <c r="BB38" i="64"/>
  <c r="BA38" i="64"/>
  <c r="N38" i="64" s="1"/>
  <c r="BB38" i="63"/>
  <c r="V46" i="73" l="1"/>
  <c r="V53" i="73" s="1"/>
  <c r="FE37" i="73"/>
  <c r="FH37" i="73"/>
  <c r="FG37" i="73"/>
  <c r="FF37" i="73"/>
  <c r="BB38" i="70"/>
  <c r="BA38" i="70"/>
  <c r="AJ32" i="23"/>
  <c r="O32" i="25"/>
  <c r="CA38" i="70"/>
  <c r="O38" i="70" s="1"/>
  <c r="BA38" i="67"/>
  <c r="BB38" i="67"/>
  <c r="G87" i="67"/>
  <c r="V33" i="23"/>
  <c r="AA33" i="24" s="1"/>
  <c r="D39" i="67"/>
  <c r="X33" i="23" s="1"/>
  <c r="AD33" i="24" s="1"/>
  <c r="AW39" i="67"/>
  <c r="AT39" i="67"/>
  <c r="AX39" i="67"/>
  <c r="AM39" i="67"/>
  <c r="AZ39" i="67"/>
  <c r="AK39" i="67"/>
  <c r="AI39" i="67"/>
  <c r="AO39" i="67"/>
  <c r="AN39" i="67"/>
  <c r="AL39" i="67"/>
  <c r="AG39" i="67"/>
  <c r="EF39" i="67" s="1"/>
  <c r="EF40" i="67" s="1"/>
  <c r="AY39" i="67"/>
  <c r="AP39" i="67"/>
  <c r="AJ39" i="67"/>
  <c r="AS39" i="67"/>
  <c r="AU39" i="67"/>
  <c r="AV39" i="67"/>
  <c r="AH39" i="67"/>
  <c r="AQ39" i="67"/>
  <c r="AR39" i="67"/>
  <c r="BB38" i="66"/>
  <c r="BA38" i="66"/>
  <c r="R33" i="23"/>
  <c r="V33" i="24" s="1"/>
  <c r="AW39" i="66"/>
  <c r="AU39" i="66"/>
  <c r="AN39" i="66"/>
  <c r="AX39" i="66"/>
  <c r="AJ39" i="66"/>
  <c r="AM39" i="66"/>
  <c r="AO39" i="66"/>
  <c r="AI39" i="66"/>
  <c r="AP39" i="66"/>
  <c r="AT39" i="66"/>
  <c r="AZ39" i="66"/>
  <c r="AY39" i="66"/>
  <c r="AG39" i="66"/>
  <c r="EF39" i="66" s="1"/>
  <c r="EF40" i="66" s="1"/>
  <c r="AS39" i="66"/>
  <c r="AK39" i="66"/>
  <c r="AL39" i="66"/>
  <c r="AR39" i="66"/>
  <c r="AQ39" i="66"/>
  <c r="T33" i="23"/>
  <c r="Y33" i="24" s="1"/>
  <c r="AV39" i="66"/>
  <c r="AH39" i="66"/>
  <c r="G87" i="66"/>
  <c r="CA38" i="66"/>
  <c r="O38" i="66" s="1"/>
  <c r="P40" i="73"/>
  <c r="Q38" i="73"/>
  <c r="O39" i="73"/>
  <c r="O40" i="73" s="1"/>
  <c r="CA40" i="73"/>
  <c r="N39" i="73"/>
  <c r="BA40" i="73"/>
  <c r="O38" i="72"/>
  <c r="N38" i="72"/>
  <c r="BA39" i="72"/>
  <c r="N39" i="71"/>
  <c r="BA40" i="71"/>
  <c r="N39" i="69"/>
  <c r="BA40" i="69"/>
  <c r="N39" i="65"/>
  <c r="I46" i="65" s="1"/>
  <c r="N39" i="64"/>
  <c r="BA40" i="64"/>
  <c r="BA39" i="63"/>
  <c r="FH38" i="73" l="1"/>
  <c r="FG38" i="73"/>
  <c r="FF38" i="73"/>
  <c r="FE38" i="73"/>
  <c r="N38" i="70"/>
  <c r="N39" i="70" s="1"/>
  <c r="I46" i="70" s="1"/>
  <c r="BA39" i="70"/>
  <c r="BB39" i="67"/>
  <c r="BA39" i="67"/>
  <c r="N39" i="67" s="1"/>
  <c r="N38" i="67"/>
  <c r="CA39" i="66"/>
  <c r="O39" i="66" s="1"/>
  <c r="BB39" i="66"/>
  <c r="BA39" i="66"/>
  <c r="N39" i="66" s="1"/>
  <c r="N38" i="66"/>
  <c r="I50" i="65"/>
  <c r="E8" i="50" s="1"/>
  <c r="E33" i="50" s="1"/>
  <c r="D8" i="50"/>
  <c r="D33" i="50" s="1"/>
  <c r="I49" i="68"/>
  <c r="E11" i="50" s="1"/>
  <c r="E42" i="50" s="1"/>
  <c r="D11" i="50"/>
  <c r="D42" i="50" s="1"/>
  <c r="Q39" i="73"/>
  <c r="N40" i="73"/>
  <c r="I47" i="73" s="1"/>
  <c r="N39" i="72"/>
  <c r="I46" i="72" s="1"/>
  <c r="N40" i="71"/>
  <c r="I47" i="71" s="1"/>
  <c r="N40" i="69"/>
  <c r="I47" i="69" s="1"/>
  <c r="N40" i="64"/>
  <c r="I47" i="64" s="1"/>
  <c r="N39" i="63"/>
  <c r="I46" i="63" s="1"/>
  <c r="Q40" i="73" l="1"/>
  <c r="FG39" i="73"/>
  <c r="FG40" i="73" s="1"/>
  <c r="FF39" i="73"/>
  <c r="FF40" i="73" s="1"/>
  <c r="FE39" i="73"/>
  <c r="FE40" i="73" s="1"/>
  <c r="P74" i="73" s="1"/>
  <c r="V43" i="73" s="1"/>
  <c r="FH39" i="73"/>
  <c r="FH40" i="73" s="1"/>
  <c r="I50" i="63"/>
  <c r="E6" i="50" s="1"/>
  <c r="E25" i="50" s="1"/>
  <c r="N40" i="67"/>
  <c r="BA40" i="66"/>
  <c r="N40" i="66"/>
  <c r="I47" i="66" s="1"/>
  <c r="BA40" i="67"/>
  <c r="I50" i="70"/>
  <c r="E13" i="50" s="1"/>
  <c r="E44" i="50" s="1"/>
  <c r="D13" i="50"/>
  <c r="D44" i="50" s="1"/>
  <c r="D6" i="50"/>
  <c r="D25" i="50" s="1"/>
  <c r="I51" i="64"/>
  <c r="E7" i="50" s="1"/>
  <c r="E26" i="50" s="1"/>
  <c r="D7" i="50"/>
  <c r="D26" i="50" s="1"/>
  <c r="I51" i="71"/>
  <c r="E14" i="50" s="1"/>
  <c r="E51" i="50" s="1"/>
  <c r="D14" i="50"/>
  <c r="D51" i="50" s="1"/>
  <c r="I50" i="72"/>
  <c r="E15" i="50" s="1"/>
  <c r="E52" i="50" s="1"/>
  <c r="D15" i="50"/>
  <c r="D52" i="50" s="1"/>
  <c r="I51" i="73"/>
  <c r="E16" i="50" s="1"/>
  <c r="E53" i="50" s="1"/>
  <c r="D16" i="50"/>
  <c r="D53" i="50" s="1"/>
  <c r="AV35" i="23"/>
  <c r="D74" i="41"/>
  <c r="AM35" i="23" s="1"/>
  <c r="I18" i="1" s="1"/>
  <c r="D73" i="41"/>
  <c r="D72" i="41"/>
  <c r="D70" i="41"/>
  <c r="AE37" i="23" s="1"/>
  <c r="I17" i="1" s="1"/>
  <c r="D69" i="41"/>
  <c r="D68" i="41"/>
  <c r="D67" i="41"/>
  <c r="D66" i="41"/>
  <c r="Y40" i="41"/>
  <c r="Y11" i="41"/>
  <c r="Y13" i="41"/>
  <c r="Y14" i="41"/>
  <c r="Y21" i="41"/>
  <c r="Y24" i="41"/>
  <c r="Y29" i="41"/>
  <c r="Y30" i="41"/>
  <c r="Y31" i="41"/>
  <c r="Y32" i="41"/>
  <c r="Y34" i="41"/>
  <c r="Y35" i="41"/>
  <c r="Y36" i="41"/>
  <c r="Y37" i="41"/>
  <c r="Y39" i="41"/>
  <c r="FL24" i="41" l="1"/>
  <c r="FJ24" i="41"/>
  <c r="FL32" i="41"/>
  <c r="FJ32" i="41"/>
  <c r="FL11" i="41"/>
  <c r="FJ11" i="41"/>
  <c r="FL31" i="41"/>
  <c r="FJ31" i="41"/>
  <c r="FL30" i="41"/>
  <c r="FJ30" i="41"/>
  <c r="FJ40" i="41"/>
  <c r="FL40" i="41"/>
  <c r="FL39" i="41"/>
  <c r="FJ39" i="41"/>
  <c r="FL29" i="41"/>
  <c r="FJ29" i="41"/>
  <c r="FL37" i="41"/>
  <c r="FJ37" i="41"/>
  <c r="FL36" i="41"/>
  <c r="FJ36" i="41"/>
  <c r="FL21" i="41"/>
  <c r="FJ21" i="41"/>
  <c r="FJ35" i="41"/>
  <c r="FL35" i="41"/>
  <c r="FL14" i="41"/>
  <c r="FJ14" i="41"/>
  <c r="FL34" i="41"/>
  <c r="FJ34" i="41"/>
  <c r="FL13" i="41"/>
  <c r="FJ13" i="41"/>
  <c r="I47" i="67"/>
  <c r="I51" i="67" s="1"/>
  <c r="E10" i="50" s="1"/>
  <c r="E35" i="50" s="1"/>
  <c r="I51" i="66"/>
  <c r="E9" i="50" s="1"/>
  <c r="E34" i="50" s="1"/>
  <c r="D9" i="50"/>
  <c r="D34" i="50" s="1"/>
  <c r="U36" i="24"/>
  <c r="U37" i="25"/>
  <c r="Q39" i="24"/>
  <c r="Q40" i="25"/>
  <c r="U38" i="24"/>
  <c r="U39" i="25"/>
  <c r="D77" i="41"/>
  <c r="I63" i="1"/>
  <c r="I39" i="1" s="1"/>
  <c r="I20" i="1" s="1"/>
  <c r="W37" i="23"/>
  <c r="I13" i="1"/>
  <c r="W35" i="23"/>
  <c r="D40" i="23" s="1"/>
  <c r="I14" i="1"/>
  <c r="AE35" i="23"/>
  <c r="I65" i="1"/>
  <c r="I41" i="1" s="1"/>
  <c r="I22" i="1" s="1"/>
  <c r="O37" i="23"/>
  <c r="E54" i="50"/>
  <c r="D54" i="50"/>
  <c r="H46" i="41"/>
  <c r="I46" i="41" s="1"/>
  <c r="H45" i="41"/>
  <c r="I45" i="41" s="1"/>
  <c r="H48" i="41"/>
  <c r="A87" i="41"/>
  <c r="O35" i="23" s="1"/>
  <c r="D10" i="50" l="1"/>
  <c r="D35" i="50" s="1"/>
  <c r="D36" i="50" s="1"/>
  <c r="E36" i="50"/>
  <c r="I42" i="72"/>
  <c r="I45" i="72" s="1"/>
  <c r="C15" i="50" s="1"/>
  <c r="C52" i="50" s="1"/>
  <c r="I43" i="67"/>
  <c r="I46" i="67" s="1"/>
  <c r="C10" i="50" s="1"/>
  <c r="C35" i="50" s="1"/>
  <c r="I43" i="73"/>
  <c r="I46" i="73" s="1"/>
  <c r="C16" i="50" s="1"/>
  <c r="C53" i="50" s="1"/>
  <c r="I42" i="70"/>
  <c r="I45" i="70" s="1"/>
  <c r="C13" i="50" s="1"/>
  <c r="C44" i="50" s="1"/>
  <c r="I43" i="64"/>
  <c r="I46" i="64" s="1"/>
  <c r="C7" i="50" s="1"/>
  <c r="C26" i="50" s="1"/>
  <c r="I42" i="65"/>
  <c r="I45" i="65" s="1"/>
  <c r="C8" i="50" s="1"/>
  <c r="C33" i="50" s="1"/>
  <c r="I43" i="66"/>
  <c r="I46" i="66" s="1"/>
  <c r="C9" i="50" s="1"/>
  <c r="C34" i="50" s="1"/>
  <c r="I43" i="69"/>
  <c r="I46" i="69" s="1"/>
  <c r="C12" i="50" s="1"/>
  <c r="C43" i="50" s="1"/>
  <c r="I42" i="63"/>
  <c r="I45" i="63" s="1"/>
  <c r="C6" i="50" s="1"/>
  <c r="C25" i="50" s="1"/>
  <c r="I43" i="71"/>
  <c r="I46" i="71" s="1"/>
  <c r="C14" i="50" s="1"/>
  <c r="C51" i="50" s="1"/>
  <c r="I41" i="68"/>
  <c r="I44" i="68" s="1"/>
  <c r="C11" i="50" s="1"/>
  <c r="C42" i="50" s="1"/>
  <c r="D78" i="41"/>
  <c r="O38" i="24"/>
  <c r="O39" i="25"/>
  <c r="H37" i="24"/>
  <c r="H38" i="25"/>
  <c r="O37" i="24"/>
  <c r="O38" i="25"/>
  <c r="H38" i="24"/>
  <c r="H39" i="25"/>
  <c r="T37" i="24"/>
  <c r="T38" i="25"/>
  <c r="CB11" i="41"/>
  <c r="CX11" i="41" s="1"/>
  <c r="CC11" i="41"/>
  <c r="CB12" i="41"/>
  <c r="CC12" i="41"/>
  <c r="CB13" i="41"/>
  <c r="CC13" i="41"/>
  <c r="CB14" i="41"/>
  <c r="CC14" i="41"/>
  <c r="CB15" i="41"/>
  <c r="CX15" i="41" s="1"/>
  <c r="CC15" i="41"/>
  <c r="CB16" i="41"/>
  <c r="CC16" i="41"/>
  <c r="CB17" i="41"/>
  <c r="CC17" i="41"/>
  <c r="CB18" i="41"/>
  <c r="CC18" i="41"/>
  <c r="CB19" i="41"/>
  <c r="CX19" i="41" s="1"/>
  <c r="CC19" i="41"/>
  <c r="CB20" i="41"/>
  <c r="CC20" i="41"/>
  <c r="CB21" i="41"/>
  <c r="CC21" i="41"/>
  <c r="CB22" i="41"/>
  <c r="CC22" i="41"/>
  <c r="CB23" i="41"/>
  <c r="CC23" i="41"/>
  <c r="CB24" i="41"/>
  <c r="CC24" i="41"/>
  <c r="CB25" i="41"/>
  <c r="CC25" i="41"/>
  <c r="CB26" i="41"/>
  <c r="CC26" i="41"/>
  <c r="CB27" i="41"/>
  <c r="CX27" i="41" s="1"/>
  <c r="CC27" i="41"/>
  <c r="CB28" i="41"/>
  <c r="CC28" i="41"/>
  <c r="CB29" i="41"/>
  <c r="CC29" i="41"/>
  <c r="CB30" i="41"/>
  <c r="CC30" i="41"/>
  <c r="CB31" i="41"/>
  <c r="CC31" i="41"/>
  <c r="CB32" i="41"/>
  <c r="CC32" i="41"/>
  <c r="CB33" i="41"/>
  <c r="CC33" i="41"/>
  <c r="CB34" i="41"/>
  <c r="CC34" i="41"/>
  <c r="CB35" i="41"/>
  <c r="CC35" i="41"/>
  <c r="CB36" i="41"/>
  <c r="CC36" i="41"/>
  <c r="CB37" i="41"/>
  <c r="CC37" i="41"/>
  <c r="CB38" i="41"/>
  <c r="CC38" i="41"/>
  <c r="CB39" i="41"/>
  <c r="CC39" i="41"/>
  <c r="CB40" i="41"/>
  <c r="CC40" i="41"/>
  <c r="CC10" i="41"/>
  <c r="CB10" i="41"/>
  <c r="CX10" i="41" s="1"/>
  <c r="H44" i="41" l="1"/>
  <c r="B34" i="23" s="1"/>
  <c r="CX38" i="41"/>
  <c r="CX18" i="41"/>
  <c r="CX14" i="41"/>
  <c r="CX17" i="41"/>
  <c r="CX13" i="41"/>
  <c r="CX12" i="41"/>
  <c r="CX20" i="41"/>
  <c r="CX16" i="41"/>
  <c r="CX34" i="41"/>
  <c r="CX33" i="41"/>
  <c r="CX32" i="41"/>
  <c r="CX37" i="41"/>
  <c r="CX40" i="41"/>
  <c r="CX25" i="41"/>
  <c r="CX26" i="41"/>
  <c r="CX36" i="41"/>
  <c r="CX29" i="41"/>
  <c r="CX28" i="41"/>
  <c r="CX35" i="41"/>
  <c r="CX39" i="41"/>
  <c r="CX30" i="41"/>
  <c r="CX23" i="41"/>
  <c r="CX31" i="41"/>
  <c r="CX24" i="41"/>
  <c r="CX22" i="41"/>
  <c r="CX21" i="41"/>
  <c r="C45" i="50"/>
  <c r="C54" i="50"/>
  <c r="C36" i="50"/>
  <c r="DG33" i="41"/>
  <c r="DG29" i="41"/>
  <c r="DG25" i="41"/>
  <c r="DG21" i="41"/>
  <c r="DG17" i="41"/>
  <c r="DG13" i="41"/>
  <c r="DD41" i="41"/>
  <c r="DG38" i="41"/>
  <c r="DG34" i="41"/>
  <c r="DG30" i="41"/>
  <c r="DG26" i="41"/>
  <c r="DG22" i="41"/>
  <c r="DG19" i="41"/>
  <c r="DG18" i="41"/>
  <c r="DG14" i="41"/>
  <c r="DG11" i="41"/>
  <c r="DG27" i="41"/>
  <c r="DG39" i="41"/>
  <c r="DG35" i="41"/>
  <c r="DG31" i="41"/>
  <c r="DG23" i="41"/>
  <c r="DG15" i="41"/>
  <c r="DG37" i="41"/>
  <c r="DG20" i="41"/>
  <c r="DG12" i="41"/>
  <c r="DG10" i="41"/>
  <c r="DG40" i="41"/>
  <c r="DG36" i="41"/>
  <c r="DG32" i="41"/>
  <c r="DG28" i="41"/>
  <c r="DG24" i="41"/>
  <c r="DG16" i="41"/>
  <c r="CZ41" i="41"/>
  <c r="DB41" i="41"/>
  <c r="DE41" i="41"/>
  <c r="DA41" i="41"/>
  <c r="DC41" i="41"/>
  <c r="CY41" i="41"/>
  <c r="DF41" i="41"/>
  <c r="BD11" i="41"/>
  <c r="BE11" i="41"/>
  <c r="BF11" i="41"/>
  <c r="BD12" i="41"/>
  <c r="BE12" i="41"/>
  <c r="BF12" i="41"/>
  <c r="BD13" i="41"/>
  <c r="BE13" i="41"/>
  <c r="BF13" i="41"/>
  <c r="BD14" i="41"/>
  <c r="BE14" i="41"/>
  <c r="BF14" i="41"/>
  <c r="BD15" i="41"/>
  <c r="BE15" i="41"/>
  <c r="BF15" i="41"/>
  <c r="BD16" i="41"/>
  <c r="BE16" i="41"/>
  <c r="BF16" i="41"/>
  <c r="BD17" i="41"/>
  <c r="BE17" i="41"/>
  <c r="BF17" i="41"/>
  <c r="BD18" i="41"/>
  <c r="BE18" i="41"/>
  <c r="BF18" i="41"/>
  <c r="BD19" i="41"/>
  <c r="BE19" i="41"/>
  <c r="BF19" i="41"/>
  <c r="BD20" i="41"/>
  <c r="BE20" i="41"/>
  <c r="BF20" i="41"/>
  <c r="BD21" i="41"/>
  <c r="BE21" i="41"/>
  <c r="BF21" i="41"/>
  <c r="BD22" i="41"/>
  <c r="BE22" i="41"/>
  <c r="BF22" i="41"/>
  <c r="BD23" i="41"/>
  <c r="BE23" i="41"/>
  <c r="BF23" i="41"/>
  <c r="BD24" i="41"/>
  <c r="BE24" i="41"/>
  <c r="BF24" i="41"/>
  <c r="BD25" i="41"/>
  <c r="BE25" i="41"/>
  <c r="BF25" i="41"/>
  <c r="BD26" i="41"/>
  <c r="BE26" i="41"/>
  <c r="BF26" i="41"/>
  <c r="BD27" i="41"/>
  <c r="BE27" i="41"/>
  <c r="BF27" i="41"/>
  <c r="BD28" i="41"/>
  <c r="BE28" i="41"/>
  <c r="BF28" i="41"/>
  <c r="BD29" i="41"/>
  <c r="BE29" i="41"/>
  <c r="BF29" i="41"/>
  <c r="BD30" i="41"/>
  <c r="BE30" i="41"/>
  <c r="BF30" i="41"/>
  <c r="BD31" i="41"/>
  <c r="BE31" i="41"/>
  <c r="BF31" i="41"/>
  <c r="BD32" i="41"/>
  <c r="BE32" i="41"/>
  <c r="BF32" i="41"/>
  <c r="BD33" i="41"/>
  <c r="BE33" i="41"/>
  <c r="BF33" i="41"/>
  <c r="BD34" i="41"/>
  <c r="BE34" i="41"/>
  <c r="BF34" i="41"/>
  <c r="BD35" i="41"/>
  <c r="BE35" i="41"/>
  <c r="BF35" i="41"/>
  <c r="BD36" i="41"/>
  <c r="BE36" i="41"/>
  <c r="BF36" i="41"/>
  <c r="BD37" i="41"/>
  <c r="BE37" i="41"/>
  <c r="BF37" i="41"/>
  <c r="BD38" i="41"/>
  <c r="BE38" i="41"/>
  <c r="BF38" i="41"/>
  <c r="BD39" i="41"/>
  <c r="BE39" i="41"/>
  <c r="BF39" i="41"/>
  <c r="BD40" i="41"/>
  <c r="BE40" i="41"/>
  <c r="BF40" i="41"/>
  <c r="BF10" i="41"/>
  <c r="BE10" i="41"/>
  <c r="BD10" i="41"/>
  <c r="BC10" i="41"/>
  <c r="BC11" i="41"/>
  <c r="BC12" i="41"/>
  <c r="BC13" i="41"/>
  <c r="BC14" i="41"/>
  <c r="BC15" i="41"/>
  <c r="BC16" i="41"/>
  <c r="BC17" i="41"/>
  <c r="BC18" i="41"/>
  <c r="BC19" i="41"/>
  <c r="BC20" i="41"/>
  <c r="BC21" i="41"/>
  <c r="BC22" i="41"/>
  <c r="BC23" i="41"/>
  <c r="BC24" i="41"/>
  <c r="BC25" i="41"/>
  <c r="BC26" i="41"/>
  <c r="BC27" i="41"/>
  <c r="BC28" i="41"/>
  <c r="BC29" i="41"/>
  <c r="BC30" i="41"/>
  <c r="BC31" i="41"/>
  <c r="BC32" i="41"/>
  <c r="BC33" i="41"/>
  <c r="BC34" i="41"/>
  <c r="BC35" i="41"/>
  <c r="BC36" i="41"/>
  <c r="BC37" i="41"/>
  <c r="BC38" i="41"/>
  <c r="BC39" i="41"/>
  <c r="BC40" i="41"/>
  <c r="AD11" i="41"/>
  <c r="AD12" i="41"/>
  <c r="AD13" i="41"/>
  <c r="AD14" i="41"/>
  <c r="AD15" i="41"/>
  <c r="AD16" i="41"/>
  <c r="AD17" i="41"/>
  <c r="AD18" i="41"/>
  <c r="AD19" i="41"/>
  <c r="AD20" i="41"/>
  <c r="AD21" i="41"/>
  <c r="AD22" i="41"/>
  <c r="AD23" i="41"/>
  <c r="AD24" i="41"/>
  <c r="AD25" i="41"/>
  <c r="AD26" i="41"/>
  <c r="AD27" i="41"/>
  <c r="AD28" i="41"/>
  <c r="AD29" i="41"/>
  <c r="AD30" i="41"/>
  <c r="AD31" i="41"/>
  <c r="AD32" i="41"/>
  <c r="AD33" i="41"/>
  <c r="AD34" i="41"/>
  <c r="AD35" i="41"/>
  <c r="AD36" i="41"/>
  <c r="AD37" i="41"/>
  <c r="AD38" i="41"/>
  <c r="AD39" i="41"/>
  <c r="AD40" i="41"/>
  <c r="AD10" i="41"/>
  <c r="AA11" i="41"/>
  <c r="AB11" i="41"/>
  <c r="AA12" i="41"/>
  <c r="AB12" i="41"/>
  <c r="AA13" i="41"/>
  <c r="AB13" i="41"/>
  <c r="AA14" i="41"/>
  <c r="AB14" i="41"/>
  <c r="AA15" i="41"/>
  <c r="AB15" i="41"/>
  <c r="AA16" i="41"/>
  <c r="AB16" i="41"/>
  <c r="AA17" i="41"/>
  <c r="AB17" i="41"/>
  <c r="AA18" i="41"/>
  <c r="AB18" i="41"/>
  <c r="AA19" i="41"/>
  <c r="AB19" i="41"/>
  <c r="AA20" i="41"/>
  <c r="AB20" i="41"/>
  <c r="AA21" i="41"/>
  <c r="AB21" i="41"/>
  <c r="AA22" i="41"/>
  <c r="AB22" i="41"/>
  <c r="AA23" i="41"/>
  <c r="AB23" i="41"/>
  <c r="AA24" i="41"/>
  <c r="AB24" i="41"/>
  <c r="AA25" i="41"/>
  <c r="AB25" i="41"/>
  <c r="AA26" i="41"/>
  <c r="AB26" i="41"/>
  <c r="AA27" i="41"/>
  <c r="AB27" i="41"/>
  <c r="AA28" i="41"/>
  <c r="AB28" i="41"/>
  <c r="AA29" i="41"/>
  <c r="AB29" i="41"/>
  <c r="AA30" i="41"/>
  <c r="AB30" i="41"/>
  <c r="AA31" i="41"/>
  <c r="AB31" i="41"/>
  <c r="AA32" i="41"/>
  <c r="AB32" i="41"/>
  <c r="AA33" i="41"/>
  <c r="AB33" i="41"/>
  <c r="AA34" i="41"/>
  <c r="AB34" i="41"/>
  <c r="AA35" i="41"/>
  <c r="AB35" i="41"/>
  <c r="AA36" i="41"/>
  <c r="AB36" i="41"/>
  <c r="AA37" i="41"/>
  <c r="AB37" i="41"/>
  <c r="AA38" i="41"/>
  <c r="AB38" i="41"/>
  <c r="AA39" i="41"/>
  <c r="AB39" i="41"/>
  <c r="AA40" i="41"/>
  <c r="AB40" i="41"/>
  <c r="AB10" i="41"/>
  <c r="AE11" i="41"/>
  <c r="AE12" i="41"/>
  <c r="AE13" i="41"/>
  <c r="AE14" i="41"/>
  <c r="AE15" i="41"/>
  <c r="AE16" i="41"/>
  <c r="AE17" i="41"/>
  <c r="AE18" i="41"/>
  <c r="AE19" i="41"/>
  <c r="AE20" i="41"/>
  <c r="AE21" i="41"/>
  <c r="AE22" i="41"/>
  <c r="AE23" i="41"/>
  <c r="AE24" i="41"/>
  <c r="AE25" i="41"/>
  <c r="AE26" i="41"/>
  <c r="AE27" i="41"/>
  <c r="AE28" i="41"/>
  <c r="AE29" i="41"/>
  <c r="AE30" i="41"/>
  <c r="AE31" i="41"/>
  <c r="AE32" i="41"/>
  <c r="AE33" i="41"/>
  <c r="AE34" i="41"/>
  <c r="AE35" i="41"/>
  <c r="AE36" i="41"/>
  <c r="AE37" i="41"/>
  <c r="AE38" i="41"/>
  <c r="AE39" i="41"/>
  <c r="AE40" i="41"/>
  <c r="AE10" i="41"/>
  <c r="AC10" i="41"/>
  <c r="AC11" i="41"/>
  <c r="AC12" i="41"/>
  <c r="AC13" i="41"/>
  <c r="AC14" i="41"/>
  <c r="AC1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FR25" i="41" l="1"/>
  <c r="FP25" i="41"/>
  <c r="FR33" i="41"/>
  <c r="FP33" i="41"/>
  <c r="FP26" i="41"/>
  <c r="FR26" i="41"/>
  <c r="C34" i="24"/>
  <c r="D39" i="23"/>
  <c r="D41" i="23" s="1"/>
  <c r="E56" i="50"/>
  <c r="E55" i="50"/>
  <c r="E38" i="50"/>
  <c r="E37" i="50"/>
  <c r="BC41" i="41"/>
  <c r="AA41" i="41"/>
  <c r="BE41" i="41"/>
  <c r="AC41" i="41"/>
  <c r="J49" i="1" s="1"/>
  <c r="DG41" i="41"/>
  <c r="BD41" i="41"/>
  <c r="BF41" i="41"/>
  <c r="AD41" i="41"/>
  <c r="J30" i="1" l="1"/>
  <c r="J8" i="44"/>
  <c r="FR41" i="41"/>
  <c r="FP41" i="41"/>
  <c r="J57" i="1"/>
  <c r="J19" i="44" s="1"/>
  <c r="J4" i="61"/>
  <c r="CA10" i="65" l="1"/>
  <c r="O10" i="65" s="1"/>
  <c r="CA13" i="64"/>
  <c r="O13" i="64" s="1"/>
  <c r="CA15" i="63"/>
  <c r="O15" i="63" s="1"/>
  <c r="CA20" i="64"/>
  <c r="O20" i="64" s="1"/>
  <c r="CA22" i="63"/>
  <c r="O22" i="63" s="1"/>
  <c r="CA29" i="63"/>
  <c r="O29" i="63" s="1"/>
  <c r="CA34" i="64"/>
  <c r="O34" i="64" s="1"/>
  <c r="CA36" i="63"/>
  <c r="O36" i="63" s="1"/>
  <c r="CA34" i="67"/>
  <c r="O34" i="67" s="1"/>
  <c r="CA9" i="63"/>
  <c r="CA11" i="65"/>
  <c r="O11" i="65" s="1"/>
  <c r="CA14" i="64"/>
  <c r="O14" i="64" s="1"/>
  <c r="CA16" i="63"/>
  <c r="O16" i="63" s="1"/>
  <c r="CA21" i="64"/>
  <c r="O21" i="64" s="1"/>
  <c r="CA23" i="63"/>
  <c r="O23" i="63" s="1"/>
  <c r="CA30" i="63"/>
  <c r="O30" i="63" s="1"/>
  <c r="CA35" i="64"/>
  <c r="O35" i="64" s="1"/>
  <c r="CA37" i="63"/>
  <c r="O37" i="63" s="1"/>
  <c r="CA9" i="65"/>
  <c r="CA12" i="64"/>
  <c r="O12" i="64" s="1"/>
  <c r="CA14" i="63"/>
  <c r="O14" i="63" s="1"/>
  <c r="CA19" i="64"/>
  <c r="O19" i="64" s="1"/>
  <c r="CA21" i="63"/>
  <c r="O21" i="63" s="1"/>
  <c r="CA28" i="63"/>
  <c r="O28" i="63" s="1"/>
  <c r="CA33" i="64"/>
  <c r="O33" i="64" s="1"/>
  <c r="CA35" i="63"/>
  <c r="O35" i="63" s="1"/>
  <c r="CA10" i="63"/>
  <c r="O10" i="63" s="1"/>
  <c r="CA12" i="65"/>
  <c r="O12" i="65" s="1"/>
  <c r="CA15" i="64"/>
  <c r="O15" i="64" s="1"/>
  <c r="CA17" i="63"/>
  <c r="O17" i="63" s="1"/>
  <c r="CA22" i="64"/>
  <c r="O22" i="64" s="1"/>
  <c r="CA24" i="63"/>
  <c r="O24" i="63" s="1"/>
  <c r="CA31" i="63"/>
  <c r="O31" i="63" s="1"/>
  <c r="CA36" i="64"/>
  <c r="O36" i="64" s="1"/>
  <c r="CA38" i="63"/>
  <c r="O38" i="63" s="1"/>
  <c r="CA11" i="64"/>
  <c r="CA13" i="63"/>
  <c r="O13" i="63" s="1"/>
  <c r="CA18" i="64"/>
  <c r="O18" i="64" s="1"/>
  <c r="CA20" i="63"/>
  <c r="O20" i="63" s="1"/>
  <c r="CA27" i="63"/>
  <c r="O27" i="63" s="1"/>
  <c r="CA32" i="64"/>
  <c r="O32" i="64" s="1"/>
  <c r="CA34" i="63"/>
  <c r="O34" i="63" s="1"/>
  <c r="CA39" i="64"/>
  <c r="O39" i="64" s="1"/>
  <c r="CA24" i="66"/>
  <c r="O24" i="66" s="1"/>
  <c r="AE41" i="41"/>
  <c r="J50" i="1" s="1"/>
  <c r="E39" i="43"/>
  <c r="A32" i="43"/>
  <c r="J31" i="1" l="1"/>
  <c r="J9" i="44"/>
  <c r="P9" i="70"/>
  <c r="Q9" i="70" s="1"/>
  <c r="P9" i="64"/>
  <c r="Q9" i="64" s="1"/>
  <c r="P12" i="68"/>
  <c r="Q12" i="68" s="1"/>
  <c r="P13" i="65"/>
  <c r="Q13" i="65" s="1"/>
  <c r="P15" i="67"/>
  <c r="Q15" i="67" s="1"/>
  <c r="P16" i="64"/>
  <c r="Q16" i="64" s="1"/>
  <c r="P20" i="65"/>
  <c r="Q20" i="65" s="1"/>
  <c r="P22" i="67"/>
  <c r="Q22" i="67" s="1"/>
  <c r="P26" i="68"/>
  <c r="Q26" i="68" s="1"/>
  <c r="P27" i="65"/>
  <c r="Q27" i="65" s="1"/>
  <c r="P28" i="71"/>
  <c r="Q28" i="71" s="1"/>
  <c r="P30" i="64"/>
  <c r="Q30" i="64" s="1"/>
  <c r="P29" i="67"/>
  <c r="Q29" i="67" s="1"/>
  <c r="P33" i="68"/>
  <c r="Q33" i="68" s="1"/>
  <c r="P33" i="69"/>
  <c r="Q33" i="69" s="1"/>
  <c r="P34" i="65"/>
  <c r="Q34" i="65" s="1"/>
  <c r="P36" i="67"/>
  <c r="Q36" i="67" s="1"/>
  <c r="P37" i="64"/>
  <c r="Q37" i="64" s="1"/>
  <c r="P34" i="69"/>
  <c r="Q34" i="69" s="1"/>
  <c r="P13" i="71"/>
  <c r="Q13" i="71" s="1"/>
  <c r="P15" i="70"/>
  <c r="Q15" i="70" s="1"/>
  <c r="P25" i="68"/>
  <c r="Q25" i="68" s="1"/>
  <c r="P29" i="64"/>
  <c r="Q29" i="64" s="1"/>
  <c r="CA32" i="65"/>
  <c r="O32" i="65" s="1"/>
  <c r="CA22" i="69"/>
  <c r="O22" i="69" s="1"/>
  <c r="CA28" i="72"/>
  <c r="O28" i="72" s="1"/>
  <c r="CA24" i="72"/>
  <c r="O24" i="72" s="1"/>
  <c r="CA14" i="68"/>
  <c r="O14" i="68" s="1"/>
  <c r="CA32" i="70"/>
  <c r="O32" i="70" s="1"/>
  <c r="CA18" i="68"/>
  <c r="O18" i="68" s="1"/>
  <c r="CA10" i="71"/>
  <c r="O10" i="71" s="1"/>
  <c r="Z9" i="71" s="1"/>
  <c r="Z40" i="71" s="1"/>
  <c r="CA21" i="72"/>
  <c r="O21" i="72" s="1"/>
  <c r="CA31" i="72"/>
  <c r="O31" i="72" s="1"/>
  <c r="CA18" i="71"/>
  <c r="O18" i="71" s="1"/>
  <c r="CA30" i="71"/>
  <c r="O30" i="71" s="1"/>
  <c r="CA11" i="68"/>
  <c r="O11" i="68" s="1"/>
  <c r="CA15" i="65"/>
  <c r="O15" i="65" s="1"/>
  <c r="P20" i="69"/>
  <c r="Q20" i="69" s="1"/>
  <c r="P19" i="72"/>
  <c r="Q19" i="72" s="1"/>
  <c r="P22" i="71"/>
  <c r="Q22" i="71" s="1"/>
  <c r="P31" i="70"/>
  <c r="Q31" i="70" s="1"/>
  <c r="P33" i="72"/>
  <c r="Q33" i="72" s="1"/>
  <c r="P38" i="70"/>
  <c r="Q38" i="70" s="1"/>
  <c r="P10" i="64"/>
  <c r="Q10" i="64" s="1"/>
  <c r="P12" i="63"/>
  <c r="Q12" i="63" s="1"/>
  <c r="P17" i="64"/>
  <c r="Q17" i="64" s="1"/>
  <c r="P19" i="66"/>
  <c r="Q19" i="66" s="1"/>
  <c r="P19" i="63"/>
  <c r="Q19" i="63" s="1"/>
  <c r="P18" i="72"/>
  <c r="Q18" i="72" s="1"/>
  <c r="P23" i="70"/>
  <c r="Q23" i="70" s="1"/>
  <c r="P26" i="63"/>
  <c r="Q26" i="63" s="1"/>
  <c r="P27" i="68"/>
  <c r="Q27" i="68" s="1"/>
  <c r="P28" i="65"/>
  <c r="Q28" i="65" s="1"/>
  <c r="P30" i="67"/>
  <c r="Q30" i="67" s="1"/>
  <c r="P31" i="64"/>
  <c r="Q31" i="64" s="1"/>
  <c r="P32" i="72"/>
  <c r="Q32" i="72" s="1"/>
  <c r="P33" i="63"/>
  <c r="Q33" i="63" s="1"/>
  <c r="P34" i="68"/>
  <c r="Q34" i="68" s="1"/>
  <c r="P37" i="67"/>
  <c r="Q37" i="67" s="1"/>
  <c r="P38" i="64"/>
  <c r="Q38" i="64" s="1"/>
  <c r="CA17" i="69"/>
  <c r="O17" i="69" s="1"/>
  <c r="CA21" i="70"/>
  <c r="O21" i="70" s="1"/>
  <c r="CA21" i="67"/>
  <c r="O21" i="67" s="1"/>
  <c r="CA17" i="66"/>
  <c r="O17" i="66" s="1"/>
  <c r="CA18" i="69"/>
  <c r="O18" i="69" s="1"/>
  <c r="CA39" i="67"/>
  <c r="O39" i="67" s="1"/>
  <c r="CA20" i="72"/>
  <c r="O20" i="72" s="1"/>
  <c r="CA19" i="65"/>
  <c r="O19" i="65" s="1"/>
  <c r="CA20" i="67"/>
  <c r="O20" i="67" s="1"/>
  <c r="CA9" i="69"/>
  <c r="O9" i="69" s="1"/>
  <c r="CA16" i="72"/>
  <c r="O16" i="72" s="1"/>
  <c r="CA25" i="69"/>
  <c r="O25" i="69" s="1"/>
  <c r="CA15" i="68"/>
  <c r="O15" i="68" s="1"/>
  <c r="CA24" i="67"/>
  <c r="O24" i="67" s="1"/>
  <c r="CA33" i="65"/>
  <c r="O33" i="65" s="1"/>
  <c r="CA26" i="65"/>
  <c r="O26" i="65" s="1"/>
  <c r="CA35" i="70"/>
  <c r="O35" i="70" s="1"/>
  <c r="CA25" i="65"/>
  <c r="O25" i="65" s="1"/>
  <c r="CA28" i="66"/>
  <c r="O28" i="66" s="1"/>
  <c r="CA23" i="65"/>
  <c r="O23" i="65" s="1"/>
  <c r="CA38" i="67"/>
  <c r="O38" i="67" s="1"/>
  <c r="CA32" i="68"/>
  <c r="O32" i="68" s="1"/>
  <c r="CA32" i="67"/>
  <c r="O32" i="67" s="1"/>
  <c r="CA38" i="71"/>
  <c r="O38" i="71" s="1"/>
  <c r="CA20" i="70"/>
  <c r="O20" i="70" s="1"/>
  <c r="CA22" i="65"/>
  <c r="O22" i="65" s="1"/>
  <c r="P10" i="69"/>
  <c r="P17" i="69"/>
  <c r="P24" i="69"/>
  <c r="P31" i="69"/>
  <c r="P38" i="69"/>
  <c r="CA22" i="72"/>
  <c r="O22" i="72" s="1"/>
  <c r="CA32" i="71"/>
  <c r="O32" i="71" s="1"/>
  <c r="CA28" i="69"/>
  <c r="O28" i="69" s="1"/>
  <c r="CA36" i="69"/>
  <c r="O36" i="69" s="1"/>
  <c r="CA23" i="69"/>
  <c r="O23" i="69" s="1"/>
  <c r="CA29" i="69"/>
  <c r="O29" i="69" s="1"/>
  <c r="CA23" i="66"/>
  <c r="O23" i="66" s="1"/>
  <c r="CA21" i="66"/>
  <c r="O21" i="66" s="1"/>
  <c r="CA16" i="66"/>
  <c r="O16" i="66" s="1"/>
  <c r="CA14" i="66"/>
  <c r="O14" i="66" s="1"/>
  <c r="CA20" i="66"/>
  <c r="O20" i="66" s="1"/>
  <c r="CA27" i="72"/>
  <c r="O27" i="72" s="1"/>
  <c r="CA11" i="71"/>
  <c r="O11" i="71" s="1"/>
  <c r="CA27" i="70"/>
  <c r="O27" i="70" s="1"/>
  <c r="CA29" i="70"/>
  <c r="O29" i="70" s="1"/>
  <c r="CA28" i="70"/>
  <c r="O28" i="70" s="1"/>
  <c r="CA22" i="70"/>
  <c r="O22" i="70" s="1"/>
  <c r="CA19" i="70"/>
  <c r="O19" i="70" s="1"/>
  <c r="CA38" i="69"/>
  <c r="O38" i="69" s="1"/>
  <c r="CA39" i="69"/>
  <c r="O39" i="69" s="1"/>
  <c r="CA21" i="69"/>
  <c r="O21" i="69" s="1"/>
  <c r="CA14" i="69"/>
  <c r="O14" i="69" s="1"/>
  <c r="CA31" i="68"/>
  <c r="O31" i="68" s="1"/>
  <c r="CA14" i="67"/>
  <c r="O14" i="67" s="1"/>
  <c r="CA27" i="71"/>
  <c r="O27" i="71" s="1"/>
  <c r="CA9" i="71"/>
  <c r="O9" i="71" s="1"/>
  <c r="CA12" i="71"/>
  <c r="O12" i="71" s="1"/>
  <c r="CA29" i="68"/>
  <c r="O29" i="68" s="1"/>
  <c r="CA35" i="69"/>
  <c r="O35" i="69" s="1"/>
  <c r="CA36" i="65"/>
  <c r="O36" i="65" s="1"/>
  <c r="CA26" i="67"/>
  <c r="O26" i="67" s="1"/>
  <c r="CA19" i="67"/>
  <c r="O19" i="67" s="1"/>
  <c r="CA31" i="69"/>
  <c r="O31" i="69" s="1"/>
  <c r="CA38" i="65"/>
  <c r="O38" i="65" s="1"/>
  <c r="CA39" i="71"/>
  <c r="O39" i="71" s="1"/>
  <c r="CA9" i="68"/>
  <c r="CA30" i="69"/>
  <c r="O30" i="69" s="1"/>
  <c r="CA10" i="72"/>
  <c r="O10" i="72" s="1"/>
  <c r="CA10" i="69"/>
  <c r="O10" i="69" s="1"/>
  <c r="CA10" i="68"/>
  <c r="O10" i="68" s="1"/>
  <c r="CA15" i="66"/>
  <c r="O15" i="66" s="1"/>
  <c r="CA29" i="72"/>
  <c r="O29" i="72" s="1"/>
  <c r="CA24" i="71"/>
  <c r="O24" i="71" s="1"/>
  <c r="CA17" i="71"/>
  <c r="O17" i="71" s="1"/>
  <c r="CA37" i="65"/>
  <c r="O37" i="65" s="1"/>
  <c r="CA31" i="71"/>
  <c r="O31" i="71" s="1"/>
  <c r="CA16" i="68"/>
  <c r="O16" i="68" s="1"/>
  <c r="CA25" i="70"/>
  <c r="O25" i="70" s="1"/>
  <c r="CA9" i="72"/>
  <c r="O9" i="72" s="1"/>
  <c r="CA33" i="71"/>
  <c r="O33" i="71" s="1"/>
  <c r="CA31" i="65"/>
  <c r="O31" i="65" s="1"/>
  <c r="CA22" i="66"/>
  <c r="O22" i="66" s="1"/>
  <c r="CA17" i="68"/>
  <c r="O17" i="68" s="1"/>
  <c r="CA13" i="66"/>
  <c r="O13" i="66" s="1"/>
  <c r="CA35" i="67"/>
  <c r="O35" i="67" s="1"/>
  <c r="CA18" i="65"/>
  <c r="O18" i="65" s="1"/>
  <c r="CA31" i="67"/>
  <c r="O31" i="67" s="1"/>
  <c r="CA29" i="66"/>
  <c r="O29" i="66" s="1"/>
  <c r="CA16" i="65"/>
  <c r="O16" i="65" s="1"/>
  <c r="CA25" i="67"/>
  <c r="O25" i="67" s="1"/>
  <c r="CA16" i="69"/>
  <c r="O16" i="69" s="1"/>
  <c r="CA10" i="66"/>
  <c r="O10" i="66" s="1"/>
  <c r="CA23" i="71"/>
  <c r="O23" i="71" s="1"/>
  <c r="CA23" i="72"/>
  <c r="O23" i="72" s="1"/>
  <c r="CA9" i="66"/>
  <c r="O9" i="66" s="1"/>
  <c r="CA17" i="72"/>
  <c r="O17" i="72" s="1"/>
  <c r="CA37" i="69"/>
  <c r="O37" i="69" s="1"/>
  <c r="CA14" i="72"/>
  <c r="O14" i="72" s="1"/>
  <c r="CA32" i="69"/>
  <c r="O32" i="69" s="1"/>
  <c r="CA12" i="67"/>
  <c r="O12" i="67" s="1"/>
  <c r="CA27" i="67"/>
  <c r="O27" i="67" s="1"/>
  <c r="CA29" i="65"/>
  <c r="O29" i="65" s="1"/>
  <c r="CA34" i="70"/>
  <c r="O34" i="70" s="1"/>
  <c r="CA15" i="72"/>
  <c r="O15" i="72" s="1"/>
  <c r="CA28" i="67"/>
  <c r="O28" i="67" s="1"/>
  <c r="CA34" i="71"/>
  <c r="O34" i="71" s="1"/>
  <c r="O36" i="68"/>
  <c r="CA15" i="69"/>
  <c r="O15" i="69" s="1"/>
  <c r="CA28" i="68"/>
  <c r="O28" i="68" s="1"/>
  <c r="CA30" i="68"/>
  <c r="O30" i="68" s="1"/>
  <c r="CA24" i="69"/>
  <c r="O24" i="69" s="1"/>
  <c r="CA30" i="65"/>
  <c r="O30" i="65" s="1"/>
  <c r="CA24" i="65"/>
  <c r="O24" i="65" s="1"/>
  <c r="CA17" i="67"/>
  <c r="O17" i="67" s="1"/>
  <c r="CA26" i="70"/>
  <c r="O26" i="70" s="1"/>
  <c r="CA17" i="65"/>
  <c r="O17" i="65" s="1"/>
  <c r="P19" i="65"/>
  <c r="P26" i="65"/>
  <c r="P33" i="65"/>
  <c r="P36" i="72"/>
  <c r="Q36" i="72" s="1"/>
  <c r="P38" i="72"/>
  <c r="Q38" i="72" s="1"/>
  <c r="P34" i="72"/>
  <c r="Q34" i="72" s="1"/>
  <c r="P37" i="72"/>
  <c r="Q37" i="72" s="1"/>
  <c r="P31" i="66"/>
  <c r="Q31" i="66" s="1"/>
  <c r="P38" i="66"/>
  <c r="Q38" i="66" s="1"/>
  <c r="P34" i="66"/>
  <c r="Q34" i="66" s="1"/>
  <c r="P11" i="66"/>
  <c r="Q11" i="66" s="1"/>
  <c r="P25" i="66"/>
  <c r="Q25" i="66" s="1"/>
  <c r="P39" i="66"/>
  <c r="Q39" i="66" s="1"/>
  <c r="P36" i="66"/>
  <c r="Q36" i="66" s="1"/>
  <c r="P18" i="66"/>
  <c r="Q18" i="66" s="1"/>
  <c r="P37" i="66"/>
  <c r="Q37" i="66" s="1"/>
  <c r="P35" i="66"/>
  <c r="Q35" i="66" s="1"/>
  <c r="P30" i="66"/>
  <c r="Q30" i="66" s="1"/>
  <c r="P32" i="66"/>
  <c r="Q32" i="66" s="1"/>
  <c r="P33" i="66"/>
  <c r="Q33" i="66" s="1"/>
  <c r="CA25" i="71"/>
  <c r="O25" i="71" s="1"/>
  <c r="CA30" i="72"/>
  <c r="O30" i="72" s="1"/>
  <c r="O35" i="68"/>
  <c r="CA13" i="67"/>
  <c r="O13" i="67" s="1"/>
  <c r="CA20" i="71"/>
  <c r="O20" i="71" s="1"/>
  <c r="P30" i="65"/>
  <c r="P37" i="65"/>
  <c r="CA11" i="69"/>
  <c r="O11" i="69" s="1"/>
  <c r="CA33" i="70"/>
  <c r="O33" i="70" s="1"/>
  <c r="CA36" i="70"/>
  <c r="O36" i="70" s="1"/>
  <c r="CA18" i="67"/>
  <c r="O18" i="67" s="1"/>
  <c r="CA33" i="67"/>
  <c r="O33" i="67" s="1"/>
  <c r="CA16" i="71"/>
  <c r="O16" i="71" s="1"/>
  <c r="CA19" i="71"/>
  <c r="O19" i="71" s="1"/>
  <c r="CA27" i="66"/>
  <c r="O27" i="66" s="1"/>
  <c r="CA40" i="64"/>
  <c r="O9" i="65"/>
  <c r="O11" i="64"/>
  <c r="O9" i="63"/>
  <c r="CA39" i="63"/>
  <c r="P32" i="64"/>
  <c r="Q32" i="64" s="1"/>
  <c r="P10" i="63"/>
  <c r="Q10" i="63" s="1"/>
  <c r="P12" i="65"/>
  <c r="Q12" i="65" s="1"/>
  <c r="P15" i="64"/>
  <c r="Q15" i="64" s="1"/>
  <c r="P22" i="64"/>
  <c r="Q22" i="64" s="1"/>
  <c r="P36" i="64"/>
  <c r="Q36" i="64" s="1"/>
  <c r="P38" i="63"/>
  <c r="Q38" i="63" s="1"/>
  <c r="P25" i="63"/>
  <c r="Q25" i="63" s="1"/>
  <c r="P18" i="63"/>
  <c r="Q18" i="63" s="1"/>
  <c r="P11" i="63"/>
  <c r="Q11" i="63" s="1"/>
  <c r="P32" i="63"/>
  <c r="Q32" i="63" s="1"/>
  <c r="P12" i="64"/>
  <c r="Q12" i="64" s="1"/>
  <c r="A4" i="46"/>
  <c r="F5" i="50"/>
  <c r="F24" i="50" s="1"/>
  <c r="F27" i="50" s="1"/>
  <c r="H27" i="50" s="1"/>
  <c r="FH38" i="63" l="1"/>
  <c r="FG38" i="63"/>
  <c r="FF38" i="63"/>
  <c r="FE38" i="63"/>
  <c r="FH39" i="66"/>
  <c r="FG39" i="66"/>
  <c r="FF39" i="66"/>
  <c r="FE39" i="66"/>
  <c r="FG38" i="64"/>
  <c r="FF38" i="64"/>
  <c r="FE38" i="64"/>
  <c r="FH38" i="64"/>
  <c r="FH38" i="66"/>
  <c r="FG38" i="66"/>
  <c r="FF38" i="66"/>
  <c r="FE38" i="66"/>
  <c r="FH37" i="64"/>
  <c r="FG37" i="64"/>
  <c r="FF37" i="64"/>
  <c r="FE37" i="64"/>
  <c r="FF37" i="66"/>
  <c r="FE37" i="66"/>
  <c r="FH37" i="66"/>
  <c r="FG37" i="66"/>
  <c r="FF38" i="70"/>
  <c r="FE38" i="70"/>
  <c r="FH38" i="70"/>
  <c r="FG38" i="70"/>
  <c r="FH37" i="67"/>
  <c r="FG37" i="67"/>
  <c r="FF37" i="67"/>
  <c r="FE37" i="67"/>
  <c r="FE38" i="72"/>
  <c r="FH38" i="72"/>
  <c r="FG38" i="72"/>
  <c r="FF38" i="72"/>
  <c r="FH37" i="72"/>
  <c r="FG37" i="72"/>
  <c r="FF37" i="72"/>
  <c r="FE37" i="72"/>
  <c r="P27" i="69"/>
  <c r="Q27" i="69" s="1"/>
  <c r="P35" i="72"/>
  <c r="Q35" i="72" s="1"/>
  <c r="P30" i="70"/>
  <c r="Q30" i="70" s="1"/>
  <c r="P37" i="63"/>
  <c r="Q37" i="63" s="1"/>
  <c r="P12" i="72"/>
  <c r="Q12" i="72" s="1"/>
  <c r="P23" i="65"/>
  <c r="Q23" i="65" s="1"/>
  <c r="P21" i="65"/>
  <c r="Q21" i="65" s="1"/>
  <c r="P14" i="65"/>
  <c r="Q14" i="65" s="1"/>
  <c r="P16" i="70"/>
  <c r="Q16" i="70" s="1"/>
  <c r="P13" i="69"/>
  <c r="Q13" i="69" s="1"/>
  <c r="P14" i="71"/>
  <c r="Q14" i="71" s="1"/>
  <c r="P10" i="70"/>
  <c r="Q10" i="70" s="1"/>
  <c r="P37" i="70"/>
  <c r="Q37" i="70" s="1"/>
  <c r="P18" i="64"/>
  <c r="Q18" i="64" s="1"/>
  <c r="P35" i="64"/>
  <c r="Q35" i="64" s="1"/>
  <c r="P39" i="64"/>
  <c r="Q39" i="64" s="1"/>
  <c r="P16" i="65"/>
  <c r="Q16" i="65" s="1"/>
  <c r="P27" i="67"/>
  <c r="Q27" i="67" s="1"/>
  <c r="P37" i="71"/>
  <c r="Q37" i="71" s="1"/>
  <c r="P26" i="72"/>
  <c r="Q26" i="72" s="1"/>
  <c r="P26" i="69"/>
  <c r="Q26" i="69" s="1"/>
  <c r="P24" i="70"/>
  <c r="Q24" i="70" s="1"/>
  <c r="P18" i="70"/>
  <c r="Q18" i="70" s="1"/>
  <c r="P17" i="68"/>
  <c r="Q17" i="68" s="1"/>
  <c r="P13" i="64"/>
  <c r="Q13" i="64" s="1"/>
  <c r="P24" i="65"/>
  <c r="Q24" i="65" s="1"/>
  <c r="P36" i="65"/>
  <c r="Q36" i="65" s="1"/>
  <c r="P16" i="67"/>
  <c r="Q16" i="67" s="1"/>
  <c r="P31" i="68"/>
  <c r="Q31" i="68" s="1"/>
  <c r="P26" i="66"/>
  <c r="Q26" i="66" s="1"/>
  <c r="P17" i="65"/>
  <c r="Q17" i="65" s="1"/>
  <c r="P35" i="68"/>
  <c r="Q35" i="68" s="1"/>
  <c r="P23" i="67"/>
  <c r="Q23" i="67" s="1"/>
  <c r="P11" i="72"/>
  <c r="Q11" i="72" s="1"/>
  <c r="P21" i="71"/>
  <c r="Q21" i="71" s="1"/>
  <c r="P17" i="70"/>
  <c r="Q17" i="70" s="1"/>
  <c r="P13" i="70"/>
  <c r="Q13" i="70" s="1"/>
  <c r="P13" i="68"/>
  <c r="Q13" i="68" s="1"/>
  <c r="P13" i="67"/>
  <c r="Q13" i="67" s="1"/>
  <c r="P15" i="71"/>
  <c r="Q15" i="71" s="1"/>
  <c r="P19" i="69"/>
  <c r="Q19" i="69" s="1"/>
  <c r="P11" i="70"/>
  <c r="Q11" i="70" s="1"/>
  <c r="P36" i="71"/>
  <c r="Q36" i="71" s="1"/>
  <c r="P13" i="72"/>
  <c r="Q13" i="72" s="1"/>
  <c r="P12" i="66"/>
  <c r="Q12" i="66" s="1"/>
  <c r="P25" i="72"/>
  <c r="Q25" i="72" s="1"/>
  <c r="P35" i="71"/>
  <c r="Q35" i="71" s="1"/>
  <c r="P29" i="71"/>
  <c r="Q29" i="71" s="1"/>
  <c r="P12" i="70"/>
  <c r="Q12" i="70" s="1"/>
  <c r="P12" i="69"/>
  <c r="Q12" i="69" s="1"/>
  <c r="P36" i="68"/>
  <c r="Q36" i="68" s="1"/>
  <c r="P11" i="65"/>
  <c r="Q11" i="65" s="1"/>
  <c r="P35" i="65"/>
  <c r="Q35" i="65" s="1"/>
  <c r="P33" i="64"/>
  <c r="Q33" i="64" s="1"/>
  <c r="P21" i="64"/>
  <c r="Q21" i="64" s="1"/>
  <c r="P9" i="63"/>
  <c r="Q9" i="63" s="1"/>
  <c r="P9" i="66"/>
  <c r="Q9" i="66" s="1"/>
  <c r="O9" i="68"/>
  <c r="CA38" i="68"/>
  <c r="P10" i="68"/>
  <c r="Q10" i="68" s="1"/>
  <c r="P34" i="67"/>
  <c r="Q34" i="67" s="1"/>
  <c r="P20" i="67"/>
  <c r="Q20" i="67" s="1"/>
  <c r="P10" i="65"/>
  <c r="Q10" i="65" s="1"/>
  <c r="P14" i="63"/>
  <c r="Q14" i="63" s="1"/>
  <c r="P20" i="64"/>
  <c r="Q20" i="64" s="1"/>
  <c r="P11" i="64"/>
  <c r="Q11" i="64" s="1"/>
  <c r="Q17" i="69"/>
  <c r="P22" i="65"/>
  <c r="Q22" i="65" s="1"/>
  <c r="P15" i="65"/>
  <c r="Q15" i="65" s="1"/>
  <c r="P16" i="66"/>
  <c r="Q16" i="66" s="1"/>
  <c r="P34" i="64"/>
  <c r="Q34" i="64" s="1"/>
  <c r="P12" i="71"/>
  <c r="Q12" i="71" s="1"/>
  <c r="P29" i="65"/>
  <c r="Q29" i="65" s="1"/>
  <c r="P9" i="65"/>
  <c r="Q9" i="65" s="1"/>
  <c r="P14" i="64"/>
  <c r="Q14" i="64" s="1"/>
  <c r="P17" i="71"/>
  <c r="Q17" i="71" s="1"/>
  <c r="P28" i="70"/>
  <c r="Q28" i="70" s="1"/>
  <c r="P38" i="65"/>
  <c r="Q38" i="65" s="1"/>
  <c r="Q19" i="65"/>
  <c r="P19" i="64"/>
  <c r="Q19" i="64" s="1"/>
  <c r="P31" i="65"/>
  <c r="Q31" i="65" s="1"/>
  <c r="P23" i="66"/>
  <c r="Q23" i="66" s="1"/>
  <c r="P25" i="65"/>
  <c r="Q25" i="65" s="1"/>
  <c r="P32" i="65"/>
  <c r="Q32" i="65" s="1"/>
  <c r="P18" i="65"/>
  <c r="Q18" i="65" s="1"/>
  <c r="P30" i="63"/>
  <c r="Q30" i="63" s="1"/>
  <c r="P16" i="63"/>
  <c r="Q16" i="63" s="1"/>
  <c r="P23" i="63"/>
  <c r="Q23" i="63" s="1"/>
  <c r="P17" i="67"/>
  <c r="Q17" i="67" s="1"/>
  <c r="P28" i="69"/>
  <c r="Q28" i="69" s="1"/>
  <c r="P33" i="71"/>
  <c r="Q33" i="71" s="1"/>
  <c r="Q33" i="65"/>
  <c r="Q26" i="65"/>
  <c r="P19" i="71"/>
  <c r="Q19" i="71" s="1"/>
  <c r="P29" i="68"/>
  <c r="Q29" i="68" s="1"/>
  <c r="P21" i="70"/>
  <c r="Q21" i="70" s="1"/>
  <c r="P35" i="70"/>
  <c r="Q35" i="70" s="1"/>
  <c r="P26" i="67"/>
  <c r="Q26" i="67" s="1"/>
  <c r="P30" i="72"/>
  <c r="Q30" i="72" s="1"/>
  <c r="P14" i="67"/>
  <c r="Q14" i="67" s="1"/>
  <c r="Q10" i="69"/>
  <c r="Q31" i="69"/>
  <c r="Q24" i="69"/>
  <c r="Q38" i="69"/>
  <c r="P32" i="70"/>
  <c r="Q32" i="70" s="1"/>
  <c r="P16" i="71"/>
  <c r="Q16" i="71" s="1"/>
  <c r="P27" i="71"/>
  <c r="Q27" i="71" s="1"/>
  <c r="P25" i="70"/>
  <c r="Q25" i="70" s="1"/>
  <c r="P32" i="67"/>
  <c r="Q32" i="67" s="1"/>
  <c r="Q37" i="65"/>
  <c r="P9" i="71"/>
  <c r="Q9" i="71" s="1"/>
  <c r="P16" i="72"/>
  <c r="Q16" i="72" s="1"/>
  <c r="P25" i="69"/>
  <c r="Q25" i="69" s="1"/>
  <c r="P18" i="69"/>
  <c r="Q18" i="69" s="1"/>
  <c r="P14" i="66"/>
  <c r="Q14" i="66" s="1"/>
  <c r="P35" i="67"/>
  <c r="Q35" i="67" s="1"/>
  <c r="P10" i="66"/>
  <c r="Q10" i="66" s="1"/>
  <c r="P23" i="72"/>
  <c r="Q23" i="72" s="1"/>
  <c r="P25" i="67"/>
  <c r="Q25" i="67" s="1"/>
  <c r="P22" i="72"/>
  <c r="Q22" i="72" s="1"/>
  <c r="P29" i="72"/>
  <c r="Q29" i="72" s="1"/>
  <c r="P32" i="71"/>
  <c r="Q32" i="71" s="1"/>
  <c r="P31" i="71"/>
  <c r="Q31" i="71" s="1"/>
  <c r="P24" i="71"/>
  <c r="Q24" i="71" s="1"/>
  <c r="P20" i="71"/>
  <c r="Q20" i="71" s="1"/>
  <c r="P36" i="69"/>
  <c r="Q36" i="69" s="1"/>
  <c r="P9" i="69"/>
  <c r="Q9" i="69" s="1"/>
  <c r="P32" i="68"/>
  <c r="Q32" i="68" s="1"/>
  <c r="P18" i="68"/>
  <c r="Q18" i="68" s="1"/>
  <c r="P21" i="66"/>
  <c r="Q21" i="66" s="1"/>
  <c r="P21" i="72"/>
  <c r="Q21" i="72" s="1"/>
  <c r="P24" i="72"/>
  <c r="Q24" i="72" s="1"/>
  <c r="P27" i="72"/>
  <c r="Q27" i="72" s="1"/>
  <c r="P30" i="69"/>
  <c r="Q30" i="69" s="1"/>
  <c r="P20" i="72"/>
  <c r="Q20" i="72" s="1"/>
  <c r="P23" i="69"/>
  <c r="Q23" i="69" s="1"/>
  <c r="P16" i="68"/>
  <c r="Q16" i="68" s="1"/>
  <c r="P14" i="68"/>
  <c r="Q14" i="68" s="1"/>
  <c r="P24" i="66"/>
  <c r="Q24" i="66" s="1"/>
  <c r="P17" i="66"/>
  <c r="Q17" i="66" s="1"/>
  <c r="P16" i="69"/>
  <c r="Q16" i="69" s="1"/>
  <c r="P32" i="69"/>
  <c r="Q32" i="69" s="1"/>
  <c r="P19" i="70"/>
  <c r="Q19" i="70" s="1"/>
  <c r="P10" i="71"/>
  <c r="Q10" i="71" s="1"/>
  <c r="P35" i="69"/>
  <c r="Q35" i="69" s="1"/>
  <c r="P29" i="70"/>
  <c r="Q29" i="70" s="1"/>
  <c r="P21" i="67"/>
  <c r="Q21" i="67" s="1"/>
  <c r="P9" i="72"/>
  <c r="Q9" i="72" s="1"/>
  <c r="P22" i="69"/>
  <c r="Q22" i="69" s="1"/>
  <c r="P39" i="67"/>
  <c r="Q39" i="67" s="1"/>
  <c r="P14" i="72"/>
  <c r="Q14" i="72" s="1"/>
  <c r="P19" i="67"/>
  <c r="Q19" i="67" s="1"/>
  <c r="P29" i="69"/>
  <c r="Q29" i="69" s="1"/>
  <c r="P29" i="66"/>
  <c r="Q29" i="66" s="1"/>
  <c r="P33" i="67"/>
  <c r="Q33" i="67" s="1"/>
  <c r="P25" i="71"/>
  <c r="Q25" i="71" s="1"/>
  <c r="P28" i="68"/>
  <c r="Q28" i="68" s="1"/>
  <c r="P21" i="69"/>
  <c r="Q21" i="69" s="1"/>
  <c r="P38" i="67"/>
  <c r="Q38" i="67" s="1"/>
  <c r="P39" i="71"/>
  <c r="Q39" i="71" s="1"/>
  <c r="P28" i="66"/>
  <c r="Q28" i="66" s="1"/>
  <c r="P39" i="69"/>
  <c r="Q39" i="69" s="1"/>
  <c r="P15" i="66"/>
  <c r="Q15" i="66" s="1"/>
  <c r="P15" i="69"/>
  <c r="Q15" i="69" s="1"/>
  <c r="P27" i="70"/>
  <c r="Q27" i="70" s="1"/>
  <c r="P23" i="71"/>
  <c r="Q23" i="71" s="1"/>
  <c r="P15" i="68"/>
  <c r="Q15" i="68" s="1"/>
  <c r="P15" i="72"/>
  <c r="Q15" i="72" s="1"/>
  <c r="P17" i="72"/>
  <c r="P37" i="69"/>
  <c r="Q37" i="69" s="1"/>
  <c r="P10" i="72"/>
  <c r="Q10" i="72" s="1"/>
  <c r="P28" i="72"/>
  <c r="Q28" i="72" s="1"/>
  <c r="P30" i="71"/>
  <c r="Q30" i="71" s="1"/>
  <c r="P12" i="67"/>
  <c r="Q12" i="67" s="1"/>
  <c r="P34" i="71"/>
  <c r="Q34" i="71" s="1"/>
  <c r="P11" i="68"/>
  <c r="Q11" i="68" s="1"/>
  <c r="P20" i="70"/>
  <c r="Q20" i="70" s="1"/>
  <c r="Q30" i="65"/>
  <c r="P36" i="70"/>
  <c r="Q36" i="70" s="1"/>
  <c r="P30" i="68"/>
  <c r="Q30" i="68" s="1"/>
  <c r="P31" i="67"/>
  <c r="Q31" i="67" s="1"/>
  <c r="P11" i="69"/>
  <c r="Q11" i="69" s="1"/>
  <c r="P28" i="67"/>
  <c r="Q28" i="67" s="1"/>
  <c r="P38" i="71"/>
  <c r="Q38" i="71" s="1"/>
  <c r="P24" i="67"/>
  <c r="Q24" i="67" s="1"/>
  <c r="CA40" i="69"/>
  <c r="CA39" i="65"/>
  <c r="CA40" i="67"/>
  <c r="CA39" i="72"/>
  <c r="CA40" i="66"/>
  <c r="P27" i="66"/>
  <c r="Q27" i="66" s="1"/>
  <c r="P26" i="70"/>
  <c r="Q26" i="70" s="1"/>
  <c r="P31" i="72"/>
  <c r="Q31" i="72" s="1"/>
  <c r="CA39" i="70"/>
  <c r="P18" i="67"/>
  <c r="Q18" i="67" s="1"/>
  <c r="P18" i="71"/>
  <c r="Q18" i="71" s="1"/>
  <c r="CA40" i="71"/>
  <c r="P22" i="70"/>
  <c r="Q22" i="70" s="1"/>
  <c r="P34" i="70"/>
  <c r="Q34" i="70" s="1"/>
  <c r="P13" i="66"/>
  <c r="Q13" i="66" s="1"/>
  <c r="P11" i="71"/>
  <c r="Q11" i="71" s="1"/>
  <c r="P22" i="66"/>
  <c r="Q22" i="66" s="1"/>
  <c r="P33" i="70"/>
  <c r="Q33" i="70" s="1"/>
  <c r="P20" i="66"/>
  <c r="Q20" i="66" s="1"/>
  <c r="P15" i="63"/>
  <c r="Q15" i="63" s="1"/>
  <c r="P24" i="63"/>
  <c r="Q24" i="63" s="1"/>
  <c r="P31" i="63"/>
  <c r="Q31" i="63" s="1"/>
  <c r="P28" i="63"/>
  <c r="Q28" i="63" s="1"/>
  <c r="P29" i="63"/>
  <c r="Q29" i="63" s="1"/>
  <c r="P22" i="63"/>
  <c r="Q22" i="63" s="1"/>
  <c r="P35" i="63"/>
  <c r="Q35" i="63" s="1"/>
  <c r="P17" i="63"/>
  <c r="Q17" i="63" s="1"/>
  <c r="P20" i="63"/>
  <c r="Q20" i="63" s="1"/>
  <c r="P27" i="63"/>
  <c r="Q27" i="63" s="1"/>
  <c r="P21" i="63"/>
  <c r="Q21" i="63" s="1"/>
  <c r="P36" i="63"/>
  <c r="Q36" i="63" s="1"/>
  <c r="P13" i="63"/>
  <c r="Q13" i="63" s="1"/>
  <c r="P34" i="63"/>
  <c r="Q34" i="63" s="1"/>
  <c r="O40" i="69"/>
  <c r="O39" i="65"/>
  <c r="O40" i="71"/>
  <c r="O39" i="63"/>
  <c r="O40" i="66"/>
  <c r="O40" i="64"/>
  <c r="O40" i="67"/>
  <c r="O39" i="72"/>
  <c r="O39" i="70"/>
  <c r="B4" i="46"/>
  <c r="FH40" i="66" l="1"/>
  <c r="FE40" i="72"/>
  <c r="FE40" i="66"/>
  <c r="FG40" i="66"/>
  <c r="FF40" i="66"/>
  <c r="FE38" i="69"/>
  <c r="FH38" i="69"/>
  <c r="FG38" i="69"/>
  <c r="FF38" i="69"/>
  <c r="FH39" i="64"/>
  <c r="FH40" i="64" s="1"/>
  <c r="FG39" i="64"/>
  <c r="FG40" i="64" s="1"/>
  <c r="FF39" i="64"/>
  <c r="FE39" i="64"/>
  <c r="FE40" i="64" s="1"/>
  <c r="P74" i="64" s="1"/>
  <c r="V43" i="64" s="1"/>
  <c r="FE37" i="65"/>
  <c r="FH37" i="65"/>
  <c r="FG37" i="65"/>
  <c r="FF37" i="65"/>
  <c r="FH38" i="65"/>
  <c r="FG38" i="65"/>
  <c r="FF38" i="65"/>
  <c r="FE38" i="65"/>
  <c r="FG40" i="72"/>
  <c r="FH40" i="72"/>
  <c r="FE37" i="63"/>
  <c r="FE40" i="63" s="1"/>
  <c r="FH37" i="63"/>
  <c r="FH40" i="63" s="1"/>
  <c r="FG37" i="63"/>
  <c r="FG40" i="63" s="1"/>
  <c r="FF37" i="63"/>
  <c r="FF40" i="63" s="1"/>
  <c r="FF40" i="64"/>
  <c r="FH37" i="69"/>
  <c r="FG37" i="69"/>
  <c r="FF37" i="69"/>
  <c r="FE37" i="69"/>
  <c r="FH37" i="70"/>
  <c r="FH40" i="70" s="1"/>
  <c r="FG37" i="70"/>
  <c r="FG40" i="70" s="1"/>
  <c r="FF37" i="70"/>
  <c r="FF40" i="70" s="1"/>
  <c r="FE37" i="70"/>
  <c r="FE40" i="70" s="1"/>
  <c r="FE39" i="67"/>
  <c r="FF39" i="67"/>
  <c r="FG39" i="67"/>
  <c r="FH39" i="67"/>
  <c r="FF38" i="67"/>
  <c r="FG38" i="67"/>
  <c r="FH38" i="67"/>
  <c r="FE38" i="67"/>
  <c r="FF40" i="72"/>
  <c r="FH39" i="71"/>
  <c r="FG39" i="71"/>
  <c r="FF39" i="71"/>
  <c r="FE39" i="71"/>
  <c r="FH38" i="71"/>
  <c r="FG38" i="71"/>
  <c r="FF38" i="71"/>
  <c r="FE38" i="71"/>
  <c r="FG37" i="71"/>
  <c r="FF37" i="71"/>
  <c r="FE37" i="71"/>
  <c r="FH37" i="71"/>
  <c r="FH39" i="69"/>
  <c r="FG39" i="69"/>
  <c r="FF39" i="69"/>
  <c r="FE39" i="69"/>
  <c r="O38" i="68"/>
  <c r="DY40" i="68"/>
  <c r="DX40" i="68"/>
  <c r="EB40" i="68"/>
  <c r="EA40" i="68"/>
  <c r="CX38" i="68"/>
  <c r="Q40" i="64"/>
  <c r="P40" i="64"/>
  <c r="P39" i="65"/>
  <c r="P9" i="68"/>
  <c r="P39" i="72"/>
  <c r="Q17" i="72"/>
  <c r="Q39" i="72" s="1"/>
  <c r="Q39" i="65"/>
  <c r="Q40" i="67"/>
  <c r="P40" i="67"/>
  <c r="P40" i="71"/>
  <c r="P39" i="70"/>
  <c r="Q40" i="66"/>
  <c r="Q40" i="71"/>
  <c r="Q39" i="70"/>
  <c r="P40" i="66"/>
  <c r="P39" i="63"/>
  <c r="Q39" i="63"/>
  <c r="H5" i="50"/>
  <c r="H24" i="50" s="1"/>
  <c r="A5" i="46"/>
  <c r="J103" i="1"/>
  <c r="J102" i="1"/>
  <c r="J101" i="1"/>
  <c r="J100" i="1"/>
  <c r="J99" i="1"/>
  <c r="E95" i="1"/>
  <c r="J94" i="1"/>
  <c r="J93" i="1"/>
  <c r="J92" i="1"/>
  <c r="J91" i="1"/>
  <c r="J90" i="1"/>
  <c r="E86" i="1"/>
  <c r="J85" i="1"/>
  <c r="J84" i="1"/>
  <c r="J83" i="1"/>
  <c r="J82" i="1"/>
  <c r="J81" i="1"/>
  <c r="E77" i="1"/>
  <c r="J76" i="1"/>
  <c r="J75" i="1"/>
  <c r="J74" i="1"/>
  <c r="J73" i="1"/>
  <c r="J72" i="1"/>
  <c r="FH40" i="69" l="1"/>
  <c r="FF40" i="69"/>
  <c r="FG40" i="69"/>
  <c r="FE40" i="69"/>
  <c r="FF40" i="67"/>
  <c r="FE40" i="67"/>
  <c r="FG40" i="67"/>
  <c r="FH40" i="67"/>
  <c r="FF40" i="65"/>
  <c r="FG40" i="65"/>
  <c r="FH40" i="65"/>
  <c r="FE40" i="65"/>
  <c r="FH40" i="71"/>
  <c r="FE40" i="71"/>
  <c r="FF40" i="71"/>
  <c r="FG40" i="71"/>
  <c r="P74" i="69"/>
  <c r="V43" i="69" s="1"/>
  <c r="Q9" i="68"/>
  <c r="P38" i="68"/>
  <c r="H6" i="50"/>
  <c r="F17" i="50"/>
  <c r="B5" i="46"/>
  <c r="I51" i="69" l="1"/>
  <c r="E12" i="50" s="1"/>
  <c r="E43" i="50" s="1"/>
  <c r="E45" i="50" s="1"/>
  <c r="D12" i="50"/>
  <c r="D43" i="50" s="1"/>
  <c r="D45" i="50" s="1"/>
  <c r="Q38" i="68"/>
  <c r="FH40" i="68"/>
  <c r="FG40" i="68"/>
  <c r="P72" i="68" s="1"/>
  <c r="V41" i="68" s="1"/>
  <c r="FF40" i="68"/>
  <c r="FE40" i="68"/>
  <c r="G43" i="50"/>
  <c r="H7" i="50"/>
  <c r="H25" i="50"/>
  <c r="A6" i="46"/>
  <c r="E47" i="50" l="1"/>
  <c r="E46" i="50"/>
  <c r="H8" i="50"/>
  <c r="H26" i="50"/>
  <c r="B6" i="46"/>
  <c r="G44" i="50" l="1"/>
  <c r="G45" i="50" s="1"/>
  <c r="H9" i="50"/>
  <c r="H33" i="50"/>
  <c r="A7" i="46"/>
  <c r="H10" i="50" l="1"/>
  <c r="H34" i="50"/>
  <c r="B7" i="46"/>
  <c r="G51" i="50" l="1"/>
  <c r="H11" i="50"/>
  <c r="H35" i="50"/>
  <c r="H36" i="50" s="1"/>
  <c r="A8" i="46"/>
  <c r="H12" i="50" l="1"/>
  <c r="H42" i="50"/>
  <c r="B8" i="46"/>
  <c r="G52" i="50" l="1"/>
  <c r="H13" i="50"/>
  <c r="H43" i="50"/>
  <c r="A9" i="46"/>
  <c r="G53" i="50" l="1"/>
  <c r="G54" i="50" s="1"/>
  <c r="H14" i="50"/>
  <c r="H44" i="50"/>
  <c r="H45" i="50" s="1"/>
  <c r="B9" i="46"/>
  <c r="H15" i="50" l="1"/>
  <c r="H51" i="50"/>
  <c r="A10" i="46"/>
  <c r="H16" i="50" l="1"/>
  <c r="H17" i="50" s="1"/>
  <c r="H52" i="50"/>
  <c r="B10" i="46"/>
  <c r="H53" i="50" l="1"/>
  <c r="H54" i="50" s="1"/>
  <c r="A11" i="46"/>
  <c r="H20" i="50" l="1"/>
  <c r="E59" i="50"/>
  <c r="B11" i="46"/>
  <c r="A12" i="46" l="1"/>
  <c r="B12" i="46" l="1"/>
  <c r="A13" i="46" l="1"/>
  <c r="B13" i="46" l="1"/>
  <c r="A14" i="46" l="1"/>
  <c r="B14" i="46" l="1"/>
  <c r="A15" i="46" l="1"/>
  <c r="B15" i="46" l="1"/>
  <c r="A16" i="46" l="1"/>
  <c r="B16" i="46" l="1"/>
  <c r="A1" i="41" l="1"/>
  <c r="AO82" i="41"/>
  <c r="BL82" i="41" s="1"/>
  <c r="AO83" i="41"/>
  <c r="BL83" i="41" s="1"/>
  <c r="AO84" i="41"/>
  <c r="BL84" i="41" s="1"/>
  <c r="AO85" i="41"/>
  <c r="BL85" i="41" s="1"/>
  <c r="A10" i="41"/>
  <c r="A3" i="23" s="1"/>
  <c r="A3" i="24" s="1"/>
  <c r="B10" i="41" l="1"/>
  <c r="A11" i="41"/>
  <c r="B11" i="41" l="1"/>
  <c r="A4" i="23"/>
  <c r="A4" i="24" s="1"/>
  <c r="B3" i="23"/>
  <c r="B3" i="24" s="1"/>
  <c r="AZ10" i="41"/>
  <c r="AY10" i="41"/>
  <c r="AX10" i="41"/>
  <c r="AW10" i="41"/>
  <c r="AV10" i="41"/>
  <c r="AJ10" i="41"/>
  <c r="AH10" i="41"/>
  <c r="AG10" i="41"/>
  <c r="AK10" i="41"/>
  <c r="AI10" i="41"/>
  <c r="AI11" i="41"/>
  <c r="AJ11" i="41"/>
  <c r="AH11" i="41"/>
  <c r="AG11" i="41"/>
  <c r="AK11" i="41"/>
  <c r="A12" i="41"/>
  <c r="A5" i="23" s="1"/>
  <c r="A5" i="24" s="1"/>
  <c r="AT11" i="41"/>
  <c r="AL11" i="41"/>
  <c r="AS11" i="41"/>
  <c r="AX11" i="41"/>
  <c r="AZ11" i="41"/>
  <c r="AR11" i="41"/>
  <c r="AP11" i="41"/>
  <c r="AY11" i="41"/>
  <c r="AQ11" i="41"/>
  <c r="AW11" i="41"/>
  <c r="AO11" i="41"/>
  <c r="AV11" i="41"/>
  <c r="AN11" i="41"/>
  <c r="AU11" i="41"/>
  <c r="AM11" i="41"/>
  <c r="AR10" i="41"/>
  <c r="AQ10" i="41"/>
  <c r="AP10" i="41"/>
  <c r="AN10" i="41"/>
  <c r="AO10" i="41"/>
  <c r="AT10" i="41"/>
  <c r="AU10" i="41"/>
  <c r="AM10" i="41"/>
  <c r="AL10" i="41"/>
  <c r="AS10" i="41"/>
  <c r="D11" i="41"/>
  <c r="D4" i="23" s="1"/>
  <c r="E4" i="24" s="1"/>
  <c r="D10" i="41"/>
  <c r="D3" i="23" s="1"/>
  <c r="E3" i="24" s="1"/>
  <c r="P11" i="41" l="1"/>
  <c r="B4" i="23"/>
  <c r="B4" i="24" s="1"/>
  <c r="BA10" i="41"/>
  <c r="P10" i="41"/>
  <c r="CA10" i="41"/>
  <c r="O10" i="41" s="1"/>
  <c r="Z10" i="41" s="1"/>
  <c r="CA11" i="41"/>
  <c r="O11" i="41" s="1"/>
  <c r="BA11" i="41"/>
  <c r="A13" i="41"/>
  <c r="A6" i="23" s="1"/>
  <c r="A6" i="24" s="1"/>
  <c r="B12" i="41"/>
  <c r="BB11" i="41"/>
  <c r="BB10" i="41"/>
  <c r="B5" i="23" l="1"/>
  <c r="B5" i="24" s="1"/>
  <c r="N11" i="41"/>
  <c r="Q11" i="41" s="1"/>
  <c r="AJ12" i="41"/>
  <c r="AH12" i="41"/>
  <c r="AG12" i="41"/>
  <c r="AK12" i="41"/>
  <c r="N10" i="41"/>
  <c r="AU12" i="41"/>
  <c r="AY12" i="41"/>
  <c r="AM12" i="41"/>
  <c r="AQ12" i="41"/>
  <c r="AW12" i="41"/>
  <c r="AT12" i="41"/>
  <c r="AI12" i="41"/>
  <c r="AO12" i="41"/>
  <c r="AL12" i="41"/>
  <c r="AX12" i="41"/>
  <c r="AS12" i="41"/>
  <c r="AP12" i="41"/>
  <c r="AV12" i="41"/>
  <c r="AZ12" i="41"/>
  <c r="D12" i="41"/>
  <c r="D5" i="23" s="1"/>
  <c r="E5" i="24" s="1"/>
  <c r="AN12" i="41"/>
  <c r="AR12" i="41"/>
  <c r="A14" i="41"/>
  <c r="A7" i="23" s="1"/>
  <c r="A7" i="24" s="1"/>
  <c r="B13" i="41"/>
  <c r="B6" i="23" l="1"/>
  <c r="B6" i="24" s="1"/>
  <c r="P12" i="41"/>
  <c r="Y10" i="41"/>
  <c r="Q10" i="41"/>
  <c r="CA12" i="41"/>
  <c r="O12" i="41" s="1"/>
  <c r="BA12" i="41"/>
  <c r="N12" i="41" s="1"/>
  <c r="AJ13" i="41"/>
  <c r="AH13" i="41"/>
  <c r="AG13" i="41"/>
  <c r="AK13" i="41"/>
  <c r="AY13" i="41"/>
  <c r="AO13" i="41"/>
  <c r="AQ13" i="41"/>
  <c r="AW13" i="41"/>
  <c r="AI13" i="41"/>
  <c r="AN13" i="41"/>
  <c r="D13" i="41"/>
  <c r="D6" i="23" s="1"/>
  <c r="E6" i="24" s="1"/>
  <c r="AV13" i="41"/>
  <c r="AU13" i="41"/>
  <c r="AX13" i="41"/>
  <c r="AM13" i="41"/>
  <c r="AZ13" i="41"/>
  <c r="AP13" i="41"/>
  <c r="AT13" i="41"/>
  <c r="AS13" i="41"/>
  <c r="AR13" i="41"/>
  <c r="AL13" i="41"/>
  <c r="A15" i="41"/>
  <c r="A8" i="23" s="1"/>
  <c r="A8" i="24" s="1"/>
  <c r="B14" i="41"/>
  <c r="BB12" i="41"/>
  <c r="Y12" i="41" l="1"/>
  <c r="B7" i="23"/>
  <c r="B7" i="24" s="1"/>
  <c r="P13" i="41"/>
  <c r="Q12" i="41"/>
  <c r="CA13" i="41"/>
  <c r="O13" i="41" s="1"/>
  <c r="BA13" i="41"/>
  <c r="AJ14" i="41"/>
  <c r="AH14" i="41"/>
  <c r="AG14" i="41"/>
  <c r="AZ14" i="41"/>
  <c r="AW14" i="41"/>
  <c r="D14" i="41"/>
  <c r="D7" i="23" s="1"/>
  <c r="E7" i="24" s="1"/>
  <c r="AU14" i="41"/>
  <c r="AR14" i="41"/>
  <c r="AO14" i="41"/>
  <c r="AM14" i="41"/>
  <c r="AY14" i="41"/>
  <c r="AQ14" i="41"/>
  <c r="AV14" i="41"/>
  <c r="AT14" i="41"/>
  <c r="AI14" i="41"/>
  <c r="AN14" i="41"/>
  <c r="AL14" i="41"/>
  <c r="AX14" i="41"/>
  <c r="AS14" i="41"/>
  <c r="AP14" i="41"/>
  <c r="AK14" i="41"/>
  <c r="A16" i="41"/>
  <c r="A9" i="23" s="1"/>
  <c r="A9" i="24" s="1"/>
  <c r="B15" i="41"/>
  <c r="BB13" i="41"/>
  <c r="FJ12" i="41" l="1"/>
  <c r="FL12" i="41"/>
  <c r="B8" i="23"/>
  <c r="B8" i="24" s="1"/>
  <c r="P14" i="41"/>
  <c r="N13" i="41"/>
  <c r="CA14" i="41"/>
  <c r="O14" i="41" s="1"/>
  <c r="BA14" i="41"/>
  <c r="N14" i="41" s="1"/>
  <c r="AJ15" i="41"/>
  <c r="AH15" i="41"/>
  <c r="AG15" i="41"/>
  <c r="AS15" i="41"/>
  <c r="AQ15" i="41"/>
  <c r="AW15" i="41"/>
  <c r="AT15" i="41"/>
  <c r="AI15" i="41"/>
  <c r="AP15" i="41"/>
  <c r="AO15" i="41"/>
  <c r="AL15" i="41"/>
  <c r="AX15" i="41"/>
  <c r="AK15" i="41"/>
  <c r="AV15" i="41"/>
  <c r="AZ15" i="41"/>
  <c r="AN15" i="41"/>
  <c r="AR15" i="41"/>
  <c r="D15" i="41"/>
  <c r="D8" i="23" s="1"/>
  <c r="E8" i="24" s="1"/>
  <c r="AU15" i="41"/>
  <c r="AM15" i="41"/>
  <c r="AY15" i="41"/>
  <c r="BB14" i="41"/>
  <c r="B16" i="41"/>
  <c r="A17" i="41"/>
  <c r="A10" i="23" s="1"/>
  <c r="A10" i="24" s="1"/>
  <c r="B9" i="23" l="1"/>
  <c r="B9" i="24" s="1"/>
  <c r="Q13" i="41"/>
  <c r="P15" i="41"/>
  <c r="Q14" i="41"/>
  <c r="CA15" i="41"/>
  <c r="O15" i="41" s="1"/>
  <c r="Z15" i="41" s="1"/>
  <c r="BA15" i="41"/>
  <c r="N15" i="41" s="1"/>
  <c r="Y15" i="41" s="1"/>
  <c r="AJ16" i="41"/>
  <c r="AH16" i="41"/>
  <c r="AG16" i="41"/>
  <c r="A18" i="41"/>
  <c r="A11" i="23" s="1"/>
  <c r="A11" i="24" s="1"/>
  <c r="AR16" i="41"/>
  <c r="AK16" i="41"/>
  <c r="AN16" i="41"/>
  <c r="D16" i="41"/>
  <c r="D9" i="23" s="1"/>
  <c r="E9" i="24" s="1"/>
  <c r="AL16" i="41"/>
  <c r="AY16" i="41"/>
  <c r="AX16" i="41"/>
  <c r="AT16" i="41"/>
  <c r="AQ16" i="41"/>
  <c r="AS16" i="41"/>
  <c r="AW16" i="41"/>
  <c r="AO16" i="41"/>
  <c r="AI16" i="41"/>
  <c r="AM16" i="41"/>
  <c r="AV16" i="41"/>
  <c r="AU16" i="41"/>
  <c r="AP16" i="41"/>
  <c r="AZ16" i="41"/>
  <c r="BB15" i="41"/>
  <c r="FL15" i="41" l="1"/>
  <c r="FJ15" i="41"/>
  <c r="B10" i="23"/>
  <c r="B10" i="24" s="1"/>
  <c r="P16" i="41"/>
  <c r="Q15" i="41"/>
  <c r="CA16" i="41"/>
  <c r="O16" i="41" s="1"/>
  <c r="Z16" i="41" s="1"/>
  <c r="BA16" i="41"/>
  <c r="N16" i="41" s="1"/>
  <c r="AG17" i="41"/>
  <c r="AH17" i="41"/>
  <c r="AJ17" i="41"/>
  <c r="AY17" i="41"/>
  <c r="AU17" i="41"/>
  <c r="AP17" i="41"/>
  <c r="D17" i="41"/>
  <c r="D10" i="23" s="1"/>
  <c r="E10" i="24" s="1"/>
  <c r="AM17" i="41"/>
  <c r="AO17" i="41"/>
  <c r="AI17" i="41"/>
  <c r="AQ17" i="41"/>
  <c r="AZ17" i="41"/>
  <c r="AX17" i="41"/>
  <c r="AN17" i="41"/>
  <c r="AR17" i="41"/>
  <c r="AL17" i="41"/>
  <c r="AT17" i="41"/>
  <c r="AW17" i="41"/>
  <c r="AS17" i="41"/>
  <c r="AV17" i="41"/>
  <c r="AK17" i="41"/>
  <c r="A19" i="41"/>
  <c r="A12" i="23" s="1"/>
  <c r="A12" i="24" s="1"/>
  <c r="B18" i="41"/>
  <c r="BB16" i="41"/>
  <c r="B11" i="23" l="1"/>
  <c r="B11" i="24" s="1"/>
  <c r="P17" i="41"/>
  <c r="Q16" i="41"/>
  <c r="Y16" i="41"/>
  <c r="CA17" i="41"/>
  <c r="O17" i="41" s="1"/>
  <c r="BA17" i="41"/>
  <c r="AJ18" i="41"/>
  <c r="AG18" i="41"/>
  <c r="BB17" i="41"/>
  <c r="AS18" i="41"/>
  <c r="AY18" i="41"/>
  <c r="AI18" i="41"/>
  <c r="AO18" i="41"/>
  <c r="AU18" i="41"/>
  <c r="AR18" i="41"/>
  <c r="AX18" i="41"/>
  <c r="AM18" i="41"/>
  <c r="AH18" i="41"/>
  <c r="AN18" i="41"/>
  <c r="D18" i="41"/>
  <c r="D11" i="23" s="1"/>
  <c r="E11" i="24" s="1"/>
  <c r="AZ18" i="41"/>
  <c r="AT18" i="41"/>
  <c r="AQ18" i="41"/>
  <c r="AW18" i="41"/>
  <c r="AL18" i="41"/>
  <c r="AK18" i="41"/>
  <c r="AV18" i="41"/>
  <c r="AP18" i="41"/>
  <c r="B19" i="41"/>
  <c r="A20" i="41"/>
  <c r="A13" i="23" s="1"/>
  <c r="A13" i="24" s="1"/>
  <c r="FL16" i="41" l="1"/>
  <c r="FJ16" i="41"/>
  <c r="B12" i="23"/>
  <c r="B12" i="24" s="1"/>
  <c r="P18" i="41"/>
  <c r="N17" i="41"/>
  <c r="Q17" i="41" s="1"/>
  <c r="CA18" i="41"/>
  <c r="O18" i="41" s="1"/>
  <c r="BA18" i="41"/>
  <c r="AJ19" i="41"/>
  <c r="AG19" i="41"/>
  <c r="BB18" i="41"/>
  <c r="B20" i="41"/>
  <c r="A21" i="41"/>
  <c r="A14" i="23" s="1"/>
  <c r="A14" i="24" s="1"/>
  <c r="AH19" i="41"/>
  <c r="AU19" i="41"/>
  <c r="AZ19" i="41"/>
  <c r="AQ19" i="41"/>
  <c r="AK19" i="41"/>
  <c r="AT19" i="41"/>
  <c r="AY19" i="41"/>
  <c r="AW19" i="41"/>
  <c r="AO19" i="41"/>
  <c r="AP19" i="41"/>
  <c r="AS19" i="41"/>
  <c r="AV19" i="41"/>
  <c r="AM19" i="41"/>
  <c r="AI19" i="41"/>
  <c r="AX19" i="41"/>
  <c r="AN19" i="41"/>
  <c r="AR19" i="41"/>
  <c r="AL19" i="41"/>
  <c r="D19" i="41"/>
  <c r="D12" i="23" s="1"/>
  <c r="E12" i="24" s="1"/>
  <c r="B13" i="23" l="1"/>
  <c r="B13" i="24" s="1"/>
  <c r="P19" i="41"/>
  <c r="Y17" i="41"/>
  <c r="N18" i="41"/>
  <c r="Q18" i="41" s="1"/>
  <c r="CA19" i="41"/>
  <c r="BA19" i="41"/>
  <c r="AG20" i="41"/>
  <c r="A22" i="41"/>
  <c r="A15" i="23" s="1"/>
  <c r="A15" i="24" s="1"/>
  <c r="B21" i="41"/>
  <c r="AH20" i="41"/>
  <c r="AK20" i="41"/>
  <c r="AV20" i="41"/>
  <c r="AO20" i="41"/>
  <c r="AZ20" i="41"/>
  <c r="AT20" i="41"/>
  <c r="AJ20" i="41"/>
  <c r="AI20" i="41"/>
  <c r="AL20" i="41"/>
  <c r="AN20" i="41"/>
  <c r="AY20" i="41"/>
  <c r="AW20" i="41"/>
  <c r="AS20" i="41"/>
  <c r="AM20" i="41"/>
  <c r="AR20" i="41"/>
  <c r="AQ20" i="41"/>
  <c r="AX20" i="41"/>
  <c r="D20" i="41"/>
  <c r="D13" i="23" s="1"/>
  <c r="E13" i="24" s="1"/>
  <c r="AP20" i="41"/>
  <c r="AU20" i="41"/>
  <c r="BB19" i="41"/>
  <c r="FJ17" i="41" l="1"/>
  <c r="FL17" i="41"/>
  <c r="B14" i="23"/>
  <c r="B14" i="24" s="1"/>
  <c r="P20" i="41"/>
  <c r="Y18" i="41"/>
  <c r="N19" i="41"/>
  <c r="Y19" i="41" s="1"/>
  <c r="CA20" i="41"/>
  <c r="O20" i="41" s="1"/>
  <c r="O19" i="41"/>
  <c r="BA20" i="41"/>
  <c r="N20" i="41" s="1"/>
  <c r="Y20" i="41" s="1"/>
  <c r="AG21" i="41"/>
  <c r="BB20" i="41"/>
  <c r="AK21" i="41"/>
  <c r="AM21" i="41"/>
  <c r="AO21" i="41"/>
  <c r="AX21" i="41"/>
  <c r="AH21" i="41"/>
  <c r="AZ21" i="41"/>
  <c r="AT21" i="41"/>
  <c r="AU21" i="41"/>
  <c r="AR21" i="41"/>
  <c r="AL21" i="41"/>
  <c r="D21" i="41"/>
  <c r="D14" i="23" s="1"/>
  <c r="E14" i="24" s="1"/>
  <c r="AJ21" i="41"/>
  <c r="AW21" i="41"/>
  <c r="AQ21" i="41"/>
  <c r="AY21" i="41"/>
  <c r="AP21" i="41"/>
  <c r="AV21" i="41"/>
  <c r="AN21" i="41"/>
  <c r="AI21" i="41"/>
  <c r="AS21" i="41"/>
  <c r="A23" i="41"/>
  <c r="A16" i="23" s="1"/>
  <c r="A16" i="24" s="1"/>
  <c r="B22" i="41"/>
  <c r="FL19" i="41" l="1"/>
  <c r="FJ19" i="41"/>
  <c r="FJ20" i="41"/>
  <c r="FL20" i="41"/>
  <c r="FL18" i="41"/>
  <c r="FJ18" i="41"/>
  <c r="B15" i="23"/>
  <c r="B15" i="24" s="1"/>
  <c r="P21" i="41"/>
  <c r="Q20" i="41"/>
  <c r="Q19" i="41"/>
  <c r="CA21" i="41"/>
  <c r="BA21" i="41"/>
  <c r="AG22" i="41"/>
  <c r="AL22" i="41"/>
  <c r="AI22" i="41"/>
  <c r="AW22" i="41"/>
  <c r="D22" i="41"/>
  <c r="D15" i="23" s="1"/>
  <c r="E15" i="24" s="1"/>
  <c r="AS22" i="41"/>
  <c r="AX22" i="41"/>
  <c r="AH22" i="41"/>
  <c r="AP22" i="41"/>
  <c r="AM22" i="41"/>
  <c r="AK22" i="41"/>
  <c r="AV22" i="41"/>
  <c r="AJ22" i="41"/>
  <c r="AN22" i="41"/>
  <c r="AO22" i="41"/>
  <c r="AQ22" i="41"/>
  <c r="AU22" i="41"/>
  <c r="AZ22" i="41"/>
  <c r="AR22" i="41"/>
  <c r="AT22" i="41"/>
  <c r="AY22" i="41"/>
  <c r="BB21" i="41"/>
  <c r="A24" i="41"/>
  <c r="A17" i="23" s="1"/>
  <c r="A17" i="24" s="1"/>
  <c r="B23" i="41"/>
  <c r="B16" i="23" l="1"/>
  <c r="B16" i="24" s="1"/>
  <c r="P22" i="41"/>
  <c r="N21" i="41"/>
  <c r="CA22" i="41"/>
  <c r="O22" i="41" s="1"/>
  <c r="O21" i="41"/>
  <c r="BA22" i="41"/>
  <c r="N22" i="41" s="1"/>
  <c r="Y22" i="41" s="1"/>
  <c r="AG23" i="41"/>
  <c r="A25" i="41"/>
  <c r="A18" i="23" s="1"/>
  <c r="A18" i="24" s="1"/>
  <c r="B24" i="41"/>
  <c r="BB22" i="41"/>
  <c r="AN23" i="41"/>
  <c r="AJ23" i="41"/>
  <c r="AI23" i="41"/>
  <c r="AX23" i="41"/>
  <c r="AU23" i="41"/>
  <c r="AY23" i="41"/>
  <c r="AM23" i="41"/>
  <c r="D23" i="41"/>
  <c r="D16" i="23" s="1"/>
  <c r="E16" i="24" s="1"/>
  <c r="AV23" i="41"/>
  <c r="AP23" i="41"/>
  <c r="AK23" i="41"/>
  <c r="AH23" i="41"/>
  <c r="AR23" i="41"/>
  <c r="AT23" i="41"/>
  <c r="AQ23" i="41"/>
  <c r="AW23" i="41"/>
  <c r="AS23" i="41"/>
  <c r="AO23" i="41"/>
  <c r="AZ23" i="41"/>
  <c r="AL23" i="41"/>
  <c r="FL22" i="41" l="1"/>
  <c r="FJ22" i="41"/>
  <c r="B17" i="23"/>
  <c r="B17" i="24" s="1"/>
  <c r="P23" i="41"/>
  <c r="Q22" i="41"/>
  <c r="Q21" i="41"/>
  <c r="CA23" i="41"/>
  <c r="BA23" i="41"/>
  <c r="N23" i="41" s="1"/>
  <c r="Y23" i="41" s="1"/>
  <c r="BB23" i="41"/>
  <c r="AZ24" i="41"/>
  <c r="AP24" i="41"/>
  <c r="AR24" i="41"/>
  <c r="AO24" i="41"/>
  <c r="AJ24" i="41"/>
  <c r="AN24" i="41"/>
  <c r="AH24" i="41"/>
  <c r="AY24" i="41"/>
  <c r="AM24" i="41"/>
  <c r="AT24" i="41"/>
  <c r="AQ24" i="41"/>
  <c r="AX24" i="41"/>
  <c r="AL24" i="41"/>
  <c r="AI24" i="41"/>
  <c r="D24" i="41"/>
  <c r="D17" i="23" s="1"/>
  <c r="E17" i="24" s="1"/>
  <c r="AS24" i="41"/>
  <c r="AV24" i="41"/>
  <c r="AW24" i="41"/>
  <c r="AK24" i="41"/>
  <c r="AU24" i="41"/>
  <c r="AG24" i="41"/>
  <c r="B25" i="41"/>
  <c r="A26" i="41"/>
  <c r="A19" i="23" s="1"/>
  <c r="A19" i="24" s="1"/>
  <c r="FL23" i="41" l="1"/>
  <c r="FJ23" i="41"/>
  <c r="B18" i="23"/>
  <c r="B18" i="24" s="1"/>
  <c r="P24" i="41"/>
  <c r="CA24" i="41"/>
  <c r="O24" i="41" s="1"/>
  <c r="O23" i="41"/>
  <c r="BA24" i="41"/>
  <c r="BB24" i="41"/>
  <c r="B26" i="41"/>
  <c r="A27" i="41"/>
  <c r="A20" i="23" s="1"/>
  <c r="A20" i="24" s="1"/>
  <c r="AL25" i="41"/>
  <c r="AR25" i="41"/>
  <c r="AO25" i="41"/>
  <c r="AS25" i="41"/>
  <c r="AQ25" i="41"/>
  <c r="D25" i="41"/>
  <c r="D18" i="23" s="1"/>
  <c r="E18" i="24" s="1"/>
  <c r="AY25" i="41"/>
  <c r="AW25" i="41"/>
  <c r="AT25" i="41"/>
  <c r="AK25" i="41"/>
  <c r="AP25" i="41"/>
  <c r="AJ25" i="41"/>
  <c r="AI25" i="41"/>
  <c r="AV25" i="41"/>
  <c r="AX25" i="41"/>
  <c r="AN25" i="41"/>
  <c r="AU25" i="41"/>
  <c r="AH25" i="41"/>
  <c r="AZ25" i="41"/>
  <c r="AM25" i="41"/>
  <c r="AG25" i="41"/>
  <c r="B19" i="23" l="1"/>
  <c r="B19" i="24" s="1"/>
  <c r="Q23" i="41"/>
  <c r="Z23" i="41"/>
  <c r="P25" i="41"/>
  <c r="N24" i="41"/>
  <c r="Q24" i="41" s="1"/>
  <c r="CA25" i="41"/>
  <c r="BA25" i="41"/>
  <c r="N25" i="41" s="1"/>
  <c r="A28" i="41"/>
  <c r="A21" i="23" s="1"/>
  <c r="A21" i="24" s="1"/>
  <c r="B27" i="41"/>
  <c r="AY26" i="41"/>
  <c r="AW26" i="41"/>
  <c r="AR26" i="41"/>
  <c r="AQ26" i="41"/>
  <c r="AN26" i="41"/>
  <c r="AI26" i="41"/>
  <c r="AU26" i="41"/>
  <c r="AX26" i="41"/>
  <c r="AV26" i="41"/>
  <c r="AT26" i="41"/>
  <c r="D26" i="41"/>
  <c r="D19" i="23" s="1"/>
  <c r="E19" i="24" s="1"/>
  <c r="AP26" i="41"/>
  <c r="AM26" i="41"/>
  <c r="AK26" i="41"/>
  <c r="AH26" i="41"/>
  <c r="AZ26" i="41"/>
  <c r="AL26" i="41"/>
  <c r="AO26" i="41"/>
  <c r="AS26" i="41"/>
  <c r="AG26" i="41"/>
  <c r="AJ26" i="41"/>
  <c r="BB25" i="41"/>
  <c r="B20" i="23" l="1"/>
  <c r="B20" i="24" s="1"/>
  <c r="P26" i="41"/>
  <c r="Y25" i="41"/>
  <c r="CA26" i="41"/>
  <c r="O26" i="41" s="1"/>
  <c r="O25" i="41"/>
  <c r="Z25" i="41" s="1"/>
  <c r="BA26" i="41"/>
  <c r="N26" i="41" s="1"/>
  <c r="BB26" i="41"/>
  <c r="AM27" i="41"/>
  <c r="AV27" i="41"/>
  <c r="AH27" i="41"/>
  <c r="AP27" i="41"/>
  <c r="AR27" i="41"/>
  <c r="AT27" i="41"/>
  <c r="AQ27" i="41"/>
  <c r="AW27" i="41"/>
  <c r="AL27" i="41"/>
  <c r="AG27" i="41"/>
  <c r="AS27" i="41"/>
  <c r="AO27" i="41"/>
  <c r="D27" i="41"/>
  <c r="D20" i="23" s="1"/>
  <c r="E20" i="24" s="1"/>
  <c r="AN27" i="41"/>
  <c r="AJ27" i="41"/>
  <c r="AK27" i="41"/>
  <c r="AZ27" i="41"/>
  <c r="AY27" i="41"/>
  <c r="AX27" i="41"/>
  <c r="AI27" i="41"/>
  <c r="AU27" i="41"/>
  <c r="B28" i="41"/>
  <c r="A29" i="41"/>
  <c r="A22" i="23" s="1"/>
  <c r="A22" i="24" s="1"/>
  <c r="FJ25" i="41" l="1"/>
  <c r="FL25" i="41"/>
  <c r="B21" i="23"/>
  <c r="B21" i="24" s="1"/>
  <c r="P27" i="41"/>
  <c r="Q25" i="41"/>
  <c r="CA27" i="41"/>
  <c r="BA27" i="41"/>
  <c r="BB27" i="41"/>
  <c r="B29" i="41"/>
  <c r="A30" i="41"/>
  <c r="A23" i="23" s="1"/>
  <c r="A23" i="24" s="1"/>
  <c r="AW28" i="41"/>
  <c r="AL28" i="41"/>
  <c r="AZ28" i="41"/>
  <c r="AO28" i="41"/>
  <c r="AX28" i="41"/>
  <c r="AJ28" i="41"/>
  <c r="AI28" i="41"/>
  <c r="AG28" i="41"/>
  <c r="AH28" i="41"/>
  <c r="AY28" i="41"/>
  <c r="AS28" i="41"/>
  <c r="AN28" i="41"/>
  <c r="AR28" i="41"/>
  <c r="D28" i="41"/>
  <c r="D21" i="23" s="1"/>
  <c r="E21" i="24" s="1"/>
  <c r="AQ28" i="41"/>
  <c r="AP28" i="41"/>
  <c r="AV28" i="41"/>
  <c r="AU28" i="41"/>
  <c r="AM28" i="41"/>
  <c r="AT28" i="41"/>
  <c r="AK28" i="41"/>
  <c r="Q26" i="41" l="1"/>
  <c r="Y26" i="41"/>
  <c r="B22" i="23"/>
  <c r="B22" i="24" s="1"/>
  <c r="P28" i="41"/>
  <c r="N27" i="41"/>
  <c r="Y27" i="41" s="1"/>
  <c r="CA28" i="41"/>
  <c r="O28" i="41" s="1"/>
  <c r="O27" i="41"/>
  <c r="BA28" i="41"/>
  <c r="N28" i="41" s="1"/>
  <c r="Y28" i="41" s="1"/>
  <c r="BB28" i="41"/>
  <c r="A31" i="41"/>
  <c r="A24" i="23" s="1"/>
  <c r="A24" i="24" s="1"/>
  <c r="B30" i="41"/>
  <c r="AQ29" i="41"/>
  <c r="AV29" i="41"/>
  <c r="AM29" i="41"/>
  <c r="AI29" i="41"/>
  <c r="AN29" i="41"/>
  <c r="AL29" i="41"/>
  <c r="AX29" i="41"/>
  <c r="AK29" i="41"/>
  <c r="AZ29" i="41"/>
  <c r="AJ29" i="41"/>
  <c r="AH29" i="41"/>
  <c r="AU29" i="41"/>
  <c r="D29" i="41"/>
  <c r="D22" i="23" s="1"/>
  <c r="E22" i="24" s="1"/>
  <c r="AT29" i="41"/>
  <c r="AS29" i="41"/>
  <c r="AW29" i="41"/>
  <c r="AO29" i="41"/>
  <c r="AP29" i="41"/>
  <c r="AY29" i="41"/>
  <c r="AG29" i="41"/>
  <c r="AR29" i="41"/>
  <c r="FJ28" i="41" l="1"/>
  <c r="FL28" i="41"/>
  <c r="FL27" i="41"/>
  <c r="FJ27" i="41"/>
  <c r="FL26" i="41"/>
  <c r="FJ26" i="41"/>
  <c r="B23" i="23"/>
  <c r="B23" i="24" s="1"/>
  <c r="P29" i="41"/>
  <c r="Q28" i="41"/>
  <c r="Q27" i="41"/>
  <c r="CA29" i="41"/>
  <c r="O29" i="41" s="1"/>
  <c r="BA29" i="41"/>
  <c r="N29" i="41" s="1"/>
  <c r="BB29" i="41"/>
  <c r="AZ30" i="41"/>
  <c r="AH30" i="41"/>
  <c r="AN30" i="41"/>
  <c r="AW30" i="41"/>
  <c r="AR30" i="41"/>
  <c r="AL30" i="41"/>
  <c r="AM30" i="41"/>
  <c r="AJ30" i="41"/>
  <c r="AQ30" i="41"/>
  <c r="AV30" i="41"/>
  <c r="AT30" i="41"/>
  <c r="AY30" i="41"/>
  <c r="AG30" i="41"/>
  <c r="D30" i="41"/>
  <c r="D23" i="23" s="1"/>
  <c r="E23" i="24" s="1"/>
  <c r="AI30" i="41"/>
  <c r="AU30" i="41"/>
  <c r="AS30" i="41"/>
  <c r="AX30" i="41"/>
  <c r="AK30" i="41"/>
  <c r="AP30" i="41"/>
  <c r="AO30" i="41"/>
  <c r="A32" i="41"/>
  <c r="A25" i="23" s="1"/>
  <c r="A25" i="24" s="1"/>
  <c r="B31" i="41"/>
  <c r="B24" i="23" l="1"/>
  <c r="B24" i="24" s="1"/>
  <c r="P30" i="41"/>
  <c r="Q29" i="41"/>
  <c r="CA30" i="41"/>
  <c r="O30" i="41" s="1"/>
  <c r="BA30" i="41"/>
  <c r="AM31" i="41"/>
  <c r="AN31" i="41"/>
  <c r="AQ31" i="41"/>
  <c r="AT31" i="41"/>
  <c r="AY31" i="41"/>
  <c r="AP31" i="41"/>
  <c r="AL31" i="41"/>
  <c r="AI31" i="41"/>
  <c r="AO31" i="41"/>
  <c r="D31" i="41"/>
  <c r="D24" i="23" s="1"/>
  <c r="E24" i="24" s="1"/>
  <c r="AW31" i="41"/>
  <c r="AS31" i="41"/>
  <c r="AX31" i="41"/>
  <c r="AK31" i="41"/>
  <c r="AZ31" i="41"/>
  <c r="AH31" i="41"/>
  <c r="AR31" i="41"/>
  <c r="AG31" i="41"/>
  <c r="AU31" i="41"/>
  <c r="AJ31" i="41"/>
  <c r="AV31" i="41"/>
  <c r="A33" i="41"/>
  <c r="A26" i="23" s="1"/>
  <c r="A26" i="24" s="1"/>
  <c r="B32" i="41"/>
  <c r="BB30" i="41"/>
  <c r="B25" i="23" l="1"/>
  <c r="B25" i="24" s="1"/>
  <c r="P31" i="41"/>
  <c r="N30" i="41"/>
  <c r="Q30" i="41" s="1"/>
  <c r="BA31" i="41"/>
  <c r="N31" i="41" s="1"/>
  <c r="CA31" i="41"/>
  <c r="O31" i="41" s="1"/>
  <c r="BB31" i="41"/>
  <c r="AN32" i="41"/>
  <c r="AK32" i="41"/>
  <c r="AT32" i="41"/>
  <c r="AX32" i="41"/>
  <c r="AU32" i="41"/>
  <c r="AJ32" i="41"/>
  <c r="AM32" i="41"/>
  <c r="AH32" i="41"/>
  <c r="AG32" i="41"/>
  <c r="AP32" i="41"/>
  <c r="AI32" i="41"/>
  <c r="AZ32" i="41"/>
  <c r="AW32" i="41"/>
  <c r="AL32" i="41"/>
  <c r="AY32" i="41"/>
  <c r="D32" i="41"/>
  <c r="D25" i="23" s="1"/>
  <c r="E25" i="24" s="1"/>
  <c r="AO32" i="41"/>
  <c r="AR32" i="41"/>
  <c r="AS32" i="41"/>
  <c r="AV32" i="41"/>
  <c r="AQ32" i="41"/>
  <c r="B33" i="41"/>
  <c r="A34" i="41"/>
  <c r="A27" i="23" s="1"/>
  <c r="A27" i="24" s="1"/>
  <c r="B26" i="23" l="1"/>
  <c r="B26" i="24" s="1"/>
  <c r="P32" i="41"/>
  <c r="Q31" i="41"/>
  <c r="CA32" i="41"/>
  <c r="O32" i="41" s="1"/>
  <c r="BA32" i="41"/>
  <c r="AI33" i="41"/>
  <c r="AN33" i="41"/>
  <c r="AH33" i="41"/>
  <c r="AT33" i="41"/>
  <c r="AX33" i="41"/>
  <c r="AS33" i="41"/>
  <c r="AZ33" i="41"/>
  <c r="AY33" i="41"/>
  <c r="AP33" i="41"/>
  <c r="AM33" i="41"/>
  <c r="AG33" i="41"/>
  <c r="AL33" i="41"/>
  <c r="AR33" i="41"/>
  <c r="AW33" i="41"/>
  <c r="AK33" i="41"/>
  <c r="D33" i="41"/>
  <c r="D26" i="23" s="1"/>
  <c r="E26" i="24" s="1"/>
  <c r="AJ33" i="41"/>
  <c r="AO33" i="41"/>
  <c r="AU33" i="41"/>
  <c r="AQ33" i="41"/>
  <c r="AV33" i="41"/>
  <c r="A35" i="41"/>
  <c r="A28" i="23" s="1"/>
  <c r="A28" i="24" s="1"/>
  <c r="B34" i="41"/>
  <c r="BB32" i="41"/>
  <c r="B27" i="23" l="1"/>
  <c r="B27" i="24" s="1"/>
  <c r="P33" i="41"/>
  <c r="N32" i="41"/>
  <c r="Q32" i="41" s="1"/>
  <c r="CA33" i="41"/>
  <c r="O33" i="41" s="1"/>
  <c r="J38" i="61" s="1"/>
  <c r="BA33" i="41"/>
  <c r="N33" i="41" s="1"/>
  <c r="AZ34" i="41"/>
  <c r="AH34" i="41"/>
  <c r="AM34" i="41"/>
  <c r="AG34" i="41"/>
  <c r="AR34" i="41"/>
  <c r="AN34" i="41"/>
  <c r="AY34" i="41"/>
  <c r="AJ34" i="41"/>
  <c r="AT34" i="41"/>
  <c r="AQ34" i="41"/>
  <c r="AW34" i="41"/>
  <c r="D34" i="41"/>
  <c r="D27" i="23" s="1"/>
  <c r="E27" i="24" s="1"/>
  <c r="AL34" i="41"/>
  <c r="AI34" i="41"/>
  <c r="AV34" i="41"/>
  <c r="AS34" i="41"/>
  <c r="AX34" i="41"/>
  <c r="AU34" i="41"/>
  <c r="AK34" i="41"/>
  <c r="AP34" i="41"/>
  <c r="AO34" i="41"/>
  <c r="BB33" i="41"/>
  <c r="B35" i="41"/>
  <c r="A36" i="41"/>
  <c r="A29" i="23" s="1"/>
  <c r="A29" i="24" s="1"/>
  <c r="B28" i="23" l="1"/>
  <c r="B28" i="24" s="1"/>
  <c r="P34" i="41"/>
  <c r="Q33" i="41"/>
  <c r="Y33" i="41"/>
  <c r="CA34" i="41"/>
  <c r="O34" i="41" s="1"/>
  <c r="BA34" i="41"/>
  <c r="N34" i="41" s="1"/>
  <c r="B36" i="41"/>
  <c r="A37" i="41"/>
  <c r="A30" i="23" s="1"/>
  <c r="A30" i="24" s="1"/>
  <c r="AT35" i="41"/>
  <c r="AQ35" i="41"/>
  <c r="AH35" i="41"/>
  <c r="AP35" i="41"/>
  <c r="AL35" i="41"/>
  <c r="AI35" i="41"/>
  <c r="AG35" i="41"/>
  <c r="AJ35" i="41"/>
  <c r="AS35" i="41"/>
  <c r="AK35" i="41"/>
  <c r="AV35" i="41"/>
  <c r="AZ35" i="41"/>
  <c r="AX35" i="41"/>
  <c r="D35" i="41"/>
  <c r="D28" i="23" s="1"/>
  <c r="E28" i="24" s="1"/>
  <c r="AN35" i="41"/>
  <c r="AR35" i="41"/>
  <c r="AW35" i="41"/>
  <c r="AO35" i="41"/>
  <c r="AU35" i="41"/>
  <c r="AM35" i="41"/>
  <c r="AY35" i="41"/>
  <c r="BB34" i="41"/>
  <c r="FL33" i="41" l="1"/>
  <c r="FJ33" i="41"/>
  <c r="B29" i="23"/>
  <c r="B29" i="24" s="1"/>
  <c r="P35" i="41"/>
  <c r="Q34" i="41"/>
  <c r="CA35" i="41"/>
  <c r="O35" i="41" s="1"/>
  <c r="BA35" i="41"/>
  <c r="N35" i="41" s="1"/>
  <c r="BB35" i="41"/>
  <c r="A38" i="41"/>
  <c r="A31" i="23" s="1"/>
  <c r="A31" i="24" s="1"/>
  <c r="B37" i="41"/>
  <c r="AV36" i="41"/>
  <c r="AZ36" i="41"/>
  <c r="AU36" i="41"/>
  <c r="AM36" i="41"/>
  <c r="D36" i="41"/>
  <c r="D29" i="23" s="1"/>
  <c r="E29" i="24" s="1"/>
  <c r="AN36" i="41"/>
  <c r="AY36" i="41"/>
  <c r="AR36" i="41"/>
  <c r="AQ36" i="41"/>
  <c r="AI36" i="41"/>
  <c r="AX36" i="41"/>
  <c r="AS36" i="41"/>
  <c r="AP36" i="41"/>
  <c r="AH36" i="41"/>
  <c r="AT36" i="41"/>
  <c r="AJ36" i="41"/>
  <c r="AW36" i="41"/>
  <c r="AL36" i="41"/>
  <c r="AO36" i="41"/>
  <c r="AG36" i="41"/>
  <c r="AK36" i="41"/>
  <c r="B30" i="23" l="1"/>
  <c r="B30" i="24" s="1"/>
  <c r="P36" i="41"/>
  <c r="Q35" i="41"/>
  <c r="CA36" i="41"/>
  <c r="O36" i="41" s="1"/>
  <c r="BA36" i="41"/>
  <c r="N36" i="41" s="1"/>
  <c r="BB36" i="41"/>
  <c r="AX37" i="41"/>
  <c r="AU37" i="41"/>
  <c r="AT37" i="41"/>
  <c r="AW37" i="41"/>
  <c r="AP37" i="41"/>
  <c r="AM37" i="41"/>
  <c r="AZ37" i="41"/>
  <c r="AH37" i="41"/>
  <c r="AR37" i="41"/>
  <c r="AL37" i="41"/>
  <c r="AJ37" i="41"/>
  <c r="AO37" i="41"/>
  <c r="AS37" i="41"/>
  <c r="D37" i="41"/>
  <c r="D30" i="23" s="1"/>
  <c r="E30" i="24" s="1"/>
  <c r="AG37" i="41"/>
  <c r="AV37" i="41"/>
  <c r="AY37" i="41"/>
  <c r="AK37" i="41"/>
  <c r="AQ37" i="41"/>
  <c r="AI37" i="41"/>
  <c r="AN37" i="41"/>
  <c r="A39" i="41"/>
  <c r="A32" i="23" s="1"/>
  <c r="A32" i="24" s="1"/>
  <c r="B38" i="41"/>
  <c r="B31" i="23" l="1"/>
  <c r="B31" i="24" s="1"/>
  <c r="P37" i="41"/>
  <c r="Q36" i="41"/>
  <c r="CA37" i="41"/>
  <c r="O37" i="41" s="1"/>
  <c r="BA37" i="41"/>
  <c r="N37" i="41" s="1"/>
  <c r="BB37" i="41"/>
  <c r="A40" i="41"/>
  <c r="B39" i="41"/>
  <c r="B32" i="23" s="1"/>
  <c r="B32" i="24" s="1"/>
  <c r="AZ38" i="41"/>
  <c r="AH38" i="41"/>
  <c r="AJ38" i="41"/>
  <c r="AQ38" i="41"/>
  <c r="AR38" i="41"/>
  <c r="AW38" i="41"/>
  <c r="AU38" i="41"/>
  <c r="AO38" i="41"/>
  <c r="D38" i="41"/>
  <c r="D31" i="23" s="1"/>
  <c r="E31" i="24" s="1"/>
  <c r="AY38" i="41"/>
  <c r="AG38" i="41"/>
  <c r="EF38" i="41" s="1"/>
  <c r="AV38" i="41"/>
  <c r="AT38" i="41"/>
  <c r="AL38" i="41"/>
  <c r="AI38" i="41"/>
  <c r="AN38" i="41"/>
  <c r="AS38" i="41"/>
  <c r="AX38" i="41"/>
  <c r="AK38" i="41"/>
  <c r="AP38" i="41"/>
  <c r="AM38" i="41"/>
  <c r="B40" i="41" l="1"/>
  <c r="A33" i="23"/>
  <c r="A33" i="24" s="1"/>
  <c r="P38" i="41"/>
  <c r="Q37" i="41"/>
  <c r="G71" i="41"/>
  <c r="U32" i="43" s="1"/>
  <c r="G82" i="41"/>
  <c r="AU32" i="43" s="1"/>
  <c r="G73" i="41"/>
  <c r="Y32" i="43" s="1"/>
  <c r="G66" i="41"/>
  <c r="I32" i="43" s="1"/>
  <c r="G84" i="41"/>
  <c r="AY32" i="43" s="1"/>
  <c r="G74" i="41"/>
  <c r="AA32" i="43" s="1"/>
  <c r="G83" i="41"/>
  <c r="AW32" i="43" s="1"/>
  <c r="G77" i="41"/>
  <c r="AI32" i="43" s="1"/>
  <c r="G65" i="41"/>
  <c r="G32" i="43" s="1"/>
  <c r="G86" i="41"/>
  <c r="BC32" i="43" s="1"/>
  <c r="G67" i="41"/>
  <c r="K32" i="43" s="1"/>
  <c r="G72" i="41"/>
  <c r="W32" i="43" s="1"/>
  <c r="G70" i="41"/>
  <c r="S32" i="43" s="1"/>
  <c r="K81" i="1" s="1"/>
  <c r="G64" i="41"/>
  <c r="E32" i="43" s="1"/>
  <c r="G78" i="41"/>
  <c r="AK32" i="43" s="1"/>
  <c r="G76" i="41"/>
  <c r="AG32" i="43" s="1"/>
  <c r="G85" i="41"/>
  <c r="BA32" i="43" s="1"/>
  <c r="G68" i="41"/>
  <c r="M32" i="43" s="1"/>
  <c r="G79" i="41"/>
  <c r="AM32" i="43" s="1"/>
  <c r="G80" i="41"/>
  <c r="AO32" i="43" s="1"/>
  <c r="CA38" i="41"/>
  <c r="O38" i="41" s="1"/>
  <c r="Z38" i="41" s="1"/>
  <c r="Z41" i="41" s="1"/>
  <c r="BA38" i="41"/>
  <c r="AB41" i="41"/>
  <c r="I67" i="1" s="1"/>
  <c r="J29" i="1" s="1"/>
  <c r="AV39" i="41"/>
  <c r="AZ39" i="41"/>
  <c r="AP39" i="41"/>
  <c r="D39" i="41"/>
  <c r="D32" i="23" s="1"/>
  <c r="E32" i="24" s="1"/>
  <c r="AN39" i="41"/>
  <c r="AR39" i="41"/>
  <c r="AH39" i="41"/>
  <c r="AU39" i="41"/>
  <c r="AJ39" i="41"/>
  <c r="AW39" i="41"/>
  <c r="AM39" i="41"/>
  <c r="AY39" i="41"/>
  <c r="AO39" i="41"/>
  <c r="AT39" i="41"/>
  <c r="AQ39" i="41"/>
  <c r="AG39" i="41"/>
  <c r="EF39" i="41" s="1"/>
  <c r="EF41" i="41" s="1"/>
  <c r="AL39" i="41"/>
  <c r="AI39" i="41"/>
  <c r="AS39" i="41"/>
  <c r="AK39" i="41"/>
  <c r="AX39" i="41"/>
  <c r="AX40" i="41"/>
  <c r="AR40" i="41"/>
  <c r="AP40" i="41"/>
  <c r="AZ40" i="41"/>
  <c r="AH40" i="41"/>
  <c r="AV40" i="41"/>
  <c r="AT40" i="41"/>
  <c r="AN40" i="41"/>
  <c r="AL40" i="41"/>
  <c r="AJ40" i="41"/>
  <c r="D40" i="41"/>
  <c r="AY40" i="41"/>
  <c r="AW40" i="41"/>
  <c r="AO40" i="41"/>
  <c r="AU40" i="41"/>
  <c r="AS40" i="41"/>
  <c r="AQ40" i="41"/>
  <c r="AG40" i="41"/>
  <c r="EF40" i="41" s="1"/>
  <c r="AM40" i="41"/>
  <c r="AK40" i="41"/>
  <c r="AI40" i="41"/>
  <c r="BB38" i="41"/>
  <c r="L94" i="1" l="1"/>
  <c r="K94" i="1"/>
  <c r="L83" i="1"/>
  <c r="K83" i="1"/>
  <c r="L74" i="1"/>
  <c r="K74" i="1"/>
  <c r="L93" i="1"/>
  <c r="K93" i="1"/>
  <c r="K75" i="1"/>
  <c r="L75" i="1"/>
  <c r="L84" i="1"/>
  <c r="K84" i="1"/>
  <c r="K76" i="1"/>
  <c r="L76" i="1"/>
  <c r="L73" i="1"/>
  <c r="K73" i="1"/>
  <c r="L82" i="1"/>
  <c r="K82" i="1"/>
  <c r="L90" i="1"/>
  <c r="K90" i="1"/>
  <c r="L91" i="1"/>
  <c r="K91" i="1"/>
  <c r="L92" i="1"/>
  <c r="K92" i="1"/>
  <c r="K72" i="1"/>
  <c r="L72" i="1"/>
  <c r="L85" i="1"/>
  <c r="K85" i="1"/>
  <c r="K103" i="1"/>
  <c r="L103" i="1"/>
  <c r="K99" i="1"/>
  <c r="L99" i="1"/>
  <c r="K102" i="1"/>
  <c r="L102" i="1"/>
  <c r="K100" i="1"/>
  <c r="L100" i="1"/>
  <c r="L101" i="1"/>
  <c r="K101" i="1"/>
  <c r="L81" i="1"/>
  <c r="G81" i="1" s="1"/>
  <c r="D94" i="1"/>
  <c r="F94" i="1"/>
  <c r="D83" i="1"/>
  <c r="F83" i="1"/>
  <c r="D74" i="1"/>
  <c r="F74" i="1"/>
  <c r="D84" i="1"/>
  <c r="F84" i="1"/>
  <c r="D82" i="1"/>
  <c r="F82" i="1"/>
  <c r="D93" i="1"/>
  <c r="F93" i="1"/>
  <c r="D99" i="1"/>
  <c r="F99" i="1"/>
  <c r="D90" i="1"/>
  <c r="F90" i="1"/>
  <c r="D91" i="1"/>
  <c r="F91" i="1"/>
  <c r="D103" i="1"/>
  <c r="F103" i="1"/>
  <c r="D73" i="1"/>
  <c r="F73" i="1"/>
  <c r="D100" i="1"/>
  <c r="J15" i="44" s="1"/>
  <c r="F100" i="1"/>
  <c r="D76" i="1"/>
  <c r="F76" i="1"/>
  <c r="D102" i="1"/>
  <c r="F102" i="1"/>
  <c r="D92" i="1"/>
  <c r="F92" i="1"/>
  <c r="F72" i="1"/>
  <c r="D85" i="1"/>
  <c r="F85" i="1"/>
  <c r="D75" i="1"/>
  <c r="F75" i="1"/>
  <c r="D81" i="1"/>
  <c r="F81" i="1"/>
  <c r="D101" i="1"/>
  <c r="J16" i="44" s="1"/>
  <c r="F101" i="1"/>
  <c r="AO37" i="43"/>
  <c r="AO40" i="43"/>
  <c r="W37" i="43"/>
  <c r="W40" i="43"/>
  <c r="I40" i="43"/>
  <c r="I37" i="43"/>
  <c r="AM37" i="43"/>
  <c r="AM40" i="43"/>
  <c r="K37" i="43"/>
  <c r="K40" i="43"/>
  <c r="Y40" i="43"/>
  <c r="Y37" i="43"/>
  <c r="BC37" i="43"/>
  <c r="BC40" i="43"/>
  <c r="AU40" i="43"/>
  <c r="AU37" i="43"/>
  <c r="G40" i="43"/>
  <c r="G37" i="43"/>
  <c r="U40" i="43"/>
  <c r="U37" i="43"/>
  <c r="BA40" i="43"/>
  <c r="BA37" i="43"/>
  <c r="AG40" i="43"/>
  <c r="AG37" i="43"/>
  <c r="AI40" i="43"/>
  <c r="AI37" i="43"/>
  <c r="AK40" i="43"/>
  <c r="AK37" i="43"/>
  <c r="AW40" i="43"/>
  <c r="AW37" i="43"/>
  <c r="M40" i="43"/>
  <c r="M37" i="43"/>
  <c r="E40" i="43"/>
  <c r="BD32" i="43"/>
  <c r="I64" i="1" s="1"/>
  <c r="I40" i="1" s="1"/>
  <c r="E37" i="43"/>
  <c r="AA40" i="43"/>
  <c r="AA37" i="43"/>
  <c r="S40" i="43"/>
  <c r="S37" i="43"/>
  <c r="AY37" i="43"/>
  <c r="AY40" i="43"/>
  <c r="AF41" i="41"/>
  <c r="J52" i="1" s="1"/>
  <c r="D33" i="23"/>
  <c r="E33" i="24" s="1"/>
  <c r="P40" i="41"/>
  <c r="B33" i="23"/>
  <c r="B33" i="24" s="1"/>
  <c r="G87" i="41"/>
  <c r="G37" i="23" s="1"/>
  <c r="H37" i="25" s="1"/>
  <c r="H40" i="25" s="1"/>
  <c r="P39" i="41"/>
  <c r="D72" i="1"/>
  <c r="N38" i="41"/>
  <c r="CA40" i="41"/>
  <c r="CA39" i="41"/>
  <c r="O39" i="41" s="1"/>
  <c r="BA40" i="41"/>
  <c r="BA39" i="41"/>
  <c r="BB40" i="41"/>
  <c r="BB39" i="41"/>
  <c r="J33" i="1" l="1"/>
  <c r="J11" i="44"/>
  <c r="I21" i="1"/>
  <c r="I23" i="1" s="1"/>
  <c r="K23" i="1" s="1"/>
  <c r="B43" i="1"/>
  <c r="B36" i="1"/>
  <c r="I42" i="1"/>
  <c r="K42" i="1" s="1"/>
  <c r="D106" i="1"/>
  <c r="BD40" i="43"/>
  <c r="G75" i="1"/>
  <c r="H75" i="1" s="1"/>
  <c r="G73" i="1"/>
  <c r="H73" i="1" s="1"/>
  <c r="G76" i="1"/>
  <c r="H76" i="1" s="1"/>
  <c r="G85" i="1"/>
  <c r="H85" i="1" s="1"/>
  <c r="G84" i="1"/>
  <c r="H84" i="1" s="1"/>
  <c r="G83" i="1"/>
  <c r="H83" i="1" s="1"/>
  <c r="G74" i="1"/>
  <c r="H74" i="1" s="1"/>
  <c r="G72" i="1"/>
  <c r="H72" i="1" s="1"/>
  <c r="G92" i="1"/>
  <c r="H92" i="1" s="1"/>
  <c r="G93" i="1"/>
  <c r="H93" i="1" s="1"/>
  <c r="G91" i="1"/>
  <c r="H91" i="1" s="1"/>
  <c r="G90" i="1"/>
  <c r="H90" i="1" s="1"/>
  <c r="G82" i="1"/>
  <c r="G94" i="1"/>
  <c r="H94" i="1" s="1"/>
  <c r="G101" i="1"/>
  <c r="H101" i="1" s="1"/>
  <c r="G102" i="1"/>
  <c r="H102" i="1" s="1"/>
  <c r="G99" i="1"/>
  <c r="H99" i="1" s="1"/>
  <c r="G100" i="1"/>
  <c r="H100" i="1" s="1"/>
  <c r="G103" i="1"/>
  <c r="H81" i="1"/>
  <c r="F86" i="1"/>
  <c r="F104" i="1"/>
  <c r="F95" i="1"/>
  <c r="F77" i="1"/>
  <c r="BD37" i="43"/>
  <c r="Q38" i="41"/>
  <c r="Y38" i="41"/>
  <c r="AM37" i="23"/>
  <c r="H36" i="24"/>
  <c r="H39" i="24" s="1"/>
  <c r="I12" i="1"/>
  <c r="G35" i="23"/>
  <c r="CC41" i="41"/>
  <c r="CB41" i="41"/>
  <c r="BD41" i="43" s="1"/>
  <c r="N40" i="41"/>
  <c r="O40" i="41"/>
  <c r="O41" i="41" s="1"/>
  <c r="CA41" i="41"/>
  <c r="BA41" i="41"/>
  <c r="N39" i="41"/>
  <c r="Q39" i="41" s="1"/>
  <c r="FF39" i="41" l="1"/>
  <c r="FE39" i="41"/>
  <c r="FH39" i="41"/>
  <c r="FG39" i="41"/>
  <c r="FL38" i="41"/>
  <c r="FL41" i="41" s="1"/>
  <c r="FJ38" i="41"/>
  <c r="FJ41" i="41" s="1"/>
  <c r="J54" i="1" s="1"/>
  <c r="FH38" i="41"/>
  <c r="FG38" i="41"/>
  <c r="FF38" i="41"/>
  <c r="FE38" i="41"/>
  <c r="Y41" i="41"/>
  <c r="H31" i="62"/>
  <c r="J58" i="1"/>
  <c r="J20" i="44" s="1"/>
  <c r="J56" i="1"/>
  <c r="J18" i="44" s="1"/>
  <c r="J3" i="61"/>
  <c r="G77" i="1"/>
  <c r="G86" i="1"/>
  <c r="H82" i="1"/>
  <c r="H86" i="1" s="1"/>
  <c r="H77" i="1"/>
  <c r="H95" i="1"/>
  <c r="G95" i="1"/>
  <c r="G104" i="1"/>
  <c r="H103" i="1"/>
  <c r="H104" i="1" s="1"/>
  <c r="I66" i="1"/>
  <c r="N41" i="41"/>
  <c r="I48" i="41" s="1"/>
  <c r="AN41" i="43"/>
  <c r="Q40" i="41"/>
  <c r="J35" i="1" l="1"/>
  <c r="J13" i="44"/>
  <c r="Q41" i="41"/>
  <c r="FH40" i="41"/>
  <c r="FH41" i="41" s="1"/>
  <c r="FG40" i="41"/>
  <c r="FG41" i="41" s="1"/>
  <c r="FF40" i="41"/>
  <c r="FF41" i="41" s="1"/>
  <c r="FE40" i="41"/>
  <c r="FE41" i="41" s="1"/>
  <c r="I44" i="41"/>
  <c r="I47" i="41" s="1"/>
  <c r="C5" i="50" s="1"/>
  <c r="H47" i="41"/>
  <c r="C17" i="50" l="1"/>
  <c r="C24" i="50"/>
  <c r="C27" i="50" s="1"/>
  <c r="I52" i="41"/>
  <c r="E5" i="50" s="1"/>
  <c r="E24" i="50" s="1"/>
  <c r="E27" i="50" s="1"/>
  <c r="D5" i="50"/>
  <c r="D24" i="50" s="1"/>
  <c r="D27" i="50" s="1"/>
  <c r="E29" i="50" l="1"/>
  <c r="D17" i="50"/>
  <c r="E17" i="50"/>
  <c r="E19" i="50" s="1"/>
  <c r="E28" i="50"/>
  <c r="D20" i="2"/>
  <c r="H21" i="2" s="1"/>
  <c r="H25" i="2" s="1"/>
  <c r="H20" i="2"/>
  <c r="G20" i="2"/>
  <c r="F20" i="2"/>
  <c r="E20" i="2"/>
  <c r="E33" i="2" s="1"/>
  <c r="C4" i="2"/>
  <c r="C2" i="2"/>
  <c r="C3" i="2"/>
  <c r="E31" i="2"/>
  <c r="E32" i="2"/>
  <c r="E30" i="2"/>
  <c r="E26" i="2"/>
  <c r="E58" i="50" l="1"/>
  <c r="E18" i="50"/>
  <c r="G15" i="1" l="1"/>
  <c r="B16" i="1" s="1"/>
  <c r="I15" i="1"/>
  <c r="J7" i="44" s="1"/>
  <c r="J17" i="44" l="1"/>
  <c r="J21" i="44" s="1"/>
  <c r="J14" i="44"/>
  <c r="J48" i="1"/>
  <c r="J28" i="1" s="1"/>
  <c r="J36" i="1" s="1"/>
  <c r="B37" i="1" s="1"/>
  <c r="J55" i="1" l="1"/>
  <c r="D107" i="1" s="1"/>
  <c r="J22" i="61"/>
  <c r="J24" i="61" s="1"/>
  <c r="J39" i="61" s="1"/>
  <c r="I68" i="1" l="1"/>
  <c r="I43" i="1" s="1"/>
  <c r="K51" i="44"/>
  <c r="K70" i="44"/>
  <c r="K66" i="1"/>
  <c r="J59" i="1" l="1"/>
  <c r="K25" i="44" s="1"/>
  <c r="K52" i="44" s="1"/>
  <c r="P41" i="41"/>
  <c r="I69" i="1" l="1"/>
  <c r="P14" i="69" l="1"/>
  <c r="P40" i="69" s="1"/>
  <c r="Q14" i="69" l="1"/>
  <c r="Q40" i="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3"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7CB81461-70F5-5E44-A871-C8DDA70B5E1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2" authorId="0" shapeId="0" xr:uid="{8FDD572D-B610-2140-BD9D-A505BA87BA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B64B80C7-8224-AC4D-B249-527D5F923FD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3" authorId="0" shapeId="0" xr:uid="{AAB8B58C-53F9-1E4F-9075-B55D922008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I54" authorId="0" shapeId="0" xr:uid="{CBE50238-BDE8-7E4E-8593-0320544F79B2}">
      <text>
        <r>
          <rPr>
            <b/>
            <sz val="10"/>
            <color rgb="FF000000"/>
            <rFont val="Tahoma"/>
            <family val="2"/>
          </rPr>
          <t>Tove Dohn:</t>
        </r>
        <r>
          <rPr>
            <sz val="10"/>
            <color rgb="FF000000"/>
            <rFont val="Tahoma"/>
            <family val="2"/>
          </rPr>
          <t xml:space="preserve">
</t>
        </r>
        <r>
          <rPr>
            <sz val="10"/>
            <color rgb="FF000000"/>
            <rFont val="Tahoma"/>
            <family val="2"/>
          </rPr>
          <t>Skriv her antal særlige feriedage optjent i sidste kalenderår, og som skal afvikles i perioden 1. maj til 30. april. Der optjenes 0,42 særlige feriedage pr. måneds ansættelse. BEMÆRK optjeningsåret er SIDSTE kalenderår.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61A7A3D4-A37D-E040-880F-BD2AF6627E9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2" authorId="0" shapeId="0" xr:uid="{7001AAC1-1D85-8E4E-AE37-C98AD447DE5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7FEC9397-7F0B-754A-9D87-4E5A0C56D83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3" authorId="0" shapeId="0" xr:uid="{E70CA7A3-54A9-014F-A0CB-BAE9BA5CCC1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tc={53CDCF47-1C18-B74C-8FCD-1F187581EE76}</author>
    <author>tc={BA36B4C6-FE51-0449-BB6B-4BA6729AA314}</author>
    <author>tc={D2586241-4B4C-8149-AF7C-3A976D71E50B}</author>
    <author>tc={6299BD54-428F-0942-AF97-B33CF2909EA6}</author>
  </authors>
  <commentList>
    <comment ref="I23" authorId="0" shapeId="0" xr:uid="{53CDCF47-1C18-B74C-8FCD-1F187581EE76}">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42" authorId="1" shapeId="0" xr:uid="{BA36B4C6-FE51-0449-BB6B-4BA6729AA314}">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66" authorId="2" shapeId="0" xr:uid="{D2586241-4B4C-8149-AF7C-3A976D71E50B}">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D107" authorId="3" shapeId="0" xr:uid="{6299BD54-428F-0942-AF97-B33CF2909EA6}">
      <text>
        <t>[Trådet kommentar]
Din version af Excel lader dig læse denne trådede kommentar. Eventuelle ændringer vil dog blive fjernet, hvis filen åbnes i en nyere version af Excel. Få mere at vide: https://go.microsoft.com/fwlink/?linkid=870924
Kommentar:
    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4" authorId="0" shapeId="0" xr:uid="{6F22AF57-3F5C-924A-B7B0-B45967DC6023}">
      <text>
        <r>
          <rPr>
            <b/>
            <sz val="18"/>
            <color rgb="FF000000"/>
            <rFont val="Calibri"/>
            <family val="2"/>
            <scheme val="minor"/>
          </rPr>
          <t>Tove Dohn:</t>
        </r>
        <r>
          <rPr>
            <sz val="10"/>
            <color rgb="FF000000"/>
            <rFont val="Calibri"/>
            <family val="2"/>
            <scheme val="minor"/>
          </rPr>
          <t xml:space="preserve">
</t>
        </r>
        <r>
          <rPr>
            <sz val="18"/>
            <color rgb="FF000000"/>
            <rFont val="Calibri"/>
            <family val="2"/>
            <scheme val="minor"/>
          </rPr>
          <t>Der er ret til 2 omsorgsdage pr. barn pr. kalenderår til og med det år barnet fylder 7 år. Omsorgsdagene skal afvikles inden d. 31. december. Kun omsorgsdage der har været hindret pga. barsel kan overføres til kalenderåret efter.</t>
        </r>
        <r>
          <rPr>
            <sz val="10"/>
            <color rgb="FF000000"/>
            <rFont val="Calibri"/>
            <family val="2"/>
            <scheme val="minor"/>
          </rPr>
          <t xml:space="preserve">
</t>
        </r>
        <r>
          <rPr>
            <b/>
            <sz val="10"/>
            <color rgb="FF000000"/>
            <rFont val="Tahoma"/>
            <family val="2"/>
          </rPr>
          <t xml:space="preserve">
</t>
        </r>
      </text>
    </comment>
    <comment ref="I54" authorId="0" shapeId="0" xr:uid="{1A4C1399-AF61-5141-9C27-A5AD19E3FF9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6309774A-E9FF-A54C-A6AB-01C067D0FB2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2" authorId="0" shapeId="0" xr:uid="{338C6573-F8F9-0449-94B5-C8E40DA85F9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F4F390B9-C214-964A-A8D7-4954F7A6317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3" authorId="0" shapeId="0" xr:uid="{D19D114E-7B74-6C45-86D8-350C6F46B6E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19EC6B05-C19F-0449-8E1A-A9C36090A28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2" authorId="0" shapeId="0" xr:uid="{3C312695-FAEF-004F-A35F-6A774C4E806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5E0B5984-DA35-5045-8287-6EB22BD68BB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3" authorId="0" shapeId="0" xr:uid="{084667DB-E7DD-2144-8C73-A778263412B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9E1DD7E1-C23F-2042-B7DE-019F7CEBBFDA}">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rPr>
          <t>Ny seniorbonusordning - fra april 2022</t>
        </r>
        <r>
          <rPr>
            <sz val="10"/>
            <color rgb="FF000000"/>
            <rFont val="Calibri"/>
            <family val="2"/>
          </rPr>
          <t xml:space="preserve">
</t>
        </r>
        <r>
          <rPr>
            <b/>
            <sz val="10"/>
            <color rgb="FF000000"/>
            <rFont val="Calibri"/>
            <family val="2"/>
          </rPr>
          <t>Gældende for ledere, lærere, børnehaveklasseledere, 3F og HK</t>
        </r>
        <r>
          <rPr>
            <sz val="10"/>
            <color rgb="FF000000"/>
            <rFont val="Calibri"/>
            <family val="2"/>
          </rPr>
          <t xml:space="preserve">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text>
    </comment>
    <comment ref="I53" authorId="0" shapeId="0" xr:uid="{6AC96B7B-87F6-8143-B146-74F22C2A551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H54" authorId="0" shapeId="0" xr:uid="{5F025768-52AC-EC4F-BB66-640DE4A05D5F}">
      <text>
        <r>
          <rPr>
            <b/>
            <sz val="10"/>
            <color rgb="FF000000"/>
            <rFont val="Tahoma"/>
            <family val="2"/>
          </rPr>
          <t>Tove Dohn:</t>
        </r>
        <r>
          <rPr>
            <sz val="10"/>
            <color rgb="FF000000"/>
            <rFont val="Tahoma"/>
            <family val="2"/>
          </rPr>
          <t xml:space="preserve">
</t>
        </r>
        <r>
          <rPr>
            <sz val="10"/>
            <color rgb="FF000000"/>
            <rFont val="Tahoma"/>
            <family val="2"/>
          </rPr>
          <t>Da omsorgsdag eller evt. seniorbonusdage skal afvikles senest d. 31. december overføres evt. ikke brugte omsorgsdage fra sidste år ikke automatisk. Er der skyldige omsorgsdage der pga. barsel ikke er afholdt tastes disse i celle "H55". Ellers oplyses de omsorgsdage den ansatte har vedr. det nye år. Det samme gælder seniorbonusdage. Er dagene forhindret i at afholdes af arbejdsgiver overføres de ikke afviklede.</t>
        </r>
      </text>
    </comment>
    <comment ref="I54" authorId="0" shapeId="0" xr:uid="{A7DED186-643F-864C-B502-54648EC218E5}">
      <text>
        <r>
          <rPr>
            <b/>
            <sz val="10"/>
            <color rgb="FF000000"/>
            <rFont val="Tahoma"/>
            <family val="2"/>
          </rPr>
          <t>Tove Dohn:</t>
        </r>
        <r>
          <rPr>
            <sz val="10"/>
            <color rgb="FF000000"/>
            <rFont val="Tahoma"/>
            <family val="2"/>
          </rPr>
          <t xml:space="preserve">
</t>
        </r>
        <r>
          <rPr>
            <sz val="10"/>
            <color rgb="FF000000"/>
            <rFont val="Tahoma"/>
            <family val="2"/>
          </rPr>
          <t>Ikke afholdte eller planlagte særlige feriedage optjent forrige år og som skal afvikles senest d. 30. april i år, kan pr. 1. januar af ledelsen varsles med 30 dages varsel.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1" authorId="0" shapeId="0" xr:uid="{A0714147-58D0-AE49-91BA-3F84B33CB848}">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1" authorId="0" shapeId="0" xr:uid="{0F2A44B5-8FC8-ED4C-8681-4AB917A641C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A4E37D1F-B005-AE43-8754-8FC73FFAB20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3" authorId="0" shapeId="0" xr:uid="{4877F9F9-D9D8-1944-BBAC-A9DAFD894F8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sharedStrings.xml><?xml version="1.0" encoding="utf-8"?>
<sst xmlns="http://schemas.openxmlformats.org/spreadsheetml/2006/main" count="6647" uniqueCount="772">
  <si>
    <t>Opgaveoversigt</t>
  </si>
  <si>
    <t>Skolens navn</t>
  </si>
  <si>
    <t>lærerens navn</t>
  </si>
  <si>
    <t>vedr. skoleåret</t>
  </si>
  <si>
    <t>Skriv kun i de gule felter</t>
  </si>
  <si>
    <t>Dansk</t>
  </si>
  <si>
    <t>Matematik</t>
  </si>
  <si>
    <t>Musik</t>
  </si>
  <si>
    <t>Engelsk</t>
  </si>
  <si>
    <t>Antal skoledage</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</si>
  <si>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</si>
  <si>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</si>
  <si>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</si>
  <si>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</si>
  <si>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</si>
  <si>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</si>
  <si>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</si>
  <si>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</si>
  <si>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</si>
  <si>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</si>
  <si>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</si>
  <si>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</si>
  <si>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</si>
  <si>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</si>
  <si>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Skole:</t>
  </si>
  <si>
    <t>Periodens samlede arbejdstid</t>
  </si>
  <si>
    <t>Beskæftigelsesgrad: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</si>
  <si>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</si>
  <si>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</si>
  <si>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</si>
  <si>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</si>
  <si>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</si>
  <si>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</si>
  <si>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</si>
  <si>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</si>
  <si>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</si>
  <si>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</si>
  <si>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</si>
  <si>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</si>
  <si>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</si>
  <si>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</si>
  <si>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</si>
  <si>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</si>
  <si>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</si>
  <si>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</si>
  <si>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</si>
  <si>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</si>
  <si>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</si>
  <si>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</si>
  <si>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</si>
  <si>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</si>
  <si>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</si>
  <si>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</si>
  <si>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</si>
  <si>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</si>
  <si>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</si>
  <si>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</si>
  <si>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</si>
  <si>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Mandage</t>
  </si>
  <si>
    <t>Tirsdage</t>
  </si>
  <si>
    <t>Onsdage</t>
  </si>
  <si>
    <t>Torsdage</t>
  </si>
  <si>
    <t>Fredage</t>
  </si>
  <si>
    <t>Evt. overtid/undertid(+/-)</t>
  </si>
  <si>
    <t>Kl. Fra:</t>
  </si>
  <si>
    <t>Kl. Til:</t>
  </si>
  <si>
    <t>Arbejdstidsoversigt for skoleåret:</t>
  </si>
  <si>
    <t>Skolen starter kl.</t>
  </si>
  <si>
    <t>Antal timer til øvrige opgaver</t>
  </si>
  <si>
    <t>Heraf uv. Ifølge skoleskema</t>
  </si>
  <si>
    <t>Gældende for perioden:</t>
  </si>
  <si>
    <t>Dagen slutter kl.</t>
  </si>
  <si>
    <t>Komme og gå-tider:</t>
  </si>
  <si>
    <t>Antal dage med undervisning</t>
  </si>
  <si>
    <t>Ugedag:</t>
  </si>
  <si>
    <t>Beregning af takster for aftentillæg, weekendtillæg og weekendtimer til udbetaling</t>
  </si>
  <si>
    <t>Navn:</t>
  </si>
  <si>
    <t>Lin.</t>
  </si>
  <si>
    <t>AKTUELLE MÅNEDSLØNNINGER:</t>
  </si>
  <si>
    <t>Basisløn</t>
  </si>
  <si>
    <r>
      <t xml:space="preserve">Områdetillæg </t>
    </r>
    <r>
      <rPr>
        <i/>
        <sz val="10"/>
        <color theme="1"/>
        <rFont val="Calibri"/>
        <family val="2"/>
        <scheme val="minor"/>
      </rPr>
      <t>(kun i stedtillægsområde 3 - 6)</t>
    </r>
  </si>
  <si>
    <r>
      <t>OK08-tillæg</t>
    </r>
    <r>
      <rPr>
        <i/>
        <sz val="12"/>
        <color theme="1"/>
        <rFont val="Calibri"/>
        <family val="2"/>
        <scheme val="minor"/>
      </rPr>
      <t xml:space="preserve"> </t>
    </r>
    <r>
      <rPr>
        <i/>
        <sz val="10"/>
        <color theme="1"/>
        <rFont val="Calibri"/>
        <family val="2"/>
        <scheme val="minor"/>
      </rPr>
      <t>(kun til basistrin 1, 2 og 3)</t>
    </r>
  </si>
  <si>
    <r>
      <t>OK13-tillæg</t>
    </r>
    <r>
      <rPr>
        <i/>
        <sz val="10"/>
        <color theme="1"/>
        <rFont val="Calibri"/>
        <family val="2"/>
        <scheme val="minor"/>
      </rPr>
      <t xml:space="preserve"> (udbetales fra 1. aug. 2014 til alle lærere og bhkl.ledere)</t>
    </r>
  </si>
  <si>
    <r>
      <t>Trin 4-tillæg</t>
    </r>
    <r>
      <rPr>
        <i/>
        <sz val="10"/>
        <color theme="1"/>
        <rFont val="Calibri"/>
        <family val="2"/>
        <scheme val="minor"/>
      </rPr>
      <t xml:space="preserve"> (til de lærere og bhkl.ledere, der pr. 1. april 2013 havde mindst 12 års anciennitet)</t>
    </r>
  </si>
  <si>
    <r>
      <t>Udligningstillæg</t>
    </r>
    <r>
      <rPr>
        <i/>
        <sz val="10"/>
        <color theme="1"/>
        <rFont val="Calibri"/>
        <family val="2"/>
        <scheme val="minor"/>
      </rPr>
      <t xml:space="preserve"> (beregnet 1. aug 2004 v. overgang til basisløn. Ikke samtidig m. trin 4-tillæg!)</t>
    </r>
  </si>
  <si>
    <t>Omregnet til 100% beskæftigelse</t>
  </si>
  <si>
    <t>25% aftentillæg og weekendtillæg, hvis tillægget ikke afspadseres:</t>
  </si>
  <si>
    <t>50% weekendtillæg, hvis tillægget ikke afspadseres</t>
  </si>
  <si>
    <t>Weekendtimetakst, hvis timerne ikke afspadseres</t>
  </si>
  <si>
    <t>Samlet weekendtakst pr. time (ikke pensionsgivende)</t>
  </si>
  <si>
    <t>- Timeforbrug på planlagte arbejdsdage uden undervisning</t>
  </si>
  <si>
    <t>AUGUST</t>
  </si>
  <si>
    <t>SEPTEMBER</t>
  </si>
  <si>
    <t>OKTOBER</t>
  </si>
  <si>
    <t>NOVEMBER</t>
  </si>
  <si>
    <t>DECEMBER</t>
  </si>
  <si>
    <t>JANUAR</t>
  </si>
  <si>
    <t>2. juledag</t>
  </si>
  <si>
    <t>Skoledage i alt:</t>
  </si>
  <si>
    <t>FEBRUAR</t>
  </si>
  <si>
    <t>MARTS</t>
  </si>
  <si>
    <t>APRIL</t>
  </si>
  <si>
    <t>MAJ</t>
  </si>
  <si>
    <t>JUNI</t>
  </si>
  <si>
    <t>JULI</t>
  </si>
  <si>
    <t>Skærtorsdag</t>
  </si>
  <si>
    <t>Arbejdstid pr. uge</t>
  </si>
  <si>
    <t>SÆRLIGE FERIEDAGE</t>
  </si>
  <si>
    <t>I alt</t>
  </si>
  <si>
    <t>feriedage</t>
  </si>
  <si>
    <t>Pæd.dage</t>
  </si>
  <si>
    <t>Lejrskoledg./ekskursion</t>
  </si>
  <si>
    <t>fag/emnedage</t>
  </si>
  <si>
    <t>Sommerferie</t>
  </si>
  <si>
    <t>Påskedag</t>
  </si>
  <si>
    <t xml:space="preserve"> arbejdsdage</t>
  </si>
  <si>
    <t>Fagdage/emnedage i alt:</t>
  </si>
  <si>
    <t>Pæd. Dage i alt:</t>
  </si>
  <si>
    <t>Alm. skoledage i alt:</t>
  </si>
  <si>
    <t>SH-dag</t>
  </si>
  <si>
    <t>Weekend</t>
  </si>
  <si>
    <t>Lejrskole/ekskursionsdage i alt:</t>
  </si>
  <si>
    <t>SUM(Lin. 1-14)</t>
  </si>
  <si>
    <t>- Timeforbrug på lejrskoler og ekskursioner</t>
  </si>
  <si>
    <t>Lokalaftalt tillæg</t>
  </si>
  <si>
    <t>Undervisningstillæg</t>
  </si>
  <si>
    <t>Nylønstillæg</t>
  </si>
  <si>
    <t>Søgne/helligdag</t>
  </si>
  <si>
    <t>Nul-dag</t>
  </si>
  <si>
    <t>Nytårsaftensdag</t>
  </si>
  <si>
    <t>Juleaftensdag</t>
  </si>
  <si>
    <t>Elevernes vinterferie</t>
  </si>
  <si>
    <t>FERIE(I kalenderen angivet med grønt)</t>
  </si>
  <si>
    <t>ANDERLEDES SKOLEDAGE</t>
  </si>
  <si>
    <t>PÆDAGOGISKE DAGE(I kalenderen angivet med lilla)</t>
  </si>
  <si>
    <t>0-DAGE/REST DAGE (I kalenderen angivet med blåt)</t>
  </si>
  <si>
    <t>Fagdag</t>
  </si>
  <si>
    <t>Lejrskole</t>
  </si>
  <si>
    <t>Ekskursion</t>
  </si>
  <si>
    <t>Pæd.dag</t>
  </si>
  <si>
    <t>Efterårsferie</t>
  </si>
  <si>
    <t>Nytårsdag</t>
  </si>
  <si>
    <t/>
  </si>
  <si>
    <t>Weekenddage i alt:</t>
  </si>
  <si>
    <t>Søgne/helligdage i alt:</t>
  </si>
  <si>
    <t>Kalenderdage i alt</t>
  </si>
  <si>
    <t>Feriedage i  alt:</t>
  </si>
  <si>
    <t>Fag/emnedage i alt:</t>
  </si>
  <si>
    <t>Lejrskole/ekskursionsdg. i alt</t>
  </si>
  <si>
    <t>0-dage i alt:</t>
  </si>
  <si>
    <t>Antal Pædagogiske dage i alt:</t>
  </si>
  <si>
    <t>Antal dage med eleverne</t>
  </si>
  <si>
    <r>
      <t xml:space="preserve">Antal timer pr. dag                   </t>
    </r>
    <r>
      <rPr>
        <sz val="10"/>
        <color theme="1"/>
        <rFont val="Calibri"/>
        <family val="2"/>
        <scheme val="minor"/>
      </rPr>
      <t>(8 timer = 8,00)</t>
    </r>
  </si>
  <si>
    <t>on</t>
  </si>
  <si>
    <t>lø</t>
  </si>
  <si>
    <t>ma</t>
  </si>
  <si>
    <t>to</t>
  </si>
  <si>
    <t>ti</t>
  </si>
  <si>
    <t>fr</t>
  </si>
  <si>
    <t>sø</t>
  </si>
  <si>
    <t>Ikke relevant</t>
  </si>
  <si>
    <t>I alt for normperioden</t>
  </si>
  <si>
    <t>Ikke relevante dage</t>
  </si>
  <si>
    <t>Feriedage i alt:</t>
  </si>
  <si>
    <t>Ikke relevante dage:</t>
  </si>
  <si>
    <t>IKKE RELEVANTE DAGE(I kalenderen angivet med sort)</t>
  </si>
  <si>
    <t>Ikke relevante dage er dage den ansatte ikke er ansat.</t>
  </si>
  <si>
    <t>Langfredag</t>
  </si>
  <si>
    <t>0. Dage i alt</t>
  </si>
  <si>
    <t>- Arbejdstid fra 17-06(indregnes i normperioden)</t>
  </si>
  <si>
    <r>
      <t>OK18-tillæg</t>
    </r>
    <r>
      <rPr>
        <i/>
        <sz val="10"/>
        <color theme="1"/>
        <rFont val="Calibri"/>
        <family val="2"/>
        <scheme val="minor"/>
      </rPr>
      <t xml:space="preserve"> (udbetales fra 1. oktober 2018 til alle lærere og bhkl.ledere)</t>
    </r>
  </si>
  <si>
    <t>Soucheftillæg</t>
  </si>
  <si>
    <t>Pr. time (Lin. 17 * 12 / 1924)</t>
  </si>
  <si>
    <t>Det samme hvis en lærer slutter før skoleåret slutter. Da vælgers de dage læreren ikke er ansat, og normperioden vil være nemmere at tælle op.</t>
  </si>
  <si>
    <t>Det er en forudsætning, at skolen holder virksomhedslukket i de angivne perioder.</t>
  </si>
  <si>
    <t>Det forudsættes, at normperioden følger skoleåret og starter den 1. august.</t>
  </si>
  <si>
    <t>Palmesøndag</t>
  </si>
  <si>
    <t>Pinsedag</t>
  </si>
  <si>
    <t>Nul-dage</t>
  </si>
  <si>
    <t>Organisationsaftalen for lærere og børnehaveklasseledere gælder følgende:</t>
  </si>
  <si>
    <t>Hvis ikke skolen inden udgangen af august måned varsler anden ferie, anses ferien for afholdt de 5 hverdage i den uge, hvor skolens elever holder efterårsferie. Hvis ikke skolen inden udgangen af marts varsler anden ferie, anses ferien for afholdt de sidste 18 hverdage i juli samt de to første hverdage i august.</t>
  </si>
  <si>
    <r>
      <rPr>
        <b/>
        <i/>
        <sz val="12"/>
        <color theme="1"/>
        <rFont val="Arial"/>
        <family val="2"/>
      </rPr>
      <t xml:space="preserve">OBS </t>
    </r>
    <r>
      <rPr>
        <i/>
        <sz val="12"/>
        <color theme="1"/>
        <rFont val="Arial"/>
        <family val="2"/>
      </rPr>
      <t xml:space="preserve">- følger skolen organisationsaftales ovenstående ferieregler er der i skoleåret 25 feriedage. 2 feriedage i august, 5 feriedage i efterårsferien og 18 feriedage i juli mdr. </t>
    </r>
  </si>
  <si>
    <t>Skolen kan dog altid varsle en anden ferie end ovennævnte. Hovedferien - 3 uger varsles med 3 mdr. og restferien varsles med 1 mdr.</t>
  </si>
  <si>
    <t>Ny beskæftigelsesgrad efter brug af seniorordning</t>
  </si>
  <si>
    <t>Ja</t>
  </si>
  <si>
    <t>Nej</t>
  </si>
  <si>
    <t>Skema 1 Mandag</t>
  </si>
  <si>
    <t>Skema 1 Tirsdag</t>
  </si>
  <si>
    <t>Skema 1 Onsdag</t>
  </si>
  <si>
    <t>Skema 1 Fredag</t>
  </si>
  <si>
    <t>Skema 1 Torsdag</t>
  </si>
  <si>
    <t>Skema 2 Mandag</t>
  </si>
  <si>
    <t>Skema 2 Tirsdag</t>
  </si>
  <si>
    <t>Skema 2 Onsdag</t>
  </si>
  <si>
    <t>Skema 2 Torsdag</t>
  </si>
  <si>
    <t>Skema 2 Fredag</t>
  </si>
  <si>
    <t>Skema 3 Mandag</t>
  </si>
  <si>
    <t>Skema 3 Tirsdag</t>
  </si>
  <si>
    <t>Skema 3 Onsdag</t>
  </si>
  <si>
    <t>Skema 3 Torsdag</t>
  </si>
  <si>
    <t>Skema 3 Fredag</t>
  </si>
  <si>
    <t>Skema 4 Mandag</t>
  </si>
  <si>
    <t>Skema 4 Tirsdag</t>
  </si>
  <si>
    <t>Skema 4 Onsdag</t>
  </si>
  <si>
    <t>Skema 4 Torsdag</t>
  </si>
  <si>
    <t>Skema 4 Fredag</t>
  </si>
  <si>
    <t>Skema 1</t>
  </si>
  <si>
    <t>Skema 2</t>
  </si>
  <si>
    <t>Skema 3</t>
  </si>
  <si>
    <t>Skema 4</t>
  </si>
  <si>
    <t>Feriedag</t>
  </si>
  <si>
    <t>Emnedag</t>
  </si>
  <si>
    <t>Skema 4 ikke formateret</t>
  </si>
  <si>
    <t>Total skema 1 i klokketimer</t>
  </si>
  <si>
    <t>Planlagt arbejdstid</t>
  </si>
  <si>
    <t>Normperiodens arbejdstid</t>
  </si>
  <si>
    <t xml:space="preserve">Normperiodens søgne/helligdage </t>
  </si>
  <si>
    <t>Normperiodens feriedage</t>
  </si>
  <si>
    <t>Grundlovsdag</t>
  </si>
  <si>
    <t>Skemaet dækker perioden:</t>
  </si>
  <si>
    <t>Undervisningstimer ifølge skema</t>
  </si>
  <si>
    <t>Timer</t>
  </si>
  <si>
    <t>Skema 1 - arbejdstid</t>
  </si>
  <si>
    <t>Skema 2 - arbejdstid</t>
  </si>
  <si>
    <t>Skema 3 - arbejdstid</t>
  </si>
  <si>
    <t>Skema 4 - arbejdstid</t>
  </si>
  <si>
    <t>Total arbejdstid ifølge skema</t>
  </si>
  <si>
    <t>Skema 1 - uv</t>
  </si>
  <si>
    <t>Skema 2 - uv</t>
  </si>
  <si>
    <t>Skema 3 - uv</t>
  </si>
  <si>
    <t>Skema 4 uv</t>
  </si>
  <si>
    <t>Total uv. Tid</t>
  </si>
  <si>
    <t>Pause/tilsyn</t>
  </si>
  <si>
    <t>Angiv mdr. opgaven løses i</t>
  </si>
  <si>
    <t>August</t>
  </si>
  <si>
    <t>Estimeret tid</t>
  </si>
  <si>
    <t>September</t>
  </si>
  <si>
    <t>Oktober</t>
  </si>
  <si>
    <t>November</t>
  </si>
  <si>
    <t>Antal mulige arb.dage</t>
  </si>
  <si>
    <t>Tid i alt der planlægges senere på året</t>
  </si>
  <si>
    <t>Estimeret tid/aftalte akorder i alt</t>
  </si>
  <si>
    <t>Ekstra uv-timer til arrangementer der ikke er henført til dage</t>
  </si>
  <si>
    <t>Antal dage tages pt. fra mdr. kalenderen</t>
  </si>
  <si>
    <t>Antal dage der undervises efter skoleskema</t>
  </si>
  <si>
    <t>Antal fag/emnedage</t>
  </si>
  <si>
    <t>Undervisningstimer på skemadage</t>
  </si>
  <si>
    <t>Total uv. Timer skema 1</t>
  </si>
  <si>
    <t>UV-tid på fagdage</t>
  </si>
  <si>
    <t>Uv-tid på emnedage</t>
  </si>
  <si>
    <t>Pause/tilsynstid</t>
  </si>
  <si>
    <t>Pause/tilsyn på fagdage</t>
  </si>
  <si>
    <t>Pause/tilsyn på emnedage</t>
  </si>
  <si>
    <t>Gns. arbejdstid på skoledage</t>
  </si>
  <si>
    <t>Pause/tilsynstid fagdage/emnedage</t>
  </si>
  <si>
    <t>Dage</t>
  </si>
  <si>
    <t>Ulempe og weekendtillæg:</t>
  </si>
  <si>
    <t>Ulempetillæg(25%)</t>
  </si>
  <si>
    <t>Arbejde i weekend samt weekendtillæg(50%)</t>
  </si>
  <si>
    <t>Ulempetimer og weekendtimer til afspadsering:</t>
  </si>
  <si>
    <t>Sammentælling af timer</t>
  </si>
  <si>
    <t>Arbejdstimer</t>
  </si>
  <si>
    <t>UV tid på ekskursion</t>
  </si>
  <si>
    <t>UV tid på Lejrskole</t>
  </si>
  <si>
    <t>UV tid på lejrskole, ekskursion, fag/emnedag</t>
  </si>
  <si>
    <t>Pause tilsynstid skema 1</t>
  </si>
  <si>
    <t>Pause tilsynstid skema 3</t>
  </si>
  <si>
    <t>Pause tilsynstid skema 2</t>
  </si>
  <si>
    <t>Pause tilsynstid skema 4</t>
  </si>
  <si>
    <t>Lokalaftaletid uv-1</t>
  </si>
  <si>
    <t>Lokalaftaletid uv-2</t>
  </si>
  <si>
    <t>Lokalaftaletid uv-3</t>
  </si>
  <si>
    <t>Lokalaftaletid uv-4</t>
  </si>
  <si>
    <t>Lokalaftaletid fag</t>
  </si>
  <si>
    <t>Lokalaftaletid emne</t>
  </si>
  <si>
    <t>Lokalaftaletid lejrskole</t>
  </si>
  <si>
    <t>Lokalaftaletid ekskursion</t>
  </si>
  <si>
    <t>Skema</t>
  </si>
  <si>
    <t>Opgaver der løses i særlige måneder</t>
  </si>
  <si>
    <t>Evt. ændringer i arbejdstiden</t>
  </si>
  <si>
    <t>Evt. ændringer i undervisningstid</t>
  </si>
  <si>
    <t>Ændring i undervisningstimetal</t>
  </si>
  <si>
    <t>December</t>
  </si>
  <si>
    <t>Januar</t>
  </si>
  <si>
    <t>Februar</t>
  </si>
  <si>
    <t>Marts</t>
  </si>
  <si>
    <t>April</t>
  </si>
  <si>
    <t>Maj</t>
  </si>
  <si>
    <t>Juni</t>
  </si>
  <si>
    <t>Juli</t>
  </si>
  <si>
    <t>Ændringer i alt</t>
  </si>
  <si>
    <t xml:space="preserve">Ændringer i arbejdstiden </t>
  </si>
  <si>
    <t>Arbejdsdage på weekenddage</t>
  </si>
  <si>
    <t xml:space="preserve">List her varslet afspadsering. Afspadseringen må ikke være en del af en evt. ændret arbejdstid i kolonne U og V. </t>
  </si>
  <si>
    <t>Rest timer til afspadsering</t>
  </si>
  <si>
    <t>Afspadsringstimer overført fra sidste måned:</t>
  </si>
  <si>
    <t>Oplys her den aftalte akord på pause/tilsynstid(Den oplyste akord oplyses for et helt skoleår):</t>
  </si>
  <si>
    <t>Opgaver der placeres senere på året:</t>
  </si>
  <si>
    <t>Til</t>
  </si>
  <si>
    <t>SKJUL</t>
  </si>
  <si>
    <t>Undervisningstimer til særlige arrangementer(List herunder arrangement og undervisningstimer):</t>
  </si>
  <si>
    <t>Nettoarbejdstid</t>
  </si>
  <si>
    <t>Afspadsering i alt</t>
  </si>
  <si>
    <t>Pæd.dage, fagdage, emnedage, lejrskole og ekskursionsdage</t>
  </si>
  <si>
    <t>Fagdage og emnedage</t>
  </si>
  <si>
    <t>Ændring i den planlagte arbejdstid og undervisningstid</t>
  </si>
  <si>
    <t>Ændring i arbejdstid</t>
  </si>
  <si>
    <t>Ændring i uv-tid</t>
  </si>
  <si>
    <t>Planlagt uv-tid</t>
  </si>
  <si>
    <t>Differencen imellem arb.tid, uv-tid, pause/tilsynstid</t>
  </si>
  <si>
    <t>Forklarende tekst til udfyldelse af kalenderen</t>
  </si>
  <si>
    <t>Skriv en tekst der beskriver dagen bedst muligt.</t>
  </si>
  <si>
    <t>Ulempetimer og weekendtimer til udbetaling(Timerne udbetales med nettotimelønnen):</t>
  </si>
  <si>
    <t>2. påskedag</t>
  </si>
  <si>
    <t>Har alle mdr med</t>
  </si>
  <si>
    <t>Afspadseringstimer optjent</t>
  </si>
  <si>
    <t>Afspadseringstimer afholdt</t>
  </si>
  <si>
    <t>Arbejdstimer på fagdage og emnedage ifølge mdr.kalender</t>
  </si>
  <si>
    <t>Juledag</t>
  </si>
  <si>
    <t>2. pinsedag</t>
  </si>
  <si>
    <t>Ulempetillæg udbetales med 25% af nettotimelønnen.</t>
  </si>
  <si>
    <t>Weekendtimer og weekendtillæg afspadseres.</t>
  </si>
  <si>
    <t xml:space="preserve">Ulempetillægget udbetales  ved førstkommende lønudbetaling med mindre andet aftales. Ulempetillæg kan efter aftale mellem ledelsen og læreren konverteres til afspadsering eller skolen kan indgå lokalaftale. </t>
  </si>
  <si>
    <t>Vælg med piletasten.</t>
  </si>
  <si>
    <t>Arbejde på hverdage fra 17:00 - 06:00</t>
  </si>
  <si>
    <t>Weekendtimer og weekendtillæg udbetales.</t>
  </si>
  <si>
    <t>OBS: Der skal kun angives tal i gule felter. Hvis tal i de lysegrå felter skal disse slettes.</t>
  </si>
  <si>
    <t>Pausetid efter undervisningsskema samt oplyste pausertider v. fagdage/emnedage i månedskalendrene.</t>
  </si>
  <si>
    <t>Er der aftalt akord på pause/tilsynstid - VÆLG JA (hvis NEJ medregnes pause/tilsynstid efter skema og pausetid ved fagdage/emnedage oplyst i månedskalendrene.</t>
  </si>
  <si>
    <t>Pause/tilsynstid:</t>
  </si>
  <si>
    <t>Antal lejrskoledage/ekskursionsdage</t>
  </si>
  <si>
    <t>Undervisningstimer på fagdage, emnedage, lejrskole og eskursionsdage ifølge månedskalender</t>
  </si>
  <si>
    <t>Faktisk arbejdstid(uden afspadsering)</t>
  </si>
  <si>
    <t>Afspadseringstimer saldo</t>
  </si>
  <si>
    <t>Dato format dd.mm.åååå</t>
  </si>
  <si>
    <t>Arbejdstiden fordeler sig således:</t>
  </si>
  <si>
    <t>Oversigt over den planlagte arbejdstid.</t>
  </si>
  <si>
    <t>Arbejdstid til undervisningsdage:</t>
  </si>
  <si>
    <t>Undervisningstimer på fagdage og emnedage</t>
  </si>
  <si>
    <t>Pause/tilsynstid efter skema eller lokalaftale</t>
  </si>
  <si>
    <t>Arbejdstiden på helt alm. skemadage:</t>
  </si>
  <si>
    <t>Antal arbejdstimer på normale skemadage:</t>
  </si>
  <si>
    <r>
      <rPr>
        <b/>
        <sz val="14"/>
        <color theme="4" tint="-0.499984740745262"/>
        <rFont val="Calibri"/>
        <family val="2"/>
        <scheme val="minor"/>
      </rPr>
      <t>Oplys også</t>
    </r>
    <r>
      <rPr>
        <sz val="14"/>
        <color theme="4" tint="-0.499984740745262"/>
        <rFont val="Calibri"/>
        <family val="2"/>
        <scheme val="minor"/>
      </rPr>
      <t xml:space="preserve"> hvordan skolen forholder sig til ulempetillæg, weekendarbejde og weekendtillæg. Herudover skal der svares på om der er indgået lokalaftale omkring pause/tilsynstid eller ikke.</t>
    </r>
  </si>
  <si>
    <t>Antal timer på almindelige skoledage beregnes ud fra periodens samlede arbejdstid fratrukket timer til pædagogiske dage, lejrskole, ekskursioner, planlagt arbejde imellem kl. 17-06 samt arbejdstimer på fagdage/emnedage.</t>
  </si>
  <si>
    <t>Arbejdstiden på helt almindelige skemadage flyttes automatisk over til de enkelte måneders kalender.</t>
  </si>
  <si>
    <t>Måned:</t>
  </si>
  <si>
    <t>Skolen kan nu printe følgende til den ansatte:</t>
  </si>
  <si>
    <t>Skema 1 - 4(til print)</t>
  </si>
  <si>
    <t>Til den lønansvarlige printes skemaet "Undervisningstillæg"</t>
  </si>
  <si>
    <t xml:space="preserve">Til opgørelse af den estimerede tid hver 3. måned eller ved skoleåret slut printes fanen "opgørelse". </t>
  </si>
  <si>
    <t>Fanen "Opgaver"</t>
  </si>
  <si>
    <t>Inden print sikres at undervisningstimer ved særlige arrangementer der ikke er henført til dage er listet.</t>
  </si>
  <si>
    <t>Undervisningstimer i alt i normperioden(Bruges kun til opgørelse af normperioden). Er der undervist flere timer end hvad der er betalt undervisningstillæg efter, udbetales der for de ekstra udførte undervisningstimer.</t>
  </si>
  <si>
    <t>SENIORORDNING: Planlægges der med brug af seniorordning? (vælg Ja eller Nej)</t>
  </si>
  <si>
    <t>Gå nu til fanen "Skemaoplysninger"</t>
  </si>
  <si>
    <t>Undertid</t>
  </si>
  <si>
    <t>Skyldig afspadsering</t>
  </si>
  <si>
    <t>Merarbejde/Overarbejde</t>
  </si>
  <si>
    <t>Gns. tid til øvrige opgaver efter opgaveoversigt på helt almindelige skemadage</t>
  </si>
  <si>
    <t>Gå nu til fanen "opgaver", og list de opgaver den ansatte skal udføre indenfor den tidsramme der er til de øvrige opgaver.</t>
  </si>
  <si>
    <t>Arbejdstid</t>
  </si>
  <si>
    <t>Ulempe/weekend</t>
  </si>
  <si>
    <t>Arbejdstiden planlægges i fanerne: Stamoplysninger, skemaoplysninger, august - juli, arbejdstidsoversigt og opgaver</t>
  </si>
  <si>
    <r>
      <rPr>
        <b/>
        <sz val="12"/>
        <color theme="4" tint="-0.499984740745262"/>
        <rFont val="Arial"/>
        <family val="2"/>
      </rPr>
      <t>ARBEJDSTIDSOVERSIGT:</t>
    </r>
    <r>
      <rPr>
        <sz val="12"/>
        <color theme="1"/>
        <rFont val="Arial"/>
        <family val="2"/>
      </rPr>
      <t xml:space="preserve"> I denne fane rammesætter skolen arbejdstiden på helt almindelige skoledage. Tiden der rammesættes her overføres til de enkelte måneder hvor der læses skemadage. Nederst i fanen beregnes hvordan den planlagte arbejdstid går op i forhold til den ansattes arbejdstid/beskæftigelsesgrad og tiden oplyst i månederne august - juli.</t>
    </r>
  </si>
  <si>
    <r>
      <rPr>
        <b/>
        <sz val="12"/>
        <color theme="4" tint="-0.499984740745262"/>
        <rFont val="Arial"/>
        <family val="2"/>
      </rPr>
      <t>OPGAVER:</t>
    </r>
    <r>
      <rPr>
        <sz val="12"/>
        <color theme="1"/>
        <rFont val="Arial"/>
        <family val="2"/>
      </rPr>
      <t xml:space="preserve"> List her de opgaver den ansatte skal løse i tiden til de øvrige opgaver. Det være forberedelse, opgaver der tæller minimum 60 timer for et skoleår og øvrige opgaver.</t>
    </r>
  </si>
  <si>
    <t>PLANLÆGNING FOR EN DEL AF ET SKOLEÅR.</t>
  </si>
  <si>
    <t>OPGØRELSE AF EN DELPERIODE</t>
  </si>
  <si>
    <t>SKEMA 1-4 DAGE (I kalenderen angivet med blå farver)</t>
  </si>
  <si>
    <t>Som udgangspunkt tilstræbes det at lande på 200 undervisningsdage bestående af skemadage, fagdage, emnedage, lejrskoledage, ekskursionsdage.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</si>
  <si>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</si>
  <si>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</si>
  <si>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</si>
  <si>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</si>
  <si>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</si>
  <si>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planlægges der for et helt skoleår eller ikke, beskæftigelsesgrad og om den ansatte ønsker at gøre brug af seniorordning. </t>
    </r>
  </si>
  <si>
    <r>
      <rPr>
        <b/>
        <sz val="14"/>
        <color theme="4" tint="-0.499984740745262"/>
        <rFont val="Calibri"/>
        <family val="2"/>
        <scheme val="minor"/>
      </rPr>
      <t>Beregning af normtimetallet:</t>
    </r>
    <r>
      <rPr>
        <sz val="14"/>
        <color theme="4" tint="-0.499984740745262"/>
        <rFont val="Calibri"/>
        <family val="2"/>
        <scheme val="minor"/>
      </rPr>
      <t xml:space="preserve"> Planlægges der for et helt skoleår udgør arbejdstiden 1924 timer. Herfra trækkes søgnehelligdage der falder på alm. ugedage og feriedage. Planlægges der for en del af et skoleår eller opgøres arbejdstiden pga. fratrædelse i løbet af normperioden udgør arbejdstiden 7,4 timer pr. mulig arbejdsdag. Mulige arbejdsdage er dage i delperioden der ikke er weekenddage, søgnehelligdage og feriedage.</t>
    </r>
  </si>
  <si>
    <t>Ulempetillæg afspadseres med 25%(Kræver en aftale imellem ledelsen og den ansatte)</t>
  </si>
  <si>
    <t>Der er indgået lokalaftale omkring ulempetillæg(Kræver aftale med TR/FSL)</t>
  </si>
  <si>
    <t>Der er indgået lokalaftale omkring weekendtimer og weekendtillæg.(Kræver aftale med TR/FSL).</t>
  </si>
  <si>
    <t>Der er indgået lokalaftale omkring weekendtimer.(Kræver aftale med TR/FSL) Weekendtillæg afspadseres.</t>
  </si>
  <si>
    <t>Der er indgået lokalaftale omkring weekendtimer(Kræver aftale med TR/FSL). Weekendtillæg udbetales.</t>
  </si>
  <si>
    <t>Der er indgået lokalaftale omkring weekendtillæg(Kræver aftale med TR/FSL). Weekendtimerne afspadseres.</t>
  </si>
  <si>
    <t>Der er indgået lokalaftale omkring weekendtillæg(Kræver aftale med TR/FSL). Weekendtimerne udbetales.</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</si>
  <si>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</si>
  <si>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</si>
  <si>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</si>
  <si>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Tid til øvrige opgaver</t>
  </si>
  <si>
    <t>Tid til øvrige opgaver. (Lejrskole/ekskursion tæller 0 timer)</t>
  </si>
  <si>
    <t xml:space="preserve">I alt </t>
  </si>
  <si>
    <t>Overtid</t>
  </si>
  <si>
    <t>Aug. - Okt.</t>
  </si>
  <si>
    <t>Nov. - Jan.</t>
  </si>
  <si>
    <t>Maj - Jul.</t>
  </si>
  <si>
    <t>Feb. - Apr.</t>
  </si>
  <si>
    <t>Opgørelse for november, december og januar</t>
  </si>
  <si>
    <t>Opgørelse for august, september og oktober</t>
  </si>
  <si>
    <t xml:space="preserve">Afspadseringstimer  </t>
  </si>
  <si>
    <t>Ændring i arbejdstiden</t>
  </si>
  <si>
    <t>Ændring i antal timer på hverdage imellem kl. 17-06 i forhold til kolonne "R"</t>
  </si>
  <si>
    <t>Oplys ændringen i arbejdstimer på hverdage imellem kl. 17-06. Ekstra timer tastes som et postivt tal. Færre timer tastes som et negativt tal.</t>
  </si>
  <si>
    <t>Oplys ændringen i undervisningstimetallet. Ekstra uv-timer tastes som et postivt tal. Færre uv-timer tastes som et negativt tal. Bruges kun til opgørelse af normperioden.</t>
  </si>
  <si>
    <t>Ændring i arbejdstimer på hverdage imellem 17-06</t>
  </si>
  <si>
    <r>
      <t xml:space="preserve">Opgørelse total for normperioden </t>
    </r>
    <r>
      <rPr>
        <sz val="12"/>
        <color theme="0"/>
        <rFont val="Calibri (Tekst)"/>
      </rPr>
      <t>(negativ tal = undertid, positiv tal = merarbejde/overarbejde)</t>
    </r>
  </si>
  <si>
    <t>Afspadseringssaldo ved normperioden slut</t>
  </si>
  <si>
    <t>De hvide kolonner: I, J, S, T OG U er kolonner hvor der evt. skal træffes et valg med "X".</t>
  </si>
  <si>
    <r>
      <rPr>
        <b/>
        <sz val="12"/>
        <color theme="4" tint="-0.499984740745262"/>
        <rFont val="Arial"/>
        <family val="2"/>
      </rPr>
      <t>AFSPADSERING</t>
    </r>
    <r>
      <rPr>
        <sz val="12"/>
        <color theme="1"/>
        <rFont val="Arial"/>
        <family val="2"/>
      </rPr>
      <t>(Varsles min. 72 timer i forvejen). Varsler skolen afspadsering, skal disse timer listes i skemaet under hver måned i afspadseringsskemaet. Afspadsering skal IKKE ske som en ændring i månedskalenderens kolonne V-X. Skriv hvilken dag læreren skal afspadsere(en dag der i forvejen er planlagt arbejde på), og skriv antal timer. Dagens timetal kan aflæses i kalenderen.</t>
    </r>
  </si>
  <si>
    <t>Et skoleår består af gennemsnitlige 200 skoledage. De 200 skoledage består af helt almindelige skoledage hvor der læses et almindeligt skoleskema(skema 1-4) samt evt følgende dage:</t>
  </si>
  <si>
    <t>Fagdage(I kalenderen angivet med orange). I kalenderen udfyldes antal arbejdstimer, undervisningstimer og pause/tilsynstid.</t>
  </si>
  <si>
    <t>Emnedage(I kalenderen angivet med lyserødt). I kalenderen udfyldes antal arbejdstimer, undervisningstimer og pause/tilsynstid.</t>
  </si>
  <si>
    <t>Ekskursionsdage(I kalenderen angivet med gult). I kalenderen udfyldes antal arbejdstimer og undervisningstimer.</t>
  </si>
  <si>
    <t>Pædagogiske dage er dage lærerne er på arbejde, men ikke underviser eleverne. Det kan være forberedelsesdage op til skolestart eller evalueringsdage efter eleverne er gået på sommerferie. Pædagogiske dage kan også være dage hvor det kommende skoleår planlægges eller mødes om et pædagogiske emne. Disse dage kan såvel ligge på skoledage som i weekender. I kalenderen udfyldes antal arbejdstimer. Skriv i kolonne "H" hvis den pædagogiske dag går udover kl. 17.00(dog ikke hvis arrangementet er med overnatning). Vælg særligt "X" i kolonne "I" hvis den pædagogiske dag er en weekend, vælg særligt "X" i kolonne "J" hvis den pædagogiske dag er med overnatning Udfyld herefter de oplyste gule celler.</t>
  </si>
  <si>
    <t>Lejrskoledage(I kalenderen angivet med lyseblåt). I kalenderen udfyldes antal arbejdstimer og undervisningstimer. Bemærk at en lejrskole typisk er med overnatning hvorfor der skal vælges et "X" i kolonne "J". En lejrskoledøgn tæller med 14 timers arbejdstid og 10 timers rådighedstjeneste. Rådighedstjeneste tæller med 1/3. Hermed tæller en lejrskoledøgn på 24 timer med 17,33 timer. Et døgn starter kl. 00:00. Har skolen lokalaftale på lejrskole, oplyses de timer lokalaftalen er aftalt med.</t>
  </si>
  <si>
    <t>TIPS: Ikke relevante dage kan kopieres ned i en hel måned ved først at vælge den første dag som "Ikke relevant" og dernæst at "trække" i cellens nederste højre hjørne - ned i månedens kolonne.</t>
  </si>
  <si>
    <t>3. Arbejdstiden på helt almindelige skoledage</t>
  </si>
  <si>
    <t>Møder og arrangementer i tidsrummet 17-06(Ikke arrangementer med overnatning). OBS: Hvis der skal tilknyttes uv-tillæg skal uv-timerne oplyses i fanen "Undervisningstillæg" under "Ekstra undervisningstimer"</t>
  </si>
  <si>
    <t>Antal undervisningsdage i alt:</t>
  </si>
  <si>
    <t>Orlov</t>
  </si>
  <si>
    <t>Orlovstimer</t>
  </si>
  <si>
    <t>Planlægges der for et helt skoleår - vælg "Ja". Planlægges der for en del af et skoleår pga. tiltrædelse eller opgøres arbejdstiden pga. fratrædelse i løbet af normperioden - vælg "Nej"</t>
  </si>
  <si>
    <t>Orlovsdage</t>
  </si>
  <si>
    <t>Olrovsdage</t>
  </si>
  <si>
    <t>Orlov (I kalenderen angivet med mørkegrøn)</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</si>
  <si>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</si>
  <si>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</si>
  <si>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</si>
  <si>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</si>
  <si>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</si>
  <si>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arbejdstid for lærere og børnehaveklasseledere</t>
  </si>
  <si>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ændringer eller opgørelse. VIGTIGT: der er i række 4 en beskrivelse af de enkelte kolonner. LÆS disse!</t>
    </r>
  </si>
  <si>
    <r>
      <rPr>
        <b/>
        <sz val="12"/>
        <color theme="4" tint="-0.499984740745262"/>
        <rFont val="Arial"/>
        <family val="2"/>
      </rPr>
      <t xml:space="preserve">VALG AF DAGE: </t>
    </r>
    <r>
      <rPr>
        <sz val="12"/>
        <color theme="1"/>
        <rFont val="Arial"/>
        <family val="2"/>
      </rPr>
      <t>Nederst på denne fane er listet de dage et skoleår kan byde på, og som skal vælges i månedskalenderne.</t>
    </r>
  </si>
  <si>
    <r>
      <rPr>
        <b/>
        <sz val="12"/>
        <color theme="4" tint="-0.499984740745262"/>
        <rFont val="Arial"/>
        <family val="2"/>
      </rPr>
      <t>OBS:</t>
    </r>
    <r>
      <rPr>
        <sz val="12"/>
        <color theme="1"/>
        <rFont val="Arial"/>
        <family val="2"/>
      </rPr>
      <t xml:space="preserve"> Månedskalenderne er ikke færdige inden fanen "arbejdstidsoversigt" og arbejdstiden på almindelige undervisningsdage er udfyldt.</t>
    </r>
  </si>
  <si>
    <t xml:space="preserve">De lysegrå kolonner: K, L, M, R, V, W og X". Her er det VIGTIGT der kun står tal hvis cellen er gul. </t>
  </si>
  <si>
    <t>Vælg dagene med piletasten. Hvis en måned er "ikke relevant" kan man efter at have valgt "ikke relevant" for månedes første dag, trække valget ned gennem hele måneden ved at "trække" i den lille markør i cellens nederste højre hjørne.</t>
  </si>
  <si>
    <t>Arbejdstiden tages enten fra kolonne "K" eller hvis alm. skemadage fra "Arbejdstidsoversigtens skema 3"</t>
  </si>
  <si>
    <t>Heraf evt. undervisning efter skema eller efter oplyste uv-timer i kolonne L.</t>
  </si>
  <si>
    <t>Oplys her planlagte arbejdstimer imellem 17-06 timer. Tast kun hvis feltet er gult.</t>
  </si>
  <si>
    <t>Vælg "x" hvis ændring i undervisningstimer i forhold til kolonne "O". OBS: Ved sygdom ændres ikke på undervisningstimetal.</t>
  </si>
  <si>
    <t>Vælg "x" hvis ændring i arbejdstiden på hverdage imellem kl. 17-06 i forhold til kolonne "R".</t>
  </si>
  <si>
    <t>Ændring i undervisningstiden i forhold til kolonne "O"</t>
  </si>
  <si>
    <t>Ændring i arbejdstiden i forhold til kolonne "N"</t>
  </si>
  <si>
    <t>Efter at fanerne "stamoplysninger", "skemaoplysninger" og "normperiodens måneder" er udfyldte, er det muligt at beregne hvor mange arbejdstimer der er til helt almindelige skoledage.</t>
  </si>
  <si>
    <t>Herudover beregner skemaet antal timer til øvrige opgaver. Øvrige opgaver er forberedelse, opgaver som estimeres til min. 60 timer pr. år samt andre andre øvrige opgaver. Disse opgaver listes i fanen "Opgaver".</t>
  </si>
  <si>
    <t>BEMÆRK:</t>
  </si>
  <si>
    <t>Arbejdstiden for almindelige skemadage overføres automatisk til månedeskalenderne.</t>
  </si>
  <si>
    <t xml:space="preserve">Tiden i række 79 viser om normperiodens timetal går op, om der er planlagt med for mange timer eller med for få timer. Ønskes timetallet her ændret kan skolen med fordel anvende "målsøgning". Stå på cellen "D79" og klik på menuen 'Funktioner' og vælg 'Målsøgning', eller vælg 'Data' i båndet og klik på 'Målsøgning' i ikonet 'Hvad-hvis'. Cellen der skal ændres vælges - værdien sættes til nul og man beder om ændring på det valgte. </t>
  </si>
  <si>
    <t>Månedskalenderne</t>
  </si>
  <si>
    <t>Beskæftigelsesgrad (hvis 100% skrives 1, hvis 80% skrives 0,8):</t>
  </si>
  <si>
    <t>Planlagt arbejdstid pr. dag i tidsrummet 07:30 - 17:00</t>
  </si>
  <si>
    <t>Skemadage er dage  hvor den ansatte underviser efter helt almindelig skoleskema(de fleste arbejdsdage). Her kan vælges Skema 1, Skema 2, Skema 3 eller Skema 4. Bemærk at arbejdstiden på skemadage først vises efter at fanen "arbejdstidsoversigt" er udfyldt. Skemadage kan kun vælges mandag - fredag. IKKE på weekenddage.</t>
  </si>
  <si>
    <t>Afspadsringstimer overført fra sidste normperiode:</t>
  </si>
  <si>
    <t>Kalendere sidst i værktøjet</t>
  </si>
  <si>
    <t>Ændringer i arbejdstiden der ikke vedrører weekender</t>
  </si>
  <si>
    <t>Heraf planlagte weekendtimer til afspadsering, udbetaling eller hvor der er indgået lokalaftale</t>
  </si>
  <si>
    <t>Heraf weekendtimer der afspadseres, udbetales eller indgået lokalaftale til</t>
  </si>
  <si>
    <t>Tid til øvrige opgaver(Forberedelse samt øvrige opgaver med og uden estimeret tid). Timerne ovf. automatisk til fanen "opgaver".</t>
  </si>
  <si>
    <r>
      <t xml:space="preserve">Normperioden </t>
    </r>
    <r>
      <rPr>
        <sz val="14"/>
        <color theme="4" tint="-0.499984740745262"/>
        <rFont val="Calibri"/>
        <family val="2"/>
        <scheme val="minor"/>
      </rPr>
      <t>planlægges nu med hvilke dage perioden indeholder. I kolonne C vælges dagene med piletasten. Ud over dage, planlægges arbejde på hverdage imellem kl. 17-06, weekenddage mm. I de hvide kolonner - kolonne I, J og ved ændringer også kolonne S, T og U, skal der evt. sættes et "X". BEMÆRK: Det er vigtigt at der i kolonne K, L, M, R, V, W og X kun tastes hvis felterne er gule. Er felterne ikke gule tælles timerne ikke med. Ovenover hver kolonne i række 4, er en beskrivelse af cellen. Når alle måneder er planlagt udfyldes fanen "arbejdstidsoversigt". Arbejdstidsoversigt beregner arbejdstiden for undervisningsdage. Arbejdstiden for undervisningsdage/skema 1-4 i kalenderne er derfor ikke udfyldt før skema 3 i fanen "arbejdstidsoversigt" er.</t>
    </r>
  </si>
  <si>
    <t>Tid til elevpauser</t>
  </si>
  <si>
    <t>Hvis fagdag eller emnedag oplyses tid til elevpause</t>
  </si>
  <si>
    <t>Heraf tid til elevpauser efter skema, oplyste timer i kolonne "M" eller lokalaftale.</t>
  </si>
  <si>
    <t>Oplys ændring i arbejdstiden. Ekstra timer tastes som et postivt tal. Færre timer tastes som et negativt tal. Ved fravær mere end 4 uger tælles alle mulige arbejdsdage med 7,4 timer * bg.</t>
  </si>
  <si>
    <t>Nederst i skemaet er oplyst tiden til elevpauser(fra fanen "stamoplysniner" eller "skemaoplysninger" samt tiden til opgaver der placeres i særlige måneder(fra fanen "skemaoplysninger).</t>
  </si>
  <si>
    <t>Timer til elevpauser(ikke en del af den samlede tid til øvrige opgaver)</t>
  </si>
  <si>
    <t xml:space="preserve">HUSK at de øvrige opgaver der skal listes er:  estimeret tid til forberedelse, opgaver der tæller min. 60 timer pr. skoleår og øvrige opgaver. Der skal ikke tastes tid til elevpauserd og tid til opgaver der planlægges i særlige måneder. </t>
  </si>
  <si>
    <t>Varslet afspadsering. (Afspadsering varsles med min. 72 timer)</t>
  </si>
  <si>
    <r>
      <rPr>
        <b/>
        <sz val="12"/>
        <color theme="4" tint="-0.499984740745262"/>
        <rFont val="Arial"/>
        <family val="2"/>
      </rPr>
      <t xml:space="preserve"> TIL PRINT: </t>
    </r>
    <r>
      <rPr>
        <sz val="12"/>
        <color theme="1"/>
        <rFont val="Arial"/>
        <family val="2"/>
      </rPr>
      <t>Månedskalenderne august - juli, opgaver, skema 1-4 og opgørelse er til print og udlevering til læreren.</t>
    </r>
  </si>
  <si>
    <t>Vælg "x" hvis ændring i arbejdstimer i forhold til kolonne "N". Ændring(af fast karakter) i den planlagte arbejdstid uden for tidsrummet 7.30-16.30 skal varsles med mindst 4 uger.</t>
  </si>
  <si>
    <t>Hvis "x" er der pålagt arbejde lør/søn eller på en SH-dag.</t>
  </si>
  <si>
    <t>Vælg "x" hvis der planlægges arbejde lørdage og søndage eller SH-dage.</t>
  </si>
  <si>
    <t>Vælg "x" hvis der planlægges lejrskole, studieture eller lign., med overnatning (Arrangementer med elever).</t>
  </si>
  <si>
    <t>For planlagt arbejde på hverdage i tidsrummet 17-06 samt weekender, SH-dage, grundlovsdag efter kl. 12 samt juleaftensdag efter kl. 14 ydes der efter §20 et ulempetillæg svarende til 25% af nettotimelønnen(inkl. faste tillæg). Gælder ikke lejrskole, studieture og andre arrangementer med overnatning (overnatningsarrangementer med elever).</t>
  </si>
  <si>
    <t xml:space="preserve">For planlagt arbejde i weekender eller på SH-dage godtgøres arbejdstiden med afspadsering af samme varighed + 50%, eller med timeløn med et tillæg på 50%. Gælder ikke lejrskole, studieture og andre arrangementer med overnatning (overnatningsarrangementer med elever). Der kan også indgåes lokalaftale herom. </t>
  </si>
  <si>
    <t>Aktiviteter fra 7:30 - 17:00. Beskrivelse af dagen</t>
  </si>
  <si>
    <r>
      <t>Angiv her mødetids-punkt</t>
    </r>
    <r>
      <rPr>
        <sz val="10"/>
        <color theme="1"/>
        <rFont val="Calibri"/>
        <family val="2"/>
        <scheme val="minor"/>
      </rPr>
      <t xml:space="preserve">                  (07:45 =  07:45)</t>
    </r>
  </si>
  <si>
    <t>Elevpausetid ifølge skema</t>
  </si>
  <si>
    <t>Vælg</t>
  </si>
  <si>
    <t>Estimeret</t>
  </si>
  <si>
    <t>Aftalt lokalt</t>
  </si>
  <si>
    <t>Er tiden estimeret eller aftalt lokalt? Vælg med "rullelisten"</t>
  </si>
  <si>
    <t>Særlige feriedage</t>
  </si>
  <si>
    <t>Ved månedens start er der antal skyldige:</t>
  </si>
  <si>
    <t>Oplys antal afholdte dage</t>
  </si>
  <si>
    <t>Rest antal dage (videreføres til næste måned)</t>
  </si>
  <si>
    <t>Oplys hvis tilskrevet dage eller hvis den ansatte er startet denne mdr.</t>
  </si>
  <si>
    <t>Oplys evt. ny tilførte dage eller antal skyldige dage ved nyansættelse:</t>
  </si>
  <si>
    <r>
      <t xml:space="preserve">Ved månedens start er der antal skyldige: </t>
    </r>
    <r>
      <rPr>
        <sz val="10"/>
        <rFont val="Arial"/>
        <family val="2"/>
      </rPr>
      <t>Bemærk at et nyt afholdelsesår vedr. de særlige feriedage er startet. Læs noten.</t>
    </r>
  </si>
  <si>
    <r>
      <t xml:space="preserve">Særlige feriedage </t>
    </r>
    <r>
      <rPr>
        <sz val="10"/>
        <rFont val="Arial"/>
        <family val="2"/>
      </rPr>
      <t>(også kaledet 6. ferieuge, feriefridage)</t>
    </r>
  </si>
  <si>
    <r>
      <t xml:space="preserve">Beskrivelse af møder og arrangementer på hverdage i tidsrummet 17-06. </t>
    </r>
    <r>
      <rPr>
        <b/>
        <sz val="12"/>
        <rFont val="Arial"/>
        <family val="2"/>
      </rPr>
      <t>IKKE ved lejrskole og andre elev-arrangementer med overnatning.</t>
    </r>
  </si>
  <si>
    <t>Hvis "X" vedrører tjenesten lejrskole, studieture eller lign., med elev-overnatning.</t>
  </si>
  <si>
    <t>(forberedelse og opgaver på min. 60 timer)</t>
  </si>
  <si>
    <t>Opgaver der tæller mere end 60 timer</t>
  </si>
  <si>
    <t>Øvrige opgaver som planmæssigt ligger på hverdage imellem kl. 06:00 - 17:00. Listen er over de opgaver der tæller mere en 60 timer, øvrige opgaver, opgaver der placeres senere på året samt elevpausetid.</t>
  </si>
  <si>
    <t>Oplys herunder estimeret tid/aftalte akorder på opgaver der forventes fordelt på skoledage, fagdage og emnedage.</t>
  </si>
  <si>
    <t>Timer til puljen til øvrige opgaver:</t>
  </si>
  <si>
    <t>Hvis begge arrangementer</t>
  </si>
  <si>
    <t>Hvis kun dag</t>
  </si>
  <si>
    <t>Hvis kun aften</t>
  </si>
  <si>
    <r>
      <rPr>
        <b/>
        <sz val="14"/>
        <color theme="4" tint="-0.499984740745262"/>
        <rFont val="Calibri"/>
        <family val="2"/>
        <scheme val="minor"/>
      </rPr>
      <t>Seniorordningen</t>
    </r>
    <r>
      <rPr>
        <sz val="14"/>
        <color theme="4" tint="-0.499984740745262"/>
        <rFont val="Calibri"/>
        <family val="2"/>
        <scheme val="minor"/>
      </rPr>
      <t xml:space="preserve"> er gældende fra den normperiode den ansatte fylder 60 år. Med seniorordningen kan den ansatte gå op til 175 timer ned i arbejdstid(Forudsætter en fuldtidsansættelse. Ellers forholdsvist). For ansatte der d. 31. juli var fyldt 57 år er ordningen med fuld løn og pension. For ansatte der ikke var fyldt 57 år d. 31. juli 2013 er ordningen med tilsvarende lønnedgang - dog med fuld pension.</t>
    </r>
  </si>
  <si>
    <t>UDBETALING: Ulempetimer og weekendtimer til udbetaling(Timerne udbetales med nettotimelønnen):</t>
  </si>
  <si>
    <t>Nederst i fanerne: Stamoplysninger, skemaoplysninger, august, arbejdstidsoversigt og opgaver er skrevet hvad næste "step" er (Markert med blå pil).</t>
  </si>
  <si>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I fanen Skemaoplysninger fjernes de opgaver der var planlagt særligt i måneder og som nu ikke længere er en del af den ansattes arbejdstid i delperioden. I månedeskalenderne markeres de dage der ikke er med i delperioden som "Ikke relevante". Timerne som i kolonne "K - R" tidligere var "gule" tælles ikke længere med i normperioden. I fanen "Opgørelse" vises nu hvordan arbejdstiden stemmer med den ansattes beskæftigelsesgrad.</t>
  </si>
  <si>
    <r>
      <rPr>
        <b/>
        <sz val="12"/>
        <color theme="4" tint="-0.499984740745262"/>
        <rFont val="Arial"/>
        <family val="2"/>
      </rPr>
      <t>TIMEFORBRUG:</t>
    </r>
    <r>
      <rPr>
        <sz val="12"/>
        <color theme="1"/>
        <rFont val="Arial"/>
        <family val="2"/>
      </rPr>
      <t xml:space="preserve"> Under hver måned optælles den enkelte måned med faktisk timeforbrug i forhold til normperiodens timetal. Er normperioden et helt skoleår tælles normperioden med 1924 fratrukket sh-dage og feriedage. Er normperioden for en del af et skole tælles de mulige arbejdsdage * beskæftigelsesgraden. For at kalenderværtøjet tæller rigtigt er det vigtigt at der i fanen "stamoplysninger" er oplyst om der planlægges for et helt skoleår eller for en delnormperiode.</t>
    </r>
  </si>
  <si>
    <r>
      <rPr>
        <b/>
        <sz val="12"/>
        <color theme="4" tint="-0.499984740745262"/>
        <rFont val="Arial"/>
        <family val="2"/>
      </rPr>
      <t xml:space="preserve">ULEMPE OG WEEKENDTIMER: </t>
    </r>
    <r>
      <rPr>
        <sz val="12"/>
        <color theme="1"/>
        <rFont val="Arial"/>
        <family val="2"/>
      </rPr>
      <t>Herudover tælles ulempe/weekendtimer til udbetaling og eller afspadsering. Her er det vigtigt at skolen i fanen "stamoplysninger" har valgt hvordan skolen forholder sig til ulempe/weekendtimer.</t>
    </r>
  </si>
  <si>
    <t>ARBEJDSTID:</t>
  </si>
  <si>
    <t>AFSPADSERING:</t>
  </si>
  <si>
    <t>SÆRLIE FERIEDAGE</t>
  </si>
  <si>
    <t>Særlige feriedage primo</t>
  </si>
  <si>
    <t>Særlige feriedage afholdt</t>
  </si>
  <si>
    <t>Særlige feriedage rest</t>
  </si>
  <si>
    <t xml:space="preserve">Særlige feriedage  </t>
  </si>
  <si>
    <t>OPGØRELSE AF ARBEJDSTIDEN</t>
  </si>
  <si>
    <t>Særlig feriedag</t>
  </si>
  <si>
    <t>Dato:</t>
  </si>
  <si>
    <t>Ikke afholdte særlige feriedage udbetales pr. 30. april, eller aftales skriftlig ovf. til næste ferieafholdelsesår.</t>
  </si>
  <si>
    <t>Skemaoplysninger</t>
  </si>
  <si>
    <t>Opgaver</t>
  </si>
  <si>
    <t>Hvis den pågældende dag er en fagdag, emnedag, lejrskole eller en ekskursionsdag bliver cellerne herunder gule. Er dagen en pædagogisk dag er det dog kun kolonne "K" der bliver gult. Tast i de gule felter. OBS: Skal der være tid til "øvrige opgaver/forberedelse" skal skolen sikre sig der er arbejdstid udover undervisning og elevpausetid. Check kolonne Q.</t>
  </si>
  <si>
    <t>Antal arbejdstimer på hverdage imellem 17-06 (eks. 2 timer og 15 minutter tastes som 2,25)</t>
  </si>
  <si>
    <t>Antal arbejdstimer. (eks. 7 timer og 30 minutter tastes som 7,50)</t>
  </si>
  <si>
    <t>Antal undervisningstimer (eks. 4 timer og 30 minutter tastes som 4,50)</t>
  </si>
  <si>
    <t>Antal timer til elevpauser (eks. 1 time og 15 minutter tastes som 1,25)</t>
  </si>
  <si>
    <t>Stamdata</t>
  </si>
  <si>
    <t>Celle E12. Planlægges der for et helt skoleår skal der her stå "Ja". Planlægges der for en del af et skoleår skal der stå "nej"</t>
  </si>
  <si>
    <t>Check at der i kolonne A, K, U og AE er valgt korrekt i forhold til om der planlægges med lektioner eller elevpausetid.</t>
  </si>
  <si>
    <t>Skoleårets måneder august - juli</t>
  </si>
  <si>
    <t>Check at der er oplys et timetal i de celler der er oplyst med gult.</t>
  </si>
  <si>
    <t>Arbejdstidsoversigt</t>
  </si>
  <si>
    <t>Celle I36. Er der her det antal skoledage læreren skal undervise. Normalt undervises der 200 skoledage. Hvis ikke der står 200 dage, skal der kunne svares på hvorfor. Det kan være at læreren ikke har en 5 dages arbejdsuge eller at lærerne har en pædagogisk dag på en hverdag, hvor forældrene overtager undervisningen.</t>
  </si>
  <si>
    <t>K32 viser hvor mange timer der er til opgaver der tæller mindre end 60 klokketimer. Står der her et tal i plus skal skolen nedenfor anføre opgaver svarende til timetallet. Står der et tal i minus, har skolen givet for mange opgaver ovenfor og skal derfor fjerne opgaver tilsvarende. Det kan også være at man istedet skal tilbyde den ansatte en forhøjet beskæftigelsesgrad der passer til opgaverne arbejdstiden.</t>
  </si>
  <si>
    <t>Efter at skolen er færdig med at planlægge arbejdstiden for den enkelte lærer og børnehaveklasseleder, kan man med fordel checke følgende:</t>
  </si>
  <si>
    <t>K7 viser hvor mange timer der er til øvrige opgaver der tæller mere end 60 klokketimer og til opgaver der tæller mindre end 60 klokketimer. Check at der her er timer nok til de opgaver skolen oplyser tid til og også til opgaver hvor skolen ikke oplyser tid til.</t>
  </si>
  <si>
    <t>Gode råd til check</t>
  </si>
  <si>
    <t>Efter at skolen har planlagt den ansattes arbejdstid, råder vi skolen til at gå fanen "gode råd til check" igennem. Punkterne der her er beskrevet, er de punkter der oftes begås fejl i.</t>
  </si>
  <si>
    <t>Rigtig god arbejdslyst</t>
  </si>
  <si>
    <t>Oplys hvis tilskrevet dage eller hvis den ansatte er startet denne mdr. Tast også her evt. ovf. særlige feriedage fra sidste år (Kræver en skriftlig aftale).</t>
  </si>
  <si>
    <t>Arbedstid eks. lørdage og søndage</t>
  </si>
  <si>
    <t>Opgaverne er placeret i tidsrummet 7:30 - 17:00</t>
  </si>
  <si>
    <t>Opgaver der placeres senere på året</t>
  </si>
  <si>
    <t>List her opgaverne og vælg med piletasten hvilken måned opgaven/opgaverne løses i samt estimeret tid til opgaven.</t>
  </si>
  <si>
    <t>Udfyld nu hver måned i normperioden. Det er vigtigt at de dage/måneder hvor den ansatte evt. ikke er ansat vælges som "Ikke relevante".</t>
  </si>
  <si>
    <r>
      <rPr>
        <b/>
        <sz val="12"/>
        <color theme="4" tint="-0.499984740745262"/>
        <rFont val="Arial"/>
        <family val="2"/>
      </rPr>
      <t>FORHÅNDSUDFYLDT:</t>
    </r>
    <r>
      <rPr>
        <sz val="12"/>
        <color theme="1"/>
        <rFont val="Arial"/>
        <family val="2"/>
      </rPr>
      <t xml:space="preserve"> Værktøjet er forhåndsudfyldt med weekenddage, søgnehelligdage, 25 feriedage efter organisationsaftalen, 200 skoledage og nuldage. Hvornår en skole starter efter sommerferien, hvordan juleferien planlægges og hvornår sommerferien begynder er forskelligt fra skole til skole og fra kommune til kommune. Check derfor evt. kommunens ferieplan. </t>
    </r>
  </si>
  <si>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omsorgsdage/seniordage. Her er det vigtigt der ikke ændres i selve kalenderen, men at ajurføringen af afholdte dage udelukkende sker i skemaet under kalenderen. Læs noten i skemaet.</t>
    </r>
  </si>
  <si>
    <t>Antal arbejdsdage</t>
  </si>
  <si>
    <t>Antal sh-dage</t>
  </si>
  <si>
    <t xml:space="preserve">Pulje til øvrige opgaver(Opgaver der tæller mindre end 60 timer pr. år). 	</t>
  </si>
  <si>
    <r>
      <t xml:space="preserve">MÅLSØGNING: Timerne i celle "k32" viser de timer der er tilbage til de opgaver der listes herunder og som ikke tæller 60 klokketimer.  Kan skolen ikke bruge disse timer eller dem alle, kan man med fordel bruge funktionen "målsøgning" . Med målsøgning kan skolen selv vælge de timer der skal stå ved at ændre på den anattes beskæftigelsesgrad. </t>
    </r>
    <r>
      <rPr>
        <b/>
        <sz val="12"/>
        <color theme="0"/>
        <rFont val="Calibri"/>
        <family val="2"/>
        <scheme val="minor"/>
      </rPr>
      <t>Det er dog vigtigt at bemærke at man ikke uden en aftale ændrer på den ansattes beskæftigelsesgrad</t>
    </r>
    <r>
      <rPr>
        <sz val="12"/>
        <color theme="0"/>
        <rFont val="Calibri"/>
        <family val="2"/>
        <scheme val="minor"/>
      </rPr>
      <t xml:space="preserve">. Sådan udføres målsøgning: Stå på cellen "K32" og klik på menuen 'Funktioner' og vælg 'Målsøgning', eller vælg 'Data' i båndet og klik på "Hvad-hvis" eller "what/if". I angiv celle skal der stå: "K32". Til værdi skal der stå det timetal der ønskes (evt. nul). Ved ændring af celle - Klikkes her i celle "E13" i fanen stamoplysninger. På denne måde tilpasses beskæftigelsesgraden den ønskede værdi.  </t>
    </r>
  </si>
  <si>
    <t xml:space="preserve">I skoleåret er der 8 søgnehelligdage. Disse dage er helligdage, der IKKE falder på en lørdag eller søndag. </t>
  </si>
  <si>
    <t>SKEMA 1</t>
  </si>
  <si>
    <t>SKEMA 2</t>
  </si>
  <si>
    <t>SKEMA 3</t>
  </si>
  <si>
    <t>SKEMA 4</t>
  </si>
  <si>
    <t>2024-2025</t>
  </si>
  <si>
    <t>Kristi himmelfatsdag</t>
  </si>
  <si>
    <t>2. Pinsedag</t>
  </si>
  <si>
    <t>Kr. Himmefartsdag</t>
  </si>
  <si>
    <t>Min egen skole</t>
  </si>
  <si>
    <t>Beate Simonsen</t>
  </si>
  <si>
    <t>01.08.2024</t>
  </si>
  <si>
    <t>31.07.2025</t>
  </si>
  <si>
    <t>Undervisningstimer i normperioden vedr.:</t>
  </si>
  <si>
    <t>Samlede antal undervisningstimer i normperioden:</t>
  </si>
  <si>
    <t>Er undervisningstimerne planlagt for et helt skoleår?</t>
  </si>
  <si>
    <t>Hvis undervisningstimerne ikke vedr. et helt skoleår opregnes undervisningstimerne for delperioden til et skoleår i forhold til antal mulige arbejdsdage. Undervisningstimerne der danner grundlag for udbetaling af undervisningstillæg udgør:</t>
  </si>
  <si>
    <t>Seniorbonus jf. Cirkulære om seniorbonus for tjenestemænd i staten</t>
  </si>
  <si>
    <t>I forbindelse med den nye arbejdstidsaftale gældende fra august 2022 har Friskolerne udarbejdet et planlægningsværtøj til planlægning af lærernes og børnehaveklasselederenes arbejdstid.</t>
  </si>
  <si>
    <t xml:space="preserve">Værktøjet kan udover planlægning også bruges til at at udarbejde en statusopgørelse hver 3. måned samt opgøre normperioden. </t>
  </si>
  <si>
    <t>Værktøjet lever desuden op til den nye lov om arbejdstidsregistrering, hvor de planlagte arbejdstimer pr. dag er registreret på forhånd og hvor det er muligt at registrere evt. fravigelser.</t>
  </si>
  <si>
    <t>Fanerne: Stamoplysninger, skemaoplysninger, august, arbejdstidsoversigt og opgaver er øverst makeret med en blå pil samt en tekst der beskriver opgaven i den enkelte fane.</t>
  </si>
  <si>
    <r>
      <rPr>
        <b/>
        <sz val="12"/>
        <color theme="4" tint="-0.499984740745262"/>
        <rFont val="Arial"/>
        <family val="2"/>
      </rPr>
      <t>OPGØRELSE:</t>
    </r>
    <r>
      <rPr>
        <b/>
        <sz val="12"/>
        <color theme="1"/>
        <rFont val="Arial"/>
        <family val="2"/>
      </rPr>
      <t xml:space="preserve"> </t>
    </r>
    <r>
      <rPr>
        <sz val="12"/>
        <color theme="1"/>
        <rFont val="Arial"/>
        <family val="2"/>
      </rPr>
      <t xml:space="preserve">Sker der ændringer i den planlagte arbejdstid vælges med et "X" i kolonne S, T og U hvad ændringen vedrører. HUSK afspadsering skal oplyses i hver enkelt måneds afspadseringsskema under kalenderen og IKKE som en ændring. Efter ændringen/ændringerne er valgt med et "X" udfyldes de nu oplyste gule felter med det timetal den planlagte timetal er ændret med. I tilfælde af fravær mere end 4 uger, tælles hver dag(fra dag 1) som 7,4 timer * beskæftigelsesgraden. Bemærk at ved sygdom ændres der IKKE på den planlagte undervisningstid. </t>
    </r>
  </si>
  <si>
    <r>
      <rPr>
        <b/>
        <sz val="12"/>
        <color theme="4" tint="-0.499984740745262"/>
        <rFont val="Arial"/>
        <family val="2"/>
      </rPr>
      <t>UNDERVISNINGSTILLÆG:</t>
    </r>
    <r>
      <rPr>
        <sz val="12"/>
        <color theme="1"/>
        <rFont val="Arial"/>
        <family val="2"/>
      </rPr>
      <t xml:space="preserve"> Er et skema over de planlagte undervisningstimer for et skoleår. Skemaet bruges til at udbetale det månedlige undervisningstillæg efter. Bemærk at hvis læreren underviser til et arrangement der ikke er henført til dage(feks. teateraften, koncert eller andet), som udløser undervisningstillæg skal disse timer anføres i fanen "undervisningstillæg". Hvis der planlægges for en delperiode(Ikke et helt skoleår), skal undervisningstimetallet for delperioden ganges op til et helt skolår. Skemaet beregner automatisk undervisningstimetallet fra delperioden til et helt skoleår. Det er dog en forudsætning at skolen i fanen "stamoplysninger" har oplyst der ikke planlægges for et helt skoleår.</t>
    </r>
  </si>
  <si>
    <t>Planlægges der ikke for et helt skoleår men for en delperiode, gøres de dage der ikke planlægges med "ikke relevante". Også lørdage, søndag og SH-dage. TIPS: Ikke relevante dage kan kopieres ned i en hel måned ved først at vælge den første dag som "Ikke relevant" (evt. de to første dage) og dernæst at "trække" i cellens nederste højre hjørne - ned i månedens kolonne. HUSK i fanen "stamoplysninger" at oplyse at der ikke planlægges for et helt skoleår.</t>
  </si>
  <si>
    <t>Ansættes en lærer først d. 1. oktober, skal ALLE dage i august og september vælges som "ikke relevante dage". På denne måde får skolen korrekt optælling af normperiodens dage, som nu ikke længere er et helt skoleår.</t>
  </si>
  <si>
    <t>Orlovsdage er dage med ret til frihed efter barselsloven og servicelovens §119(orlov til pasning af nærtstående der ønsker at dø i eget hjem) såfremt orloven varer længere end 30 dage. Orlovsdagene tæller da med 7,4 timer * beskæftigelsesgraden. Orlovsdage vælges på mulige arbejdsdage, og ikke på lørdage, søndage og sh-dage.</t>
  </si>
  <si>
    <t>Undervisningstimerne der danner grundlag for udmøntning af det månedlige undervisningstillæg skal altid svare til et helt skoleår. Planlægges der ikke for et helt skoleår, skal skolen i fanen "stamoplysninger" oplyse at der ikke er tale om et helt skoleår. Med denne oplysning opregnes undervisningstimetallet udregnet for en del af et skoleår til et helt skoleår. Dette tal kan aflæses i fanen "undervisningstillæg" celle J24.</t>
  </si>
  <si>
    <t xml:space="preserve">Arbejdstidsoversigten er en oversigt over hvordan den ansattes arbejdstid fordeler sig på pædagogiske dage, fagdage, emnedage, lejrture mm. Timerne her er summen af timer oplyst i de 12 månedskalendere.Fanen viser også hvor mange timer der er tilbage som skolen skal planlægge læreren til at arbejde på helt almindelige skemadage. i celle J27 er angivet resttimerne der ikke er planlagt til pædagogiske dage, fagdage, emnedage, lejrture osv, og som skolen på skemadage skal planlægge. En gennemsnitlig skemadags længde kan aflæses i celle I40. Fordel resttiden på skemadagene fra række 44 og ned, og check i celle D79 at timerne den ansatte er ansat og aflønnet efter nu også er planlagt. Hvis der står et tal i minus, skal der tildeles mere arbejdstid enten i kalenderne eller på undervisningsdagene i fanen "arbejdstidsoversigt". Står der et tal i plus, er der planlagt med for mange timer, og der skal fjernes timer enten i kalenderne eller på undervisningsdagene i fanen "arbejdstidsoversigt". </t>
  </si>
  <si>
    <t xml:space="preserve">Det totale antal dage fratrukket  ferie, lørdage, søndage, søgne/helligdage, samt 200 skoledage udgør: (365 kalenderdage - 104 lør/søn - 8 S/H-dage - 25 feriedage- 200 skoledage = 28 restdage. Disse 28 dage er i princippet arbejdsdage. Hvis der ikke disponeres over disse dage(Planlægges arbejdstid), vil de blive betragtet som afspadseringsdage - også kaldet 0-dage. Har en ansat ikke en 5 dages arbejdsuge, vælges de arbejdsfrie dage som nuldage. </t>
  </si>
  <si>
    <r>
      <rPr>
        <b/>
        <sz val="14"/>
        <color theme="4" tint="-0.499984740745262"/>
        <rFont val="Calibri (Tekst)"/>
      </rPr>
      <t>SKEMAOPLYSNINGER</t>
    </r>
    <r>
      <rPr>
        <sz val="14"/>
        <color theme="4" tint="-0.499984740745262"/>
        <rFont val="Calibri"/>
        <family val="2"/>
        <scheme val="minor"/>
      </rPr>
      <t xml:space="preserve">: </t>
    </r>
    <r>
      <rPr>
        <sz val="12"/>
        <color theme="1"/>
        <rFont val="Arial"/>
        <family val="2"/>
      </rPr>
      <t xml:space="preserve">Skoleskema for skemadage. Her er mulighed for 4 skemaer i løbet af et skoleår. Udfyld skemaet og vælg hvorvidt der planlægges lektioner eller elevpausetid. Vælges lektioner medtælles tiden som undervisning der i fanen "undervisningstillæg" danner grundlag for udbetaling af undervisningstillæg. Vælges elevpausetid er det tid hvor eleverne holder pauser eller hvor læreren fører tilsyn og hvor der ikke skal betales undervisningstillæg. Elevpausetid er den tid der i skoleskemaet ligger imellem 2 lektioner. Denne tid er tid hvor læreren afslutter en lektion og gør klar til en ny. Elevpausetid der planlægges imellem 2 lektioner er tid hvor ledelsen ikke kan forvente at læreren udfører opgaver listet i fanen "opgaver". Elevpausetid kan også være lærerens tilsynstid til feks. morgensang, hvor opgaven består i at føre tilsyn, men hvor der ikke skal betales undervisningstillæg. </t>
    </r>
    <r>
      <rPr>
        <b/>
        <sz val="12"/>
        <color theme="3" tint="-0.249977111117893"/>
        <rFont val="Arial"/>
        <family val="2"/>
      </rPr>
      <t>OPGAVER DER PLACERES SENERE PÅ ÅRET:</t>
    </r>
    <r>
      <rPr>
        <b/>
        <sz val="12"/>
        <color theme="4" tint="-0.499984740745262"/>
        <rFont val="Arial"/>
        <family val="2"/>
      </rPr>
      <t xml:space="preserve"> </t>
    </r>
    <r>
      <rPr>
        <sz val="12"/>
        <color theme="1"/>
        <rFont val="Arial"/>
        <family val="2"/>
      </rPr>
      <t>Under skema 1 listes opgaver der placeres senere på året/i særlige måneder. Dette så tiden til de særlige opgaver tælles med i den måned opgaven planlægges i.</t>
    </r>
  </si>
  <si>
    <t>Tilsyn ms</t>
  </si>
  <si>
    <t>L</t>
  </si>
  <si>
    <t>E</t>
  </si>
  <si>
    <t>Fra kl:</t>
  </si>
  <si>
    <t>Til kl:</t>
  </si>
  <si>
    <t>Vælg m. pil: Lektion eller elevpausetid(Tilsyn)</t>
  </si>
  <si>
    <t>X</t>
  </si>
  <si>
    <t>Ikke relevante ulempetillægstimer</t>
  </si>
  <si>
    <t>Opgørelse af et skoleår</t>
  </si>
  <si>
    <t>Når et skoleår er gået har den ansatte krav på en opgørelse af arbejdstiden.</t>
  </si>
  <si>
    <t>Opgørelse af en del af et skoleår</t>
  </si>
  <si>
    <t>Hvis en lærer afslutter sin ansættelse i løbet af skoleåret, eller læreren får ændret beskæftigelsesgrad skal der ske en opgørelse af delnormperioden.</t>
  </si>
  <si>
    <t>Gør sådan:</t>
  </si>
  <si>
    <t>I fanen "stamdata" oplyses der i celle "E12" at der ikke længere er tale om et helt skoleår. Vælg "nej". Denne ændring skal ske, da arbejdstiden for en periode på mindre end et helt skoleår planlægges og opgøres med antal mulige arbejdsdage * 7,4 timer * beskæftigelsesgraden, og ikke ud fra 1924 timer der kun gælder for et helt skoleår.</t>
  </si>
  <si>
    <t>Skemaoplysning</t>
  </si>
  <si>
    <t>Er der opgaver der er planlagt senere på året i særlig måneder, og opgaven/månederne ikke skal tælle med i opgørelsen af delnormperioden skal timerne fjernes. Check derfor i fanen "skemaoplysninger" om der er planlagt opgaver senere på året der ikke skal tælle med i denne opgørelse og slet timerne. Dette checkes og ændres fra række 46-90.</t>
  </si>
  <si>
    <t>August - juli</t>
  </si>
  <si>
    <t>De dage og måneder der ikke skal tælles med i opgørelsen af delperioden skal nu ændres til "ikke relevante".</t>
  </si>
  <si>
    <t>Ikke relevante vælges derfor for alle de dage den ansatte ikke er ansat eller skal tælle med i opgørelsen.</t>
  </si>
  <si>
    <t>Løbende registrering af ændringer</t>
  </si>
  <si>
    <t>Ulempetillæg på weekenddage</t>
  </si>
  <si>
    <t>Ulempetillæg ændringer på weekenddage</t>
  </si>
  <si>
    <t>17-06 timer til udbetaling inkl. ændringer 17-06</t>
  </si>
  <si>
    <t>Weekendtimer</t>
  </si>
  <si>
    <t>Weekendtillæg på 50 pct.</t>
  </si>
  <si>
    <t>Til udbetaling</t>
  </si>
  <si>
    <t>Ulempetillæg udbetales med 25% af nettetimelønnen</t>
  </si>
  <si>
    <t>Ulempetillæg afspadseres med 25% af nettotimelønnen</t>
  </si>
  <si>
    <t>Der er indgået lokalaftale omkring ulempetillæg</t>
  </si>
  <si>
    <t>Weekendtimer og weekendtillæg afspadseres</t>
  </si>
  <si>
    <t>Weekentimer og weekendtillæg udbetales</t>
  </si>
  <si>
    <t>Der er indgået lokalaftale omkring weekendtimer og weekendtillæg</t>
  </si>
  <si>
    <t>Der er indgået lokalaftale omkring weekendtimer, weekendtillæg afspadseres</t>
  </si>
  <si>
    <t>Der er indgået lokalaftale omkring weekendtimer, weekendtillæg udbetales</t>
  </si>
  <si>
    <t>Der er indgået lokalaftale omkring weekendtillæg, weekendtimerne afspadseres</t>
  </si>
  <si>
    <t>Der er indgået lokalaftale omkring weekendtillæg, weekendtimerne udbetales</t>
  </si>
  <si>
    <t>Til afsapsering</t>
  </si>
  <si>
    <t>Weekendtimerne. AFSPADSERES</t>
  </si>
  <si>
    <t>Weekendtimerne AFSPADSERES</t>
  </si>
  <si>
    <t>Weekendtimerne. UDBETALES</t>
  </si>
  <si>
    <t>Weekendtimerne UDBETALES</t>
  </si>
  <si>
    <t>Ændring i arbejdstiden der ikke vedrører weekenddage på ikke relevante dage</t>
  </si>
  <si>
    <t>Arbejdstimer 17-06 på ikke relevante</t>
  </si>
  <si>
    <t>Weekendtimer talt med i månedsnorm. Timerne afspadseres og derfor trækkes de ud igen</t>
  </si>
  <si>
    <t>Bruger til at trække weekendtimer der afspadseres eller udbetales ud af den enkelte måneds timeregnskab da timerne ellers tælles med.</t>
  </si>
  <si>
    <t>Ændringi weekendtimer der ikke skal tælle med</t>
  </si>
  <si>
    <t>Ændringer i weekendtimer der ikke skal tælles med i celle I51.</t>
  </si>
  <si>
    <t>ændringer på ikke relevante</t>
  </si>
  <si>
    <t>Hvis der ved en fejl står timer ud for en dag der er valgt som weekenddag, skal disse timer ikke tælles med.</t>
  </si>
  <si>
    <t>Celle 49</t>
  </si>
  <si>
    <t>Ved aftale om lokalaftale på weekendtimer, skal timerne trækkes ud af mdr. regnskabet</t>
  </si>
  <si>
    <t>Pkt. 6. Bruges i celle I49</t>
  </si>
  <si>
    <t>Pkt. 4 bruges i celle I49</t>
  </si>
  <si>
    <t>Pkt. 5. bruges i celle I 49</t>
  </si>
  <si>
    <t>Pkt. 7. bruges i celle I 49</t>
  </si>
  <si>
    <t>Pkt. 3. bruges i celle I 49</t>
  </si>
  <si>
    <t>Weekendtimer og weekendtillæg udbetales</t>
  </si>
  <si>
    <t>Pkt. 2. bruges i celle i49</t>
  </si>
  <si>
    <t>Valg Pkt. 1. i stamdate vedr. weekendtimer -  bruges i celle i49</t>
  </si>
  <si>
    <t>Bruges i celle I49</t>
  </si>
  <si>
    <t>Disse udregninger gør at månedens timer tæller korrekt. At weekendtimer tælles ud af månedstimetalles og at det også stemmer hvis dagene efterfølgende rettes til ikke relevante.</t>
  </si>
  <si>
    <t>Opgørelsen kan aflæses i fanen "opgørelse", og forudsætter at skolen løbende har registreret evt. ændringer i forhold til de planlagte timer. Evt. ændringer registreres i fanerne august - juli. Vælg her med et "X" hvorvidt der er tale om en ændring i arbejdstiden, undervisningstiden eller planlagt arbejdstid imellem 17-06. Vælg med et "X" i kolonne S hvis ændringen sker i forhold til den planlagte arbejdstid registreret i kolonne N. Vælg "X" i kolonne T hvis ændringen vedr. undervisningstiden planlagt i kolonne O og vælg "X" i kolonne U hvis ændringen vedr. tid imellem kl. 17-06 i forhold til den planlagte tid i kolonne R. Efter at skolen med et "X" har registreret at der er sket en ændring lyser den eller de celler op i kolonne V, W og X hvor den faktiske ændring skal registreres. Er der tale om flere timer, registreres ændringen med et positivt tal, er der tale om færre timer registreres ændringen med et negativt tal.</t>
  </si>
  <si>
    <t>I kolonne "C" vælges dagene den ansatte ikke er ansat som "ikke relevante", hvorefter dagene bliver sorte og ikke tælles med i opgørelsen. Det er dog vigtigt at ALLE dage ændres til "ikke relevante". Også lørdage, søndage, S/H dage og feriedage.</t>
  </si>
  <si>
    <t>Hvis en lærer feks: opsiger sit arbejde d. 31. december vælges samtlige dage fra og med d. 1. januar til og med d. 31. juli som "ikke relevant". Det gælder både hverdage, weekenddage, s/h-dage og planlagte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</si>
  <si>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</si>
  <si>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Når ovennævnte ændringer er sket, kan opgørelsen af skoleåret eller delnormperioden aflæses i fanen "opgørelse".</t>
  </si>
  <si>
    <t>I række 58 aflæses hvorvidt den ansatte har arbejdet flere timer end normperioden indeholdte. Er tallet postivt har den ansatte arbejdet mere end normperioden indeholdte og skal udbetales eller afspadseres.</t>
  </si>
  <si>
    <t>MERTIMER: Timer op til en fuldtidsansættelse honoreres med den ansattes egen timeløn * mertimerne + pension.</t>
  </si>
  <si>
    <t>OVERTIMER: Timer over en fuldtidsnorm honoreres med den ansattes egen timeløn + 50%. Overtidsbetaling er uden pension.</t>
  </si>
  <si>
    <t>AFSPADSERINGSTIMER: Har den ansatte afspadseringstimer der ved normperiodens opgørelse ikke er afspadseret udbetales timerne i henhold til reglerne om ovennævnte mer/overarbejde.</t>
  </si>
  <si>
    <t>Sådan aflæses opgørelsen</t>
  </si>
  <si>
    <t>Ved opgørelse af en delperiode, vælges "ikke relevante dage", hvormed arbejdstiden ikke tælles med. Værktøjet er opdateret så alle aktiviteter tæller med nul timer. Både arbejdstid, 17-06 timer mm.</t>
  </si>
  <si>
    <t>Navn på alle skemaer</t>
  </si>
  <si>
    <t>Lærerens navn kan aflæses i alle faner.</t>
  </si>
  <si>
    <t>Opgørelse af arbejdstiden</t>
  </si>
  <si>
    <t>For at imødekomme spørgsmål til hvordan man opgør et skoleår eller en del af et skoleår, har vi lagt en ny fane ind. "Opgørelse af arbejdstiden".</t>
  </si>
  <si>
    <r>
      <t xml:space="preserve">Skema 1-4: </t>
    </r>
    <r>
      <rPr>
        <sz val="14"/>
        <color theme="4" tint="-0.499984740745262"/>
        <rFont val="Calibri"/>
        <family val="2"/>
        <scheme val="minor"/>
      </rPr>
      <t xml:space="preserve">I denne fane udfyldes skoleskema med lektioner og elevpausetid samt nederst i skemaet opgaver der planlægges i særlige måneder. Start med i celle C9/skema 1 at oplyse tidspunktet for skoleskemaets start. Fra række 11 til række 29 vælges antal minutter skemaets moduler varer. Et modul kan være en lektion, elevpausetid eller evt. hultime. I skema 1 vælges i kolonne D, F, H, J og L om der planlægges med en lektion (L) hvor der er tilknyttet undervisningstillæg  eller om der planlægges med elevpausetid (E) - den tid der ligger imellem to lektioner, og hvor skolen ikke kan forvente læreren udfører opgaver listet i fanen "opgaver". Elevpausetid er typisk tilsynstid, pause eller måske gårdvagt. Efter valget af enten "L" for lektion eller "E" for elevpausetid beskrives lektionen/elevpaustiden i kolonne E, G, I, K eller M. </t>
    </r>
    <r>
      <rPr>
        <b/>
        <sz val="14"/>
        <color theme="4" tint="-0.499984740745262"/>
        <rFont val="Calibri"/>
        <family val="2"/>
        <scheme val="minor"/>
      </rPr>
      <t xml:space="preserve">BEMÆRK AT SKEMET FØRST TÆLLER UNDERVISNINGSTIMER ELLER ELEVPAUSE TID NÅR DER ER VALGT ANTAL MINUTTER, "L" FOR LEKTION ELLER "E" FOR ELEVPAUSETID OG ANGIVET EN TEKST DER BESKRIVER MODULET. </t>
    </r>
    <r>
      <rPr>
        <sz val="14"/>
        <color theme="4" tint="-0.499984740745262"/>
        <rFont val="Calibri"/>
        <family val="2"/>
        <scheme val="minor"/>
      </rPr>
      <t xml:space="preserve">Har skolen brug for at der planlægges med "hultimer" er det også muligt. Skemaet tæller lige beskrevet så snart der er valgt antal minutter pr. modul, om det er en lektion (L) eller elevpausetid (E) samt en tekst der beskriver lektionen eller elevpausetiden. En hultime vælges derfor med antal minutter men uden valg af lektion eller elevpausetid Vælges lektion farves lektionsfeltet grønt. Vælges elevpausetid farves elevpausefeltet lys-gult. </t>
    </r>
    <r>
      <rPr>
        <b/>
        <sz val="14"/>
        <color theme="4" tint="-0.499984740745262"/>
        <rFont val="Calibri"/>
        <family val="2"/>
        <scheme val="minor"/>
      </rPr>
      <t>Det er muligt at skemalægge 4 forskellige skemaperioder for en normperiode.</t>
    </r>
  </si>
  <si>
    <t>"E" for elevpause</t>
  </si>
  <si>
    <t>"L" for lektion</t>
  </si>
  <si>
    <t>Lektion vælges i skema 1 i kolonne: D, F, H, J og L. Skema 2 i kolonne R, T, V, X og Y. Skema 3 i kolonne AF, AH, AJ, AL og AN. Skema 4 i kolonne AT, AV, AX, AZ og BB. En lektion er et modul hvortil undervisning er tilknyttet. Oplys antal minutter lektionen varer, og beskriv lektionen. Lektionstimerne overføres automatisk til månederne august - juli og arket "undervisningstillæg".</t>
  </si>
  <si>
    <t>Elevpause vælges i skema 1 i kolonne: D, F, H, J og L. Skema 2 i kolonne R, T, V, X og Y. Skema 3 i kolonne AF, AH, AJ, AL og AN. Skema 4 i kolonne AT, AV, AX, AZ og BB. Elevpausetid er den tid der ligger imellem 2 lektioner og hvor skolen ikke kan forvente læreren udfører opgaver listet i fanen "opgaver". Elevpausetid kan bruges til tilsyn, gårdvagter, pauser eller lign. Oplys antal minutter elevpausetiden varer, og beskriv lærerens opgave i elevpausetiden. Elevpausetiden overføres automatisk til månederne august - juli og  fanen "opgaver".</t>
  </si>
  <si>
    <t>Tilsyn</t>
  </si>
  <si>
    <t>MS</t>
  </si>
  <si>
    <t>Tilsyn til ms</t>
  </si>
  <si>
    <t>Fortælling</t>
  </si>
  <si>
    <t>Tilsyn fortælling</t>
  </si>
  <si>
    <t>Tast her skoleskema med lektioner og tid til elevpauser, varighed, fag mm. Start med at udfylde celle "C9" - Skriv her startstidspunkt for skoledagens start. Er startstidspunktet kl. 8.00 skrives 08:00. Oplys derefter antal minutter hver lektion, pause/tilsyn varer. Eksempel: 45 min = 0:45 - 1 time = 1:00 - 1 time og 10 min. = 1:10</t>
  </si>
  <si>
    <t>Tast her skoleskema med lektioner og tid til elevpauser, varighed, fag mm. Start med at udfylde celle "Q9" - Skriv her startstidspunkt for skoledagens start. Er startstidspunktet kl. 8.00 skrives 08:00. Oplys derefter antal minutter hver lektion, pause/tilsyn varer. Eksempel: 45 min = 0:45 - 1 time = 1:00 - 1 time og 10 min. = 1:10</t>
  </si>
  <si>
    <t>Tast her skoleskema med lektioner og tid til elevpauser, varighed, fag mm. Start med at udfylde celle "AE9" - Skriv her startstidspunkt for skoledagens start. Er startstidspunktet kl. 8.00 skrives 08:00. Oplys derefter antal minutter hver lektion, pause/tilsyn varer. Eksempel: 45 min = 0:45 - 1 time = 1:00 - 1 time og 10 min. = 1:10</t>
  </si>
  <si>
    <t>Tast her skoleskema med lektioner og tid til elevpauser, varighed, fag mm. Start med at udfylde celle "AS9" - Skriv her startstidspunkt for skoledagens start. Er startstidspunktet kl. 8.00 skrives 08:00. Oplys derefter antal minutter hver lektion, pause/tilsyn varer. Eksempel: 45 min = 0:45 - 1 time = 1:00 - 1 time og 10 min. = 1:10</t>
  </si>
  <si>
    <t>Antal min. modulet er: (45 min. = 0:45)</t>
  </si>
  <si>
    <t>Vi går til time</t>
  </si>
  <si>
    <t>Eng.</t>
  </si>
  <si>
    <t xml:space="preserve">Eng. </t>
  </si>
  <si>
    <t>Gårdvagt</t>
  </si>
  <si>
    <t>Samfundsfag</t>
  </si>
  <si>
    <t>Billidkunst</t>
  </si>
  <si>
    <t>Klassens time</t>
  </si>
  <si>
    <t>Natur/teknik</t>
  </si>
  <si>
    <t>01.01.2025</t>
  </si>
  <si>
    <t>Det er nu muligt at vælge ved hvert modul om der planlægges en lektion eller elevpausetid. Lektion vælges med "L", og elevpausetid vælges med "E". Elevpausetid er den tid der ligger imellem 2 lektioner, og hvor man ikke kan forvente læreren varetager opgaver listet i fanen "opgaver". Skemaet tæller hhv. undervisningstimer og elevpausetimer hvis der er angivet tid, valgt "L" eller "E" og der også er skrevet en tekst i cellen ud for "L" og "E". Har læreren en hultime kan den registreres med tid, men ikke med "L" eller "E" og ikke med tekst. Det er ikke hensigten at lærerne skal have hultimer i deres skema, men hvis det ikke kan undgås, kan ledelsen forvente at læreren bruger tiden i den planlagte "hultime" til at udføre opgaver listet i fanen "opgaver". Det kan være feks. forberedelse eller tilsyn af skolens lokaler.</t>
  </si>
  <si>
    <t xml:space="preserve">Tilsyn  </t>
  </si>
  <si>
    <t>Svømning og idræt</t>
  </si>
  <si>
    <t>Tværfag</t>
  </si>
  <si>
    <t>Tvæfag</t>
  </si>
  <si>
    <t>31.12.2024</t>
  </si>
  <si>
    <t>Forberede naturfestivalugen</t>
  </si>
  <si>
    <t>Forberede teateremneugen</t>
  </si>
  <si>
    <t>Lærermøde august</t>
  </si>
  <si>
    <t>Lærermøde september</t>
  </si>
  <si>
    <t>Lærermøder oktober</t>
  </si>
  <si>
    <t>Lærermøder november</t>
  </si>
  <si>
    <t>Lærermøder december</t>
  </si>
  <si>
    <t>Lærermøder februar</t>
  </si>
  <si>
    <t>Lærermøder januar</t>
  </si>
  <si>
    <t>Lærermøder marts</t>
  </si>
  <si>
    <t>Lærermøder april</t>
  </si>
  <si>
    <t>Lærermøder maj</t>
  </si>
  <si>
    <t>Lærermøder juni</t>
  </si>
  <si>
    <t>Vi planlægger det kommende skoleår 9-15</t>
  </si>
  <si>
    <t>1. skoledag 9-13</t>
  </si>
  <si>
    <t>Sommerfest 17-21</t>
  </si>
  <si>
    <t>Skolebyt - afgang kl. 08:00</t>
  </si>
  <si>
    <t xml:space="preserve">Skolebyt  </t>
  </si>
  <si>
    <t>Skolebyt - forventet hjemkomst kl. 14:00</t>
  </si>
  <si>
    <t>Skolehjemsamtaler</t>
  </si>
  <si>
    <t>Naturvidenskabsfestival</t>
  </si>
  <si>
    <t>Juleklippedag</t>
  </si>
  <si>
    <t>Luciaaften</t>
  </si>
  <si>
    <t>Juleafslutning 8-12:30</t>
  </si>
  <si>
    <t>Teateremneuge</t>
  </si>
  <si>
    <t>Forestilling 17-22</t>
  </si>
  <si>
    <t>Dansk fagdag</t>
  </si>
  <si>
    <t>Forældrene underviser</t>
  </si>
  <si>
    <t>Tværdag med naboskole</t>
  </si>
  <si>
    <t>Skolehjem</t>
  </si>
  <si>
    <t>Storlejr</t>
  </si>
  <si>
    <t>Storlejr - kl. 8:00</t>
  </si>
  <si>
    <t>Storlejr - forventet hjemkomst kl. 17</t>
  </si>
  <si>
    <t>Sidste skoledag</t>
  </si>
  <si>
    <t>Forberedelse</t>
  </si>
  <si>
    <t>Forberedelse fagdage - ikke de to emneuger</t>
  </si>
  <si>
    <t>MUS</t>
  </si>
  <si>
    <t>Tilsyn billedkunst</t>
  </si>
  <si>
    <t>17-06 timer til udbetaling kræver der er beskrevet et 17-06 arranement KOLONNE H</t>
  </si>
  <si>
    <t>Ulempetillæg på weekenddage - kræver der er sat kryds i weekendarbejde. KOLONNE I</t>
  </si>
  <si>
    <t>Ulempetillæg ændringer på weekenddage. Kræver der er sat kryds i ændring i timetal og at det er en weekeend. KOLONNE I OG S</t>
  </si>
  <si>
    <t>17-06 timer til afspadsering kræver der er beskrevet et 17-06 arrangement. KOLONNE H</t>
  </si>
  <si>
    <t>Ulempetillæg på weekenddage til afspadsering. Kræver der er sat kryds i weekendarb. KOLONNE I</t>
  </si>
  <si>
    <t>Ulempetillæg ændringer på hverdage. Kræver der er sat x i at der er sket en ændring på hverdage imellem 17-07. KOLONNE U</t>
  </si>
  <si>
    <t>Ulempetillæg ændringer på hverdage. Kræver der er sat x i at der er sket en ændring på hverdage imellem 17-06. KOLONNE U</t>
  </si>
  <si>
    <t xml:space="preserve">17-06 timer til udbetaling kræver der er beskrevet et 17-06 arranement </t>
  </si>
  <si>
    <t>Ulempetillæg ændringer på hverdage. Kræver der er sat kryds i at der er sket en ændring. KOLONNE U</t>
  </si>
  <si>
    <t>Ændring i weekendtimer KRÆVER X I KOLONNE I OG S</t>
  </si>
  <si>
    <t>Weekendtimer og weekendtillæg. KRÆVER X I KOLONNE I</t>
  </si>
  <si>
    <t>Ikke relevante weekendtimer</t>
  </si>
  <si>
    <t>Ikke relevante ændringer på weekendtimer og tillæg</t>
  </si>
  <si>
    <t>Ikke relevante weekendtimer og weekendtillæg</t>
  </si>
  <si>
    <t>Weekendtillæg på weekenddage</t>
  </si>
  <si>
    <t>Ændring i weekendtimer</t>
  </si>
  <si>
    <t>Ikke relevante ændringer i weekendtimer</t>
  </si>
  <si>
    <t>Weekendtimer på weekenddage</t>
  </si>
  <si>
    <r>
      <t xml:space="preserve">Ændring i arbejdstid imellem 07:30 - 17:00. </t>
    </r>
    <r>
      <rPr>
        <b/>
        <sz val="10"/>
        <rFont val="Arial"/>
        <family val="2"/>
      </rPr>
      <t>Hvis ændringen vedr. en weekenddag er det vigtigt at der er valgt et "X" i kolonne I.</t>
    </r>
  </si>
  <si>
    <t>Sommerfest 17-22</t>
  </si>
  <si>
    <t>Omsorgsdage</t>
  </si>
  <si>
    <r>
      <t xml:space="preserve">Vælg med "X" om der afholdes en omsorgsdag eller særlig feriedag samt dato </t>
    </r>
    <r>
      <rPr>
        <sz val="10"/>
        <rFont val="Arial"/>
        <family val="2"/>
      </rPr>
      <t>(Afholdelse af disse dage medfører IKKE en ændring i arbejdstiden, men registreres i dette skema).</t>
    </r>
  </si>
  <si>
    <t>Omsorgsdag</t>
  </si>
  <si>
    <t>Under hver måned er der en opgørelse pr. måned. Herudover er der optælling på den enkelte måneds ulempetillæg/weekendtillæg der skal til udbetaling, samt opgørelse over afspadsering. Er der varslet afspadsering oplyses afspadseringstimerne i dette skema. IKKE som en ændring i kalenderen. Udbetaling sker med den ansattes nettotimeløn. Sidst i dette værktøj findes en beregner til beregning af nettotimelønnen. Det er også muligt for at holde "regnskab" med skyldige særlige feriedage/feriefridage/6. ferieuge og evt. omsorgsdage. Læs noten herom i skemaet.</t>
  </si>
  <si>
    <t>Optælling af særlige feriedage og omsorgsdage</t>
  </si>
  <si>
    <t>under hver måned er der mulighed for at registrere skyldige særlige feriedage (feriefridage, 6. ferieuge) og omsorgsdage. Efter afskaffelse af seniorbonusdage med løn, er seniorbonusdagene ikke længere med.</t>
  </si>
  <si>
    <t>w</t>
  </si>
  <si>
    <t>Læsevejleder</t>
  </si>
  <si>
    <t>Arbejdstimer 17-06 på ikke relevante. Bruges også i sammentælling af 17-06 timer i arb.tidsoversigten</t>
  </si>
  <si>
    <t>Hvis der i kolonne "I" er valgt et kryds, betyder det at der er planlagt arbejde på en weekend dag eller der er registreret en ændring i arbejdstiden på weekenddagen i kolonne "S". Er der planlagt arbejde på en lørdag eller søndag må dagen ikke være en weekenddag eller skemadag, men skal vælges som feks. emnedag, pædagogiske dag eller en anden dag der ikke har betegnelsen "weekend eller skema 1-4". Hvis det er en weekenddag der ikke er planlagt arbejde på eller registreret en ændring i kolonne "S", må der ikke være valgt et "X" i kolonne I.</t>
  </si>
  <si>
    <t>Check derfor om der er kryds i kolonne "I". Er der et kryds skal weekenddagen være ændret til andet end weekenddag eller skema 1-4 dag, eller at der på weekendagen er registreret en ændring i kolonne "S".</t>
  </si>
  <si>
    <t>Arbejde på weekenddage:</t>
  </si>
  <si>
    <t xml:space="preserve">Fanen arbejdstidsoversigt er fanen hvor den ansattes arbejdstid samles og hvor resttimerne fordeles på skema 1-4 dage. </t>
  </si>
  <si>
    <t>Efter at månedskalenderne er udfyldt har vi nu styr på antal arbejdstimer på emnedage, fagdage, lejrskoledage, 17-06 arrangementer mm. Det eneste vi nu mangler at sætte timer på er skema 1-4, hvilket er det vi bruger resttiden på i fanen "arbejdstidsoversigt".</t>
  </si>
  <si>
    <t>Efter at fanerne "skemaoplysninger" og månedskalenderne er udfyldte har vi styr på arbejdstiden til undervisning, elevpausetid, opgaver der placeres senere på året, fagdage, emnedage, undervisningsdage, lejrskoledage, 17-06 timer mm. Det eneste vi nu mangler at redegøre for er den tid der er til øvrige opgaver. Altså de opgaver vi ikke allerede har planlagt. List de opgaver der fylder mere en 60 klokketimer på et skoleår og estimer tiden dertil. Se til om det timetal der er tilbage til opgaver under 60 klokketimer i celle K32 stemmer med de opgaver der listes herunder. Vurderes det at timerne stemmer med opgaverne er arbejdstidsplanlægningen færdig. Er der få få timer skal der fjernes opgaver eller beskæftigelsesgraden skal sættes op. Er der for mange timer skal der tillægges opgaver/timer.</t>
  </si>
  <si>
    <r>
      <rPr>
        <b/>
        <sz val="12"/>
        <color theme="1"/>
        <rFont val="Calibri"/>
        <family val="2"/>
        <scheme val="minor"/>
      </rPr>
      <t xml:space="preserve">Ændring på en weekenddag: </t>
    </r>
    <r>
      <rPr>
        <sz val="12"/>
        <color theme="1"/>
        <rFont val="Calibri"/>
        <family val="2"/>
        <scheme val="minor"/>
      </rPr>
      <t>Check her at der også er sat et "X" i kolonne "I". Ellers vælges "X" i kolonne I. Dette for at de arbejdstidsbestemte tillæg tæller rigtigt.</t>
    </r>
  </si>
  <si>
    <t>Sørg altid for at hvis der sker ændringer i arbejdstiden i forhold til det planlagte, skal ændringerne registreres i månederne august - juli. Se denne beskrivelse under opgørelse af et helt skoleår - denne fanes række 5 og 6.</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</si>
  <si>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</si>
  <si>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De særlige feriedage optjenes i et kalenderår og afvikles i det kommende ferieår maj-april (året efter). Der optjenes 0,42 dag pr. måneds ansættelse. Er man ansat under statens ferieaftale og været ansat hele optjeningsåret(2023), har man derfor ret til at afvikle 5 særlige feriedage til afvikling i ferieåret efter(1. maj 2024 - 30. april 2025).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2025, har ledelsen retten til at planlægge dagene med 30 dages varsel, således de er afviklet når ferieåret slutter d. 30. april 2025. Særlige feriedage der ikke er afviklet d. 30. april, skal udbetales eller aftales(skriftligt) til overførsel til det kommende ferieår. En evt. aftale om overførsels af særlige feriedage til et nyt ferieår skal være skriftlig aftalt senest d. 30. april 2025.</t>
  </si>
  <si>
    <t>Opgørelse af et skoleår eller en del af et skoleår:</t>
  </si>
  <si>
    <t>Arbejdstid til undervisningsdage der fordels i skemaerne herunder:</t>
  </si>
  <si>
    <t>Antal arbejdstimer på normale skemadage jf. Fanen arbejdstidsoversigt skema 3:</t>
  </si>
  <si>
    <t>Arbejdsdage uden undervisning (pædagogiske dage)</t>
  </si>
  <si>
    <t>Tid til øvrige opgaver(Forberedelse samt øvrige opgaver med og uden estimeret tid). Timerne fordeles i skemaet herunder.</t>
  </si>
  <si>
    <t>2. Øvrige opgaver</t>
  </si>
  <si>
    <t>Skjules</t>
  </si>
  <si>
    <t>Skjules række 58 til 66</t>
  </si>
  <si>
    <r>
      <t xml:space="preserve">Skema 2 </t>
    </r>
    <r>
      <rPr>
        <sz val="14"/>
        <color theme="4" tint="-0.499984740745262"/>
        <rFont val="Calibri"/>
        <family val="2"/>
        <scheme val="minor"/>
      </rPr>
      <t>viser hvordan arbejdstiden i normperioden fordeler sig, og hvor mange timer skolen skal planlægge på undervisningsdage (række 36). I række 43 beregnes en gennemsnitlig arbejdsdags længde der evt. kan bruges til at rammesætte arbejdstiden på skemadage i skema 3.</t>
    </r>
  </si>
  <si>
    <r>
      <rPr>
        <b/>
        <sz val="14"/>
        <color theme="4" tint="-0.499984740745262"/>
        <rFont val="Calibri"/>
        <family val="2"/>
        <scheme val="minor"/>
      </rPr>
      <t>Skema 1</t>
    </r>
    <r>
      <rPr>
        <sz val="14"/>
        <color theme="4" tint="-0.499984740745262"/>
        <rFont val="Calibri"/>
        <family val="2"/>
        <scheme val="minor"/>
      </rPr>
      <t xml:space="preserve"> beregner normperiodens samlede arbejdstid og hvordan norperiodens arbejdsdage fordeler sig. Hvis der planlægges for et helt skoleår, og læreren er på arbejde alle ugens 5 mulige arbejdsdage skal der oftes tælles 200 undervisningsdage i række 23.</t>
    </r>
  </si>
  <si>
    <r>
      <rPr>
        <b/>
        <sz val="14"/>
        <color theme="4" tint="-0.499984740745262"/>
        <rFont val="Calibri"/>
        <family val="2"/>
        <scheme val="minor"/>
      </rPr>
      <t xml:space="preserve">Skema 3 </t>
    </r>
    <r>
      <rPr>
        <sz val="14"/>
        <color theme="4" tint="-0.499984740745262"/>
        <rFont val="Calibri"/>
        <family val="2"/>
        <scheme val="minor"/>
      </rPr>
      <t>Tiden der er tilbage til skemadage (udregnet i skema 2), skal nu fordeles på skemadagene i skema 3. Skolen skal sørge for at bruge alt arbejdstiden hvorfor tallet i række 107 skal gå så meget i "nul" som muligt. Der må aldrig planlægges med flere timer end den ansatte er ansat til, derfor må række 107 ikke give et positivt tal. Få timer i undertid er ok.</t>
    </r>
  </si>
  <si>
    <r>
      <rPr>
        <b/>
        <sz val="14"/>
        <color theme="4" tint="-0.499984740745262"/>
        <rFont val="Calibri"/>
        <family val="2"/>
        <scheme val="minor"/>
      </rPr>
      <t>Skema 1</t>
    </r>
    <r>
      <rPr>
        <sz val="14"/>
        <color theme="4" tint="-0.499984740745262"/>
        <rFont val="Calibri"/>
        <family val="2"/>
        <scheme val="minor"/>
      </rPr>
      <t xml:space="preserve"> viser en fordeling af de opgaver der er planlagt i normperioden samt hvor mange timer der endnu ikke er planlagt og som skal fordeles til øvrige opgaver i skema 2.</t>
    </r>
  </si>
  <si>
    <r>
      <rPr>
        <b/>
        <sz val="14"/>
        <color theme="4" tint="-0.499984740745262"/>
        <rFont val="Calibri"/>
        <family val="2"/>
        <scheme val="minor"/>
      </rPr>
      <t>Skema 2:</t>
    </r>
    <r>
      <rPr>
        <sz val="14"/>
        <color theme="4" tint="-0.499984740745262"/>
        <rFont val="Calibri"/>
        <family val="2"/>
        <scheme val="minor"/>
      </rPr>
      <t xml:space="preserve"> List her tiden til forberedelse og opgaver der estimeres til min. 60 klokketimer for et helt skoleår samt øvrige opgaver. Vælg om tiden er estimeret eller aftalt lokalt. (Bruges kun som en information).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</si>
</sst>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51">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12"/>
      <color rgb="FF000000"/>
      <name val="Calibri"/>
      <family val="2"/>
      <scheme val="minor"/>
    </font>
    <font>
      <sz val="24"/>
      <color theme="1"/>
      <name val="Calibri"/>
      <family val="2"/>
      <scheme val="minor"/>
    </font>
    <font>
      <b/>
      <sz val="14"/>
      <color theme="1"/>
      <name val="Calibri"/>
      <family val="2"/>
      <scheme val="minor"/>
    </font>
    <font>
      <sz val="12"/>
      <color theme="0"/>
      <name val="Calibri"/>
      <family val="2"/>
      <scheme val="minor"/>
    </font>
    <font>
      <sz val="12"/>
      <color rgb="FFFF0000"/>
      <name val="Calibri"/>
      <family val="2"/>
      <scheme val="minor"/>
    </font>
    <font>
      <sz val="10"/>
      <color theme="1"/>
      <name val="Calibri"/>
      <family val="2"/>
    </font>
    <font>
      <i/>
      <sz val="12"/>
      <color theme="1"/>
      <name val="Calibri"/>
      <family val="2"/>
      <scheme val="minor"/>
    </font>
    <font>
      <i/>
      <sz val="10"/>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sz val="12"/>
      <name val="Calibri"/>
      <family val="2"/>
      <scheme val="minor"/>
    </font>
    <font>
      <b/>
      <sz val="10"/>
      <name val="Arial"/>
      <family val="2"/>
    </font>
    <font>
      <b/>
      <sz val="12"/>
      <name val="Arial"/>
      <family val="2"/>
    </font>
    <font>
      <b/>
      <sz val="12"/>
      <name val="Helvetica"/>
      <family val="2"/>
    </font>
    <font>
      <sz val="12"/>
      <color indexed="10"/>
      <name val="Arial"/>
      <family val="2"/>
    </font>
    <font>
      <i/>
      <sz val="14"/>
      <name val="Helvetica"/>
      <family val="2"/>
    </font>
    <font>
      <b/>
      <i/>
      <sz val="14"/>
      <name val="Helvetica"/>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i/>
      <sz val="16"/>
      <name val="Helvetica"/>
      <family val="2"/>
    </font>
    <font>
      <i/>
      <sz val="16"/>
      <color theme="1"/>
      <name val="Helvetica"/>
      <family val="2"/>
    </font>
    <font>
      <i/>
      <sz val="20"/>
      <name val="Helvetica"/>
      <family val="2"/>
    </font>
    <font>
      <i/>
      <sz val="9"/>
      <color theme="0"/>
      <name val="Helvetica"/>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i/>
      <sz val="14"/>
      <color theme="0"/>
      <name val="Helvetica"/>
      <family val="2"/>
    </font>
    <font>
      <sz val="12"/>
      <color theme="0"/>
      <name val="Arial"/>
      <family val="2"/>
    </font>
    <font>
      <i/>
      <sz val="14"/>
      <color rgb="FF000000"/>
      <name val="Helvetica"/>
      <family val="2"/>
    </font>
    <font>
      <i/>
      <sz val="14"/>
      <color rgb="FFFFFFFF"/>
      <name val="Helvetica"/>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sz val="14"/>
      <color rgb="FFFF0000"/>
      <name val="Calibri"/>
      <family val="2"/>
      <scheme val="minor"/>
    </font>
    <font>
      <b/>
      <sz val="12"/>
      <color theme="0"/>
      <name val="Calibri (Tekst)"/>
    </font>
    <font>
      <b/>
      <sz val="14"/>
      <color theme="0"/>
      <name val="Calibri"/>
      <family val="2"/>
      <scheme val="minor"/>
    </font>
    <font>
      <b/>
      <sz val="14"/>
      <color theme="0"/>
      <name val="Calibri (Tekst)"/>
    </font>
    <font>
      <sz val="24"/>
      <color theme="0"/>
      <name val="Calibri"/>
      <family val="2"/>
      <scheme val="minor"/>
    </font>
    <font>
      <sz val="1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10"/>
      <color theme="0"/>
      <name val="Helvetica"/>
      <family val="2"/>
    </font>
    <font>
      <sz val="36"/>
      <color theme="0"/>
      <name val="Calibri"/>
      <family val="2"/>
      <scheme val="minor"/>
    </font>
    <font>
      <sz val="28"/>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8"/>
      <color theme="0"/>
      <name val="Calibri"/>
      <family val="2"/>
      <scheme val="minor"/>
    </font>
    <font>
      <b/>
      <sz val="10"/>
      <color theme="7" tint="-0.249977111117893"/>
      <name val="Arial"/>
      <family val="2"/>
    </font>
    <font>
      <b/>
      <sz val="10"/>
      <color rgb="FFFF2F82"/>
      <name val="Arial"/>
      <family val="2"/>
    </font>
    <font>
      <b/>
      <sz val="10"/>
      <color rgb="FF00B050"/>
      <name val="Arial"/>
      <family val="2"/>
    </font>
    <font>
      <b/>
      <sz val="10"/>
      <color theme="5" tint="-0.249977111117893"/>
      <name val="Arial"/>
      <family val="2"/>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20"/>
      <color theme="1"/>
      <name val="Arial"/>
      <family val="2"/>
    </font>
    <font>
      <sz val="10"/>
      <color rgb="FF000000"/>
      <name val="Arial"/>
      <family val="2"/>
    </font>
    <font>
      <sz val="10"/>
      <color rgb="FFFFFFFF"/>
      <name val="Arial"/>
      <family val="2"/>
    </font>
    <font>
      <b/>
      <sz val="10"/>
      <color rgb="FF000000"/>
      <name val="Arial"/>
      <family val="2"/>
    </font>
    <font>
      <b/>
      <sz val="20"/>
      <color theme="4" tint="-0.499984740745262"/>
      <name val="Calibri"/>
      <family val="2"/>
      <scheme val="minor"/>
    </font>
    <font>
      <b/>
      <sz val="18"/>
      <color theme="4" tint="-0.499984740745262"/>
      <name val="Calibri"/>
      <family val="2"/>
      <scheme val="minor"/>
    </font>
    <font>
      <sz val="10"/>
      <color rgb="FF000000"/>
      <name val="Calibri"/>
      <family val="2"/>
      <scheme val="minor"/>
    </font>
    <font>
      <b/>
      <sz val="10"/>
      <color rgb="FF000000"/>
      <name val="Calibri"/>
      <family val="2"/>
    </font>
    <font>
      <sz val="10"/>
      <color rgb="FF000000"/>
      <name val="Calibri"/>
      <family val="2"/>
    </font>
    <font>
      <sz val="9"/>
      <color theme="0"/>
      <name val="Helvetica"/>
      <family val="2"/>
    </font>
    <font>
      <u/>
      <sz val="10"/>
      <name val="Arial"/>
      <family val="2"/>
    </font>
    <font>
      <b/>
      <sz val="18"/>
      <color theme="1"/>
      <name val="Calibri"/>
      <family val="2"/>
      <scheme val="minor"/>
    </font>
    <font>
      <b/>
      <sz val="12"/>
      <color theme="3" tint="-0.249977111117893"/>
      <name val="Arial"/>
      <family val="2"/>
    </font>
    <font>
      <sz val="12"/>
      <color rgb="FFC00000"/>
      <name val="Calibri"/>
      <family val="2"/>
      <scheme val="minor"/>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12"/>
      <color theme="1"/>
      <name val="Calibri (Tekst)"/>
    </font>
    <font>
      <sz val="8"/>
      <color theme="4" tint="-0.499984740745262"/>
      <name val="Arial"/>
      <family val="2"/>
    </font>
    <font>
      <sz val="12"/>
      <color theme="4" tint="-0.499984740745262"/>
      <name val="Arial"/>
      <family val="2"/>
    </font>
    <font>
      <sz val="8"/>
      <color rgb="FFC00000"/>
      <name val="Calibri"/>
      <family val="2"/>
      <scheme val="minor"/>
    </font>
    <font>
      <b/>
      <sz val="10"/>
      <color theme="3"/>
      <name val="Arial"/>
      <family val="2"/>
    </font>
    <font>
      <b/>
      <sz val="10"/>
      <color rgb="FFC00000"/>
      <name val="Arial"/>
      <family val="2"/>
    </font>
    <font>
      <sz val="11"/>
      <color rgb="FFC00000"/>
      <name val="Calibri"/>
      <family val="2"/>
      <scheme val="minor"/>
    </font>
    <font>
      <b/>
      <sz val="18"/>
      <color rgb="FF000000"/>
      <name val="Calibri"/>
      <family val="2"/>
      <scheme val="minor"/>
    </font>
    <font>
      <sz val="18"/>
      <color rgb="FF000000"/>
      <name val="Calibri"/>
      <family val="2"/>
      <scheme val="minor"/>
    </font>
    <font>
      <sz val="18"/>
      <name val="Arial"/>
      <family val="2"/>
    </font>
    <font>
      <b/>
      <sz val="12"/>
      <color theme="4" tint="-0.499984740745262"/>
      <name val="Calibri"/>
      <family val="2"/>
      <scheme val="minor"/>
    </font>
  </fonts>
  <fills count="4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gray125">
        <bgColor theme="0" tint="-0.14999847407452621"/>
      </patternFill>
    </fill>
    <fill>
      <patternFill patternType="gray125">
        <bgColor theme="0" tint="-4.9989318521683403E-2"/>
      </patternFill>
    </fill>
    <fill>
      <patternFill patternType="solid">
        <fgColor indexed="42"/>
        <bgColor indexed="64"/>
      </patternFill>
    </fill>
    <fill>
      <patternFill patternType="gray0625"/>
    </fill>
    <fill>
      <patternFill patternType="lightGray"/>
    </fill>
    <fill>
      <patternFill patternType="gray125">
        <bgColor theme="0"/>
      </patternFill>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auto="1"/>
        <bgColor indexed="64"/>
      </patternFill>
    </fill>
    <fill>
      <patternFill patternType="solid">
        <fgColor theme="1"/>
        <bgColor rgb="FF000000"/>
      </patternFill>
    </fill>
    <fill>
      <patternFill patternType="solid">
        <fgColor rgb="FFC4D79B"/>
        <bgColor rgb="FF000000"/>
      </patternFill>
    </fill>
    <fill>
      <patternFill patternType="solid">
        <fgColor rgb="FF0000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rgb="FFD9D9D9"/>
        <bgColor rgb="FF000000"/>
      </patternFill>
    </fill>
    <fill>
      <patternFill patternType="solid">
        <fgColor rgb="FFDCE6F1"/>
        <bgColor rgb="FF000000"/>
      </patternFill>
    </fill>
    <fill>
      <patternFill patternType="solid">
        <fgColor rgb="FFB8CCE4"/>
        <bgColor rgb="FF000000"/>
      </patternFill>
    </fill>
    <fill>
      <patternFill patternType="solid">
        <fgColor rgb="FF95B3D7"/>
        <bgColor rgb="FF000000"/>
      </patternFill>
    </fill>
    <fill>
      <patternFill patternType="solid">
        <fgColor rgb="FF366092"/>
        <bgColor rgb="FF000000"/>
      </patternFill>
    </fill>
    <fill>
      <patternFill patternType="solid">
        <fgColor rgb="FFFFFFFF"/>
        <bgColor rgb="FF000000"/>
      </patternFill>
    </fill>
    <fill>
      <patternFill patternType="solid">
        <fgColor rgb="FF244062"/>
        <bgColor rgb="FF000000"/>
      </patternFill>
    </fill>
    <fill>
      <patternFill patternType="solid">
        <fgColor theme="2"/>
        <bgColor indexed="64"/>
      </patternFill>
    </fill>
    <fill>
      <patternFill patternType="solid">
        <fgColor rgb="FFF6FF78"/>
        <bgColor indexed="64"/>
      </patternFill>
    </fill>
    <fill>
      <patternFill patternType="solid">
        <fgColor theme="4"/>
        <bgColor indexed="64"/>
      </patternFill>
    </fill>
  </fills>
  <borders count="9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style="thin">
        <color rgb="FF000000"/>
      </right>
      <top style="thin">
        <color auto="1"/>
      </top>
      <bottom style="thin">
        <color auto="1"/>
      </bottom>
      <diagonal/>
    </border>
    <border>
      <left/>
      <right style="thin">
        <color auto="1"/>
      </right>
      <top/>
      <bottom style="hair">
        <color auto="1"/>
      </bottom>
      <diagonal/>
    </border>
    <border>
      <left/>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medium">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indexed="64"/>
      </top>
      <bottom style="medium">
        <color indexed="64"/>
      </bottom>
      <diagonal/>
    </border>
    <border>
      <left style="thin">
        <color auto="1"/>
      </left>
      <right/>
      <top/>
      <bottom style="medium">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auto="1"/>
      </right>
      <top style="thin">
        <color auto="1"/>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style="medium">
        <color rgb="FF000000"/>
      </right>
      <top style="thin">
        <color indexed="64"/>
      </top>
      <bottom style="thin">
        <color indexed="64"/>
      </bottom>
      <diagonal/>
    </border>
    <border>
      <left/>
      <right style="thin">
        <color rgb="FF000000"/>
      </right>
      <top style="thin">
        <color auto="1"/>
      </top>
      <bottom style="medium">
        <color indexed="64"/>
      </bottom>
      <diagonal/>
    </border>
    <border>
      <left style="thin">
        <color rgb="FF000000"/>
      </left>
      <right/>
      <top style="thin">
        <color auto="1"/>
      </top>
      <bottom style="medium">
        <color indexed="64"/>
      </bottom>
      <diagonal/>
    </border>
    <border>
      <left style="thin">
        <color auto="1"/>
      </left>
      <right/>
      <top style="hair">
        <color auto="1"/>
      </top>
      <bottom style="hair">
        <color auto="1"/>
      </bottom>
      <diagonal/>
    </border>
    <border>
      <left style="thin">
        <color auto="1"/>
      </left>
      <right style="thin">
        <color auto="1"/>
      </right>
      <top/>
      <bottom style="medium">
        <color auto="1"/>
      </bottom>
      <diagonal/>
    </border>
    <border>
      <left style="medium">
        <color indexed="64"/>
      </left>
      <right style="medium">
        <color indexed="64"/>
      </right>
      <top style="medium">
        <color indexed="64"/>
      </top>
      <bottom style="medium">
        <color indexed="64"/>
      </bottom>
      <diagonal/>
    </border>
  </borders>
  <cellStyleXfs count="539">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2" fillId="0" borderId="0"/>
    <xf numFmtId="0" fontId="24" fillId="0" borderId="0"/>
    <xf numFmtId="0" fontId="28" fillId="0" borderId="0"/>
    <xf numFmtId="0" fontId="24" fillId="0" borderId="0" applyNumberFormat="0" applyFill="0" applyBorder="0" applyAlignment="0" applyProtection="0"/>
    <xf numFmtId="0" fontId="36" fillId="0" borderId="0" applyNumberFormat="0" applyFill="0" applyBorder="0" applyAlignment="0" applyProtection="0"/>
    <xf numFmtId="0" fontId="28" fillId="0" borderId="0" applyNumberFormat="0" applyFill="0" applyBorder="0" applyAlignment="0" applyProtection="0"/>
    <xf numFmtId="0" fontId="38" fillId="0" borderId="57" applyNumberFormat="0" applyFill="0" applyBorder="0" applyProtection="0">
      <alignment horizontal="center"/>
    </xf>
    <xf numFmtId="41" fontId="24" fillId="0" borderId="0" applyFont="0" applyFill="0" applyBorder="0" applyAlignment="0" applyProtection="0"/>
    <xf numFmtId="43" fontId="24" fillId="0" borderId="0" applyFont="0" applyFill="0" applyBorder="0" applyAlignment="0" applyProtection="0"/>
    <xf numFmtId="3" fontId="39" fillId="11" borderId="38" applyFill="0" applyBorder="0" applyAlignment="0">
      <alignment horizontal="center"/>
    </xf>
    <xf numFmtId="168" fontId="24" fillId="0" borderId="0" applyFont="0" applyFill="0" applyBorder="0" applyAlignment="0" applyProtection="0"/>
    <xf numFmtId="169" fontId="24" fillId="0" borderId="0" applyFont="0" applyFill="0" applyBorder="0" applyAlignment="0" applyProtection="0"/>
    <xf numFmtId="0" fontId="40" fillId="0" borderId="0" applyNumberFormat="0" applyFill="0" applyBorder="0" applyAlignment="0" applyProtection="0">
      <alignment vertical="top"/>
      <protection locked="0"/>
    </xf>
    <xf numFmtId="3" fontId="41" fillId="0" borderId="0" applyFont="0" applyFill="0" applyBorder="0" applyAlignment="0" applyProtection="0"/>
    <xf numFmtId="170" fontId="41" fillId="0" borderId="0" applyFont="0" applyFill="0" applyBorder="0" applyAlignment="0" applyProtection="0"/>
    <xf numFmtId="4" fontId="41" fillId="0" borderId="0" applyFont="0" applyFill="0" applyBorder="0" applyAlignment="0" applyProtection="0"/>
    <xf numFmtId="171" fontId="41" fillId="0" borderId="0" applyFont="0" applyFill="0" applyBorder="0" applyAlignment="0" applyProtection="0"/>
    <xf numFmtId="172" fontId="41" fillId="0" borderId="0" applyFont="0" applyFill="0" applyBorder="0" applyAlignment="0" applyProtection="0"/>
    <xf numFmtId="9" fontId="41" fillId="0" borderId="0" applyFont="0" applyFill="0" applyBorder="0" applyAlignment="0" applyProtection="0"/>
    <xf numFmtId="173" fontId="41" fillId="0" borderId="0" applyFont="0" applyFill="0" applyBorder="0" applyAlignment="0" applyProtection="0"/>
    <xf numFmtId="10" fontId="41" fillId="0" borderId="0" applyFont="0" applyFill="0" applyBorder="0" applyAlignment="0" applyProtection="0"/>
    <xf numFmtId="174" fontId="41" fillId="0" borderId="0" applyFont="0" applyFill="0" applyBorder="0" applyProtection="0">
      <alignment horizontal="center"/>
    </xf>
    <xf numFmtId="0" fontId="22" fillId="12" borderId="0" applyNumberFormat="0" applyFon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7"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8" fillId="0" borderId="0" applyNumberFormat="0" applyFill="0" applyBorder="0" applyAlignment="0" applyProtection="0"/>
  </cellStyleXfs>
  <cellXfs count="1475">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8" fillId="0" borderId="0" xfId="0" applyFont="1"/>
    <xf numFmtId="0" fontId="9" fillId="0" borderId="0" xfId="0" applyFont="1"/>
    <xf numFmtId="0" fontId="7" fillId="5" borderId="23" xfId="0" applyFont="1" applyFill="1" applyBorder="1"/>
    <xf numFmtId="0" fontId="7" fillId="5" borderId="24" xfId="0" applyFont="1" applyFill="1" applyBorder="1"/>
    <xf numFmtId="0" fontId="7" fillId="5" borderId="25" xfId="0" applyFont="1" applyFill="1" applyBorder="1"/>
    <xf numFmtId="0" fontId="7" fillId="4" borderId="20" xfId="0" applyFont="1" applyFill="1" applyBorder="1"/>
    <xf numFmtId="0" fontId="0" fillId="4" borderId="21" xfId="0" applyFill="1" applyBorder="1"/>
    <xf numFmtId="0" fontId="0" fillId="4" borderId="22" xfId="0" applyFill="1" applyBorder="1"/>
    <xf numFmtId="0" fontId="12" fillId="2" borderId="0" xfId="0" applyFont="1" applyFill="1" applyAlignment="1">
      <alignment horizontal="center" vertical="center"/>
    </xf>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12" fillId="0" borderId="33" xfId="0" applyFont="1" applyBorder="1" applyAlignment="1">
      <alignment horizontal="center" vertical="center"/>
    </xf>
    <xf numFmtId="0" fontId="0" fillId="5" borderId="1" xfId="0" applyFill="1" applyBorder="1" applyAlignment="1">
      <alignment horizontal="center"/>
    </xf>
    <xf numFmtId="0" fontId="12" fillId="0" borderId="0" xfId="0" applyFont="1" applyAlignment="1">
      <alignment horizontal="center" vertic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2" fontId="0" fillId="2" borderId="0" xfId="0" applyNumberFormat="1" applyFill="1" applyAlignment="1">
      <alignment horizontal="center"/>
    </xf>
    <xf numFmtId="1" fontId="0" fillId="5" borderId="1" xfId="0" applyNumberFormat="1" applyFill="1" applyBorder="1" applyAlignment="1">
      <alignment wrapText="1"/>
    </xf>
    <xf numFmtId="2" fontId="0" fillId="5" borderId="1" xfId="0" applyNumberFormat="1" applyFill="1" applyBorder="1" applyAlignment="1">
      <alignment horizontal="right" wrapText="1"/>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2" fontId="0" fillId="3" borderId="1" xfId="0" applyNumberFormat="1" applyFill="1" applyBorder="1" applyAlignment="1" applyProtection="1">
      <alignment horizontal="right" wrapText="1"/>
      <protection locked="0"/>
    </xf>
    <xf numFmtId="166" fontId="0" fillId="3" borderId="1" xfId="0" applyNumberFormat="1" applyFill="1" applyBorder="1" applyAlignment="1" applyProtection="1">
      <alignment horizontal="center" wrapText="1"/>
      <protection locked="0"/>
    </xf>
    <xf numFmtId="0" fontId="17" fillId="0" borderId="0" xfId="0" applyFont="1"/>
    <xf numFmtId="49" fontId="0" fillId="5" borderId="1" xfId="0" applyNumberFormat="1" applyFill="1" applyBorder="1" applyAlignment="1">
      <alignment horizontal="center" wrapText="1"/>
    </xf>
    <xf numFmtId="2" fontId="0" fillId="5" borderId="4" xfId="0" applyNumberFormat="1" applyFill="1" applyBorder="1" applyAlignment="1">
      <alignment horizontal="right"/>
    </xf>
    <xf numFmtId="0" fontId="0" fillId="5" borderId="9" xfId="0" applyFill="1" applyBorder="1" applyAlignment="1">
      <alignment horizontal="center" vertical="center" wrapText="1"/>
    </xf>
    <xf numFmtId="166" fontId="0" fillId="5" borderId="14" xfId="0" applyNumberFormat="1" applyFill="1" applyBorder="1"/>
    <xf numFmtId="166" fontId="0" fillId="5" borderId="17" xfId="0" applyNumberFormat="1" applyFill="1" applyBorder="1"/>
    <xf numFmtId="0" fontId="16" fillId="0" borderId="0" xfId="0" applyFont="1"/>
    <xf numFmtId="0" fontId="0" fillId="0" borderId="48" xfId="0" applyBorder="1"/>
    <xf numFmtId="0" fontId="7" fillId="0" borderId="0" xfId="0" applyFont="1"/>
    <xf numFmtId="0" fontId="0" fillId="0" borderId="49" xfId="0" applyBorder="1" applyAlignment="1">
      <alignment horizontal="center"/>
    </xf>
    <xf numFmtId="0" fontId="0" fillId="0" borderId="49" xfId="0" applyBorder="1"/>
    <xf numFmtId="164" fontId="0" fillId="3" borderId="1" xfId="343" applyFont="1" applyFill="1" applyBorder="1" applyProtection="1">
      <protection locked="0"/>
    </xf>
    <xf numFmtId="0" fontId="0" fillId="0" borderId="50" xfId="0" applyBorder="1" applyAlignment="1">
      <alignment horizontal="center"/>
    </xf>
    <xf numFmtId="0" fontId="0" fillId="0" borderId="50" xfId="0" applyBorder="1"/>
    <xf numFmtId="0" fontId="0" fillId="0" borderId="51" xfId="0" applyBorder="1"/>
    <xf numFmtId="0" fontId="7" fillId="0" borderId="5" xfId="0" applyFont="1" applyBorder="1"/>
    <xf numFmtId="164" fontId="7" fillId="0" borderId="1" xfId="343" applyFont="1" applyBorder="1"/>
    <xf numFmtId="164" fontId="0" fillId="0" borderId="1" xfId="343" applyFont="1" applyBorder="1"/>
    <xf numFmtId="164" fontId="0" fillId="0" borderId="0" xfId="343" applyFont="1"/>
    <xf numFmtId="0" fontId="0" fillId="5" borderId="14" xfId="0" applyFill="1" applyBorder="1" applyAlignment="1">
      <alignment horizontal="center" wrapText="1"/>
    </xf>
    <xf numFmtId="0" fontId="29" fillId="0" borderId="0" xfId="374" applyFont="1"/>
    <xf numFmtId="0" fontId="31" fillId="0" borderId="0" xfId="374" applyFont="1"/>
    <xf numFmtId="0" fontId="28" fillId="0" borderId="0" xfId="374"/>
    <xf numFmtId="0" fontId="22" fillId="10" borderId="55" xfId="372" applyFill="1" applyBorder="1" applyAlignment="1">
      <alignment horizontal="center"/>
    </xf>
    <xf numFmtId="0" fontId="22" fillId="0" borderId="2" xfId="372" applyBorder="1" applyAlignment="1">
      <alignment horizontal="center"/>
    </xf>
    <xf numFmtId="0" fontId="22" fillId="0" borderId="10" xfId="372" applyBorder="1" applyAlignment="1">
      <alignment horizontal="center"/>
    </xf>
    <xf numFmtId="0" fontId="22" fillId="0" borderId="10" xfId="372" applyBorder="1" applyProtection="1">
      <protection locked="0"/>
    </xf>
    <xf numFmtId="1" fontId="32" fillId="0" borderId="7" xfId="372" applyNumberFormat="1" applyFont="1" applyBorder="1" applyAlignment="1" applyProtection="1">
      <alignment horizontal="right" vertical="top" wrapText="1"/>
      <protection locked="0"/>
    </xf>
    <xf numFmtId="1" fontId="32" fillId="0" borderId="7" xfId="372" applyNumberFormat="1" applyFont="1" applyBorder="1" applyAlignment="1" applyProtection="1">
      <alignment vertical="top"/>
      <protection locked="0"/>
    </xf>
    <xf numFmtId="0" fontId="33" fillId="0" borderId="10" xfId="374" applyFont="1" applyBorder="1"/>
    <xf numFmtId="0" fontId="33" fillId="0" borderId="0" xfId="374" applyFont="1"/>
    <xf numFmtId="0" fontId="34" fillId="0" borderId="10" xfId="372" applyFont="1" applyBorder="1" applyAlignment="1">
      <alignment horizontal="center"/>
    </xf>
    <xf numFmtId="1" fontId="35" fillId="0" borderId="10" xfId="372" applyNumberFormat="1" applyFont="1" applyBorder="1" applyAlignment="1" applyProtection="1">
      <alignment vertical="top"/>
      <protection locked="0"/>
    </xf>
    <xf numFmtId="0" fontId="24" fillId="0" borderId="0" xfId="374" applyFont="1"/>
    <xf numFmtId="0" fontId="25" fillId="0" borderId="0" xfId="374" applyFont="1"/>
    <xf numFmtId="0" fontId="36" fillId="0" borderId="0" xfId="374" applyFont="1"/>
    <xf numFmtId="0" fontId="25" fillId="0" borderId="0" xfId="374" applyFont="1" applyAlignment="1">
      <alignment horizontal="left"/>
    </xf>
    <xf numFmtId="0" fontId="22" fillId="0" borderId="3" xfId="372" applyBorder="1" applyAlignment="1">
      <alignment horizontal="center"/>
    </xf>
    <xf numFmtId="0" fontId="22" fillId="0" borderId="0" xfId="372" applyAlignment="1">
      <alignment horizontal="center"/>
    </xf>
    <xf numFmtId="0" fontId="22" fillId="0" borderId="0" xfId="372" applyProtection="1">
      <protection locked="0"/>
    </xf>
    <xf numFmtId="1" fontId="32" fillId="0" borderId="46" xfId="372" applyNumberFormat="1" applyFont="1" applyBorder="1" applyAlignment="1" applyProtection="1">
      <alignment vertical="top"/>
      <protection locked="0"/>
    </xf>
    <xf numFmtId="175" fontId="0" fillId="2" borderId="4" xfId="0" applyNumberFormat="1" applyFill="1" applyBorder="1" applyAlignment="1">
      <alignment horizontal="center" wrapText="1"/>
    </xf>
    <xf numFmtId="175" fontId="0" fillId="2" borderId="1" xfId="0" applyNumberFormat="1" applyFill="1" applyBorder="1" applyAlignment="1">
      <alignment horizontal="center"/>
    </xf>
    <xf numFmtId="175" fontId="0" fillId="2" borderId="4" xfId="0" applyNumberFormat="1" applyFill="1" applyBorder="1" applyAlignment="1">
      <alignment horizontal="center"/>
    </xf>
    <xf numFmtId="2" fontId="42" fillId="2" borderId="21" xfId="0" applyNumberFormat="1" applyFont="1" applyFill="1" applyBorder="1" applyAlignment="1" applyProtection="1">
      <alignment horizontal="right" wrapText="1"/>
      <protection locked="0"/>
    </xf>
    <xf numFmtId="166" fontId="42" fillId="13" borderId="65" xfId="0" applyNumberFormat="1" applyFont="1" applyFill="1" applyBorder="1"/>
    <xf numFmtId="166" fontId="42" fillId="13" borderId="60" xfId="0" applyNumberFormat="1" applyFont="1" applyFill="1" applyBorder="1" applyProtection="1">
      <protection locked="0"/>
    </xf>
    <xf numFmtId="2" fontId="42" fillId="2" borderId="22" xfId="0" applyNumberFormat="1" applyFont="1" applyFill="1" applyBorder="1" applyAlignment="1" applyProtection="1">
      <alignment horizontal="right" wrapText="1"/>
      <protection locked="0"/>
    </xf>
    <xf numFmtId="0" fontId="24" fillId="0" borderId="0" xfId="505" applyFont="1"/>
    <xf numFmtId="0" fontId="22" fillId="0" borderId="0" xfId="372"/>
    <xf numFmtId="0" fontId="46" fillId="0" borderId="0" xfId="505" applyFont="1"/>
    <xf numFmtId="176" fontId="22" fillId="0" borderId="0" xfId="372" applyNumberFormat="1"/>
    <xf numFmtId="0" fontId="45" fillId="0" borderId="0" xfId="372" applyFont="1"/>
    <xf numFmtId="0" fontId="37" fillId="0" borderId="0" xfId="374" applyFont="1"/>
    <xf numFmtId="0" fontId="37" fillId="0" borderId="5" xfId="374" applyFont="1" applyBorder="1"/>
    <xf numFmtId="0" fontId="37" fillId="0" borderId="5" xfId="374" applyFont="1" applyBorder="1" applyAlignment="1">
      <alignment horizontal="right"/>
    </xf>
    <xf numFmtId="0" fontId="37" fillId="0" borderId="4" xfId="374" applyFont="1" applyBorder="1"/>
    <xf numFmtId="0" fontId="37" fillId="0" borderId="5" xfId="372" applyFont="1" applyBorder="1"/>
    <xf numFmtId="167" fontId="54" fillId="0" borderId="19" xfId="372" applyNumberFormat="1" applyFont="1" applyBorder="1" applyAlignment="1">
      <alignment horizontal="centerContinuous" vertical="top"/>
    </xf>
    <xf numFmtId="167" fontId="55" fillId="0" borderId="27" xfId="372" applyNumberFormat="1" applyFont="1" applyBorder="1" applyAlignment="1">
      <alignment horizontal="centerContinuous"/>
    </xf>
    <xf numFmtId="0" fontId="54" fillId="0" borderId="27" xfId="372" applyFont="1" applyBorder="1" applyAlignment="1">
      <alignment horizontal="centerContinuous"/>
    </xf>
    <xf numFmtId="0" fontId="55" fillId="0" borderId="34" xfId="372" applyFont="1" applyBorder="1" applyAlignment="1">
      <alignment horizontal="centerContinuous"/>
    </xf>
    <xf numFmtId="1" fontId="55" fillId="0" borderId="34" xfId="372" applyNumberFormat="1" applyFont="1" applyBorder="1" applyAlignment="1">
      <alignment horizontal="centerContinuous"/>
    </xf>
    <xf numFmtId="0" fontId="56" fillId="0" borderId="25" xfId="372" applyFont="1" applyBorder="1" applyAlignment="1">
      <alignment horizontal="centerContinuous" vertical="top"/>
    </xf>
    <xf numFmtId="0" fontId="23" fillId="0" borderId="24" xfId="372" applyFont="1" applyBorder="1" applyAlignment="1">
      <alignment horizontal="centerContinuous"/>
    </xf>
    <xf numFmtId="0" fontId="56" fillId="0" borderId="24" xfId="372" applyFont="1" applyBorder="1" applyAlignment="1">
      <alignment horizontal="centerContinuous"/>
    </xf>
    <xf numFmtId="0" fontId="56" fillId="0" borderId="24" xfId="372" applyFont="1" applyBorder="1" applyAlignment="1">
      <alignment horizontal="centerContinuous" vertical="top"/>
    </xf>
    <xf numFmtId="0" fontId="23" fillId="0" borderId="23" xfId="372" applyFont="1" applyBorder="1" applyAlignment="1">
      <alignment horizontal="centerContinuous"/>
    </xf>
    <xf numFmtId="1" fontId="35" fillId="0" borderId="0" xfId="372" applyNumberFormat="1" applyFont="1" applyAlignment="1" applyProtection="1">
      <alignment vertical="top"/>
      <protection locked="0"/>
    </xf>
    <xf numFmtId="0" fontId="34" fillId="0" borderId="0" xfId="372" applyFont="1" applyAlignment="1">
      <alignment horizontal="center"/>
    </xf>
    <xf numFmtId="0" fontId="22" fillId="0" borderId="71" xfId="372" applyBorder="1" applyProtection="1">
      <protection locked="0"/>
    </xf>
    <xf numFmtId="0" fontId="18" fillId="0" borderId="0" xfId="0" applyFont="1"/>
    <xf numFmtId="0" fontId="59" fillId="0" borderId="0" xfId="374" applyFont="1" applyAlignment="1">
      <alignment horizontal="center"/>
    </xf>
    <xf numFmtId="0" fontId="57" fillId="0" borderId="0" xfId="374" applyFont="1"/>
    <xf numFmtId="0" fontId="58" fillId="0" borderId="0" xfId="374" applyFont="1"/>
    <xf numFmtId="0" fontId="59" fillId="0" borderId="33" xfId="374" applyFont="1" applyBorder="1"/>
    <xf numFmtId="0" fontId="59" fillId="0" borderId="0" xfId="374" applyFont="1"/>
    <xf numFmtId="0" fontId="61" fillId="0" borderId="0" xfId="372" applyFont="1"/>
    <xf numFmtId="0" fontId="62" fillId="0" borderId="0" xfId="505" applyFont="1"/>
    <xf numFmtId="0" fontId="63" fillId="15" borderId="0" xfId="505" applyFont="1" applyFill="1"/>
    <xf numFmtId="0" fontId="64" fillId="0" borderId="0" xfId="505" applyFont="1" applyAlignment="1">
      <alignment horizontal="left"/>
    </xf>
    <xf numFmtId="0" fontId="64" fillId="0" borderId="0" xfId="505" applyFont="1"/>
    <xf numFmtId="0" fontId="65" fillId="0" borderId="0" xfId="372" applyFont="1"/>
    <xf numFmtId="0" fontId="22" fillId="0" borderId="74" xfId="372" applyBorder="1" applyProtection="1">
      <protection locked="0"/>
    </xf>
    <xf numFmtId="0" fontId="22" fillId="0" borderId="50" xfId="372" applyBorder="1" applyProtection="1">
      <protection locked="0"/>
    </xf>
    <xf numFmtId="1" fontId="50" fillId="10" borderId="55" xfId="372" applyNumberFormat="1" applyFont="1" applyFill="1" applyBorder="1" applyAlignment="1">
      <alignment horizontal="center"/>
    </xf>
    <xf numFmtId="1" fontId="50" fillId="10" borderId="7" xfId="372" applyNumberFormat="1" applyFont="1" applyFill="1" applyBorder="1" applyAlignment="1">
      <alignment horizontal="center"/>
    </xf>
    <xf numFmtId="0" fontId="22" fillId="0" borderId="5" xfId="372" applyBorder="1" applyAlignment="1">
      <alignment horizontal="center"/>
    </xf>
    <xf numFmtId="0" fontId="51" fillId="10" borderId="5" xfId="372" applyFont="1" applyFill="1" applyBorder="1" applyProtection="1">
      <protection locked="0"/>
    </xf>
    <xf numFmtId="1" fontId="49" fillId="10" borderId="6" xfId="372" applyNumberFormat="1" applyFont="1" applyFill="1" applyBorder="1" applyAlignment="1">
      <alignment horizontal="right" vertical="top" wrapText="1"/>
    </xf>
    <xf numFmtId="0" fontId="47" fillId="0" borderId="75" xfId="374" applyFont="1" applyBorder="1"/>
    <xf numFmtId="0" fontId="37" fillId="0" borderId="6" xfId="374" applyFont="1" applyBorder="1" applyAlignment="1">
      <alignment horizontal="right"/>
    </xf>
    <xf numFmtId="0" fontId="37" fillId="4" borderId="4" xfId="374" applyFont="1" applyFill="1" applyBorder="1"/>
    <xf numFmtId="0" fontId="37" fillId="4" borderId="5" xfId="374" applyFont="1" applyFill="1" applyBorder="1"/>
    <xf numFmtId="0" fontId="53" fillId="4" borderId="5" xfId="374" applyFont="1" applyFill="1" applyBorder="1" applyAlignment="1">
      <alignment horizontal="right"/>
    </xf>
    <xf numFmtId="0" fontId="37" fillId="4" borderId="6" xfId="374" applyFont="1" applyFill="1" applyBorder="1" applyAlignment="1">
      <alignment horizontal="right"/>
    </xf>
    <xf numFmtId="0" fontId="37" fillId="14" borderId="4" xfId="374" applyFont="1" applyFill="1" applyBorder="1"/>
    <xf numFmtId="0" fontId="37" fillId="14" borderId="5" xfId="374" applyFont="1" applyFill="1" applyBorder="1"/>
    <xf numFmtId="0" fontId="37" fillId="14" borderId="5" xfId="374" applyFont="1" applyFill="1" applyBorder="1" applyAlignment="1">
      <alignment horizontal="right"/>
    </xf>
    <xf numFmtId="0" fontId="37" fillId="14" borderId="6" xfId="374" applyFont="1" applyFill="1" applyBorder="1" applyAlignment="1">
      <alignment horizontal="right"/>
    </xf>
    <xf numFmtId="0" fontId="37" fillId="15" borderId="4" xfId="374" applyFont="1" applyFill="1" applyBorder="1"/>
    <xf numFmtId="0" fontId="37" fillId="15" borderId="5" xfId="374" applyFont="1" applyFill="1" applyBorder="1"/>
    <xf numFmtId="0" fontId="37" fillId="15" borderId="5" xfId="374" applyFont="1" applyFill="1" applyBorder="1" applyAlignment="1">
      <alignment horizontal="right"/>
    </xf>
    <xf numFmtId="0" fontId="37" fillId="15" borderId="6" xfId="374" applyFont="1" applyFill="1" applyBorder="1" applyAlignment="1">
      <alignment horizontal="right"/>
    </xf>
    <xf numFmtId="0" fontId="37" fillId="3" borderId="4" xfId="374" applyFont="1" applyFill="1" applyBorder="1"/>
    <xf numFmtId="0" fontId="37" fillId="3" borderId="5" xfId="374" applyFont="1" applyFill="1" applyBorder="1"/>
    <xf numFmtId="0" fontId="37" fillId="16" borderId="4" xfId="374" applyFont="1" applyFill="1" applyBorder="1"/>
    <xf numFmtId="0" fontId="37" fillId="16" borderId="5" xfId="374" applyFont="1" applyFill="1" applyBorder="1"/>
    <xf numFmtId="0" fontId="53" fillId="16" borderId="5" xfId="374" applyFont="1" applyFill="1" applyBorder="1" applyAlignment="1">
      <alignment horizontal="right"/>
    </xf>
    <xf numFmtId="0" fontId="37" fillId="3" borderId="5" xfId="374" applyFont="1" applyFill="1" applyBorder="1" applyAlignment="1">
      <alignment horizontal="right"/>
    </xf>
    <xf numFmtId="0" fontId="37" fillId="3" borderId="6" xfId="374" applyFont="1" applyFill="1" applyBorder="1"/>
    <xf numFmtId="0" fontId="37" fillId="21" borderId="4" xfId="374" applyFont="1" applyFill="1" applyBorder="1"/>
    <xf numFmtId="0" fontId="37" fillId="21" borderId="5" xfId="374" applyFont="1" applyFill="1" applyBorder="1"/>
    <xf numFmtId="0" fontId="37" fillId="21" borderId="5" xfId="374" applyFont="1" applyFill="1" applyBorder="1" applyAlignment="1">
      <alignment horizontal="right"/>
    </xf>
    <xf numFmtId="0" fontId="37" fillId="21" borderId="6" xfId="374" applyFont="1" applyFill="1" applyBorder="1" applyAlignment="1">
      <alignment horizontal="right"/>
    </xf>
    <xf numFmtId="0" fontId="68" fillId="22" borderId="4" xfId="374" applyFont="1" applyFill="1" applyBorder="1"/>
    <xf numFmtId="0" fontId="68" fillId="22" borderId="5" xfId="374" applyFont="1" applyFill="1" applyBorder="1"/>
    <xf numFmtId="0" fontId="68" fillId="22" borderId="5" xfId="372" applyFont="1" applyFill="1" applyBorder="1"/>
    <xf numFmtId="0" fontId="68" fillId="22" borderId="5" xfId="374" applyFont="1" applyFill="1" applyBorder="1" applyAlignment="1">
      <alignment horizontal="right"/>
    </xf>
    <xf numFmtId="0" fontId="68" fillId="22" borderId="6" xfId="374" applyFont="1" applyFill="1" applyBorder="1" applyAlignment="1">
      <alignment horizontal="right"/>
    </xf>
    <xf numFmtId="0" fontId="37" fillId="0" borderId="23" xfId="374" applyFont="1" applyBorder="1"/>
    <xf numFmtId="0" fontId="37" fillId="0" borderId="24" xfId="374" applyFont="1" applyBorder="1"/>
    <xf numFmtId="0" fontId="37" fillId="0" borderId="24" xfId="374" applyFont="1" applyBorder="1" applyAlignment="1">
      <alignment horizontal="right"/>
    </xf>
    <xf numFmtId="0" fontId="37" fillId="0" borderId="25" xfId="374" applyFont="1" applyBorder="1" applyAlignment="1">
      <alignment horizontal="right"/>
    </xf>
    <xf numFmtId="0" fontId="48" fillId="5" borderId="29" xfId="374" applyFont="1" applyFill="1" applyBorder="1"/>
    <xf numFmtId="0" fontId="48" fillId="5" borderId="43" xfId="374" applyFont="1" applyFill="1" applyBorder="1"/>
    <xf numFmtId="0" fontId="47" fillId="14" borderId="5" xfId="374" applyFont="1" applyFill="1" applyBorder="1"/>
    <xf numFmtId="0" fontId="47" fillId="16" borderId="40" xfId="374" applyFont="1" applyFill="1" applyBorder="1"/>
    <xf numFmtId="0" fontId="47" fillId="3" borderId="75" xfId="374" applyFont="1" applyFill="1" applyBorder="1"/>
    <xf numFmtId="0" fontId="48" fillId="5" borderId="44" xfId="374" applyFont="1" applyFill="1" applyBorder="1"/>
    <xf numFmtId="0" fontId="47" fillId="21" borderId="39" xfId="374" applyFont="1" applyFill="1" applyBorder="1"/>
    <xf numFmtId="0" fontId="33" fillId="23" borderId="0" xfId="374" applyFont="1" applyFill="1"/>
    <xf numFmtId="0" fontId="60" fillId="23" borderId="0" xfId="374" applyFont="1" applyFill="1"/>
    <xf numFmtId="0" fontId="60" fillId="23" borderId="45" xfId="374" applyFont="1" applyFill="1" applyBorder="1"/>
    <xf numFmtId="0" fontId="47" fillId="4" borderId="13" xfId="374" applyFont="1" applyFill="1" applyBorder="1"/>
    <xf numFmtId="0" fontId="37" fillId="16" borderId="6" xfId="374" applyFont="1" applyFill="1" applyBorder="1" applyAlignment="1">
      <alignment horizontal="right"/>
    </xf>
    <xf numFmtId="0" fontId="65" fillId="22" borderId="0" xfId="372" applyFont="1" applyFill="1"/>
    <xf numFmtId="0" fontId="68" fillId="24" borderId="5" xfId="0" applyFont="1" applyFill="1" applyBorder="1"/>
    <xf numFmtId="0" fontId="68" fillId="24" borderId="5" xfId="0" applyFont="1" applyFill="1" applyBorder="1" applyAlignment="1">
      <alignment horizontal="right"/>
    </xf>
    <xf numFmtId="0" fontId="68" fillId="24" borderId="4" xfId="0" applyFont="1" applyFill="1" applyBorder="1"/>
    <xf numFmtId="0" fontId="70" fillId="26" borderId="5" xfId="0" applyFont="1" applyFill="1" applyBorder="1"/>
    <xf numFmtId="0" fontId="24" fillId="2" borderId="0" xfId="505" applyFont="1" applyFill="1"/>
    <xf numFmtId="0" fontId="69" fillId="25" borderId="13" xfId="0" applyFont="1" applyFill="1" applyBorder="1"/>
    <xf numFmtId="0" fontId="0" fillId="0" borderId="0" xfId="343" applyNumberFormat="1" applyFont="1"/>
    <xf numFmtId="0" fontId="37" fillId="0" borderId="0" xfId="505" applyAlignment="1">
      <alignment horizontal="justify" vertical="justify"/>
    </xf>
    <xf numFmtId="0" fontId="37" fillId="0" borderId="0" xfId="505" applyAlignment="1">
      <alignment horizontal="justify" vertical="justify" wrapText="1"/>
    </xf>
    <xf numFmtId="0" fontId="44" fillId="0" borderId="0" xfId="505" applyFont="1" applyAlignment="1">
      <alignment horizontal="justify" vertical="justify"/>
    </xf>
    <xf numFmtId="0" fontId="37" fillId="16" borderId="0" xfId="505" applyFill="1" applyAlignment="1">
      <alignment horizontal="justify" vertical="justify" wrapText="1"/>
    </xf>
    <xf numFmtId="0" fontId="37" fillId="17" borderId="0" xfId="505" applyFill="1" applyAlignment="1">
      <alignment horizontal="justify" vertical="justify" wrapText="1"/>
    </xf>
    <xf numFmtId="0" fontId="37" fillId="20" borderId="0" xfId="505" applyFill="1" applyAlignment="1">
      <alignment horizontal="justify" vertical="justify" wrapText="1"/>
    </xf>
    <xf numFmtId="0" fontId="37" fillId="3" borderId="0" xfId="505" applyFill="1" applyAlignment="1">
      <alignment horizontal="justify" vertical="justify" wrapText="1"/>
    </xf>
    <xf numFmtId="0" fontId="44" fillId="18" borderId="0" xfId="505" applyFont="1" applyFill="1" applyAlignment="1">
      <alignment horizontal="justify" vertical="justify" wrapText="1"/>
    </xf>
    <xf numFmtId="0" fontId="37" fillId="2" borderId="0" xfId="505" applyFill="1" applyAlignment="1">
      <alignment horizontal="justify" vertical="justify" wrapText="1"/>
    </xf>
    <xf numFmtId="0" fontId="72" fillId="22" borderId="0" xfId="505" applyFont="1" applyFill="1" applyAlignment="1">
      <alignment horizontal="justify" vertical="justify" wrapText="1"/>
    </xf>
    <xf numFmtId="0" fontId="68" fillId="22" borderId="0" xfId="505" applyFont="1" applyFill="1" applyAlignment="1">
      <alignment horizontal="justify" vertical="justify" wrapText="1"/>
    </xf>
    <xf numFmtId="0" fontId="37" fillId="2" borderId="0" xfId="505" applyFill="1" applyAlignment="1">
      <alignment horizontal="left" vertical="justify" wrapText="1"/>
    </xf>
    <xf numFmtId="0" fontId="22" fillId="2" borderId="2" xfId="372" applyFill="1" applyBorder="1" applyAlignment="1">
      <alignment horizontal="center"/>
    </xf>
    <xf numFmtId="0" fontId="22" fillId="2" borderId="10" xfId="372" applyFill="1" applyBorder="1" applyAlignment="1">
      <alignment horizontal="center"/>
    </xf>
    <xf numFmtId="0" fontId="22" fillId="2" borderId="10" xfId="372" applyFill="1" applyBorder="1" applyProtection="1">
      <protection locked="0"/>
    </xf>
    <xf numFmtId="0" fontId="74" fillId="15" borderId="0" xfId="0" applyFont="1" applyFill="1"/>
    <xf numFmtId="0" fontId="75" fillId="15" borderId="0" xfId="0" applyFont="1" applyFill="1"/>
    <xf numFmtId="0" fontId="75" fillId="15" borderId="0" xfId="0" applyFont="1" applyFill="1" applyAlignment="1">
      <alignment wrapText="1"/>
    </xf>
    <xf numFmtId="0" fontId="75" fillId="15" borderId="0" xfId="0" applyFont="1" applyFill="1" applyAlignment="1">
      <alignment horizontal="left" wrapText="1"/>
    </xf>
    <xf numFmtId="0" fontId="22" fillId="2" borderId="3" xfId="372" applyFill="1" applyBorder="1" applyAlignment="1">
      <alignment horizontal="center"/>
    </xf>
    <xf numFmtId="0" fontId="22" fillId="2" borderId="0" xfId="372" applyFill="1" applyAlignment="1">
      <alignment horizontal="center"/>
    </xf>
    <xf numFmtId="0" fontId="22" fillId="2" borderId="0" xfId="372" applyFill="1" applyProtection="1">
      <protection locked="0"/>
    </xf>
    <xf numFmtId="1" fontId="32" fillId="2" borderId="46" xfId="372" applyNumberFormat="1" applyFont="1" applyFill="1" applyBorder="1" applyAlignment="1" applyProtection="1">
      <alignment vertical="top"/>
      <protection locked="0"/>
    </xf>
    <xf numFmtId="1" fontId="32" fillId="2" borderId="7" xfId="372" applyNumberFormat="1" applyFont="1" applyFill="1" applyBorder="1" applyAlignment="1" applyProtection="1">
      <alignment vertical="top"/>
      <protection locked="0"/>
    </xf>
    <xf numFmtId="0" fontId="18" fillId="0" borderId="0" xfId="0" applyFont="1" applyAlignment="1">
      <alignment horizontal="center"/>
    </xf>
    <xf numFmtId="177" fontId="0" fillId="0" borderId="0" xfId="0" applyNumberFormat="1"/>
    <xf numFmtId="2" fontId="22" fillId="0" borderId="0" xfId="372" applyNumberFormat="1"/>
    <xf numFmtId="0" fontId="37" fillId="0" borderId="0" xfId="372" applyFont="1" applyAlignment="1">
      <alignment horizontal="center" wrapText="1"/>
    </xf>
    <xf numFmtId="2" fontId="22" fillId="0" borderId="10" xfId="372" applyNumberFormat="1" applyBorder="1" applyAlignment="1" applyProtection="1">
      <alignment horizontal="left"/>
      <protection locked="0"/>
    </xf>
    <xf numFmtId="2" fontId="22" fillId="2" borderId="0" xfId="372" applyNumberFormat="1" applyFill="1" applyAlignment="1" applyProtection="1">
      <alignment horizontal="left"/>
      <protection locked="0"/>
    </xf>
    <xf numFmtId="0" fontId="0" fillId="2" borderId="0" xfId="0" applyFill="1" applyAlignment="1">
      <alignment horizontal="left"/>
    </xf>
    <xf numFmtId="0" fontId="0" fillId="2" borderId="0" xfId="0" applyFill="1" applyAlignment="1">
      <alignment horizontal="center" vertical="center"/>
    </xf>
    <xf numFmtId="166" fontId="0" fillId="2" borderId="0" xfId="0" applyNumberFormat="1" applyFill="1" applyAlignment="1" applyProtection="1">
      <alignment horizontal="center"/>
      <protection locked="0"/>
    </xf>
    <xf numFmtId="166" fontId="0" fillId="2" borderId="0" xfId="0" applyNumberFormat="1" applyFill="1" applyAlignment="1">
      <alignment horizontal="center"/>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4" fontId="0" fillId="4" borderId="52" xfId="0" applyNumberFormat="1" applyFill="1" applyBorder="1" applyAlignment="1">
      <alignment horizontal="right"/>
    </xf>
    <xf numFmtId="2" fontId="0" fillId="5" borderId="14" xfId="0" applyNumberFormat="1" applyFill="1" applyBorder="1" applyAlignment="1">
      <alignment horizontal="right"/>
    </xf>
    <xf numFmtId="49" fontId="0" fillId="2" borderId="0" xfId="0" applyNumberFormat="1" applyFill="1" applyAlignment="1">
      <alignment horizontal="left" wrapText="1"/>
    </xf>
    <xf numFmtId="0" fontId="0" fillId="5" borderId="1" xfId="0" applyFill="1" applyBorder="1" applyAlignment="1">
      <alignment horizontal="center" wrapText="1"/>
    </xf>
    <xf numFmtId="0" fontId="1" fillId="5" borderId="4" xfId="0" applyFont="1" applyFill="1" applyBorder="1" applyAlignment="1">
      <alignment horizontal="center" wrapText="1"/>
    </xf>
    <xf numFmtId="0" fontId="18" fillId="0" borderId="0" xfId="0" applyFont="1" applyAlignment="1">
      <alignment wrapText="1"/>
    </xf>
    <xf numFmtId="2" fontId="18" fillId="0" borderId="0" xfId="0" applyNumberFormat="1" applyFont="1"/>
    <xf numFmtId="0" fontId="79" fillId="0" borderId="0" xfId="372" applyFont="1"/>
    <xf numFmtId="0" fontId="18" fillId="2" borderId="0" xfId="0" applyFont="1" applyFill="1"/>
    <xf numFmtId="0" fontId="22" fillId="0" borderId="0" xfId="372" applyAlignment="1">
      <alignment horizontal="left"/>
    </xf>
    <xf numFmtId="2" fontId="0" fillId="5" borderId="64" xfId="0" applyNumberFormat="1" applyFill="1" applyBorder="1" applyAlignment="1">
      <alignment horizontal="right"/>
    </xf>
    <xf numFmtId="0" fontId="0" fillId="0" borderId="0" xfId="0" applyAlignment="1">
      <alignment horizontal="center" wrapText="1"/>
    </xf>
    <xf numFmtId="2" fontId="7" fillId="0" borderId="0" xfId="0" applyNumberFormat="1" applyFont="1"/>
    <xf numFmtId="0" fontId="0" fillId="5" borderId="4" xfId="0" applyFill="1" applyBorder="1" applyAlignment="1">
      <alignment horizontal="center" wrapText="1"/>
    </xf>
    <xf numFmtId="2" fontId="0" fillId="5" borderId="4" xfId="0" applyNumberFormat="1" applyFill="1" applyBorder="1" applyAlignment="1">
      <alignment horizontal="right" wrapText="1"/>
    </xf>
    <xf numFmtId="2" fontId="42" fillId="2" borderId="82" xfId="0" applyNumberFormat="1" applyFont="1" applyFill="1" applyBorder="1" applyAlignment="1" applyProtection="1">
      <alignment horizontal="right" wrapText="1"/>
      <protection locked="0"/>
    </xf>
    <xf numFmtId="2" fontId="22" fillId="0" borderId="0" xfId="372" applyNumberFormat="1" applyAlignment="1" applyProtection="1">
      <alignment horizontal="left"/>
      <protection locked="0"/>
    </xf>
    <xf numFmtId="0" fontId="0" fillId="5" borderId="0" xfId="0" applyFill="1"/>
    <xf numFmtId="0" fontId="43" fillId="0" borderId="0" xfId="372" applyFont="1" applyAlignment="1">
      <alignment horizontal="left"/>
    </xf>
    <xf numFmtId="0" fontId="22" fillId="0" borderId="81" xfId="372" applyBorder="1" applyAlignment="1">
      <alignment horizontal="centerContinuous"/>
    </xf>
    <xf numFmtId="0" fontId="52" fillId="0" borderId="60" xfId="372" applyFont="1" applyBorder="1" applyAlignment="1">
      <alignment horizontal="centerContinuous"/>
    </xf>
    <xf numFmtId="0" fontId="52" fillId="0" borderId="61" xfId="372" applyFont="1" applyBorder="1" applyAlignment="1">
      <alignment horizontal="centerContinuous"/>
    </xf>
    <xf numFmtId="0" fontId="22" fillId="0" borderId="13" xfId="372" applyBorder="1" applyAlignment="1">
      <alignment horizontal="center"/>
    </xf>
    <xf numFmtId="0" fontId="79" fillId="2" borderId="0" xfId="372" applyFont="1" applyFill="1"/>
    <xf numFmtId="2" fontId="79" fillId="2" borderId="0" xfId="372" applyNumberFormat="1" applyFont="1" applyFill="1" applyAlignment="1" applyProtection="1">
      <alignment horizontal="left"/>
      <protection locked="0"/>
    </xf>
    <xf numFmtId="0" fontId="0" fillId="4" borderId="0" xfId="0" applyFill="1"/>
    <xf numFmtId="2" fontId="0" fillId="4" borderId="0" xfId="0" applyNumberFormat="1"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66" fillId="2" borderId="0" xfId="372" applyFont="1" applyFill="1"/>
    <xf numFmtId="2" fontId="22" fillId="2" borderId="1" xfId="372" applyNumberFormat="1" applyFill="1" applyBorder="1" applyAlignment="1">
      <alignment horizontal="right"/>
    </xf>
    <xf numFmtId="0" fontId="22" fillId="0" borderId="1" xfId="372" applyBorder="1" applyAlignment="1">
      <alignment horizontal="right"/>
    </xf>
    <xf numFmtId="0" fontId="43" fillId="0" borderId="0" xfId="372" applyFont="1"/>
    <xf numFmtId="0" fontId="66" fillId="0" borderId="0" xfId="372" applyFont="1"/>
    <xf numFmtId="2" fontId="22" fillId="0" borderId="1" xfId="372" applyNumberFormat="1" applyBorder="1" applyAlignment="1">
      <alignment horizontal="right"/>
    </xf>
    <xf numFmtId="0" fontId="66" fillId="30" borderId="15" xfId="372" applyFont="1" applyFill="1" applyBorder="1"/>
    <xf numFmtId="0" fontId="55" fillId="0" borderId="0" xfId="372" applyFont="1" applyAlignment="1">
      <alignment wrapText="1"/>
    </xf>
    <xf numFmtId="0" fontId="83" fillId="2" borderId="0" xfId="0" applyFont="1" applyFill="1"/>
    <xf numFmtId="0" fontId="71" fillId="2" borderId="0" xfId="0" applyFont="1" applyFill="1" applyAlignment="1">
      <alignment horizontal="center" vertical="center"/>
    </xf>
    <xf numFmtId="166" fontId="71" fillId="2" borderId="0" xfId="0" applyNumberFormat="1" applyFont="1" applyFill="1" applyAlignment="1" applyProtection="1">
      <alignment horizontal="center"/>
      <protection locked="0"/>
    </xf>
    <xf numFmtId="166" fontId="71" fillId="2" borderId="0" xfId="0" applyNumberFormat="1" applyFont="1" applyFill="1" applyAlignment="1">
      <alignment horizontal="center"/>
    </xf>
    <xf numFmtId="0" fontId="71" fillId="2" borderId="0" xfId="0" applyFont="1" applyFill="1" applyAlignment="1">
      <alignment horizontal="left"/>
    </xf>
    <xf numFmtId="0" fontId="71" fillId="2" borderId="0" xfId="0" applyFont="1" applyFill="1"/>
    <xf numFmtId="0" fontId="76" fillId="34" borderId="22" xfId="0" applyFont="1" applyFill="1" applyBorder="1" applyAlignment="1">
      <alignment horizontal="right"/>
    </xf>
    <xf numFmtId="166" fontId="0" fillId="5" borderId="27" xfId="0" applyNumberFormat="1" applyFill="1" applyBorder="1" applyAlignment="1">
      <alignment horizontal="left"/>
    </xf>
    <xf numFmtId="2" fontId="0" fillId="5" borderId="14" xfId="0" applyNumberFormat="1" applyFill="1" applyBorder="1"/>
    <xf numFmtId="2" fontId="76" fillId="31" borderId="25" xfId="0" applyNumberFormat="1" applyFont="1" applyFill="1" applyBorder="1"/>
    <xf numFmtId="2" fontId="7" fillId="4" borderId="22" xfId="0" applyNumberFormat="1" applyFont="1" applyFill="1" applyBorder="1"/>
    <xf numFmtId="2" fontId="76" fillId="35" borderId="1" xfId="0" applyNumberFormat="1" applyFont="1" applyFill="1" applyBorder="1" applyAlignment="1">
      <alignment horizontal="center" wrapText="1"/>
    </xf>
    <xf numFmtId="2" fontId="76" fillId="35" borderId="1" xfId="0" applyNumberFormat="1" applyFont="1" applyFill="1" applyBorder="1" applyAlignment="1">
      <alignment horizontal="center"/>
    </xf>
    <xf numFmtId="2" fontId="76" fillId="35" borderId="14" xfId="0" applyNumberFormat="1" applyFont="1" applyFill="1" applyBorder="1" applyAlignment="1">
      <alignment horizontal="center"/>
    </xf>
    <xf numFmtId="2" fontId="0" fillId="4" borderId="1" xfId="0" applyNumberFormat="1" applyFill="1" applyBorder="1" applyAlignment="1">
      <alignment horizontal="center"/>
    </xf>
    <xf numFmtId="0" fontId="61" fillId="0" borderId="0" xfId="372" applyFont="1" applyAlignment="1">
      <alignment wrapText="1"/>
    </xf>
    <xf numFmtId="0" fontId="22" fillId="0" borderId="0" xfId="372" applyAlignment="1">
      <alignment wrapText="1"/>
    </xf>
    <xf numFmtId="0" fontId="22" fillId="5" borderId="5" xfId="372" applyFill="1" applyBorder="1" applyAlignment="1">
      <alignment wrapText="1"/>
    </xf>
    <xf numFmtId="0" fontId="17" fillId="36" borderId="33" xfId="0" applyFont="1" applyFill="1" applyBorder="1"/>
    <xf numFmtId="0" fontId="17" fillId="36"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7" fillId="36" borderId="36" xfId="0" applyFont="1" applyFill="1" applyBorder="1" applyAlignment="1">
      <alignment horizontal="center" wrapText="1"/>
    </xf>
    <xf numFmtId="0" fontId="17" fillId="36" borderId="60" xfId="0" applyFont="1" applyFill="1" applyBorder="1" applyAlignment="1">
      <alignment horizontal="center" wrapText="1"/>
    </xf>
    <xf numFmtId="0" fontId="17" fillId="36" borderId="65"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0" fillId="4" borderId="16" xfId="0" applyFill="1" applyBorder="1"/>
    <xf numFmtId="0" fontId="22" fillId="10" borderId="6" xfId="372" applyFill="1" applyBorder="1" applyAlignment="1" applyProtection="1">
      <alignment horizontal="left"/>
      <protection locked="0"/>
    </xf>
    <xf numFmtId="0" fontId="22" fillId="10"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23" fillId="2" borderId="23" xfId="372" applyFont="1" applyFill="1" applyBorder="1" applyAlignment="1">
      <alignment horizontal="centerContinuous"/>
    </xf>
    <xf numFmtId="0" fontId="56" fillId="2" borderId="24" xfId="372" applyFont="1" applyFill="1" applyBorder="1" applyAlignment="1">
      <alignment horizontal="centerContinuous"/>
    </xf>
    <xf numFmtId="0" fontId="23" fillId="2" borderId="24" xfId="372" applyFont="1" applyFill="1" applyBorder="1" applyAlignment="1">
      <alignment horizontal="centerContinuous"/>
    </xf>
    <xf numFmtId="0" fontId="56" fillId="2" borderId="24" xfId="372" applyFont="1" applyFill="1" applyBorder="1" applyAlignment="1">
      <alignment horizontal="centerContinuous" vertical="top"/>
    </xf>
    <xf numFmtId="0" fontId="56" fillId="2" borderId="25" xfId="372" applyFont="1" applyFill="1" applyBorder="1" applyAlignment="1">
      <alignment horizontal="centerContinuous" vertical="top"/>
    </xf>
    <xf numFmtId="0" fontId="55" fillId="2" borderId="34" xfId="372" applyFont="1" applyFill="1" applyBorder="1" applyAlignment="1">
      <alignment horizontal="centerContinuous"/>
    </xf>
    <xf numFmtId="0" fontId="54" fillId="2" borderId="27" xfId="372" applyFont="1" applyFill="1" applyBorder="1" applyAlignment="1">
      <alignment horizontal="centerContinuous"/>
    </xf>
    <xf numFmtId="167" fontId="55" fillId="2" borderId="27" xfId="372" applyNumberFormat="1" applyFont="1" applyFill="1" applyBorder="1" applyAlignment="1">
      <alignment horizontal="centerContinuous"/>
    </xf>
    <xf numFmtId="167" fontId="54" fillId="2" borderId="19" xfId="372" applyNumberFormat="1" applyFont="1" applyFill="1" applyBorder="1" applyAlignment="1">
      <alignment horizontal="centerContinuous" vertical="top"/>
    </xf>
    <xf numFmtId="1" fontId="55" fillId="2" borderId="34" xfId="372" applyNumberFormat="1" applyFont="1" applyFill="1" applyBorder="1" applyAlignment="1">
      <alignment horizontal="centerContinuous"/>
    </xf>
    <xf numFmtId="0" fontId="22" fillId="2" borderId="7" xfId="372" applyFill="1" applyBorder="1" applyAlignment="1">
      <alignment horizontal="center"/>
    </xf>
    <xf numFmtId="0" fontId="0" fillId="5" borderId="78" xfId="0" applyFill="1" applyBorder="1" applyAlignment="1">
      <alignment wrapText="1"/>
    </xf>
    <xf numFmtId="0" fontId="22" fillId="4" borderId="16" xfId="372" applyFill="1" applyBorder="1" applyAlignment="1">
      <alignment horizontal="left"/>
    </xf>
    <xf numFmtId="0" fontId="66" fillId="30" borderId="42" xfId="372" applyFont="1" applyFill="1" applyBorder="1"/>
    <xf numFmtId="0" fontId="66" fillId="30" borderId="43" xfId="372" applyFont="1" applyFill="1" applyBorder="1"/>
    <xf numFmtId="0" fontId="66" fillId="30" borderId="32" xfId="372" applyFont="1" applyFill="1" applyBorder="1"/>
    <xf numFmtId="0" fontId="16" fillId="5" borderId="3" xfId="0" applyFont="1" applyFill="1" applyBorder="1"/>
    <xf numFmtId="2" fontId="65" fillId="36" borderId="1" xfId="372" applyNumberFormat="1" applyFont="1" applyFill="1" applyBorder="1" applyAlignment="1">
      <alignment horizontal="right"/>
    </xf>
    <xf numFmtId="0" fontId="22" fillId="4" borderId="4" xfId="372" applyFill="1" applyBorder="1" applyAlignment="1" applyProtection="1">
      <alignment horizontal="right"/>
      <protection locked="0"/>
    </xf>
    <xf numFmtId="49" fontId="61" fillId="4" borderId="1" xfId="372" applyNumberFormat="1" applyFont="1" applyFill="1" applyBorder="1" applyAlignment="1" applyProtection="1">
      <alignment horizontal="right"/>
      <protection locked="0"/>
    </xf>
    <xf numFmtId="2" fontId="22" fillId="4" borderId="16" xfId="372" applyNumberFormat="1" applyFill="1" applyBorder="1" applyAlignment="1" applyProtection="1">
      <alignment horizontal="right"/>
      <protection locked="0"/>
    </xf>
    <xf numFmtId="2" fontId="22" fillId="4" borderId="16" xfId="372" applyNumberFormat="1" applyFill="1" applyBorder="1" applyAlignment="1">
      <alignment horizontal="right"/>
    </xf>
    <xf numFmtId="2" fontId="22" fillId="4" borderId="42" xfId="372" applyNumberFormat="1" applyFill="1" applyBorder="1" applyAlignment="1" applyProtection="1">
      <alignment horizontal="right"/>
      <protection locked="0"/>
    </xf>
    <xf numFmtId="0" fontId="22" fillId="2" borderId="9" xfId="372" applyFill="1" applyBorder="1" applyAlignment="1" applyProtection="1">
      <alignment horizontal="center"/>
      <protection locked="0"/>
    </xf>
    <xf numFmtId="0" fontId="22" fillId="2" borderId="1" xfId="372" applyFill="1" applyBorder="1" applyAlignment="1" applyProtection="1">
      <alignment horizontal="center"/>
      <protection locked="0"/>
    </xf>
    <xf numFmtId="0" fontId="37" fillId="0" borderId="59" xfId="372" applyFont="1" applyBorder="1" applyAlignment="1">
      <alignment horizontal="center" vertical="center" wrapText="1"/>
    </xf>
    <xf numFmtId="0" fontId="37" fillId="0" borderId="1" xfId="372" applyFont="1" applyBorder="1" applyAlignment="1">
      <alignment horizontal="center" vertical="center" wrapText="1"/>
    </xf>
    <xf numFmtId="0" fontId="37" fillId="0" borderId="12" xfId="372" applyFont="1" applyBorder="1" applyAlignment="1">
      <alignment horizontal="center" vertical="center" wrapText="1"/>
    </xf>
    <xf numFmtId="0" fontId="90" fillId="0" borderId="36" xfId="372" applyFont="1" applyBorder="1" applyAlignment="1">
      <alignment horizontal="centerContinuous"/>
    </xf>
    <xf numFmtId="0" fontId="80" fillId="4" borderId="59" xfId="372" applyFont="1" applyFill="1" applyBorder="1" applyAlignment="1">
      <alignment horizontal="center" vertical="center"/>
    </xf>
    <xf numFmtId="4" fontId="16" fillId="4" borderId="1" xfId="0" applyNumberFormat="1" applyFont="1" applyFill="1" applyBorder="1" applyAlignment="1">
      <alignment horizontal="center"/>
    </xf>
    <xf numFmtId="0" fontId="89" fillId="31" borderId="4" xfId="0" applyFont="1" applyFill="1" applyBorder="1" applyAlignment="1">
      <alignment horizontal="left"/>
    </xf>
    <xf numFmtId="0" fontId="89" fillId="31" borderId="5" xfId="0" applyFont="1" applyFill="1" applyBorder="1" applyAlignment="1">
      <alignment horizontal="left"/>
    </xf>
    <xf numFmtId="0" fontId="89" fillId="31" borderId="40" xfId="0" applyFont="1" applyFill="1" applyBorder="1" applyAlignment="1">
      <alignment horizontal="left"/>
    </xf>
    <xf numFmtId="0" fontId="77" fillId="0" borderId="0" xfId="372" applyFont="1" applyAlignment="1">
      <alignment horizontal="left"/>
    </xf>
    <xf numFmtId="2" fontId="22" fillId="4" borderId="42" xfId="372" applyNumberFormat="1" applyFill="1" applyBorder="1" applyAlignment="1">
      <alignment horizontal="right"/>
    </xf>
    <xf numFmtId="2" fontId="0" fillId="4" borderId="64" xfId="0" applyNumberFormat="1" applyFill="1" applyBorder="1"/>
    <xf numFmtId="0" fontId="62" fillId="0" borderId="0" xfId="505" applyFont="1" applyAlignment="1">
      <alignment horizontal="left" wrapText="1"/>
    </xf>
    <xf numFmtId="2" fontId="0" fillId="2" borderId="14" xfId="0" applyNumberFormat="1" applyFill="1" applyBorder="1"/>
    <xf numFmtId="4" fontId="0" fillId="5" borderId="18" xfId="0" applyNumberFormat="1" applyFill="1" applyBorder="1" applyAlignment="1">
      <alignment horizontal="right"/>
    </xf>
    <xf numFmtId="49" fontId="0" fillId="5" borderId="4" xfId="0" applyNumberFormat="1" applyFill="1" applyBorder="1" applyAlignment="1">
      <alignment wrapText="1"/>
    </xf>
    <xf numFmtId="49" fontId="0" fillId="5" borderId="5" xfId="0" applyNumberFormat="1" applyFill="1" applyBorder="1" applyAlignment="1">
      <alignment wrapText="1"/>
    </xf>
    <xf numFmtId="49" fontId="42" fillId="2" borderId="23" xfId="0" applyNumberFormat="1" applyFont="1" applyFill="1" applyBorder="1" applyAlignment="1">
      <alignment wrapText="1"/>
    </xf>
    <xf numFmtId="49" fontId="42" fillId="2" borderId="24" xfId="0" applyNumberFormat="1" applyFont="1" applyFill="1" applyBorder="1" applyAlignment="1">
      <alignment wrapText="1"/>
    </xf>
    <xf numFmtId="49" fontId="42" fillId="2" borderId="28" xfId="0" applyNumberFormat="1" applyFont="1" applyFill="1" applyBorder="1" applyAlignment="1">
      <alignment wrapText="1"/>
    </xf>
    <xf numFmtId="49" fontId="0" fillId="9" borderId="3" xfId="0" applyNumberFormat="1" applyFill="1" applyBorder="1" applyAlignment="1">
      <alignment wrapText="1"/>
    </xf>
    <xf numFmtId="49" fontId="0" fillId="9" borderId="34" xfId="0" applyNumberFormat="1" applyFill="1" applyBorder="1" applyAlignment="1">
      <alignment wrapText="1"/>
    </xf>
    <xf numFmtId="49" fontId="0" fillId="9" borderId="27" xfId="0" applyNumberFormat="1" applyFill="1" applyBorder="1" applyAlignment="1">
      <alignment wrapText="1"/>
    </xf>
    <xf numFmtId="49" fontId="0" fillId="5" borderId="2" xfId="0" applyNumberFormat="1" applyFill="1" applyBorder="1" applyAlignment="1">
      <alignment wrapText="1"/>
    </xf>
    <xf numFmtId="49" fontId="0" fillId="5" borderId="10" xfId="0" applyNumberFormat="1" applyFill="1" applyBorder="1" applyAlignment="1">
      <alignment wrapText="1"/>
    </xf>
    <xf numFmtId="4" fontId="0" fillId="2" borderId="0" xfId="0" applyNumberFormat="1" applyFill="1" applyAlignment="1">
      <alignment horizontal="right"/>
    </xf>
    <xf numFmtId="49" fontId="0" fillId="9" borderId="0" xfId="0" applyNumberFormat="1" applyFill="1" applyAlignment="1">
      <alignment wrapText="1"/>
    </xf>
    <xf numFmtId="49" fontId="0" fillId="9" borderId="78" xfId="0" applyNumberFormat="1" applyFill="1" applyBorder="1" applyAlignment="1">
      <alignment wrapText="1"/>
    </xf>
    <xf numFmtId="49" fontId="0" fillId="9" borderId="75" xfId="0" applyNumberFormat="1" applyFill="1" applyBorder="1" applyAlignment="1">
      <alignment wrapText="1"/>
    </xf>
    <xf numFmtId="166" fontId="0" fillId="3" borderId="9" xfId="0" applyNumberFormat="1" applyFill="1" applyBorder="1" applyProtection="1">
      <protection locked="0"/>
    </xf>
    <xf numFmtId="166" fontId="0" fillId="5" borderId="64" xfId="0" applyNumberFormat="1" applyFill="1" applyBorder="1"/>
    <xf numFmtId="0" fontId="94" fillId="0" borderId="0" xfId="372" applyFont="1"/>
    <xf numFmtId="0" fontId="95" fillId="0" borderId="0" xfId="0" applyFont="1"/>
    <xf numFmtId="2" fontId="95" fillId="2" borderId="0" xfId="0" applyNumberFormat="1" applyFont="1" applyFill="1"/>
    <xf numFmtId="0" fontId="95" fillId="0" borderId="0" xfId="0" applyFont="1" applyAlignment="1">
      <alignment wrapText="1"/>
    </xf>
    <xf numFmtId="0" fontId="0" fillId="8" borderId="5" xfId="0" applyFill="1" applyBorder="1"/>
    <xf numFmtId="0" fontId="0" fillId="8" borderId="6" xfId="0" applyFill="1" applyBorder="1"/>
    <xf numFmtId="0" fontId="0" fillId="4" borderId="14" xfId="0" applyFill="1" applyBorder="1"/>
    <xf numFmtId="4" fontId="0" fillId="5" borderId="14" xfId="0" applyNumberFormat="1" applyFill="1" applyBorder="1" applyAlignment="1">
      <alignment horizontal="right"/>
    </xf>
    <xf numFmtId="0" fontId="96" fillId="0" borderId="0" xfId="0" applyFont="1" applyAlignment="1">
      <alignment vertical="center" wrapText="1"/>
    </xf>
    <xf numFmtId="0" fontId="84" fillId="34" borderId="23" xfId="0" applyFont="1" applyFill="1" applyBorder="1" applyAlignment="1">
      <alignment vertical="center"/>
    </xf>
    <xf numFmtId="0" fontId="84" fillId="34" borderId="24" xfId="0" applyFont="1" applyFill="1" applyBorder="1" applyAlignment="1">
      <alignment vertical="center"/>
    </xf>
    <xf numFmtId="0" fontId="84" fillId="34" borderId="28" xfId="0" applyFont="1" applyFill="1" applyBorder="1" applyAlignment="1">
      <alignment vertical="center"/>
    </xf>
    <xf numFmtId="4" fontId="85" fillId="31" borderId="25" xfId="0" applyNumberFormat="1" applyFont="1" applyFill="1" applyBorder="1" applyAlignment="1">
      <alignment vertical="center"/>
    </xf>
    <xf numFmtId="0" fontId="85" fillId="31" borderId="52" xfId="0" applyFont="1" applyFill="1" applyBorder="1" applyAlignment="1">
      <alignment vertical="center"/>
    </xf>
    <xf numFmtId="0" fontId="93" fillId="0" borderId="0" xfId="0" applyFont="1"/>
    <xf numFmtId="0" fontId="0" fillId="2" borderId="14" xfId="0" applyFill="1" applyBorder="1" applyAlignment="1" applyProtection="1">
      <alignment horizontal="right"/>
      <protection locked="0"/>
    </xf>
    <xf numFmtId="0" fontId="0" fillId="2" borderId="64" xfId="0" applyFill="1" applyBorder="1" applyAlignment="1" applyProtection="1">
      <alignment horizontal="right"/>
      <protection locked="0"/>
    </xf>
    <xf numFmtId="0" fontId="78" fillId="2" borderId="14" xfId="0" applyFont="1" applyFill="1" applyBorder="1" applyAlignment="1" applyProtection="1">
      <alignment vertical="center"/>
      <protection locked="0"/>
    </xf>
    <xf numFmtId="0" fontId="0" fillId="3" borderId="1" xfId="0" applyFill="1" applyBorder="1" applyAlignment="1" applyProtection="1">
      <alignment horizontal="center"/>
      <protection locked="0"/>
    </xf>
    <xf numFmtId="0" fontId="17" fillId="2" borderId="0" xfId="0" applyFont="1" applyFill="1" applyAlignment="1">
      <alignment horizontal="center" vertical="center"/>
    </xf>
    <xf numFmtId="166" fontId="17" fillId="2" borderId="0" xfId="0" applyNumberFormat="1" applyFont="1" applyFill="1" applyAlignment="1" applyProtection="1">
      <alignment horizontal="center"/>
      <protection locked="0"/>
    </xf>
    <xf numFmtId="2" fontId="0" fillId="0" borderId="59" xfId="0" applyNumberFormat="1" applyBorder="1"/>
    <xf numFmtId="2" fontId="0" fillId="0" borderId="17" xfId="0" applyNumberFormat="1" applyBorder="1"/>
    <xf numFmtId="2" fontId="61" fillId="4" borderId="1" xfId="372" applyNumberFormat="1" applyFont="1" applyFill="1" applyBorder="1" applyAlignment="1" applyProtection="1">
      <alignment horizontal="right"/>
      <protection locked="0"/>
    </xf>
    <xf numFmtId="2" fontId="61" fillId="4" borderId="16" xfId="372" applyNumberFormat="1" applyFont="1" applyFill="1" applyBorder="1" applyAlignment="1" applyProtection="1">
      <alignment horizontal="right"/>
      <protection locked="0"/>
    </xf>
    <xf numFmtId="0" fontId="17" fillId="36" borderId="68" xfId="0" applyFont="1" applyFill="1" applyBorder="1"/>
    <xf numFmtId="2" fontId="17" fillId="36" borderId="35" xfId="0" applyNumberFormat="1" applyFont="1" applyFill="1" applyBorder="1"/>
    <xf numFmtId="2" fontId="17" fillId="36" borderId="3" xfId="0" applyNumberFormat="1" applyFont="1" applyFill="1" applyBorder="1"/>
    <xf numFmtId="2" fontId="17" fillId="36" borderId="63" xfId="0" applyNumberFormat="1" applyFont="1" applyFill="1" applyBorder="1"/>
    <xf numFmtId="2" fontId="17" fillId="36" borderId="84" xfId="0" applyNumberFormat="1" applyFont="1" applyFill="1" applyBorder="1"/>
    <xf numFmtId="0" fontId="66" fillId="0" borderId="85" xfId="372" applyFont="1" applyBorder="1"/>
    <xf numFmtId="0" fontId="66" fillId="2" borderId="85" xfId="372" applyFont="1" applyFill="1" applyBorder="1"/>
    <xf numFmtId="0" fontId="43" fillId="0" borderId="85" xfId="372" applyFont="1" applyBorder="1" applyAlignment="1">
      <alignment horizontal="left"/>
    </xf>
    <xf numFmtId="0" fontId="66" fillId="0" borderId="0" xfId="372" applyFont="1" applyAlignment="1">
      <alignment horizontal="left"/>
    </xf>
    <xf numFmtId="2" fontId="66" fillId="0" borderId="0" xfId="372" applyNumberFormat="1" applyFont="1"/>
    <xf numFmtId="0" fontId="66" fillId="0" borderId="78" xfId="372" applyFont="1" applyBorder="1"/>
    <xf numFmtId="0" fontId="66" fillId="2" borderId="78" xfId="372" applyFont="1" applyFill="1" applyBorder="1"/>
    <xf numFmtId="0" fontId="43" fillId="0" borderId="78" xfId="372" applyFont="1" applyBorder="1" applyAlignment="1">
      <alignment horizontal="left"/>
    </xf>
    <xf numFmtId="0" fontId="98" fillId="0" borderId="0" xfId="377" applyFont="1" applyBorder="1" applyProtection="1"/>
    <xf numFmtId="0" fontId="65" fillId="0" borderId="0" xfId="0" applyFont="1"/>
    <xf numFmtId="0" fontId="17" fillId="2" borderId="0" xfId="0" applyFont="1" applyFill="1"/>
    <xf numFmtId="2" fontId="79" fillId="0" borderId="0" xfId="372" applyNumberFormat="1" applyFont="1"/>
    <xf numFmtId="0" fontId="62" fillId="0" borderId="0" xfId="505" applyFont="1" applyAlignment="1">
      <alignment horizontal="left"/>
    </xf>
    <xf numFmtId="0" fontId="62" fillId="3" borderId="0" xfId="505" applyFont="1" applyFill="1" applyAlignment="1">
      <alignment horizontal="left"/>
    </xf>
    <xf numFmtId="0" fontId="62" fillId="0" borderId="0" xfId="505" applyFont="1" applyAlignment="1">
      <alignment horizontal="left" vertical="center" wrapText="1"/>
    </xf>
    <xf numFmtId="0" fontId="62" fillId="0" borderId="0" xfId="505" applyFont="1" applyAlignment="1">
      <alignment horizontal="center" vertical="center" wrapText="1"/>
    </xf>
    <xf numFmtId="0" fontId="101" fillId="0" borderId="0" xfId="505" applyFont="1"/>
    <xf numFmtId="0" fontId="101" fillId="0" borderId="0" xfId="505" applyFont="1" applyAlignment="1">
      <alignment horizontal="left" vertical="center" wrapText="1"/>
    </xf>
    <xf numFmtId="0" fontId="44" fillId="28" borderId="0" xfId="505" applyFont="1" applyFill="1" applyAlignment="1">
      <alignment horizontal="justify" vertical="justify"/>
    </xf>
    <xf numFmtId="0" fontId="74" fillId="15" borderId="0" xfId="0" applyFont="1" applyFill="1" applyAlignment="1">
      <alignment horizontal="left" wrapText="1"/>
    </xf>
    <xf numFmtId="0" fontId="103" fillId="0" borderId="0" xfId="505" applyFont="1" applyAlignment="1">
      <alignment horizontal="center"/>
    </xf>
    <xf numFmtId="0" fontId="104" fillId="0" borderId="0" xfId="505" applyFont="1" applyAlignment="1">
      <alignment horizontal="center"/>
    </xf>
    <xf numFmtId="0" fontId="17" fillId="2" borderId="3" xfId="0" applyFont="1" applyFill="1" applyBorder="1" applyAlignment="1">
      <alignment wrapText="1"/>
    </xf>
    <xf numFmtId="0" fontId="17" fillId="2" borderId="0" xfId="0" applyFont="1" applyFill="1" applyAlignment="1">
      <alignment wrapText="1"/>
    </xf>
    <xf numFmtId="0" fontId="0" fillId="3" borderId="1" xfId="0" applyFill="1" applyBorder="1" applyProtection="1">
      <protection locked="0"/>
    </xf>
    <xf numFmtId="0" fontId="61" fillId="4" borderId="4" xfId="372" applyFont="1" applyFill="1" applyBorder="1" applyAlignment="1" applyProtection="1">
      <alignment horizontal="right"/>
      <protection locked="0"/>
    </xf>
    <xf numFmtId="0" fontId="22" fillId="2" borderId="7" xfId="372" applyFill="1" applyBorder="1" applyAlignment="1" applyProtection="1">
      <alignment horizontal="center"/>
      <protection locked="0"/>
    </xf>
    <xf numFmtId="0" fontId="78" fillId="5" borderId="14" xfId="0" applyFont="1" applyFill="1" applyBorder="1" applyAlignment="1">
      <alignment vertical="center"/>
    </xf>
    <xf numFmtId="0" fontId="76" fillId="36" borderId="22" xfId="0" applyFont="1" applyFill="1" applyBorder="1" applyAlignment="1">
      <alignment horizontal="right"/>
    </xf>
    <xf numFmtId="2" fontId="88" fillId="36" borderId="25" xfId="0" applyNumberFormat="1" applyFont="1" applyFill="1" applyBorder="1" applyAlignment="1">
      <alignment vertical="center"/>
    </xf>
    <xf numFmtId="0" fontId="85" fillId="36" borderId="22" xfId="0" applyFont="1" applyFill="1" applyBorder="1" applyAlignment="1">
      <alignment horizontal="right"/>
    </xf>
    <xf numFmtId="0" fontId="17" fillId="36" borderId="1" xfId="0" applyFont="1" applyFill="1" applyBorder="1"/>
    <xf numFmtId="2" fontId="17" fillId="36" borderId="1" xfId="0" applyNumberFormat="1" applyFont="1" applyFill="1" applyBorder="1"/>
    <xf numFmtId="2" fontId="17" fillId="36" borderId="14" xfId="0" applyNumberFormat="1" applyFont="1" applyFill="1" applyBorder="1"/>
    <xf numFmtId="2" fontId="105" fillId="31" borderId="0" xfId="0" applyNumberFormat="1" applyFont="1" applyFill="1"/>
    <xf numFmtId="0" fontId="105" fillId="31" borderId="34" xfId="0" applyFont="1" applyFill="1" applyBorder="1" applyAlignment="1">
      <alignment horizontal="center"/>
    </xf>
    <xf numFmtId="0" fontId="17" fillId="31" borderId="27" xfId="0" applyFont="1" applyFill="1" applyBorder="1" applyAlignment="1">
      <alignment horizontal="center" wrapText="1"/>
    </xf>
    <xf numFmtId="2" fontId="17" fillId="36" borderId="4" xfId="0" applyNumberFormat="1" applyFont="1" applyFill="1" applyBorder="1"/>
    <xf numFmtId="0" fontId="17" fillId="31" borderId="33" xfId="0" applyFont="1" applyFill="1" applyBorder="1" applyAlignment="1">
      <alignment horizontal="center" wrapText="1"/>
    </xf>
    <xf numFmtId="0" fontId="17" fillId="31" borderId="0" xfId="0" applyFont="1" applyFill="1" applyAlignment="1">
      <alignment horizontal="center" wrapText="1"/>
    </xf>
    <xf numFmtId="0" fontId="17" fillId="31" borderId="78" xfId="0" applyFont="1" applyFill="1" applyBorder="1" applyAlignment="1">
      <alignment horizontal="center" wrapText="1"/>
    </xf>
    <xf numFmtId="2" fontId="0" fillId="0" borderId="86" xfId="0" applyNumberFormat="1" applyBorder="1"/>
    <xf numFmtId="2" fontId="0" fillId="4" borderId="86" xfId="0" applyNumberFormat="1" applyFill="1" applyBorder="1"/>
    <xf numFmtId="2" fontId="17" fillId="36" borderId="87" xfId="0" applyNumberFormat="1" applyFont="1" applyFill="1" applyBorder="1"/>
    <xf numFmtId="2" fontId="17" fillId="36" borderId="17" xfId="0" applyNumberFormat="1" applyFont="1" applyFill="1" applyBorder="1"/>
    <xf numFmtId="2" fontId="22" fillId="4" borderId="29" xfId="372" applyNumberFormat="1" applyFill="1" applyBorder="1"/>
    <xf numFmtId="2" fontId="22" fillId="4" borderId="43" xfId="372" applyNumberFormat="1" applyFill="1" applyBorder="1"/>
    <xf numFmtId="2" fontId="22" fillId="4" borderId="44" xfId="372" applyNumberFormat="1" applyFill="1" applyBorder="1"/>
    <xf numFmtId="0" fontId="61" fillId="4" borderId="1" xfId="372" applyFont="1" applyFill="1" applyBorder="1" applyAlignment="1" applyProtection="1">
      <alignment horizontal="right"/>
      <protection locked="0"/>
    </xf>
    <xf numFmtId="0" fontId="91" fillId="0" borderId="0" xfId="372" applyFont="1" applyAlignment="1">
      <alignment horizontal="center" wrapText="1"/>
    </xf>
    <xf numFmtId="49" fontId="18" fillId="0" borderId="0" xfId="0" applyNumberFormat="1" applyFont="1"/>
    <xf numFmtId="0" fontId="61" fillId="5" borderId="0" xfId="372" applyFont="1" applyFill="1" applyAlignment="1">
      <alignment wrapText="1"/>
    </xf>
    <xf numFmtId="49" fontId="61" fillId="4" borderId="40" xfId="372" applyNumberFormat="1" applyFont="1" applyFill="1" applyBorder="1" applyAlignment="1" applyProtection="1">
      <alignment horizontal="right"/>
      <protection locked="0"/>
    </xf>
    <xf numFmtId="0" fontId="77" fillId="2" borderId="0" xfId="372" applyFont="1" applyFill="1"/>
    <xf numFmtId="2" fontId="22" fillId="2" borderId="1" xfId="372" applyNumberFormat="1" applyFill="1" applyBorder="1"/>
    <xf numFmtId="2" fontId="22" fillId="0" borderId="0" xfId="372" applyNumberFormat="1" applyAlignment="1">
      <alignment horizontal="right"/>
    </xf>
    <xf numFmtId="0" fontId="62" fillId="0" borderId="1" xfId="372" applyFont="1" applyBorder="1" applyAlignment="1">
      <alignment horizontal="center" vertical="center" wrapText="1"/>
    </xf>
    <xf numFmtId="0" fontId="62" fillId="0" borderId="40" xfId="372" applyFont="1" applyBorder="1" applyAlignment="1">
      <alignment horizontal="center" vertical="center" wrapText="1"/>
    </xf>
    <xf numFmtId="0" fontId="2" fillId="0" borderId="0" xfId="0" applyFont="1"/>
    <xf numFmtId="0" fontId="80" fillId="0" borderId="38" xfId="372" applyFont="1" applyBorder="1" applyAlignment="1">
      <alignment horizontal="center" vertical="center" wrapText="1"/>
    </xf>
    <xf numFmtId="0" fontId="80" fillId="2" borderId="38" xfId="372" applyFont="1" applyFill="1" applyBorder="1" applyAlignment="1">
      <alignment horizontal="center" vertical="center" wrapText="1"/>
    </xf>
    <xf numFmtId="2" fontId="7" fillId="2" borderId="0" xfId="0" applyNumberFormat="1" applyFont="1" applyFill="1"/>
    <xf numFmtId="2" fontId="105" fillId="31" borderId="27" xfId="0" applyNumberFormat="1" applyFont="1" applyFill="1" applyBorder="1"/>
    <xf numFmtId="2" fontId="77" fillId="2" borderId="0" xfId="372" applyNumberFormat="1" applyFont="1" applyFill="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4" fontId="0" fillId="5" borderId="64" xfId="0" applyNumberFormat="1" applyFill="1" applyBorder="1" applyAlignment="1">
      <alignment horizontal="right"/>
    </xf>
    <xf numFmtId="0" fontId="68" fillId="37" borderId="4" xfId="0" applyFont="1" applyFill="1" applyBorder="1"/>
    <xf numFmtId="0" fontId="68" fillId="37" borderId="5" xfId="0" applyFont="1" applyFill="1" applyBorder="1"/>
    <xf numFmtId="0" fontId="68" fillId="37" borderId="5" xfId="0" applyFont="1" applyFill="1" applyBorder="1" applyAlignment="1">
      <alignment horizontal="right"/>
    </xf>
    <xf numFmtId="0" fontId="68" fillId="37" borderId="6" xfId="0" applyFont="1" applyFill="1" applyBorder="1" applyAlignment="1">
      <alignment horizontal="right"/>
    </xf>
    <xf numFmtId="1" fontId="32" fillId="0" borderId="0" xfId="372" applyNumberFormat="1" applyFont="1" applyAlignment="1" applyProtection="1">
      <alignment horizontal="right" vertical="top" wrapText="1"/>
      <protection locked="0"/>
    </xf>
    <xf numFmtId="1" fontId="32" fillId="0" borderId="0" xfId="372" applyNumberFormat="1" applyFont="1" applyAlignment="1" applyProtection="1">
      <alignment vertical="top"/>
      <protection locked="0"/>
    </xf>
    <xf numFmtId="0" fontId="67" fillId="26" borderId="40" xfId="0" applyFont="1" applyFill="1" applyBorder="1"/>
    <xf numFmtId="0" fontId="65" fillId="24" borderId="6" xfId="0" applyFont="1" applyFill="1" applyBorder="1" applyAlignment="1">
      <alignment horizontal="right"/>
    </xf>
    <xf numFmtId="0" fontId="67" fillId="38" borderId="45" xfId="374" applyFont="1" applyFill="1" applyBorder="1"/>
    <xf numFmtId="0" fontId="67" fillId="38" borderId="76" xfId="374" applyFont="1" applyFill="1" applyBorder="1"/>
    <xf numFmtId="0" fontId="47" fillId="28" borderId="41" xfId="374" applyFont="1" applyFill="1" applyBorder="1"/>
    <xf numFmtId="0" fontId="47" fillId="28" borderId="45" xfId="374" applyFont="1" applyFill="1" applyBorder="1"/>
    <xf numFmtId="0" fontId="37" fillId="28" borderId="4" xfId="374" applyFont="1" applyFill="1" applyBorder="1"/>
    <xf numFmtId="0" fontId="37" fillId="28" borderId="5" xfId="374" applyFont="1" applyFill="1" applyBorder="1"/>
    <xf numFmtId="0" fontId="37" fillId="28" borderId="5" xfId="374" applyFont="1" applyFill="1" applyBorder="1" applyAlignment="1">
      <alignment horizontal="right"/>
    </xf>
    <xf numFmtId="0" fontId="37" fillId="28" borderId="6" xfId="374" applyFont="1" applyFill="1" applyBorder="1" applyAlignment="1">
      <alignment horizontal="right"/>
    </xf>
    <xf numFmtId="0" fontId="68" fillId="38" borderId="0" xfId="505" applyFont="1" applyFill="1" applyAlignment="1">
      <alignment horizontal="justify" vertical="justify" wrapText="1"/>
    </xf>
    <xf numFmtId="0" fontId="24" fillId="0" borderId="0" xfId="505" applyFont="1" applyAlignment="1">
      <alignment wrapText="1"/>
    </xf>
    <xf numFmtId="0" fontId="45" fillId="0" borderId="0" xfId="505" applyFont="1"/>
    <xf numFmtId="0" fontId="22" fillId="10" borderId="74" xfId="372" applyFill="1" applyBorder="1" applyAlignment="1">
      <alignment horizontal="center"/>
    </xf>
    <xf numFmtId="2" fontId="108" fillId="2" borderId="0" xfId="0" applyNumberFormat="1" applyFont="1" applyFill="1"/>
    <xf numFmtId="2" fontId="65" fillId="38" borderId="1" xfId="372" applyNumberFormat="1" applyFont="1" applyFill="1" applyBorder="1"/>
    <xf numFmtId="0" fontId="65" fillId="16" borderId="0" xfId="372" applyFont="1" applyFill="1"/>
    <xf numFmtId="0" fontId="65" fillId="17" borderId="0" xfId="372" applyFont="1" applyFill="1"/>
    <xf numFmtId="0" fontId="65" fillId="20" borderId="0" xfId="372" applyFont="1" applyFill="1"/>
    <xf numFmtId="0" fontId="65" fillId="3" borderId="0" xfId="372" applyFont="1" applyFill="1"/>
    <xf numFmtId="0" fontId="65" fillId="21" borderId="0" xfId="372" applyFont="1" applyFill="1"/>
    <xf numFmtId="0" fontId="65" fillId="28" borderId="0" xfId="372" applyFont="1" applyFill="1"/>
    <xf numFmtId="2" fontId="0" fillId="5" borderId="63" xfId="0" applyNumberFormat="1" applyFill="1" applyBorder="1" applyAlignment="1">
      <alignment horizontal="right"/>
    </xf>
    <xf numFmtId="0" fontId="0" fillId="8" borderId="13" xfId="0" applyFill="1" applyBorder="1"/>
    <xf numFmtId="49" fontId="0" fillId="5" borderId="53" xfId="0" applyNumberFormat="1" applyFill="1" applyBorder="1" applyAlignment="1">
      <alignment horizontal="left"/>
    </xf>
    <xf numFmtId="4" fontId="0" fillId="4" borderId="17" xfId="0" applyNumberFormat="1" applyFill="1" applyBorder="1" applyAlignment="1">
      <alignment horizontal="right"/>
    </xf>
    <xf numFmtId="0" fontId="61" fillId="5" borderId="5" xfId="372" applyFont="1" applyFill="1" applyBorder="1" applyAlignment="1">
      <alignment horizontal="left" wrapText="1"/>
    </xf>
    <xf numFmtId="0" fontId="22" fillId="5" borderId="5" xfId="372" applyFill="1" applyBorder="1" applyAlignment="1">
      <alignment horizontal="left" wrapText="1"/>
    </xf>
    <xf numFmtId="0" fontId="22" fillId="5" borderId="10" xfId="372" applyFill="1" applyBorder="1" applyAlignment="1">
      <alignment horizontal="left" wrapText="1"/>
    </xf>
    <xf numFmtId="0" fontId="61" fillId="5" borderId="10" xfId="372" applyFont="1" applyFill="1" applyBorder="1" applyAlignment="1">
      <alignment horizontal="left" wrapText="1"/>
    </xf>
    <xf numFmtId="0" fontId="61" fillId="5" borderId="77" xfId="372" applyFont="1" applyFill="1" applyBorder="1" applyAlignment="1">
      <alignment horizontal="left" wrapText="1"/>
    </xf>
    <xf numFmtId="166" fontId="0" fillId="0" borderId="0" xfId="0" applyNumberFormat="1"/>
    <xf numFmtId="0" fontId="37" fillId="0" borderId="9" xfId="0" applyFont="1" applyBorder="1" applyAlignment="1">
      <alignment horizontal="center" vertical="center" wrapText="1"/>
    </xf>
    <xf numFmtId="0" fontId="16" fillId="2" borderId="27" xfId="0" applyFont="1" applyFill="1" applyBorder="1"/>
    <xf numFmtId="165" fontId="0" fillId="2" borderId="1" xfId="0" applyNumberFormat="1" applyFill="1" applyBorder="1" applyAlignment="1">
      <alignment horizontal="center"/>
    </xf>
    <xf numFmtId="14" fontId="105" fillId="31" borderId="33" xfId="0" applyNumberFormat="1" applyFont="1" applyFill="1" applyBorder="1" applyAlignment="1">
      <alignment horizontal="center"/>
    </xf>
    <xf numFmtId="0" fontId="114" fillId="2" borderId="0" xfId="372" applyFont="1" applyFill="1"/>
    <xf numFmtId="2" fontId="114" fillId="2" borderId="0" xfId="372" applyNumberFormat="1" applyFont="1" applyFill="1"/>
    <xf numFmtId="0" fontId="115" fillId="0" borderId="0" xfId="372" applyFont="1"/>
    <xf numFmtId="0" fontId="116" fillId="0" borderId="0" xfId="377" applyFont="1" applyBorder="1" applyProtection="1"/>
    <xf numFmtId="0" fontId="114" fillId="0" borderId="0" xfId="372" applyFont="1" applyAlignment="1">
      <alignment horizontal="left"/>
    </xf>
    <xf numFmtId="0" fontId="117" fillId="0" borderId="0" xfId="0" applyFont="1"/>
    <xf numFmtId="0" fontId="118" fillId="0" borderId="0" xfId="372" applyFont="1"/>
    <xf numFmtId="0" fontId="115" fillId="0" borderId="0" xfId="0" applyFont="1"/>
    <xf numFmtId="0" fontId="119" fillId="0" borderId="0" xfId="538" applyFont="1" applyBorder="1" applyProtection="1"/>
    <xf numFmtId="0" fontId="119" fillId="0" borderId="0" xfId="372" applyFont="1" applyAlignment="1">
      <alignment horizontal="right"/>
    </xf>
    <xf numFmtId="0" fontId="115" fillId="2" borderId="0" xfId="372" applyFont="1" applyFill="1"/>
    <xf numFmtId="0" fontId="116" fillId="2" borderId="0" xfId="377" applyFont="1" applyFill="1" applyBorder="1" applyProtection="1"/>
    <xf numFmtId="0" fontId="118" fillId="2" borderId="0" xfId="372" applyFont="1" applyFill="1"/>
    <xf numFmtId="0" fontId="119" fillId="2" borderId="0" xfId="538" applyFont="1" applyFill="1" applyBorder="1" applyProtection="1"/>
    <xf numFmtId="0" fontId="119" fillId="2" borderId="0" xfId="372" applyFont="1" applyFill="1" applyAlignment="1">
      <alignment horizontal="right"/>
    </xf>
    <xf numFmtId="0" fontId="117" fillId="2" borderId="0" xfId="0" applyFont="1" applyFill="1"/>
    <xf numFmtId="0" fontId="115" fillId="4" borderId="0" xfId="372" applyFont="1" applyFill="1"/>
    <xf numFmtId="0" fontId="115" fillId="15" borderId="0" xfId="372" applyFont="1" applyFill="1"/>
    <xf numFmtId="0" fontId="115" fillId="14" borderId="0" xfId="372" applyFont="1" applyFill="1"/>
    <xf numFmtId="2" fontId="115" fillId="0" borderId="0" xfId="372" applyNumberFormat="1" applyFont="1" applyAlignment="1" applyProtection="1">
      <alignment horizontal="left"/>
      <protection locked="0"/>
    </xf>
    <xf numFmtId="2" fontId="115" fillId="2" borderId="0" xfId="372" applyNumberFormat="1" applyFont="1" applyFill="1" applyAlignment="1" applyProtection="1">
      <alignment horizontal="left"/>
      <protection locked="0"/>
    </xf>
    <xf numFmtId="2" fontId="117" fillId="0" borderId="0" xfId="0" applyNumberFormat="1" applyFont="1"/>
    <xf numFmtId="0" fontId="117" fillId="4" borderId="0" xfId="0" applyFont="1" applyFill="1"/>
    <xf numFmtId="0" fontId="115" fillId="2" borderId="0" xfId="0" applyFont="1" applyFill="1"/>
    <xf numFmtId="0" fontId="0" fillId="2" borderId="12" xfId="0" applyFill="1" applyBorder="1" applyAlignment="1" applyProtection="1">
      <alignment vertical="center"/>
      <protection locked="0"/>
    </xf>
    <xf numFmtId="0" fontId="0" fillId="2" borderId="18" xfId="0" applyFill="1" applyBorder="1" applyAlignment="1" applyProtection="1">
      <alignment horizontal="right"/>
      <protection locked="0"/>
    </xf>
    <xf numFmtId="2" fontId="66" fillId="2" borderId="0" xfId="372" applyNumberFormat="1" applyFont="1" applyFill="1" applyAlignment="1">
      <alignment horizontal="center"/>
    </xf>
    <xf numFmtId="2" fontId="22" fillId="0" borderId="0" xfId="0" applyNumberFormat="1" applyFont="1" applyAlignment="1" applyProtection="1">
      <alignment horizontal="left"/>
      <protection locked="0"/>
    </xf>
    <xf numFmtId="2" fontId="22" fillId="44" borderId="0" xfId="0" applyNumberFormat="1" applyFont="1" applyFill="1" applyAlignment="1" applyProtection="1">
      <alignment horizontal="left"/>
      <protection locked="0"/>
    </xf>
    <xf numFmtId="2" fontId="79" fillId="44" borderId="0" xfId="0" applyNumberFormat="1" applyFont="1" applyFill="1" applyAlignment="1" applyProtection="1">
      <alignment horizontal="left"/>
      <protection locked="0"/>
    </xf>
    <xf numFmtId="0" fontId="14" fillId="0" borderId="0" xfId="0" applyFont="1"/>
    <xf numFmtId="0" fontId="22" fillId="4" borderId="7" xfId="372" applyFill="1" applyBorder="1" applyAlignment="1">
      <alignment horizontal="center"/>
    </xf>
    <xf numFmtId="1" fontId="73" fillId="0" borderId="10" xfId="374" applyNumberFormat="1" applyFont="1" applyBorder="1"/>
    <xf numFmtId="1" fontId="33" fillId="0" borderId="0" xfId="374" applyNumberFormat="1" applyFont="1"/>
    <xf numFmtId="0" fontId="22" fillId="2" borderId="4" xfId="372" applyFill="1" applyBorder="1" applyAlignment="1">
      <alignment horizontal="center"/>
    </xf>
    <xf numFmtId="0" fontId="22" fillId="2" borderId="5" xfId="372" applyFill="1" applyBorder="1" applyAlignment="1">
      <alignment horizontal="center"/>
    </xf>
    <xf numFmtId="0" fontId="22" fillId="2" borderId="5" xfId="372" applyFill="1" applyBorder="1" applyProtection="1">
      <protection locked="0"/>
    </xf>
    <xf numFmtId="0" fontId="22" fillId="2" borderId="6" xfId="372" applyFill="1" applyBorder="1" applyAlignment="1">
      <alignment horizontal="center"/>
    </xf>
    <xf numFmtId="1" fontId="50" fillId="2" borderId="5" xfId="372" applyNumberFormat="1" applyFont="1" applyFill="1" applyBorder="1" applyAlignment="1">
      <alignment horizontal="center"/>
    </xf>
    <xf numFmtId="0" fontId="22" fillId="4" borderId="4" xfId="372" applyFill="1" applyBorder="1" applyAlignment="1">
      <alignment horizontal="center"/>
    </xf>
    <xf numFmtId="0" fontId="22" fillId="4" borderId="5" xfId="372" applyFill="1" applyBorder="1" applyAlignment="1">
      <alignment horizontal="center"/>
    </xf>
    <xf numFmtId="0" fontId="22" fillId="4" borderId="5" xfId="372" applyFill="1" applyBorder="1" applyProtection="1">
      <protection locked="0"/>
    </xf>
    <xf numFmtId="1" fontId="50" fillId="4" borderId="6" xfId="372" applyNumberFormat="1" applyFont="1" applyFill="1" applyBorder="1" applyAlignment="1">
      <alignment horizontal="center"/>
    </xf>
    <xf numFmtId="1" fontId="50" fillId="2" borderId="6" xfId="372" applyNumberFormat="1" applyFont="1" applyFill="1" applyBorder="1" applyAlignment="1">
      <alignment horizontal="center"/>
    </xf>
    <xf numFmtId="1" fontId="50" fillId="4" borderId="5" xfId="372" applyNumberFormat="1" applyFont="1" applyFill="1" applyBorder="1" applyAlignment="1">
      <alignment horizontal="center"/>
    </xf>
    <xf numFmtId="0" fontId="50" fillId="4" borderId="6" xfId="372" applyFont="1" applyFill="1" applyBorder="1" applyAlignment="1">
      <alignment horizontal="center"/>
    </xf>
    <xf numFmtId="0" fontId="50" fillId="2" borderId="6" xfId="372" applyFont="1" applyFill="1" applyBorder="1" applyAlignment="1">
      <alignment horizontal="center"/>
    </xf>
    <xf numFmtId="1" fontId="32" fillId="2" borderId="46" xfId="372" applyNumberFormat="1" applyFont="1" applyFill="1" applyBorder="1" applyAlignment="1" applyProtection="1">
      <alignment horizontal="right" vertical="top" wrapText="1"/>
      <protection locked="0"/>
    </xf>
    <xf numFmtId="0" fontId="22" fillId="2" borderId="34" xfId="372" applyFill="1" applyBorder="1" applyAlignment="1">
      <alignment horizontal="center"/>
    </xf>
    <xf numFmtId="0" fontId="22" fillId="2" borderId="27" xfId="372" applyFill="1" applyBorder="1" applyAlignment="1">
      <alignment horizontal="center"/>
    </xf>
    <xf numFmtId="0" fontId="22" fillId="2" borderId="27" xfId="372" applyFill="1" applyBorder="1" applyProtection="1">
      <protection locked="0"/>
    </xf>
    <xf numFmtId="1" fontId="50" fillId="2" borderId="19" xfId="372" applyNumberFormat="1" applyFont="1" applyFill="1" applyBorder="1" applyAlignment="1">
      <alignment horizontal="center"/>
    </xf>
    <xf numFmtId="0" fontId="22" fillId="4" borderId="34" xfId="372" applyFill="1" applyBorder="1" applyAlignment="1">
      <alignment horizontal="center"/>
    </xf>
    <xf numFmtId="0" fontId="22" fillId="4" borderId="27" xfId="372" applyFill="1" applyBorder="1" applyAlignment="1">
      <alignment horizontal="center"/>
    </xf>
    <xf numFmtId="1" fontId="50" fillId="4" borderId="19" xfId="372" applyNumberFormat="1" applyFont="1" applyFill="1" applyBorder="1" applyAlignment="1">
      <alignment horizontal="center"/>
    </xf>
    <xf numFmtId="0" fontId="22" fillId="4" borderId="27" xfId="372" applyFill="1" applyBorder="1" applyProtection="1">
      <protection locked="0"/>
    </xf>
    <xf numFmtId="0" fontId="22" fillId="0" borderId="29" xfId="372" applyBorder="1" applyAlignment="1">
      <alignment horizontal="center"/>
    </xf>
    <xf numFmtId="0" fontId="22" fillId="0" borderId="43" xfId="372" applyBorder="1" applyAlignment="1">
      <alignment horizontal="center"/>
    </xf>
    <xf numFmtId="0" fontId="51" fillId="10" borderId="43" xfId="372" applyFont="1" applyFill="1" applyBorder="1" applyProtection="1">
      <protection locked="0"/>
    </xf>
    <xf numFmtId="1" fontId="22" fillId="10" borderId="44" xfId="372" applyNumberFormat="1" applyFill="1" applyBorder="1" applyProtection="1">
      <protection locked="0"/>
    </xf>
    <xf numFmtId="0" fontId="22" fillId="0" borderId="5" xfId="372" applyBorder="1" applyAlignment="1">
      <alignment horizontal="center" wrapText="1"/>
    </xf>
    <xf numFmtId="0" fontId="55" fillId="0" borderId="27" xfId="372" applyFont="1" applyBorder="1" applyAlignment="1">
      <alignment horizontal="centerContinuous"/>
    </xf>
    <xf numFmtId="0" fontId="55" fillId="0" borderId="11" xfId="372" applyFont="1" applyBorder="1" applyAlignment="1">
      <alignment horizontal="centerContinuous"/>
    </xf>
    <xf numFmtId="0" fontId="54" fillId="0" borderId="38" xfId="372" applyFont="1" applyBorder="1" applyAlignment="1">
      <alignment horizontal="centerContinuous"/>
    </xf>
    <xf numFmtId="167" fontId="55" fillId="0" borderId="38" xfId="372" applyNumberFormat="1" applyFont="1" applyBorder="1" applyAlignment="1">
      <alignment horizontal="centerContinuous"/>
    </xf>
    <xf numFmtId="167" fontId="54" fillId="0" borderId="39" xfId="372" applyNumberFormat="1" applyFont="1" applyBorder="1" applyAlignment="1">
      <alignment horizontal="centerContinuous" vertical="top"/>
    </xf>
    <xf numFmtId="0" fontId="22" fillId="10" borderId="2" xfId="372" applyFill="1" applyBorder="1" applyAlignment="1">
      <alignment horizontal="center"/>
    </xf>
    <xf numFmtId="0" fontId="22" fillId="10" borderId="10" xfId="372" applyFill="1" applyBorder="1" applyAlignment="1">
      <alignment horizontal="center"/>
    </xf>
    <xf numFmtId="0" fontId="22" fillId="10" borderId="54" xfId="372" applyFill="1" applyBorder="1" applyAlignment="1">
      <alignment horizontal="center"/>
    </xf>
    <xf numFmtId="1" fontId="50" fillId="10" borderId="56" xfId="372" applyNumberFormat="1" applyFont="1" applyFill="1" applyBorder="1" applyAlignment="1">
      <alignment horizontal="center"/>
    </xf>
    <xf numFmtId="0" fontId="22" fillId="10" borderId="69" xfId="372" applyFill="1" applyBorder="1" applyAlignment="1">
      <alignment horizontal="center"/>
    </xf>
    <xf numFmtId="0" fontId="22" fillId="10" borderId="71" xfId="372" applyFill="1" applyBorder="1" applyAlignment="1">
      <alignment horizontal="center"/>
    </xf>
    <xf numFmtId="1" fontId="50" fillId="10" borderId="70" xfId="372" applyNumberFormat="1" applyFont="1" applyFill="1" applyBorder="1" applyAlignment="1">
      <alignment horizontal="center"/>
    </xf>
    <xf numFmtId="1" fontId="32" fillId="0" borderId="10" xfId="372" applyNumberFormat="1" applyFont="1" applyBorder="1" applyAlignment="1" applyProtection="1">
      <alignment vertical="top"/>
      <protection locked="0"/>
    </xf>
    <xf numFmtId="0" fontId="22" fillId="10" borderId="73" xfId="372" applyFill="1" applyBorder="1" applyAlignment="1">
      <alignment horizontal="center"/>
    </xf>
    <xf numFmtId="1" fontId="50" fillId="10" borderId="72" xfId="372" applyNumberFormat="1" applyFont="1" applyFill="1" applyBorder="1" applyAlignment="1">
      <alignment horizontal="center"/>
    </xf>
    <xf numFmtId="0" fontId="22" fillId="10" borderId="93" xfId="372" applyFill="1" applyBorder="1" applyAlignment="1">
      <alignment horizontal="center"/>
    </xf>
    <xf numFmtId="0" fontId="22" fillId="10" borderId="50" xfId="372" applyFill="1" applyBorder="1" applyAlignment="1">
      <alignment horizontal="center"/>
    </xf>
    <xf numFmtId="1" fontId="50" fillId="10" borderId="51" xfId="372" applyNumberFormat="1" applyFont="1" applyFill="1" applyBorder="1" applyAlignment="1">
      <alignment horizontal="center"/>
    </xf>
    <xf numFmtId="1" fontId="22" fillId="0" borderId="5" xfId="372" applyNumberFormat="1" applyBorder="1" applyAlignment="1">
      <alignment horizontal="center"/>
    </xf>
    <xf numFmtId="0" fontId="22" fillId="0" borderId="4" xfId="372" applyBorder="1" applyAlignment="1">
      <alignment horizontal="center"/>
    </xf>
    <xf numFmtId="1" fontId="22" fillId="0" borderId="6" xfId="372" applyNumberFormat="1" applyBorder="1" applyAlignment="1">
      <alignment horizontal="center"/>
    </xf>
    <xf numFmtId="1" fontId="22" fillId="10" borderId="5" xfId="372" applyNumberFormat="1" applyFill="1" applyBorder="1" applyProtection="1">
      <protection locked="0"/>
    </xf>
    <xf numFmtId="1" fontId="22" fillId="10" borderId="6" xfId="372" applyNumberFormat="1" applyFill="1" applyBorder="1" applyProtection="1">
      <protection locked="0"/>
    </xf>
    <xf numFmtId="0" fontId="22" fillId="0" borderId="5" xfId="372" applyBorder="1" applyAlignment="1" applyProtection="1">
      <alignment horizontal="left" wrapText="1"/>
      <protection locked="0"/>
    </xf>
    <xf numFmtId="0" fontId="22" fillId="0" borderId="5" xfId="372" applyBorder="1" applyAlignment="1">
      <alignment horizontal="left" wrapText="1"/>
    </xf>
    <xf numFmtId="0" fontId="22" fillId="0" borderId="0" xfId="372" applyAlignment="1" applyProtection="1">
      <alignment horizontal="left"/>
      <protection locked="0"/>
    </xf>
    <xf numFmtId="0" fontId="41" fillId="10" borderId="5" xfId="372" applyFont="1" applyFill="1" applyBorder="1" applyAlignment="1">
      <alignment horizontal="left" wrapText="1"/>
    </xf>
    <xf numFmtId="0" fontId="41" fillId="10" borderId="43" xfId="372" applyFont="1" applyFill="1" applyBorder="1" applyAlignment="1">
      <alignment horizontal="left" wrapText="1"/>
    </xf>
    <xf numFmtId="0" fontId="51" fillId="10" borderId="5" xfId="372" applyFont="1" applyFill="1" applyBorder="1" applyAlignment="1" applyProtection="1">
      <alignment horizontal="left" wrapText="1"/>
      <protection locked="0"/>
    </xf>
    <xf numFmtId="0" fontId="30" fillId="0" borderId="4" xfId="373" applyFont="1" applyBorder="1" applyAlignment="1">
      <alignment horizontal="centerContinuous"/>
    </xf>
    <xf numFmtId="0" fontId="31" fillId="0" borderId="5" xfId="373" applyFont="1" applyBorder="1" applyAlignment="1">
      <alignment horizontal="centerContinuous"/>
    </xf>
    <xf numFmtId="167" fontId="26" fillId="0" borderId="5" xfId="373" applyNumberFormat="1" applyFont="1" applyBorder="1" applyAlignment="1">
      <alignment horizontal="centerContinuous"/>
    </xf>
    <xf numFmtId="167" fontId="24" fillId="0" borderId="6" xfId="373" applyNumberFormat="1" applyBorder="1" applyAlignment="1">
      <alignment horizontal="centerContinuous" vertical="top"/>
    </xf>
    <xf numFmtId="0" fontId="30" fillId="0" borderId="5" xfId="373" applyFont="1" applyBorder="1" applyAlignment="1">
      <alignment horizontal="centerContinuous"/>
    </xf>
    <xf numFmtId="1" fontId="30" fillId="0" borderId="4" xfId="373" applyNumberFormat="1" applyFont="1" applyBorder="1" applyAlignment="1">
      <alignment horizontal="centerContinuous"/>
    </xf>
    <xf numFmtId="0" fontId="22" fillId="0" borderId="34" xfId="372" applyBorder="1" applyAlignment="1">
      <alignment horizontal="center"/>
    </xf>
    <xf numFmtId="0" fontId="22" fillId="0" borderId="27" xfId="372" applyBorder="1" applyAlignment="1">
      <alignment horizontal="center"/>
    </xf>
    <xf numFmtId="0" fontId="51" fillId="10" borderId="27" xfId="372" applyFont="1" applyFill="1" applyBorder="1" applyProtection="1">
      <protection locked="0"/>
    </xf>
    <xf numFmtId="0" fontId="22" fillId="0" borderId="27" xfId="372" applyBorder="1" applyAlignment="1" applyProtection="1">
      <alignment horizontal="left" wrapText="1"/>
      <protection locked="0"/>
    </xf>
    <xf numFmtId="1" fontId="22" fillId="10" borderId="19" xfId="372" applyNumberFormat="1" applyFill="1" applyBorder="1" applyProtection="1">
      <protection locked="0"/>
    </xf>
    <xf numFmtId="0" fontId="23" fillId="0" borderId="4" xfId="372" applyFont="1" applyBorder="1" applyAlignment="1">
      <alignment horizontal="centerContinuous"/>
    </xf>
    <xf numFmtId="0" fontId="25" fillId="0" borderId="5" xfId="373" applyFont="1" applyBorder="1" applyAlignment="1">
      <alignment horizontal="centerContinuous"/>
    </xf>
    <xf numFmtId="0" fontId="26" fillId="0" borderId="5" xfId="373" applyFont="1" applyBorder="1" applyAlignment="1">
      <alignment horizontal="centerContinuous"/>
    </xf>
    <xf numFmtId="0" fontId="24" fillId="0" borderId="6" xfId="373" applyBorder="1" applyAlignment="1">
      <alignment horizontal="centerContinuous" vertical="top"/>
    </xf>
    <xf numFmtId="0" fontId="27" fillId="0" borderId="5" xfId="373" applyFont="1" applyBorder="1" applyAlignment="1">
      <alignment horizontal="centerContinuous"/>
    </xf>
    <xf numFmtId="0" fontId="24" fillId="0" borderId="5" xfId="373" applyBorder="1" applyAlignment="1">
      <alignment horizontal="centerContinuous" vertical="top"/>
    </xf>
    <xf numFmtId="2" fontId="61" fillId="3" borderId="1" xfId="372" applyNumberFormat="1" applyFont="1" applyFill="1" applyBorder="1" applyAlignment="1" applyProtection="1">
      <alignment horizontal="center"/>
      <protection locked="0"/>
    </xf>
    <xf numFmtId="2" fontId="61" fillId="0" borderId="1" xfId="372" applyNumberFormat="1" applyFont="1" applyBorder="1" applyAlignment="1" applyProtection="1">
      <alignment horizontal="center"/>
      <protection locked="0"/>
    </xf>
    <xf numFmtId="2" fontId="61" fillId="4" borderId="1" xfId="372" applyNumberFormat="1" applyFont="1" applyFill="1" applyBorder="1" applyAlignment="1">
      <alignment horizontal="center"/>
    </xf>
    <xf numFmtId="2" fontId="61" fillId="4" borderId="16" xfId="372" applyNumberFormat="1" applyFont="1" applyFill="1" applyBorder="1" applyAlignment="1">
      <alignment horizontal="center" vertical="center"/>
    </xf>
    <xf numFmtId="0" fontId="7" fillId="4" borderId="18" xfId="0" applyFont="1" applyFill="1" applyBorder="1" applyAlignment="1">
      <alignment horizontal="center" vertical="center" wrapText="1"/>
    </xf>
    <xf numFmtId="1" fontId="33" fillId="0" borderId="10" xfId="374" applyNumberFormat="1" applyFont="1" applyBorder="1"/>
    <xf numFmtId="1" fontId="34" fillId="0" borderId="10" xfId="372" applyNumberFormat="1" applyFont="1" applyBorder="1" applyAlignment="1">
      <alignment horizontal="center"/>
    </xf>
    <xf numFmtId="1" fontId="17" fillId="0" borderId="0" xfId="0" applyNumberFormat="1" applyFont="1"/>
    <xf numFmtId="0" fontId="131" fillId="0" borderId="0" xfId="374" applyFont="1"/>
    <xf numFmtId="0" fontId="0" fillId="2" borderId="1" xfId="0" applyFill="1" applyBorder="1" applyAlignment="1" applyProtection="1">
      <alignment horizontal="left"/>
      <protection locked="0"/>
    </xf>
    <xf numFmtId="1" fontId="50" fillId="2" borderId="7" xfId="372" applyNumberFormat="1" applyFont="1" applyFill="1" applyBorder="1" applyAlignment="1">
      <alignment horizontal="center"/>
    </xf>
    <xf numFmtId="0" fontId="51" fillId="2" borderId="10" xfId="372" applyFont="1" applyFill="1" applyBorder="1" applyProtection="1">
      <protection locked="0"/>
    </xf>
    <xf numFmtId="0" fontId="22" fillId="2" borderId="10" xfId="372" applyFill="1" applyBorder="1" applyAlignment="1" applyProtection="1">
      <alignment horizontal="left" wrapText="1"/>
      <protection locked="0"/>
    </xf>
    <xf numFmtId="1" fontId="22" fillId="2" borderId="7" xfId="372" applyNumberFormat="1" applyFill="1" applyBorder="1" applyProtection="1">
      <protection locked="0"/>
    </xf>
    <xf numFmtId="0" fontId="34" fillId="2" borderId="7" xfId="372" applyFont="1" applyFill="1" applyBorder="1" applyAlignment="1" applyProtection="1">
      <alignment horizontal="center"/>
      <protection locked="0"/>
    </xf>
    <xf numFmtId="0" fontId="132" fillId="4" borderId="7" xfId="372" applyFont="1" applyFill="1" applyBorder="1" applyAlignment="1">
      <alignment horizontal="center"/>
    </xf>
    <xf numFmtId="0" fontId="22" fillId="4" borderId="6" xfId="372" applyFill="1" applyBorder="1" applyAlignment="1">
      <alignment horizontal="center"/>
    </xf>
    <xf numFmtId="0" fontId="50" fillId="2" borderId="5" xfId="372" applyFont="1" applyFill="1" applyBorder="1" applyProtection="1">
      <protection locked="0"/>
    </xf>
    <xf numFmtId="0" fontId="50" fillId="2" borderId="27" xfId="372" applyFont="1" applyFill="1" applyBorder="1" applyProtection="1">
      <protection locked="0"/>
    </xf>
    <xf numFmtId="0" fontId="0" fillId="2" borderId="64" xfId="0" applyFill="1" applyBorder="1" applyProtection="1">
      <protection locked="0"/>
    </xf>
    <xf numFmtId="2" fontId="85" fillId="31" borderId="22" xfId="0" applyNumberFormat="1" applyFont="1" applyFill="1" applyBorder="1"/>
    <xf numFmtId="0" fontId="62" fillId="0" borderId="0" xfId="505" applyFont="1" applyAlignment="1">
      <alignment wrapText="1"/>
    </xf>
    <xf numFmtId="166" fontId="0" fillId="3" borderId="9" xfId="0" applyNumberFormat="1" applyFill="1" applyBorder="1" applyAlignment="1" applyProtection="1">
      <alignment horizontal="center"/>
      <protection locked="0"/>
    </xf>
    <xf numFmtId="166" fontId="0" fillId="3" borderId="15" xfId="0" applyNumberFormat="1" applyFill="1" applyBorder="1" applyAlignment="1" applyProtection="1">
      <alignment horizontal="center"/>
      <protection locked="0"/>
    </xf>
    <xf numFmtId="0" fontId="0" fillId="5" borderId="27" xfId="0" applyFill="1" applyBorder="1" applyAlignment="1">
      <alignment vertical="center"/>
    </xf>
    <xf numFmtId="0" fontId="0" fillId="5" borderId="5" xfId="0" applyFill="1" applyBorder="1" applyAlignment="1">
      <alignment vertical="center"/>
    </xf>
    <xf numFmtId="0" fontId="135" fillId="0" borderId="0" xfId="0" applyFont="1"/>
    <xf numFmtId="0" fontId="0" fillId="2" borderId="1" xfId="0" applyFill="1" applyBorder="1" applyAlignment="1" applyProtection="1">
      <alignment horizontal="left" wrapText="1"/>
      <protection locked="0"/>
    </xf>
    <xf numFmtId="0" fontId="0" fillId="2" borderId="14" xfId="0" applyFill="1" applyBorder="1" applyAlignment="1" applyProtection="1">
      <alignment horizontal="left"/>
      <protection locked="0"/>
    </xf>
    <xf numFmtId="0" fontId="0" fillId="2" borderId="16" xfId="0" applyFill="1" applyBorder="1" applyAlignment="1" applyProtection="1">
      <alignment horizontal="left"/>
      <protection locked="0"/>
    </xf>
    <xf numFmtId="0" fontId="0" fillId="2" borderId="17" xfId="0" applyFill="1" applyBorder="1" applyAlignment="1" applyProtection="1">
      <alignment horizontal="left"/>
      <protection locked="0"/>
    </xf>
    <xf numFmtId="166" fontId="0" fillId="3" borderId="4" xfId="0" applyNumberFormat="1" applyFill="1" applyBorder="1" applyAlignment="1" applyProtection="1">
      <alignment horizontal="center" wrapText="1"/>
      <protection locked="0"/>
    </xf>
    <xf numFmtId="166" fontId="0" fillId="4" borderId="1" xfId="0" applyNumberFormat="1" applyFill="1" applyBorder="1" applyAlignment="1" applyProtection="1">
      <alignment horizontal="center" wrapText="1"/>
      <protection locked="0"/>
    </xf>
    <xf numFmtId="0" fontId="0" fillId="2" borderId="14" xfId="0" applyFill="1" applyBorder="1" applyAlignment="1" applyProtection="1">
      <alignment horizontal="left" wrapText="1"/>
      <protection locked="0"/>
    </xf>
    <xf numFmtId="0" fontId="0" fillId="2" borderId="16" xfId="0" applyFill="1" applyBorder="1" applyAlignment="1" applyProtection="1">
      <alignment horizontal="left" wrapText="1"/>
      <protection locked="0"/>
    </xf>
    <xf numFmtId="166" fontId="0" fillId="5" borderId="27" xfId="0" applyNumberFormat="1" applyFill="1" applyBorder="1" applyAlignment="1">
      <alignment horizontal="right"/>
    </xf>
    <xf numFmtId="0" fontId="0" fillId="5" borderId="10" xfId="0" applyFill="1" applyBorder="1" applyAlignment="1">
      <alignment horizontal="center"/>
    </xf>
    <xf numFmtId="2" fontId="14" fillId="5" borderId="1" xfId="0" applyNumberFormat="1" applyFont="1" applyFill="1" applyBorder="1"/>
    <xf numFmtId="2" fontId="14" fillId="5" borderId="16" xfId="0" applyNumberFormat="1" applyFont="1" applyFill="1" applyBorder="1"/>
    <xf numFmtId="0" fontId="61" fillId="4" borderId="14" xfId="372" applyFont="1" applyFill="1" applyBorder="1" applyAlignment="1" applyProtection="1">
      <alignment horizontal="right"/>
      <protection locked="0"/>
    </xf>
    <xf numFmtId="0" fontId="22" fillId="4" borderId="14" xfId="372" applyFill="1" applyBorder="1"/>
    <xf numFmtId="0" fontId="61" fillId="4" borderId="40" xfId="372" applyFont="1" applyFill="1" applyBorder="1" applyAlignment="1" applyProtection="1">
      <alignment horizontal="right"/>
      <protection locked="0"/>
    </xf>
    <xf numFmtId="0" fontId="17" fillId="22" borderId="0" xfId="0" applyFont="1" applyFill="1"/>
    <xf numFmtId="0" fontId="136" fillId="0" borderId="0" xfId="0" applyFont="1"/>
    <xf numFmtId="0" fontId="138" fillId="0" borderId="0" xfId="0" applyFont="1"/>
    <xf numFmtId="0" fontId="139" fillId="0" borderId="0" xfId="0" applyFont="1" applyAlignment="1">
      <alignment horizontal="left"/>
    </xf>
    <xf numFmtId="0" fontId="0" fillId="0" borderId="33" xfId="0" applyBorder="1" applyAlignment="1">
      <alignment horizontal="center" wrapText="1"/>
    </xf>
    <xf numFmtId="0" fontId="0" fillId="46" borderId="0" xfId="0" applyFill="1" applyAlignment="1">
      <alignment wrapText="1"/>
    </xf>
    <xf numFmtId="0" fontId="0" fillId="46" borderId="78" xfId="0" applyFill="1" applyBorder="1" applyAlignment="1">
      <alignment wrapText="1"/>
    </xf>
    <xf numFmtId="0" fontId="0" fillId="0" borderId="33" xfId="0" applyBorder="1"/>
    <xf numFmtId="0" fontId="17" fillId="22" borderId="0" xfId="0" applyFont="1" applyFill="1" applyAlignment="1">
      <alignment horizontal="center"/>
    </xf>
    <xf numFmtId="0" fontId="0" fillId="0" borderId="1" xfId="0" applyBorder="1" applyAlignment="1">
      <alignment wrapText="1"/>
    </xf>
    <xf numFmtId="0" fontId="0" fillId="46" borderId="1" xfId="0" applyFill="1" applyBorder="1" applyAlignment="1">
      <alignment horizontal="center" wrapText="1"/>
    </xf>
    <xf numFmtId="0" fontId="0" fillId="0" borderId="9" xfId="0" applyBorder="1" applyAlignment="1">
      <alignment horizontal="center" wrapText="1"/>
    </xf>
    <xf numFmtId="0" fontId="0" fillId="46" borderId="14" xfId="0" applyFill="1" applyBorder="1" applyAlignment="1">
      <alignment wrapText="1"/>
    </xf>
    <xf numFmtId="0" fontId="0" fillId="0" borderId="14" xfId="0" applyBorder="1"/>
    <xf numFmtId="0" fontId="114" fillId="2" borderId="0" xfId="372" applyFont="1" applyFill="1" applyAlignment="1">
      <alignment horizontal="center"/>
    </xf>
    <xf numFmtId="0" fontId="107" fillId="2" borderId="0" xfId="372" applyFont="1" applyFill="1" applyAlignment="1">
      <alignment horizontal="left"/>
    </xf>
    <xf numFmtId="0" fontId="77" fillId="2" borderId="0" xfId="372" applyFont="1" applyFill="1" applyAlignment="1">
      <alignment horizontal="left"/>
    </xf>
    <xf numFmtId="0" fontId="117" fillId="2" borderId="0" xfId="0" applyFont="1" applyFill="1" applyAlignment="1">
      <alignment horizontal="left"/>
    </xf>
    <xf numFmtId="9" fontId="107" fillId="2" borderId="0" xfId="372" applyNumberFormat="1" applyFont="1" applyFill="1" applyAlignment="1">
      <alignment horizontal="left"/>
    </xf>
    <xf numFmtId="0" fontId="141" fillId="2" borderId="0" xfId="372" applyFont="1" applyFill="1"/>
    <xf numFmtId="0" fontId="110" fillId="2" borderId="0" xfId="372" applyFont="1" applyFill="1" applyAlignment="1">
      <alignment horizontal="left"/>
    </xf>
    <xf numFmtId="0" fontId="111" fillId="2" borderId="0" xfId="372" applyFont="1" applyFill="1" applyAlignment="1">
      <alignment horizontal="left"/>
    </xf>
    <xf numFmtId="0" fontId="112" fillId="2" borderId="0" xfId="372" applyFont="1" applyFill="1" applyAlignment="1">
      <alignment horizontal="left"/>
    </xf>
    <xf numFmtId="0" fontId="113" fillId="2" borderId="0" xfId="372" applyFont="1" applyFill="1" applyAlignment="1">
      <alignment horizontal="left"/>
    </xf>
    <xf numFmtId="0" fontId="135" fillId="0" borderId="23" xfId="0" applyFont="1" applyBorder="1"/>
    <xf numFmtId="0" fontId="135" fillId="0" borderId="24" xfId="0" applyFont="1" applyBorder="1"/>
    <xf numFmtId="0" fontId="0" fillId="46" borderId="0" xfId="0" applyFill="1"/>
    <xf numFmtId="0" fontId="0" fillId="46" borderId="78" xfId="0" applyFill="1" applyBorder="1"/>
    <xf numFmtId="0" fontId="135" fillId="46" borderId="24" xfId="0" applyFont="1" applyFill="1" applyBorder="1"/>
    <xf numFmtId="0" fontId="0" fillId="46" borderId="1" xfId="0" applyFill="1" applyBorder="1"/>
    <xf numFmtId="0" fontId="0" fillId="46" borderId="14" xfId="0" applyFill="1" applyBorder="1"/>
    <xf numFmtId="0" fontId="135" fillId="46" borderId="25" xfId="0" applyFont="1" applyFill="1" applyBorder="1"/>
    <xf numFmtId="0" fontId="142" fillId="2" borderId="0" xfId="372" applyFont="1" applyFill="1"/>
    <xf numFmtId="0" fontId="144" fillId="2" borderId="0" xfId="372" applyFont="1" applyFill="1"/>
    <xf numFmtId="2" fontId="144" fillId="0" borderId="0" xfId="372" applyNumberFormat="1" applyFont="1"/>
    <xf numFmtId="2" fontId="145" fillId="0" borderId="0" xfId="372" applyNumberFormat="1" applyFont="1"/>
    <xf numFmtId="0" fontId="145" fillId="2" borderId="0" xfId="372" applyFont="1" applyFill="1" applyAlignment="1">
      <alignment horizontal="left"/>
    </xf>
    <xf numFmtId="0" fontId="0" fillId="27" borderId="9" xfId="0" applyFill="1" applyBorder="1" applyAlignment="1">
      <alignment horizontal="center" wrapText="1"/>
    </xf>
    <xf numFmtId="0" fontId="0" fillId="27" borderId="1" xfId="0" applyFill="1" applyBorder="1" applyAlignment="1">
      <alignment wrapText="1"/>
    </xf>
    <xf numFmtId="0" fontId="0" fillId="27" borderId="14" xfId="0" applyFill="1" applyBorder="1" applyAlignment="1">
      <alignment wrapText="1"/>
    </xf>
    <xf numFmtId="0" fontId="135" fillId="27" borderId="24" xfId="0" applyFont="1" applyFill="1" applyBorder="1"/>
    <xf numFmtId="0" fontId="0" fillId="27" borderId="1" xfId="0" applyFill="1" applyBorder="1" applyAlignment="1">
      <alignment horizontal="center" wrapText="1"/>
    </xf>
    <xf numFmtId="0" fontId="0" fillId="46" borderId="4" xfId="0" applyFill="1" applyBorder="1" applyAlignment="1">
      <alignment wrapText="1"/>
    </xf>
    <xf numFmtId="0" fontId="0" fillId="46" borderId="4" xfId="0" applyFill="1" applyBorder="1"/>
    <xf numFmtId="0" fontId="135" fillId="27" borderId="45" xfId="0" applyFont="1" applyFill="1" applyBorder="1"/>
    <xf numFmtId="0" fontId="135" fillId="27" borderId="76" xfId="0" applyFont="1" applyFill="1" applyBorder="1"/>
    <xf numFmtId="0" fontId="0" fillId="27" borderId="9" xfId="0" applyFill="1" applyBorder="1" applyAlignment="1">
      <alignment wrapText="1"/>
    </xf>
    <xf numFmtId="0" fontId="17" fillId="22" borderId="14" xfId="0" applyFont="1" applyFill="1" applyBorder="1"/>
    <xf numFmtId="0" fontId="0" fillId="0" borderId="95" xfId="0" applyBorder="1"/>
    <xf numFmtId="0" fontId="17" fillId="0" borderId="78" xfId="0" applyFont="1" applyBorder="1"/>
    <xf numFmtId="2" fontId="17" fillId="0" borderId="78" xfId="0" applyNumberFormat="1" applyFont="1" applyBorder="1" applyAlignment="1">
      <alignment horizontal="center"/>
    </xf>
    <xf numFmtId="166" fontId="17" fillId="0" borderId="78" xfId="0" applyNumberFormat="1" applyFont="1" applyBorder="1" applyAlignment="1">
      <alignment wrapText="1"/>
    </xf>
    <xf numFmtId="166" fontId="0" fillId="2" borderId="1" xfId="0" applyNumberFormat="1" applyFill="1" applyBorder="1" applyAlignment="1" applyProtection="1">
      <alignment horizontal="center"/>
      <protection locked="0"/>
    </xf>
    <xf numFmtId="166" fontId="0" fillId="2" borderId="16" xfId="0" applyNumberFormat="1" applyFill="1" applyBorder="1" applyAlignment="1" applyProtection="1">
      <alignment horizontal="center"/>
      <protection locked="0"/>
    </xf>
    <xf numFmtId="166" fontId="0" fillId="2" borderId="1" xfId="0" applyNumberFormat="1" applyFill="1" applyBorder="1" applyAlignment="1">
      <alignment horizontal="center"/>
    </xf>
    <xf numFmtId="166" fontId="0" fillId="2" borderId="16" xfId="0" applyNumberFormat="1" applyFill="1" applyBorder="1" applyAlignment="1">
      <alignment horizontal="center"/>
    </xf>
    <xf numFmtId="0" fontId="0" fillId="4" borderId="5" xfId="0" applyFill="1" applyBorder="1" applyAlignment="1">
      <alignment horizontal="center" wrapText="1"/>
    </xf>
    <xf numFmtId="0" fontId="0" fillId="4" borderId="9" xfId="0" applyFill="1" applyBorder="1" applyAlignment="1">
      <alignment wrapText="1"/>
    </xf>
    <xf numFmtId="0" fontId="13" fillId="0" borderId="0" xfId="0" applyFont="1" applyAlignment="1">
      <alignment wrapText="1"/>
    </xf>
    <xf numFmtId="0" fontId="13" fillId="46" borderId="78" xfId="0" applyFont="1" applyFill="1" applyBorder="1" applyAlignment="1">
      <alignment wrapText="1"/>
    </xf>
    <xf numFmtId="0" fontId="13" fillId="46" borderId="0" xfId="0" applyFont="1" applyFill="1" applyAlignment="1">
      <alignment wrapText="1"/>
    </xf>
    <xf numFmtId="0" fontId="13" fillId="0" borderId="33" xfId="0" applyFont="1" applyBorder="1" applyAlignment="1">
      <alignment horizontal="center" wrapText="1"/>
    </xf>
    <xf numFmtId="0" fontId="149" fillId="4" borderId="59" xfId="372" applyFont="1" applyFill="1" applyBorder="1" applyAlignment="1">
      <alignment horizontal="center" vertical="center" wrapText="1"/>
    </xf>
    <xf numFmtId="2" fontId="85" fillId="48" borderId="22" xfId="0" applyNumberFormat="1" applyFont="1" applyFill="1" applyBorder="1" applyAlignment="1">
      <alignment horizontal="center"/>
    </xf>
    <xf numFmtId="166" fontId="0" fillId="4" borderId="1" xfId="0" applyNumberFormat="1" applyFill="1" applyBorder="1" applyAlignment="1" applyProtection="1">
      <alignment horizontal="center"/>
      <protection locked="0"/>
    </xf>
    <xf numFmtId="0" fontId="0" fillId="4" borderId="1" xfId="0" applyFill="1" applyBorder="1" applyAlignment="1" applyProtection="1">
      <alignment horizontal="left" wrapText="1"/>
      <protection locked="0"/>
    </xf>
    <xf numFmtId="0" fontId="0" fillId="4" borderId="1" xfId="0" applyFill="1" applyBorder="1" applyAlignment="1" applyProtection="1">
      <alignment horizontal="left"/>
      <protection locked="0"/>
    </xf>
    <xf numFmtId="0" fontId="0" fillId="4" borderId="14" xfId="0" applyFill="1" applyBorder="1" applyAlignment="1" applyProtection="1">
      <alignment horizontal="left"/>
      <protection locked="0"/>
    </xf>
    <xf numFmtId="0" fontId="17" fillId="0" borderId="0" xfId="0" applyFont="1" applyAlignment="1">
      <alignment horizontal="left" wrapText="1"/>
    </xf>
    <xf numFmtId="0" fontId="127" fillId="0" borderId="0" xfId="0" applyFont="1" applyAlignment="1">
      <alignment wrapText="1"/>
    </xf>
    <xf numFmtId="0" fontId="95" fillId="0" borderId="0" xfId="0" applyFont="1" applyAlignment="1">
      <alignment horizontal="left" wrapText="1"/>
    </xf>
    <xf numFmtId="0" fontId="92" fillId="31" borderId="0" xfId="0" applyFont="1" applyFill="1" applyAlignment="1">
      <alignment horizontal="center" vertical="center"/>
    </xf>
    <xf numFmtId="2" fontId="0" fillId="5" borderId="40" xfId="0" applyNumberFormat="1" applyFill="1" applyBorder="1"/>
    <xf numFmtId="2" fontId="17" fillId="31" borderId="40" xfId="0" applyNumberFormat="1" applyFont="1" applyFill="1" applyBorder="1"/>
    <xf numFmtId="0" fontId="24" fillId="0" borderId="0" xfId="505" applyFont="1" applyAlignment="1">
      <alignment horizontal="center"/>
    </xf>
    <xf numFmtId="0" fontId="62" fillId="0" borderId="0" xfId="505" applyFont="1" applyAlignment="1">
      <alignment horizontal="left" vertical="center" wrapText="1"/>
    </xf>
    <xf numFmtId="0" fontId="62" fillId="0" borderId="0" xfId="505" applyFont="1" applyAlignment="1">
      <alignment horizontal="left" wrapText="1"/>
    </xf>
    <xf numFmtId="0" fontId="37" fillId="14" borderId="0" xfId="505" applyFill="1" applyAlignment="1">
      <alignment horizontal="justify" vertical="justify" wrapText="1"/>
    </xf>
    <xf numFmtId="0" fontId="37" fillId="18" borderId="0" xfId="505" applyFill="1" applyAlignment="1">
      <alignment horizontal="justify" vertical="justify" wrapText="1"/>
    </xf>
    <xf numFmtId="0" fontId="37" fillId="0" borderId="0" xfId="505" applyAlignment="1">
      <alignment horizontal="justify" vertical="justify" wrapText="1"/>
    </xf>
    <xf numFmtId="0" fontId="37" fillId="28" borderId="0" xfId="505" applyFill="1" applyAlignment="1">
      <alignment horizontal="left" vertical="justify" wrapText="1"/>
    </xf>
    <xf numFmtId="0" fontId="0" fillId="0" borderId="0" xfId="0" applyAlignment="1">
      <alignment horizontal="center" wrapText="1"/>
    </xf>
    <xf numFmtId="0" fontId="96" fillId="0" borderId="0" xfId="0" applyFont="1" applyAlignment="1">
      <alignment horizontal="left"/>
    </xf>
    <xf numFmtId="0" fontId="0" fillId="0" borderId="0" xfId="0" applyAlignment="1">
      <alignment horizontal="left" wrapText="1"/>
    </xf>
    <xf numFmtId="0" fontId="96" fillId="0" borderId="0" xfId="0" applyFont="1" applyAlignment="1">
      <alignment horizontal="center"/>
    </xf>
    <xf numFmtId="0" fontId="0" fillId="0" borderId="0" xfId="0" applyAlignment="1">
      <alignment horizontal="center"/>
    </xf>
    <xf numFmtId="0" fontId="126" fillId="0" borderId="0" xfId="0" applyFont="1" applyAlignment="1">
      <alignment horizontal="center" wrapText="1"/>
    </xf>
    <xf numFmtId="0" fontId="78" fillId="0" borderId="0" xfId="0" applyFont="1" applyAlignment="1">
      <alignment horizontal="left" wrapText="1"/>
    </xf>
    <xf numFmtId="0" fontId="8" fillId="0" borderId="0" xfId="0" applyFont="1" applyAlignment="1">
      <alignment horizontal="left" wrapText="1"/>
    </xf>
    <xf numFmtId="0" fontId="0" fillId="0" borderId="0" xfId="0" applyAlignment="1">
      <alignment horizontal="left"/>
    </xf>
    <xf numFmtId="0" fontId="150" fillId="0" borderId="0" xfId="0" applyFont="1" applyAlignment="1">
      <alignment horizontal="left" wrapText="1"/>
    </xf>
    <xf numFmtId="0" fontId="127" fillId="0" borderId="0" xfId="0" applyFont="1" applyAlignment="1">
      <alignment horizontal="left" wrapText="1"/>
    </xf>
    <xf numFmtId="0" fontId="93" fillId="0" borderId="0" xfId="0" applyFont="1" applyAlignment="1">
      <alignment horizontal="left"/>
    </xf>
    <xf numFmtId="0" fontId="93" fillId="0" borderId="0" xfId="0" applyFont="1" applyAlignment="1">
      <alignment horizontal="left" wrapText="1"/>
    </xf>
    <xf numFmtId="0" fontId="0" fillId="0" borderId="0" xfId="505" applyFont="1" applyAlignment="1">
      <alignment horizontal="left" vertical="justify"/>
    </xf>
    <xf numFmtId="0" fontId="2" fillId="0" borderId="0" xfId="505" applyFont="1" applyAlignment="1">
      <alignment horizontal="left" vertical="justify"/>
    </xf>
    <xf numFmtId="0" fontId="138" fillId="0" borderId="0" xfId="0" applyFont="1" applyAlignment="1">
      <alignment horizontal="left" wrapText="1"/>
    </xf>
    <xf numFmtId="0" fontId="139" fillId="0" borderId="0" xfId="0" applyFont="1" applyAlignment="1">
      <alignment horizontal="left"/>
    </xf>
    <xf numFmtId="0" fontId="138" fillId="0" borderId="0" xfId="0" applyFont="1" applyAlignment="1">
      <alignment horizontal="left"/>
    </xf>
    <xf numFmtId="0" fontId="137" fillId="0" borderId="0" xfId="0" applyFont="1" applyAlignment="1">
      <alignment horizontal="center"/>
    </xf>
    <xf numFmtId="0" fontId="92" fillId="0" borderId="24" xfId="0" applyFont="1" applyBorder="1" applyAlignment="1">
      <alignment horizontal="center" vertical="center"/>
    </xf>
    <xf numFmtId="0" fontId="99" fillId="31" borderId="67" xfId="0" applyFont="1" applyFill="1" applyBorder="1" applyAlignment="1">
      <alignment horizontal="center" vertical="center" textRotation="90"/>
    </xf>
    <xf numFmtId="0" fontId="99" fillId="31" borderId="68" xfId="0" applyFont="1" applyFill="1" applyBorder="1" applyAlignment="1">
      <alignment horizontal="center" vertical="center" textRotation="90"/>
    </xf>
    <xf numFmtId="0" fontId="11" fillId="6" borderId="37" xfId="0" applyFont="1" applyFill="1" applyBorder="1" applyAlignment="1" applyProtection="1">
      <alignment horizontal="center"/>
      <protection locked="0"/>
    </xf>
    <xf numFmtId="0" fontId="11" fillId="6" borderId="38" xfId="0" applyFont="1" applyFill="1" applyBorder="1" applyAlignment="1" applyProtection="1">
      <alignment horizontal="center"/>
      <protection locked="0"/>
    </xf>
    <xf numFmtId="0" fontId="11"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49" fontId="0" fillId="3" borderId="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 xfId="0" applyFill="1" applyBorder="1" applyAlignment="1">
      <alignment horizontal="left" wrapText="1"/>
    </xf>
    <xf numFmtId="0" fontId="7" fillId="3" borderId="42" xfId="0" applyFont="1" applyFill="1" applyBorder="1" applyAlignment="1" applyProtection="1">
      <alignment horizontal="center" wrapText="1"/>
      <protection locked="0"/>
    </xf>
    <xf numFmtId="0" fontId="7" fillId="3" borderId="43" xfId="0" applyFont="1" applyFill="1" applyBorder="1" applyAlignment="1" applyProtection="1">
      <alignment horizontal="center" wrapText="1"/>
      <protection locked="0"/>
    </xf>
    <xf numFmtId="0" fontId="7" fillId="3" borderId="44" xfId="0" applyFont="1" applyFill="1" applyBorder="1" applyAlignment="1" applyProtection="1">
      <alignment horizontal="center" wrapText="1"/>
      <protection locked="0"/>
    </xf>
    <xf numFmtId="0" fontId="7" fillId="5" borderId="34" xfId="0" applyFont="1" applyFill="1" applyBorder="1" applyAlignment="1">
      <alignment horizontal="left" wrapText="1"/>
    </xf>
    <xf numFmtId="0" fontId="7" fillId="5" borderId="27" xfId="0" applyFont="1" applyFill="1" applyBorder="1" applyAlignment="1">
      <alignment horizontal="left" wrapText="1"/>
    </xf>
    <xf numFmtId="0" fontId="7" fillId="5" borderId="75" xfId="0" applyFont="1" applyFill="1" applyBorder="1" applyAlignment="1">
      <alignment horizontal="left" wrapText="1"/>
    </xf>
    <xf numFmtId="0" fontId="99" fillId="31" borderId="66" xfId="0" applyFont="1" applyFill="1" applyBorder="1" applyAlignment="1">
      <alignment horizontal="center" vertical="center" textRotation="9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165" fontId="0" fillId="3" borderId="40" xfId="0" applyNumberFormat="1" applyFill="1" applyBorder="1" applyAlignment="1" applyProtection="1">
      <alignment horizontal="center"/>
      <protection locked="0"/>
    </xf>
    <xf numFmtId="0" fontId="89" fillId="31" borderId="37" xfId="0" applyFont="1" applyFill="1" applyBorder="1" applyAlignment="1">
      <alignment horizontal="left"/>
    </xf>
    <xf numFmtId="0" fontId="89" fillId="31" borderId="38" xfId="0" applyFont="1" applyFill="1" applyBorder="1" applyAlignment="1">
      <alignment horizontal="left"/>
    </xf>
    <xf numFmtId="0" fontId="89" fillId="31" borderId="39" xfId="0" applyFont="1" applyFill="1" applyBorder="1" applyAlignment="1">
      <alignment horizontal="left"/>
    </xf>
    <xf numFmtId="0" fontId="0" fillId="5" borderId="3" xfId="0" applyFill="1" applyBorder="1" applyAlignment="1">
      <alignment horizontal="left" wrapText="1"/>
    </xf>
    <xf numFmtId="0" fontId="0" fillId="5" borderId="0" xfId="0" applyFill="1" applyAlignment="1">
      <alignment horizontal="left" wrapText="1"/>
    </xf>
    <xf numFmtId="0" fontId="0" fillId="5" borderId="78" xfId="0" applyFill="1" applyBorder="1" applyAlignment="1">
      <alignment horizontal="left" wrapText="1"/>
    </xf>
    <xf numFmtId="0" fontId="7" fillId="5" borderId="2" xfId="0" applyFont="1" applyFill="1" applyBorder="1" applyAlignment="1">
      <alignment horizontal="left"/>
    </xf>
    <xf numFmtId="0" fontId="7" fillId="5" borderId="10" xfId="0" applyFont="1" applyFill="1" applyBorder="1" applyAlignment="1">
      <alignment horizontal="left"/>
    </xf>
    <xf numFmtId="0" fontId="7" fillId="5" borderId="77" xfId="0" applyFont="1" applyFill="1" applyBorder="1" applyAlignment="1">
      <alignment horizontal="left"/>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165" fontId="0" fillId="5" borderId="4" xfId="0" applyNumberFormat="1" applyFill="1" applyBorder="1" applyAlignment="1">
      <alignment horizontal="center"/>
    </xf>
    <xf numFmtId="165" fontId="0" fillId="5" borderId="5" xfId="0" applyNumberFormat="1" applyFill="1" applyBorder="1" applyAlignment="1">
      <alignment horizontal="center"/>
    </xf>
    <xf numFmtId="165" fontId="0" fillId="5" borderId="40" xfId="0" applyNumberFormat="1" applyFill="1" applyBorder="1" applyAlignment="1">
      <alignment horizontal="center"/>
    </xf>
    <xf numFmtId="0" fontId="95" fillId="0" borderId="0" xfId="0" applyFont="1" applyAlignment="1">
      <alignment horizontal="left" wrapText="1"/>
    </xf>
    <xf numFmtId="0" fontId="95" fillId="0" borderId="45" xfId="0" applyFont="1" applyBorder="1" applyAlignment="1">
      <alignment horizontal="left" wrapText="1"/>
    </xf>
    <xf numFmtId="0" fontId="0" fillId="0" borderId="45" xfId="0" applyBorder="1" applyAlignment="1">
      <alignment horizontal="center" wrapText="1"/>
    </xf>
    <xf numFmtId="0" fontId="96"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5" xfId="0" applyNumberFormat="1" applyFill="1" applyBorder="1" applyAlignment="1" applyProtection="1">
      <alignment horizontal="center"/>
      <protection locked="0"/>
    </xf>
    <xf numFmtId="0" fontId="0" fillId="2" borderId="1" xfId="0" applyFill="1" applyBorder="1" applyAlignment="1">
      <alignment horizontal="left" wrapText="1"/>
    </xf>
    <xf numFmtId="0" fontId="100" fillId="31" borderId="61" xfId="0" applyFont="1" applyFill="1" applyBorder="1" applyAlignment="1">
      <alignment horizontal="center" vertical="center" textRotation="90"/>
    </xf>
    <xf numFmtId="0" fontId="100" fillId="31" borderId="46" xfId="0" applyFont="1" applyFill="1" applyBorder="1" applyAlignment="1">
      <alignment horizontal="center" vertical="center" textRotation="90"/>
    </xf>
    <xf numFmtId="0" fontId="7" fillId="3" borderId="4" xfId="0" applyFont="1" applyFill="1" applyBorder="1" applyAlignment="1" applyProtection="1">
      <alignment horizontal="center" wrapText="1"/>
      <protection locked="0"/>
    </xf>
    <xf numFmtId="0" fontId="7" fillId="3" borderId="5" xfId="0" applyFont="1" applyFill="1" applyBorder="1" applyAlignment="1" applyProtection="1">
      <alignment horizontal="center" wrapText="1"/>
      <protection locked="0"/>
    </xf>
    <xf numFmtId="0" fontId="7" fillId="3" borderId="40" xfId="0" applyFont="1" applyFill="1" applyBorder="1" applyAlignment="1" applyProtection="1">
      <alignment horizontal="center" wrapText="1"/>
      <protection locked="0"/>
    </xf>
    <xf numFmtId="0" fontId="93" fillId="0" borderId="0" xfId="0" applyFont="1" applyAlignment="1">
      <alignment horizontal="left" vertical="center" wrapText="1"/>
    </xf>
    <xf numFmtId="0" fontId="95" fillId="0" borderId="0" xfId="0" applyFont="1" applyAlignment="1">
      <alignment horizontal="left" vertical="center" wrapText="1"/>
    </xf>
    <xf numFmtId="0" fontId="0" fillId="5" borderId="2" xfId="0" applyFill="1" applyBorder="1" applyAlignment="1">
      <alignment horizontal="left"/>
    </xf>
    <xf numFmtId="0" fontId="0" fillId="5" borderId="10" xfId="0" applyFill="1" applyBorder="1" applyAlignment="1">
      <alignment horizontal="left"/>
    </xf>
    <xf numFmtId="0" fontId="0" fillId="5" borderId="4" xfId="0" applyFill="1" applyBorder="1" applyAlignment="1">
      <alignment horizontal="left" vertical="center"/>
    </xf>
    <xf numFmtId="0" fontId="0" fillId="5" borderId="5" xfId="0" applyFill="1" applyBorder="1" applyAlignment="1">
      <alignment horizontal="left" vertical="center"/>
    </xf>
    <xf numFmtId="0" fontId="78" fillId="2" borderId="4" xfId="0" applyFont="1" applyFill="1" applyBorder="1" applyAlignment="1" applyProtection="1">
      <alignment horizontal="left" vertical="center"/>
      <protection locked="0"/>
    </xf>
    <xf numFmtId="0" fontId="78" fillId="2" borderId="6" xfId="0" applyFont="1" applyFill="1" applyBorder="1" applyAlignment="1" applyProtection="1">
      <alignment horizontal="left" vertical="center"/>
      <protection locked="0"/>
    </xf>
    <xf numFmtId="0" fontId="0" fillId="5" borderId="34" xfId="0" applyFill="1" applyBorder="1" applyAlignment="1">
      <alignment horizontal="left" vertical="center"/>
    </xf>
    <xf numFmtId="0" fontId="0" fillId="5" borderId="27" xfId="0" applyFill="1" applyBorder="1" applyAlignment="1">
      <alignment horizontal="left" vertical="center"/>
    </xf>
    <xf numFmtId="0" fontId="78" fillId="2" borderId="13" xfId="0" applyFont="1" applyFill="1" applyBorder="1" applyAlignment="1" applyProtection="1">
      <alignment horizontal="left" vertical="center"/>
      <protection locked="0"/>
    </xf>
    <xf numFmtId="0" fontId="78" fillId="2" borderId="5" xfId="0" applyFont="1" applyFill="1" applyBorder="1" applyAlignment="1" applyProtection="1">
      <alignment horizontal="left" vertical="center"/>
      <protection locked="0"/>
    </xf>
    <xf numFmtId="0" fontId="93" fillId="0" borderId="0" xfId="0" applyFont="1" applyAlignment="1">
      <alignment horizontal="center" vertical="center"/>
    </xf>
    <xf numFmtId="0" fontId="93" fillId="0" borderId="0" xfId="0" applyFont="1" applyAlignment="1">
      <alignment horizontal="center" vertical="center" wrapText="1"/>
    </xf>
    <xf numFmtId="0" fontId="97" fillId="31" borderId="41" xfId="0" applyFont="1" applyFill="1" applyBorder="1" applyAlignment="1">
      <alignment horizontal="center" vertical="center" wrapText="1"/>
    </xf>
    <xf numFmtId="0" fontId="97" fillId="31" borderId="45" xfId="0" applyFont="1" applyFill="1" applyBorder="1" applyAlignment="1">
      <alignment horizontal="center" vertical="center" wrapText="1"/>
    </xf>
    <xf numFmtId="0" fontId="97" fillId="31" borderId="76" xfId="0" applyFont="1" applyFill="1" applyBorder="1" applyAlignment="1">
      <alignment horizontal="center" vertical="center" wrapText="1"/>
    </xf>
    <xf numFmtId="166" fontId="0" fillId="4" borderId="4" xfId="0" applyNumberFormat="1" applyFill="1" applyBorder="1" applyAlignment="1">
      <alignment horizontal="center" wrapText="1"/>
    </xf>
    <xf numFmtId="166" fontId="0" fillId="4" borderId="40" xfId="0" applyNumberFormat="1" applyFill="1" applyBorder="1" applyAlignment="1">
      <alignment horizontal="center" wrapText="1"/>
    </xf>
    <xf numFmtId="0" fontId="93" fillId="0" borderId="60" xfId="0" applyFont="1" applyBorder="1" applyAlignment="1">
      <alignment horizontal="left" vertical="center" wrapText="1"/>
    </xf>
    <xf numFmtId="0" fontId="7" fillId="4" borderId="12" xfId="0" applyFont="1" applyFill="1" applyBorder="1" applyAlignment="1">
      <alignment horizontal="center" vertical="center" wrapText="1"/>
    </xf>
    <xf numFmtId="0" fontId="97" fillId="31" borderId="36" xfId="0" applyFont="1" applyFill="1" applyBorder="1" applyAlignment="1">
      <alignment horizontal="center" vertical="center" wrapText="1"/>
    </xf>
    <xf numFmtId="0" fontId="97" fillId="31" borderId="60" xfId="0" applyFont="1" applyFill="1" applyBorder="1" applyAlignment="1">
      <alignment horizontal="center" vertical="center" wrapText="1"/>
    </xf>
    <xf numFmtId="0" fontId="97" fillId="31" borderId="65" xfId="0" applyFont="1" applyFill="1" applyBorder="1" applyAlignment="1">
      <alignment horizontal="center" vertical="center" wrapText="1"/>
    </xf>
    <xf numFmtId="0" fontId="78" fillId="4" borderId="62" xfId="0" applyFont="1" applyFill="1" applyBorder="1" applyAlignment="1">
      <alignment horizontal="left" vertical="center" wrapText="1"/>
    </xf>
    <xf numFmtId="0" fontId="78" fillId="4" borderId="27" xfId="0" applyFont="1" applyFill="1" applyBorder="1" applyAlignment="1">
      <alignment horizontal="left" vertical="center" wrapText="1"/>
    </xf>
    <xf numFmtId="0" fontId="78" fillId="4" borderId="19" xfId="0" applyFont="1" applyFill="1" applyBorder="1" applyAlignment="1">
      <alignment horizontal="left" vertical="center" wrapText="1"/>
    </xf>
    <xf numFmtId="0" fontId="87" fillId="31" borderId="36" xfId="0" applyFont="1" applyFill="1" applyBorder="1" applyAlignment="1">
      <alignment horizontal="center"/>
    </xf>
    <xf numFmtId="0" fontId="87" fillId="31" borderId="60" xfId="0" applyFont="1" applyFill="1" applyBorder="1" applyAlignment="1">
      <alignment horizontal="center"/>
    </xf>
    <xf numFmtId="0" fontId="87" fillId="31" borderId="65" xfId="0" applyFont="1" applyFill="1" applyBorder="1" applyAlignment="1">
      <alignment horizontal="center"/>
    </xf>
    <xf numFmtId="0" fontId="87" fillId="31" borderId="33" xfId="0" applyFont="1" applyFill="1" applyBorder="1" applyAlignment="1">
      <alignment horizontal="center"/>
    </xf>
    <xf numFmtId="0" fontId="87" fillId="31" borderId="0" xfId="0" applyFont="1" applyFill="1" applyAlignment="1">
      <alignment horizontal="center"/>
    </xf>
    <xf numFmtId="0" fontId="87" fillId="31" borderId="62" xfId="0" applyFont="1" applyFill="1" applyBorder="1" applyAlignment="1">
      <alignment horizontal="center"/>
    </xf>
    <xf numFmtId="0" fontId="87" fillId="31" borderId="27" xfId="0" applyFont="1" applyFill="1" applyBorder="1" applyAlignment="1">
      <alignment horizontal="center"/>
    </xf>
    <xf numFmtId="0" fontId="105" fillId="31" borderId="0" xfId="0" applyFont="1" applyFill="1" applyAlignment="1">
      <alignment horizontal="center"/>
    </xf>
    <xf numFmtId="0" fontId="105" fillId="31" borderId="78" xfId="0" applyFont="1" applyFill="1" applyBorder="1" applyAlignment="1">
      <alignment horizontal="center"/>
    </xf>
    <xf numFmtId="49" fontId="15" fillId="3" borderId="1" xfId="0" applyNumberFormat="1" applyFont="1" applyFill="1" applyBorder="1" applyAlignment="1" applyProtection="1">
      <alignment horizontal="center"/>
      <protection locked="0"/>
    </xf>
    <xf numFmtId="49" fontId="15" fillId="3" borderId="4" xfId="0" applyNumberFormat="1" applyFont="1" applyFill="1" applyBorder="1" applyAlignment="1" applyProtection="1">
      <alignment horizontal="center"/>
      <protection locked="0"/>
    </xf>
    <xf numFmtId="49" fontId="15" fillId="3" borderId="5" xfId="0" applyNumberFormat="1" applyFont="1" applyFill="1" applyBorder="1" applyAlignment="1" applyProtection="1">
      <alignment horizontal="center"/>
      <protection locked="0"/>
    </xf>
    <xf numFmtId="49" fontId="15" fillId="3" borderId="40" xfId="0" applyNumberFormat="1" applyFont="1" applyFill="1" applyBorder="1" applyAlignment="1" applyProtection="1">
      <alignment horizontal="center"/>
      <protection locked="0"/>
    </xf>
    <xf numFmtId="0" fontId="71" fillId="4" borderId="62" xfId="0" applyFont="1" applyFill="1" applyBorder="1" applyAlignment="1">
      <alignment horizontal="left" wrapText="1"/>
    </xf>
    <xf numFmtId="0" fontId="71" fillId="4" borderId="27" xfId="0" applyFont="1" applyFill="1" applyBorder="1" applyAlignment="1">
      <alignment horizontal="left" wrapText="1"/>
    </xf>
    <xf numFmtId="0" fontId="71" fillId="4" borderId="75" xfId="0" applyFont="1" applyFill="1" applyBorder="1" applyAlignment="1">
      <alignment horizontal="left" wrapText="1"/>
    </xf>
    <xf numFmtId="0" fontId="0" fillId="4" borderId="13" xfId="0" applyFill="1" applyBorder="1" applyAlignment="1">
      <alignment horizontal="center"/>
    </xf>
    <xf numFmtId="2" fontId="0" fillId="4" borderId="4" xfId="0" applyNumberFormat="1" applyFill="1" applyBorder="1" applyAlignment="1">
      <alignment horizontal="center" wrapText="1"/>
    </xf>
    <xf numFmtId="2" fontId="0" fillId="4" borderId="6" xfId="0" applyNumberFormat="1" applyFill="1" applyBorder="1" applyAlignment="1">
      <alignment horizontal="center" wrapText="1"/>
    </xf>
    <xf numFmtId="166" fontId="0" fillId="3" borderId="4" xfId="0" applyNumberFormat="1" applyFill="1" applyBorder="1" applyAlignment="1">
      <alignment horizontal="center" wrapText="1"/>
    </xf>
    <xf numFmtId="166" fontId="0" fillId="3" borderId="5" xfId="0" applyNumberFormat="1" applyFill="1" applyBorder="1" applyAlignment="1">
      <alignment horizontal="center" wrapText="1"/>
    </xf>
    <xf numFmtId="166" fontId="0" fillId="3" borderId="40" xfId="0" applyNumberFormat="1" applyFill="1" applyBorder="1" applyAlignment="1">
      <alignment horizontal="center" wrapText="1"/>
    </xf>
    <xf numFmtId="2" fontId="0" fillId="4" borderId="40" xfId="0" applyNumberFormat="1" applyFill="1" applyBorder="1" applyAlignment="1">
      <alignment horizontal="center" wrapText="1"/>
    </xf>
    <xf numFmtId="166" fontId="0" fillId="4" borderId="5" xfId="0" applyNumberFormat="1" applyFill="1" applyBorder="1" applyAlignment="1">
      <alignment horizontal="center" wrapText="1"/>
    </xf>
    <xf numFmtId="0" fontId="37" fillId="4" borderId="13" xfId="372" applyFont="1" applyFill="1" applyBorder="1" applyAlignment="1">
      <alignment horizontal="left" vertical="center" wrapText="1"/>
    </xf>
    <xf numFmtId="0" fontId="37" fillId="4" borderId="5" xfId="372" applyFont="1" applyFill="1" applyBorder="1" applyAlignment="1">
      <alignment horizontal="left" vertical="center" wrapText="1"/>
    </xf>
    <xf numFmtId="0" fontId="37" fillId="4" borderId="40" xfId="372" applyFont="1" applyFill="1" applyBorder="1" applyAlignment="1">
      <alignment horizontal="left" vertical="center" wrapText="1"/>
    </xf>
    <xf numFmtId="0" fontId="123" fillId="44" borderId="13" xfId="0" applyFont="1" applyFill="1" applyBorder="1" applyAlignment="1" applyProtection="1">
      <alignment horizontal="left"/>
      <protection locked="0"/>
    </xf>
    <xf numFmtId="0" fontId="123" fillId="44" borderId="5" xfId="0" applyFont="1" applyFill="1" applyBorder="1" applyAlignment="1" applyProtection="1">
      <alignment horizontal="left"/>
      <protection locked="0"/>
    </xf>
    <xf numFmtId="0" fontId="123" fillId="44" borderId="6" xfId="0" applyFont="1" applyFill="1" applyBorder="1" applyAlignment="1" applyProtection="1">
      <alignment horizontal="left"/>
      <protection locked="0"/>
    </xf>
    <xf numFmtId="0" fontId="61" fillId="2" borderId="4" xfId="372" applyFont="1" applyFill="1" applyBorder="1" applyAlignment="1" applyProtection="1">
      <alignment horizontal="center"/>
      <protection locked="0"/>
    </xf>
    <xf numFmtId="0" fontId="61" fillId="2" borderId="5" xfId="372" applyFont="1" applyFill="1" applyBorder="1" applyAlignment="1" applyProtection="1">
      <alignment horizontal="center"/>
      <protection locked="0"/>
    </xf>
    <xf numFmtId="0" fontId="61" fillId="2" borderId="40" xfId="372" applyFont="1" applyFill="1" applyBorder="1" applyAlignment="1" applyProtection="1">
      <alignment horizontal="center"/>
      <protection locked="0"/>
    </xf>
    <xf numFmtId="0" fontId="135" fillId="46" borderId="58" xfId="0" applyFont="1" applyFill="1" applyBorder="1" applyAlignment="1">
      <alignment horizontal="center" wrapText="1"/>
    </xf>
    <xf numFmtId="0" fontId="135" fillId="46" borderId="59" xfId="0" applyFont="1" applyFill="1" applyBorder="1" applyAlignment="1">
      <alignment horizontal="center" wrapText="1"/>
    </xf>
    <xf numFmtId="0" fontId="135" fillId="46" borderId="52" xfId="0" applyFont="1" applyFill="1" applyBorder="1" applyAlignment="1">
      <alignment horizontal="center" wrapText="1"/>
    </xf>
    <xf numFmtId="0" fontId="17" fillId="22" borderId="1" xfId="0" applyFont="1" applyFill="1" applyBorder="1" applyAlignment="1">
      <alignment horizontal="center"/>
    </xf>
    <xf numFmtId="0" fontId="17" fillId="22" borderId="14" xfId="0" applyFont="1" applyFill="1" applyBorder="1" applyAlignment="1">
      <alignment horizontal="center"/>
    </xf>
    <xf numFmtId="0" fontId="0" fillId="47" borderId="23" xfId="0" applyFill="1" applyBorder="1" applyAlignment="1">
      <alignment horizontal="center"/>
    </xf>
    <xf numFmtId="0" fontId="0" fillId="47" borderId="24" xfId="0" applyFill="1" applyBorder="1" applyAlignment="1">
      <alignment horizontal="center"/>
    </xf>
    <xf numFmtId="0" fontId="0" fillId="47" borderId="25" xfId="0" applyFill="1" applyBorder="1" applyAlignment="1">
      <alignment horizontal="center"/>
    </xf>
    <xf numFmtId="0" fontId="13" fillId="0" borderId="0" xfId="0" applyFont="1" applyAlignment="1">
      <alignment horizontal="center" wrapText="1"/>
    </xf>
    <xf numFmtId="0" fontId="143" fillId="0" borderId="0" xfId="0" applyFont="1" applyAlignment="1">
      <alignment horizontal="center" wrapText="1"/>
    </xf>
    <xf numFmtId="0" fontId="135" fillId="0" borderId="58" xfId="0" applyFont="1" applyBorder="1" applyAlignment="1">
      <alignment horizontal="center" wrapText="1"/>
    </xf>
    <xf numFmtId="0" fontId="135" fillId="0" borderId="59" xfId="0" applyFont="1" applyBorder="1" applyAlignment="1">
      <alignment horizontal="center" wrapText="1"/>
    </xf>
    <xf numFmtId="0" fontId="135" fillId="0" borderId="37" xfId="0" applyFont="1" applyBorder="1" applyAlignment="1">
      <alignment horizontal="center" wrapText="1"/>
    </xf>
    <xf numFmtId="0" fontId="146" fillId="0" borderId="58" xfId="0" applyFont="1" applyBorder="1" applyAlignment="1">
      <alignment horizontal="center" wrapText="1"/>
    </xf>
    <xf numFmtId="0" fontId="146" fillId="0" borderId="52" xfId="0" applyFont="1" applyBorder="1" applyAlignment="1">
      <alignment horizontal="center" wrapText="1"/>
    </xf>
    <xf numFmtId="0" fontId="37" fillId="0" borderId="80" xfId="372" applyFont="1" applyBorder="1" applyAlignment="1">
      <alignment horizontal="center" vertical="center" wrapText="1"/>
    </xf>
    <xf numFmtId="0" fontId="37" fillId="0" borderId="12" xfId="372" applyFont="1" applyBorder="1" applyAlignment="1">
      <alignment horizontal="center" vertical="center" wrapText="1"/>
    </xf>
    <xf numFmtId="0" fontId="18" fillId="0" borderId="0" xfId="0" applyFont="1" applyAlignment="1">
      <alignment horizontal="center"/>
    </xf>
    <xf numFmtId="0" fontId="37" fillId="0" borderId="81" xfId="372" applyFont="1" applyBorder="1" applyAlignment="1">
      <alignment horizontal="center" vertical="center" wrapText="1"/>
    </xf>
    <xf numFmtId="0" fontId="37" fillId="0" borderId="34" xfId="372" applyFont="1" applyBorder="1" applyAlignment="1">
      <alignment horizontal="center" vertical="center" wrapText="1"/>
    </xf>
    <xf numFmtId="0" fontId="77" fillId="4" borderId="66" xfId="372" applyFont="1" applyFill="1" applyBorder="1" applyAlignment="1">
      <alignment horizontal="left"/>
    </xf>
    <xf numFmtId="0" fontId="77" fillId="4" borderId="94" xfId="372" applyFont="1" applyFill="1" applyBorder="1" applyAlignment="1">
      <alignment horizontal="left"/>
    </xf>
    <xf numFmtId="0" fontId="77" fillId="4" borderId="16" xfId="372" applyFont="1" applyFill="1" applyBorder="1" applyAlignment="1">
      <alignment horizontal="left"/>
    </xf>
    <xf numFmtId="2" fontId="61" fillId="0" borderId="1" xfId="372" applyNumberFormat="1" applyFont="1" applyBorder="1" applyAlignment="1" applyProtection="1">
      <alignment horizontal="center"/>
      <protection locked="0"/>
    </xf>
    <xf numFmtId="2" fontId="61" fillId="0" borderId="14" xfId="372" applyNumberFormat="1" applyFont="1" applyBorder="1" applyAlignment="1" applyProtection="1">
      <alignment horizontal="center"/>
      <protection locked="0"/>
    </xf>
    <xf numFmtId="0" fontId="37" fillId="4" borderId="4" xfId="372" applyFont="1" applyFill="1" applyBorder="1" applyAlignment="1">
      <alignment horizontal="center" vertical="center" wrapText="1"/>
    </xf>
    <xf numFmtId="0" fontId="37" fillId="4" borderId="6" xfId="372" applyFont="1" applyFill="1" applyBorder="1" applyAlignment="1">
      <alignment horizontal="center" vertical="center" wrapText="1"/>
    </xf>
    <xf numFmtId="0" fontId="37" fillId="4" borderId="4" xfId="372" applyFont="1" applyFill="1" applyBorder="1" applyAlignment="1">
      <alignment horizontal="left" vertical="center" wrapText="1"/>
    </xf>
    <xf numFmtId="0" fontId="37" fillId="4" borderId="6" xfId="372" applyFont="1" applyFill="1" applyBorder="1" applyAlignment="1">
      <alignment horizontal="left" vertical="center" wrapText="1"/>
    </xf>
    <xf numFmtId="0" fontId="61" fillId="0" borderId="62" xfId="372" applyFont="1" applyBorder="1" applyAlignment="1" applyProtection="1">
      <alignment horizontal="center"/>
      <protection locked="0"/>
    </xf>
    <xf numFmtId="0" fontId="61" fillId="0" borderId="19" xfId="372" applyFont="1" applyBorder="1" applyAlignment="1" applyProtection="1">
      <alignment horizontal="center"/>
      <protection locked="0"/>
    </xf>
    <xf numFmtId="0" fontId="61" fillId="0" borderId="13" xfId="372" applyFont="1" applyBorder="1" applyAlignment="1" applyProtection="1">
      <alignment horizontal="center"/>
      <protection locked="0"/>
    </xf>
    <xf numFmtId="0" fontId="61" fillId="0" borderId="6" xfId="372" applyFont="1" applyBorder="1" applyAlignment="1" applyProtection="1">
      <alignment horizontal="center"/>
      <protection locked="0"/>
    </xf>
    <xf numFmtId="0" fontId="61" fillId="0" borderId="5" xfId="372" applyFont="1" applyBorder="1" applyAlignment="1" applyProtection="1">
      <alignment horizontal="center"/>
      <protection locked="0"/>
    </xf>
    <xf numFmtId="0" fontId="61" fillId="0" borderId="4" xfId="372" applyFont="1" applyBorder="1" applyAlignment="1" applyProtection="1">
      <alignment horizontal="left"/>
      <protection locked="0"/>
    </xf>
    <xf numFmtId="0" fontId="61" fillId="0" borderId="5" xfId="372" applyFont="1" applyBorder="1" applyAlignment="1" applyProtection="1">
      <alignment horizontal="left"/>
      <protection locked="0"/>
    </xf>
    <xf numFmtId="0" fontId="61" fillId="0" borderId="6" xfId="372" applyFont="1" applyBorder="1" applyAlignment="1" applyProtection="1">
      <alignment horizontal="left"/>
      <protection locked="0"/>
    </xf>
    <xf numFmtId="0" fontId="122" fillId="4" borderId="10" xfId="372" applyFont="1" applyFill="1" applyBorder="1" applyAlignment="1">
      <alignment horizontal="center"/>
    </xf>
    <xf numFmtId="0" fontId="122" fillId="4" borderId="77" xfId="372" applyFont="1" applyFill="1" applyBorder="1" applyAlignment="1">
      <alignment horizontal="center"/>
    </xf>
    <xf numFmtId="2" fontId="61" fillId="4" borderId="42" xfId="372" applyNumberFormat="1" applyFont="1" applyFill="1" applyBorder="1" applyAlignment="1">
      <alignment horizontal="center" vertical="center"/>
    </xf>
    <xf numFmtId="2" fontId="61" fillId="4" borderId="43" xfId="372" applyNumberFormat="1" applyFont="1" applyFill="1" applyBorder="1" applyAlignment="1">
      <alignment horizontal="center" vertical="center"/>
    </xf>
    <xf numFmtId="2" fontId="61" fillId="4" borderId="44" xfId="372" applyNumberFormat="1" applyFont="1" applyFill="1" applyBorder="1" applyAlignment="1">
      <alignment horizontal="center" vertical="center"/>
    </xf>
    <xf numFmtId="0" fontId="61" fillId="5" borderId="29" xfId="372" applyFont="1" applyFill="1" applyBorder="1" applyAlignment="1">
      <alignment horizontal="left" wrapText="1"/>
    </xf>
    <xf numFmtId="0" fontId="61" fillId="5" borderId="43" xfId="372" applyFont="1" applyFill="1" applyBorder="1" applyAlignment="1">
      <alignment horizontal="left" wrapText="1"/>
    </xf>
    <xf numFmtId="0" fontId="22" fillId="10" borderId="73" xfId="372" applyFill="1" applyBorder="1" applyAlignment="1" applyProtection="1">
      <alignment horizontal="left"/>
      <protection locked="0"/>
    </xf>
    <xf numFmtId="0" fontId="22" fillId="10" borderId="74" xfId="372" applyFill="1" applyBorder="1" applyAlignment="1" applyProtection="1">
      <alignment horizontal="left"/>
      <protection locked="0"/>
    </xf>
    <xf numFmtId="0" fontId="22" fillId="10" borderId="72" xfId="372" applyFill="1" applyBorder="1" applyAlignment="1" applyProtection="1">
      <alignment horizontal="left"/>
      <protection locked="0"/>
    </xf>
    <xf numFmtId="0" fontId="37" fillId="5" borderId="5" xfId="372" applyFont="1" applyFill="1" applyBorder="1" applyAlignment="1">
      <alignment horizontal="center"/>
    </xf>
    <xf numFmtId="176" fontId="22" fillId="0" borderId="0" xfId="372" applyNumberFormat="1" applyAlignment="1">
      <alignment horizontal="center"/>
    </xf>
    <xf numFmtId="0" fontId="43" fillId="5" borderId="58" xfId="372" applyFont="1" applyFill="1" applyBorder="1" applyAlignment="1">
      <alignment horizontal="center"/>
    </xf>
    <xf numFmtId="0" fontId="43" fillId="5" borderId="59" xfId="372" applyFont="1" applyFill="1" applyBorder="1" applyAlignment="1">
      <alignment horizontal="center"/>
    </xf>
    <xf numFmtId="0" fontId="43" fillId="5" borderId="52" xfId="372" applyFont="1" applyFill="1" applyBorder="1" applyAlignment="1">
      <alignment horizontal="center"/>
    </xf>
    <xf numFmtId="0" fontId="82" fillId="31" borderId="36" xfId="372" applyFont="1" applyFill="1" applyBorder="1" applyAlignment="1">
      <alignment horizontal="center"/>
    </xf>
    <xf numFmtId="0" fontId="82" fillId="31" borderId="60" xfId="372" applyFont="1" applyFill="1" applyBorder="1" applyAlignment="1">
      <alignment horizontal="center"/>
    </xf>
    <xf numFmtId="0" fontId="82" fillId="31" borderId="65" xfId="372" applyFont="1" applyFill="1" applyBorder="1" applyAlignment="1">
      <alignment horizontal="center"/>
    </xf>
    <xf numFmtId="0" fontId="91" fillId="3" borderId="4" xfId="372" applyFont="1" applyFill="1" applyBorder="1" applyAlignment="1">
      <alignment horizontal="center" vertical="center" wrapText="1"/>
    </xf>
    <xf numFmtId="0" fontId="91" fillId="3" borderId="5" xfId="372" applyFont="1" applyFill="1" applyBorder="1" applyAlignment="1">
      <alignment horizontal="center" vertical="center" wrapText="1"/>
    </xf>
    <xf numFmtId="0" fontId="91" fillId="3" borderId="40" xfId="372" applyFont="1" applyFill="1" applyBorder="1" applyAlignment="1">
      <alignment horizontal="center" vertical="center" wrapText="1"/>
    </xf>
    <xf numFmtId="0" fontId="61" fillId="5" borderId="5" xfId="372" applyFont="1" applyFill="1" applyBorder="1" applyAlignment="1">
      <alignment horizontal="left" wrapText="1"/>
    </xf>
    <xf numFmtId="0" fontId="82" fillId="31" borderId="23" xfId="372" applyFont="1" applyFill="1" applyBorder="1" applyAlignment="1">
      <alignment horizontal="center"/>
    </xf>
    <xf numFmtId="0" fontId="82" fillId="31" borderId="24" xfId="372" applyFont="1" applyFill="1" applyBorder="1" applyAlignment="1">
      <alignment horizontal="center"/>
    </xf>
    <xf numFmtId="0" fontId="37" fillId="0" borderId="4" xfId="372" applyFont="1" applyBorder="1" applyAlignment="1">
      <alignment horizontal="center" vertical="center" wrapText="1"/>
    </xf>
    <xf numFmtId="0" fontId="37" fillId="0" borderId="6" xfId="372" applyFont="1" applyBorder="1" applyAlignment="1">
      <alignment horizontal="center" vertical="center" wrapText="1"/>
    </xf>
    <xf numFmtId="0" fontId="91" fillId="3" borderId="6" xfId="372" applyFont="1" applyFill="1" applyBorder="1" applyAlignment="1">
      <alignment horizontal="center" vertical="center" wrapText="1"/>
    </xf>
    <xf numFmtId="0" fontId="37" fillId="0" borderId="35" xfId="372" applyFont="1" applyBorder="1" applyAlignment="1">
      <alignment horizontal="center" vertical="center" wrapText="1"/>
    </xf>
    <xf numFmtId="0" fontId="53" fillId="0" borderId="80" xfId="372" applyFont="1" applyBorder="1" applyAlignment="1">
      <alignment horizontal="center" vertical="center" wrapText="1"/>
    </xf>
    <xf numFmtId="0" fontId="53" fillId="0" borderId="35" xfId="372" applyFont="1" applyBorder="1" applyAlignment="1">
      <alignment horizontal="center" vertical="center" wrapText="1"/>
    </xf>
    <xf numFmtId="0" fontId="80" fillId="0" borderId="81" xfId="372" applyFont="1" applyBorder="1" applyAlignment="1">
      <alignment horizontal="center" vertical="center" wrapText="1"/>
    </xf>
    <xf numFmtId="0" fontId="80" fillId="0" borderId="60" xfId="372" applyFont="1" applyBorder="1" applyAlignment="1">
      <alignment horizontal="center" vertical="center" wrapText="1"/>
    </xf>
    <xf numFmtId="0" fontId="80" fillId="0" borderId="61" xfId="372" applyFont="1" applyBorder="1" applyAlignment="1">
      <alignment horizontal="center" vertical="center" wrapText="1"/>
    </xf>
    <xf numFmtId="0" fontId="80" fillId="0" borderId="3" xfId="372" applyFont="1" applyBorder="1" applyAlignment="1">
      <alignment horizontal="center" vertical="center" wrapText="1"/>
    </xf>
    <xf numFmtId="0" fontId="80" fillId="0" borderId="0" xfId="372" applyFont="1" applyAlignment="1">
      <alignment horizontal="center" vertical="center" wrapText="1"/>
    </xf>
    <xf numFmtId="0" fontId="80" fillId="0" borderId="46" xfId="372" applyFont="1" applyBorder="1" applyAlignment="1">
      <alignment horizontal="center" vertical="center" wrapText="1"/>
    </xf>
    <xf numFmtId="0" fontId="80" fillId="0" borderId="34" xfId="372" applyFont="1" applyBorder="1" applyAlignment="1">
      <alignment horizontal="center" vertical="center" wrapText="1"/>
    </xf>
    <xf numFmtId="0" fontId="80" fillId="0" borderId="27" xfId="372" applyFont="1" applyBorder="1" applyAlignment="1">
      <alignment horizontal="center" vertical="center" wrapText="1"/>
    </xf>
    <xf numFmtId="0" fontId="80" fillId="0" borderId="19" xfId="372" applyFont="1" applyBorder="1" applyAlignment="1">
      <alignment horizontal="center" vertical="center" wrapText="1"/>
    </xf>
    <xf numFmtId="0" fontId="22" fillId="10" borderId="4" xfId="372" applyFill="1" applyBorder="1" applyAlignment="1" applyProtection="1">
      <alignment horizontal="left"/>
      <protection locked="0"/>
    </xf>
    <xf numFmtId="0" fontId="22" fillId="10" borderId="5" xfId="372" applyFill="1" applyBorder="1" applyAlignment="1" applyProtection="1">
      <alignment horizontal="left"/>
      <protection locked="0"/>
    </xf>
    <xf numFmtId="0" fontId="22" fillId="10" borderId="6" xfId="372" applyFill="1" applyBorder="1" applyAlignment="1" applyProtection="1">
      <alignment horizontal="left"/>
      <protection locked="0"/>
    </xf>
    <xf numFmtId="0" fontId="37" fillId="0" borderId="8" xfId="372" applyFont="1" applyBorder="1" applyAlignment="1">
      <alignment horizontal="center" vertical="center" wrapText="1"/>
    </xf>
    <xf numFmtId="0" fontId="62" fillId="0" borderId="62" xfId="372" applyFont="1" applyBorder="1" applyAlignment="1">
      <alignment horizontal="center" vertical="center" wrapText="1"/>
    </xf>
    <xf numFmtId="0" fontId="62" fillId="0" borderId="27" xfId="372" applyFont="1" applyBorder="1" applyAlignment="1">
      <alignment horizontal="center" vertical="center" wrapText="1"/>
    </xf>
    <xf numFmtId="0" fontId="62" fillId="0" borderId="75" xfId="372" applyFont="1" applyBorder="1" applyAlignment="1">
      <alignment horizontal="center" vertical="center" wrapText="1"/>
    </xf>
    <xf numFmtId="0" fontId="91" fillId="3" borderId="13" xfId="372" applyFont="1" applyFill="1" applyBorder="1" applyAlignment="1">
      <alignment horizontal="center" vertical="center" wrapText="1"/>
    </xf>
    <xf numFmtId="0" fontId="115" fillId="2" borderId="0" xfId="372" applyFont="1" applyFill="1" applyAlignment="1">
      <alignment horizontal="left"/>
    </xf>
    <xf numFmtId="0" fontId="80" fillId="4" borderId="58" xfId="372" applyFont="1" applyFill="1" applyBorder="1" applyAlignment="1">
      <alignment horizontal="center" vertical="center"/>
    </xf>
    <xf numFmtId="0" fontId="80" fillId="4" borderId="59" xfId="372" applyFont="1" applyFill="1" applyBorder="1" applyAlignment="1">
      <alignment horizontal="center" vertical="center"/>
    </xf>
    <xf numFmtId="0" fontId="80" fillId="4" borderId="37" xfId="372" applyFont="1" applyFill="1" applyBorder="1" applyAlignment="1">
      <alignment horizontal="center" vertical="center"/>
    </xf>
    <xf numFmtId="0" fontId="80" fillId="4" borderId="52" xfId="372" applyFont="1" applyFill="1" applyBorder="1" applyAlignment="1">
      <alignment horizontal="center" vertical="center"/>
    </xf>
    <xf numFmtId="0" fontId="22" fillId="0" borderId="9" xfId="372" applyBorder="1" applyAlignment="1">
      <alignment horizontal="left"/>
    </xf>
    <xf numFmtId="0" fontId="22" fillId="0" borderId="1" xfId="372" applyBorder="1" applyAlignment="1">
      <alignment horizontal="left"/>
    </xf>
    <xf numFmtId="2" fontId="22" fillId="0" borderId="1" xfId="372" applyNumberFormat="1" applyBorder="1" applyAlignment="1">
      <alignment horizontal="center"/>
    </xf>
    <xf numFmtId="2" fontId="22" fillId="0" borderId="4" xfId="372" applyNumberFormat="1" applyBorder="1" applyAlignment="1">
      <alignment horizontal="center"/>
    </xf>
    <xf numFmtId="2" fontId="22" fillId="0" borderId="14" xfId="372" applyNumberFormat="1" applyBorder="1" applyAlignment="1">
      <alignment horizontal="center"/>
    </xf>
    <xf numFmtId="0" fontId="22" fillId="29" borderId="9" xfId="372" applyFill="1" applyBorder="1" applyAlignment="1">
      <alignment horizontal="left"/>
    </xf>
    <xf numFmtId="0" fontId="22" fillId="29" borderId="1" xfId="372" applyFill="1" applyBorder="1" applyAlignment="1">
      <alignment horizontal="left"/>
    </xf>
    <xf numFmtId="2" fontId="61" fillId="29" borderId="1" xfId="372" applyNumberFormat="1" applyFont="1" applyFill="1" applyBorder="1" applyAlignment="1">
      <alignment horizontal="center"/>
    </xf>
    <xf numFmtId="2" fontId="61" fillId="29" borderId="4" xfId="372" applyNumberFormat="1" applyFont="1" applyFill="1" applyBorder="1" applyAlignment="1">
      <alignment horizontal="center"/>
    </xf>
    <xf numFmtId="2" fontId="61" fillId="29" borderId="14" xfId="372" applyNumberFormat="1" applyFont="1" applyFill="1" applyBorder="1" applyAlignment="1">
      <alignment horizontal="center"/>
    </xf>
    <xf numFmtId="0" fontId="22" fillId="4" borderId="29" xfId="372" applyFill="1" applyBorder="1" applyAlignment="1">
      <alignment horizontal="left"/>
    </xf>
    <xf numFmtId="0" fontId="22" fillId="4" borderId="43" xfId="372" applyFill="1" applyBorder="1" applyAlignment="1">
      <alignment horizontal="left"/>
    </xf>
    <xf numFmtId="0" fontId="22" fillId="4" borderId="32" xfId="372" applyFill="1" applyBorder="1" applyAlignment="1">
      <alignment horizontal="left"/>
    </xf>
    <xf numFmtId="2" fontId="22" fillId="2" borderId="1" xfId="372" applyNumberFormat="1" applyFill="1" applyBorder="1" applyAlignment="1">
      <alignment horizontal="center"/>
    </xf>
    <xf numFmtId="2" fontId="22" fillId="2" borderId="4" xfId="372" applyNumberFormat="1" applyFill="1" applyBorder="1" applyAlignment="1">
      <alignment horizontal="center"/>
    </xf>
    <xf numFmtId="2" fontId="22" fillId="2" borderId="14" xfId="372" applyNumberFormat="1" applyFill="1" applyBorder="1" applyAlignment="1">
      <alignment horizontal="center"/>
    </xf>
    <xf numFmtId="0" fontId="65" fillId="38" borderId="9" xfId="372" applyFont="1" applyFill="1" applyBorder="1" applyAlignment="1">
      <alignment horizontal="left"/>
    </xf>
    <xf numFmtId="0" fontId="65" fillId="38" borderId="1" xfId="372" applyFont="1" applyFill="1" applyBorder="1" applyAlignment="1">
      <alignment horizontal="left"/>
    </xf>
    <xf numFmtId="2" fontId="65" fillId="38" borderId="1" xfId="372" applyNumberFormat="1" applyFont="1" applyFill="1" applyBorder="1" applyAlignment="1">
      <alignment horizontal="center"/>
    </xf>
    <xf numFmtId="2" fontId="65" fillId="38" borderId="4" xfId="372" applyNumberFormat="1" applyFont="1" applyFill="1" applyBorder="1" applyAlignment="1">
      <alignment horizontal="center"/>
    </xf>
    <xf numFmtId="2" fontId="65" fillId="38" borderId="14" xfId="372" applyNumberFormat="1" applyFont="1" applyFill="1" applyBorder="1" applyAlignment="1">
      <alignment horizontal="center"/>
    </xf>
    <xf numFmtId="2" fontId="22" fillId="29" borderId="4" xfId="372" applyNumberFormat="1" applyFill="1" applyBorder="1" applyAlignment="1">
      <alignment horizontal="center"/>
    </xf>
    <xf numFmtId="2" fontId="22" fillId="29" borderId="5" xfId="372" applyNumberFormat="1" applyFill="1" applyBorder="1" applyAlignment="1">
      <alignment horizontal="center"/>
    </xf>
    <xf numFmtId="2" fontId="22" fillId="29" borderId="40" xfId="372" applyNumberFormat="1" applyFill="1" applyBorder="1" applyAlignment="1">
      <alignment horizontal="center"/>
    </xf>
    <xf numFmtId="0" fontId="22" fillId="29" borderId="13" xfId="372" applyFill="1" applyBorder="1" applyAlignment="1">
      <alignment horizontal="left"/>
    </xf>
    <xf numFmtId="0" fontId="22" fillId="29" borderId="5" xfId="372" applyFill="1" applyBorder="1" applyAlignment="1">
      <alignment horizontal="left"/>
    </xf>
    <xf numFmtId="0" fontId="22" fillId="29" borderId="6" xfId="372" applyFill="1" applyBorder="1" applyAlignment="1">
      <alignment horizontal="left"/>
    </xf>
    <xf numFmtId="0" fontId="80" fillId="4" borderId="59" xfId="372" applyFont="1" applyFill="1" applyBorder="1" applyAlignment="1">
      <alignment horizontal="center" vertical="center" wrapText="1"/>
    </xf>
    <xf numFmtId="0" fontId="80" fillId="4" borderId="52" xfId="372" applyFont="1" applyFill="1" applyBorder="1" applyAlignment="1">
      <alignment horizontal="center" vertical="center" wrapText="1"/>
    </xf>
    <xf numFmtId="2" fontId="61" fillId="3" borderId="1" xfId="372" applyNumberFormat="1" applyFont="1" applyFill="1" applyBorder="1" applyAlignment="1" applyProtection="1">
      <alignment horizontal="center"/>
      <protection locked="0"/>
    </xf>
    <xf numFmtId="2" fontId="61" fillId="3" borderId="14" xfId="372" applyNumberFormat="1" applyFont="1" applyFill="1" applyBorder="1" applyAlignment="1" applyProtection="1">
      <alignment horizontal="center"/>
      <protection locked="0"/>
    </xf>
    <xf numFmtId="0" fontId="80" fillId="4" borderId="9" xfId="372" applyFont="1" applyFill="1" applyBorder="1" applyAlignment="1">
      <alignment horizontal="center" vertical="center"/>
    </xf>
    <xf numFmtId="0" fontId="80" fillId="4" borderId="1" xfId="372" applyFont="1" applyFill="1" applyBorder="1" applyAlignment="1">
      <alignment horizontal="center" vertical="center"/>
    </xf>
    <xf numFmtId="0" fontId="50" fillId="4" borderId="13" xfId="372" applyFont="1" applyFill="1" applyBorder="1" applyAlignment="1">
      <alignment horizontal="center" vertical="center" wrapText="1"/>
    </xf>
    <xf numFmtId="0" fontId="50" fillId="4" borderId="6" xfId="372" applyFont="1" applyFill="1" applyBorder="1" applyAlignment="1">
      <alignment horizontal="center" vertical="center" wrapText="1"/>
    </xf>
    <xf numFmtId="0" fontId="90" fillId="0" borderId="33" xfId="372" applyFont="1" applyBorder="1" applyAlignment="1">
      <alignment horizontal="center" vertical="center" wrapText="1"/>
    </xf>
    <xf numFmtId="0" fontId="90" fillId="0" borderId="0" xfId="372" applyFont="1" applyAlignment="1">
      <alignment horizontal="center" vertical="center" wrapText="1"/>
    </xf>
    <xf numFmtId="0" fontId="90" fillId="0" borderId="46" xfId="372" applyFont="1" applyBorder="1" applyAlignment="1">
      <alignment horizontal="center" vertical="center" wrapText="1"/>
    </xf>
    <xf numFmtId="0" fontId="90" fillId="0" borderId="62" xfId="372" applyFont="1" applyBorder="1" applyAlignment="1">
      <alignment horizontal="center" vertical="center" wrapText="1"/>
    </xf>
    <xf numFmtId="0" fontId="90" fillId="0" borderId="27" xfId="372" applyFont="1" applyBorder="1" applyAlignment="1">
      <alignment horizontal="center" vertical="center" wrapText="1"/>
    </xf>
    <xf numFmtId="0" fontId="90" fillId="0" borderId="19" xfId="372" applyFont="1" applyBorder="1" applyAlignment="1">
      <alignment horizontal="center" vertical="center" wrapText="1"/>
    </xf>
    <xf numFmtId="2" fontId="65" fillId="38" borderId="5" xfId="372" applyNumberFormat="1" applyFont="1" applyFill="1" applyBorder="1" applyAlignment="1">
      <alignment horizontal="center"/>
    </xf>
    <xf numFmtId="2" fontId="65" fillId="38" borderId="40" xfId="372" applyNumberFormat="1" applyFont="1" applyFill="1" applyBorder="1" applyAlignment="1">
      <alignment horizontal="center"/>
    </xf>
    <xf numFmtId="0" fontId="65" fillId="38" borderId="13" xfId="372" applyFont="1" applyFill="1" applyBorder="1" applyAlignment="1">
      <alignment horizontal="left"/>
    </xf>
    <xf numFmtId="0" fontId="65" fillId="38" borderId="5" xfId="372" applyFont="1" applyFill="1" applyBorder="1" applyAlignment="1">
      <alignment horizontal="left"/>
    </xf>
    <xf numFmtId="0" fontId="65" fillId="38" borderId="6" xfId="372" applyFont="1" applyFill="1" applyBorder="1" applyAlignment="1">
      <alignment horizontal="left"/>
    </xf>
    <xf numFmtId="2" fontId="66" fillId="30" borderId="16" xfId="372" applyNumberFormat="1" applyFont="1" applyFill="1" applyBorder="1" applyAlignment="1">
      <alignment horizontal="center"/>
    </xf>
    <xf numFmtId="2" fontId="66" fillId="30" borderId="42" xfId="372" applyNumberFormat="1" applyFont="1" applyFill="1" applyBorder="1" applyAlignment="1">
      <alignment horizontal="center"/>
    </xf>
    <xf numFmtId="2" fontId="66" fillId="30" borderId="17" xfId="372" applyNumberFormat="1" applyFont="1" applyFill="1" applyBorder="1" applyAlignment="1">
      <alignment horizontal="center"/>
    </xf>
    <xf numFmtId="0" fontId="80" fillId="4" borderId="58" xfId="372" applyFont="1" applyFill="1" applyBorder="1" applyAlignment="1">
      <alignment horizontal="center" vertical="center" wrapText="1"/>
    </xf>
    <xf numFmtId="0" fontId="22" fillId="40" borderId="13" xfId="0" applyFont="1" applyFill="1" applyBorder="1" applyAlignment="1">
      <alignment horizontal="left"/>
    </xf>
    <xf numFmtId="0" fontId="22" fillId="40" borderId="5" xfId="0" applyFont="1" applyFill="1" applyBorder="1" applyAlignment="1">
      <alignment horizontal="left"/>
    </xf>
    <xf numFmtId="0" fontId="22" fillId="40" borderId="6" xfId="0" applyFont="1" applyFill="1" applyBorder="1" applyAlignment="1">
      <alignment horizontal="left"/>
    </xf>
    <xf numFmtId="2" fontId="22" fillId="40" borderId="4" xfId="0" applyNumberFormat="1" applyFont="1" applyFill="1" applyBorder="1" applyAlignment="1">
      <alignment horizontal="center"/>
    </xf>
    <xf numFmtId="2" fontId="22" fillId="40" borderId="5" xfId="0" applyNumberFormat="1" applyFont="1" applyFill="1" applyBorder="1" applyAlignment="1">
      <alignment horizontal="center"/>
    </xf>
    <xf numFmtId="2" fontId="22" fillId="40" borderId="40" xfId="0" applyNumberFormat="1" applyFont="1" applyFill="1" applyBorder="1" applyAlignment="1">
      <alignment horizontal="center"/>
    </xf>
    <xf numFmtId="0" fontId="123" fillId="41" borderId="13" xfId="0" applyFont="1" applyFill="1" applyBorder="1" applyAlignment="1">
      <alignment horizontal="left"/>
    </xf>
    <xf numFmtId="0" fontId="123" fillId="41" borderId="5" xfId="0" applyFont="1" applyFill="1" applyBorder="1" applyAlignment="1">
      <alignment horizontal="left"/>
    </xf>
    <xf numFmtId="0" fontId="123" fillId="41" borderId="6" xfId="0" applyFont="1" applyFill="1" applyBorder="1" applyAlignment="1">
      <alignment horizontal="left"/>
    </xf>
    <xf numFmtId="2" fontId="123" fillId="41" borderId="4" xfId="0" applyNumberFormat="1" applyFont="1" applyFill="1" applyBorder="1" applyAlignment="1">
      <alignment horizontal="center"/>
    </xf>
    <xf numFmtId="2" fontId="123" fillId="41" borderId="5" xfId="0" applyNumberFormat="1" applyFont="1" applyFill="1" applyBorder="1" applyAlignment="1">
      <alignment horizontal="center"/>
    </xf>
    <xf numFmtId="2" fontId="123" fillId="41" borderId="40" xfId="0" applyNumberFormat="1" applyFont="1" applyFill="1" applyBorder="1" applyAlignment="1">
      <alignment horizontal="center"/>
    </xf>
    <xf numFmtId="0" fontId="61" fillId="19" borderId="9" xfId="372" applyFont="1" applyFill="1" applyBorder="1" applyAlignment="1">
      <alignment horizontal="left"/>
    </xf>
    <xf numFmtId="0" fontId="61" fillId="19" borderId="1" xfId="372" applyFont="1" applyFill="1" applyBorder="1" applyAlignment="1">
      <alignment horizontal="left"/>
    </xf>
    <xf numFmtId="0" fontId="124" fillId="43" borderId="13" xfId="0" applyFont="1" applyFill="1" applyBorder="1" applyAlignment="1">
      <alignment horizontal="left"/>
    </xf>
    <xf numFmtId="0" fontId="124" fillId="43" borderId="5" xfId="0" applyFont="1" applyFill="1" applyBorder="1" applyAlignment="1">
      <alignment horizontal="left"/>
    </xf>
    <xf numFmtId="0" fontId="124" fillId="43" borderId="6" xfId="0" applyFont="1" applyFill="1" applyBorder="1" applyAlignment="1">
      <alignment horizontal="left"/>
    </xf>
    <xf numFmtId="2" fontId="124" fillId="43" borderId="4" xfId="0" applyNumberFormat="1" applyFont="1" applyFill="1" applyBorder="1" applyAlignment="1">
      <alignment horizontal="center"/>
    </xf>
    <xf numFmtId="2" fontId="124" fillId="43" borderId="5" xfId="0" applyNumberFormat="1" applyFont="1" applyFill="1" applyBorder="1" applyAlignment="1">
      <alignment horizontal="center"/>
    </xf>
    <xf numFmtId="2" fontId="124" fillId="43" borderId="40" xfId="0" applyNumberFormat="1" applyFont="1" applyFill="1" applyBorder="1" applyAlignment="1">
      <alignment horizontal="center"/>
    </xf>
    <xf numFmtId="0" fontId="124" fillId="45" borderId="29" xfId="0" applyFont="1" applyFill="1" applyBorder="1" applyAlignment="1">
      <alignment horizontal="left"/>
    </xf>
    <xf numFmtId="0" fontId="124" fillId="45" borderId="43" xfId="0" applyFont="1" applyFill="1" applyBorder="1" applyAlignment="1">
      <alignment horizontal="left"/>
    </xf>
    <xf numFmtId="0" fontId="124" fillId="45" borderId="91" xfId="0" applyFont="1" applyFill="1" applyBorder="1" applyAlignment="1">
      <alignment horizontal="left"/>
    </xf>
    <xf numFmtId="2" fontId="124" fillId="45" borderId="92" xfId="0" applyNumberFormat="1" applyFont="1" applyFill="1" applyBorder="1" applyAlignment="1">
      <alignment horizontal="center"/>
    </xf>
    <xf numFmtId="2" fontId="124" fillId="45" borderId="43" xfId="0" applyNumberFormat="1" applyFont="1" applyFill="1" applyBorder="1" applyAlignment="1">
      <alignment horizontal="center"/>
    </xf>
    <xf numFmtId="2" fontId="124" fillId="45" borderId="44" xfId="0" applyNumberFormat="1" applyFont="1" applyFill="1" applyBorder="1" applyAlignment="1">
      <alignment horizontal="center"/>
    </xf>
    <xf numFmtId="0" fontId="125" fillId="39" borderId="13" xfId="0" applyFont="1" applyFill="1" applyBorder="1" applyAlignment="1">
      <alignment horizontal="left"/>
    </xf>
    <xf numFmtId="0" fontId="125" fillId="39" borderId="5" xfId="0" applyFont="1" applyFill="1" applyBorder="1" applyAlignment="1">
      <alignment horizontal="left"/>
    </xf>
    <xf numFmtId="0" fontId="125" fillId="39" borderId="40" xfId="0" applyFont="1" applyFill="1" applyBorder="1" applyAlignment="1">
      <alignment horizontal="left"/>
    </xf>
    <xf numFmtId="0" fontId="123" fillId="39" borderId="13" xfId="0" applyFont="1" applyFill="1" applyBorder="1" applyAlignment="1">
      <alignment horizontal="left"/>
    </xf>
    <xf numFmtId="0" fontId="123" fillId="39" borderId="5" xfId="0" applyFont="1" applyFill="1" applyBorder="1" applyAlignment="1">
      <alignment horizontal="left"/>
    </xf>
    <xf numFmtId="0" fontId="123" fillId="39" borderId="6" xfId="0" applyFont="1" applyFill="1" applyBorder="1" applyAlignment="1">
      <alignment horizontal="left"/>
    </xf>
    <xf numFmtId="2" fontId="123" fillId="39" borderId="4" xfId="0" applyNumberFormat="1" applyFont="1" applyFill="1" applyBorder="1" applyAlignment="1">
      <alignment horizontal="center"/>
    </xf>
    <xf numFmtId="2" fontId="123" fillId="39" borderId="5" xfId="0" applyNumberFormat="1" applyFont="1" applyFill="1" applyBorder="1" applyAlignment="1">
      <alignment horizontal="center"/>
    </xf>
    <xf numFmtId="2" fontId="123" fillId="39" borderId="40" xfId="0" applyNumberFormat="1" applyFont="1" applyFill="1" applyBorder="1" applyAlignment="1">
      <alignment horizontal="center"/>
    </xf>
    <xf numFmtId="0" fontId="61" fillId="2" borderId="1" xfId="372" applyFont="1" applyFill="1" applyBorder="1" applyAlignment="1" applyProtection="1">
      <alignment horizontal="center"/>
      <protection locked="0"/>
    </xf>
    <xf numFmtId="0" fontId="61" fillId="2" borderId="14" xfId="372" applyFont="1" applyFill="1" applyBorder="1" applyAlignment="1" applyProtection="1">
      <alignment horizontal="center"/>
      <protection locked="0"/>
    </xf>
    <xf numFmtId="0" fontId="135" fillId="46" borderId="36" xfId="0" applyFont="1" applyFill="1" applyBorder="1" applyAlignment="1">
      <alignment horizontal="center"/>
    </xf>
    <xf numFmtId="0" fontId="135" fillId="46" borderId="60" xfId="0" applyFont="1" applyFill="1" applyBorder="1" applyAlignment="1">
      <alignment horizontal="center"/>
    </xf>
    <xf numFmtId="0" fontId="135" fillId="46" borderId="65" xfId="0" applyFont="1" applyFill="1" applyBorder="1" applyAlignment="1">
      <alignment horizontal="center"/>
    </xf>
    <xf numFmtId="0" fontId="135" fillId="0" borderId="36" xfId="0" applyFont="1" applyBorder="1" applyAlignment="1">
      <alignment horizontal="center"/>
    </xf>
    <xf numFmtId="0" fontId="135" fillId="0" borderId="60" xfId="0" applyFont="1" applyBorder="1" applyAlignment="1">
      <alignment horizontal="center"/>
    </xf>
    <xf numFmtId="0" fontId="135" fillId="0" borderId="65" xfId="0" applyFont="1" applyBorder="1" applyAlignment="1">
      <alignment horizontal="center"/>
    </xf>
    <xf numFmtId="0" fontId="135" fillId="46" borderId="36" xfId="0" applyFont="1" applyFill="1" applyBorder="1" applyAlignment="1">
      <alignment horizontal="center" wrapText="1"/>
    </xf>
    <xf numFmtId="0" fontId="135" fillId="46" borderId="60" xfId="0" applyFont="1" applyFill="1" applyBorder="1" applyAlignment="1">
      <alignment horizontal="center" wrapText="1"/>
    </xf>
    <xf numFmtId="0" fontId="135" fillId="46" borderId="65" xfId="0" applyFont="1" applyFill="1" applyBorder="1" applyAlignment="1">
      <alignment horizontal="center" wrapText="1"/>
    </xf>
    <xf numFmtId="0" fontId="135" fillId="46" borderId="58" xfId="0" applyFont="1" applyFill="1" applyBorder="1" applyAlignment="1">
      <alignment horizontal="center"/>
    </xf>
    <xf numFmtId="0" fontId="135" fillId="46" borderId="59" xfId="0" applyFont="1" applyFill="1" applyBorder="1" applyAlignment="1">
      <alignment horizontal="center"/>
    </xf>
    <xf numFmtId="0" fontId="135" fillId="46" borderId="52" xfId="0" applyFont="1" applyFill="1" applyBorder="1" applyAlignment="1">
      <alignment horizontal="center"/>
    </xf>
    <xf numFmtId="0" fontId="135" fillId="0" borderId="52" xfId="0" applyFont="1" applyBorder="1" applyAlignment="1">
      <alignment horizontal="center" wrapText="1"/>
    </xf>
    <xf numFmtId="0" fontId="17" fillId="22" borderId="4" xfId="0" applyFont="1" applyFill="1" applyBorder="1" applyAlignment="1">
      <alignment horizontal="center"/>
    </xf>
    <xf numFmtId="0" fontId="0" fillId="46" borderId="0" xfId="0" applyFill="1" applyAlignment="1">
      <alignment horizontal="center"/>
    </xf>
    <xf numFmtId="0" fontId="0" fillId="46" borderId="78" xfId="0" applyFill="1" applyBorder="1" applyAlignment="1">
      <alignment horizontal="center"/>
    </xf>
    <xf numFmtId="0" fontId="17" fillId="22" borderId="0" xfId="0" applyFont="1" applyFill="1" applyAlignment="1">
      <alignment horizontal="center"/>
    </xf>
    <xf numFmtId="0" fontId="17" fillId="22" borderId="78" xfId="0" applyFont="1" applyFill="1" applyBorder="1" applyAlignment="1">
      <alignment horizontal="center"/>
    </xf>
    <xf numFmtId="0" fontId="61" fillId="2" borderId="9" xfId="372" applyFont="1" applyFill="1" applyBorder="1" applyAlignment="1" applyProtection="1">
      <alignment horizontal="left"/>
      <protection locked="0"/>
    </xf>
    <xf numFmtId="0" fontId="61" fillId="2" borderId="1" xfId="372" applyFont="1" applyFill="1" applyBorder="1" applyAlignment="1" applyProtection="1">
      <alignment horizontal="left"/>
      <protection locked="0"/>
    </xf>
    <xf numFmtId="0" fontId="37" fillId="4" borderId="13" xfId="372" applyFont="1" applyFill="1" applyBorder="1" applyAlignment="1">
      <alignment horizontal="left" vertical="center"/>
    </xf>
    <xf numFmtId="0" fontId="37" fillId="4" borderId="5" xfId="372" applyFont="1" applyFill="1" applyBorder="1" applyAlignment="1">
      <alignment horizontal="left" vertical="center"/>
    </xf>
    <xf numFmtId="0" fontId="37" fillId="4" borderId="6" xfId="372" applyFont="1" applyFill="1" applyBorder="1" applyAlignment="1">
      <alignment horizontal="left" vertical="center"/>
    </xf>
    <xf numFmtId="2" fontId="61" fillId="3" borderId="4" xfId="372" applyNumberFormat="1" applyFont="1" applyFill="1" applyBorder="1" applyAlignment="1" applyProtection="1">
      <alignment horizontal="center"/>
      <protection locked="0"/>
    </xf>
    <xf numFmtId="2" fontId="61" fillId="3" borderId="5" xfId="372" applyNumberFormat="1" applyFont="1" applyFill="1" applyBorder="1" applyAlignment="1" applyProtection="1">
      <alignment horizontal="center"/>
      <protection locked="0"/>
    </xf>
    <xf numFmtId="2" fontId="61" fillId="3" borderId="40" xfId="372" applyNumberFormat="1" applyFont="1" applyFill="1" applyBorder="1" applyAlignment="1" applyProtection="1">
      <alignment horizontal="center"/>
      <protection locked="0"/>
    </xf>
    <xf numFmtId="0" fontId="149" fillId="4" borderId="37" xfId="372" applyFont="1" applyFill="1" applyBorder="1" applyAlignment="1">
      <alignment horizontal="center" vertical="center"/>
    </xf>
    <xf numFmtId="0" fontId="149" fillId="4" borderId="38" xfId="372" applyFont="1" applyFill="1" applyBorder="1" applyAlignment="1">
      <alignment horizontal="center" vertical="center"/>
    </xf>
    <xf numFmtId="0" fontId="149" fillId="4" borderId="39" xfId="372" applyFont="1" applyFill="1" applyBorder="1" applyAlignment="1">
      <alignment horizontal="center" vertical="center"/>
    </xf>
    <xf numFmtId="0" fontId="65" fillId="31" borderId="41" xfId="372" applyFont="1" applyFill="1" applyBorder="1" applyAlignment="1">
      <alignment horizontal="left"/>
    </xf>
    <xf numFmtId="0" fontId="65" fillId="31" borderId="45" xfId="372" applyFont="1" applyFill="1" applyBorder="1" applyAlignment="1">
      <alignment horizontal="left"/>
    </xf>
    <xf numFmtId="0" fontId="65" fillId="31" borderId="88" xfId="372" applyFont="1" applyFill="1" applyBorder="1" applyAlignment="1">
      <alignment horizontal="left"/>
    </xf>
    <xf numFmtId="2" fontId="65" fillId="31" borderId="83" xfId="372" applyNumberFormat="1" applyFont="1" applyFill="1" applyBorder="1" applyAlignment="1">
      <alignment horizontal="center"/>
    </xf>
    <xf numFmtId="2" fontId="65" fillId="31" borderId="45" xfId="372" applyNumberFormat="1" applyFont="1" applyFill="1" applyBorder="1" applyAlignment="1">
      <alignment horizontal="center"/>
    </xf>
    <xf numFmtId="2" fontId="65" fillId="31" borderId="76" xfId="372" applyNumberFormat="1" applyFont="1" applyFill="1" applyBorder="1" applyAlignment="1">
      <alignment horizontal="center"/>
    </xf>
    <xf numFmtId="2" fontId="61" fillId="4" borderId="1" xfId="372" applyNumberFormat="1" applyFont="1" applyFill="1" applyBorder="1" applyAlignment="1">
      <alignment horizontal="center"/>
    </xf>
    <xf numFmtId="2" fontId="61" fillId="4" borderId="14" xfId="372" applyNumberFormat="1" applyFont="1" applyFill="1" applyBorder="1" applyAlignment="1">
      <alignment horizontal="center"/>
    </xf>
    <xf numFmtId="0" fontId="81" fillId="0" borderId="0" xfId="372" applyFont="1" applyAlignment="1">
      <alignment horizontal="center"/>
    </xf>
    <xf numFmtId="0" fontId="43" fillId="5" borderId="11" xfId="372" applyFont="1" applyFill="1" applyBorder="1" applyAlignment="1">
      <alignment horizontal="center"/>
    </xf>
    <xf numFmtId="0" fontId="43" fillId="5" borderId="38" xfId="372" applyFont="1" applyFill="1" applyBorder="1" applyAlignment="1">
      <alignment horizontal="center"/>
    </xf>
    <xf numFmtId="0" fontId="43" fillId="5" borderId="39" xfId="372" applyFont="1" applyFill="1" applyBorder="1" applyAlignment="1">
      <alignment horizontal="center"/>
    </xf>
    <xf numFmtId="0" fontId="91" fillId="3" borderId="3" xfId="372" applyFont="1" applyFill="1" applyBorder="1" applyAlignment="1">
      <alignment horizontal="center" vertical="center" wrapText="1"/>
    </xf>
    <xf numFmtId="0" fontId="91" fillId="3" borderId="0" xfId="372" applyFont="1" applyFill="1" applyAlignment="1">
      <alignment horizontal="center" vertical="center" wrapText="1"/>
    </xf>
    <xf numFmtId="0" fontId="91" fillId="3" borderId="78" xfId="372" applyFont="1" applyFill="1" applyBorder="1" applyAlignment="1">
      <alignment horizontal="center" vertical="center" wrapText="1"/>
    </xf>
    <xf numFmtId="2" fontId="22" fillId="27" borderId="1" xfId="372" applyNumberFormat="1" applyFill="1" applyBorder="1" applyAlignment="1">
      <alignment horizontal="center"/>
    </xf>
    <xf numFmtId="2" fontId="22" fillId="27" borderId="14" xfId="372" applyNumberFormat="1" applyFill="1" applyBorder="1" applyAlignment="1">
      <alignment horizontal="center"/>
    </xf>
    <xf numFmtId="2" fontId="61" fillId="32" borderId="1" xfId="372" applyNumberFormat="1" applyFont="1" applyFill="1" applyBorder="1" applyAlignment="1">
      <alignment horizontal="center"/>
    </xf>
    <xf numFmtId="2" fontId="61" fillId="32" borderId="14" xfId="372" applyNumberFormat="1" applyFont="1" applyFill="1" applyBorder="1" applyAlignment="1">
      <alignment horizontal="center"/>
    </xf>
    <xf numFmtId="2" fontId="61" fillId="19" borderId="1" xfId="372" applyNumberFormat="1" applyFont="1" applyFill="1" applyBorder="1" applyAlignment="1">
      <alignment horizontal="center"/>
    </xf>
    <xf numFmtId="2" fontId="61" fillId="19" borderId="14" xfId="372" applyNumberFormat="1" applyFont="1" applyFill="1" applyBorder="1" applyAlignment="1">
      <alignment horizontal="center"/>
    </xf>
    <xf numFmtId="0" fontId="61" fillId="32" borderId="9" xfId="372" applyFont="1" applyFill="1" applyBorder="1" applyAlignment="1">
      <alignment horizontal="left"/>
    </xf>
    <xf numFmtId="0" fontId="61" fillId="32" borderId="1" xfId="372" applyFont="1" applyFill="1" applyBorder="1" applyAlignment="1">
      <alignment horizontal="left"/>
    </xf>
    <xf numFmtId="2" fontId="65" fillId="33" borderId="1" xfId="372" applyNumberFormat="1" applyFont="1" applyFill="1" applyBorder="1" applyAlignment="1">
      <alignment horizontal="center"/>
    </xf>
    <xf numFmtId="2" fontId="65" fillId="33" borderId="14" xfId="372" applyNumberFormat="1" applyFont="1" applyFill="1" applyBorder="1" applyAlignment="1">
      <alignment horizontal="center"/>
    </xf>
    <xf numFmtId="0" fontId="77" fillId="4" borderId="9" xfId="372" applyFont="1" applyFill="1" applyBorder="1" applyAlignment="1">
      <alignment horizontal="left"/>
    </xf>
    <xf numFmtId="0" fontId="77" fillId="4" borderId="1" xfId="372" applyFont="1" applyFill="1" applyBorder="1" applyAlignment="1">
      <alignment horizontal="left"/>
    </xf>
    <xf numFmtId="0" fontId="77" fillId="4" borderId="14" xfId="372" applyFont="1" applyFill="1" applyBorder="1" applyAlignment="1">
      <alignment horizontal="left"/>
    </xf>
    <xf numFmtId="0" fontId="65" fillId="33" borderId="9" xfId="372" applyFont="1" applyFill="1" applyBorder="1" applyAlignment="1">
      <alignment horizontal="left"/>
    </xf>
    <xf numFmtId="0" fontId="65" fillId="33" borderId="1" xfId="372" applyFont="1" applyFill="1" applyBorder="1" applyAlignment="1">
      <alignment horizontal="left"/>
    </xf>
    <xf numFmtId="0" fontId="61" fillId="4" borderId="9" xfId="372" applyFont="1" applyFill="1" applyBorder="1" applyAlignment="1">
      <alignment horizontal="left"/>
    </xf>
    <xf numFmtId="0" fontId="61" fillId="4" borderId="1" xfId="372" applyFont="1" applyFill="1" applyBorder="1" applyAlignment="1">
      <alignment horizontal="left"/>
    </xf>
    <xf numFmtId="0" fontId="61" fillId="2" borderId="13" xfId="372" applyFont="1" applyFill="1" applyBorder="1" applyAlignment="1" applyProtection="1">
      <alignment horizontal="left"/>
      <protection locked="0"/>
    </xf>
    <xf numFmtId="0" fontId="61" fillId="2" borderId="5" xfId="372" applyFont="1" applyFill="1" applyBorder="1" applyAlignment="1" applyProtection="1">
      <alignment horizontal="left"/>
      <protection locked="0"/>
    </xf>
    <xf numFmtId="0" fontId="61" fillId="2" borderId="6" xfId="372" applyFont="1" applyFill="1" applyBorder="1" applyAlignment="1" applyProtection="1">
      <alignment horizontal="left"/>
      <protection locked="0"/>
    </xf>
    <xf numFmtId="0" fontId="115" fillId="0" borderId="0" xfId="372" applyFont="1" applyAlignment="1">
      <alignment horizontal="left"/>
    </xf>
    <xf numFmtId="0" fontId="65" fillId="0" borderId="0" xfId="372" applyFont="1" applyAlignment="1">
      <alignment horizontal="left"/>
    </xf>
    <xf numFmtId="0" fontId="43" fillId="5" borderId="4" xfId="372" applyFont="1" applyFill="1" applyBorder="1" applyAlignment="1">
      <alignment horizontal="center"/>
    </xf>
    <xf numFmtId="0" fontId="43" fillId="5" borderId="5" xfId="372" applyFont="1" applyFill="1" applyBorder="1" applyAlignment="1">
      <alignment horizontal="center"/>
    </xf>
    <xf numFmtId="0" fontId="43" fillId="5" borderId="6" xfId="372" applyFont="1" applyFill="1" applyBorder="1" applyAlignment="1">
      <alignment horizontal="center"/>
    </xf>
    <xf numFmtId="0" fontId="149" fillId="4" borderId="59" xfId="372" applyFont="1" applyFill="1" applyBorder="1" applyAlignment="1">
      <alignment horizontal="center" vertical="center"/>
    </xf>
    <xf numFmtId="0" fontId="149" fillId="4" borderId="52" xfId="372" applyFont="1" applyFill="1" applyBorder="1" applyAlignment="1">
      <alignment horizontal="center" vertical="center"/>
    </xf>
    <xf numFmtId="2" fontId="61" fillId="4" borderId="4" xfId="372" applyNumberFormat="1" applyFont="1" applyFill="1" applyBorder="1" applyAlignment="1">
      <alignment horizontal="center"/>
    </xf>
    <xf numFmtId="2" fontId="61" fillId="4" borderId="5" xfId="372" applyNumberFormat="1" applyFont="1" applyFill="1" applyBorder="1" applyAlignment="1">
      <alignment horizontal="center"/>
    </xf>
    <xf numFmtId="2" fontId="61" fillId="4" borderId="40" xfId="372" applyNumberFormat="1" applyFont="1" applyFill="1" applyBorder="1" applyAlignment="1">
      <alignment horizontal="center"/>
    </xf>
    <xf numFmtId="2" fontId="61" fillId="3" borderId="4" xfId="372" applyNumberFormat="1" applyFont="1" applyFill="1" applyBorder="1" applyProtection="1">
      <protection locked="0"/>
    </xf>
    <xf numFmtId="2" fontId="61" fillId="3" borderId="5" xfId="372" applyNumberFormat="1" applyFont="1" applyFill="1" applyBorder="1" applyProtection="1">
      <protection locked="0"/>
    </xf>
    <xf numFmtId="2" fontId="61" fillId="3" borderId="40" xfId="372" applyNumberFormat="1" applyFont="1" applyFill="1" applyBorder="1" applyProtection="1">
      <protection locked="0"/>
    </xf>
    <xf numFmtId="2" fontId="22" fillId="0" borderId="5" xfId="372" applyNumberFormat="1" applyBorder="1" applyAlignment="1">
      <alignment horizontal="center"/>
    </xf>
    <xf numFmtId="2" fontId="22" fillId="0" borderId="40" xfId="372" applyNumberFormat="1" applyBorder="1" applyAlignment="1">
      <alignment horizontal="center"/>
    </xf>
    <xf numFmtId="0" fontId="123" fillId="42" borderId="13" xfId="0" applyFont="1" applyFill="1" applyBorder="1" applyAlignment="1">
      <alignment horizontal="left"/>
    </xf>
    <xf numFmtId="0" fontId="123" fillId="42" borderId="5" xfId="0" applyFont="1" applyFill="1" applyBorder="1" applyAlignment="1">
      <alignment horizontal="left"/>
    </xf>
    <xf numFmtId="0" fontId="123" fillId="42" borderId="6" xfId="0" applyFont="1" applyFill="1" applyBorder="1" applyAlignment="1">
      <alignment horizontal="left"/>
    </xf>
    <xf numFmtId="0" fontId="125" fillId="39" borderId="90" xfId="0" applyFont="1" applyFill="1" applyBorder="1" applyAlignment="1">
      <alignment horizontal="left"/>
    </xf>
    <xf numFmtId="2" fontId="123" fillId="39" borderId="90" xfId="0" applyNumberFormat="1" applyFont="1" applyFill="1" applyBorder="1" applyAlignment="1">
      <alignment horizontal="center"/>
    </xf>
    <xf numFmtId="2" fontId="123" fillId="42" borderId="4" xfId="0" applyNumberFormat="1" applyFont="1" applyFill="1" applyBorder="1" applyAlignment="1">
      <alignment horizontal="center"/>
    </xf>
    <xf numFmtId="2" fontId="123" fillId="42" borderId="5" xfId="0" applyNumberFormat="1" applyFont="1" applyFill="1" applyBorder="1" applyAlignment="1">
      <alignment horizontal="center"/>
    </xf>
    <xf numFmtId="2" fontId="123" fillId="42" borderId="90" xfId="0" applyNumberFormat="1" applyFont="1" applyFill="1" applyBorder="1" applyAlignment="1">
      <alignment horizontal="center"/>
    </xf>
    <xf numFmtId="2" fontId="124" fillId="43" borderId="90" xfId="0" applyNumberFormat="1" applyFont="1" applyFill="1" applyBorder="1" applyAlignment="1">
      <alignment horizontal="center"/>
    </xf>
    <xf numFmtId="2" fontId="123" fillId="42" borderId="40" xfId="0" applyNumberFormat="1" applyFont="1" applyFill="1" applyBorder="1" applyAlignment="1">
      <alignment horizontal="center"/>
    </xf>
    <xf numFmtId="0" fontId="80" fillId="4" borderId="9" xfId="372" applyFont="1" applyFill="1" applyBorder="1" applyAlignment="1">
      <alignment horizontal="center" vertical="center" wrapText="1"/>
    </xf>
    <xf numFmtId="0" fontId="80" fillId="4" borderId="1" xfId="372" applyFont="1" applyFill="1" applyBorder="1" applyAlignment="1">
      <alignment horizontal="center" vertical="center" wrapText="1"/>
    </xf>
    <xf numFmtId="0" fontId="92" fillId="31" borderId="61" xfId="0" applyFont="1" applyFill="1" applyBorder="1" applyAlignment="1">
      <alignment horizontal="center" vertical="center"/>
    </xf>
    <xf numFmtId="0" fontId="92" fillId="31" borderId="46" xfId="0" applyFont="1" applyFill="1" applyBorder="1" applyAlignment="1">
      <alignment horizontal="center" vertical="center"/>
    </xf>
    <xf numFmtId="0" fontId="92" fillId="31" borderId="0" xfId="0" applyFont="1" applyFill="1" applyAlignment="1">
      <alignment horizontal="center" vertical="center"/>
    </xf>
    <xf numFmtId="49" fontId="0" fillId="5" borderId="26" xfId="0" applyNumberFormat="1" applyFill="1" applyBorder="1" applyAlignment="1">
      <alignment horizontal="left" wrapText="1"/>
    </xf>
    <xf numFmtId="49" fontId="0" fillId="5" borderId="12" xfId="0" applyNumberFormat="1" applyFill="1" applyBorder="1" applyAlignment="1">
      <alignment horizontal="left" wrapText="1"/>
    </xf>
    <xf numFmtId="4" fontId="19" fillId="5" borderId="12" xfId="0" applyNumberFormat="1" applyFont="1" applyFill="1" applyBorder="1" applyAlignment="1">
      <alignment horizontal="center" wrapText="1"/>
    </xf>
    <xf numFmtId="4" fontId="19" fillId="5" borderId="18" xfId="0" applyNumberFormat="1" applyFont="1" applyFill="1" applyBorder="1" applyAlignment="1">
      <alignment horizontal="center" wrapText="1"/>
    </xf>
    <xf numFmtId="49" fontId="0" fillId="5" borderId="9" xfId="0" applyNumberFormat="1" applyFill="1" applyBorder="1" applyAlignment="1">
      <alignment horizontal="left" wrapText="1"/>
    </xf>
    <xf numFmtId="49" fontId="0" fillId="5" borderId="1" xfId="0" applyNumberFormat="1" applyFill="1" applyBorder="1" applyAlignment="1">
      <alignment horizontal="left" wrapText="1"/>
    </xf>
    <xf numFmtId="4" fontId="19" fillId="5" borderId="1" xfId="0" applyNumberFormat="1" applyFont="1" applyFill="1" applyBorder="1" applyAlignment="1">
      <alignment horizontal="center" wrapText="1"/>
    </xf>
    <xf numFmtId="4" fontId="19" fillId="5" borderId="14" xfId="0" applyNumberFormat="1" applyFont="1" applyFill="1" applyBorder="1" applyAlignment="1">
      <alignment horizontal="center" wrapText="1"/>
    </xf>
    <xf numFmtId="0" fontId="18" fillId="0" borderId="0" xfId="0" applyFont="1" applyAlignment="1">
      <alignment horizontal="center" wrapText="1"/>
    </xf>
    <xf numFmtId="0" fontId="0" fillId="7" borderId="4" xfId="0" applyFill="1" applyBorder="1" applyAlignment="1">
      <alignment horizontal="left" wrapText="1"/>
    </xf>
    <xf numFmtId="0" fontId="0" fillId="7" borderId="5" xfId="0" applyFill="1" applyBorder="1" applyAlignment="1">
      <alignment horizontal="left" wrapText="1"/>
    </xf>
    <xf numFmtId="2" fontId="17" fillId="31" borderId="13" xfId="0" applyNumberFormat="1" applyFont="1" applyFill="1" applyBorder="1" applyAlignment="1">
      <alignment horizontal="center"/>
    </xf>
    <xf numFmtId="2" fontId="17" fillId="31" borderId="40" xfId="0" applyNumberFormat="1" applyFont="1" applyFill="1" applyBorder="1" applyAlignment="1">
      <alignment horizontal="center"/>
    </xf>
    <xf numFmtId="0" fontId="9" fillId="4" borderId="23" xfId="0" applyFont="1" applyFill="1" applyBorder="1" applyAlignment="1">
      <alignment horizontal="center" wrapText="1"/>
    </xf>
    <xf numFmtId="0" fontId="9" fillId="4" borderId="24" xfId="0" applyFont="1" applyFill="1" applyBorder="1" applyAlignment="1">
      <alignment horizontal="center" wrapText="1"/>
    </xf>
    <xf numFmtId="0" fontId="9" fillId="4" borderId="25" xfId="0" applyFont="1" applyFill="1" applyBorder="1" applyAlignment="1">
      <alignment horizontal="center" wrapText="1"/>
    </xf>
    <xf numFmtId="49" fontId="0" fillId="4" borderId="9" xfId="0" applyNumberFormat="1" applyFill="1" applyBorder="1" applyAlignment="1">
      <alignment horizontal="left" wrapText="1"/>
    </xf>
    <xf numFmtId="49" fontId="0" fillId="4" borderId="1" xfId="0" applyNumberFormat="1" applyFill="1" applyBorder="1" applyAlignment="1">
      <alignment horizontal="left" wrapText="1"/>
    </xf>
    <xf numFmtId="4" fontId="19" fillId="4" borderId="1" xfId="0" applyNumberFormat="1" applyFont="1" applyFill="1" applyBorder="1" applyAlignment="1">
      <alignment horizontal="center" wrapText="1"/>
    </xf>
    <xf numFmtId="4" fontId="19" fillId="4" borderId="14" xfId="0" applyNumberFormat="1" applyFont="1" applyFill="1" applyBorder="1" applyAlignment="1">
      <alignment horizontal="center" wrapText="1"/>
    </xf>
    <xf numFmtId="2" fontId="0" fillId="4" borderId="1" xfId="0" applyNumberFormat="1" applyFill="1" applyBorder="1" applyAlignment="1">
      <alignment horizontal="center"/>
    </xf>
    <xf numFmtId="2" fontId="0" fillId="4" borderId="14" xfId="0" applyNumberFormat="1" applyFill="1" applyBorder="1" applyAlignment="1">
      <alignment horizontal="center"/>
    </xf>
    <xf numFmtId="49" fontId="0" fillId="4" borderId="15" xfId="0" applyNumberFormat="1" applyFill="1" applyBorder="1" applyAlignment="1">
      <alignment horizontal="left" wrapText="1"/>
    </xf>
    <xf numFmtId="49" fontId="0" fillId="4" borderId="16" xfId="0" applyNumberFormat="1" applyFill="1" applyBorder="1" applyAlignment="1">
      <alignment horizontal="left" wrapText="1"/>
    </xf>
    <xf numFmtId="1" fontId="0" fillId="4" borderId="16" xfId="0" applyNumberFormat="1" applyFill="1" applyBorder="1" applyAlignment="1">
      <alignment horizontal="center" wrapText="1"/>
    </xf>
    <xf numFmtId="1" fontId="0" fillId="4" borderId="17" xfId="0" applyNumberFormat="1" applyFill="1" applyBorder="1" applyAlignment="1">
      <alignment horizontal="center" wrapText="1"/>
    </xf>
    <xf numFmtId="49" fontId="0" fillId="5" borderId="4" xfId="0" applyNumberFormat="1" applyFill="1" applyBorder="1" applyAlignment="1">
      <alignment horizontal="left" wrapText="1"/>
    </xf>
    <xf numFmtId="49" fontId="0" fillId="5" borderId="5" xfId="0" applyNumberFormat="1" applyFill="1" applyBorder="1" applyAlignment="1">
      <alignment horizontal="left" wrapText="1"/>
    </xf>
    <xf numFmtId="2" fontId="0" fillId="5" borderId="13" xfId="0" applyNumberFormat="1" applyFill="1" applyBorder="1" applyAlignment="1">
      <alignment horizontal="center"/>
    </xf>
    <xf numFmtId="2" fontId="0" fillId="5" borderId="40" xfId="0" applyNumberFormat="1" applyFill="1" applyBorder="1" applyAlignment="1">
      <alignment horizontal="center"/>
    </xf>
    <xf numFmtId="49" fontId="0" fillId="4" borderId="4" xfId="0" applyNumberFormat="1" applyFill="1" applyBorder="1" applyAlignment="1">
      <alignment horizontal="left" wrapText="1"/>
    </xf>
    <xf numFmtId="49" fontId="0" fillId="4" borderId="5" xfId="0" applyNumberFormat="1" applyFill="1" applyBorder="1" applyAlignment="1">
      <alignment horizontal="left" wrapText="1"/>
    </xf>
    <xf numFmtId="1" fontId="0" fillId="4" borderId="13" xfId="0" applyNumberFormat="1" applyFill="1" applyBorder="1" applyAlignment="1">
      <alignment horizontal="center" wrapText="1"/>
    </xf>
    <xf numFmtId="1" fontId="0" fillId="4" borderId="40" xfId="0" applyNumberFormat="1" applyFill="1" applyBorder="1" applyAlignment="1">
      <alignment horizontal="center" wrapText="1"/>
    </xf>
    <xf numFmtId="0" fontId="92" fillId="31" borderId="36" xfId="0" applyFont="1" applyFill="1" applyBorder="1" applyAlignment="1">
      <alignment horizontal="center" vertical="center"/>
    </xf>
    <xf numFmtId="0" fontId="92" fillId="31" borderId="33" xfId="0" applyFont="1" applyFill="1" applyBorder="1" applyAlignment="1">
      <alignment horizontal="center" vertical="center"/>
    </xf>
    <xf numFmtId="0" fontId="9" fillId="4" borderId="36" xfId="0" applyFont="1" applyFill="1" applyBorder="1" applyAlignment="1">
      <alignment horizontal="center" wrapText="1"/>
    </xf>
    <xf numFmtId="0" fontId="9" fillId="4" borderId="60" xfId="0" applyFont="1" applyFill="1" applyBorder="1" applyAlignment="1">
      <alignment horizontal="center" wrapText="1"/>
    </xf>
    <xf numFmtId="0" fontId="9" fillId="4" borderId="65" xfId="0" applyFont="1" applyFill="1" applyBorder="1" applyAlignment="1">
      <alignment horizontal="center" wrapText="1"/>
    </xf>
    <xf numFmtId="0" fontId="71" fillId="4" borderId="33" xfId="0" applyFont="1" applyFill="1" applyBorder="1" applyAlignment="1">
      <alignment horizontal="center" wrapText="1"/>
    </xf>
    <xf numFmtId="0" fontId="71" fillId="4" borderId="0" xfId="0" applyFont="1" applyFill="1" applyAlignment="1">
      <alignment horizontal="center" wrapText="1"/>
    </xf>
    <xf numFmtId="0" fontId="71" fillId="4" borderId="78" xfId="0" applyFont="1" applyFill="1" applyBorder="1" applyAlignment="1">
      <alignment horizontal="center" wrapText="1"/>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0" fontId="0" fillId="5" borderId="41" xfId="0" applyFill="1" applyBorder="1" applyAlignment="1">
      <alignment horizontal="left"/>
    </xf>
    <xf numFmtId="0" fontId="0" fillId="5" borderId="45" xfId="0" applyFill="1" applyBorder="1" applyAlignment="1">
      <alignment horizontal="left"/>
    </xf>
    <xf numFmtId="0" fontId="0" fillId="5" borderId="88" xfId="0" applyFill="1" applyBorder="1" applyAlignment="1">
      <alignment horizontal="left"/>
    </xf>
    <xf numFmtId="0" fontId="0" fillId="4" borderId="11" xfId="0" applyFill="1" applyBorder="1" applyAlignment="1">
      <alignment horizontal="left"/>
    </xf>
    <xf numFmtId="0" fontId="0" fillId="4" borderId="38" xfId="0" applyFill="1" applyBorder="1" applyAlignment="1">
      <alignment horizontal="left"/>
    </xf>
    <xf numFmtId="0" fontId="0" fillId="4" borderId="31" xfId="0" applyFill="1" applyBorder="1" applyAlignment="1">
      <alignment horizontal="left"/>
    </xf>
    <xf numFmtId="2" fontId="0" fillId="7" borderId="13" xfId="0" applyNumberFormat="1" applyFill="1" applyBorder="1" applyAlignment="1">
      <alignment horizontal="center"/>
    </xf>
    <xf numFmtId="2" fontId="0" fillId="7" borderId="40" xfId="0" applyNumberFormat="1" applyFill="1" applyBorder="1" applyAlignment="1">
      <alignment horizontal="center"/>
    </xf>
    <xf numFmtId="49" fontId="0" fillId="2" borderId="4" xfId="0" applyNumberFormat="1" applyFill="1" applyBorder="1" applyAlignment="1">
      <alignment horizontal="center"/>
    </xf>
    <xf numFmtId="49" fontId="0" fillId="2" borderId="6" xfId="0" applyNumberFormat="1" applyFill="1" applyBorder="1" applyAlignment="1">
      <alignment horizontal="center"/>
    </xf>
    <xf numFmtId="0" fontId="0" fillId="2" borderId="11" xfId="0" applyFill="1" applyBorder="1" applyAlignment="1">
      <alignment horizontal="center"/>
    </xf>
    <xf numFmtId="0" fontId="0" fillId="2" borderId="39" xfId="0" applyFill="1" applyBorder="1" applyAlignment="1">
      <alignment horizontal="center"/>
    </xf>
    <xf numFmtId="2" fontId="0" fillId="7" borderId="29" xfId="0" applyNumberFormat="1" applyFill="1" applyBorder="1" applyAlignment="1">
      <alignment horizontal="center"/>
    </xf>
    <xf numFmtId="2" fontId="0" fillId="7" borderId="44" xfId="0" applyNumberFormat="1" applyFill="1" applyBorder="1" applyAlignment="1">
      <alignment horizontal="center"/>
    </xf>
    <xf numFmtId="2" fontId="0" fillId="4" borderId="13" xfId="0" applyNumberFormat="1" applyFill="1" applyBorder="1" applyAlignment="1">
      <alignment horizontal="center" wrapText="1"/>
    </xf>
    <xf numFmtId="49" fontId="0" fillId="7" borderId="4" xfId="0" applyNumberFormat="1" applyFill="1" applyBorder="1" applyAlignment="1">
      <alignment horizontal="left" wrapText="1"/>
    </xf>
    <xf numFmtId="49" fontId="0" fillId="7" borderId="5" xfId="0" applyNumberFormat="1" applyFill="1" applyBorder="1" applyAlignment="1">
      <alignment horizontal="left" wrapText="1"/>
    </xf>
    <xf numFmtId="49" fontId="76" fillId="31" borderId="4" xfId="0" applyNumberFormat="1" applyFont="1" applyFill="1" applyBorder="1" applyAlignment="1">
      <alignment horizontal="center" wrapText="1"/>
    </xf>
    <xf numFmtId="49" fontId="76" fillId="31" borderId="6" xfId="0" applyNumberFormat="1" applyFont="1" applyFill="1" applyBorder="1" applyAlignment="1">
      <alignment horizontal="center" wrapText="1"/>
    </xf>
    <xf numFmtId="2" fontId="95" fillId="2" borderId="0" xfId="0" applyNumberFormat="1" applyFont="1" applyFill="1" applyAlignment="1">
      <alignment horizontal="left" wrapText="1"/>
    </xf>
    <xf numFmtId="49" fontId="0" fillId="2" borderId="1" xfId="0" applyNumberFormat="1" applyFill="1" applyBorder="1" applyAlignment="1">
      <alignment horizontal="center"/>
    </xf>
    <xf numFmtId="1" fontId="0" fillId="5" borderId="1" xfId="0" applyNumberFormat="1" applyFill="1" applyBorder="1" applyAlignment="1">
      <alignment horizontal="right"/>
    </xf>
    <xf numFmtId="4" fontId="7" fillId="5" borderId="16" xfId="0" applyNumberFormat="1" applyFont="1" applyFill="1" applyBorder="1" applyAlignment="1">
      <alignment horizontal="right"/>
    </xf>
    <xf numFmtId="0" fontId="0" fillId="5" borderId="4" xfId="0" applyFill="1" applyBorder="1" applyAlignment="1">
      <alignment horizontal="right"/>
    </xf>
    <xf numFmtId="0" fontId="0" fillId="5" borderId="40" xfId="0" applyFill="1" applyBorder="1" applyAlignment="1">
      <alignment horizontal="righ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2" fontId="7" fillId="5" borderId="16" xfId="0" applyNumberFormat="1" applyFont="1" applyFill="1" applyBorder="1" applyAlignment="1">
      <alignment horizontal="right"/>
    </xf>
    <xf numFmtId="2" fontId="7" fillId="5" borderId="17" xfId="0" applyNumberFormat="1" applyFont="1" applyFill="1" applyBorder="1" applyAlignment="1">
      <alignment horizontal="right"/>
    </xf>
    <xf numFmtId="0" fontId="0" fillId="5" borderId="4"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93" fillId="2" borderId="0" xfId="0" applyNumberFormat="1" applyFont="1" applyFill="1" applyAlignment="1">
      <alignment horizontal="left" wrapText="1"/>
    </xf>
    <xf numFmtId="2" fontId="96" fillId="2" borderId="45" xfId="0" applyNumberFormat="1" applyFont="1" applyFill="1" applyBorder="1" applyAlignment="1">
      <alignment horizontal="left" wrapText="1"/>
    </xf>
    <xf numFmtId="0" fontId="108" fillId="2" borderId="45" xfId="0" applyFont="1" applyFill="1" applyBorder="1" applyAlignment="1">
      <alignment horizontal="center" vertical="center"/>
    </xf>
    <xf numFmtId="0" fontId="0" fillId="5" borderId="1" xfId="0" applyFill="1" applyBorder="1" applyAlignment="1">
      <alignment horizontal="right"/>
    </xf>
    <xf numFmtId="0" fontId="6" fillId="4" borderId="37" xfId="0" applyFont="1" applyFill="1" applyBorder="1" applyAlignment="1">
      <alignment horizontal="center"/>
    </xf>
    <xf numFmtId="0" fontId="6" fillId="4" borderId="38" xfId="0" applyFont="1" applyFill="1" applyBorder="1" applyAlignment="1">
      <alignment horizontal="center"/>
    </xf>
    <xf numFmtId="0" fontId="6" fillId="4" borderId="39" xfId="0" applyFont="1" applyFill="1" applyBorder="1" applyAlignment="1">
      <alignment horizontal="center"/>
    </xf>
    <xf numFmtId="0" fontId="71" fillId="4" borderId="2" xfId="0" applyFont="1" applyFill="1" applyBorder="1" applyAlignment="1">
      <alignment horizontal="center" vertical="center" wrapText="1"/>
    </xf>
    <xf numFmtId="0" fontId="71" fillId="4" borderId="10" xfId="0" applyFont="1" applyFill="1" applyBorder="1" applyAlignment="1">
      <alignment horizontal="center" vertical="center" wrapText="1"/>
    </xf>
    <xf numFmtId="0" fontId="71" fillId="4" borderId="77" xfId="0" applyFont="1" applyFill="1" applyBorder="1" applyAlignment="1">
      <alignment horizontal="center" vertical="center" wrapText="1"/>
    </xf>
    <xf numFmtId="0" fontId="0" fillId="0" borderId="60" xfId="0" applyBorder="1" applyAlignment="1">
      <alignment horizontal="center"/>
    </xf>
    <xf numFmtId="0" fontId="0" fillId="5" borderId="4" xfId="0" applyFill="1" applyBorder="1" applyAlignment="1">
      <alignment horizontal="left"/>
    </xf>
    <xf numFmtId="0" fontId="7" fillId="5" borderId="42" xfId="0" applyFont="1" applyFill="1" applyBorder="1" applyAlignment="1">
      <alignment horizontal="left"/>
    </xf>
    <xf numFmtId="0" fontId="7" fillId="5" borderId="43" xfId="0" applyFont="1" applyFill="1" applyBorder="1" applyAlignment="1">
      <alignment horizontal="left"/>
    </xf>
    <xf numFmtId="0" fontId="7" fillId="5" borderId="32" xfId="0" applyFont="1" applyFill="1" applyBorder="1" applyAlignment="1">
      <alignment horizontal="left"/>
    </xf>
    <xf numFmtId="0" fontId="6" fillId="4" borderId="36" xfId="0" applyFont="1" applyFill="1" applyBorder="1" applyAlignment="1">
      <alignment horizontal="center" wrapText="1"/>
    </xf>
    <xf numFmtId="0" fontId="6" fillId="4" borderId="60" xfId="0" applyFont="1" applyFill="1" applyBorder="1" applyAlignment="1">
      <alignment horizontal="center" wrapText="1"/>
    </xf>
    <xf numFmtId="0" fontId="6" fillId="4" borderId="65" xfId="0" applyFont="1" applyFill="1" applyBorder="1" applyAlignment="1">
      <alignment horizontal="center" wrapText="1"/>
    </xf>
    <xf numFmtId="2" fontId="0" fillId="5" borderId="4" xfId="0" applyNumberFormat="1" applyFill="1" applyBorder="1" applyAlignment="1">
      <alignment horizontal="center"/>
    </xf>
    <xf numFmtId="2" fontId="0" fillId="5" borderId="5" xfId="0" applyNumberFormat="1" applyFill="1" applyBorder="1" applyAlignment="1">
      <alignment horizontal="center"/>
    </xf>
    <xf numFmtId="0" fontId="0" fillId="4" borderId="2" xfId="0" applyFill="1" applyBorder="1" applyAlignment="1">
      <alignment horizontal="left" vertical="center" wrapText="1"/>
    </xf>
    <xf numFmtId="0" fontId="0" fillId="4" borderId="10" xfId="0" applyFill="1" applyBorder="1" applyAlignment="1">
      <alignment horizontal="left" vertical="center" wrapText="1"/>
    </xf>
    <xf numFmtId="0" fontId="0" fillId="4" borderId="77" xfId="0" applyFill="1" applyBorder="1" applyAlignment="1">
      <alignment horizontal="left" vertical="center" wrapText="1"/>
    </xf>
    <xf numFmtId="0" fontId="0" fillId="4" borderId="83" xfId="0" applyFill="1" applyBorder="1" applyAlignment="1">
      <alignment horizontal="left" vertical="center" wrapText="1"/>
    </xf>
    <xf numFmtId="0" fontId="0" fillId="4" borderId="45" xfId="0" applyFill="1" applyBorder="1" applyAlignment="1">
      <alignment horizontal="left" vertical="center" wrapText="1"/>
    </xf>
    <xf numFmtId="0" fontId="0" fillId="4" borderId="76" xfId="0" applyFill="1" applyBorder="1" applyAlignment="1">
      <alignment horizontal="left" vertical="center" wrapText="1"/>
    </xf>
    <xf numFmtId="49" fontId="0" fillId="5" borderId="6" xfId="0" applyNumberFormat="1" applyFill="1" applyBorder="1" applyAlignment="1">
      <alignment horizontal="left" wrapText="1"/>
    </xf>
    <xf numFmtId="0" fontId="92" fillId="31" borderId="36" xfId="0" applyFont="1" applyFill="1" applyBorder="1" applyAlignment="1">
      <alignment horizontal="center" vertical="center" textRotation="90"/>
    </xf>
    <xf numFmtId="0" fontId="92" fillId="31" borderId="33" xfId="0" applyFont="1" applyFill="1" applyBorder="1" applyAlignment="1">
      <alignment horizontal="center" vertical="center" textRotation="90"/>
    </xf>
    <xf numFmtId="0" fontId="92" fillId="31" borderId="41" xfId="0" applyFont="1" applyFill="1" applyBorder="1" applyAlignment="1">
      <alignment horizontal="center" vertical="center" textRotation="90"/>
    </xf>
    <xf numFmtId="4" fontId="19" fillId="2" borderId="11" xfId="0" applyNumberFormat="1" applyFont="1" applyFill="1" applyBorder="1" applyAlignment="1">
      <alignment horizontal="center" wrapText="1"/>
    </xf>
    <xf numFmtId="4" fontId="19" fillId="2" borderId="39" xfId="0" applyNumberFormat="1" applyFont="1" applyFill="1" applyBorder="1" applyAlignment="1">
      <alignment horizontal="center" wrapText="1"/>
    </xf>
    <xf numFmtId="0" fontId="133" fillId="4" borderId="34" xfId="0" applyFont="1" applyFill="1" applyBorder="1" applyAlignment="1">
      <alignment horizontal="center" vertical="center" wrapText="1"/>
    </xf>
    <xf numFmtId="0" fontId="133" fillId="4" borderId="27" xfId="0" applyFont="1" applyFill="1" applyBorder="1" applyAlignment="1">
      <alignment horizontal="center" vertical="center" wrapText="1"/>
    </xf>
    <xf numFmtId="0" fontId="133" fillId="4" borderId="75" xfId="0" applyFont="1" applyFill="1" applyBorder="1" applyAlignment="1">
      <alignment horizontal="center" vertical="center" wrapText="1"/>
    </xf>
    <xf numFmtId="0" fontId="95" fillId="0" borderId="60" xfId="0" applyFont="1" applyBorder="1" applyAlignment="1">
      <alignment horizontal="left" wrapText="1"/>
    </xf>
    <xf numFmtId="49" fontId="0" fillId="4" borderId="29" xfId="0" applyNumberFormat="1" applyFill="1" applyBorder="1" applyAlignment="1">
      <alignment horizontal="left" vertical="center" wrapText="1"/>
    </xf>
    <xf numFmtId="49" fontId="0" fillId="4" borderId="43" xfId="0" applyNumberFormat="1" applyFill="1" applyBorder="1" applyAlignment="1">
      <alignment horizontal="left" vertical="center" wrapText="1"/>
    </xf>
    <xf numFmtId="49" fontId="0" fillId="4" borderId="32" xfId="0" applyNumberFormat="1" applyFill="1" applyBorder="1" applyAlignment="1">
      <alignment horizontal="left" vertical="center" wrapText="1"/>
    </xf>
    <xf numFmtId="49" fontId="71" fillId="4" borderId="3" xfId="0" applyNumberFormat="1" applyFont="1" applyFill="1" applyBorder="1" applyAlignment="1">
      <alignment horizontal="center" wrapText="1"/>
    </xf>
    <xf numFmtId="49" fontId="71" fillId="4" borderId="0" xfId="0" applyNumberFormat="1" applyFont="1" applyFill="1" applyAlignment="1">
      <alignment horizontal="center" wrapText="1"/>
    </xf>
    <xf numFmtId="49" fontId="71" fillId="4" borderId="78" xfId="0" applyNumberFormat="1" applyFont="1" applyFill="1" applyBorder="1" applyAlignment="1">
      <alignment horizontal="center" wrapText="1"/>
    </xf>
    <xf numFmtId="49" fontId="6" fillId="4" borderId="81" xfId="0" applyNumberFormat="1" applyFont="1" applyFill="1" applyBorder="1" applyAlignment="1">
      <alignment horizontal="center" wrapText="1"/>
    </xf>
    <xf numFmtId="49" fontId="6" fillId="4" borderId="60" xfId="0" applyNumberFormat="1" applyFont="1" applyFill="1" applyBorder="1" applyAlignment="1">
      <alignment horizontal="center" wrapText="1"/>
    </xf>
    <xf numFmtId="49" fontId="6" fillId="4" borderId="65" xfId="0" applyNumberFormat="1" applyFont="1" applyFill="1" applyBorder="1" applyAlignment="1">
      <alignment horizontal="center" wrapText="1"/>
    </xf>
    <xf numFmtId="49" fontId="0" fillId="2" borderId="4" xfId="0" applyNumberFormat="1" applyFill="1" applyBorder="1" applyAlignment="1">
      <alignment horizontal="left" wrapText="1"/>
    </xf>
    <xf numFmtId="49" fontId="0" fillId="2" borderId="5" xfId="0" applyNumberFormat="1" applyFill="1" applyBorder="1" applyAlignment="1">
      <alignment horizontal="left" wrapText="1"/>
    </xf>
    <xf numFmtId="49" fontId="0" fillId="4" borderId="11" xfId="0" applyNumberFormat="1" applyFill="1" applyBorder="1" applyAlignment="1">
      <alignment horizontal="left"/>
    </xf>
    <xf numFmtId="49" fontId="0" fillId="4" borderId="38" xfId="0" applyNumberFormat="1" applyFill="1" applyBorder="1" applyAlignment="1">
      <alignment horizontal="left"/>
    </xf>
    <xf numFmtId="49" fontId="0" fillId="4" borderId="31" xfId="0" applyNumberFormat="1" applyFill="1" applyBorder="1" applyAlignment="1">
      <alignment horizontal="left"/>
    </xf>
    <xf numFmtId="0" fontId="9" fillId="4" borderId="81" xfId="0" applyFont="1" applyFill="1" applyBorder="1" applyAlignment="1">
      <alignment horizontal="center" wrapText="1"/>
    </xf>
    <xf numFmtId="0" fontId="92" fillId="31" borderId="60" xfId="0" applyFont="1" applyFill="1" applyBorder="1" applyAlignment="1">
      <alignment horizontal="center" vertical="center"/>
    </xf>
    <xf numFmtId="49" fontId="17" fillId="31" borderId="4" xfId="0" applyNumberFormat="1" applyFont="1" applyFill="1" applyBorder="1" applyAlignment="1">
      <alignment horizontal="left" wrapText="1"/>
    </xf>
    <xf numFmtId="49" fontId="17" fillId="31" borderId="5" xfId="0" applyNumberFormat="1" applyFont="1" applyFill="1" applyBorder="1" applyAlignment="1">
      <alignment horizontal="left" wrapText="1"/>
    </xf>
    <xf numFmtId="0" fontId="0" fillId="2" borderId="62"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0" fillId="2" borderId="40" xfId="0" applyFill="1" applyBorder="1" applyAlignment="1" applyProtection="1">
      <alignment horizontal="left" vertical="center"/>
      <protection locked="0"/>
    </xf>
    <xf numFmtId="0" fontId="17" fillId="0" borderId="33" xfId="0" applyFont="1" applyBorder="1" applyAlignment="1">
      <alignment horizontal="center" vertical="center" wrapText="1"/>
    </xf>
    <xf numFmtId="0" fontId="87" fillId="31" borderId="36" xfId="0" applyFont="1" applyFill="1" applyBorder="1" applyAlignment="1">
      <alignment horizontal="center" vertical="center"/>
    </xf>
    <xf numFmtId="0" fontId="87" fillId="31" borderId="60" xfId="0" applyFont="1" applyFill="1" applyBorder="1" applyAlignment="1">
      <alignment horizontal="center" vertical="center"/>
    </xf>
    <xf numFmtId="0" fontId="87" fillId="31" borderId="65" xfId="0" applyFont="1" applyFill="1" applyBorder="1" applyAlignment="1">
      <alignment horizontal="center" vertical="center"/>
    </xf>
    <xf numFmtId="0" fontId="17" fillId="31" borderId="41" xfId="0" applyFont="1" applyFill="1" applyBorder="1" applyAlignment="1">
      <alignment horizontal="left" vertical="center" wrapText="1"/>
    </xf>
    <xf numFmtId="0" fontId="17" fillId="31" borderId="45" xfId="0" applyFont="1" applyFill="1" applyBorder="1" applyAlignment="1">
      <alignment horizontal="left" vertical="center" wrapText="1"/>
    </xf>
    <xf numFmtId="0" fontId="17" fillId="31" borderId="76" xfId="0" applyFont="1" applyFill="1" applyBorder="1" applyAlignment="1">
      <alignment horizontal="left" vertical="center" wrapText="1"/>
    </xf>
    <xf numFmtId="0" fontId="109" fillId="31" borderId="36" xfId="0" applyFont="1" applyFill="1" applyBorder="1" applyAlignment="1">
      <alignment horizontal="center" wrapText="1"/>
    </xf>
    <xf numFmtId="0" fontId="109" fillId="31" borderId="60" xfId="0" applyFont="1" applyFill="1" applyBorder="1" applyAlignment="1">
      <alignment horizontal="center" wrapText="1"/>
    </xf>
    <xf numFmtId="0" fontId="109" fillId="31" borderId="65" xfId="0" applyFont="1" applyFill="1" applyBorder="1" applyAlignment="1">
      <alignment horizontal="center" wrapText="1"/>
    </xf>
    <xf numFmtId="0" fontId="88" fillId="31" borderId="41" xfId="0" applyFont="1" applyFill="1" applyBorder="1" applyAlignment="1">
      <alignment horizontal="left" wrapText="1"/>
    </xf>
    <xf numFmtId="0" fontId="88" fillId="31" borderId="45" xfId="0" applyFont="1" applyFill="1" applyBorder="1" applyAlignment="1">
      <alignment horizontal="left" wrapText="1"/>
    </xf>
    <xf numFmtId="0" fontId="88" fillId="31" borderId="76" xfId="0" applyFont="1" applyFill="1" applyBorder="1" applyAlignment="1">
      <alignment horizontal="left" wrapText="1"/>
    </xf>
    <xf numFmtId="0" fontId="0" fillId="2" borderId="38" xfId="0" applyFill="1" applyBorder="1" applyAlignment="1" applyProtection="1">
      <alignment horizontal="left" vertical="center"/>
      <protection locked="0"/>
    </xf>
    <xf numFmtId="0" fontId="0" fillId="2" borderId="31" xfId="0" applyFill="1" applyBorder="1" applyAlignment="1" applyProtection="1">
      <alignment horizontal="left" vertical="center"/>
      <protection locked="0"/>
    </xf>
    <xf numFmtId="4" fontId="109" fillId="31" borderId="85" xfId="0" applyNumberFormat="1" applyFont="1" applyFill="1" applyBorder="1" applyAlignment="1">
      <alignment horizontal="center" vertical="center" wrapText="1"/>
    </xf>
    <xf numFmtId="4" fontId="109" fillId="31" borderId="89" xfId="0" applyNumberFormat="1" applyFont="1" applyFill="1" applyBorder="1" applyAlignment="1">
      <alignment horizontal="center" vertical="center" wrapText="1"/>
    </xf>
    <xf numFmtId="0" fontId="17" fillId="31" borderId="84" xfId="0" applyFont="1" applyFill="1" applyBorder="1" applyAlignment="1">
      <alignment horizontal="center" vertical="center" wrapText="1"/>
    </xf>
    <xf numFmtId="0" fontId="17" fillId="31" borderId="85" xfId="0" applyFont="1" applyFill="1" applyBorder="1" applyAlignment="1">
      <alignment horizontal="center" vertical="center" wrapText="1"/>
    </xf>
    <xf numFmtId="0" fontId="17" fillId="31" borderId="89" xfId="0" applyFont="1" applyFill="1" applyBorder="1" applyAlignment="1">
      <alignment horizontal="center" vertical="center" wrapText="1"/>
    </xf>
    <xf numFmtId="0" fontId="76" fillId="31" borderId="33" xfId="0" applyFont="1" applyFill="1" applyBorder="1" applyAlignment="1">
      <alignment horizontal="center" vertical="center" wrapText="1"/>
    </xf>
    <xf numFmtId="0" fontId="76" fillId="31" borderId="0" xfId="0" applyFont="1" applyFill="1" applyAlignment="1">
      <alignment horizontal="center" vertical="center" wrapText="1"/>
    </xf>
    <xf numFmtId="0" fontId="76" fillId="31" borderId="78" xfId="0" applyFont="1" applyFill="1" applyBorder="1" applyAlignment="1">
      <alignment horizontal="center" vertical="center" wrapText="1"/>
    </xf>
    <xf numFmtId="0" fontId="78" fillId="5" borderId="13" xfId="0" applyFont="1" applyFill="1" applyBorder="1" applyAlignment="1">
      <alignment horizontal="left" vertical="center"/>
    </xf>
    <xf numFmtId="0" fontId="78" fillId="5" borderId="5" xfId="0" applyFont="1" applyFill="1" applyBorder="1" applyAlignment="1">
      <alignment horizontal="left" vertical="center"/>
    </xf>
    <xf numFmtId="0" fontId="78" fillId="5" borderId="6" xfId="0" applyFont="1" applyFill="1" applyBorder="1" applyAlignment="1">
      <alignment horizontal="left" vertical="center"/>
    </xf>
    <xf numFmtId="0" fontId="78" fillId="5" borderId="4" xfId="0" applyFont="1" applyFill="1" applyBorder="1" applyAlignment="1">
      <alignment horizontal="left" vertical="center"/>
    </xf>
    <xf numFmtId="0" fontId="85" fillId="31" borderId="58" xfId="0" applyFont="1" applyFill="1" applyBorder="1" applyAlignment="1">
      <alignment horizontal="left" vertical="center"/>
    </xf>
    <xf numFmtId="0" fontId="85" fillId="31" borderId="59" xfId="0" applyFont="1" applyFill="1" applyBorder="1" applyAlignment="1">
      <alignment horizontal="left" vertical="center"/>
    </xf>
    <xf numFmtId="0" fontId="88" fillId="36" borderId="23" xfId="0" applyFont="1" applyFill="1" applyBorder="1" applyAlignment="1">
      <alignment horizontal="left" vertical="center"/>
    </xf>
    <xf numFmtId="0" fontId="88" fillId="36" borderId="24" xfId="0" applyFont="1" applyFill="1" applyBorder="1" applyAlignment="1">
      <alignment horizontal="left" vertical="center"/>
    </xf>
    <xf numFmtId="0" fontId="0" fillId="2" borderId="36" xfId="0" applyFill="1" applyBorder="1" applyAlignment="1" applyProtection="1">
      <alignment horizontal="left" vertical="center"/>
      <protection locked="0"/>
    </xf>
    <xf numFmtId="0" fontId="0" fillId="2" borderId="60" xfId="0" applyFill="1" applyBorder="1" applyAlignment="1" applyProtection="1">
      <alignment horizontal="left" vertical="center"/>
      <protection locked="0"/>
    </xf>
    <xf numFmtId="0" fontId="0" fillId="2" borderId="65" xfId="0" applyFill="1" applyBorder="1" applyAlignment="1" applyProtection="1">
      <alignment horizontal="left" vertical="center"/>
      <protection locked="0"/>
    </xf>
    <xf numFmtId="0" fontId="85" fillId="31" borderId="20" xfId="0" applyFont="1" applyFill="1" applyBorder="1" applyAlignment="1">
      <alignment horizontal="left" vertical="center" wrapText="1"/>
    </xf>
    <xf numFmtId="0" fontId="85" fillId="31" borderId="21" xfId="0" applyFont="1" applyFill="1" applyBorder="1" applyAlignment="1">
      <alignment horizontal="left" vertical="center" wrapText="1"/>
    </xf>
    <xf numFmtId="0" fontId="85" fillId="31" borderId="82" xfId="0" applyFont="1" applyFill="1" applyBorder="1" applyAlignment="1">
      <alignment horizontal="left" vertical="center" wrapText="1"/>
    </xf>
    <xf numFmtId="0" fontId="85" fillId="31" borderId="24" xfId="0" applyFont="1" applyFill="1" applyBorder="1" applyAlignment="1">
      <alignment horizontal="left" vertical="center" wrapText="1"/>
    </xf>
    <xf numFmtId="0" fontId="85" fillId="31" borderId="84" xfId="0" applyFont="1" applyFill="1" applyBorder="1" applyAlignment="1">
      <alignment horizontal="center" wrapText="1"/>
    </xf>
    <xf numFmtId="0" fontId="85" fillId="31" borderId="85" xfId="0" applyFont="1" applyFill="1" applyBorder="1" applyAlignment="1">
      <alignment horizontal="center" wrapText="1"/>
    </xf>
    <xf numFmtId="0" fontId="86" fillId="36" borderId="23" xfId="0" applyFont="1" applyFill="1" applyBorder="1" applyAlignment="1">
      <alignment horizontal="left" vertical="center"/>
    </xf>
    <xf numFmtId="0" fontId="86" fillId="36" borderId="24" xfId="0" applyFont="1" applyFill="1" applyBorder="1" applyAlignment="1">
      <alignment horizontal="left" vertical="center"/>
    </xf>
    <xf numFmtId="0" fontId="86" fillId="36" borderId="28" xfId="0" applyFont="1" applyFill="1" applyBorder="1" applyAlignment="1">
      <alignment horizontal="left" vertical="center"/>
    </xf>
    <xf numFmtId="0" fontId="84" fillId="36" borderId="23" xfId="0" applyFont="1" applyFill="1" applyBorder="1" applyAlignment="1">
      <alignment horizontal="left" vertical="center"/>
    </xf>
    <xf numFmtId="0" fontId="84" fillId="36" borderId="24" xfId="0" applyFont="1" applyFill="1" applyBorder="1" applyAlignment="1">
      <alignment horizontal="left" vertical="center"/>
    </xf>
    <xf numFmtId="0" fontId="84" fillId="36" borderId="28" xfId="0" applyFont="1" applyFill="1" applyBorder="1" applyAlignment="1">
      <alignment horizontal="left" vertical="center"/>
    </xf>
    <xf numFmtId="0" fontId="92" fillId="31" borderId="84" xfId="0" applyFont="1" applyFill="1" applyBorder="1" applyAlignment="1">
      <alignment horizontal="center" vertical="center" textRotation="90" wrapText="1"/>
    </xf>
    <xf numFmtId="0" fontId="92" fillId="31" borderId="85" xfId="0" applyFont="1" applyFill="1" applyBorder="1" applyAlignment="1">
      <alignment horizontal="center" vertical="center" textRotation="90" wrapText="1"/>
    </xf>
    <xf numFmtId="0" fontId="92" fillId="31" borderId="89" xfId="0" applyFont="1" applyFill="1" applyBorder="1" applyAlignment="1">
      <alignment horizontal="center" vertical="center" textRotation="90" wrapText="1"/>
    </xf>
    <xf numFmtId="0" fontId="17" fillId="31" borderId="23" xfId="0" applyFont="1" applyFill="1" applyBorder="1" applyAlignment="1">
      <alignment horizontal="left" vertical="center" wrapText="1"/>
    </xf>
    <xf numFmtId="0" fontId="17" fillId="31" borderId="24" xfId="0" applyFont="1" applyFill="1" applyBorder="1" applyAlignment="1">
      <alignment horizontal="left" vertical="center" wrapText="1"/>
    </xf>
    <xf numFmtId="0" fontId="17" fillId="31" borderId="25" xfId="0" applyFont="1" applyFill="1" applyBorder="1" applyAlignment="1">
      <alignment horizontal="left" vertical="center" wrapText="1"/>
    </xf>
    <xf numFmtId="0" fontId="92" fillId="31" borderId="84" xfId="0" applyFont="1" applyFill="1" applyBorder="1" applyAlignment="1">
      <alignment horizontal="center" vertical="center" textRotation="90"/>
    </xf>
    <xf numFmtId="0" fontId="92" fillId="31" borderId="85" xfId="0" applyFont="1" applyFill="1" applyBorder="1" applyAlignment="1">
      <alignment horizontal="center" vertical="center" textRotation="90"/>
    </xf>
    <xf numFmtId="0" fontId="92" fillId="31" borderId="89" xfId="0" applyFont="1" applyFill="1" applyBorder="1" applyAlignment="1">
      <alignment horizontal="center" vertical="center" textRotation="90"/>
    </xf>
    <xf numFmtId="0" fontId="0" fillId="0" borderId="1" xfId="0" applyBorder="1" applyAlignment="1">
      <alignment horizontal="left"/>
    </xf>
    <xf numFmtId="0" fontId="0" fillId="2" borderId="58" xfId="0" applyFill="1" applyBorder="1" applyAlignment="1">
      <alignment horizontal="left"/>
    </xf>
    <xf numFmtId="0" fontId="0" fillId="2" borderId="59" xfId="0" applyFill="1" applyBorder="1" applyAlignment="1">
      <alignment horizontal="left"/>
    </xf>
    <xf numFmtId="0" fontId="0" fillId="0" borderId="59" xfId="0" applyBorder="1" applyAlignment="1">
      <alignment horizontal="left"/>
    </xf>
    <xf numFmtId="0" fontId="0" fillId="0" borderId="52" xfId="0" applyBorder="1" applyAlignment="1">
      <alignment horizontal="left"/>
    </xf>
    <xf numFmtId="14" fontId="105" fillId="31" borderId="0" xfId="0" applyNumberFormat="1" applyFont="1" applyFill="1" applyAlignment="1">
      <alignment horizontal="center"/>
    </xf>
    <xf numFmtId="14" fontId="105" fillId="31" borderId="45" xfId="0" applyNumberFormat="1" applyFont="1" applyFill="1" applyBorder="1" applyAlignment="1">
      <alignment horizontal="center"/>
    </xf>
    <xf numFmtId="14" fontId="105" fillId="31" borderId="76" xfId="0" applyNumberFormat="1" applyFont="1" applyFill="1" applyBorder="1" applyAlignment="1">
      <alignment horizontal="center"/>
    </xf>
    <xf numFmtId="0" fontId="0" fillId="0" borderId="16" xfId="0" applyBorder="1" applyAlignment="1">
      <alignment horizontal="left"/>
    </xf>
    <xf numFmtId="0" fontId="105" fillId="31" borderId="58" xfId="0" applyFont="1" applyFill="1" applyBorder="1" applyAlignment="1">
      <alignment horizontal="center" vertical="center" textRotation="90"/>
    </xf>
    <xf numFmtId="0" fontId="105" fillId="31" borderId="26" xfId="0" applyFont="1" applyFill="1" applyBorder="1" applyAlignment="1">
      <alignment horizontal="center" vertical="center" textRotation="90"/>
    </xf>
    <xf numFmtId="0" fontId="105" fillId="31" borderId="9" xfId="0" applyFont="1" applyFill="1" applyBorder="1" applyAlignment="1">
      <alignment horizontal="center" vertical="center" textRotation="90"/>
    </xf>
    <xf numFmtId="0" fontId="105" fillId="31" borderId="15" xfId="0" applyFont="1" applyFill="1" applyBorder="1" applyAlignment="1">
      <alignment horizontal="center" vertical="center" textRotation="90"/>
    </xf>
    <xf numFmtId="0" fontId="105" fillId="31" borderId="81" xfId="0" applyFont="1" applyFill="1" applyBorder="1" applyAlignment="1">
      <alignment horizontal="center"/>
    </xf>
    <xf numFmtId="0" fontId="105" fillId="31" borderId="60" xfId="0" applyFont="1" applyFill="1" applyBorder="1" applyAlignment="1">
      <alignment horizontal="center"/>
    </xf>
    <xf numFmtId="0" fontId="105" fillId="31" borderId="37" xfId="0" applyFont="1" applyFill="1" applyBorder="1" applyAlignment="1">
      <alignment horizontal="center"/>
    </xf>
    <xf numFmtId="0" fontId="105" fillId="31" borderId="38" xfId="0" applyFont="1" applyFill="1" applyBorder="1" applyAlignment="1">
      <alignment horizontal="center"/>
    </xf>
    <xf numFmtId="0" fontId="105" fillId="31" borderId="39" xfId="0" applyFont="1" applyFill="1" applyBorder="1" applyAlignment="1">
      <alignment horizontal="center"/>
    </xf>
    <xf numFmtId="0" fontId="105" fillId="31" borderId="0" xfId="0" applyFont="1" applyFill="1" applyAlignment="1">
      <alignment horizontal="left"/>
    </xf>
    <xf numFmtId="0" fontId="105" fillId="31" borderId="27" xfId="0" applyFont="1" applyFill="1" applyBorder="1" applyAlignment="1">
      <alignment horizontal="left"/>
    </xf>
    <xf numFmtId="0" fontId="105" fillId="31" borderId="11" xfId="0" applyFont="1" applyFill="1" applyBorder="1" applyAlignment="1">
      <alignment horizontal="center"/>
    </xf>
    <xf numFmtId="0" fontId="0" fillId="0" borderId="36" xfId="0" applyBorder="1" applyAlignment="1">
      <alignment horizontal="center"/>
    </xf>
    <xf numFmtId="0" fontId="0" fillId="0" borderId="33" xfId="0" applyBorder="1" applyAlignment="1">
      <alignment horizontal="center"/>
    </xf>
    <xf numFmtId="0" fontId="0" fillId="0" borderId="53" xfId="0" applyBorder="1" applyAlignment="1">
      <alignment horizontal="center"/>
    </xf>
    <xf numFmtId="0" fontId="0" fillId="0" borderId="10" xfId="0" applyBorder="1" applyAlignment="1">
      <alignment horizontal="center"/>
    </xf>
    <xf numFmtId="2" fontId="17" fillId="36" borderId="13" xfId="0" applyNumberFormat="1" applyFont="1" applyFill="1" applyBorder="1" applyAlignment="1">
      <alignment horizontal="center"/>
    </xf>
    <xf numFmtId="2" fontId="17" fillId="36" borderId="5" xfId="0" applyNumberFormat="1" applyFont="1" applyFill="1" applyBorder="1" applyAlignment="1">
      <alignment horizontal="center"/>
    </xf>
    <xf numFmtId="2" fontId="17" fillId="36" borderId="40" xfId="0" applyNumberFormat="1" applyFont="1" applyFill="1" applyBorder="1" applyAlignment="1">
      <alignment horizontal="center"/>
    </xf>
    <xf numFmtId="0" fontId="105" fillId="31" borderId="36" xfId="0" applyFont="1" applyFill="1" applyBorder="1" applyAlignment="1">
      <alignment horizontal="center"/>
    </xf>
    <xf numFmtId="0" fontId="105" fillId="31" borderId="65" xfId="0" applyFont="1" applyFill="1" applyBorder="1" applyAlignment="1">
      <alignment horizontal="center"/>
    </xf>
    <xf numFmtId="14" fontId="105" fillId="31" borderId="41" xfId="0" applyNumberFormat="1" applyFont="1" applyFill="1" applyBorder="1" applyAlignment="1">
      <alignment horizontal="center"/>
    </xf>
    <xf numFmtId="2" fontId="20" fillId="2" borderId="36" xfId="0" applyNumberFormat="1" applyFont="1" applyFill="1" applyBorder="1" applyAlignment="1">
      <alignment horizontal="left" wrapText="1"/>
    </xf>
    <xf numFmtId="2" fontId="20" fillId="2" borderId="60" xfId="0" applyNumberFormat="1" applyFont="1" applyFill="1" applyBorder="1" applyAlignment="1">
      <alignment horizontal="left" wrapText="1"/>
    </xf>
    <xf numFmtId="2" fontId="20" fillId="2" borderId="65" xfId="0" applyNumberFormat="1" applyFont="1" applyFill="1" applyBorder="1" applyAlignment="1">
      <alignment horizontal="left" wrapText="1"/>
    </xf>
    <xf numFmtId="2" fontId="20" fillId="2" borderId="33" xfId="0" applyNumberFormat="1" applyFont="1" applyFill="1" applyBorder="1" applyAlignment="1">
      <alignment horizontal="left" wrapText="1"/>
    </xf>
    <xf numFmtId="2" fontId="20" fillId="2" borderId="0" xfId="0" applyNumberFormat="1" applyFont="1" applyFill="1" applyAlignment="1">
      <alignment horizontal="left" wrapText="1"/>
    </xf>
    <xf numFmtId="2" fontId="20" fillId="2" borderId="78" xfId="0" applyNumberFormat="1" applyFont="1" applyFill="1" applyBorder="1" applyAlignment="1">
      <alignment horizontal="left" wrapText="1"/>
    </xf>
    <xf numFmtId="2" fontId="20" fillId="2" borderId="41" xfId="0" applyNumberFormat="1" applyFont="1" applyFill="1" applyBorder="1" applyAlignment="1">
      <alignment horizontal="left" wrapText="1"/>
    </xf>
    <xf numFmtId="2" fontId="20" fillId="2" borderId="45" xfId="0" applyNumberFormat="1" applyFont="1" applyFill="1" applyBorder="1" applyAlignment="1">
      <alignment horizontal="left" wrapText="1"/>
    </xf>
    <xf numFmtId="2" fontId="20" fillId="2" borderId="76" xfId="0" applyNumberFormat="1" applyFont="1" applyFill="1" applyBorder="1" applyAlignment="1">
      <alignment horizontal="left" wrapText="1"/>
    </xf>
    <xf numFmtId="0" fontId="20" fillId="0" borderId="10" xfId="0" applyFont="1" applyBorder="1" applyAlignment="1">
      <alignment horizontal="left" wrapText="1"/>
    </xf>
    <xf numFmtId="0" fontId="20" fillId="0" borderId="0" xfId="0" applyFont="1" applyAlignment="1">
      <alignment horizontal="left" wrapText="1"/>
    </xf>
    <xf numFmtId="2" fontId="17" fillId="36" borderId="29" xfId="0" applyNumberFormat="1" applyFont="1" applyFill="1" applyBorder="1" applyAlignment="1">
      <alignment horizontal="center"/>
    </xf>
    <xf numFmtId="2" fontId="17" fillId="36" borderId="43" xfId="0" applyNumberFormat="1" applyFont="1" applyFill="1" applyBorder="1" applyAlignment="1">
      <alignment horizontal="center"/>
    </xf>
    <xf numFmtId="2" fontId="17" fillId="36" borderId="44" xfId="0" applyNumberFormat="1" applyFont="1" applyFill="1" applyBorder="1" applyAlignment="1">
      <alignment horizontal="center"/>
    </xf>
    <xf numFmtId="0" fontId="0" fillId="0" borderId="9" xfId="0" applyBorder="1" applyAlignment="1">
      <alignment horizontal="left"/>
    </xf>
    <xf numFmtId="0" fontId="0" fillId="0" borderId="14" xfId="0" applyBorder="1" applyAlignment="1">
      <alignment horizontal="left"/>
    </xf>
    <xf numFmtId="0" fontId="0" fillId="4" borderId="15" xfId="0" applyFill="1" applyBorder="1" applyAlignment="1">
      <alignment horizontal="left"/>
    </xf>
    <xf numFmtId="0" fontId="0" fillId="4" borderId="16" xfId="0" applyFill="1" applyBorder="1" applyAlignment="1">
      <alignment horizontal="left"/>
    </xf>
    <xf numFmtId="0" fontId="0" fillId="2" borderId="9" xfId="0" applyFill="1" applyBorder="1" applyAlignment="1" applyProtection="1">
      <alignment horizontal="left"/>
      <protection locked="0"/>
    </xf>
    <xf numFmtId="0" fontId="0" fillId="2" borderId="1" xfId="0" applyFill="1" applyBorder="1" applyAlignment="1" applyProtection="1">
      <alignment horizontal="left"/>
      <protection locked="0"/>
    </xf>
    <xf numFmtId="0" fontId="97" fillId="31" borderId="58" xfId="0" applyFont="1" applyFill="1" applyBorder="1" applyAlignment="1">
      <alignment horizontal="center"/>
    </xf>
    <xf numFmtId="0" fontId="97" fillId="31" borderId="59" xfId="0" applyFont="1" applyFill="1" applyBorder="1" applyAlignment="1">
      <alignment horizontal="center"/>
    </xf>
    <xf numFmtId="0" fontId="97" fillId="31" borderId="52" xfId="0" applyFont="1" applyFill="1" applyBorder="1" applyAlignment="1">
      <alignment horizontal="center"/>
    </xf>
    <xf numFmtId="0" fontId="0" fillId="5" borderId="9" xfId="0" applyFill="1" applyBorder="1" applyAlignment="1">
      <alignment horizontal="left"/>
    </xf>
    <xf numFmtId="0" fontId="0" fillId="4" borderId="9" xfId="0" applyFill="1" applyBorder="1" applyAlignment="1">
      <alignment horizontal="left"/>
    </xf>
    <xf numFmtId="0" fontId="0" fillId="4" borderId="1" xfId="0" applyFill="1" applyBorder="1" applyAlignment="1">
      <alignment horizontal="left"/>
    </xf>
    <xf numFmtId="0" fontId="85" fillId="31" borderId="9" xfId="0" applyFont="1" applyFill="1" applyBorder="1" applyAlignment="1">
      <alignment horizontal="left"/>
    </xf>
    <xf numFmtId="0" fontId="85" fillId="31" borderId="1" xfId="0" applyFont="1" applyFill="1" applyBorder="1" applyAlignment="1">
      <alignment horizontal="left"/>
    </xf>
    <xf numFmtId="0" fontId="85" fillId="31" borderId="14" xfId="0" applyFont="1" applyFill="1" applyBorder="1" applyAlignment="1">
      <alignment horizontal="left"/>
    </xf>
    <xf numFmtId="0" fontId="97" fillId="31" borderId="13" xfId="0" applyFont="1" applyFill="1" applyBorder="1" applyAlignment="1">
      <alignment horizontal="center"/>
    </xf>
    <xf numFmtId="0" fontId="97" fillId="31" borderId="5" xfId="0" applyFont="1" applyFill="1" applyBorder="1" applyAlignment="1">
      <alignment horizontal="center"/>
    </xf>
    <xf numFmtId="0" fontId="97" fillId="31" borderId="40" xfId="0" applyFont="1" applyFill="1" applyBorder="1" applyAlignment="1">
      <alignment horizontal="center"/>
    </xf>
    <xf numFmtId="0" fontId="85" fillId="48" borderId="23" xfId="0" applyFont="1" applyFill="1" applyBorder="1" applyAlignment="1">
      <alignment horizontal="left"/>
    </xf>
    <xf numFmtId="0" fontId="85" fillId="48" borderId="24" xfId="0" applyFont="1" applyFill="1" applyBorder="1" applyAlignment="1">
      <alignment horizontal="left"/>
    </xf>
    <xf numFmtId="0" fontId="85" fillId="48" borderId="28" xfId="0" applyFont="1" applyFill="1" applyBorder="1" applyAlignment="1">
      <alignment horizontal="left"/>
    </xf>
    <xf numFmtId="0" fontId="85" fillId="48" borderId="23" xfId="0" applyFont="1" applyFill="1" applyBorder="1" applyAlignment="1">
      <alignment horizontal="left" wrapText="1"/>
    </xf>
    <xf numFmtId="0" fontId="85" fillId="48" borderId="24" xfId="0" applyFont="1" applyFill="1" applyBorder="1" applyAlignment="1">
      <alignment horizontal="left" wrapText="1"/>
    </xf>
    <xf numFmtId="0" fontId="85" fillId="48" borderId="28" xfId="0" applyFont="1" applyFill="1" applyBorder="1" applyAlignment="1">
      <alignment horizontal="left" wrapText="1"/>
    </xf>
    <xf numFmtId="0" fontId="92" fillId="31" borderId="78" xfId="0" applyFont="1" applyFill="1" applyBorder="1" applyAlignment="1">
      <alignment horizontal="center" vertical="center"/>
    </xf>
    <xf numFmtId="0" fontId="76" fillId="31" borderId="23" xfId="0" applyFont="1" applyFill="1" applyBorder="1" applyAlignment="1">
      <alignment horizontal="left" wrapText="1"/>
    </xf>
    <xf numFmtId="0" fontId="76" fillId="31" borderId="24" xfId="0" applyFont="1" applyFill="1" applyBorder="1" applyAlignment="1">
      <alignment horizontal="left" wrapText="1"/>
    </xf>
    <xf numFmtId="0" fontId="0" fillId="4" borderId="79" xfId="0" applyFill="1" applyBorder="1" applyAlignment="1">
      <alignment horizontal="left"/>
    </xf>
    <xf numFmtId="0" fontId="0" fillId="4" borderId="8" xfId="0" applyFill="1" applyBorder="1" applyAlignment="1">
      <alignment horizontal="left"/>
    </xf>
    <xf numFmtId="0" fontId="7" fillId="4" borderId="20" xfId="0" applyFont="1" applyFill="1" applyBorder="1" applyAlignment="1">
      <alignment horizontal="left"/>
    </xf>
    <xf numFmtId="0" fontId="7" fillId="4" borderId="21" xfId="0" applyFont="1" applyFill="1" applyBorder="1" applyAlignment="1">
      <alignment horizontal="left"/>
    </xf>
    <xf numFmtId="0" fontId="0" fillId="2" borderId="79" xfId="0" applyFill="1" applyBorder="1" applyAlignment="1" applyProtection="1">
      <alignment horizontal="left"/>
      <protection locked="0"/>
    </xf>
    <xf numFmtId="0" fontId="0" fillId="2" borderId="8" xfId="0" applyFill="1" applyBorder="1" applyAlignment="1" applyProtection="1">
      <alignment horizontal="left"/>
      <protection locked="0"/>
    </xf>
    <xf numFmtId="0" fontId="85" fillId="31" borderId="20" xfId="0" applyFont="1" applyFill="1" applyBorder="1" applyAlignment="1">
      <alignment horizontal="left"/>
    </xf>
    <xf numFmtId="0" fontId="85" fillId="31" borderId="21" xfId="0" applyFont="1" applyFill="1" applyBorder="1" applyAlignment="1">
      <alignment horizontal="left"/>
    </xf>
    <xf numFmtId="0" fontId="88" fillId="31" borderId="9" xfId="0" applyFont="1" applyFill="1" applyBorder="1" applyAlignment="1">
      <alignment horizontal="left"/>
    </xf>
    <xf numFmtId="0" fontId="88" fillId="31" borderId="1" xfId="0" applyFont="1" applyFill="1" applyBorder="1" applyAlignment="1">
      <alignment horizontal="left"/>
    </xf>
    <xf numFmtId="0" fontId="88" fillId="31" borderId="14" xfId="0" applyFont="1" applyFill="1" applyBorder="1" applyAlignment="1">
      <alignment horizontal="left"/>
    </xf>
    <xf numFmtId="0" fontId="0" fillId="0" borderId="50" xfId="0" applyBorder="1" applyAlignment="1">
      <alignment horizontal="left"/>
    </xf>
    <xf numFmtId="0" fontId="0" fillId="0" borderId="51" xfId="0" applyBorder="1" applyAlignment="1">
      <alignment horizontal="left"/>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5" borderId="6" xfId="0" applyFill="1" applyBorder="1" applyAlignment="1">
      <alignment horizontal="left" vertical="center"/>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7" fillId="4" borderId="23" xfId="0" applyFont="1" applyFill="1" applyBorder="1" applyAlignment="1">
      <alignment horizontal="left" wrapText="1"/>
    </xf>
    <xf numFmtId="0" fontId="7" fillId="4" borderId="28" xfId="0" applyFont="1" applyFill="1" applyBorder="1" applyAlignment="1">
      <alignment horizontal="left" wrapText="1"/>
    </xf>
    <xf numFmtId="0" fontId="0" fillId="0" borderId="0" xfId="0" applyAlignment="1">
      <alignment wrapText="1"/>
    </xf>
    <xf numFmtId="0" fontId="0" fillId="5" borderId="1" xfId="0" applyFill="1" applyBorder="1" applyAlignment="1">
      <alignment horizontal="center"/>
    </xf>
    <xf numFmtId="0" fontId="13"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15" fillId="4" borderId="4" xfId="0" applyFont="1" applyFill="1" applyBorder="1" applyAlignment="1">
      <alignment horizontal="center"/>
    </xf>
    <xf numFmtId="0" fontId="15" fillId="4" borderId="5" xfId="0" applyFont="1" applyFill="1" applyBorder="1" applyAlignment="1">
      <alignment horizontal="center"/>
    </xf>
    <xf numFmtId="0" fontId="15" fillId="4" borderId="6" xfId="0" applyFont="1" applyFill="1" applyBorder="1" applyAlignment="1">
      <alignment horizontal="center"/>
    </xf>
    <xf numFmtId="0" fontId="0" fillId="4" borderId="4" xfId="0" applyFill="1" applyBorder="1" applyAlignment="1">
      <alignment horizontal="left" wrapText="1"/>
    </xf>
    <xf numFmtId="0" fontId="0" fillId="4" borderId="5" xfId="0" applyFill="1" applyBorder="1" applyAlignment="1">
      <alignment horizontal="left" wrapText="1"/>
    </xf>
    <xf numFmtId="0" fontId="0" fillId="4" borderId="6" xfId="0" applyFill="1" applyBorder="1" applyAlignment="1">
      <alignment horizontal="left" wrapText="1"/>
    </xf>
    <xf numFmtId="0" fontId="13" fillId="5" borderId="4"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0" fillId="5" borderId="8" xfId="0" applyFont="1" applyFill="1" applyBorder="1" applyAlignment="1">
      <alignment horizontal="center" vertical="center" textRotation="90" wrapText="1"/>
    </xf>
    <xf numFmtId="0" fontId="10" fillId="5" borderId="35" xfId="0" applyFont="1" applyFill="1" applyBorder="1" applyAlignment="1">
      <alignment horizontal="center" vertical="center" textRotation="90" wrapText="1"/>
    </xf>
    <xf numFmtId="0" fontId="10" fillId="5" borderId="12" xfId="0" applyFont="1" applyFill="1" applyBorder="1" applyAlignment="1">
      <alignment horizontal="center" vertical="center" textRotation="90" wrapText="1"/>
    </xf>
    <xf numFmtId="1" fontId="131" fillId="0" borderId="0" xfId="374" applyNumberFormat="1" applyFont="1" applyAlignment="1">
      <alignment horizontal="center"/>
    </xf>
    <xf numFmtId="0" fontId="59" fillId="4" borderId="23" xfId="374" applyFont="1" applyFill="1" applyBorder="1" applyAlignment="1">
      <alignment horizontal="center"/>
    </xf>
    <xf numFmtId="0" fontId="59" fillId="4" borderId="24" xfId="374" applyFont="1" applyFill="1" applyBorder="1" applyAlignment="1">
      <alignment horizontal="center"/>
    </xf>
    <xf numFmtId="0" fontId="59" fillId="4" borderId="25" xfId="374" applyFont="1" applyFill="1" applyBorder="1" applyAlignment="1">
      <alignment horizontal="center"/>
    </xf>
    <xf numFmtId="0" fontId="47" fillId="0" borderId="62" xfId="374" applyFont="1" applyBorder="1" applyAlignment="1">
      <alignment horizontal="left"/>
    </xf>
    <xf numFmtId="0" fontId="47" fillId="0" borderId="27" xfId="374" applyFont="1" applyBorder="1" applyAlignment="1">
      <alignment horizontal="left"/>
    </xf>
    <xf numFmtId="0" fontId="47" fillId="21" borderId="11" xfId="374" applyFont="1" applyFill="1" applyBorder="1" applyAlignment="1">
      <alignment horizontal="left"/>
    </xf>
    <xf numFmtId="0" fontId="47" fillId="21" borderId="38" xfId="374" applyFont="1" applyFill="1" applyBorder="1" applyAlignment="1">
      <alignment horizontal="left"/>
    </xf>
    <xf numFmtId="0" fontId="47" fillId="16" borderId="13" xfId="374" applyFont="1" applyFill="1" applyBorder="1" applyAlignment="1">
      <alignment horizontal="left"/>
    </xf>
    <xf numFmtId="0" fontId="47" fillId="16" borderId="5" xfId="374" applyFont="1" applyFill="1" applyBorder="1" applyAlignment="1">
      <alignment horizontal="left"/>
    </xf>
    <xf numFmtId="0" fontId="47" fillId="3" borderId="62" xfId="374" applyFont="1" applyFill="1" applyBorder="1" applyAlignment="1">
      <alignment horizontal="left"/>
    </xf>
    <xf numFmtId="0" fontId="47" fillId="3" borderId="27" xfId="374" applyFont="1" applyFill="1" applyBorder="1" applyAlignment="1">
      <alignment horizontal="left"/>
    </xf>
    <xf numFmtId="0" fontId="47" fillId="14" borderId="5" xfId="374" applyFont="1" applyFill="1" applyBorder="1" applyAlignment="1">
      <alignment horizontal="right"/>
    </xf>
    <xf numFmtId="0" fontId="47" fillId="14" borderId="40" xfId="374" applyFont="1" applyFill="1" applyBorder="1" applyAlignment="1">
      <alignment horizontal="right"/>
    </xf>
    <xf numFmtId="0" fontId="69" fillId="25" borderId="5" xfId="0" applyFont="1" applyFill="1" applyBorder="1" applyAlignment="1">
      <alignment horizontal="right"/>
    </xf>
    <xf numFmtId="0" fontId="69" fillId="25" borderId="47" xfId="0" applyFont="1" applyFill="1" applyBorder="1" applyAlignment="1">
      <alignment horizontal="right"/>
    </xf>
    <xf numFmtId="0" fontId="47" fillId="4" borderId="5" xfId="374" applyFont="1" applyFill="1" applyBorder="1" applyAlignment="1">
      <alignment horizontal="right"/>
    </xf>
    <xf numFmtId="0" fontId="89" fillId="31" borderId="5" xfId="0" applyFont="1" applyFill="1" applyBorder="1" applyAlignment="1">
      <alignment horizontal="center"/>
    </xf>
    <xf numFmtId="0" fontId="87" fillId="31" borderId="38" xfId="0" applyFont="1" applyFill="1" applyBorder="1" applyAlignment="1">
      <alignment horizontal="center"/>
    </xf>
    <xf numFmtId="0" fontId="87" fillId="31" borderId="39" xfId="0" applyFont="1" applyFill="1" applyBorder="1" applyAlignment="1">
      <alignment horizontal="center"/>
    </xf>
    <xf numFmtId="175" fontId="89" fillId="31" borderId="5" xfId="0" applyNumberFormat="1" applyFont="1" applyFill="1" applyBorder="1" applyAlignment="1">
      <alignment horizontal="center"/>
    </xf>
    <xf numFmtId="0" fontId="50" fillId="4" borderId="5" xfId="372" applyFont="1" applyFill="1" applyBorder="1" applyAlignment="1" applyProtection="1">
      <alignment horizontal="center"/>
      <protection locked="0"/>
    </xf>
    <xf numFmtId="0" fontId="50" fillId="4" borderId="6" xfId="372" applyFont="1" applyFill="1" applyBorder="1" applyAlignment="1" applyProtection="1">
      <alignment horizontal="center"/>
      <protection locked="0"/>
    </xf>
    <xf numFmtId="0" fontId="23" fillId="0" borderId="11" xfId="372" applyFont="1" applyBorder="1" applyAlignment="1">
      <alignment horizontal="center"/>
    </xf>
    <xf numFmtId="0" fontId="23" fillId="0" borderId="38" xfId="372" applyFont="1" applyBorder="1" applyAlignment="1">
      <alignment horizontal="center"/>
    </xf>
    <xf numFmtId="0" fontId="23" fillId="0" borderId="39" xfId="372" applyFont="1" applyBorder="1" applyAlignment="1">
      <alignment horizontal="center"/>
    </xf>
  </cellXfs>
  <cellStyles count="539">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994">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4" tint="0.7999816888943144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bgColor theme="4" tint="-0.24994659260841701"/>
        </patternFill>
      </fill>
    </dxf>
    <dxf>
      <font>
        <color theme="1"/>
      </font>
      <fill>
        <patternFill>
          <bgColor theme="0" tint="-0.14996795556505021"/>
        </patternFill>
      </fill>
    </dxf>
    <dxf>
      <font>
        <color theme="0"/>
      </font>
      <fill>
        <patternFill>
          <bgColor theme="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4" tint="0.7999816888943144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bgColor theme="4" tint="-0.24994659260841701"/>
        </patternFill>
      </fill>
    </dxf>
    <dxf>
      <font>
        <color theme="1"/>
      </font>
      <fill>
        <patternFill>
          <bgColor theme="0" tint="-0.14996795556505021"/>
        </patternFill>
      </fill>
    </dxf>
    <dxf>
      <font>
        <color theme="0"/>
      </font>
      <fill>
        <patternFill>
          <bgColor theme="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4" tint="-0.24994659260841701"/>
        </patternFill>
      </fill>
    </dxf>
    <dxf>
      <font>
        <color theme="1"/>
      </font>
      <fill>
        <patternFill>
          <bgColor rgb="FFFFFF00"/>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fgColor indexed="64"/>
          <bgColor theme="4" tint="0.79998168889431442"/>
        </patternFill>
      </fill>
    </dxf>
    <dxf>
      <font>
        <color theme="1"/>
      </font>
      <fill>
        <patternFill>
          <bgColor theme="5" tint="0.59996337778862885"/>
        </patternFill>
      </fill>
    </dxf>
    <dxf>
      <font>
        <color theme="0"/>
      </font>
      <fill>
        <patternFill patternType="solid">
          <fgColor indexed="64"/>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theme="8" tint="0.59996337778862885"/>
        </patternFill>
      </fill>
    </dxf>
    <dxf>
      <font>
        <color theme="0"/>
      </font>
      <fill>
        <patternFill>
          <bgColor theme="1"/>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fgColor indexed="64"/>
          <bgColor theme="4" tint="0.79998168889431442"/>
        </patternFill>
      </fill>
    </dxf>
    <dxf>
      <font>
        <color theme="0"/>
      </font>
      <fill>
        <patternFill>
          <bgColor theme="1"/>
        </patternFill>
      </fill>
    </dxf>
    <dxf>
      <font>
        <color theme="0"/>
      </font>
      <fill>
        <patternFill patternType="solid">
          <fgColor auto="1"/>
          <bgColor theme="6"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4"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0"/>
      </font>
      <fill>
        <patternFill>
          <bgColor theme="4" tint="0.39994506668294322"/>
        </patternFill>
      </fill>
    </dxf>
    <dxf>
      <font>
        <color theme="1"/>
      </font>
      <fill>
        <patternFill>
          <fgColor auto="1"/>
          <bgColor theme="4" tint="0.59996337778862885"/>
        </patternFill>
      </fill>
    </dxf>
    <dxf>
      <font>
        <color theme="1"/>
      </font>
      <fill>
        <patternFill>
          <bgColor theme="0" tint="-0.14996795556505021"/>
        </patternFill>
      </fill>
    </dxf>
    <dxf>
      <font>
        <color theme="1"/>
      </font>
      <fill>
        <patternFill>
          <bgColor theme="7"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6" tint="-0.24994659260841701"/>
        </patternFill>
      </fill>
    </dxf>
    <dxf>
      <font>
        <color theme="1"/>
      </font>
      <fill>
        <patternFill>
          <bgColor theme="6" tint="0.39994506668294322"/>
        </patternFill>
      </fill>
    </dxf>
    <dxf>
      <font>
        <color theme="1"/>
      </font>
      <fill>
        <patternFill>
          <bgColor theme="9" tint="0.79998168889431442"/>
        </patternFill>
      </fill>
    </dxf>
    <dxf>
      <font>
        <color theme="1"/>
      </font>
      <fill>
        <patternFill>
          <bgColor theme="5" tint="0.59996337778862885"/>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0"/>
      </font>
      <fill>
        <patternFill patternType="solid">
          <bgColor theme="4" tint="0.39994506668294322"/>
        </patternFill>
      </fill>
    </dxf>
    <dxf>
      <font>
        <color theme="1"/>
      </font>
      <fill>
        <patternFill>
          <bgColor rgb="FFFF2F82"/>
        </patternFill>
      </fill>
    </dxf>
    <dxf>
      <font>
        <color theme="1"/>
      </font>
      <fill>
        <patternFill patternType="solid">
          <bgColor theme="4"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patternType="solid">
          <bgColor theme="4" tint="0.79998168889431442"/>
        </patternFill>
      </fill>
    </dxf>
    <dxf>
      <font>
        <color theme="0"/>
      </font>
      <fill>
        <patternFill>
          <bgColor theme="1"/>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1"/>
      </font>
      <fill>
        <patternFill>
          <bgColor theme="6" tint="0.39994506668294322"/>
        </patternFill>
      </fill>
    </dxf>
    <dxf>
      <font>
        <color theme="0"/>
      </font>
      <fill>
        <patternFill patternType="solid">
          <fgColor indexed="64"/>
          <bgColor theme="6"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4" tint="-0.24994659260841701"/>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rgb="FFFF2F82"/>
        </patternFill>
      </fill>
    </dxf>
    <dxf>
      <font>
        <color theme="1"/>
      </font>
      <fill>
        <patternFill>
          <bgColor theme="5" tint="0.59996337778862885"/>
        </patternFill>
      </fill>
    </dxf>
    <dxf>
      <font>
        <color theme="1"/>
      </font>
      <fill>
        <patternFill>
          <bgColor theme="5" tint="0.79998168889431442"/>
        </patternFill>
      </fill>
    </dxf>
    <dxf>
      <font>
        <color theme="1"/>
      </font>
      <fill>
        <patternFill>
          <bgColor theme="8" tint="0.59996337778862885"/>
        </patternFill>
      </fill>
    </dxf>
    <dxf>
      <font>
        <color theme="0"/>
      </font>
      <fill>
        <patternFill>
          <bgColor theme="1"/>
        </patternFill>
      </fill>
    </dxf>
    <dxf>
      <font>
        <color theme="1"/>
      </font>
      <fill>
        <patternFill>
          <bgColor theme="7" tint="0.39994506668294322"/>
        </patternFill>
      </fill>
    </dxf>
    <dxf>
      <font>
        <color theme="1"/>
      </font>
      <fill>
        <patternFill>
          <bgColor rgb="FFFFFF00"/>
        </patternFill>
      </fill>
    </dxf>
    <dxf>
      <font>
        <color theme="0"/>
      </font>
      <fill>
        <patternFill>
          <bgColor theme="1"/>
        </patternFill>
      </fill>
    </dxf>
    <dxf>
      <font>
        <color theme="1"/>
      </font>
      <fill>
        <patternFill>
          <bgColor theme="8" tint="0.59996337778862885"/>
        </patternFill>
      </fill>
    </dxf>
    <dxf>
      <font>
        <color theme="0"/>
      </font>
      <fill>
        <patternFill patternType="solid">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1"/>
      </font>
      <fill>
        <patternFill>
          <bgColor rgb="FFFF2F8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bgColor theme="1"/>
        </patternFill>
      </fill>
    </dxf>
    <dxf>
      <font>
        <color theme="1"/>
      </font>
      <fill>
        <patternFill>
          <bgColor rgb="FFFFFF00"/>
        </patternFill>
      </fill>
    </dxf>
    <dxf>
      <font>
        <color theme="1"/>
      </font>
      <fill>
        <patternFill>
          <bgColor theme="5" tint="0.79998168889431442"/>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6" tint="-0.24994659260841701"/>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patternType="none">
          <bgColor auto="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3"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5" tint="0.79998168889431442"/>
        </patternFill>
      </fill>
    </dxf>
    <dxf>
      <font>
        <color theme="1"/>
      </font>
      <fill>
        <patternFill>
          <bgColor rgb="FFFF2F8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bgColor theme="6" tint="-0.24994659260841701"/>
        </patternFill>
      </fill>
    </dxf>
    <dxf>
      <font>
        <color theme="1"/>
      </font>
      <fill>
        <patternFill>
          <bgColor theme="0" tint="-0.14996795556505021"/>
        </patternFill>
      </fill>
    </dxf>
    <dxf>
      <font>
        <color theme="1"/>
      </font>
      <fill>
        <patternFill patternType="none">
          <bgColor auto="1"/>
        </patternFill>
      </fill>
    </dxf>
    <dxf>
      <font>
        <color theme="1"/>
      </font>
      <fill>
        <patternFill>
          <bgColor rgb="FFFF2F8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bgColor theme="7" tint="0.3999450666829432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3"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5" tint="0.79998168889431442"/>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1"/>
      </font>
      <fill>
        <patternFill>
          <bgColor theme="3" tint="0.59996337778862885"/>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rgb="FFFF2F82"/>
        </patternFill>
      </fill>
    </dxf>
    <dxf>
      <font>
        <color theme="1"/>
      </font>
      <fill>
        <patternFill>
          <bgColor rgb="FFFFFF00"/>
        </patternFill>
      </fill>
    </dxf>
    <dxf>
      <font>
        <color theme="1"/>
      </font>
      <fill>
        <patternFill>
          <bgColor theme="6" tint="0.3999450666829432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0" tint="-0.14996795556505021"/>
        </patternFill>
      </fill>
    </dxf>
    <dxf>
      <font>
        <color theme="1"/>
      </font>
      <fill>
        <patternFill patternType="none">
          <bgColor auto="1"/>
        </patternFill>
      </fill>
    </dxf>
    <dxf>
      <font>
        <color theme="1"/>
      </font>
      <fill>
        <patternFill>
          <bgColor rgb="FFFF2F82"/>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rgb="FFFFFF00"/>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ont>
        <color rgb="FF9C5700"/>
      </font>
      <fill>
        <patternFill>
          <bgColor rgb="FFFFEB9C"/>
        </patternFill>
      </fill>
    </dxf>
    <dxf>
      <fill>
        <patternFill>
          <bgColor theme="6"/>
        </patternFill>
      </fill>
    </dxf>
    <dxf>
      <fill>
        <patternFill>
          <fgColor auto="1"/>
          <bgColor rgb="FFFFFF00"/>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s>
  <tableStyles count="0" defaultTableStyle="TableStyleMedium9" defaultPivotStyle="PivotStyleMedium4"/>
  <colors>
    <mruColors>
      <color rgb="FFF6FF78"/>
      <color rgb="FFFF2F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108548</xdr:colOff>
      <xdr:row>15</xdr:row>
      <xdr:rowOff>67106</xdr:rowOff>
    </xdr:from>
    <xdr:to>
      <xdr:col>0</xdr:col>
      <xdr:colOff>694702</xdr:colOff>
      <xdr:row>16</xdr:row>
      <xdr:rowOff>8374</xdr:rowOff>
    </xdr:to>
    <xdr:pic>
      <xdr:nvPicPr>
        <xdr:cNvPr id="2" name="Billede 1">
          <a:extLst>
            <a:ext uri="{FF2B5EF4-FFF2-40B4-BE49-F238E27FC236}">
              <a16:creationId xmlns:a16="http://schemas.microsoft.com/office/drawing/2014/main" id="{64A50081-8565-084C-A798-17934AC7985B}"/>
            </a:ext>
          </a:extLst>
        </xdr:cNvPr>
        <xdr:cNvPicPr>
          <a:picLocks noChangeAspect="1"/>
        </xdr:cNvPicPr>
      </xdr:nvPicPr>
      <xdr:blipFill>
        <a:blip xmlns:r="http://schemas.openxmlformats.org/officeDocument/2006/relationships" r:embed="rId1"/>
        <a:stretch>
          <a:fillRect/>
        </a:stretch>
      </xdr:blipFill>
      <xdr:spPr>
        <a:xfrm>
          <a:off x="108548" y="3323516"/>
          <a:ext cx="586154" cy="364602"/>
        </a:xfrm>
        <a:prstGeom prst="rect">
          <a:avLst/>
        </a:prstGeom>
      </xdr:spPr>
    </xdr:pic>
    <xdr:clientData/>
  </xdr:twoCellAnchor>
  <xdr:twoCellAnchor editAs="oneCell">
    <xdr:from>
      <xdr:col>0</xdr:col>
      <xdr:colOff>108548</xdr:colOff>
      <xdr:row>14</xdr:row>
      <xdr:rowOff>32563</xdr:rowOff>
    </xdr:from>
    <xdr:to>
      <xdr:col>0</xdr:col>
      <xdr:colOff>694702</xdr:colOff>
      <xdr:row>14</xdr:row>
      <xdr:rowOff>397165</xdr:rowOff>
    </xdr:to>
    <xdr:pic>
      <xdr:nvPicPr>
        <xdr:cNvPr id="3" name="Billede 2">
          <a:extLst>
            <a:ext uri="{FF2B5EF4-FFF2-40B4-BE49-F238E27FC236}">
              <a16:creationId xmlns:a16="http://schemas.microsoft.com/office/drawing/2014/main" id="{5B8EDEFA-548B-6049-B454-3F4ED9B274EB}"/>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0</xdr:colOff>
      <xdr:row>29</xdr:row>
      <xdr:rowOff>54273</xdr:rowOff>
    </xdr:from>
    <xdr:to>
      <xdr:col>0</xdr:col>
      <xdr:colOff>769337</xdr:colOff>
      <xdr:row>31</xdr:row>
      <xdr:rowOff>206238</xdr:rowOff>
    </xdr:to>
    <xdr:pic>
      <xdr:nvPicPr>
        <xdr:cNvPr id="5" name="Billede 4">
          <a:extLst>
            <a:ext uri="{FF2B5EF4-FFF2-40B4-BE49-F238E27FC236}">
              <a16:creationId xmlns:a16="http://schemas.microsoft.com/office/drawing/2014/main" id="{161CB7C2-1E24-7641-98DC-6E38C0AA32B8}"/>
            </a:ext>
          </a:extLst>
        </xdr:cNvPr>
        <xdr:cNvPicPr>
          <a:picLocks noChangeAspect="1"/>
        </xdr:cNvPicPr>
      </xdr:nvPicPr>
      <xdr:blipFill>
        <a:blip xmlns:r="http://schemas.openxmlformats.org/officeDocument/2006/relationships" r:embed="rId2"/>
        <a:stretch>
          <a:fillRect/>
        </a:stretch>
      </xdr:blipFill>
      <xdr:spPr>
        <a:xfrm>
          <a:off x="0" y="7695982"/>
          <a:ext cx="769337" cy="694700"/>
        </a:xfrm>
        <a:prstGeom prst="rect">
          <a:avLst/>
        </a:prstGeom>
      </xdr:spPr>
    </xdr:pic>
    <xdr:clientData/>
  </xdr:twoCellAnchor>
  <xdr:twoCellAnchor editAs="oneCell">
    <xdr:from>
      <xdr:col>0</xdr:col>
      <xdr:colOff>10160</xdr:colOff>
      <xdr:row>32</xdr:row>
      <xdr:rowOff>221486</xdr:rowOff>
    </xdr:from>
    <xdr:to>
      <xdr:col>0</xdr:col>
      <xdr:colOff>784455</xdr:colOff>
      <xdr:row>34</xdr:row>
      <xdr:rowOff>96999</xdr:rowOff>
    </xdr:to>
    <xdr:pic>
      <xdr:nvPicPr>
        <xdr:cNvPr id="7" name="Billede 6">
          <a:extLst>
            <a:ext uri="{FF2B5EF4-FFF2-40B4-BE49-F238E27FC236}">
              <a16:creationId xmlns:a16="http://schemas.microsoft.com/office/drawing/2014/main" id="{AD86014F-E298-6943-8F98-CD3BAFB25FA6}"/>
            </a:ext>
          </a:extLst>
        </xdr:cNvPr>
        <xdr:cNvPicPr>
          <a:picLocks noChangeAspect="1"/>
        </xdr:cNvPicPr>
      </xdr:nvPicPr>
      <xdr:blipFill>
        <a:blip xmlns:r="http://schemas.openxmlformats.org/officeDocument/2006/relationships" r:embed="rId3"/>
        <a:stretch>
          <a:fillRect/>
        </a:stretch>
      </xdr:blipFill>
      <xdr:spPr>
        <a:xfrm>
          <a:off x="10160" y="9832846"/>
          <a:ext cx="774295" cy="403833"/>
        </a:xfrm>
        <a:prstGeom prst="rect">
          <a:avLst/>
        </a:prstGeom>
      </xdr:spPr>
    </xdr:pic>
    <xdr:clientData/>
  </xdr:twoCellAnchor>
  <xdr:twoCellAnchor editAs="oneCell">
    <xdr:from>
      <xdr:col>0</xdr:col>
      <xdr:colOff>0</xdr:colOff>
      <xdr:row>35</xdr:row>
      <xdr:rowOff>130256</xdr:rowOff>
    </xdr:from>
    <xdr:to>
      <xdr:col>1</xdr:col>
      <xdr:colOff>19021</xdr:colOff>
      <xdr:row>36</xdr:row>
      <xdr:rowOff>347352</xdr:rowOff>
    </xdr:to>
    <xdr:pic>
      <xdr:nvPicPr>
        <xdr:cNvPr id="9" name="Billede 8">
          <a:extLst>
            <a:ext uri="{FF2B5EF4-FFF2-40B4-BE49-F238E27FC236}">
              <a16:creationId xmlns:a16="http://schemas.microsoft.com/office/drawing/2014/main" id="{7D138EF7-9DC7-9742-A5B9-737580290C21}"/>
            </a:ext>
          </a:extLst>
        </xdr:cNvPr>
        <xdr:cNvPicPr>
          <a:picLocks noChangeAspect="1"/>
        </xdr:cNvPicPr>
      </xdr:nvPicPr>
      <xdr:blipFill>
        <a:blip xmlns:r="http://schemas.openxmlformats.org/officeDocument/2006/relationships" r:embed="rId4"/>
        <a:stretch>
          <a:fillRect/>
        </a:stretch>
      </xdr:blipFill>
      <xdr:spPr>
        <a:xfrm>
          <a:off x="0" y="9660683"/>
          <a:ext cx="843978" cy="4993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23</xdr:row>
      <xdr:rowOff>0</xdr:rowOff>
    </xdr:from>
    <xdr:to>
      <xdr:col>15</xdr:col>
      <xdr:colOff>588653</xdr:colOff>
      <xdr:row>28</xdr:row>
      <xdr:rowOff>197868</xdr:rowOff>
    </xdr:to>
    <xdr:sp macro="" textlink="">
      <xdr:nvSpPr>
        <xdr:cNvPr id="2" name="Tekstfelt 1">
          <a:extLst>
            <a:ext uri="{FF2B5EF4-FFF2-40B4-BE49-F238E27FC236}">
              <a16:creationId xmlns:a16="http://schemas.microsoft.com/office/drawing/2014/main" id="{672B2A3C-CE0D-354D-BB15-D3E7CE18CEAE}"/>
            </a:ext>
          </a:extLst>
        </xdr:cNvPr>
        <xdr:cNvSpPr txBox="1"/>
      </xdr:nvSpPr>
      <xdr:spPr>
        <a:xfrm rot="20935205">
          <a:off x="8075543" y="1069837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22</xdr:row>
      <xdr:rowOff>0</xdr:rowOff>
    </xdr:from>
    <xdr:to>
      <xdr:col>15</xdr:col>
      <xdr:colOff>629760</xdr:colOff>
      <xdr:row>28</xdr:row>
      <xdr:rowOff>47861</xdr:rowOff>
    </xdr:to>
    <xdr:sp macro="" textlink="">
      <xdr:nvSpPr>
        <xdr:cNvPr id="2" name="Tekstfelt 1">
          <a:extLst>
            <a:ext uri="{FF2B5EF4-FFF2-40B4-BE49-F238E27FC236}">
              <a16:creationId xmlns:a16="http://schemas.microsoft.com/office/drawing/2014/main" id="{CE0212E0-8130-BB47-A6AB-5492F3974BD3}"/>
            </a:ext>
          </a:extLst>
        </xdr:cNvPr>
        <xdr:cNvSpPr txBox="1"/>
      </xdr:nvSpPr>
      <xdr:spPr>
        <a:xfrm rot="20935205">
          <a:off x="8085667" y="10371667"/>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0</xdr:colOff>
      <xdr:row>22</xdr:row>
      <xdr:rowOff>0</xdr:rowOff>
    </xdr:from>
    <xdr:to>
      <xdr:col>15</xdr:col>
      <xdr:colOff>629760</xdr:colOff>
      <xdr:row>28</xdr:row>
      <xdr:rowOff>47861</xdr:rowOff>
    </xdr:to>
    <xdr:sp macro="" textlink="">
      <xdr:nvSpPr>
        <xdr:cNvPr id="2" name="Tekstfelt 1">
          <a:extLst>
            <a:ext uri="{FF2B5EF4-FFF2-40B4-BE49-F238E27FC236}">
              <a16:creationId xmlns:a16="http://schemas.microsoft.com/office/drawing/2014/main" id="{BC31ADAE-5134-034E-A2E6-4AE83BD6124A}"/>
            </a:ext>
          </a:extLst>
        </xdr:cNvPr>
        <xdr:cNvSpPr txBox="1"/>
      </xdr:nvSpPr>
      <xdr:spPr>
        <a:xfrm rot="20935205">
          <a:off x="8085667" y="101600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0</xdr:colOff>
      <xdr:row>22</xdr:row>
      <xdr:rowOff>0</xdr:rowOff>
    </xdr:from>
    <xdr:to>
      <xdr:col>15</xdr:col>
      <xdr:colOff>629760</xdr:colOff>
      <xdr:row>28</xdr:row>
      <xdr:rowOff>47861</xdr:rowOff>
    </xdr:to>
    <xdr:sp macro="" textlink="">
      <xdr:nvSpPr>
        <xdr:cNvPr id="2" name="Tekstfelt 1">
          <a:extLst>
            <a:ext uri="{FF2B5EF4-FFF2-40B4-BE49-F238E27FC236}">
              <a16:creationId xmlns:a16="http://schemas.microsoft.com/office/drawing/2014/main" id="{4909D754-9F8E-9D46-B3BC-4C1B81E048D7}"/>
            </a:ext>
          </a:extLst>
        </xdr:cNvPr>
        <xdr:cNvSpPr txBox="1"/>
      </xdr:nvSpPr>
      <xdr:spPr>
        <a:xfrm rot="20935205">
          <a:off x="8085667" y="10301111"/>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24</xdr:row>
      <xdr:rowOff>0</xdr:rowOff>
    </xdr:from>
    <xdr:to>
      <xdr:col>15</xdr:col>
      <xdr:colOff>629760</xdr:colOff>
      <xdr:row>30</xdr:row>
      <xdr:rowOff>47860</xdr:rowOff>
    </xdr:to>
    <xdr:sp macro="" textlink="">
      <xdr:nvSpPr>
        <xdr:cNvPr id="2" name="Tekstfelt 1">
          <a:extLst>
            <a:ext uri="{FF2B5EF4-FFF2-40B4-BE49-F238E27FC236}">
              <a16:creationId xmlns:a16="http://schemas.microsoft.com/office/drawing/2014/main" id="{1513AE51-30DC-B64E-867B-E8B6351254B4}"/>
            </a:ext>
          </a:extLst>
        </xdr:cNvPr>
        <xdr:cNvSpPr txBox="1"/>
      </xdr:nvSpPr>
      <xdr:spPr>
        <a:xfrm rot="20935205">
          <a:off x="8085667" y="10724444"/>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23</xdr:row>
      <xdr:rowOff>0</xdr:rowOff>
    </xdr:from>
    <xdr:to>
      <xdr:col>15</xdr:col>
      <xdr:colOff>605771</xdr:colOff>
      <xdr:row>29</xdr:row>
      <xdr:rowOff>13994</xdr:rowOff>
    </xdr:to>
    <xdr:sp macro="" textlink="">
      <xdr:nvSpPr>
        <xdr:cNvPr id="2" name="Tekstfelt 1">
          <a:extLst>
            <a:ext uri="{FF2B5EF4-FFF2-40B4-BE49-F238E27FC236}">
              <a16:creationId xmlns:a16="http://schemas.microsoft.com/office/drawing/2014/main" id="{D667753E-09D3-6241-A463-1B28AE053A91}"/>
            </a:ext>
          </a:extLst>
        </xdr:cNvPr>
        <xdr:cNvSpPr txBox="1"/>
      </xdr:nvSpPr>
      <xdr:spPr>
        <a:xfrm rot="20935205">
          <a:off x="8089900" y="106045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138546</xdr:colOff>
      <xdr:row>2</xdr:row>
      <xdr:rowOff>334819</xdr:rowOff>
    </xdr:from>
    <xdr:to>
      <xdr:col>1</xdr:col>
      <xdr:colOff>622301</xdr:colOff>
      <xdr:row>3</xdr:row>
      <xdr:rowOff>497566</xdr:rowOff>
    </xdr:to>
    <xdr:pic>
      <xdr:nvPicPr>
        <xdr:cNvPr id="2" name="Billede 1">
          <a:extLst>
            <a:ext uri="{FF2B5EF4-FFF2-40B4-BE49-F238E27FC236}">
              <a16:creationId xmlns:a16="http://schemas.microsoft.com/office/drawing/2014/main" id="{4B3C89C3-C383-4741-A9D7-9D2AAC12A3E5}"/>
            </a:ext>
          </a:extLst>
        </xdr:cNvPr>
        <xdr:cNvPicPr>
          <a:picLocks noChangeAspect="1"/>
        </xdr:cNvPicPr>
      </xdr:nvPicPr>
      <xdr:blipFill>
        <a:blip xmlns:r="http://schemas.openxmlformats.org/officeDocument/2006/relationships" r:embed="rId1"/>
        <a:stretch>
          <a:fillRect/>
        </a:stretch>
      </xdr:blipFill>
      <xdr:spPr>
        <a:xfrm>
          <a:off x="138546" y="1524001"/>
          <a:ext cx="1130300" cy="703074"/>
        </a:xfrm>
        <a:prstGeom prst="rect">
          <a:avLst/>
        </a:prstGeom>
      </xdr:spPr>
    </xdr:pic>
    <xdr:clientData/>
  </xdr:twoCellAnchor>
  <xdr:twoCellAnchor editAs="oneCell">
    <xdr:from>
      <xdr:col>0</xdr:col>
      <xdr:colOff>150090</xdr:colOff>
      <xdr:row>109</xdr:row>
      <xdr:rowOff>334820</xdr:rowOff>
    </xdr:from>
    <xdr:to>
      <xdr:col>1</xdr:col>
      <xdr:colOff>633845</xdr:colOff>
      <xdr:row>110</xdr:row>
      <xdr:rowOff>483712</xdr:rowOff>
    </xdr:to>
    <xdr:pic>
      <xdr:nvPicPr>
        <xdr:cNvPr id="3" name="Billede 2">
          <a:extLst>
            <a:ext uri="{FF2B5EF4-FFF2-40B4-BE49-F238E27FC236}">
              <a16:creationId xmlns:a16="http://schemas.microsoft.com/office/drawing/2014/main" id="{C7A2EE76-1F5D-D24B-BF0F-DE787094CF30}"/>
            </a:ext>
          </a:extLst>
        </xdr:cNvPr>
        <xdr:cNvPicPr>
          <a:picLocks noChangeAspect="1"/>
        </xdr:cNvPicPr>
      </xdr:nvPicPr>
      <xdr:blipFill>
        <a:blip xmlns:r="http://schemas.openxmlformats.org/officeDocument/2006/relationships" r:embed="rId1"/>
        <a:stretch>
          <a:fillRect/>
        </a:stretch>
      </xdr:blipFill>
      <xdr:spPr>
        <a:xfrm>
          <a:off x="150090" y="26623820"/>
          <a:ext cx="1130300" cy="703074"/>
        </a:xfrm>
        <a:prstGeom prst="rect">
          <a:avLst/>
        </a:prstGeom>
      </xdr:spPr>
    </xdr:pic>
    <xdr:clientData/>
  </xdr:twoCellAnchor>
  <xdr:twoCellAnchor>
    <xdr:from>
      <xdr:col>2</xdr:col>
      <xdr:colOff>609600</xdr:colOff>
      <xdr:row>12</xdr:row>
      <xdr:rowOff>38100</xdr:rowOff>
    </xdr:from>
    <xdr:to>
      <xdr:col>8</xdr:col>
      <xdr:colOff>402571</xdr:colOff>
      <xdr:row>15</xdr:row>
      <xdr:rowOff>52094</xdr:rowOff>
    </xdr:to>
    <xdr:sp macro="" textlink="">
      <xdr:nvSpPr>
        <xdr:cNvPr id="4" name="Tekstfelt 3">
          <a:extLst>
            <a:ext uri="{FF2B5EF4-FFF2-40B4-BE49-F238E27FC236}">
              <a16:creationId xmlns:a16="http://schemas.microsoft.com/office/drawing/2014/main" id="{00F7624A-C66D-5D47-9A46-08FF1EB91305}"/>
            </a:ext>
          </a:extLst>
        </xdr:cNvPr>
        <xdr:cNvSpPr txBox="1"/>
      </xdr:nvSpPr>
      <xdr:spPr>
        <a:xfrm rot="20935205">
          <a:off x="2057400" y="63500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2</xdr:col>
      <xdr:colOff>63500</xdr:colOff>
      <xdr:row>34</xdr:row>
      <xdr:rowOff>127000</xdr:rowOff>
    </xdr:from>
    <xdr:to>
      <xdr:col>7</xdr:col>
      <xdr:colOff>821671</xdr:colOff>
      <xdr:row>70</xdr:row>
      <xdr:rowOff>90194</xdr:rowOff>
    </xdr:to>
    <xdr:sp macro="" textlink="">
      <xdr:nvSpPr>
        <xdr:cNvPr id="5" name="Tekstfelt 4">
          <a:extLst>
            <a:ext uri="{FF2B5EF4-FFF2-40B4-BE49-F238E27FC236}">
              <a16:creationId xmlns:a16="http://schemas.microsoft.com/office/drawing/2014/main" id="{5D0B57BD-9F5F-464E-8649-37B05E259800}"/>
            </a:ext>
          </a:extLst>
        </xdr:cNvPr>
        <xdr:cNvSpPr txBox="1"/>
      </xdr:nvSpPr>
      <xdr:spPr>
        <a:xfrm rot="20935205">
          <a:off x="1511300" y="127000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2</xdr:col>
      <xdr:colOff>520700</xdr:colOff>
      <xdr:row>85</xdr:row>
      <xdr:rowOff>203200</xdr:rowOff>
    </xdr:from>
    <xdr:to>
      <xdr:col>8</xdr:col>
      <xdr:colOff>313671</xdr:colOff>
      <xdr:row>88</xdr:row>
      <xdr:rowOff>788694</xdr:rowOff>
    </xdr:to>
    <xdr:sp macro="" textlink="">
      <xdr:nvSpPr>
        <xdr:cNvPr id="6" name="Tekstfelt 5">
          <a:extLst>
            <a:ext uri="{FF2B5EF4-FFF2-40B4-BE49-F238E27FC236}">
              <a16:creationId xmlns:a16="http://schemas.microsoft.com/office/drawing/2014/main" id="{718A90B1-3A07-EF4A-A98F-6E47EC1159D8}"/>
            </a:ext>
          </a:extLst>
        </xdr:cNvPr>
        <xdr:cNvSpPr txBox="1"/>
      </xdr:nvSpPr>
      <xdr:spPr>
        <a:xfrm rot="20935205">
          <a:off x="1968500" y="192024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177800</xdr:colOff>
      <xdr:row>121</xdr:row>
      <xdr:rowOff>127000</xdr:rowOff>
    </xdr:from>
    <xdr:to>
      <xdr:col>1</xdr:col>
      <xdr:colOff>482600</xdr:colOff>
      <xdr:row>124</xdr:row>
      <xdr:rowOff>106174</xdr:rowOff>
    </xdr:to>
    <xdr:pic>
      <xdr:nvPicPr>
        <xdr:cNvPr id="3" name="Billede 2">
          <a:extLst>
            <a:ext uri="{FF2B5EF4-FFF2-40B4-BE49-F238E27FC236}">
              <a16:creationId xmlns:a16="http://schemas.microsoft.com/office/drawing/2014/main" id="{0E32D9E3-04CD-4044-9A2A-1363AC4EB60C}"/>
            </a:ext>
          </a:extLst>
        </xdr:cNvPr>
        <xdr:cNvPicPr>
          <a:picLocks noChangeAspect="1"/>
        </xdr:cNvPicPr>
      </xdr:nvPicPr>
      <xdr:blipFill>
        <a:blip xmlns:r="http://schemas.openxmlformats.org/officeDocument/2006/relationships" r:embed="rId1"/>
        <a:stretch>
          <a:fillRect/>
        </a:stretch>
      </xdr:blipFill>
      <xdr:spPr>
        <a:xfrm>
          <a:off x="177800" y="18846800"/>
          <a:ext cx="1130300" cy="703074"/>
        </a:xfrm>
        <a:prstGeom prst="rect">
          <a:avLst/>
        </a:prstGeom>
      </xdr:spPr>
    </xdr:pic>
    <xdr:clientData/>
  </xdr:twoCellAnchor>
  <xdr:twoCellAnchor editAs="oneCell">
    <xdr:from>
      <xdr:col>0</xdr:col>
      <xdr:colOff>228600</xdr:colOff>
      <xdr:row>1</xdr:row>
      <xdr:rowOff>228600</xdr:rowOff>
    </xdr:from>
    <xdr:to>
      <xdr:col>1</xdr:col>
      <xdr:colOff>533400</xdr:colOff>
      <xdr:row>2</xdr:row>
      <xdr:rowOff>334774</xdr:rowOff>
    </xdr:to>
    <xdr:pic>
      <xdr:nvPicPr>
        <xdr:cNvPr id="6" name="Billede 5">
          <a:extLst>
            <a:ext uri="{FF2B5EF4-FFF2-40B4-BE49-F238E27FC236}">
              <a16:creationId xmlns:a16="http://schemas.microsoft.com/office/drawing/2014/main" id="{39983B6E-8C3E-604C-BAFC-D61D90B36A26}"/>
            </a:ext>
          </a:extLst>
        </xdr:cNvPr>
        <xdr:cNvPicPr>
          <a:picLocks noChangeAspect="1"/>
        </xdr:cNvPicPr>
      </xdr:nvPicPr>
      <xdr:blipFill>
        <a:blip xmlns:r="http://schemas.openxmlformats.org/officeDocument/2006/relationships" r:embed="rId1"/>
        <a:stretch>
          <a:fillRect/>
        </a:stretch>
      </xdr:blipFill>
      <xdr:spPr>
        <a:xfrm>
          <a:off x="228600" y="228600"/>
          <a:ext cx="1130300" cy="703074"/>
        </a:xfrm>
        <a:prstGeom prst="rect">
          <a:avLst/>
        </a:prstGeom>
      </xdr:spPr>
    </xdr:pic>
    <xdr:clientData/>
  </xdr:twoCellAnchor>
  <xdr:twoCellAnchor>
    <xdr:from>
      <xdr:col>1</xdr:col>
      <xdr:colOff>662021</xdr:colOff>
      <xdr:row>19</xdr:row>
      <xdr:rowOff>189150</xdr:rowOff>
    </xdr:from>
    <xdr:to>
      <xdr:col>8</xdr:col>
      <xdr:colOff>616850</xdr:colOff>
      <xdr:row>22</xdr:row>
      <xdr:rowOff>152344</xdr:rowOff>
    </xdr:to>
    <xdr:sp macro="" textlink="">
      <xdr:nvSpPr>
        <xdr:cNvPr id="2" name="Tekstfelt 1">
          <a:extLst>
            <a:ext uri="{FF2B5EF4-FFF2-40B4-BE49-F238E27FC236}">
              <a16:creationId xmlns:a16="http://schemas.microsoft.com/office/drawing/2014/main" id="{56C5DBF2-28DC-1941-842D-124AD207D470}"/>
            </a:ext>
          </a:extLst>
        </xdr:cNvPr>
        <xdr:cNvSpPr txBox="1"/>
      </xdr:nvSpPr>
      <xdr:spPr>
        <a:xfrm rot="20935205">
          <a:off x="1486170" y="4782767"/>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2</xdr:col>
      <xdr:colOff>283722</xdr:colOff>
      <xdr:row>40</xdr:row>
      <xdr:rowOff>162129</xdr:rowOff>
    </xdr:from>
    <xdr:to>
      <xdr:col>9</xdr:col>
      <xdr:colOff>238551</xdr:colOff>
      <xdr:row>45</xdr:row>
      <xdr:rowOff>111812</xdr:rowOff>
    </xdr:to>
    <xdr:sp macro="" textlink="">
      <xdr:nvSpPr>
        <xdr:cNvPr id="4" name="Tekstfelt 3">
          <a:extLst>
            <a:ext uri="{FF2B5EF4-FFF2-40B4-BE49-F238E27FC236}">
              <a16:creationId xmlns:a16="http://schemas.microsoft.com/office/drawing/2014/main" id="{1751EFE4-EDC9-D44C-B5E0-D76275E57B84}"/>
            </a:ext>
          </a:extLst>
        </xdr:cNvPr>
        <xdr:cNvSpPr txBox="1"/>
      </xdr:nvSpPr>
      <xdr:spPr>
        <a:xfrm rot="20935205">
          <a:off x="1932020" y="11956916"/>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2</xdr:col>
      <xdr:colOff>378296</xdr:colOff>
      <xdr:row>58</xdr:row>
      <xdr:rowOff>27020</xdr:rowOff>
    </xdr:from>
    <xdr:to>
      <xdr:col>9</xdr:col>
      <xdr:colOff>333125</xdr:colOff>
      <xdr:row>62</xdr:row>
      <xdr:rowOff>233405</xdr:rowOff>
    </xdr:to>
    <xdr:sp macro="" textlink="">
      <xdr:nvSpPr>
        <xdr:cNvPr id="5" name="Tekstfelt 4">
          <a:extLst>
            <a:ext uri="{FF2B5EF4-FFF2-40B4-BE49-F238E27FC236}">
              <a16:creationId xmlns:a16="http://schemas.microsoft.com/office/drawing/2014/main" id="{18D1CD02-0E22-9745-9237-C5A0D1BE1508}"/>
            </a:ext>
          </a:extLst>
        </xdr:cNvPr>
        <xdr:cNvSpPr txBox="1"/>
      </xdr:nvSpPr>
      <xdr:spPr>
        <a:xfrm rot="20935205">
          <a:off x="2026594" y="18387977"/>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2959099</xdr:colOff>
      <xdr:row>17</xdr:row>
      <xdr:rowOff>38100</xdr:rowOff>
    </xdr:from>
    <xdr:to>
      <xdr:col>5</xdr:col>
      <xdr:colOff>986770</xdr:colOff>
      <xdr:row>22</xdr:row>
      <xdr:rowOff>166394</xdr:rowOff>
    </xdr:to>
    <xdr:sp macro="" textlink="">
      <xdr:nvSpPr>
        <xdr:cNvPr id="2" name="Tekstfelt 1">
          <a:extLst>
            <a:ext uri="{FF2B5EF4-FFF2-40B4-BE49-F238E27FC236}">
              <a16:creationId xmlns:a16="http://schemas.microsoft.com/office/drawing/2014/main" id="{A9541F0C-D226-D94E-8013-7ED86159B61F}"/>
            </a:ext>
          </a:extLst>
        </xdr:cNvPr>
        <xdr:cNvSpPr txBox="1"/>
      </xdr:nvSpPr>
      <xdr:spPr>
        <a:xfrm rot="20935205">
          <a:off x="3784599" y="38989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1</xdr:col>
      <xdr:colOff>2146300</xdr:colOff>
      <xdr:row>44</xdr:row>
      <xdr:rowOff>114300</xdr:rowOff>
    </xdr:from>
    <xdr:to>
      <xdr:col>5</xdr:col>
      <xdr:colOff>173971</xdr:colOff>
      <xdr:row>49</xdr:row>
      <xdr:rowOff>242594</xdr:rowOff>
    </xdr:to>
    <xdr:sp macro="" textlink="">
      <xdr:nvSpPr>
        <xdr:cNvPr id="3" name="Tekstfelt 2">
          <a:extLst>
            <a:ext uri="{FF2B5EF4-FFF2-40B4-BE49-F238E27FC236}">
              <a16:creationId xmlns:a16="http://schemas.microsoft.com/office/drawing/2014/main" id="{8BAA74F5-921A-1747-A3FC-D33DF6A085E0}"/>
            </a:ext>
          </a:extLst>
        </xdr:cNvPr>
        <xdr:cNvSpPr txBox="1"/>
      </xdr:nvSpPr>
      <xdr:spPr>
        <a:xfrm rot="20935205">
          <a:off x="2971800" y="112522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685800</xdr:colOff>
      <xdr:row>15</xdr:row>
      <xdr:rowOff>190500</xdr:rowOff>
    </xdr:from>
    <xdr:to>
      <xdr:col>8</xdr:col>
      <xdr:colOff>631171</xdr:colOff>
      <xdr:row>21</xdr:row>
      <xdr:rowOff>191794</xdr:rowOff>
    </xdr:to>
    <xdr:sp macro="" textlink="">
      <xdr:nvSpPr>
        <xdr:cNvPr id="2" name="Tekstfelt 1">
          <a:extLst>
            <a:ext uri="{FF2B5EF4-FFF2-40B4-BE49-F238E27FC236}">
              <a16:creationId xmlns:a16="http://schemas.microsoft.com/office/drawing/2014/main" id="{4CB27798-11B7-7147-9F8F-F6967B48A398}"/>
            </a:ext>
          </a:extLst>
        </xdr:cNvPr>
        <xdr:cNvSpPr txBox="1"/>
      </xdr:nvSpPr>
      <xdr:spPr>
        <a:xfrm rot="20935205">
          <a:off x="1511300" y="40513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228601</xdr:colOff>
      <xdr:row>33</xdr:row>
      <xdr:rowOff>38100</xdr:rowOff>
    </xdr:from>
    <xdr:to>
      <xdr:col>1</xdr:col>
      <xdr:colOff>533401</xdr:colOff>
      <xdr:row>35</xdr:row>
      <xdr:rowOff>144273</xdr:rowOff>
    </xdr:to>
    <xdr:pic>
      <xdr:nvPicPr>
        <xdr:cNvPr id="3" name="Billede 2">
          <a:extLst>
            <a:ext uri="{FF2B5EF4-FFF2-40B4-BE49-F238E27FC236}">
              <a16:creationId xmlns:a16="http://schemas.microsoft.com/office/drawing/2014/main" id="{A7231A89-31B2-3348-8B4A-BEAA1F6725B4}"/>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1</xdr:row>
      <xdr:rowOff>609600</xdr:rowOff>
    </xdr:from>
    <xdr:to>
      <xdr:col>1</xdr:col>
      <xdr:colOff>482600</xdr:colOff>
      <xdr:row>1</xdr:row>
      <xdr:rowOff>1312674</xdr:rowOff>
    </xdr:to>
    <xdr:pic>
      <xdr:nvPicPr>
        <xdr:cNvPr id="4" name="Billede 3">
          <a:extLst>
            <a:ext uri="{FF2B5EF4-FFF2-40B4-BE49-F238E27FC236}">
              <a16:creationId xmlns:a16="http://schemas.microsoft.com/office/drawing/2014/main" id="{D942FAE2-C652-7B42-9451-3218557A0832}"/>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twoCellAnchor>
    <xdr:from>
      <xdr:col>1</xdr:col>
      <xdr:colOff>267369</xdr:colOff>
      <xdr:row>15</xdr:row>
      <xdr:rowOff>233947</xdr:rowOff>
    </xdr:from>
    <xdr:to>
      <xdr:col>7</xdr:col>
      <xdr:colOff>53433</xdr:colOff>
      <xdr:row>18</xdr:row>
      <xdr:rowOff>431089</xdr:rowOff>
    </xdr:to>
    <xdr:sp macro="" textlink="">
      <xdr:nvSpPr>
        <xdr:cNvPr id="2" name="Tekstfelt 1">
          <a:extLst>
            <a:ext uri="{FF2B5EF4-FFF2-40B4-BE49-F238E27FC236}">
              <a16:creationId xmlns:a16="http://schemas.microsoft.com/office/drawing/2014/main" id="{82D70CC2-AB5A-284B-A6C2-BF75C799F497}"/>
            </a:ext>
          </a:extLst>
        </xdr:cNvPr>
        <xdr:cNvSpPr txBox="1"/>
      </xdr:nvSpPr>
      <xdr:spPr>
        <a:xfrm rot="20935205">
          <a:off x="1091755" y="8734035"/>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17</xdr:row>
      <xdr:rowOff>0</xdr:rowOff>
    </xdr:from>
    <xdr:to>
      <xdr:col>3</xdr:col>
      <xdr:colOff>481311</xdr:colOff>
      <xdr:row>23</xdr:row>
      <xdr:rowOff>13994</xdr:rowOff>
    </xdr:to>
    <xdr:sp macro="" textlink="">
      <xdr:nvSpPr>
        <xdr:cNvPr id="2" name="Tekstfelt 1">
          <a:extLst>
            <a:ext uri="{FF2B5EF4-FFF2-40B4-BE49-F238E27FC236}">
              <a16:creationId xmlns:a16="http://schemas.microsoft.com/office/drawing/2014/main" id="{6AC8B146-D933-FD40-9B70-0EB86413DC6B}"/>
            </a:ext>
          </a:extLst>
        </xdr:cNvPr>
        <xdr:cNvSpPr txBox="1"/>
      </xdr:nvSpPr>
      <xdr:spPr>
        <a:xfrm rot="20935205">
          <a:off x="924560" y="36576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0</xdr:colOff>
      <xdr:row>12</xdr:row>
      <xdr:rowOff>0</xdr:rowOff>
    </xdr:from>
    <xdr:to>
      <xdr:col>30</xdr:col>
      <xdr:colOff>923271</xdr:colOff>
      <xdr:row>16</xdr:row>
      <xdr:rowOff>13994</xdr:rowOff>
    </xdr:to>
    <xdr:sp macro="" textlink="">
      <xdr:nvSpPr>
        <xdr:cNvPr id="2" name="Tekstfelt 1">
          <a:extLst>
            <a:ext uri="{FF2B5EF4-FFF2-40B4-BE49-F238E27FC236}">
              <a16:creationId xmlns:a16="http://schemas.microsoft.com/office/drawing/2014/main" id="{FE1AB955-2692-024B-8316-4CD0BD6F794D}"/>
            </a:ext>
          </a:extLst>
        </xdr:cNvPr>
        <xdr:cNvSpPr txBox="1"/>
      </xdr:nvSpPr>
      <xdr:spPr>
        <a:xfrm rot="20935205">
          <a:off x="6997700" y="37338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889000</xdr:colOff>
      <xdr:row>35</xdr:row>
      <xdr:rowOff>68579</xdr:rowOff>
    </xdr:from>
    <xdr:to>
      <xdr:col>11</xdr:col>
      <xdr:colOff>63500</xdr:colOff>
      <xdr:row>38</xdr:row>
      <xdr:rowOff>236854</xdr:rowOff>
    </xdr:to>
    <xdr:pic>
      <xdr:nvPicPr>
        <xdr:cNvPr id="2" name="Bille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0" y="10244454"/>
          <a:ext cx="1349375" cy="1025525"/>
        </a:xfrm>
        <a:prstGeom prst="rect">
          <a:avLst/>
        </a:prstGeom>
      </xdr:spPr>
    </xdr:pic>
    <xdr:clientData/>
  </xdr:twoCellAnchor>
  <xdr:twoCellAnchor>
    <xdr:from>
      <xdr:col>8</xdr:col>
      <xdr:colOff>208933</xdr:colOff>
      <xdr:row>12</xdr:row>
      <xdr:rowOff>217618</xdr:rowOff>
    </xdr:from>
    <xdr:to>
      <xdr:col>21</xdr:col>
      <xdr:colOff>220688</xdr:colOff>
      <xdr:row>17</xdr:row>
      <xdr:rowOff>149282</xdr:rowOff>
    </xdr:to>
    <xdr:sp macro="" textlink="">
      <xdr:nvSpPr>
        <xdr:cNvPr id="3" name="Tekstfelt 2">
          <a:extLst>
            <a:ext uri="{FF2B5EF4-FFF2-40B4-BE49-F238E27FC236}">
              <a16:creationId xmlns:a16="http://schemas.microsoft.com/office/drawing/2014/main" id="{B2DB5D19-419C-1441-9CF2-F0BE0CAAB7C2}"/>
            </a:ext>
          </a:extLst>
        </xdr:cNvPr>
        <xdr:cNvSpPr txBox="1"/>
      </xdr:nvSpPr>
      <xdr:spPr>
        <a:xfrm rot="20935205">
          <a:off x="4653933" y="5551618"/>
          <a:ext cx="8622355" cy="221766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774700</xdr:colOff>
      <xdr:row>36</xdr:row>
      <xdr:rowOff>41910</xdr:rowOff>
    </xdr:from>
    <xdr:to>
      <xdr:col>10</xdr:col>
      <xdr:colOff>266700</xdr:colOff>
      <xdr:row>39</xdr:row>
      <xdr:rowOff>270510</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92700" y="10582910"/>
          <a:ext cx="1428750" cy="1085850"/>
        </a:xfrm>
        <a:prstGeom prst="rect">
          <a:avLst/>
        </a:prstGeom>
      </xdr:spPr>
    </xdr:pic>
    <xdr:clientData/>
  </xdr:twoCellAnchor>
  <xdr:twoCellAnchor editAs="oneCell">
    <xdr:from>
      <xdr:col>8</xdr:col>
      <xdr:colOff>889000</xdr:colOff>
      <xdr:row>36</xdr:row>
      <xdr:rowOff>68579</xdr:rowOff>
    </xdr:from>
    <xdr:to>
      <xdr:col>10</xdr:col>
      <xdr:colOff>304800</xdr:colOff>
      <xdr:row>39</xdr:row>
      <xdr:rowOff>236854</xdr:rowOff>
    </xdr:to>
    <xdr:pic>
      <xdr:nvPicPr>
        <xdr:cNvPr id="3" name="Billede 2">
          <a:extLst>
            <a:ext uri="{FF2B5EF4-FFF2-40B4-BE49-F238E27FC236}">
              <a16:creationId xmlns:a16="http://schemas.microsoft.com/office/drawing/2014/main" id="{8658A892-4A64-7C48-B0F7-A37F1DE84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300" y="10558779"/>
          <a:ext cx="1346200" cy="1044575"/>
        </a:xfrm>
        <a:prstGeom prst="rect">
          <a:avLst/>
        </a:prstGeom>
      </xdr:spPr>
    </xdr:pic>
    <xdr:clientData/>
  </xdr:twoCellAnchor>
  <xdr:twoCellAnchor>
    <xdr:from>
      <xdr:col>8</xdr:col>
      <xdr:colOff>1333498</xdr:colOff>
      <xdr:row>12</xdr:row>
      <xdr:rowOff>254001</xdr:rowOff>
    </xdr:from>
    <xdr:to>
      <xdr:col>18</xdr:col>
      <xdr:colOff>739119</xdr:colOff>
      <xdr:row>17</xdr:row>
      <xdr:rowOff>58445</xdr:rowOff>
    </xdr:to>
    <xdr:sp macro="" textlink="">
      <xdr:nvSpPr>
        <xdr:cNvPr id="2" name="Tekstfelt 1">
          <a:extLst>
            <a:ext uri="{FF2B5EF4-FFF2-40B4-BE49-F238E27FC236}">
              <a16:creationId xmlns:a16="http://schemas.microsoft.com/office/drawing/2014/main" id="{AF39A01A-5B2C-F84F-8ADC-CB6B6E875640}"/>
            </a:ext>
          </a:extLst>
        </xdr:cNvPr>
        <xdr:cNvSpPr txBox="1"/>
      </xdr:nvSpPr>
      <xdr:spPr>
        <a:xfrm rot="20935205">
          <a:off x="5651498" y="3857626"/>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406400</xdr:colOff>
      <xdr:row>10</xdr:row>
      <xdr:rowOff>177800</xdr:rowOff>
    </xdr:from>
    <xdr:to>
      <xdr:col>6</xdr:col>
      <xdr:colOff>478771</xdr:colOff>
      <xdr:row>15</xdr:row>
      <xdr:rowOff>140994</xdr:rowOff>
    </xdr:to>
    <xdr:sp macro="" textlink="">
      <xdr:nvSpPr>
        <xdr:cNvPr id="2" name="Tekstfelt 1">
          <a:extLst>
            <a:ext uri="{FF2B5EF4-FFF2-40B4-BE49-F238E27FC236}">
              <a16:creationId xmlns:a16="http://schemas.microsoft.com/office/drawing/2014/main" id="{A898D0BD-EB0A-624E-86B6-B5A04BD76275}"/>
            </a:ext>
          </a:extLst>
        </xdr:cNvPr>
        <xdr:cNvSpPr txBox="1"/>
      </xdr:nvSpPr>
      <xdr:spPr>
        <a:xfrm rot="20935205">
          <a:off x="1231900" y="31750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292100</xdr:colOff>
      <xdr:row>10</xdr:row>
      <xdr:rowOff>76200</xdr:rowOff>
    </xdr:from>
    <xdr:to>
      <xdr:col>6</xdr:col>
      <xdr:colOff>364471</xdr:colOff>
      <xdr:row>15</xdr:row>
      <xdr:rowOff>39394</xdr:rowOff>
    </xdr:to>
    <xdr:sp macro="" textlink="">
      <xdr:nvSpPr>
        <xdr:cNvPr id="2" name="Tekstfelt 1">
          <a:extLst>
            <a:ext uri="{FF2B5EF4-FFF2-40B4-BE49-F238E27FC236}">
              <a16:creationId xmlns:a16="http://schemas.microsoft.com/office/drawing/2014/main" id="{C2224C23-11D0-8843-BABF-D626314005C5}"/>
            </a:ext>
          </a:extLst>
        </xdr:cNvPr>
        <xdr:cNvSpPr txBox="1"/>
      </xdr:nvSpPr>
      <xdr:spPr>
        <a:xfrm rot="20935205">
          <a:off x="1117600" y="30734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492963</xdr:colOff>
      <xdr:row>8</xdr:row>
      <xdr:rowOff>34632</xdr:rowOff>
    </xdr:from>
    <xdr:to>
      <xdr:col>6</xdr:col>
      <xdr:colOff>565334</xdr:colOff>
      <xdr:row>12</xdr:row>
      <xdr:rowOff>251826</xdr:rowOff>
    </xdr:to>
    <xdr:sp macro="" textlink="">
      <xdr:nvSpPr>
        <xdr:cNvPr id="2" name="Tekstfelt 1">
          <a:extLst>
            <a:ext uri="{FF2B5EF4-FFF2-40B4-BE49-F238E27FC236}">
              <a16:creationId xmlns:a16="http://schemas.microsoft.com/office/drawing/2014/main" id="{F5AC3913-6380-8E49-BE74-3D1862CFDBE6}"/>
            </a:ext>
          </a:extLst>
        </xdr:cNvPr>
        <xdr:cNvSpPr txBox="1"/>
      </xdr:nvSpPr>
      <xdr:spPr>
        <a:xfrm rot="20935205">
          <a:off x="1318463" y="2523832"/>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469900</xdr:colOff>
      <xdr:row>6</xdr:row>
      <xdr:rowOff>101600</xdr:rowOff>
    </xdr:from>
    <xdr:to>
      <xdr:col>6</xdr:col>
      <xdr:colOff>542271</xdr:colOff>
      <xdr:row>9</xdr:row>
      <xdr:rowOff>200607</xdr:rowOff>
    </xdr:to>
    <xdr:sp macro="" textlink="">
      <xdr:nvSpPr>
        <xdr:cNvPr id="2" name="Tekstfelt 1">
          <a:extLst>
            <a:ext uri="{FF2B5EF4-FFF2-40B4-BE49-F238E27FC236}">
              <a16:creationId xmlns:a16="http://schemas.microsoft.com/office/drawing/2014/main" id="{669DE29F-6E30-714F-A9D2-AC2956EBA393}"/>
            </a:ext>
          </a:extLst>
        </xdr:cNvPr>
        <xdr:cNvSpPr txBox="1"/>
      </xdr:nvSpPr>
      <xdr:spPr>
        <a:xfrm rot="20935205">
          <a:off x="1295400" y="2082800"/>
          <a:ext cx="5723871" cy="861007"/>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1</xdr:col>
      <xdr:colOff>546100</xdr:colOff>
      <xdr:row>0</xdr:row>
      <xdr:rowOff>1312674</xdr:rowOff>
    </xdr:to>
    <xdr:pic>
      <xdr:nvPicPr>
        <xdr:cNvPr id="4" name="Billede 3">
          <a:extLst>
            <a:ext uri="{FF2B5EF4-FFF2-40B4-BE49-F238E27FC236}">
              <a16:creationId xmlns:a16="http://schemas.microsoft.com/office/drawing/2014/main" id="{CC942370-03AA-E045-9574-AB58255E30A7}"/>
            </a:ext>
          </a:extLst>
        </xdr:cNvPr>
        <xdr:cNvPicPr>
          <a:picLocks noChangeAspect="1"/>
        </xdr:cNvPicPr>
      </xdr:nvPicPr>
      <xdr:blipFill>
        <a:blip xmlns:r="http://schemas.openxmlformats.org/officeDocument/2006/relationships" r:embed="rId1"/>
        <a:stretch>
          <a:fillRect/>
        </a:stretch>
      </xdr:blipFill>
      <xdr:spPr>
        <a:xfrm>
          <a:off x="241300" y="609600"/>
          <a:ext cx="1130300" cy="703074"/>
        </a:xfrm>
        <a:prstGeom prst="rect">
          <a:avLst/>
        </a:prstGeom>
      </xdr:spPr>
    </xdr:pic>
    <xdr:clientData/>
  </xdr:twoCellAnchor>
  <xdr:twoCellAnchor editAs="oneCell">
    <xdr:from>
      <xdr:col>0</xdr:col>
      <xdr:colOff>279400</xdr:colOff>
      <xdr:row>91</xdr:row>
      <xdr:rowOff>177800</xdr:rowOff>
    </xdr:from>
    <xdr:to>
      <xdr:col>1</xdr:col>
      <xdr:colOff>584200</xdr:colOff>
      <xdr:row>95</xdr:row>
      <xdr:rowOff>68074</xdr:rowOff>
    </xdr:to>
    <xdr:pic>
      <xdr:nvPicPr>
        <xdr:cNvPr id="5" name="Billede 4">
          <a:extLst>
            <a:ext uri="{FF2B5EF4-FFF2-40B4-BE49-F238E27FC236}">
              <a16:creationId xmlns:a16="http://schemas.microsoft.com/office/drawing/2014/main" id="{30BD101B-BC22-DA4B-9C3B-C6D8E2385176}"/>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1</xdr:col>
      <xdr:colOff>279400</xdr:colOff>
      <xdr:row>1</xdr:row>
      <xdr:rowOff>177800</xdr:rowOff>
    </xdr:from>
    <xdr:to>
      <xdr:col>1</xdr:col>
      <xdr:colOff>735932</xdr:colOff>
      <xdr:row>1</xdr:row>
      <xdr:rowOff>461774</xdr:rowOff>
    </xdr:to>
    <xdr:pic>
      <xdr:nvPicPr>
        <xdr:cNvPr id="3" name="Billede 2">
          <a:extLst>
            <a:ext uri="{FF2B5EF4-FFF2-40B4-BE49-F238E27FC236}">
              <a16:creationId xmlns:a16="http://schemas.microsoft.com/office/drawing/2014/main" id="{0AABE7A6-EA05-C549-B9AA-CABA92DE87F2}"/>
            </a:ext>
          </a:extLst>
        </xdr:cNvPr>
        <xdr:cNvPicPr>
          <a:picLocks noChangeAspect="1"/>
        </xdr:cNvPicPr>
      </xdr:nvPicPr>
      <xdr:blipFill>
        <a:blip xmlns:r="http://schemas.openxmlformats.org/officeDocument/2006/relationships" r:embed="rId1"/>
        <a:stretch>
          <a:fillRect/>
        </a:stretch>
      </xdr:blipFill>
      <xdr:spPr>
        <a:xfrm>
          <a:off x="1104900" y="1854200"/>
          <a:ext cx="456532" cy="283974"/>
        </a:xfrm>
        <a:prstGeom prst="rect">
          <a:avLst/>
        </a:prstGeom>
      </xdr:spPr>
    </xdr:pic>
    <xdr:clientData/>
  </xdr:twoCellAnchor>
  <xdr:twoCellAnchor editAs="oneCell">
    <xdr:from>
      <xdr:col>1</xdr:col>
      <xdr:colOff>292100</xdr:colOff>
      <xdr:row>2</xdr:row>
      <xdr:rowOff>228600</xdr:rowOff>
    </xdr:from>
    <xdr:to>
      <xdr:col>1</xdr:col>
      <xdr:colOff>748632</xdr:colOff>
      <xdr:row>2</xdr:row>
      <xdr:rowOff>512574</xdr:rowOff>
    </xdr:to>
    <xdr:pic>
      <xdr:nvPicPr>
        <xdr:cNvPr id="6" name="Billede 5">
          <a:extLst>
            <a:ext uri="{FF2B5EF4-FFF2-40B4-BE49-F238E27FC236}">
              <a16:creationId xmlns:a16="http://schemas.microsoft.com/office/drawing/2014/main" id="{92CECB52-BB0F-DF43-8FBA-7EC1B9E77A30}"/>
            </a:ext>
          </a:extLst>
        </xdr:cNvPr>
        <xdr:cNvPicPr>
          <a:picLocks noChangeAspect="1"/>
        </xdr:cNvPicPr>
      </xdr:nvPicPr>
      <xdr:blipFill>
        <a:blip xmlns:r="http://schemas.openxmlformats.org/officeDocument/2006/relationships" r:embed="rId1"/>
        <a:stretch>
          <a:fillRect/>
        </a:stretch>
      </xdr:blipFill>
      <xdr:spPr>
        <a:xfrm>
          <a:off x="1117600" y="2717800"/>
          <a:ext cx="456532" cy="283974"/>
        </a:xfrm>
        <a:prstGeom prst="rect">
          <a:avLst/>
        </a:prstGeom>
      </xdr:spPr>
    </xdr:pic>
    <xdr:clientData/>
  </xdr:twoCellAnchor>
  <xdr:twoCellAnchor editAs="oneCell">
    <xdr:from>
      <xdr:col>1</xdr:col>
      <xdr:colOff>279400</xdr:colOff>
      <xdr:row>3</xdr:row>
      <xdr:rowOff>190500</xdr:rowOff>
    </xdr:from>
    <xdr:to>
      <xdr:col>1</xdr:col>
      <xdr:colOff>735932</xdr:colOff>
      <xdr:row>3</xdr:row>
      <xdr:rowOff>474474</xdr:rowOff>
    </xdr:to>
    <xdr:pic>
      <xdr:nvPicPr>
        <xdr:cNvPr id="7" name="Billede 6">
          <a:extLst>
            <a:ext uri="{FF2B5EF4-FFF2-40B4-BE49-F238E27FC236}">
              <a16:creationId xmlns:a16="http://schemas.microsoft.com/office/drawing/2014/main" id="{FCF258FC-2528-FD4C-A061-CCEB1AD2BB43}"/>
            </a:ext>
          </a:extLst>
        </xdr:cNvPr>
        <xdr:cNvPicPr>
          <a:picLocks noChangeAspect="1"/>
        </xdr:cNvPicPr>
      </xdr:nvPicPr>
      <xdr:blipFill>
        <a:blip xmlns:r="http://schemas.openxmlformats.org/officeDocument/2006/relationships" r:embed="rId1"/>
        <a:stretch>
          <a:fillRect/>
        </a:stretch>
      </xdr:blipFill>
      <xdr:spPr>
        <a:xfrm>
          <a:off x="1104900" y="3403600"/>
          <a:ext cx="456532" cy="283974"/>
        </a:xfrm>
        <a:prstGeom prst="rect">
          <a:avLst/>
        </a:prstGeom>
      </xdr:spPr>
    </xdr:pic>
    <xdr:clientData/>
  </xdr:twoCellAnchor>
  <xdr:twoCellAnchor>
    <xdr:from>
      <xdr:col>6</xdr:col>
      <xdr:colOff>0</xdr:colOff>
      <xdr:row>16</xdr:row>
      <xdr:rowOff>0</xdr:rowOff>
    </xdr:from>
    <xdr:to>
      <xdr:col>13</xdr:col>
      <xdr:colOff>97771</xdr:colOff>
      <xdr:row>18</xdr:row>
      <xdr:rowOff>394994</xdr:rowOff>
    </xdr:to>
    <xdr:sp macro="" textlink="">
      <xdr:nvSpPr>
        <xdr:cNvPr id="2" name="Tekstfelt 1">
          <a:extLst>
            <a:ext uri="{FF2B5EF4-FFF2-40B4-BE49-F238E27FC236}">
              <a16:creationId xmlns:a16="http://schemas.microsoft.com/office/drawing/2014/main" id="{E98AA6DD-09C5-8344-B55E-0E3DD0739512}"/>
            </a:ext>
          </a:extLst>
        </xdr:cNvPr>
        <xdr:cNvSpPr txBox="1"/>
      </xdr:nvSpPr>
      <xdr:spPr>
        <a:xfrm rot="20935205">
          <a:off x="4343400" y="110109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20</xdr:col>
      <xdr:colOff>0</xdr:colOff>
      <xdr:row>16</xdr:row>
      <xdr:rowOff>0</xdr:rowOff>
    </xdr:from>
    <xdr:to>
      <xdr:col>27</xdr:col>
      <xdr:colOff>97771</xdr:colOff>
      <xdr:row>18</xdr:row>
      <xdr:rowOff>394994</xdr:rowOff>
    </xdr:to>
    <xdr:sp macro="" textlink="">
      <xdr:nvSpPr>
        <xdr:cNvPr id="8" name="Tekstfelt 7">
          <a:extLst>
            <a:ext uri="{FF2B5EF4-FFF2-40B4-BE49-F238E27FC236}">
              <a16:creationId xmlns:a16="http://schemas.microsoft.com/office/drawing/2014/main" id="{91613A0D-0C6B-B849-B410-FB3F23D19E0B}"/>
            </a:ext>
          </a:extLst>
        </xdr:cNvPr>
        <xdr:cNvSpPr txBox="1"/>
      </xdr:nvSpPr>
      <xdr:spPr>
        <a:xfrm rot="20935205">
          <a:off x="15265400" y="110109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36</xdr:col>
      <xdr:colOff>0</xdr:colOff>
      <xdr:row>16</xdr:row>
      <xdr:rowOff>0</xdr:rowOff>
    </xdr:from>
    <xdr:to>
      <xdr:col>42</xdr:col>
      <xdr:colOff>770871</xdr:colOff>
      <xdr:row>18</xdr:row>
      <xdr:rowOff>394994</xdr:rowOff>
    </xdr:to>
    <xdr:sp macro="" textlink="">
      <xdr:nvSpPr>
        <xdr:cNvPr id="9" name="Tekstfelt 8">
          <a:extLst>
            <a:ext uri="{FF2B5EF4-FFF2-40B4-BE49-F238E27FC236}">
              <a16:creationId xmlns:a16="http://schemas.microsoft.com/office/drawing/2014/main" id="{206BE23D-5A29-0746-93D0-0BC17264489B}"/>
            </a:ext>
          </a:extLst>
        </xdr:cNvPr>
        <xdr:cNvSpPr txBox="1"/>
      </xdr:nvSpPr>
      <xdr:spPr>
        <a:xfrm rot="20935205">
          <a:off x="27559000" y="110109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50</xdr:col>
      <xdr:colOff>0</xdr:colOff>
      <xdr:row>16</xdr:row>
      <xdr:rowOff>0</xdr:rowOff>
    </xdr:from>
    <xdr:to>
      <xdr:col>56</xdr:col>
      <xdr:colOff>770871</xdr:colOff>
      <xdr:row>18</xdr:row>
      <xdr:rowOff>394994</xdr:rowOff>
    </xdr:to>
    <xdr:sp macro="" textlink="">
      <xdr:nvSpPr>
        <xdr:cNvPr id="10" name="Tekstfelt 9">
          <a:extLst>
            <a:ext uri="{FF2B5EF4-FFF2-40B4-BE49-F238E27FC236}">
              <a16:creationId xmlns:a16="http://schemas.microsoft.com/office/drawing/2014/main" id="{A0184C32-3A53-6348-B73F-663C2A3B0F1A}"/>
            </a:ext>
          </a:extLst>
        </xdr:cNvPr>
        <xdr:cNvSpPr txBox="1"/>
      </xdr:nvSpPr>
      <xdr:spPr>
        <a:xfrm rot="20935205">
          <a:off x="38354000" y="110109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169334</xdr:colOff>
      <xdr:row>1</xdr:row>
      <xdr:rowOff>550335</xdr:rowOff>
    </xdr:from>
    <xdr:to>
      <xdr:col>3</xdr:col>
      <xdr:colOff>71497</xdr:colOff>
      <xdr:row>1</xdr:row>
      <xdr:rowOff>1411111</xdr:rowOff>
    </xdr:to>
    <xdr:pic>
      <xdr:nvPicPr>
        <xdr:cNvPr id="2" name="Billede 1">
          <a:extLst>
            <a:ext uri="{FF2B5EF4-FFF2-40B4-BE49-F238E27FC236}">
              <a16:creationId xmlns:a16="http://schemas.microsoft.com/office/drawing/2014/main" id="{B6A93825-4A1F-7D4B-BC73-D1B6C977E60D}"/>
            </a:ext>
          </a:extLst>
        </xdr:cNvPr>
        <xdr:cNvPicPr>
          <a:picLocks noChangeAspect="1"/>
        </xdr:cNvPicPr>
      </xdr:nvPicPr>
      <xdr:blipFill>
        <a:blip xmlns:r="http://schemas.openxmlformats.org/officeDocument/2006/relationships" r:embed="rId1"/>
        <a:stretch>
          <a:fillRect/>
        </a:stretch>
      </xdr:blipFill>
      <xdr:spPr>
        <a:xfrm>
          <a:off x="169334" y="747891"/>
          <a:ext cx="1383830" cy="860776"/>
        </a:xfrm>
        <a:prstGeom prst="rect">
          <a:avLst/>
        </a:prstGeom>
      </xdr:spPr>
    </xdr:pic>
    <xdr:clientData/>
  </xdr:twoCellAnchor>
  <xdr:twoCellAnchor>
    <xdr:from>
      <xdr:col>9</xdr:col>
      <xdr:colOff>0</xdr:colOff>
      <xdr:row>22</xdr:row>
      <xdr:rowOff>0</xdr:rowOff>
    </xdr:from>
    <xdr:to>
      <xdr:col>15</xdr:col>
      <xdr:colOff>582666</xdr:colOff>
      <xdr:row>28</xdr:row>
      <xdr:rowOff>39700</xdr:rowOff>
    </xdr:to>
    <xdr:sp macro="" textlink="">
      <xdr:nvSpPr>
        <xdr:cNvPr id="3" name="Tekstfelt 2">
          <a:extLst>
            <a:ext uri="{FF2B5EF4-FFF2-40B4-BE49-F238E27FC236}">
              <a16:creationId xmlns:a16="http://schemas.microsoft.com/office/drawing/2014/main" id="{FAA04D2C-E703-4B46-B33E-46C40E8F6A68}"/>
            </a:ext>
          </a:extLst>
        </xdr:cNvPr>
        <xdr:cNvSpPr txBox="1"/>
      </xdr:nvSpPr>
      <xdr:spPr>
        <a:xfrm rot="20935205">
          <a:off x="8094337" y="12409277"/>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23</xdr:row>
      <xdr:rowOff>0</xdr:rowOff>
    </xdr:from>
    <xdr:to>
      <xdr:col>15</xdr:col>
      <xdr:colOff>629760</xdr:colOff>
      <xdr:row>29</xdr:row>
      <xdr:rowOff>47860</xdr:rowOff>
    </xdr:to>
    <xdr:sp macro="" textlink="">
      <xdr:nvSpPr>
        <xdr:cNvPr id="2" name="Tekstfelt 1">
          <a:extLst>
            <a:ext uri="{FF2B5EF4-FFF2-40B4-BE49-F238E27FC236}">
              <a16:creationId xmlns:a16="http://schemas.microsoft.com/office/drawing/2014/main" id="{56AD53B8-AAE6-0F4C-94C2-3D8302CCE02C}"/>
            </a:ext>
          </a:extLst>
        </xdr:cNvPr>
        <xdr:cNvSpPr txBox="1"/>
      </xdr:nvSpPr>
      <xdr:spPr>
        <a:xfrm rot="20935205">
          <a:off x="8085667" y="10470444"/>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25</xdr:row>
      <xdr:rowOff>0</xdr:rowOff>
    </xdr:from>
    <xdr:to>
      <xdr:col>15</xdr:col>
      <xdr:colOff>629760</xdr:colOff>
      <xdr:row>31</xdr:row>
      <xdr:rowOff>47861</xdr:rowOff>
    </xdr:to>
    <xdr:sp macro="" textlink="">
      <xdr:nvSpPr>
        <xdr:cNvPr id="2" name="Tekstfelt 1">
          <a:extLst>
            <a:ext uri="{FF2B5EF4-FFF2-40B4-BE49-F238E27FC236}">
              <a16:creationId xmlns:a16="http://schemas.microsoft.com/office/drawing/2014/main" id="{06143DD1-64C4-6A4B-93B3-621182EA08F6}"/>
            </a:ext>
          </a:extLst>
        </xdr:cNvPr>
        <xdr:cNvSpPr txBox="1"/>
      </xdr:nvSpPr>
      <xdr:spPr>
        <a:xfrm rot="20935205">
          <a:off x="8085667" y="10809111"/>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22</xdr:row>
      <xdr:rowOff>0</xdr:rowOff>
    </xdr:from>
    <xdr:to>
      <xdr:col>15</xdr:col>
      <xdr:colOff>629760</xdr:colOff>
      <xdr:row>28</xdr:row>
      <xdr:rowOff>47860</xdr:rowOff>
    </xdr:to>
    <xdr:sp macro="" textlink="">
      <xdr:nvSpPr>
        <xdr:cNvPr id="2" name="Tekstfelt 1">
          <a:extLst>
            <a:ext uri="{FF2B5EF4-FFF2-40B4-BE49-F238E27FC236}">
              <a16:creationId xmlns:a16="http://schemas.microsoft.com/office/drawing/2014/main" id="{C945ABE4-0AC3-6149-94E8-E5F263818EA5}"/>
            </a:ext>
          </a:extLst>
        </xdr:cNvPr>
        <xdr:cNvSpPr txBox="1"/>
      </xdr:nvSpPr>
      <xdr:spPr>
        <a:xfrm rot="20935205">
          <a:off x="8085667" y="10202333"/>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20</xdr:row>
      <xdr:rowOff>0</xdr:rowOff>
    </xdr:from>
    <xdr:to>
      <xdr:col>15</xdr:col>
      <xdr:colOff>559204</xdr:colOff>
      <xdr:row>26</xdr:row>
      <xdr:rowOff>13994</xdr:rowOff>
    </xdr:to>
    <xdr:sp macro="" textlink="">
      <xdr:nvSpPr>
        <xdr:cNvPr id="2" name="Tekstfelt 1">
          <a:extLst>
            <a:ext uri="{FF2B5EF4-FFF2-40B4-BE49-F238E27FC236}">
              <a16:creationId xmlns:a16="http://schemas.microsoft.com/office/drawing/2014/main" id="{FBFE5926-2598-2343-99FB-CDDA23C98E08}"/>
            </a:ext>
          </a:extLst>
        </xdr:cNvPr>
        <xdr:cNvSpPr txBox="1"/>
      </xdr:nvSpPr>
      <xdr:spPr>
        <a:xfrm rot="20935205">
          <a:off x="8128000" y="9889067"/>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23</xdr:row>
      <xdr:rowOff>0</xdr:rowOff>
    </xdr:from>
    <xdr:to>
      <xdr:col>15</xdr:col>
      <xdr:colOff>629760</xdr:colOff>
      <xdr:row>29</xdr:row>
      <xdr:rowOff>47861</xdr:rowOff>
    </xdr:to>
    <xdr:sp macro="" textlink="">
      <xdr:nvSpPr>
        <xdr:cNvPr id="2" name="Tekstfelt 1">
          <a:extLst>
            <a:ext uri="{FF2B5EF4-FFF2-40B4-BE49-F238E27FC236}">
              <a16:creationId xmlns:a16="http://schemas.microsoft.com/office/drawing/2014/main" id="{7DFABB17-DDA8-184C-9EA5-7A50ABE5A485}"/>
            </a:ext>
          </a:extLst>
        </xdr:cNvPr>
        <xdr:cNvSpPr txBox="1"/>
      </xdr:nvSpPr>
      <xdr:spPr>
        <a:xfrm rot="20935205">
          <a:off x="8085667" y="10357556"/>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riskoler.dk/Users/tove/Library/Application%20Support/Microsoft/Office/Office%202011%20AutoRecovery/KAL1516%20(version%201).xlsb"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tove/Downloads/Kopi_af_P&#198;D.TAP_TOMT_ARK.4.2.xlsx" TargetMode="External"/><Relationship Id="rId1" Type="http://schemas.openxmlformats.org/officeDocument/2006/relationships/externalLinkPath" Target="/Users/tove/Downloads/Kopi_af_P&#198;D.TAP_TOMT_ARK.4.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Users/tove/Documents/Kurser/Skolea&#778;rets%20planl&#230;gning/2024-2025/Kalender2024-2025.2.xlsx" TargetMode="External"/><Relationship Id="rId1" Type="http://schemas.openxmlformats.org/officeDocument/2006/relationships/externalLinkPath" Target="/Users/tove/Documents/Kurser/Skolea&#778;rets%20planl&#230;gning/2024-2025/Kalender2024-202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jledning2015"/>
      <sheetName val="Maaned"/>
      <sheetName val="Aar"/>
      <sheetName val="1.halvaar"/>
      <sheetName val="2.halvaar"/>
      <sheetName val="Aar (tom)"/>
      <sheetName val="1.halvaar (tom)"/>
      <sheetName val="2.halvaar (tom)"/>
      <sheetName val="Minikalender"/>
    </sheetNames>
    <sheetDataSet>
      <sheetData sheetId="0"/>
      <sheetData sheetId="1">
        <row r="3">
          <cell r="A3">
            <v>2015</v>
          </cell>
        </row>
        <row r="5">
          <cell r="C5" t="str">
            <v>lø</v>
          </cell>
          <cell r="H5" t="str">
            <v>ti</v>
          </cell>
          <cell r="M5" t="str">
            <v>to</v>
          </cell>
          <cell r="R5" t="str">
            <v>sø</v>
          </cell>
          <cell r="W5" t="str">
            <v>ti</v>
          </cell>
          <cell r="AB5" t="str">
            <v>fr</v>
          </cell>
          <cell r="AG5" t="str">
            <v>ma</v>
          </cell>
          <cell r="AL5" t="str">
            <v>ti</v>
          </cell>
          <cell r="AQ5" t="str">
            <v>fr</v>
          </cell>
          <cell r="AR5" t="str">
            <v>skoledag</v>
          </cell>
          <cell r="AV5" t="str">
            <v>sø</v>
          </cell>
          <cell r="BA5" t="str">
            <v>on</v>
          </cell>
          <cell r="BF5" t="str">
            <v>fr</v>
          </cell>
        </row>
        <row r="6">
          <cell r="C6" t="str">
            <v>sø</v>
          </cell>
          <cell r="H6" t="str">
            <v>on</v>
          </cell>
          <cell r="M6" t="str">
            <v>fr</v>
          </cell>
          <cell r="R6" t="str">
            <v>ma</v>
          </cell>
          <cell r="W6" t="str">
            <v>on</v>
          </cell>
          <cell r="AB6" t="str">
            <v>lø</v>
          </cell>
          <cell r="AG6" t="str">
            <v>ti</v>
          </cell>
          <cell r="AL6" t="str">
            <v>on</v>
          </cell>
          <cell r="AQ6" t="str">
            <v>lø</v>
          </cell>
          <cell r="AR6" t="str">
            <v>fridag</v>
          </cell>
          <cell r="AV6" t="str">
            <v>ma</v>
          </cell>
          <cell r="BA6" t="str">
            <v>to</v>
          </cell>
          <cell r="BF6" t="str">
            <v>lø</v>
          </cell>
        </row>
        <row r="7">
          <cell r="C7" t="str">
            <v>ma</v>
          </cell>
          <cell r="H7" t="str">
            <v>to</v>
          </cell>
          <cell r="M7" t="str">
            <v>lø</v>
          </cell>
          <cell r="R7" t="str">
            <v>ti</v>
          </cell>
          <cell r="W7" t="str">
            <v>to</v>
          </cell>
          <cell r="AB7" t="str">
            <v>sø</v>
          </cell>
          <cell r="AG7" t="str">
            <v>on</v>
          </cell>
          <cell r="AL7" t="str">
            <v>to</v>
          </cell>
          <cell r="AQ7" t="str">
            <v>sø</v>
          </cell>
          <cell r="AR7" t="str">
            <v>fridag</v>
          </cell>
          <cell r="AV7" t="str">
            <v>ti</v>
          </cell>
          <cell r="BA7" t="str">
            <v>fr</v>
          </cell>
          <cell r="BF7" t="str">
            <v>sø</v>
          </cell>
        </row>
        <row r="8">
          <cell r="C8" t="str">
            <v>ti</v>
          </cell>
          <cell r="H8" t="str">
            <v>fr</v>
          </cell>
          <cell r="M8" t="str">
            <v>sø</v>
          </cell>
          <cell r="R8" t="str">
            <v>on</v>
          </cell>
          <cell r="W8" t="str">
            <v>fr</v>
          </cell>
          <cell r="AB8" t="str">
            <v>ma</v>
          </cell>
          <cell r="AG8" t="str">
            <v>to</v>
          </cell>
          <cell r="AL8" t="str">
            <v>fr</v>
          </cell>
          <cell r="AQ8" t="str">
            <v>ma</v>
          </cell>
          <cell r="AR8" t="str">
            <v>skoledag</v>
          </cell>
          <cell r="AV8" t="str">
            <v>on</v>
          </cell>
          <cell r="BA8" t="str">
            <v>lø</v>
          </cell>
          <cell r="BF8" t="str">
            <v>ma</v>
          </cell>
        </row>
        <row r="9">
          <cell r="C9" t="str">
            <v>on</v>
          </cell>
          <cell r="H9" t="str">
            <v>lø</v>
          </cell>
          <cell r="M9" t="str">
            <v>ma</v>
          </cell>
          <cell r="R9" t="str">
            <v>to</v>
          </cell>
          <cell r="W9" t="str">
            <v>lø</v>
          </cell>
          <cell r="AB9" t="str">
            <v>ti</v>
          </cell>
          <cell r="AG9" t="str">
            <v>fr</v>
          </cell>
          <cell r="AL9" t="str">
            <v>lø</v>
          </cell>
          <cell r="AQ9" t="str">
            <v>ti</v>
          </cell>
          <cell r="AR9" t="str">
            <v>skoledag</v>
          </cell>
          <cell r="AV9" t="str">
            <v>to</v>
          </cell>
          <cell r="BA9" t="str">
            <v>sø</v>
          </cell>
          <cell r="BF9" t="str">
            <v>ti</v>
          </cell>
        </row>
        <row r="10">
          <cell r="C10" t="str">
            <v>to</v>
          </cell>
          <cell r="H10" t="str">
            <v>sø</v>
          </cell>
          <cell r="M10" t="str">
            <v>ti</v>
          </cell>
          <cell r="R10" t="str">
            <v>fr</v>
          </cell>
          <cell r="W10" t="str">
            <v>sø</v>
          </cell>
          <cell r="AB10" t="str">
            <v>on</v>
          </cell>
          <cell r="AG10" t="str">
            <v>lø</v>
          </cell>
          <cell r="AL10" t="str">
            <v>sø</v>
          </cell>
          <cell r="AQ10" t="str">
            <v>on</v>
          </cell>
          <cell r="AR10" t="str">
            <v>skoledag</v>
          </cell>
          <cell r="AV10" t="str">
            <v>fr</v>
          </cell>
          <cell r="BA10" t="str">
            <v>ma</v>
          </cell>
          <cell r="BF10" t="str">
            <v>on</v>
          </cell>
        </row>
        <row r="11">
          <cell r="C11" t="str">
            <v>fr</v>
          </cell>
          <cell r="H11" t="str">
            <v>ma</v>
          </cell>
          <cell r="M11" t="str">
            <v>on</v>
          </cell>
          <cell r="R11" t="str">
            <v>lø</v>
          </cell>
          <cell r="W11" t="str">
            <v>ma</v>
          </cell>
          <cell r="AB11" t="str">
            <v>to</v>
          </cell>
          <cell r="AG11" t="str">
            <v>sø</v>
          </cell>
          <cell r="AL11" t="str">
            <v>ma</v>
          </cell>
          <cell r="AQ11" t="str">
            <v>to</v>
          </cell>
          <cell r="AR11" t="str">
            <v>skoledag</v>
          </cell>
          <cell r="AV11" t="str">
            <v>lø</v>
          </cell>
          <cell r="BA11" t="str">
            <v>ti</v>
          </cell>
          <cell r="BF11" t="str">
            <v>to</v>
          </cell>
        </row>
        <row r="12">
          <cell r="C12" t="str">
            <v>lø</v>
          </cell>
          <cell r="H12" t="str">
            <v>ti</v>
          </cell>
          <cell r="M12" t="str">
            <v>to</v>
          </cell>
          <cell r="R12" t="str">
            <v>sø</v>
          </cell>
          <cell r="W12" t="str">
            <v>ti</v>
          </cell>
          <cell r="AB12" t="str">
            <v>fr</v>
          </cell>
          <cell r="AG12" t="str">
            <v>ma</v>
          </cell>
          <cell r="AL12" t="str">
            <v>ti</v>
          </cell>
          <cell r="AQ12" t="str">
            <v>fr</v>
          </cell>
          <cell r="AR12" t="str">
            <v>skoledag</v>
          </cell>
          <cell r="AV12" t="str">
            <v>sø</v>
          </cell>
          <cell r="BA12" t="str">
            <v>on</v>
          </cell>
          <cell r="BF12" t="str">
            <v>fr</v>
          </cell>
        </row>
        <row r="13">
          <cell r="C13" t="str">
            <v>sø</v>
          </cell>
          <cell r="H13" t="str">
            <v>on</v>
          </cell>
          <cell r="M13" t="str">
            <v>fr</v>
          </cell>
          <cell r="R13" t="str">
            <v>ma</v>
          </cell>
          <cell r="W13" t="str">
            <v>on</v>
          </cell>
          <cell r="AB13" t="str">
            <v>lø</v>
          </cell>
          <cell r="AG13" t="str">
            <v>ti</v>
          </cell>
          <cell r="AL13" t="str">
            <v>on</v>
          </cell>
          <cell r="AQ13" t="str">
            <v>lø</v>
          </cell>
          <cell r="AR13" t="str">
            <v>fridag</v>
          </cell>
          <cell r="AV13" t="str">
            <v>ma</v>
          </cell>
          <cell r="BA13" t="str">
            <v>to</v>
          </cell>
          <cell r="BF13" t="str">
            <v>lø</v>
          </cell>
        </row>
        <row r="14">
          <cell r="C14" t="str">
            <v>ma</v>
          </cell>
          <cell r="H14" t="str">
            <v>to</v>
          </cell>
          <cell r="M14" t="str">
            <v>lø</v>
          </cell>
          <cell r="R14" t="str">
            <v>ti</v>
          </cell>
          <cell r="W14" t="str">
            <v>to</v>
          </cell>
          <cell r="AB14" t="str">
            <v>sø</v>
          </cell>
          <cell r="AG14" t="str">
            <v>on</v>
          </cell>
          <cell r="AL14" t="str">
            <v>to</v>
          </cell>
          <cell r="AQ14" t="str">
            <v>sø</v>
          </cell>
          <cell r="AR14" t="str">
            <v>fridag</v>
          </cell>
          <cell r="AV14" t="str">
            <v>ti</v>
          </cell>
          <cell r="BA14" t="str">
            <v>fr</v>
          </cell>
          <cell r="BF14" t="str">
            <v>sø</v>
          </cell>
        </row>
        <row r="15">
          <cell r="C15" t="str">
            <v>ti</v>
          </cell>
          <cell r="H15" t="str">
            <v>fr</v>
          </cell>
          <cell r="M15" t="str">
            <v>sø</v>
          </cell>
          <cell r="R15" t="str">
            <v>on</v>
          </cell>
          <cell r="W15" t="str">
            <v>fr</v>
          </cell>
          <cell r="AB15" t="str">
            <v>ma</v>
          </cell>
          <cell r="AG15" t="str">
            <v>to</v>
          </cell>
          <cell r="AL15" t="str">
            <v>fr</v>
          </cell>
          <cell r="AQ15" t="str">
            <v>ma</v>
          </cell>
          <cell r="AR15" t="str">
            <v>skoledag</v>
          </cell>
          <cell r="AV15" t="str">
            <v>on</v>
          </cell>
          <cell r="BA15" t="str">
            <v>lø</v>
          </cell>
          <cell r="BF15" t="str">
            <v>ma</v>
          </cell>
        </row>
        <row r="16">
          <cell r="C16" t="str">
            <v>on</v>
          </cell>
          <cell r="H16" t="str">
            <v>lø</v>
          </cell>
          <cell r="M16" t="str">
            <v>ma</v>
          </cell>
          <cell r="R16" t="str">
            <v>to</v>
          </cell>
          <cell r="W16" t="str">
            <v>lø</v>
          </cell>
          <cell r="AB16" t="str">
            <v>ti</v>
          </cell>
          <cell r="AG16" t="str">
            <v>fr</v>
          </cell>
          <cell r="AL16" t="str">
            <v>lø</v>
          </cell>
          <cell r="AQ16" t="str">
            <v>ti</v>
          </cell>
          <cell r="AR16" t="str">
            <v>skoledag</v>
          </cell>
          <cell r="AV16" t="str">
            <v>to</v>
          </cell>
          <cell r="BA16" t="str">
            <v>sø</v>
          </cell>
          <cell r="BF16" t="str">
            <v>ti</v>
          </cell>
        </row>
        <row r="17">
          <cell r="C17" t="str">
            <v>to</v>
          </cell>
          <cell r="H17" t="str">
            <v>sø</v>
          </cell>
          <cell r="M17" t="str">
            <v>ti</v>
          </cell>
          <cell r="R17" t="str">
            <v>fr</v>
          </cell>
          <cell r="W17" t="str">
            <v>sø</v>
          </cell>
          <cell r="AB17" t="str">
            <v>on</v>
          </cell>
          <cell r="AG17" t="str">
            <v>lø</v>
          </cell>
          <cell r="AL17" t="str">
            <v>sø</v>
          </cell>
          <cell r="AQ17" t="str">
            <v>on</v>
          </cell>
          <cell r="AR17" t="str">
            <v>skoledag</v>
          </cell>
          <cell r="AV17" t="str">
            <v>fr</v>
          </cell>
          <cell r="BA17" t="str">
            <v>ma</v>
          </cell>
          <cell r="BF17" t="str">
            <v>on</v>
          </cell>
        </row>
        <row r="18">
          <cell r="C18" t="str">
            <v>fr</v>
          </cell>
          <cell r="H18" t="str">
            <v>ma</v>
          </cell>
          <cell r="M18" t="str">
            <v>on</v>
          </cell>
          <cell r="R18" t="str">
            <v>lø</v>
          </cell>
          <cell r="W18" t="str">
            <v>ma</v>
          </cell>
          <cell r="AB18" t="str">
            <v>to</v>
          </cell>
          <cell r="AG18" t="str">
            <v>sø</v>
          </cell>
          <cell r="AL18" t="str">
            <v>ma</v>
          </cell>
          <cell r="AQ18" t="str">
            <v>to</v>
          </cell>
          <cell r="AR18" t="str">
            <v>skoledag</v>
          </cell>
          <cell r="AV18" t="str">
            <v>lø</v>
          </cell>
          <cell r="BA18" t="str">
            <v>ti</v>
          </cell>
          <cell r="BF18" t="str">
            <v>to</v>
          </cell>
        </row>
        <row r="19">
          <cell r="C19" t="str">
            <v>lø</v>
          </cell>
          <cell r="H19" t="str">
            <v>ti</v>
          </cell>
          <cell r="M19" t="str">
            <v>to</v>
          </cell>
          <cell r="R19" t="str">
            <v>sø</v>
          </cell>
          <cell r="W19" t="str">
            <v>ti</v>
          </cell>
          <cell r="AB19" t="str">
            <v>fr</v>
          </cell>
          <cell r="AG19" t="str">
            <v>ma</v>
          </cell>
          <cell r="AL19" t="str">
            <v>ti</v>
          </cell>
          <cell r="AQ19" t="str">
            <v>fr</v>
          </cell>
          <cell r="AR19" t="str">
            <v>skoledag</v>
          </cell>
          <cell r="AV19" t="str">
            <v>sø</v>
          </cell>
          <cell r="BA19" t="str">
            <v>on</v>
          </cell>
          <cell r="BF19" t="str">
            <v>fr</v>
          </cell>
        </row>
        <row r="20">
          <cell r="C20" t="str">
            <v>sø</v>
          </cell>
          <cell r="H20" t="str">
            <v>on</v>
          </cell>
          <cell r="M20" t="str">
            <v>fr</v>
          </cell>
          <cell r="R20" t="str">
            <v>ma</v>
          </cell>
          <cell r="W20" t="str">
            <v>on</v>
          </cell>
          <cell r="AB20" t="str">
            <v>lø</v>
          </cell>
          <cell r="AG20" t="str">
            <v>ti</v>
          </cell>
          <cell r="AL20" t="str">
            <v>on</v>
          </cell>
          <cell r="AQ20" t="str">
            <v>lø</v>
          </cell>
          <cell r="AR20" t="str">
            <v>fridag</v>
          </cell>
          <cell r="AV20" t="str">
            <v>ma</v>
          </cell>
          <cell r="BA20" t="str">
            <v>to</v>
          </cell>
          <cell r="BF20" t="str">
            <v>lø</v>
          </cell>
        </row>
        <row r="21">
          <cell r="C21" t="str">
            <v>ma</v>
          </cell>
          <cell r="H21" t="str">
            <v>to</v>
          </cell>
          <cell r="M21" t="str">
            <v>lø</v>
          </cell>
          <cell r="R21" t="str">
            <v>ti</v>
          </cell>
          <cell r="W21" t="str">
            <v>to</v>
          </cell>
          <cell r="AB21" t="str">
            <v>sø</v>
          </cell>
          <cell r="AG21" t="str">
            <v>on</v>
          </cell>
          <cell r="AL21" t="str">
            <v>to</v>
          </cell>
          <cell r="AQ21" t="str">
            <v>sø</v>
          </cell>
          <cell r="AR21" t="str">
            <v>fridag</v>
          </cell>
          <cell r="AV21" t="str">
            <v>ti</v>
          </cell>
          <cell r="BA21" t="str">
            <v>fr</v>
          </cell>
          <cell r="BF21" t="str">
            <v>sø</v>
          </cell>
        </row>
        <row r="22">
          <cell r="C22" t="str">
            <v>ti</v>
          </cell>
          <cell r="H22" t="str">
            <v>fr</v>
          </cell>
          <cell r="M22" t="str">
            <v>sø</v>
          </cell>
          <cell r="R22" t="str">
            <v>on</v>
          </cell>
          <cell r="W22" t="str">
            <v>fr</v>
          </cell>
          <cell r="AB22" t="str">
            <v>ma</v>
          </cell>
          <cell r="AG22" t="str">
            <v>to</v>
          </cell>
          <cell r="AL22" t="str">
            <v>fr</v>
          </cell>
          <cell r="AQ22" t="str">
            <v>ma</v>
          </cell>
          <cell r="AR22" t="str">
            <v>skoledag</v>
          </cell>
          <cell r="AV22" t="str">
            <v>on</v>
          </cell>
          <cell r="BA22" t="str">
            <v>lø</v>
          </cell>
          <cell r="BF22" t="str">
            <v>ma</v>
          </cell>
        </row>
        <row r="23">
          <cell r="C23" t="str">
            <v>on</v>
          </cell>
          <cell r="H23" t="str">
            <v>lø</v>
          </cell>
          <cell r="M23" t="str">
            <v>ma</v>
          </cell>
          <cell r="R23" t="str">
            <v>to</v>
          </cell>
          <cell r="W23" t="str">
            <v>lø</v>
          </cell>
          <cell r="AB23" t="str">
            <v>ti</v>
          </cell>
          <cell r="AG23" t="str">
            <v>fr</v>
          </cell>
          <cell r="AL23" t="str">
            <v>lø</v>
          </cell>
          <cell r="AQ23" t="str">
            <v>ti</v>
          </cell>
          <cell r="AR23" t="str">
            <v>skoledag</v>
          </cell>
          <cell r="AV23" t="str">
            <v>to</v>
          </cell>
          <cell r="BA23" t="str">
            <v>sø</v>
          </cell>
          <cell r="BF23" t="str">
            <v>ti</v>
          </cell>
        </row>
        <row r="24">
          <cell r="C24" t="str">
            <v>to</v>
          </cell>
          <cell r="H24" t="str">
            <v>sø</v>
          </cell>
          <cell r="M24" t="str">
            <v>ti</v>
          </cell>
          <cell r="R24" t="str">
            <v>fr</v>
          </cell>
          <cell r="W24" t="str">
            <v>sø</v>
          </cell>
          <cell r="AB24" t="str">
            <v>on</v>
          </cell>
          <cell r="AG24" t="str">
            <v>lø</v>
          </cell>
          <cell r="AL24" t="str">
            <v>sø</v>
          </cell>
          <cell r="AQ24" t="str">
            <v>on</v>
          </cell>
          <cell r="AR24" t="str">
            <v>skoledag</v>
          </cell>
          <cell r="AV24" t="str">
            <v>fr</v>
          </cell>
          <cell r="BA24" t="str">
            <v>ma</v>
          </cell>
          <cell r="BF24" t="str">
            <v>on</v>
          </cell>
        </row>
        <row r="25">
          <cell r="C25" t="str">
            <v>fr</v>
          </cell>
          <cell r="H25" t="str">
            <v>ma</v>
          </cell>
          <cell r="M25" t="str">
            <v>on</v>
          </cell>
          <cell r="R25" t="str">
            <v>lø</v>
          </cell>
          <cell r="W25" t="str">
            <v>ma</v>
          </cell>
          <cell r="AB25" t="str">
            <v>to</v>
          </cell>
          <cell r="AG25" t="str">
            <v>sø</v>
          </cell>
          <cell r="AL25" t="str">
            <v>ma</v>
          </cell>
          <cell r="AQ25" t="str">
            <v>to</v>
          </cell>
          <cell r="AR25" t="str">
            <v>skoledag</v>
          </cell>
          <cell r="AV25" t="str">
            <v>lø</v>
          </cell>
          <cell r="BA25" t="str">
            <v>ti</v>
          </cell>
          <cell r="BF25" t="str">
            <v>to</v>
          </cell>
        </row>
        <row r="26">
          <cell r="C26" t="str">
            <v>lø</v>
          </cell>
          <cell r="H26" t="str">
            <v>ti</v>
          </cell>
          <cell r="M26" t="str">
            <v>to</v>
          </cell>
          <cell r="R26" t="str">
            <v>sø</v>
          </cell>
          <cell r="W26" t="str">
            <v>ti</v>
          </cell>
          <cell r="AB26" t="str">
            <v>fr</v>
          </cell>
          <cell r="AG26" t="str">
            <v>ma</v>
          </cell>
          <cell r="AL26" t="str">
            <v>ti</v>
          </cell>
          <cell r="AQ26" t="str">
            <v>fr</v>
          </cell>
          <cell r="AR26" t="str">
            <v>fridag</v>
          </cell>
          <cell r="AV26" t="str">
            <v>sø</v>
          </cell>
          <cell r="BA26" t="str">
            <v>on</v>
          </cell>
          <cell r="BF26" t="str">
            <v>fr</v>
          </cell>
        </row>
        <row r="27">
          <cell r="C27" t="str">
            <v>sø</v>
          </cell>
          <cell r="H27" t="str">
            <v>on</v>
          </cell>
          <cell r="M27" t="str">
            <v>fr</v>
          </cell>
          <cell r="R27" t="str">
            <v>ma</v>
          </cell>
          <cell r="W27" t="str">
            <v>on</v>
          </cell>
          <cell r="AB27" t="str">
            <v>lø</v>
          </cell>
          <cell r="AG27" t="str">
            <v>ti</v>
          </cell>
          <cell r="AL27" t="str">
            <v>on</v>
          </cell>
          <cell r="AQ27" t="str">
            <v>lø</v>
          </cell>
          <cell r="AR27" t="str">
            <v>fridag</v>
          </cell>
          <cell r="AV27" t="str">
            <v>ma</v>
          </cell>
          <cell r="BA27" t="str">
            <v>to</v>
          </cell>
          <cell r="BF27" t="str">
            <v>lø</v>
          </cell>
        </row>
        <row r="28">
          <cell r="C28" t="str">
            <v>ma</v>
          </cell>
          <cell r="H28" t="str">
            <v>to</v>
          </cell>
          <cell r="M28" t="str">
            <v>lø</v>
          </cell>
          <cell r="R28" t="str">
            <v>ti</v>
          </cell>
          <cell r="W28" t="str">
            <v>to</v>
          </cell>
          <cell r="AB28" t="str">
            <v>sø</v>
          </cell>
          <cell r="AG28" t="str">
            <v>on</v>
          </cell>
          <cell r="AL28" t="str">
            <v>to</v>
          </cell>
          <cell r="AQ28" t="str">
            <v>sø</v>
          </cell>
          <cell r="AR28" t="str">
            <v>fridag</v>
          </cell>
          <cell r="AV28" t="str">
            <v>ti</v>
          </cell>
          <cell r="BA28" t="str">
            <v>fr</v>
          </cell>
          <cell r="BF28" t="str">
            <v>sø</v>
          </cell>
        </row>
        <row r="29">
          <cell r="C29" t="str">
            <v>ti</v>
          </cell>
          <cell r="H29" t="str">
            <v>fr</v>
          </cell>
          <cell r="M29" t="str">
            <v>sø</v>
          </cell>
          <cell r="R29" t="str">
            <v>on</v>
          </cell>
          <cell r="W29" t="str">
            <v>fr</v>
          </cell>
          <cell r="AB29" t="str">
            <v>ma</v>
          </cell>
          <cell r="AG29" t="str">
            <v>to</v>
          </cell>
          <cell r="AL29" t="str">
            <v>fr</v>
          </cell>
          <cell r="AQ29" t="str">
            <v>ma</v>
          </cell>
          <cell r="AR29" t="str">
            <v>skoledag</v>
          </cell>
          <cell r="AV29" t="str">
            <v>on</v>
          </cell>
          <cell r="BA29" t="str">
            <v>lø</v>
          </cell>
          <cell r="BF29" t="str">
            <v>ma</v>
          </cell>
        </row>
        <row r="30">
          <cell r="C30" t="str">
            <v>on</v>
          </cell>
          <cell r="H30" t="str">
            <v>lø</v>
          </cell>
          <cell r="M30" t="str">
            <v>ma</v>
          </cell>
          <cell r="R30" t="str">
            <v>to</v>
          </cell>
          <cell r="W30" t="str">
            <v>lø</v>
          </cell>
          <cell r="AB30" t="str">
            <v>ti</v>
          </cell>
          <cell r="AG30" t="str">
            <v>fr</v>
          </cell>
          <cell r="AL30" t="str">
            <v>lø</v>
          </cell>
          <cell r="AQ30" t="str">
            <v>ti</v>
          </cell>
          <cell r="AR30" t="str">
            <v>skoledag</v>
          </cell>
          <cell r="AV30" t="str">
            <v>to</v>
          </cell>
          <cell r="BA30" t="str">
            <v>sø</v>
          </cell>
          <cell r="BF30" t="str">
            <v>ti</v>
          </cell>
        </row>
        <row r="31">
          <cell r="C31" t="str">
            <v>to</v>
          </cell>
          <cell r="H31" t="str">
            <v>sø</v>
          </cell>
          <cell r="M31" t="str">
            <v>ti</v>
          </cell>
          <cell r="R31" t="str">
            <v>fr</v>
          </cell>
          <cell r="W31" t="str">
            <v>sø</v>
          </cell>
          <cell r="AB31" t="str">
            <v>on</v>
          </cell>
          <cell r="AG31" t="str">
            <v>lø</v>
          </cell>
          <cell r="AL31" t="str">
            <v>sø</v>
          </cell>
          <cell r="AQ31" t="str">
            <v>on</v>
          </cell>
          <cell r="AR31" t="str">
            <v>skoledag</v>
          </cell>
          <cell r="AV31" t="str">
            <v>fr</v>
          </cell>
          <cell r="BA31" t="str">
            <v>ma</v>
          </cell>
          <cell r="BF31" t="str">
            <v>on</v>
          </cell>
        </row>
        <row r="32">
          <cell r="C32" t="str">
            <v>fr</v>
          </cell>
          <cell r="H32" t="str">
            <v>ma</v>
          </cell>
          <cell r="M32" t="str">
            <v>on</v>
          </cell>
          <cell r="R32" t="str">
            <v>lø</v>
          </cell>
          <cell r="W32" t="str">
            <v>ma</v>
          </cell>
          <cell r="AB32" t="str">
            <v>to</v>
          </cell>
          <cell r="AG32" t="str">
            <v>sø</v>
          </cell>
          <cell r="AL32" t="str">
            <v>ma</v>
          </cell>
          <cell r="AQ32" t="str">
            <v>to</v>
          </cell>
          <cell r="AR32" t="str">
            <v>skoledag</v>
          </cell>
          <cell r="AV32" t="str">
            <v>lø</v>
          </cell>
          <cell r="BA32" t="str">
            <v>ti</v>
          </cell>
          <cell r="BF32" t="str">
            <v>to</v>
          </cell>
        </row>
        <row r="33">
          <cell r="C33" t="str">
            <v>lø</v>
          </cell>
          <cell r="H33" t="str">
            <v>ti</v>
          </cell>
          <cell r="M33" t="str">
            <v>to</v>
          </cell>
          <cell r="R33" t="str">
            <v>sø</v>
          </cell>
          <cell r="W33" t="str">
            <v>ti</v>
          </cell>
          <cell r="AB33" t="str">
            <v>fr</v>
          </cell>
          <cell r="AG33" t="str">
            <v>ma</v>
          </cell>
          <cell r="AL33" t="str">
            <v>ti</v>
          </cell>
          <cell r="AQ33" t="str">
            <v>fr</v>
          </cell>
          <cell r="AR33" t="str">
            <v>skoledag</v>
          </cell>
          <cell r="AV33" t="str">
            <v>sø</v>
          </cell>
          <cell r="BA33" t="str">
            <v>on</v>
          </cell>
          <cell r="BF33" t="str">
            <v>fr</v>
          </cell>
        </row>
        <row r="34">
          <cell r="C34" t="str">
            <v>sø</v>
          </cell>
          <cell r="H34" t="str">
            <v>on</v>
          </cell>
          <cell r="M34" t="str">
            <v>fr</v>
          </cell>
          <cell r="R34" t="str">
            <v>ma</v>
          </cell>
          <cell r="W34" t="str">
            <v>on</v>
          </cell>
          <cell r="AB34" t="str">
            <v>lø</v>
          </cell>
          <cell r="AL34" t="str">
            <v>on</v>
          </cell>
          <cell r="AQ34" t="str">
            <v>lø</v>
          </cell>
          <cell r="AR34" t="str">
            <v>fridag</v>
          </cell>
          <cell r="AV34" t="str">
            <v>ma</v>
          </cell>
          <cell r="BA34" t="str">
            <v>to</v>
          </cell>
          <cell r="BF34" t="str">
            <v>lø</v>
          </cell>
        </row>
        <row r="35">
          <cell r="C35" t="str">
            <v>ma</v>
          </cell>
          <cell r="M35" t="str">
            <v>sø</v>
          </cell>
          <cell r="W35" t="str">
            <v>to</v>
          </cell>
          <cell r="AB35" t="str">
            <v>sø</v>
          </cell>
          <cell r="AL35" t="str">
            <v>to</v>
          </cell>
          <cell r="AV35" t="str">
            <v>ti</v>
          </cell>
          <cell r="BF35" t="str">
            <v>sø</v>
          </cell>
        </row>
      </sheetData>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jledning"/>
      <sheetName val="Vejledning PDF"/>
      <sheetName val="Stamoplysninger"/>
      <sheetName val="Normal uger"/>
      <sheetName val="Rul"/>
      <sheetName val="August"/>
      <sheetName val="September"/>
      <sheetName val="Oktober"/>
      <sheetName val="November"/>
      <sheetName val="December"/>
      <sheetName val="Januar"/>
      <sheetName val="Februar"/>
      <sheetName val="Marts"/>
      <sheetName val="April"/>
      <sheetName val="Maj"/>
      <sheetName val="Juni"/>
      <sheetName val="Juli"/>
      <sheetName val="Arbejdstidsoversigt"/>
      <sheetName val="Opgørelse"/>
      <sheetName val="Aar"/>
      <sheetName val="Vejledning til arb.tidsoversigt"/>
      <sheetName val="Opgaveoversigt"/>
      <sheetName val="Aften-weekendtillæg"/>
      <sheetName val="1.halvaar"/>
      <sheetName val="2.halvaar"/>
      <sheetName val="Normal uge 1 til print"/>
      <sheetName val="Normal uge 2 til print"/>
      <sheetName val="Normal uger 3 til print"/>
      <sheetName val="Normal uger 4 til print"/>
      <sheetName val="Rul til print"/>
      <sheetName val="TOMT ÅR"/>
      <sheetName val="TOMT 1. HALVÅR"/>
      <sheetName val="TOMT 2. HALVÅR"/>
    </sheetNames>
    <sheetDataSet>
      <sheetData sheetId="0"/>
      <sheetData sheetId="1"/>
      <sheetData sheetId="2"/>
      <sheetData sheetId="3"/>
      <sheetData sheetId="4"/>
      <sheetData sheetId="5">
        <row r="15">
          <cell r="C15" t="str">
            <v>Normal uge 1</v>
          </cell>
        </row>
      </sheetData>
      <sheetData sheetId="6">
        <row r="10">
          <cell r="C10" t="str">
            <v>Normal uge 1</v>
          </cell>
        </row>
        <row r="11">
          <cell r="C11" t="str">
            <v>Weekend</v>
          </cell>
        </row>
        <row r="12">
          <cell r="C12" t="str">
            <v>Weekend</v>
          </cell>
        </row>
        <row r="13">
          <cell r="C13" t="str">
            <v>Normal uge 1</v>
          </cell>
        </row>
        <row r="14">
          <cell r="C14" t="str">
            <v>Normal uge 1</v>
          </cell>
        </row>
        <row r="15">
          <cell r="C15" t="str">
            <v>Normal uge 1</v>
          </cell>
        </row>
        <row r="16">
          <cell r="C16" t="str">
            <v>Normal uge 1</v>
          </cell>
        </row>
        <row r="17">
          <cell r="C17" t="str">
            <v>Normal uge 1</v>
          </cell>
        </row>
        <row r="18">
          <cell r="C18" t="str">
            <v>Weekend</v>
          </cell>
        </row>
        <row r="19">
          <cell r="C19" t="str">
            <v>Weekend</v>
          </cell>
        </row>
        <row r="20">
          <cell r="C20" t="str">
            <v>Normal uge 1</v>
          </cell>
        </row>
        <row r="21">
          <cell r="C21" t="str">
            <v>Normal uge 1</v>
          </cell>
        </row>
        <row r="22">
          <cell r="C22" t="str">
            <v>Normal uge 1</v>
          </cell>
        </row>
        <row r="23">
          <cell r="C23" t="str">
            <v>Normal uge 1</v>
          </cell>
        </row>
        <row r="24">
          <cell r="C24" t="str">
            <v>Normal uge 1</v>
          </cell>
        </row>
        <row r="25">
          <cell r="C25" t="str">
            <v>Weekend</v>
          </cell>
        </row>
        <row r="26">
          <cell r="C26" t="str">
            <v>Weekend</v>
          </cell>
        </row>
        <row r="27">
          <cell r="C27" t="str">
            <v>Normal uge 1</v>
          </cell>
        </row>
        <row r="28">
          <cell r="C28" t="str">
            <v>Normal uge 1</v>
          </cell>
        </row>
        <row r="29">
          <cell r="C29" t="str">
            <v>Normal uge 1</v>
          </cell>
        </row>
        <row r="30">
          <cell r="C30" t="str">
            <v>Normal uge 1</v>
          </cell>
        </row>
        <row r="31">
          <cell r="C31" t="str">
            <v>Normal uge 1</v>
          </cell>
        </row>
        <row r="32">
          <cell r="C32" t="str">
            <v>Weekend</v>
          </cell>
        </row>
        <row r="33">
          <cell r="C33" t="str">
            <v>Weekend</v>
          </cell>
        </row>
        <row r="34">
          <cell r="C34" t="str">
            <v>Normal uge 1</v>
          </cell>
        </row>
        <row r="35">
          <cell r="C35" t="str">
            <v>Normal uge 1</v>
          </cell>
        </row>
        <row r="36">
          <cell r="C36" t="str">
            <v>Normal uge 1</v>
          </cell>
        </row>
        <row r="37">
          <cell r="C37" t="str">
            <v>Normal uge 1</v>
          </cell>
        </row>
        <row r="38">
          <cell r="C38" t="str">
            <v>Normal uge 1</v>
          </cell>
        </row>
        <row r="39">
          <cell r="C39" t="str">
            <v>Weekend</v>
          </cell>
        </row>
      </sheetData>
      <sheetData sheetId="7">
        <row r="10">
          <cell r="C10" t="str">
            <v>Weekend</v>
          </cell>
        </row>
        <row r="11">
          <cell r="C11" t="str">
            <v>Normal uge 1</v>
          </cell>
        </row>
        <row r="12">
          <cell r="C12" t="str">
            <v>Normal uge 1</v>
          </cell>
        </row>
        <row r="13">
          <cell r="C13" t="str">
            <v>Normal uge 1</v>
          </cell>
        </row>
        <row r="14">
          <cell r="C14" t="str">
            <v>Normal uge 1</v>
          </cell>
        </row>
        <row r="15">
          <cell r="C15" t="str">
            <v>Normal uge 1</v>
          </cell>
        </row>
        <row r="16">
          <cell r="C16" t="str">
            <v>Weekend</v>
          </cell>
        </row>
        <row r="17">
          <cell r="C17" t="str">
            <v>Weekend</v>
          </cell>
        </row>
        <row r="18">
          <cell r="C18" t="str">
            <v>Normal uge 1</v>
          </cell>
        </row>
        <row r="19">
          <cell r="C19" t="str">
            <v>Normal uge 1</v>
          </cell>
        </row>
        <row r="20">
          <cell r="C20" t="str">
            <v>Normal uge 1</v>
          </cell>
        </row>
        <row r="21">
          <cell r="C21" t="str">
            <v>Normal uge 1</v>
          </cell>
        </row>
        <row r="22">
          <cell r="C22" t="str">
            <v>Normal uge 1</v>
          </cell>
        </row>
        <row r="23">
          <cell r="C23" t="str">
            <v>Weekend</v>
          </cell>
        </row>
        <row r="24">
          <cell r="C24" t="str">
            <v>Weekend</v>
          </cell>
        </row>
        <row r="25">
          <cell r="C25" t="str">
            <v>Normal uge 1</v>
          </cell>
        </row>
        <row r="26">
          <cell r="C26" t="str">
            <v>Normal uge 1</v>
          </cell>
        </row>
        <row r="27">
          <cell r="C27" t="str">
            <v>Normal uge 1</v>
          </cell>
        </row>
        <row r="28">
          <cell r="C28" t="str">
            <v>Normal uge 1</v>
          </cell>
        </row>
        <row r="29">
          <cell r="C29" t="str">
            <v>Normal uge 1</v>
          </cell>
        </row>
        <row r="30">
          <cell r="C30" t="str">
            <v>Weekend</v>
          </cell>
        </row>
        <row r="31">
          <cell r="C31" t="str">
            <v>Weekend</v>
          </cell>
        </row>
        <row r="32">
          <cell r="C32" t="str">
            <v>Normal uge 1</v>
          </cell>
        </row>
        <row r="33">
          <cell r="C33" t="str">
            <v>Normal uge 1</v>
          </cell>
        </row>
        <row r="34">
          <cell r="C34" t="str">
            <v>Normal uge 1</v>
          </cell>
        </row>
        <row r="35">
          <cell r="C35" t="str">
            <v>Normal uge 1</v>
          </cell>
        </row>
        <row r="36">
          <cell r="C36" t="str">
            <v>Normal uge 1</v>
          </cell>
        </row>
        <row r="37">
          <cell r="C37" t="str">
            <v>Weekend</v>
          </cell>
        </row>
        <row r="38">
          <cell r="C38" t="str">
            <v>Weekend</v>
          </cell>
        </row>
        <row r="39">
          <cell r="C39" t="str">
            <v>Normal uge 1</v>
          </cell>
        </row>
        <row r="40">
          <cell r="C40" t="str">
            <v>Normal uge 1</v>
          </cell>
        </row>
      </sheetData>
      <sheetData sheetId="8">
        <row r="10">
          <cell r="C10" t="str">
            <v>Normal uge 1</v>
          </cell>
        </row>
        <row r="11">
          <cell r="C11" t="str">
            <v>Normal uge 1</v>
          </cell>
        </row>
        <row r="12">
          <cell r="C12" t="str">
            <v>Normal uge 1</v>
          </cell>
        </row>
        <row r="13">
          <cell r="C13" t="str">
            <v>Weekend</v>
          </cell>
        </row>
        <row r="14">
          <cell r="C14" t="str">
            <v>Weekend</v>
          </cell>
        </row>
        <row r="15">
          <cell r="C15" t="str">
            <v>Normal uge 1</v>
          </cell>
        </row>
        <row r="16">
          <cell r="C16" t="str">
            <v>Normal uge 1</v>
          </cell>
        </row>
        <row r="17">
          <cell r="C17" t="str">
            <v>Normal uge 1</v>
          </cell>
        </row>
        <row r="18">
          <cell r="C18" t="str">
            <v>Normal uge 1</v>
          </cell>
        </row>
        <row r="19">
          <cell r="C19" t="str">
            <v>Normal uge 1</v>
          </cell>
        </row>
        <row r="20">
          <cell r="C20" t="str">
            <v>Weekend</v>
          </cell>
        </row>
        <row r="21">
          <cell r="C21" t="str">
            <v>Weekend</v>
          </cell>
        </row>
        <row r="22">
          <cell r="C22" t="str">
            <v>Normal uge 1</v>
          </cell>
        </row>
        <row r="23">
          <cell r="C23" t="str">
            <v>Normal uge 1</v>
          </cell>
        </row>
        <row r="24">
          <cell r="C24" t="str">
            <v>Normal uge 1</v>
          </cell>
        </row>
        <row r="25">
          <cell r="C25" t="str">
            <v>Normal uge 1</v>
          </cell>
        </row>
        <row r="26">
          <cell r="C26" t="str">
            <v>Normal uge 1</v>
          </cell>
        </row>
        <row r="27">
          <cell r="C27" t="str">
            <v>Weekend</v>
          </cell>
        </row>
        <row r="28">
          <cell r="C28" t="str">
            <v>Weekend</v>
          </cell>
        </row>
        <row r="29">
          <cell r="C29" t="str">
            <v>Normal uge 1</v>
          </cell>
        </row>
        <row r="30">
          <cell r="C30" t="str">
            <v>Normal uge 1</v>
          </cell>
        </row>
        <row r="31">
          <cell r="C31" t="str">
            <v>Normal uge 1</v>
          </cell>
        </row>
        <row r="32">
          <cell r="C32" t="str">
            <v>Normal uge 1</v>
          </cell>
        </row>
        <row r="33">
          <cell r="C33" t="str">
            <v>Normal uge 1</v>
          </cell>
        </row>
        <row r="34">
          <cell r="C34" t="str">
            <v>Weekend</v>
          </cell>
        </row>
        <row r="35">
          <cell r="C35" t="str">
            <v>Weekend</v>
          </cell>
        </row>
        <row r="36">
          <cell r="C36" t="str">
            <v>Normal uge 1</v>
          </cell>
        </row>
        <row r="37">
          <cell r="C37" t="str">
            <v>Normal uge 1</v>
          </cell>
        </row>
        <row r="38">
          <cell r="C38" t="str">
            <v>Normal uge 1</v>
          </cell>
        </row>
        <row r="39">
          <cell r="C39" t="str">
            <v>Normal uge 1</v>
          </cell>
        </row>
      </sheetData>
      <sheetData sheetId="9">
        <row r="10">
          <cell r="C10" t="str">
            <v>Normal uge 1</v>
          </cell>
        </row>
        <row r="11">
          <cell r="C11" t="str">
            <v>Weekend</v>
          </cell>
        </row>
        <row r="12">
          <cell r="C12" t="str">
            <v>Weekend</v>
          </cell>
        </row>
        <row r="13">
          <cell r="C13" t="str">
            <v>Normal uge 1</v>
          </cell>
        </row>
        <row r="14">
          <cell r="C14" t="str">
            <v>Normal uge 1</v>
          </cell>
        </row>
        <row r="15">
          <cell r="C15" t="str">
            <v>Normal uge 1</v>
          </cell>
        </row>
        <row r="16">
          <cell r="C16" t="str">
            <v>Normal uge 1</v>
          </cell>
        </row>
        <row r="17">
          <cell r="C17" t="str">
            <v>Normal uge 1</v>
          </cell>
        </row>
        <row r="18">
          <cell r="C18" t="str">
            <v>Weekend</v>
          </cell>
        </row>
        <row r="19">
          <cell r="C19" t="str">
            <v>Weekend</v>
          </cell>
        </row>
        <row r="20">
          <cell r="C20" t="str">
            <v>Normal uge 1</v>
          </cell>
        </row>
        <row r="21">
          <cell r="C21" t="str">
            <v>Normal uge 1</v>
          </cell>
        </row>
        <row r="22">
          <cell r="C22" t="str">
            <v>Normal uge 1</v>
          </cell>
        </row>
        <row r="23">
          <cell r="C23" t="str">
            <v>Normal uge 1</v>
          </cell>
        </row>
        <row r="24">
          <cell r="C24" t="str">
            <v>Normal uge 1</v>
          </cell>
        </row>
        <row r="25">
          <cell r="C25" t="str">
            <v>Weekend</v>
          </cell>
        </row>
        <row r="26">
          <cell r="C26" t="str">
            <v>Weekend</v>
          </cell>
        </row>
        <row r="27">
          <cell r="C27" t="str">
            <v>Normal uge 1</v>
          </cell>
        </row>
        <row r="28">
          <cell r="C28" t="str">
            <v>Normal uge 1</v>
          </cell>
        </row>
        <row r="29">
          <cell r="C29" t="str">
            <v>Normal uge 1</v>
          </cell>
        </row>
        <row r="30">
          <cell r="C30" t="str">
            <v>Normal uge 1</v>
          </cell>
        </row>
        <row r="31">
          <cell r="C31" t="str">
            <v>Normal uge 1</v>
          </cell>
        </row>
        <row r="32">
          <cell r="C32" t="str">
            <v>Weekend</v>
          </cell>
        </row>
        <row r="33">
          <cell r="C33" t="str">
            <v>Weekend</v>
          </cell>
        </row>
        <row r="34">
          <cell r="C34" t="str">
            <v>SH-dag</v>
          </cell>
        </row>
        <row r="35">
          <cell r="C35" t="str">
            <v>SH-dag</v>
          </cell>
        </row>
        <row r="36">
          <cell r="C36" t="str">
            <v>Normal uge 1</v>
          </cell>
        </row>
        <row r="37">
          <cell r="C37" t="str">
            <v>Normal uge 1</v>
          </cell>
        </row>
        <row r="38">
          <cell r="C38" t="str">
            <v>Normal uge 1</v>
          </cell>
        </row>
        <row r="39">
          <cell r="C39" t="str">
            <v>Weekend</v>
          </cell>
        </row>
        <row r="40">
          <cell r="C40" t="str">
            <v>Weekend</v>
          </cell>
        </row>
      </sheetData>
      <sheetData sheetId="10">
        <row r="10">
          <cell r="C10" t="str">
            <v>SH-dag</v>
          </cell>
        </row>
        <row r="11">
          <cell r="C11" t="str">
            <v>Normal uge 1</v>
          </cell>
        </row>
        <row r="12">
          <cell r="C12" t="str">
            <v>Normal uge 1</v>
          </cell>
        </row>
        <row r="13">
          <cell r="C13" t="str">
            <v>Normal uge 1</v>
          </cell>
        </row>
        <row r="14">
          <cell r="C14" t="str">
            <v>Normal uge 1</v>
          </cell>
        </row>
        <row r="15">
          <cell r="C15" t="str">
            <v>Weekend</v>
          </cell>
        </row>
        <row r="16">
          <cell r="C16" t="str">
            <v>Weekend</v>
          </cell>
        </row>
        <row r="17">
          <cell r="C17" t="str">
            <v>Normal uge 1</v>
          </cell>
        </row>
        <row r="18">
          <cell r="C18" t="str">
            <v>Normal uge 1</v>
          </cell>
        </row>
        <row r="19">
          <cell r="C19" t="str">
            <v>Normal uge 1</v>
          </cell>
        </row>
        <row r="20">
          <cell r="C20" t="str">
            <v>Normal uge 1</v>
          </cell>
        </row>
        <row r="21">
          <cell r="C21" t="str">
            <v>Normal uge 1</v>
          </cell>
        </row>
        <row r="22">
          <cell r="C22" t="str">
            <v>Weekend</v>
          </cell>
        </row>
        <row r="23">
          <cell r="C23" t="str">
            <v>Weekend</v>
          </cell>
        </row>
        <row r="24">
          <cell r="C24" t="str">
            <v>Normal uge 1</v>
          </cell>
        </row>
        <row r="25">
          <cell r="C25" t="str">
            <v>Normal uge 1</v>
          </cell>
        </row>
        <row r="26">
          <cell r="C26" t="str">
            <v>Normal uge 1</v>
          </cell>
        </row>
        <row r="27">
          <cell r="C27" t="str">
            <v>Normal uge 1</v>
          </cell>
        </row>
        <row r="28">
          <cell r="C28" t="str">
            <v>Normal uge 1</v>
          </cell>
        </row>
        <row r="29">
          <cell r="C29" t="str">
            <v>Weekend</v>
          </cell>
        </row>
        <row r="30">
          <cell r="C30" t="str">
            <v>Weekend</v>
          </cell>
        </row>
        <row r="31">
          <cell r="C31" t="str">
            <v>Normal uge 1</v>
          </cell>
        </row>
        <row r="32">
          <cell r="C32" t="str">
            <v>Normal uge 1</v>
          </cell>
        </row>
        <row r="33">
          <cell r="C33" t="str">
            <v>Normal uge 1</v>
          </cell>
        </row>
        <row r="34">
          <cell r="C34" t="str">
            <v>Normal uge 1</v>
          </cell>
        </row>
        <row r="35">
          <cell r="C35" t="str">
            <v>Normal uge 1</v>
          </cell>
        </row>
        <row r="36">
          <cell r="C36" t="str">
            <v>Weekend</v>
          </cell>
        </row>
        <row r="37">
          <cell r="C37" t="str">
            <v>Weekend</v>
          </cell>
        </row>
        <row r="38">
          <cell r="C38" t="str">
            <v>Normal uge 1</v>
          </cell>
        </row>
        <row r="39">
          <cell r="C39" t="str">
            <v>Normal uge 1</v>
          </cell>
        </row>
        <row r="40">
          <cell r="C40" t="str">
            <v>Normal uge 1</v>
          </cell>
        </row>
      </sheetData>
      <sheetData sheetId="11">
        <row r="10">
          <cell r="C10" t="str">
            <v>Normal uge 1</v>
          </cell>
        </row>
        <row r="11">
          <cell r="C11" t="str">
            <v>Normal uge 1</v>
          </cell>
        </row>
        <row r="12">
          <cell r="C12" t="str">
            <v>Weekend</v>
          </cell>
        </row>
        <row r="13">
          <cell r="C13" t="str">
            <v>Weekend</v>
          </cell>
        </row>
        <row r="14">
          <cell r="C14" t="str">
            <v>Normal uge 1</v>
          </cell>
        </row>
        <row r="15">
          <cell r="C15" t="str">
            <v>Normal uge 1</v>
          </cell>
        </row>
        <row r="16">
          <cell r="C16" t="str">
            <v>Normal uge 1</v>
          </cell>
        </row>
        <row r="17">
          <cell r="C17" t="str">
            <v>Normal uge 1</v>
          </cell>
        </row>
        <row r="18">
          <cell r="C18" t="str">
            <v>Normal uge 1</v>
          </cell>
        </row>
        <row r="19">
          <cell r="C19" t="str">
            <v>Weekend</v>
          </cell>
        </row>
        <row r="20">
          <cell r="C20" t="str">
            <v>Weekend</v>
          </cell>
        </row>
        <row r="21">
          <cell r="C21" t="str">
            <v>Normal uge 1</v>
          </cell>
        </row>
        <row r="22">
          <cell r="C22" t="str">
            <v>Normal uge 1</v>
          </cell>
        </row>
        <row r="23">
          <cell r="C23" t="str">
            <v>Normal uge 1</v>
          </cell>
        </row>
        <row r="24">
          <cell r="C24" t="str">
            <v>Normal uge 1</v>
          </cell>
        </row>
        <row r="25">
          <cell r="C25" t="str">
            <v>Normal uge 1</v>
          </cell>
        </row>
        <row r="26">
          <cell r="C26" t="str">
            <v>Weekend</v>
          </cell>
        </row>
        <row r="27">
          <cell r="C27" t="str">
            <v>Weekend</v>
          </cell>
        </row>
        <row r="28">
          <cell r="C28" t="str">
            <v>Normal uge 1</v>
          </cell>
        </row>
        <row r="29">
          <cell r="C29" t="str">
            <v>Normal uge 1</v>
          </cell>
        </row>
        <row r="30">
          <cell r="C30" t="str">
            <v>Normal uge 1</v>
          </cell>
        </row>
        <row r="31">
          <cell r="C31" t="str">
            <v>Normal uge 1</v>
          </cell>
        </row>
        <row r="32">
          <cell r="C32" t="str">
            <v>Normal uge 1</v>
          </cell>
        </row>
        <row r="33">
          <cell r="C33" t="str">
            <v>Weekend</v>
          </cell>
        </row>
        <row r="34">
          <cell r="C34" t="str">
            <v>Weekend</v>
          </cell>
        </row>
        <row r="35">
          <cell r="C35" t="str">
            <v>Normal uge 1</v>
          </cell>
        </row>
        <row r="36">
          <cell r="C36" t="str">
            <v>Normal uge 1</v>
          </cell>
        </row>
        <row r="37">
          <cell r="C37" t="str">
            <v>Normal uge 1</v>
          </cell>
        </row>
        <row r="38">
          <cell r="C38" t="str">
            <v>Normal uge 1</v>
          </cell>
        </row>
      </sheetData>
      <sheetData sheetId="12">
        <row r="10">
          <cell r="C10" t="str">
            <v>Normal uge 1</v>
          </cell>
        </row>
        <row r="11">
          <cell r="C11" t="str">
            <v>Weekend</v>
          </cell>
        </row>
        <row r="12">
          <cell r="C12" t="str">
            <v>Weekend</v>
          </cell>
        </row>
        <row r="13">
          <cell r="C13" t="str">
            <v>Normal uge 1</v>
          </cell>
        </row>
        <row r="14">
          <cell r="C14" t="str">
            <v>Normal uge 1</v>
          </cell>
        </row>
        <row r="15">
          <cell r="C15" t="str">
            <v>Normal uge 1</v>
          </cell>
        </row>
        <row r="16">
          <cell r="C16" t="str">
            <v>Normal uge 1</v>
          </cell>
        </row>
        <row r="17">
          <cell r="C17" t="str">
            <v>Normal uge 1</v>
          </cell>
        </row>
        <row r="18">
          <cell r="C18" t="str">
            <v>Weekend</v>
          </cell>
        </row>
        <row r="19">
          <cell r="C19" t="str">
            <v>Weekend</v>
          </cell>
        </row>
        <row r="20">
          <cell r="C20" t="str">
            <v>Normal uge 1</v>
          </cell>
        </row>
        <row r="21">
          <cell r="C21" t="str">
            <v>Normal uge 1</v>
          </cell>
        </row>
        <row r="22">
          <cell r="C22" t="str">
            <v>Normal uge 1</v>
          </cell>
        </row>
        <row r="23">
          <cell r="C23" t="str">
            <v>Normal uge 1</v>
          </cell>
        </row>
        <row r="24">
          <cell r="C24" t="str">
            <v>Normal uge 1</v>
          </cell>
        </row>
        <row r="25">
          <cell r="C25" t="str">
            <v>Weekend</v>
          </cell>
        </row>
        <row r="26">
          <cell r="C26" t="str">
            <v>Weekend</v>
          </cell>
        </row>
        <row r="27">
          <cell r="C27" t="str">
            <v>Normal uge 1</v>
          </cell>
        </row>
        <row r="28">
          <cell r="C28" t="str">
            <v>Normal uge 1</v>
          </cell>
        </row>
        <row r="29">
          <cell r="C29" t="str">
            <v>Normal uge 1</v>
          </cell>
        </row>
        <row r="30">
          <cell r="C30" t="str">
            <v>Normal uge 1</v>
          </cell>
        </row>
        <row r="31">
          <cell r="C31" t="str">
            <v>Normal uge 1</v>
          </cell>
        </row>
        <row r="32">
          <cell r="C32" t="str">
            <v>Weekend</v>
          </cell>
        </row>
        <row r="33">
          <cell r="C33" t="str">
            <v>Weekend</v>
          </cell>
        </row>
        <row r="34">
          <cell r="C34" t="str">
            <v>Normal uge 1</v>
          </cell>
        </row>
        <row r="35">
          <cell r="C35" t="str">
            <v>Normal uge 1</v>
          </cell>
        </row>
        <row r="36">
          <cell r="C36" t="str">
            <v>Normal uge 1</v>
          </cell>
        </row>
        <row r="37">
          <cell r="C37" t="str">
            <v>SH-dag</v>
          </cell>
        </row>
        <row r="38">
          <cell r="C38" t="str">
            <v>SH-dag</v>
          </cell>
        </row>
        <row r="39">
          <cell r="C39" t="str">
            <v>Weekend</v>
          </cell>
        </row>
        <row r="40">
          <cell r="C40" t="str">
            <v>Weekend</v>
          </cell>
        </row>
      </sheetData>
      <sheetData sheetId="13">
        <row r="10">
          <cell r="C10" t="str">
            <v>SH-dag</v>
          </cell>
        </row>
        <row r="11">
          <cell r="C11" t="str">
            <v>Normal uge 1</v>
          </cell>
        </row>
        <row r="12">
          <cell r="C12" t="str">
            <v>Normal uge 1</v>
          </cell>
        </row>
        <row r="13">
          <cell r="C13" t="str">
            <v>Normal uge 1</v>
          </cell>
        </row>
        <row r="14">
          <cell r="C14" t="str">
            <v>Normal uge 1</v>
          </cell>
        </row>
        <row r="15">
          <cell r="C15" t="str">
            <v>Weekend</v>
          </cell>
        </row>
        <row r="16">
          <cell r="C16" t="str">
            <v>Weekend</v>
          </cell>
        </row>
        <row r="17">
          <cell r="C17" t="str">
            <v>Normal uge 1</v>
          </cell>
        </row>
        <row r="18">
          <cell r="C18" t="str">
            <v>Normal uge 1</v>
          </cell>
        </row>
        <row r="19">
          <cell r="C19" t="str">
            <v>Normal uge 1</v>
          </cell>
        </row>
        <row r="20">
          <cell r="C20" t="str">
            <v>Normal uge 1</v>
          </cell>
        </row>
        <row r="21">
          <cell r="C21" t="str">
            <v>Normal uge 1</v>
          </cell>
        </row>
        <row r="22">
          <cell r="C22" t="str">
            <v>Weekend</v>
          </cell>
        </row>
        <row r="23">
          <cell r="C23" t="str">
            <v>Weekend</v>
          </cell>
        </row>
        <row r="24">
          <cell r="C24" t="str">
            <v>Normal uge 1</v>
          </cell>
        </row>
        <row r="25">
          <cell r="C25" t="str">
            <v>Normal uge 1</v>
          </cell>
        </row>
        <row r="26">
          <cell r="C26" t="str">
            <v>Normal uge 1</v>
          </cell>
        </row>
        <row r="27">
          <cell r="C27" t="str">
            <v>Normal uge 1</v>
          </cell>
        </row>
        <row r="28">
          <cell r="C28" t="str">
            <v>Normal uge 1</v>
          </cell>
        </row>
        <row r="29">
          <cell r="C29" t="str">
            <v>Weekend</v>
          </cell>
        </row>
        <row r="30">
          <cell r="C30" t="str">
            <v>Weekend</v>
          </cell>
        </row>
        <row r="31">
          <cell r="C31" t="str">
            <v>Normal uge 1</v>
          </cell>
        </row>
        <row r="32">
          <cell r="C32" t="str">
            <v>Normal uge 1</v>
          </cell>
        </row>
        <row r="33">
          <cell r="C33" t="str">
            <v>Normal uge 1</v>
          </cell>
        </row>
        <row r="34">
          <cell r="C34" t="str">
            <v>Normal uge 1</v>
          </cell>
        </row>
        <row r="35">
          <cell r="C35" t="str">
            <v>Normal uge 1</v>
          </cell>
        </row>
        <row r="36">
          <cell r="C36" t="str">
            <v>Weekend</v>
          </cell>
        </row>
        <row r="37">
          <cell r="C37" t="str">
            <v>Weekend</v>
          </cell>
        </row>
        <row r="38">
          <cell r="C38" t="str">
            <v>Normal uge 1</v>
          </cell>
        </row>
        <row r="39">
          <cell r="C39" t="str">
            <v>Normal uge 1</v>
          </cell>
        </row>
      </sheetData>
      <sheetData sheetId="14">
        <row r="10">
          <cell r="C10" t="str">
            <v>Normal uge 1</v>
          </cell>
        </row>
        <row r="11">
          <cell r="C11" t="str">
            <v>Normal uge 1</v>
          </cell>
        </row>
        <row r="12">
          <cell r="C12" t="str">
            <v>Normal uge 1</v>
          </cell>
        </row>
        <row r="13">
          <cell r="C13" t="str">
            <v>Weekend</v>
          </cell>
        </row>
        <row r="14">
          <cell r="C14" t="str">
            <v>Weekend</v>
          </cell>
        </row>
        <row r="15">
          <cell r="C15" t="str">
            <v>Normal uge 1</v>
          </cell>
        </row>
        <row r="16">
          <cell r="C16" t="str">
            <v>Normal uge 1</v>
          </cell>
        </row>
        <row r="17">
          <cell r="C17" t="str">
            <v>Normal uge 1</v>
          </cell>
        </row>
        <row r="18">
          <cell r="C18" t="str">
            <v>SH-dag</v>
          </cell>
        </row>
        <row r="19">
          <cell r="C19" t="str">
            <v>Normal uge 1</v>
          </cell>
        </row>
        <row r="20">
          <cell r="C20" t="str">
            <v>Weekend</v>
          </cell>
        </row>
        <row r="21">
          <cell r="C21" t="str">
            <v>Weekend</v>
          </cell>
        </row>
        <row r="22">
          <cell r="C22" t="str">
            <v>Normal uge 1</v>
          </cell>
        </row>
        <row r="23">
          <cell r="C23" t="str">
            <v>Normal uge 1</v>
          </cell>
        </row>
        <row r="24">
          <cell r="C24" t="str">
            <v>Normal uge 1</v>
          </cell>
        </row>
        <row r="25">
          <cell r="C25" t="str">
            <v>Normal uge 1</v>
          </cell>
        </row>
        <row r="26">
          <cell r="C26" t="str">
            <v>Normal uge 1</v>
          </cell>
        </row>
        <row r="27">
          <cell r="C27" t="str">
            <v>Weekend</v>
          </cell>
        </row>
        <row r="28">
          <cell r="C28" t="str">
            <v>Weekend</v>
          </cell>
        </row>
        <row r="29">
          <cell r="C29" t="str">
            <v>SH-dag</v>
          </cell>
        </row>
        <row r="30">
          <cell r="C30" t="str">
            <v>Normal uge 1</v>
          </cell>
        </row>
        <row r="31">
          <cell r="C31" t="str">
            <v>Normal uge 1</v>
          </cell>
        </row>
        <row r="32">
          <cell r="C32" t="str">
            <v>Normal uge 1</v>
          </cell>
        </row>
        <row r="33">
          <cell r="C33" t="str">
            <v>Normal uge 1</v>
          </cell>
        </row>
        <row r="34">
          <cell r="C34" t="str">
            <v>Weekend</v>
          </cell>
        </row>
        <row r="35">
          <cell r="C35" t="str">
            <v>Weekend</v>
          </cell>
        </row>
        <row r="36">
          <cell r="C36" t="str">
            <v>Normal uge 1</v>
          </cell>
        </row>
        <row r="37">
          <cell r="C37" t="str">
            <v>Normal uge 1</v>
          </cell>
        </row>
        <row r="38">
          <cell r="C38" t="str">
            <v>Normal uge 1</v>
          </cell>
        </row>
        <row r="39">
          <cell r="C39" t="str">
            <v>Normal uge 1</v>
          </cell>
        </row>
        <row r="40">
          <cell r="C40" t="str">
            <v>Normal uge 1</v>
          </cell>
        </row>
      </sheetData>
      <sheetData sheetId="15">
        <row r="10">
          <cell r="C10" t="str">
            <v>Normal uge 1</v>
          </cell>
        </row>
        <row r="11">
          <cell r="C11" t="str">
            <v>Weekend</v>
          </cell>
        </row>
        <row r="12">
          <cell r="C12" t="str">
            <v>Normal uge 1</v>
          </cell>
        </row>
        <row r="13">
          <cell r="C13" t="str">
            <v>Normal uge 1</v>
          </cell>
        </row>
        <row r="14">
          <cell r="C14" t="str">
            <v>Normal uge 1</v>
          </cell>
        </row>
        <row r="15">
          <cell r="C15" t="str">
            <v>Normal uge 1</v>
          </cell>
        </row>
        <row r="16">
          <cell r="C16" t="str">
            <v>Normal uge 1</v>
          </cell>
        </row>
        <row r="17">
          <cell r="C17" t="str">
            <v>Weekend</v>
          </cell>
        </row>
        <row r="18">
          <cell r="C18" t="str">
            <v>Weekend</v>
          </cell>
        </row>
        <row r="19">
          <cell r="C19" t="str">
            <v>Normal uge 1</v>
          </cell>
        </row>
        <row r="20">
          <cell r="C20" t="str">
            <v>Normal uge 1</v>
          </cell>
        </row>
        <row r="21">
          <cell r="C21" t="str">
            <v>Normal uge 1</v>
          </cell>
        </row>
        <row r="22">
          <cell r="C22" t="str">
            <v>Normal uge 1</v>
          </cell>
        </row>
        <row r="23">
          <cell r="C23" t="str">
            <v>Normal uge 1</v>
          </cell>
        </row>
        <row r="24">
          <cell r="C24" t="str">
            <v>Weekend</v>
          </cell>
        </row>
        <row r="25">
          <cell r="C25" t="str">
            <v>Weekend</v>
          </cell>
        </row>
        <row r="26">
          <cell r="C26" t="str">
            <v>Normal uge 1</v>
          </cell>
        </row>
        <row r="27">
          <cell r="C27" t="str">
            <v>Normal uge 1</v>
          </cell>
        </row>
        <row r="28">
          <cell r="C28" t="str">
            <v>Normal uge 1</v>
          </cell>
        </row>
        <row r="29">
          <cell r="C29" t="str">
            <v>Normal uge 1</v>
          </cell>
        </row>
        <row r="30">
          <cell r="C30" t="str">
            <v>Normal uge 1</v>
          </cell>
        </row>
        <row r="31">
          <cell r="C31" t="str">
            <v>Weekend</v>
          </cell>
        </row>
        <row r="32">
          <cell r="C32" t="str">
            <v>Weekend</v>
          </cell>
        </row>
        <row r="33">
          <cell r="C33" t="str">
            <v>Normal uge 1</v>
          </cell>
        </row>
        <row r="34">
          <cell r="C34" t="str">
            <v>Normal uge 1</v>
          </cell>
        </row>
        <row r="35">
          <cell r="C35" t="str">
            <v>Normal uge 1</v>
          </cell>
        </row>
        <row r="36">
          <cell r="C36" t="str">
            <v>Normal uge 1</v>
          </cell>
        </row>
        <row r="37">
          <cell r="C37" t="str">
            <v>Normal uge 1</v>
          </cell>
        </row>
        <row r="38">
          <cell r="C38" t="str">
            <v>Weekend</v>
          </cell>
        </row>
        <row r="39">
          <cell r="C39" t="str">
            <v>Weekend</v>
          </cell>
        </row>
      </sheetData>
      <sheetData sheetId="16">
        <row r="10">
          <cell r="C10" t="str">
            <v>Normal uge 1</v>
          </cell>
        </row>
        <row r="11">
          <cell r="C11" t="str">
            <v>Normal uge 1</v>
          </cell>
        </row>
        <row r="12">
          <cell r="C12" t="str">
            <v>Normal uge 1</v>
          </cell>
        </row>
        <row r="13">
          <cell r="C13" t="str">
            <v>Normal uge 1</v>
          </cell>
        </row>
        <row r="14">
          <cell r="C14" t="str">
            <v>Normal uge 1</v>
          </cell>
        </row>
        <row r="15">
          <cell r="C15" t="str">
            <v>Weekend</v>
          </cell>
        </row>
        <row r="16">
          <cell r="C16" t="str">
            <v>Weekend</v>
          </cell>
        </row>
        <row r="17">
          <cell r="C17" t="str">
            <v>Normal uge 1</v>
          </cell>
        </row>
        <row r="18">
          <cell r="C18" t="str">
            <v>Normal uge 1</v>
          </cell>
        </row>
        <row r="19">
          <cell r="C19" t="str">
            <v>Normal uge 1</v>
          </cell>
        </row>
        <row r="20">
          <cell r="C20" t="str">
            <v>Normal uge 1</v>
          </cell>
        </row>
        <row r="21">
          <cell r="C21" t="str">
            <v>Normal uge 1</v>
          </cell>
        </row>
        <row r="22">
          <cell r="C22" t="str">
            <v>Weekend</v>
          </cell>
        </row>
        <row r="23">
          <cell r="C23" t="str">
            <v>Weekend</v>
          </cell>
        </row>
        <row r="24">
          <cell r="C24" t="str">
            <v>Normal uge 1</v>
          </cell>
        </row>
        <row r="25">
          <cell r="C25" t="str">
            <v>Normal uge 1</v>
          </cell>
        </row>
        <row r="26">
          <cell r="C26" t="str">
            <v>Normal uge 1</v>
          </cell>
        </row>
        <row r="27">
          <cell r="C27" t="str">
            <v>Normal uge 1</v>
          </cell>
        </row>
        <row r="28">
          <cell r="C28" t="str">
            <v>Normal uge 1</v>
          </cell>
        </row>
        <row r="29">
          <cell r="C29" t="str">
            <v>Weekend</v>
          </cell>
        </row>
        <row r="30">
          <cell r="C30" t="str">
            <v>Weekend</v>
          </cell>
        </row>
        <row r="31">
          <cell r="C31" t="str">
            <v>Normal uge 1</v>
          </cell>
        </row>
        <row r="32">
          <cell r="C32" t="str">
            <v>Normal uge 1</v>
          </cell>
        </row>
        <row r="33">
          <cell r="C33" t="str">
            <v>Normal uge 1</v>
          </cell>
        </row>
        <row r="34">
          <cell r="C34" t="str">
            <v>Normal uge 1</v>
          </cell>
        </row>
        <row r="35">
          <cell r="C35" t="str">
            <v>Normal uge 1</v>
          </cell>
        </row>
        <row r="36">
          <cell r="C36" t="str">
            <v>Weekend</v>
          </cell>
        </row>
        <row r="37">
          <cell r="C37" t="str">
            <v>Weekend</v>
          </cell>
        </row>
        <row r="38">
          <cell r="C38" t="str">
            <v>Normal uge 1</v>
          </cell>
        </row>
        <row r="39">
          <cell r="C39" t="str">
            <v>Normal uge 1</v>
          </cell>
        </row>
        <row r="40">
          <cell r="C40" t="str">
            <v>Normal uge 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aned"/>
      <sheetName val="TOMT ÅR"/>
      <sheetName val="Vejledning til arb.tidsoversigt"/>
      <sheetName val="Opgaveoversigt"/>
      <sheetName val="Aften-weekendtillæg"/>
      <sheetName val="TOMT 1. HALVÅR"/>
      <sheetName val="TOMT 2. HALVÅR"/>
    </sheetNames>
    <sheetDataSet>
      <sheetData sheetId="0">
        <row r="1">
          <cell r="A1" t="str">
            <v>Min egen skole</v>
          </cell>
        </row>
      </sheetData>
      <sheetData sheetId="1" refreshError="1"/>
      <sheetData sheetId="2" refreshError="1"/>
      <sheetData sheetId="3" refreshError="1"/>
      <sheetData sheetId="4" refreshError="1"/>
      <sheetData sheetId="5" refreshError="1"/>
      <sheetData sheetId="6"/>
    </sheetDataSet>
  </externalBook>
</externalLink>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3" dT="2021-04-07T13:51:15.67" personId="{977470C1-5292-2E41-B06C-4A3108FC6288}" id="{2BE12B20-6EE1-DB41-B134-44AC5D77B008}">
    <text>Beskæftigelsesgraden aftalt i ansættelsesbrevet.</text>
  </threadedComment>
</ThreadedComments>
</file>

<file path=xl/threadedComments/threadedComment2.xml><?xml version="1.0" encoding="utf-8"?>
<ThreadedComments xmlns="http://schemas.microsoft.com/office/spreadsheetml/2018/threadedcomments" xmlns:x="http://schemas.openxmlformats.org/spreadsheetml/2006/main">
  <threadedComment ref="I23" dT="2021-03-02T13:01:39.32" personId="{977470C1-5292-2E41-B06C-4A3108FC6288}" id="{53CDCF47-1C18-B74C-8FCD-1F187581EE76}">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42" dT="2021-03-02T13:01:39.32" personId="{977470C1-5292-2E41-B06C-4A3108FC6288}" id="{BA36B4C6-FE51-0449-BB6B-4BA6729AA314}">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66" dT="2021-03-02T13:01:39.32" personId="{977470C1-5292-2E41-B06C-4A3108FC6288}" id="{D2586241-4B4C-8149-AF7C-3A976D71E50B}">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D107" dT="2021-03-02T12:59:33.97" personId="{977470C1-5292-2E41-B06C-4A3108FC6288}" id="{6299BD54-428F-0942-AF97-B33CF2909EA6}">
    <text>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openxmlformats.org/officeDocument/2006/relationships/comments" Target="../comments14.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G98"/>
  <sheetViews>
    <sheetView zoomScaleNormal="100" workbookViewId="0">
      <selection activeCell="B85" sqref="B85:B87"/>
    </sheetView>
  </sheetViews>
  <sheetFormatPr baseColWidth="10" defaultRowHeight="16"/>
  <cols>
    <col min="1" max="1" width="10.83203125" style="89"/>
    <col min="2" max="2" width="157.33203125" style="89" customWidth="1"/>
    <col min="3" max="3" width="10.83203125" style="89" customWidth="1"/>
    <col min="4" max="16384" width="10.83203125" style="89"/>
  </cols>
  <sheetData>
    <row r="1" spans="2:2">
      <c r="B1" s="121">
        <v>2021</v>
      </c>
    </row>
    <row r="2" spans="2:2">
      <c r="B2" s="122" t="s">
        <v>550</v>
      </c>
    </row>
    <row r="3" spans="2:2" ht="30" customHeight="1">
      <c r="B3" s="407" t="s">
        <v>426</v>
      </c>
    </row>
    <row r="4" spans="2:2" ht="29" customHeight="1">
      <c r="B4" s="407" t="s">
        <v>427</v>
      </c>
    </row>
    <row r="5" spans="2:2" ht="18" customHeight="1">
      <c r="B5" s="408" t="str">
        <f>"Gældende for skoleåret "&amp;B2&amp;""</f>
        <v>Gældende for skoleåret 2024-2025</v>
      </c>
    </row>
    <row r="6" spans="2:2">
      <c r="B6" s="91"/>
    </row>
    <row r="7" spans="2:2">
      <c r="B7" s="403" t="s">
        <v>371</v>
      </c>
    </row>
    <row r="8" spans="2:2">
      <c r="B8" s="721" t="s">
        <v>563</v>
      </c>
    </row>
    <row r="9" spans="2:2">
      <c r="B9" s="721"/>
    </row>
    <row r="10" spans="2:2">
      <c r="B10" s="119" t="s">
        <v>564</v>
      </c>
    </row>
    <row r="11" spans="2:2" ht="34" customHeight="1">
      <c r="B11" s="624" t="s">
        <v>565</v>
      </c>
    </row>
    <row r="12" spans="2:2" ht="23" customHeight="1">
      <c r="B12" s="624"/>
    </row>
    <row r="13" spans="2:2">
      <c r="B13" s="403" t="s">
        <v>372</v>
      </c>
    </row>
    <row r="14" spans="2:2">
      <c r="B14" s="403" t="s">
        <v>362</v>
      </c>
    </row>
    <row r="15" spans="2:2" ht="33" customHeight="1">
      <c r="B15" s="338" t="s">
        <v>566</v>
      </c>
    </row>
    <row r="16" spans="2:2" ht="34" customHeight="1">
      <c r="B16" s="399" t="s">
        <v>498</v>
      </c>
    </row>
    <row r="17" spans="1:7" ht="8" customHeight="1">
      <c r="B17" s="523"/>
    </row>
    <row r="18" spans="1:7" ht="120" customHeight="1">
      <c r="B18" s="360" t="s">
        <v>575</v>
      </c>
      <c r="C18" s="360"/>
      <c r="D18" s="360"/>
      <c r="E18" s="360"/>
      <c r="F18" s="360"/>
      <c r="G18" s="360"/>
    </row>
    <row r="19" spans="1:7" ht="41" customHeight="1">
      <c r="B19" s="338" t="s">
        <v>428</v>
      </c>
    </row>
    <row r="20" spans="1:7" ht="20" customHeight="1">
      <c r="B20" s="399" t="s">
        <v>429</v>
      </c>
    </row>
    <row r="21" spans="1:7" ht="19" customHeight="1">
      <c r="B21" s="399" t="s">
        <v>430</v>
      </c>
    </row>
    <row r="22" spans="1:7" ht="19" customHeight="1">
      <c r="B22" s="399" t="s">
        <v>404</v>
      </c>
    </row>
    <row r="23" spans="1:7" ht="19" customHeight="1">
      <c r="B23" s="400" t="s">
        <v>431</v>
      </c>
    </row>
    <row r="24" spans="1:7" ht="51">
      <c r="B24" s="338" t="s">
        <v>500</v>
      </c>
    </row>
    <row r="25" spans="1:7" ht="34">
      <c r="B25" s="338" t="s">
        <v>501</v>
      </c>
    </row>
    <row r="26" spans="1:7" ht="51">
      <c r="B26" s="338" t="s">
        <v>540</v>
      </c>
    </row>
    <row r="27" spans="1:7" ht="56" customHeight="1">
      <c r="B27" s="338" t="s">
        <v>405</v>
      </c>
    </row>
    <row r="28" spans="1:7" ht="56" customHeight="1">
      <c r="B28" s="338" t="s">
        <v>363</v>
      </c>
    </row>
    <row r="29" spans="1:7" ht="34" customHeight="1">
      <c r="B29" s="338" t="s">
        <v>364</v>
      </c>
    </row>
    <row r="30" spans="1:7" ht="21" customHeight="1">
      <c r="A30" s="719"/>
      <c r="B30" s="720" t="s">
        <v>464</v>
      </c>
    </row>
    <row r="31" spans="1:7" ht="21" customHeight="1">
      <c r="A31" s="719"/>
      <c r="B31" s="720"/>
    </row>
    <row r="32" spans="1:7" ht="21" customHeight="1">
      <c r="A32" s="719"/>
      <c r="B32" s="720"/>
    </row>
    <row r="33" spans="2:2" ht="21" customHeight="1">
      <c r="B33" s="720" t="s">
        <v>567</v>
      </c>
    </row>
    <row r="34" spans="2:2" ht="21" customHeight="1">
      <c r="B34" s="720"/>
    </row>
    <row r="35" spans="2:2" ht="27" customHeight="1">
      <c r="B35" s="720"/>
    </row>
    <row r="36" spans="2:2" ht="22" customHeight="1">
      <c r="B36" s="720" t="s">
        <v>568</v>
      </c>
    </row>
    <row r="37" spans="2:2" ht="66" customHeight="1">
      <c r="B37" s="720"/>
    </row>
    <row r="38" spans="2:2">
      <c r="B38" s="402"/>
    </row>
    <row r="39" spans="2:2" ht="17">
      <c r="B39" s="404" t="s">
        <v>365</v>
      </c>
    </row>
    <row r="40" spans="2:2" ht="51">
      <c r="B40" s="401" t="s">
        <v>569</v>
      </c>
    </row>
    <row r="41" spans="2:2">
      <c r="B41" s="401"/>
    </row>
    <row r="42" spans="2:2" ht="17">
      <c r="B42" s="404" t="s">
        <v>366</v>
      </c>
    </row>
    <row r="43" spans="2:2" ht="85">
      <c r="B43" s="401" t="s">
        <v>499</v>
      </c>
    </row>
    <row r="44" spans="2:2">
      <c r="B44" s="401"/>
    </row>
    <row r="45" spans="2:2" ht="51">
      <c r="B45" s="401" t="s">
        <v>539</v>
      </c>
    </row>
    <row r="46" spans="2:2">
      <c r="B46" s="401"/>
    </row>
    <row r="47" spans="2:2" ht="17">
      <c r="B47" s="404" t="s">
        <v>370</v>
      </c>
    </row>
    <row r="48" spans="2:2">
      <c r="B48" s="120" t="s">
        <v>132</v>
      </c>
    </row>
    <row r="49" spans="2:2" ht="16" customHeight="1">
      <c r="B49" s="200" t="s">
        <v>179</v>
      </c>
    </row>
    <row r="50" spans="2:2" ht="38" customHeight="1">
      <c r="B50" s="202" t="s">
        <v>180</v>
      </c>
    </row>
    <row r="51" spans="2:2" ht="20" customHeight="1">
      <c r="B51" s="201" t="s">
        <v>174</v>
      </c>
    </row>
    <row r="52" spans="2:2">
      <c r="B52" s="201" t="s">
        <v>175</v>
      </c>
    </row>
    <row r="53" spans="2:2" ht="19" customHeight="1">
      <c r="B53" s="203" t="s">
        <v>181</v>
      </c>
    </row>
    <row r="54" spans="2:2" ht="22" customHeight="1">
      <c r="B54" s="201" t="s">
        <v>182</v>
      </c>
    </row>
    <row r="55" spans="2:2" ht="55" customHeight="1">
      <c r="B55" s="406" t="s">
        <v>369</v>
      </c>
    </row>
    <row r="56" spans="2:2" ht="16" customHeight="1">
      <c r="B56" s="722" t="s">
        <v>545</v>
      </c>
    </row>
    <row r="57" spans="2:2" ht="16" hidden="1" customHeight="1">
      <c r="B57" s="722"/>
    </row>
    <row r="58" spans="2:2">
      <c r="B58" s="186"/>
    </row>
    <row r="59" spans="2:2" ht="17">
      <c r="B59" s="187" t="s">
        <v>367</v>
      </c>
    </row>
    <row r="60" spans="2:2" ht="34">
      <c r="B60" s="185" t="s">
        <v>448</v>
      </c>
    </row>
    <row r="61" spans="2:2">
      <c r="B61" s="185"/>
    </row>
    <row r="62" spans="2:2" ht="17">
      <c r="B62" s="187" t="s">
        <v>133</v>
      </c>
    </row>
    <row r="63" spans="2:2" ht="34">
      <c r="B63" s="186" t="s">
        <v>406</v>
      </c>
    </row>
    <row r="64" spans="2:2" ht="17">
      <c r="B64" s="188" t="s">
        <v>407</v>
      </c>
    </row>
    <row r="65" spans="2:2" ht="17">
      <c r="B65" s="189" t="s">
        <v>408</v>
      </c>
    </row>
    <row r="66" spans="2:2" ht="55" customHeight="1">
      <c r="B66" s="190" t="s">
        <v>411</v>
      </c>
    </row>
    <row r="67" spans="2:2" ht="20" customHeight="1">
      <c r="B67" s="191" t="s">
        <v>409</v>
      </c>
    </row>
    <row r="68" spans="2:2" ht="17">
      <c r="B68" s="187" t="s">
        <v>368</v>
      </c>
    </row>
    <row r="69" spans="2:2">
      <c r="B69" s="185"/>
    </row>
    <row r="70" spans="2:2" ht="17">
      <c r="B70" s="192" t="s">
        <v>134</v>
      </c>
    </row>
    <row r="71" spans="2:2" ht="16" customHeight="1">
      <c r="B71" s="723" t="s">
        <v>410</v>
      </c>
    </row>
    <row r="72" spans="2:2">
      <c r="B72" s="723"/>
    </row>
    <row r="73" spans="2:2" ht="50" customHeight="1">
      <c r="B73" s="723"/>
    </row>
    <row r="74" spans="2:2" s="182" customFormat="1" ht="12" customHeight="1">
      <c r="B74" s="193"/>
    </row>
    <row r="75" spans="2:2" s="182" customFormat="1" ht="17" customHeight="1">
      <c r="B75" s="470" t="s">
        <v>421</v>
      </c>
    </row>
    <row r="76" spans="2:2" s="182" customFormat="1" ht="35" customHeight="1">
      <c r="B76" s="470" t="s">
        <v>571</v>
      </c>
    </row>
    <row r="77" spans="2:2">
      <c r="B77" s="193"/>
    </row>
    <row r="78" spans="2:2" ht="17">
      <c r="B78" s="194" t="s">
        <v>165</v>
      </c>
    </row>
    <row r="79" spans="2:2" ht="17">
      <c r="B79" s="195" t="s">
        <v>166</v>
      </c>
    </row>
    <row r="80" spans="2:2" ht="34">
      <c r="B80" s="195" t="s">
        <v>570</v>
      </c>
    </row>
    <row r="81" spans="2:2" ht="17">
      <c r="B81" s="195" t="s">
        <v>173</v>
      </c>
    </row>
    <row r="82" spans="2:2" ht="33" customHeight="1">
      <c r="B82" s="195" t="s">
        <v>412</v>
      </c>
    </row>
    <row r="83" spans="2:2">
      <c r="B83" s="185"/>
    </row>
    <row r="84" spans="2:2" ht="17">
      <c r="B84" s="405" t="s">
        <v>135</v>
      </c>
    </row>
    <row r="85" spans="2:2" ht="16" customHeight="1">
      <c r="B85" s="725" t="s">
        <v>574</v>
      </c>
    </row>
    <row r="86" spans="2:2">
      <c r="B86" s="725"/>
    </row>
    <row r="87" spans="2:2">
      <c r="B87" s="725"/>
    </row>
    <row r="88" spans="2:2" s="182" customFormat="1">
      <c r="B88" s="196"/>
    </row>
    <row r="89" spans="2:2" ht="17">
      <c r="B89" s="187" t="s">
        <v>107</v>
      </c>
    </row>
    <row r="90" spans="2:2" ht="16" customHeight="1">
      <c r="B90" s="724" t="s">
        <v>758</v>
      </c>
    </row>
    <row r="91" spans="2:2">
      <c r="B91" s="724"/>
    </row>
    <row r="92" spans="2:2">
      <c r="B92" s="724"/>
    </row>
    <row r="93" spans="2:2" ht="52" customHeight="1">
      <c r="B93" s="724"/>
    </row>
    <row r="94" spans="2:2" ht="65" customHeight="1">
      <c r="B94" s="471" t="s">
        <v>757</v>
      </c>
    </row>
    <row r="95" spans="2:2" ht="19" customHeight="1">
      <c r="B95" s="471"/>
    </row>
    <row r="96" spans="2:2">
      <c r="B96" s="472" t="s">
        <v>450</v>
      </c>
    </row>
    <row r="97" spans="2:2" ht="38" customHeight="1">
      <c r="B97" s="471" t="s">
        <v>422</v>
      </c>
    </row>
    <row r="98" spans="2:2">
      <c r="B98" s="89" t="s">
        <v>423</v>
      </c>
    </row>
  </sheetData>
  <sheetProtection sheet="1" objects="1" scenarios="1"/>
  <mergeCells count="9">
    <mergeCell ref="B90:B93"/>
    <mergeCell ref="B85:B87"/>
    <mergeCell ref="B30:B32"/>
    <mergeCell ref="B33:B35"/>
    <mergeCell ref="A30:A32"/>
    <mergeCell ref="B36:B37"/>
    <mergeCell ref="B8:B9"/>
    <mergeCell ref="B56:B57"/>
    <mergeCell ref="B71:B73"/>
  </mergeCells>
  <phoneticPr fontId="5" type="noConversion"/>
  <pageMargins left="0.25" right="0.25" top="0.75" bottom="0.75" header="0.3" footer="0.3"/>
  <pageSetup paperSize="9" scale="53" orientation="portrait" horizontalDpi="4294967292" verticalDpi="4294967292"/>
  <rowBreaks count="1" manualBreakCount="1">
    <brk id="37" min="1" max="1" man="1"/>
  </row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BCEB-5E23-4A49-ADC5-96E3794CC712}">
  <sheetPr>
    <tabColor theme="4" tint="-0.249977111117893"/>
    <pageSetUpPr fitToPage="1"/>
  </sheetPr>
  <dimension ref="A1:GC107"/>
  <sheetViews>
    <sheetView topLeftCell="A7" zoomScale="90" zoomScaleNormal="90" workbookViewId="0">
      <selection activeCell="J23" sqref="J23"/>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1" hidden="1" customWidth="1"/>
    <col min="26" max="26" width="7" style="231"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8" hidden="1" customWidth="1"/>
    <col min="105" max="118" width="10.83203125" hidden="1" customWidth="1"/>
    <col min="119" max="185" width="0" hidden="1" customWidth="1"/>
  </cols>
  <sheetData>
    <row r="1" spans="1:185" ht="16" customHeight="1">
      <c r="A1" s="93"/>
      <c r="B1" s="90"/>
      <c r="C1" s="90"/>
      <c r="D1" s="90"/>
      <c r="E1" s="90"/>
      <c r="F1" s="90"/>
      <c r="G1" s="90"/>
      <c r="H1" s="279"/>
      <c r="I1" s="278"/>
      <c r="J1" s="90"/>
      <c r="K1" s="230"/>
      <c r="L1" s="230"/>
      <c r="M1" s="230"/>
      <c r="N1" s="230"/>
      <c r="O1" s="230"/>
      <c r="P1" s="90"/>
      <c r="Q1" s="90"/>
      <c r="R1" s="90"/>
      <c r="S1" s="90"/>
      <c r="T1" s="90"/>
      <c r="U1" s="90"/>
      <c r="V1" s="90"/>
      <c r="W1" s="90"/>
      <c r="X1" s="90"/>
      <c r="Y1"/>
      <c r="Z1" s="90"/>
      <c r="AA1" s="90"/>
      <c r="AE1" s="90"/>
      <c r="AG1" s="90"/>
      <c r="CV1" s="248"/>
      <c r="CW1" s="248"/>
      <c r="CY1"/>
      <c r="CZ1"/>
    </row>
    <row r="2" spans="1:185" ht="21" thickBot="1">
      <c r="A2" s="92">
        <v>11</v>
      </c>
      <c r="B2" s="1086"/>
      <c r="C2" s="1086"/>
      <c r="D2" s="1086"/>
      <c r="E2" s="1086"/>
      <c r="F2" s="90"/>
      <c r="G2" s="90"/>
      <c r="H2" s="279"/>
      <c r="I2" s="278"/>
      <c r="J2" s="230"/>
      <c r="K2" s="230"/>
      <c r="L2" s="230"/>
      <c r="M2" s="230"/>
      <c r="N2" s="230"/>
      <c r="O2" s="230"/>
      <c r="P2" s="90"/>
      <c r="Q2" s="90"/>
      <c r="R2" s="90"/>
      <c r="S2" s="90"/>
      <c r="T2" s="90"/>
      <c r="U2" s="90"/>
      <c r="V2" s="90"/>
      <c r="W2" s="123" t="s">
        <v>31</v>
      </c>
      <c r="X2" s="123" t="s">
        <v>31</v>
      </c>
      <c r="Y2"/>
      <c r="Z2" s="90"/>
      <c r="AA2" s="90"/>
      <c r="AE2" s="90"/>
      <c r="AG2" s="90"/>
      <c r="CV2" s="248"/>
      <c r="CW2" s="248"/>
      <c r="CY2"/>
      <c r="CZ2"/>
    </row>
    <row r="3" spans="1:185" ht="17" thickBot="1">
      <c r="A3" s="1115" t="s">
        <v>310</v>
      </c>
      <c r="B3" s="1116"/>
      <c r="C3" s="1116"/>
      <c r="D3" s="1116"/>
      <c r="E3" s="1116"/>
      <c r="F3" s="1116"/>
      <c r="G3" s="1116"/>
      <c r="H3" s="1116"/>
      <c r="I3" s="1116"/>
      <c r="J3" s="1116"/>
      <c r="K3" s="1116"/>
      <c r="L3" s="1116"/>
      <c r="M3" s="1116"/>
      <c r="N3" s="1116"/>
      <c r="O3" s="1116"/>
      <c r="P3" s="1116"/>
      <c r="Q3" s="1116"/>
      <c r="R3" s="1116"/>
      <c r="S3" s="1116"/>
      <c r="T3" s="1116"/>
      <c r="U3" s="1116"/>
      <c r="V3" s="1116"/>
      <c r="W3" s="1116"/>
      <c r="X3" s="1117"/>
      <c r="Y3" s="90"/>
      <c r="Z3"/>
      <c r="AC3" s="90"/>
      <c r="AD3" s="90"/>
      <c r="AF3" s="90"/>
      <c r="CT3" s="248"/>
      <c r="CU3" s="248"/>
      <c r="CY3"/>
      <c r="CZ3"/>
      <c r="FI3" s="878" t="s">
        <v>636</v>
      </c>
      <c r="FJ3" s="879"/>
      <c r="FK3" s="879"/>
      <c r="FL3" s="879"/>
      <c r="FM3" s="879"/>
      <c r="FN3" s="879"/>
      <c r="FO3" s="879"/>
      <c r="FP3" s="879"/>
      <c r="FQ3" s="879"/>
      <c r="FR3" s="879"/>
      <c r="FS3" s="879"/>
      <c r="FT3" s="879"/>
      <c r="FU3" s="879"/>
      <c r="FV3" s="879"/>
      <c r="FW3" s="879"/>
      <c r="FX3" s="879"/>
      <c r="FY3" s="879"/>
      <c r="FZ3" s="879"/>
      <c r="GA3" s="879"/>
      <c r="GB3" s="879"/>
      <c r="GC3" s="880"/>
    </row>
    <row r="4" spans="1:185" ht="254" customHeight="1" thickBot="1">
      <c r="A4" s="915" t="s">
        <v>432</v>
      </c>
      <c r="B4" s="916"/>
      <c r="C4" s="916"/>
      <c r="D4" s="916"/>
      <c r="E4" s="920" t="s">
        <v>311</v>
      </c>
      <c r="F4" s="920"/>
      <c r="G4" s="920"/>
      <c r="H4" s="280" t="s">
        <v>414</v>
      </c>
      <c r="I4" s="438" t="s">
        <v>467</v>
      </c>
      <c r="J4" s="438" t="s">
        <v>468</v>
      </c>
      <c r="K4" s="931" t="s">
        <v>515</v>
      </c>
      <c r="L4" s="931"/>
      <c r="M4" s="486" t="s">
        <v>457</v>
      </c>
      <c r="N4" s="486" t="s">
        <v>433</v>
      </c>
      <c r="O4" s="486" t="s">
        <v>434</v>
      </c>
      <c r="P4" s="487" t="s">
        <v>458</v>
      </c>
      <c r="Q4" s="487" t="s">
        <v>309</v>
      </c>
      <c r="R4" s="487" t="s">
        <v>435</v>
      </c>
      <c r="S4" s="488" t="s">
        <v>465</v>
      </c>
      <c r="T4" s="488" t="s">
        <v>436</v>
      </c>
      <c r="U4" s="488" t="s">
        <v>437</v>
      </c>
      <c r="V4" s="489" t="s">
        <v>459</v>
      </c>
      <c r="W4" s="489" t="s">
        <v>400</v>
      </c>
      <c r="X4" s="490" t="s">
        <v>399</v>
      </c>
      <c r="Y4" s="246"/>
      <c r="Z4" s="90"/>
      <c r="AB4" s="90"/>
      <c r="AC4" s="90"/>
      <c r="AH4" s="90"/>
      <c r="AI4" s="90"/>
      <c r="CX4" s="248"/>
      <c r="CZ4"/>
      <c r="FI4" s="730" t="s">
        <v>634</v>
      </c>
      <c r="FJ4" s="730"/>
      <c r="FK4" s="730"/>
      <c r="FL4" s="730"/>
      <c r="FM4" t="s">
        <v>627</v>
      </c>
      <c r="FO4" s="730" t="s">
        <v>633</v>
      </c>
      <c r="FP4" s="730"/>
      <c r="FQ4" s="730"/>
      <c r="FR4" s="730"/>
    </row>
    <row r="5" spans="1:185" ht="26" customHeight="1" thickBot="1">
      <c r="A5" s="932" t="str">
        <f>""&amp;A7&amp;" måneds kalender for: "&amp;Stamoplysninger!E8&amp;". Måneden vedr. normperioden: "&amp;Stamoplysninger!E11&amp;" - "&amp;Stamoplysninger!G11&amp;"."</f>
        <v>November måneds kalender for: Beate Simonsen. Måneden vedr. normperioden: 01.08.2024 - 31.07.2025.</v>
      </c>
      <c r="B5" s="933"/>
      <c r="C5" s="933"/>
      <c r="D5" s="933"/>
      <c r="E5" s="933"/>
      <c r="F5" s="933"/>
      <c r="G5" s="933"/>
      <c r="H5" s="933"/>
      <c r="I5" s="933"/>
      <c r="J5" s="933"/>
      <c r="K5" s="933"/>
      <c r="L5" s="933"/>
      <c r="M5" s="933"/>
      <c r="N5" s="933"/>
      <c r="O5" s="933"/>
      <c r="P5" s="933"/>
      <c r="Q5" s="933"/>
      <c r="R5" s="933"/>
      <c r="S5" s="925" t="s">
        <v>397</v>
      </c>
      <c r="T5" s="926"/>
      <c r="U5" s="926"/>
      <c r="V5" s="926"/>
      <c r="W5" s="926"/>
      <c r="X5" s="927"/>
      <c r="Y5" s="246"/>
      <c r="Z5" s="90"/>
      <c r="AB5" s="90"/>
      <c r="AC5" s="90"/>
      <c r="AH5" s="90"/>
      <c r="AI5" s="90"/>
      <c r="CX5" s="248"/>
      <c r="CZ5"/>
      <c r="FI5" s="881" t="s">
        <v>620</v>
      </c>
      <c r="FJ5" s="881"/>
      <c r="FK5" s="881"/>
      <c r="FL5" s="881"/>
      <c r="FM5" s="881"/>
      <c r="FN5" s="881"/>
      <c r="FO5" s="881"/>
      <c r="FP5" s="881"/>
      <c r="FQ5" s="881"/>
      <c r="FR5" s="881"/>
      <c r="FU5" t="s">
        <v>635</v>
      </c>
      <c r="FV5" t="s">
        <v>628</v>
      </c>
      <c r="FX5" t="s">
        <v>629</v>
      </c>
      <c r="FZ5" t="s">
        <v>630</v>
      </c>
      <c r="GB5" s="526" t="s">
        <v>631</v>
      </c>
    </row>
    <row r="6" spans="1:185" ht="47" customHeight="1">
      <c r="A6" s="329">
        <f>August!A7</f>
        <v>2024</v>
      </c>
      <c r="B6" s="242"/>
      <c r="C6" s="243"/>
      <c r="D6" s="244"/>
      <c r="E6" s="940" t="s">
        <v>471</v>
      </c>
      <c r="F6" s="941"/>
      <c r="G6" s="942"/>
      <c r="H6" s="326" t="s">
        <v>324</v>
      </c>
      <c r="I6" s="888" t="s">
        <v>466</v>
      </c>
      <c r="J6" s="938" t="s">
        <v>487</v>
      </c>
      <c r="K6" s="934" t="s">
        <v>303</v>
      </c>
      <c r="L6" s="935"/>
      <c r="M6" s="327" t="s">
        <v>304</v>
      </c>
      <c r="N6" s="888" t="s">
        <v>447</v>
      </c>
      <c r="O6" s="888" t="s">
        <v>308</v>
      </c>
      <c r="P6" s="888" t="s">
        <v>456</v>
      </c>
      <c r="Q6" s="888" t="s">
        <v>387</v>
      </c>
      <c r="R6" s="891" t="s">
        <v>516</v>
      </c>
      <c r="S6" s="953" t="s">
        <v>305</v>
      </c>
      <c r="T6" s="954"/>
      <c r="U6" s="954"/>
      <c r="V6" s="954"/>
      <c r="W6" s="954"/>
      <c r="X6" s="955"/>
      <c r="Y6" s="212"/>
      <c r="Z6" s="212"/>
      <c r="AA6" s="890" t="s">
        <v>261</v>
      </c>
      <c r="AB6" s="890"/>
      <c r="AC6" s="890"/>
      <c r="AD6" s="890"/>
      <c r="AE6" s="890"/>
      <c r="AF6" s="209"/>
      <c r="AG6" s="890" t="s">
        <v>222</v>
      </c>
      <c r="AH6" s="890"/>
      <c r="AI6" s="890"/>
      <c r="AJ6" s="890"/>
      <c r="AK6" s="890"/>
      <c r="AL6" s="890" t="s">
        <v>223</v>
      </c>
      <c r="AM6" s="890"/>
      <c r="AN6" s="890"/>
      <c r="AO6" s="890"/>
      <c r="AP6" s="890"/>
      <c r="AQ6" s="890" t="s">
        <v>224</v>
      </c>
      <c r="AR6" s="890"/>
      <c r="AS6" s="890"/>
      <c r="AT6" s="890"/>
      <c r="AU6" s="890"/>
      <c r="AV6" s="890" t="s">
        <v>225</v>
      </c>
      <c r="AW6" s="890"/>
      <c r="AX6" s="890"/>
      <c r="AY6" s="890"/>
      <c r="AZ6" s="890"/>
      <c r="BA6" s="299"/>
      <c r="BB6" s="209"/>
      <c r="BC6" s="890" t="s">
        <v>264</v>
      </c>
      <c r="BD6" s="890"/>
      <c r="BE6" s="890"/>
      <c r="BF6" s="890"/>
      <c r="BG6" s="890" t="s">
        <v>227</v>
      </c>
      <c r="BH6" s="890"/>
      <c r="BI6" s="890"/>
      <c r="BJ6" s="890"/>
      <c r="BK6" s="890"/>
      <c r="BL6" s="890" t="s">
        <v>228</v>
      </c>
      <c r="BM6" s="890"/>
      <c r="BN6" s="890"/>
      <c r="BO6" s="890"/>
      <c r="BP6" s="890"/>
      <c r="BQ6" s="890" t="s">
        <v>229</v>
      </c>
      <c r="BR6" s="890"/>
      <c r="BS6" s="890"/>
      <c r="BT6" s="890"/>
      <c r="BU6" s="890"/>
      <c r="BV6" s="890" t="s">
        <v>230</v>
      </c>
      <c r="BW6" s="890"/>
      <c r="BX6" s="890"/>
      <c r="BY6" s="890"/>
      <c r="BZ6" s="890"/>
      <c r="CD6" s="890" t="s">
        <v>265</v>
      </c>
      <c r="CE6" s="890"/>
      <c r="CF6" s="890"/>
      <c r="CG6" s="890"/>
      <c r="CH6" s="890"/>
      <c r="CI6" s="890" t="s">
        <v>267</v>
      </c>
      <c r="CJ6" s="890"/>
      <c r="CK6" s="890"/>
      <c r="CL6" s="890"/>
      <c r="CM6" s="890"/>
      <c r="CN6" s="890" t="s">
        <v>266</v>
      </c>
      <c r="CO6" s="890"/>
      <c r="CP6" s="890"/>
      <c r="CQ6" s="890"/>
      <c r="CR6" s="890"/>
      <c r="CS6" s="890" t="s">
        <v>268</v>
      </c>
      <c r="CT6" s="890"/>
      <c r="CU6" s="890"/>
      <c r="CV6" s="890"/>
      <c r="CW6" s="890"/>
      <c r="CX6" s="248"/>
      <c r="CZ6"/>
      <c r="DA6" s="730" t="s">
        <v>212</v>
      </c>
      <c r="DB6" s="730"/>
      <c r="DC6" s="730"/>
      <c r="DD6" s="730"/>
      <c r="DE6" s="730"/>
      <c r="DO6" s="1049" t="s">
        <v>320</v>
      </c>
      <c r="DP6" s="1050"/>
      <c r="DQ6" s="1050"/>
      <c r="DR6" s="1050"/>
      <c r="DS6" s="1050"/>
      <c r="DT6" s="1050"/>
      <c r="DU6" s="1050"/>
      <c r="DV6" s="1051"/>
      <c r="DW6" s="1052" t="s">
        <v>320</v>
      </c>
      <c r="DX6" s="1053"/>
      <c r="DY6" s="1053"/>
      <c r="DZ6" s="1053"/>
      <c r="EA6" s="1053"/>
      <c r="EB6" s="1054"/>
      <c r="EC6" s="1055" t="s">
        <v>376</v>
      </c>
      <c r="ED6" s="1056"/>
      <c r="EE6" s="1056"/>
      <c r="EF6" s="1056"/>
      <c r="EG6" s="1056"/>
      <c r="EH6" s="1056"/>
      <c r="EI6" s="1056"/>
      <c r="EJ6" s="1057"/>
      <c r="EK6" s="1058" t="s">
        <v>321</v>
      </c>
      <c r="EL6" s="1059"/>
      <c r="EM6" s="1059"/>
      <c r="EN6" s="1060"/>
      <c r="EO6" s="1058" t="s">
        <v>325</v>
      </c>
      <c r="EP6" s="1059"/>
      <c r="EQ6" s="1059"/>
      <c r="ER6" s="1060"/>
      <c r="ES6" s="873" t="s">
        <v>379</v>
      </c>
      <c r="ET6" s="874"/>
      <c r="EU6" s="874"/>
      <c r="EV6" s="875"/>
      <c r="EW6" s="873" t="s">
        <v>380</v>
      </c>
      <c r="EX6" s="874"/>
      <c r="EY6" s="874"/>
      <c r="EZ6" s="875"/>
      <c r="FA6" s="873" t="s">
        <v>381</v>
      </c>
      <c r="FB6" s="874"/>
      <c r="FC6" s="874"/>
      <c r="FD6" s="875"/>
      <c r="FE6" s="873" t="s">
        <v>382</v>
      </c>
      <c r="FF6" s="874"/>
      <c r="FG6" s="874"/>
      <c r="FH6" s="875"/>
      <c r="FI6" s="883" t="s">
        <v>605</v>
      </c>
      <c r="FJ6" s="884"/>
      <c r="FK6" s="884"/>
      <c r="FL6" s="1061"/>
      <c r="FM6" s="882" t="s">
        <v>381</v>
      </c>
      <c r="FN6" s="882"/>
      <c r="FO6" s="883" t="s">
        <v>632</v>
      </c>
      <c r="FP6" s="884"/>
      <c r="FQ6" s="884"/>
      <c r="FR6" s="885"/>
      <c r="FS6" s="886" t="s">
        <v>622</v>
      </c>
      <c r="FT6" s="887"/>
      <c r="FU6" t="s">
        <v>625</v>
      </c>
      <c r="FV6" s="882" t="s">
        <v>379</v>
      </c>
      <c r="FW6" s="882"/>
      <c r="FX6" s="882" t="s">
        <v>380</v>
      </c>
      <c r="FY6" s="882"/>
      <c r="FZ6" s="882" t="s">
        <v>382</v>
      </c>
      <c r="GA6" s="882"/>
      <c r="GB6" s="882" t="s">
        <v>378</v>
      </c>
      <c r="GC6" s="882"/>
    </row>
    <row r="7" spans="1:185" ht="185" customHeight="1">
      <c r="A7" s="997" t="s">
        <v>238</v>
      </c>
      <c r="B7" s="998"/>
      <c r="C7" s="998"/>
      <c r="D7" s="999"/>
      <c r="E7" s="943"/>
      <c r="F7" s="944"/>
      <c r="G7" s="945"/>
      <c r="H7" s="952" t="s">
        <v>486</v>
      </c>
      <c r="I7" s="937"/>
      <c r="J7" s="939"/>
      <c r="K7" s="328" t="s">
        <v>517</v>
      </c>
      <c r="L7" s="328" t="s">
        <v>518</v>
      </c>
      <c r="M7" s="328" t="s">
        <v>519</v>
      </c>
      <c r="N7" s="889"/>
      <c r="O7" s="889"/>
      <c r="P7" s="889"/>
      <c r="Q7" s="889"/>
      <c r="R7" s="892"/>
      <c r="S7" s="492" t="s">
        <v>738</v>
      </c>
      <c r="T7" s="327" t="s">
        <v>307</v>
      </c>
      <c r="U7" s="327" t="s">
        <v>401</v>
      </c>
      <c r="V7" s="443" t="s">
        <v>439</v>
      </c>
      <c r="W7" s="443" t="s">
        <v>438</v>
      </c>
      <c r="X7" s="444" t="s">
        <v>398</v>
      </c>
      <c r="Y7" s="212" t="s">
        <v>279</v>
      </c>
      <c r="Z7" s="436" t="s">
        <v>280</v>
      </c>
      <c r="AA7" s="300" t="s">
        <v>211</v>
      </c>
      <c r="AB7" t="s">
        <v>136</v>
      </c>
      <c r="AC7" t="s">
        <v>139</v>
      </c>
      <c r="AD7" t="s">
        <v>138</v>
      </c>
      <c r="AE7" t="s">
        <v>137</v>
      </c>
      <c r="AF7" t="s">
        <v>416</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8"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2" t="s">
        <v>231</v>
      </c>
      <c r="CB7" s="234" t="s">
        <v>251</v>
      </c>
      <c r="CC7" s="300"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8" t="s">
        <v>277</v>
      </c>
      <c r="CY7" s="248" t="s">
        <v>269</v>
      </c>
      <c r="CZ7" s="248" t="s">
        <v>270</v>
      </c>
      <c r="DA7" s="248" t="s">
        <v>271</v>
      </c>
      <c r="DB7" s="248" t="s">
        <v>272</v>
      </c>
      <c r="DC7" s="248" t="s">
        <v>273</v>
      </c>
      <c r="DD7" s="248" t="s">
        <v>274</v>
      </c>
      <c r="DE7" s="248" t="s">
        <v>275</v>
      </c>
      <c r="DF7" s="248" t="s">
        <v>276</v>
      </c>
      <c r="DG7" s="248"/>
      <c r="DO7" s="649" t="s">
        <v>720</v>
      </c>
      <c r="DP7" s="300" t="s">
        <v>721</v>
      </c>
      <c r="DQ7" s="703" t="s">
        <v>725</v>
      </c>
      <c r="DR7" s="703" t="s">
        <v>722</v>
      </c>
      <c r="DS7" s="650" t="s">
        <v>727</v>
      </c>
      <c r="DT7" s="650" t="str">
        <f>DP7</f>
        <v>Ulempetillæg på weekenddage - kræver der er sat kryds i weekendarbejde. KOLONNE I</v>
      </c>
      <c r="DU7" s="705" t="s">
        <v>728</v>
      </c>
      <c r="DV7" s="704" t="str">
        <f>DR7</f>
        <v>Ulempetillæg ændringer på weekenddage. Kræver der er sat kryds i ændring i timetal og at det er en weekeend. KOLONNE I OG S</v>
      </c>
      <c r="DW7" s="649" t="s">
        <v>598</v>
      </c>
      <c r="DX7" s="300" t="s">
        <v>596</v>
      </c>
      <c r="DY7" s="300" t="s">
        <v>597</v>
      </c>
      <c r="DZ7" s="650" t="str">
        <f>DW7</f>
        <v>17-06 timer til udbetaling inkl. ændringer 17-06</v>
      </c>
      <c r="EA7" s="650" t="str">
        <f>DX7</f>
        <v>Ulempetillæg på weekenddage</v>
      </c>
      <c r="EB7" s="651" t="str">
        <f>DY7</f>
        <v>Ulempetillæg ændringer på weekenddage</v>
      </c>
      <c r="EC7" s="706" t="s">
        <v>723</v>
      </c>
      <c r="ED7" s="703" t="s">
        <v>724</v>
      </c>
      <c r="EE7" s="703" t="s">
        <v>726</v>
      </c>
      <c r="EF7" s="703" t="s">
        <v>722</v>
      </c>
      <c r="EG7" s="650" t="s">
        <v>727</v>
      </c>
      <c r="EH7" s="705" t="str">
        <f>ED7</f>
        <v>Ulempetillæg på weekenddage til afspadsering. Kræver der er sat kryds i weekendarb. KOLONNE I</v>
      </c>
      <c r="EI7" s="705" t="s">
        <v>728</v>
      </c>
      <c r="EJ7" s="704" t="str">
        <f>EF7</f>
        <v>Ulempetillæg ændringer på weekenddage. Kræver der er sat kryds i ændring i timetal og at det er en weekeend. KOLONNE I OG S</v>
      </c>
      <c r="EK7" s="656" t="s">
        <v>730</v>
      </c>
      <c r="EL7" s="654" t="s">
        <v>729</v>
      </c>
      <c r="EM7" s="655" t="s">
        <v>733</v>
      </c>
      <c r="EN7" s="657" t="s">
        <v>732</v>
      </c>
      <c r="EO7" s="656" t="s">
        <v>730</v>
      </c>
      <c r="EP7" s="654" t="s">
        <v>729</v>
      </c>
      <c r="EQ7" s="655" t="s">
        <v>733</v>
      </c>
      <c r="ER7" s="657" t="s">
        <v>732</v>
      </c>
      <c r="ES7" s="656" t="s">
        <v>734</v>
      </c>
      <c r="ET7" s="654" t="s">
        <v>735</v>
      </c>
      <c r="EU7" s="655" t="s">
        <v>731</v>
      </c>
      <c r="EV7" s="657" t="s">
        <v>736</v>
      </c>
      <c r="EW7" s="656" t="s">
        <v>734</v>
      </c>
      <c r="EX7" s="654" t="s">
        <v>735</v>
      </c>
      <c r="EY7" s="655" t="s">
        <v>731</v>
      </c>
      <c r="EZ7" s="657" t="s">
        <v>736</v>
      </c>
      <c r="FA7" s="656" t="s">
        <v>737</v>
      </c>
      <c r="FB7" s="654" t="s">
        <v>735</v>
      </c>
      <c r="FC7" s="655" t="s">
        <v>731</v>
      </c>
      <c r="FD7" s="657" t="s">
        <v>736</v>
      </c>
      <c r="FE7" s="656" t="str">
        <f>FA7</f>
        <v>Weekendtimer på weekenddage</v>
      </c>
      <c r="FF7" s="654" t="s">
        <v>735</v>
      </c>
      <c r="FG7" s="655" t="s">
        <v>731</v>
      </c>
      <c r="FH7" s="657" t="s">
        <v>736</v>
      </c>
      <c r="FI7" s="682" t="s">
        <v>619</v>
      </c>
      <c r="FJ7" s="654" t="s">
        <v>600</v>
      </c>
      <c r="FK7" s="682" t="s">
        <v>619</v>
      </c>
      <c r="FL7" s="657" t="s">
        <v>600</v>
      </c>
      <c r="FM7" s="683" t="s">
        <v>613</v>
      </c>
      <c r="FN7" s="684" t="s">
        <v>614</v>
      </c>
      <c r="FO7" s="682" t="s">
        <v>599</v>
      </c>
      <c r="FP7" s="654" t="s">
        <v>600</v>
      </c>
      <c r="FQ7" s="686" t="s">
        <v>599</v>
      </c>
      <c r="FR7" s="687" t="s">
        <v>600</v>
      </c>
      <c r="FS7" s="691" t="s">
        <v>621</v>
      </c>
      <c r="FT7" s="684" t="s">
        <v>621</v>
      </c>
      <c r="FU7" s="300" t="s">
        <v>624</v>
      </c>
      <c r="FV7" s="683" t="s">
        <v>626</v>
      </c>
      <c r="FW7" s="683" t="s">
        <v>626</v>
      </c>
      <c r="FX7" s="683" t="s">
        <v>626</v>
      </c>
      <c r="FY7" s="683" t="s">
        <v>626</v>
      </c>
      <c r="FZ7" s="683" t="s">
        <v>615</v>
      </c>
      <c r="GA7" s="684" t="s">
        <v>616</v>
      </c>
      <c r="GB7" s="683" t="s">
        <v>615</v>
      </c>
      <c r="GC7" s="684" t="s">
        <v>616</v>
      </c>
    </row>
    <row r="8" spans="1:185" ht="20" customHeight="1">
      <c r="A8" s="1000"/>
      <c r="B8" s="1001"/>
      <c r="C8" s="1001"/>
      <c r="D8" s="1002"/>
      <c r="E8" s="946"/>
      <c r="F8" s="947"/>
      <c r="G8" s="948"/>
      <c r="H8" s="889"/>
      <c r="I8" s="928" t="s">
        <v>383</v>
      </c>
      <c r="J8" s="936"/>
      <c r="K8" s="928" t="s">
        <v>326</v>
      </c>
      <c r="L8" s="929"/>
      <c r="M8" s="929"/>
      <c r="N8" s="929"/>
      <c r="O8" s="929"/>
      <c r="P8" s="929"/>
      <c r="Q8" s="929"/>
      <c r="R8" s="929"/>
      <c r="S8" s="956" t="s">
        <v>383</v>
      </c>
      <c r="T8" s="929"/>
      <c r="U8" s="936"/>
      <c r="V8" s="1090" t="s">
        <v>384</v>
      </c>
      <c r="W8" s="1091"/>
      <c r="X8" s="1092"/>
      <c r="Y8" s="212"/>
      <c r="Z8" s="436"/>
      <c r="AA8" s="300"/>
      <c r="BB8" s="228"/>
      <c r="CA8" s="112"/>
      <c r="CB8" s="234"/>
      <c r="CC8" s="300"/>
      <c r="CX8" s="248"/>
      <c r="DA8" s="248"/>
      <c r="DB8" s="248"/>
      <c r="DC8" s="248"/>
      <c r="DD8" s="248"/>
      <c r="DE8" s="248"/>
      <c r="DF8" s="248"/>
      <c r="DG8" s="248"/>
      <c r="DH8" t="s">
        <v>493</v>
      </c>
      <c r="DI8" t="s">
        <v>494</v>
      </c>
      <c r="DJ8" t="s">
        <v>495</v>
      </c>
      <c r="DO8" s="652"/>
      <c r="DS8" s="1063" t="s">
        <v>162</v>
      </c>
      <c r="DT8" s="1063"/>
      <c r="DU8" s="1063"/>
      <c r="DV8" s="1064"/>
      <c r="DW8" s="652"/>
      <c r="DZ8" s="1065" t="s">
        <v>162</v>
      </c>
      <c r="EA8" s="1065"/>
      <c r="EB8" s="1066"/>
      <c r="EG8" s="1065" t="s">
        <v>162</v>
      </c>
      <c r="EH8" s="1065"/>
      <c r="EI8" s="1065"/>
      <c r="EJ8" s="653"/>
      <c r="EK8" s="283"/>
      <c r="EL8" s="251"/>
      <c r="EM8" s="876" t="s">
        <v>162</v>
      </c>
      <c r="EN8" s="877"/>
      <c r="EO8" s="283"/>
      <c r="EP8" s="251"/>
      <c r="EQ8" s="876" t="s">
        <v>162</v>
      </c>
      <c r="ER8" s="877"/>
      <c r="ES8" s="283"/>
      <c r="ET8" s="251"/>
      <c r="EU8" s="876" t="s">
        <v>162</v>
      </c>
      <c r="EV8" s="877"/>
      <c r="EW8" s="283"/>
      <c r="EX8" s="251"/>
      <c r="EY8" s="876" t="s">
        <v>162</v>
      </c>
      <c r="EZ8" s="877"/>
      <c r="FA8" s="283"/>
      <c r="FB8" s="251"/>
      <c r="FC8" s="876" t="s">
        <v>162</v>
      </c>
      <c r="FD8" s="877"/>
      <c r="FE8" s="283"/>
      <c r="FF8" s="251"/>
      <c r="FG8" s="876" t="s">
        <v>162</v>
      </c>
      <c r="FH8" s="877"/>
      <c r="FI8" s="283"/>
      <c r="FJ8" s="251"/>
      <c r="FK8" s="876" t="s">
        <v>162</v>
      </c>
      <c r="FL8" s="877"/>
      <c r="FN8" s="645" t="s">
        <v>160</v>
      </c>
      <c r="FO8" s="283"/>
      <c r="FP8" s="251"/>
      <c r="FQ8" s="876" t="s">
        <v>162</v>
      </c>
      <c r="FR8" s="1062"/>
      <c r="FS8" s="283"/>
      <c r="FT8" s="692" t="s">
        <v>160</v>
      </c>
      <c r="FW8" s="645" t="s">
        <v>160</v>
      </c>
      <c r="FY8" s="645" t="s">
        <v>160</v>
      </c>
      <c r="GA8" s="645" t="s">
        <v>160</v>
      </c>
      <c r="GC8" s="645" t="s">
        <v>160</v>
      </c>
    </row>
    <row r="9" spans="1:185">
      <c r="A9" s="245">
        <f>IF(ISNUMBER(A7),A7+1,1)</f>
        <v>1</v>
      </c>
      <c r="B9" s="128" t="str">
        <f t="shared" ref="B9:B38" si="0">CHOOSE(MOD(WEEKDAY(DATE(A$6,A$2,A9)),7)+1,"lø","sø","ma","ti","on","to","fr",)</f>
        <v>fr</v>
      </c>
      <c r="C9" s="129" t="s">
        <v>206</v>
      </c>
      <c r="D9" s="130" t="str">
        <f t="shared" ref="D9:D38" si="1">IF(B9="ma",(DATE(A$6,A$2,A9)-DATE(A$6,1,1)+7)/7,"")</f>
        <v/>
      </c>
      <c r="E9" s="917"/>
      <c r="F9" s="918"/>
      <c r="G9" s="919"/>
      <c r="H9" s="298"/>
      <c r="I9" s="527"/>
      <c r="J9" s="413"/>
      <c r="K9" s="380"/>
      <c r="L9" s="380"/>
      <c r="M9" s="380"/>
      <c r="N9" s="318">
        <f>BA9</f>
        <v>6.75</v>
      </c>
      <c r="O9" s="318">
        <f>CA9</f>
        <v>3</v>
      </c>
      <c r="P9" s="318">
        <f>IF(Stamoplysninger!$H$29="JA",November!DG9,CX9)</f>
        <v>1.5</v>
      </c>
      <c r="Q9" s="318">
        <f>IF(OR(C9="Lejrskole",C9="Ekskursion"),0,N9-O9-P9)</f>
        <v>2.25</v>
      </c>
      <c r="R9" s="319"/>
      <c r="S9" s="324"/>
      <c r="T9" s="325"/>
      <c r="U9" s="325"/>
      <c r="V9" s="435"/>
      <c r="W9" s="435"/>
      <c r="X9" s="644"/>
      <c r="Y9">
        <f>IF($S$9="x",V9-N9,0)</f>
        <v>0</v>
      </c>
      <c r="Z9" s="437">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f>IF(AND(C9="Skema 1",B9="fr"),Arbejdstidsoversigt!$E$76,"")</f>
        <v>6.75</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6.75</v>
      </c>
      <c r="BB9" s="229">
        <f t="shared" ref="BB9:BB38" si="7">SUM(AG9:AK9)*24</f>
        <v>162</v>
      </c>
      <c r="BC9" s="1">
        <f>IF($C$9="Lejrskole",$L$9,0)</f>
        <v>0</v>
      </c>
      <c r="BD9" s="1">
        <f t="shared" ref="BD9:BD38" si="8">IF(C9="Ekskursion",L9,0)</f>
        <v>0</v>
      </c>
      <c r="BE9" s="1">
        <f t="shared" ref="BE9:BE38" si="9">IF(C9="fagdag",L9,0)</f>
        <v>0</v>
      </c>
      <c r="BF9" s="1">
        <f t="shared" ref="BF9:BF38" si="10">IF(C9="emnedag",L9,0)</f>
        <v>0</v>
      </c>
      <c r="BG9" s="210" t="str">
        <f>IF(AND(C9="Skema 1",B9="ma"),Skemaoplysninger!$E$30,"")</f>
        <v/>
      </c>
      <c r="BH9" s="210" t="str">
        <f>IF(AND(C9="Skema 1",B9="ti"),Skemaoplysninger!$G$30,"")</f>
        <v/>
      </c>
      <c r="BI9" s="210" t="str">
        <f>IF(AND(C9="Skema 1",B9="on"),Skemaoplysninger!$I$30,"")</f>
        <v/>
      </c>
      <c r="BJ9" s="210" t="str">
        <f>IF(AND(C9="Skema 1",B9="to"),Skemaoplysninger!$K$30,"")</f>
        <v/>
      </c>
      <c r="BK9" s="210">
        <f>IF(AND(C9="Skema 1",B9="fr"),Skemaoplysninger!$M$30,"")</f>
        <v>0.125</v>
      </c>
      <c r="BL9" s="210" t="str">
        <f>IF(AND(C9="Skema 2",B9="ma"),Skemaoplysninger!$S$30,"")</f>
        <v/>
      </c>
      <c r="BM9" s="210" t="str">
        <f>IF(AND(C9="Skema 2",B9="ti"),Skemaoplysninger!$U$30,"")</f>
        <v/>
      </c>
      <c r="BN9" s="210" t="str">
        <f>IF(AND(C9="Skema 2",B9="on"),Skemaoplysninger!$W$30,"")</f>
        <v/>
      </c>
      <c r="BO9" s="210" t="str">
        <f>IF(AND(C9="Skema 2",B9="to"),Skemaoplysninger!$Y$30,"")</f>
        <v/>
      </c>
      <c r="BP9" s="210" t="str">
        <f>IF(AND(C9="Skema 2",B9="fr"),Skemaoplysninger!$AA$30,"")</f>
        <v/>
      </c>
      <c r="BQ9" s="210" t="str">
        <f>IF(AND(C9="Skema 3",B9="ma"),Skemaoplysninger!$AG$30,"")</f>
        <v/>
      </c>
      <c r="BR9" s="210" t="str">
        <f>IF(AND(C9="Skema 3",B9="ti"),Skemaoplysninger!$AI$30,"")</f>
        <v/>
      </c>
      <c r="BS9" s="210" t="str">
        <f>IF(AND(C9="Skema 3",B9="on"),Skemaoplysninger!$AK$30,"")</f>
        <v/>
      </c>
      <c r="BT9" s="210" t="str">
        <f>IF(AND(C9="Skema 3",B9="to"),Skemaoplysninger!$AM$30,"")</f>
        <v/>
      </c>
      <c r="BU9" s="210" t="str">
        <f>IF(AND(C9="Skema 3",B9="fr"),Skemaoplysninger!$AO$30,"")</f>
        <v/>
      </c>
      <c r="BV9" s="210" t="str">
        <f>IF(AND(C9="Skema 4",B9="ma"),Skemaoplysninger!$AU$30,"")</f>
        <v/>
      </c>
      <c r="BW9" s="210" t="str">
        <f>IF(AND(C9="Skema 4",B9="ti"),Skemaoplysninger!$AW$30,"")</f>
        <v/>
      </c>
      <c r="BX9" s="210" t="str">
        <f>IF(AND(C9="Skema 4",B9="on"),Skemaoplysninger!$AY$30,"")</f>
        <v/>
      </c>
      <c r="BY9" s="210" t="str">
        <f>IF(AND(C9="Skema 4",B9="to"),Skemaoplysninger!$BA$30,"")</f>
        <v/>
      </c>
      <c r="BZ9" s="210" t="str">
        <f>IF(AND(C9="Skema 4",B9="fr"),Skemaoplysninger!$BC$30,"")</f>
        <v/>
      </c>
      <c r="CA9" s="1">
        <f>SUM(BG9:BZ9)*24+SUM(BC9:BF9)</f>
        <v>3</v>
      </c>
      <c r="CB9" s="1">
        <f t="shared" ref="CB9:CB38" si="11">IF(C9="fagdag",M9,0)</f>
        <v>0</v>
      </c>
      <c r="CC9" s="1">
        <f t="shared" ref="CC9:CC38" si="12">IF(C9="emnedag",M9,0)</f>
        <v>0</v>
      </c>
      <c r="CD9" s="210" t="str">
        <f>IF(AND(C9="Skema 1",B9="ma"),Skemaoplysninger!$E$31,"")</f>
        <v/>
      </c>
      <c r="CE9" s="210" t="str">
        <f>IF(AND(C9="Skema 1",B9="ti"),Skemaoplysninger!$G$31,"")</f>
        <v/>
      </c>
      <c r="CF9" s="210" t="str">
        <f>IF(AND(C9="Skema 1",B9="on"),Skemaoplysninger!$I$31,"")</f>
        <v/>
      </c>
      <c r="CG9" s="210" t="str">
        <f>IF(AND(C9="Skema 1",B9="to"),Skemaoplysninger!$K$31,"")</f>
        <v/>
      </c>
      <c r="CH9" s="210">
        <f>IF(AND(C9="Skema 1",B9="fr"),Skemaoplysninger!$M$31,"")</f>
        <v>6.25E-2</v>
      </c>
      <c r="CI9" s="210" t="str">
        <f>IF(AND(C9="Skema 2",B9="ma"),Skemaoplysninger!$S$31,"")</f>
        <v/>
      </c>
      <c r="CJ9" s="210" t="str">
        <f>IF(AND(C9="Skema 2",B9="ti"),Skemaoplysninger!$U$31,"")</f>
        <v/>
      </c>
      <c r="CK9" s="210" t="str">
        <f>IF(AND(C9="Skema 2",B9="on"),Skemaoplysninger!$W$31,"")</f>
        <v/>
      </c>
      <c r="CL9" s="210" t="str">
        <f>IF(AND(C9="Skema 2",B9="to"),Skemaoplysninger!$Y$31,"")</f>
        <v/>
      </c>
      <c r="CM9" s="210" t="str">
        <f>IF(AND(C9="Skema 2",B9="fr"),Skemaoplysninger!$AA$31,"")</f>
        <v/>
      </c>
      <c r="CN9" s="210" t="str">
        <f>IF(AND(C9="Skema 3",B9="ma"),Skemaoplysninger!$AG$31,"")</f>
        <v/>
      </c>
      <c r="CO9" s="210" t="str">
        <f>IF(AND(C9="Skema 3",B9="ti"),Skemaoplysninger!$AI$31,"")</f>
        <v/>
      </c>
      <c r="CP9" s="210" t="str">
        <f>IF(AND(C9="Skema 3",B9="on"),Skemaoplysninger!$AK$31,"")</f>
        <v/>
      </c>
      <c r="CQ9" s="210" t="str">
        <f>IF(AND(C9="Skema 3",B9="to"),Skemaoplysninger!$AM$31,"")</f>
        <v/>
      </c>
      <c r="CR9" s="210" t="str">
        <f>IF(AND(C9="Skema 3",B9="fr"),Skemaoplysninger!$AO$31,"")</f>
        <v/>
      </c>
      <c r="CS9" s="210" t="str">
        <f>IF(AND(C9="Skema 4",B9="ma"),Skemaoplysninger!$AU$31,"")</f>
        <v/>
      </c>
      <c r="CT9" s="210" t="str">
        <f>IF(AND(C9="Skema 4",B9="ti"),Skemaoplysninger!$AW$31,"")</f>
        <v/>
      </c>
      <c r="CU9" s="210" t="str">
        <f>IF(AND(C9="Skema 4",B9="on"),Skemaoplysninger!$AY$31,"")</f>
        <v/>
      </c>
      <c r="CV9" s="210" t="str">
        <f>IF(AND(C9="Skema 4",B9="to"),Skemaoplysninger!$BA$31,"")</f>
        <v/>
      </c>
      <c r="CW9" s="210" t="str">
        <f>IF(AND(C9="Skema 4",B9="fr"),Skemaoplysninger!$BC$31,"")</f>
        <v/>
      </c>
      <c r="CX9" s="249">
        <f>IF(Stamoplysninger!$H$29="NEJ",SUM(CD9:CW9)*24+CB9+CC9,0)</f>
        <v>1.5</v>
      </c>
      <c r="CY9" s="249">
        <f>IF(C9="Skema 1",Stamoplysninger!$H$30/200,0)</f>
        <v>0</v>
      </c>
      <c r="CZ9" s="249">
        <f>IF(C9="Skema 2",Stamoplysninger!$H$30/200,0)</f>
        <v>0</v>
      </c>
      <c r="DA9" s="249">
        <f>IF(C9="Skema 3",Stamoplysninger!$H$30/200,0)</f>
        <v>0</v>
      </c>
      <c r="DB9" s="249">
        <f>IF(C9="Skema 4",Stamoplysninger!$H$30/200,0)</f>
        <v>0</v>
      </c>
      <c r="DC9" s="249">
        <f>IF(C9="fagdag",Stamoplysninger!$H$30/200,0)</f>
        <v>0</v>
      </c>
      <c r="DD9" s="249">
        <f>IF(C9="emnedag",Stamoplysninger!$H$30/200,0)</f>
        <v>0</v>
      </c>
      <c r="DE9" s="249">
        <f>IF(C9="lejrskole",Stamoplysninger!$H$30/200,0)</f>
        <v>0</v>
      </c>
      <c r="DF9" s="249">
        <f>IF(C9="ekskursion",Stamoplysninger!$H$30/200,0)</f>
        <v>0</v>
      </c>
      <c r="DG9" s="249">
        <f>SUM(CY9:DF9)</f>
        <v>0</v>
      </c>
      <c r="DH9" t="str">
        <f>IF(AND(E9&gt;0,H9&gt;0),""&amp;E9&amp;" og "&amp;H9&amp;"","")</f>
        <v/>
      </c>
      <c r="DI9">
        <f>IF(H9="",E9,"")</f>
        <v>0</v>
      </c>
      <c r="DJ9">
        <f>IF(E9="",H9,"")</f>
        <v>0</v>
      </c>
      <c r="DK9" t="str">
        <f t="shared" ref="DK9:DM39" si="13">IF(DH9=0,"",DH9)</f>
        <v/>
      </c>
      <c r="DL9" t="str">
        <f>IF(DI9=0,"",DI9)</f>
        <v/>
      </c>
      <c r="DM9" t="str">
        <f>IF(DJ9=0,"",DJ9)</f>
        <v/>
      </c>
      <c r="DN9" t="str">
        <f>DK9&amp;""&amp;DL9&amp;""&amp;DM9</f>
        <v/>
      </c>
      <c r="DO9" s="652">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71">
        <f>IF(AND(Stamoplysninger!$B$22="Ulempetillæg udbetales med 25% af nettotimelønnen.",C9="ikke relevant"),(R9)/4,0)</f>
        <v>0</v>
      </c>
      <c r="DT9" s="671">
        <f>IF(AND(AND(Stamoplysninger!$B$22="Ulempetillæg udbetales med 25% af nettotimelønnen.",I9="X",C9="Ikke relevant")),K9/4,0)</f>
        <v>0</v>
      </c>
      <c r="DU9" s="671">
        <f>IF(AND(AND(Stamoplysninger!$B$22="Ulempetillæg udbetales med 25% af nettotimelønnen.",C9="ikke relevant",U9="X")),(X9/4),0)</f>
        <v>0</v>
      </c>
      <c r="DV9" s="672">
        <f>IF(AND(AND(AND(Stamoplysninger!$B$22="Ulempetillæg udbetales med 25% af nettotimelønnen.",I9="X",C9="Ikke relevant",S9="X"))),V9/4,0)</f>
        <v>0</v>
      </c>
      <c r="DW9" s="652"/>
      <c r="DZ9" s="671"/>
      <c r="EA9" s="671"/>
      <c r="EB9" s="672"/>
      <c r="EC9" s="652">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71">
        <f>IF(AND(Stamoplysninger!$B$22="Ulempetillæg afspadseres med 25%(Kræver en aftale imellem ledelsen og den ansatte)",C9="ikke relevant"),(R9)/4,0)</f>
        <v>0</v>
      </c>
      <c r="EH9" s="671">
        <f>IF(AND(AND(Stamoplysninger!$B$22="Ulempetillæg afspadseres med 25%(Kræver en aftale imellem ledelsen og den ansatte)",I9="X",C9="Ikke relevant")),K9/4,0)</f>
        <v>0</v>
      </c>
      <c r="EI9" s="671">
        <f>IF(AND(AND(Stamoplysninger!$B$22="Ulempetillæg afspadseres med 25%(Kræver en aftale imellem ledelsen og den ansatte)",U9="X",C9="Ikke relevant")),X9/4,0)</f>
        <v>0</v>
      </c>
      <c r="EJ9" s="671">
        <f>IF(AND(AND(AND(Stamoplysninger!$B$22="Ulempetillæg afspadseres med 25%(Kræver en aftale imellem ledelsen og den ansatte)",I9="X",C9="Ikke relevant",S9="X"))),V9/4,0)</f>
        <v>0</v>
      </c>
      <c r="EK9" s="283">
        <f>IF(AND(Stamoplysninger!$B$26="Weekendtimer og weekendtillæg afspadseres.",$I$9="X"),$K$9*1.5,0)</f>
        <v>0</v>
      </c>
      <c r="EL9" s="251">
        <f>IF(AND(AND(Stamoplysninger!$B$26="Weekendtimer og weekendtillæg afspadseres.",$I$9="X",$S$9="X")),$V$9*1.5,0)</f>
        <v>0</v>
      </c>
      <c r="EM9" s="674">
        <f>IF(AND(AND(Stamoplysninger!$B$26="Weekendtimer og weekendtillæg afspadseres.",$I$9="X",$C$9="ikke relevant")),$K$9*1.5,0)</f>
        <v>0</v>
      </c>
      <c r="EN9" s="675">
        <f>IF(AND(AND(AND(Stamoplysninger!$B$26="Weekendtimer og weekendtillæg afspadseres.",$I$9="X",$C$9="ikke relevant",$S$9="X"))),($V$9*1.5),0)</f>
        <v>0</v>
      </c>
      <c r="EO9" s="283">
        <f>IF(AND(Stamoplysninger!$B$26="Weekendtimer og weekendtillæg udbetales.",$I$9="X"),$K$9*1.5,0)</f>
        <v>0</v>
      </c>
      <c r="EP9" s="251">
        <f>IF(AND(AND(Stamoplysninger!$B$26="Weekendtimer og weekendtillæg udbetales.",$I$9="X",$S$9="X")),$V$9*1.5,0)</f>
        <v>0</v>
      </c>
      <c r="EQ9" s="674">
        <f>IF(AND(AND(Stamoplysninger!$B$26="Weekendtimer og weekendtillæg udbetales.",$I$9="X",$C$9="ikke relevant")),$K$9*1.5,0)</f>
        <v>0</v>
      </c>
      <c r="ER9" s="675">
        <f>IF(AND(AND(AND(Stamoplysninger!$B$26="Weekendtimer og weekendtillæg udbetales.",$I$9="X",$C$9="ikke relevant",$S$9="X"))),($V$9*1.5),0)</f>
        <v>0</v>
      </c>
      <c r="ES9" s="283">
        <f>IF(AND(Stamoplysninger!$B$26="Der er indgået lokalaftale omkring weekendtimer.(Kræver aftale med TR/FSL) Weekendtillæg afspadseres.",$I$9="X"),$K$9*0.5,0)</f>
        <v>0</v>
      </c>
      <c r="ET9" s="251">
        <f>IF(AND(AND(Stamoplysninger!$B$26="Der er indgået lokalaftale omkring weekendtimer.(Kræver aftale med TR/FSL) Weekendtillæg afspadseres.",$I$9="X",$S$9="X")),$V$9*0.5,0)</f>
        <v>0</v>
      </c>
      <c r="EU9" s="674">
        <f>IF(AND(AND(Stamoplysninger!$B$26="Der er indgået lokalaftale omkring weekendtimer.(Kræver aftale med TR/FSL) Weekendtillæg afspadseres.",$I$9="X",$C$9="ikke relevant")),$K$9*0.5,0)</f>
        <v>0</v>
      </c>
      <c r="EV9" s="675">
        <f>IF(AND(AND(AND(Stamoplysninger!$B$26="Der er indgået lokalaftale omkring weekendtimer.(Kræver aftale med TR/FSL) Weekendtillæg afspadseres.",$I$9="X",$C$9="ikke relevant",$S$9="X"))),($V$9*0.5),0)</f>
        <v>0</v>
      </c>
      <c r="EW9" s="283">
        <f>IF(AND(Stamoplysninger!$B$26="Der er indgået lokalaftale omkring weekendtimer(Kræver aftale med TR/FSL). Weekendtillæg udbetales.",$I$9="X"),$K$9*0.5,0)</f>
        <v>0</v>
      </c>
      <c r="EX9" s="251">
        <f>IF(AND(AND(Stamoplysninger!$B$26="Der er indgået lokalaftale omkring weekendtimer(Kræver aftale med TR/FSL). Weekendtillæg udbetales.",$I$9="X",$S$9="X")),$V$9*0.5,0)</f>
        <v>0</v>
      </c>
      <c r="EY9" s="674">
        <f>IF(AND(AND(Stamoplysninger!$B$26="Der er indgået lokalaftale omkring weekendtimer(Kræver aftale med TR/FSL). Weekendtillæg udbetales.",$I$9="X",$C$9="ikke relevant")),$K$9*0.5,0)</f>
        <v>0</v>
      </c>
      <c r="EZ9" s="675">
        <f>IF(AND(AND(AND(Stamoplysninger!$B$26="Der er indgået lokalaftale omkring weekendtimer(Kræver aftale med TR/FSL). Weekendtillæg udbetales.",$I$9="X",$C$9="ikke relevant",$S$9="X"))),($V$9*0.5),0)</f>
        <v>0</v>
      </c>
      <c r="FA9" s="283">
        <f>IF(AND(Stamoplysninger!$B$26="Der er indgået lokalaftale omkring weekendtillæg(Kræver aftale med TR/FSL). Weekendtimerne afspadseres.",I9="X"),K9,0)</f>
        <v>0</v>
      </c>
      <c r="FB9" s="251">
        <f>IF(AND(AND(Stamoplysninger!$B$26="Der er indgået lokalaftale omkring weekendtillæg(Kræver aftale med TR/FSL). Weekendtimerne afspadseres.",I9="X",S9="X")),V9,0)</f>
        <v>0</v>
      </c>
      <c r="FC9" s="674">
        <f>IF(AND(AND(Stamoplysninger!$B$26="Der er indgået lokalaftale omkring weekendtillæg(Kræver aftale med TR/FSL). Weekendtimerne afspadseres..",I9="X",C9="ikke relevant")),K9,0)</f>
        <v>0</v>
      </c>
      <c r="FD9" s="675">
        <f>IF(AND(AND(AND(Stamoplysninger!$B$26="Der er indgået lokalaftale omkring weekendtillæg(Kræver aftale med TR/FSL). Weekendtimerne afspadseres.",I9="X",C9="ikke relevant",S9="X"))),(V9),0)</f>
        <v>0</v>
      </c>
      <c r="FE9" s="283">
        <f>IF(AND(Stamoplysninger!$B$26="Der er indgået lokalaftale omkring weekendtillæg(Kræver aftale med TR/FSL). Weekendtimerne udbetales.",I9="X"),K9,0)</f>
        <v>0</v>
      </c>
      <c r="FF9" s="251">
        <f>IF(AND(AND(Stamoplysninger!$B$26="Der er indgået lokalaftale omkring weekendtillæg(Kræver aftale med TR/FSL). Weekendtimerne udbetales.",I9="X",S9="X")),V9,0)</f>
        <v>0</v>
      </c>
      <c r="FG9" s="674">
        <f>IF(AND(AND(Stamoplysninger!$B$26="Der er indgået lokalaftale omkring weekendtillæg(Kræver aftale med TR/FSL). Weekendtimerne udbetales.",I9="X",C9="ikke relevant")),K9,0)</f>
        <v>0</v>
      </c>
      <c r="FH9" s="675">
        <f>IF(AND(AND(AND(Stamoplysninger!$B$26="Der er indgået lokalaftale omkring weekendtillæg(Kræver aftale med TR/FSL). Weekendtimerne udbetales.",I9="X",C9="ikke relevant",S9="X"))),(V9),0)</f>
        <v>0</v>
      </c>
      <c r="FI9" s="283">
        <f>IF(AND(Stamoplysninger!$B$26="Weekendtimer og weekendtillæg afspadseres.",I9="X"),K9,0)</f>
        <v>0</v>
      </c>
      <c r="FJ9" s="251">
        <f>IF(AND(Stamoplysninger!$B$26="Weekendtimer og weekendtillæg afspadseres.",I9="X"),(K9+V9)/2,0)</f>
        <v>0</v>
      </c>
      <c r="FK9" s="674">
        <f>IF(AND(AND(Stamoplysninger!$B$26="Weekendtimer og weekendtillæg afspadseres.",I9="X",C9="ikke relevant")),K9,0)</f>
        <v>0</v>
      </c>
      <c r="FL9" s="675">
        <f>IF(AND(AND(Stamoplysninger!$B$26="Weekendtimer og weekendtillæg afspadseres.",I9="X",C9="ikke relevant")),(K9+V9)/2,0)</f>
        <v>0</v>
      </c>
      <c r="FM9" s="283">
        <f>IF(AND(Stamoplysninger!$B$26="Der er indgået lokalaftale omkring weekendtillæg(Kræver aftale med TR/FSL). Weekendtimerne afspadseres.",I9="X"),K9,0)</f>
        <v>0</v>
      </c>
      <c r="FN9" s="674">
        <f>IF(AND(AND(Stamoplysninger!$B$26="Der er indgået lokalaftale omkring weekendtillæg(Kræver aftale med TR/FSL). Weekendtimerne afspadseres.",I9="X",C9="ikke relevant")),K9,0)</f>
        <v>0</v>
      </c>
      <c r="FO9" s="283">
        <f>IF(AND(Stamoplysninger!$B$26="Weekendtimer og weekendtillæg udbetales.",I9="X"),K9,0)</f>
        <v>0</v>
      </c>
      <c r="FP9" s="251">
        <f>IF(AND(Stamoplysninger!$B$26="Weekendtimer og weekendtillæg udbetales.",AA9="X"),(AC9+AN9)/2,0)</f>
        <v>0</v>
      </c>
      <c r="FQ9" s="674">
        <f>IF(AND(AND(Stamoplysninger!$B$26="Weekendtimer og weekendtillæg udbetales.",I9="X",C9="ikke relevant")),K9,0)</f>
        <v>0</v>
      </c>
      <c r="FR9" s="688">
        <f>IF(AND(AND(Stamoplysninger!$B$26="Weekendtimer og weekendtillæg udbetales.",AA9="X",U9="ikke relevant")),(AC9+AN9)/2,0)</f>
        <v>0</v>
      </c>
      <c r="FS9" s="283">
        <f t="shared" ref="FS9:FS37" si="14">IF(AND(I9="X",S9="X"),V9,0)</f>
        <v>0</v>
      </c>
      <c r="FT9" s="658">
        <f t="shared" ref="FT9:FT37" si="15">IF(AND(AND(C9="ikke relevant",I9="X",S9="X")),V9,0)</f>
        <v>0</v>
      </c>
      <c r="FU9">
        <f t="shared" ref="FU9:FU28" si="16">IF(AND(C9="weekend",I9="X"),K9,0)</f>
        <v>0</v>
      </c>
      <c r="FV9" s="283">
        <f>IF(AND(Stamoplysninger!$B$26="Der er indgået lokalaftale omkring weekendtimer.(Kræver aftale med TR/FSL) Weekendtillæg afspadseres.",I9="X"),K9,0)</f>
        <v>0</v>
      </c>
      <c r="FW9" s="674">
        <f>IF(AND(AND(Stamoplysninger!$B$26="Der er indgået lokalaftale omkring weekendtimer.(Kræver aftale med TR/FSL) Weekendtillæg afspadseres.",I9="X",C9="ikke relevant")),K9,0)</f>
        <v>0</v>
      </c>
      <c r="FX9" s="283">
        <f>IF(AND(Stamoplysninger!$B$26="Der er indgået lokalaftale omkring weekendtimer(Kræver aftale med TR/FSL). Weekendtillæg udbetales.",I9="X"),K9,0)</f>
        <v>0</v>
      </c>
      <c r="FY9" s="674">
        <f>IF(AND(AND(Stamoplysninger!$B$26="Der er indgået lokalaftale omkring weekendtimer(Kræver aftale med TR/FSL). Weekendtillæg udbetales.",I9="X",C9="ikke relevant")),K9,0)</f>
        <v>0</v>
      </c>
      <c r="FZ9" s="283">
        <f>IF(AND(Stamoplysninger!$B$26="Der er indgået lokalaftale omkring weekendtillæg(Kræver aftale med TR/FSL). Weekendtimerne udbetales.",I9="X"),K9,0)</f>
        <v>0</v>
      </c>
      <c r="GA9" s="674">
        <f>IF(AND(AND(Stamoplysninger!$B$26="Der er indgået lokalaftale omkring weekendtillæg(Kræver aftale med TR/FSL). Weekendtimerne udbetales.",I9="X",C9="ikke relevant")),K9,0)</f>
        <v>0</v>
      </c>
      <c r="GB9" s="283">
        <f>IF(AND(Stamoplysninger!$B$26="Der er indgået lokalaftale omkring weekendtimer og weekendtillæg.(Kræver aftale med TR/FSL).",I9="X"),K9,0)</f>
        <v>0</v>
      </c>
      <c r="GC9" s="674">
        <f>IF(AND(AND(Stamoplysninger!$B$26="Der er indgået lokalaftale omkring weekendtimer og weekendtillæg.(Kræver aftale med TR/FSL).",I9="X",C9="ikke relevant")),K9,0)</f>
        <v>0</v>
      </c>
    </row>
    <row r="10" spans="1:185">
      <c r="A10" s="245">
        <f t="shared" ref="A10:A38" si="17">IF(ISNUMBER(A9),A9+1,1)</f>
        <v>2</v>
      </c>
      <c r="B10" s="128" t="str">
        <f t="shared" si="0"/>
        <v>lø</v>
      </c>
      <c r="C10" s="129" t="s">
        <v>120</v>
      </c>
      <c r="D10" s="130" t="str">
        <f t="shared" si="1"/>
        <v/>
      </c>
      <c r="E10" s="917"/>
      <c r="F10" s="918"/>
      <c r="G10" s="919"/>
      <c r="H10" s="298"/>
      <c r="I10" s="413"/>
      <c r="J10" s="413"/>
      <c r="K10" s="380"/>
      <c r="L10" s="380"/>
      <c r="M10" s="380"/>
      <c r="N10" s="318">
        <f t="shared" ref="N10:N38" si="18">BA10</f>
        <v>0</v>
      </c>
      <c r="O10" s="318">
        <f t="shared" ref="O10:O38" si="19">CA10</f>
        <v>0</v>
      </c>
      <c r="P10" s="318">
        <f>IF(Stamoplysninger!$H$29="JA",November!DG10,CX10)</f>
        <v>0</v>
      </c>
      <c r="Q10" s="318">
        <f t="shared" ref="Q10:Q38" si="20">IF(OR(C10="Lejrskole",C10="Ekskursion"),0,N10-O10-P10)</f>
        <v>0</v>
      </c>
      <c r="R10" s="319"/>
      <c r="S10" s="324"/>
      <c r="T10" s="325"/>
      <c r="U10" s="325"/>
      <c r="V10" s="435"/>
      <c r="W10" s="435"/>
      <c r="X10" s="644"/>
      <c r="Y10">
        <f t="shared" ref="Y10:Y38" si="21">IF(S10="x",V10-N10,0)</f>
        <v>0</v>
      </c>
      <c r="Z10" s="437">
        <f t="shared" ref="Z10:Z38" si="22">W10</f>
        <v>0</v>
      </c>
      <c r="AA10" s="1">
        <f t="shared" si="2"/>
        <v>0</v>
      </c>
      <c r="AB10" s="1">
        <f t="shared" si="3"/>
        <v>0</v>
      </c>
      <c r="AC10" s="1">
        <f t="shared" si="4"/>
        <v>0</v>
      </c>
      <c r="AD10" s="1">
        <f t="shared" si="5"/>
        <v>0</v>
      </c>
      <c r="AE10" s="1">
        <f t="shared" si="6"/>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8" si="23">SUM(AA10:AZ10)</f>
        <v>0</v>
      </c>
      <c r="BB10" s="229">
        <f t="shared" si="7"/>
        <v>0</v>
      </c>
      <c r="BC10" s="1">
        <f t="shared" ref="BC10:BC38" si="24">IF(C10="Lejrskole",L10,0)</f>
        <v>0</v>
      </c>
      <c r="BD10" s="1">
        <f t="shared" si="8"/>
        <v>0</v>
      </c>
      <c r="BE10" s="1">
        <f t="shared" si="9"/>
        <v>0</v>
      </c>
      <c r="BF10" s="1">
        <f t="shared" si="10"/>
        <v>0</v>
      </c>
      <c r="BG10" s="210" t="str">
        <f>IF(AND(C10="Skema 1",B10="ma"),Skemaoplysninger!$E$30,"")</f>
        <v/>
      </c>
      <c r="BH10" s="210" t="str">
        <f>IF(AND(C10="Skema 1",B10="ti"),Skemaoplysninger!$G$30,"")</f>
        <v/>
      </c>
      <c r="BI10" s="210" t="str">
        <f>IF(AND(C10="Skema 1",B10="on"),Skemaoplysninger!$I$30,"")</f>
        <v/>
      </c>
      <c r="BJ10" s="210" t="str">
        <f>IF(AND(C10="Skema 1",B10="to"),Skemaoplysninger!$K$30,"")</f>
        <v/>
      </c>
      <c r="BK10" s="210" t="str">
        <f>IF(AND(C10="Skema 1",B10="fr"),Skemaoplysninger!$M$30,"")</f>
        <v/>
      </c>
      <c r="BL10" s="210" t="str">
        <f>IF(AND(C10="Skema 2",B10="ma"),Skemaoplysninger!$S$30,"")</f>
        <v/>
      </c>
      <c r="BM10" s="210" t="str">
        <f>IF(AND(C10="Skema 2",B10="ti"),Skemaoplysninger!$U$30,"")</f>
        <v/>
      </c>
      <c r="BN10" s="210" t="str">
        <f>IF(AND(C10="Skema 2",B10="on"),Skemaoplysninger!$W$30,"")</f>
        <v/>
      </c>
      <c r="BO10" s="210" t="str">
        <f>IF(AND(C10="Skema 2",B10="to"),Skemaoplysninger!$Y$30,"")</f>
        <v/>
      </c>
      <c r="BP10" s="210" t="str">
        <f>IF(AND(C10="Skema 2",B10="fr"),Skemaoplysninger!$AA$30,"")</f>
        <v/>
      </c>
      <c r="BQ10" s="210" t="str">
        <f>IF(AND(C10="Skema 3",B10="ma"),Skemaoplysninger!$AG$30,"")</f>
        <v/>
      </c>
      <c r="BR10" s="210" t="str">
        <f>IF(AND(C10="Skema 3",B10="ti"),Skemaoplysninger!$AI$30,"")</f>
        <v/>
      </c>
      <c r="BS10" s="210" t="str">
        <f>IF(AND(C10="Skema 3",B10="on"),Skemaoplysninger!$AK$30,"")</f>
        <v/>
      </c>
      <c r="BT10" s="210" t="str">
        <f>IF(AND(C10="Skema 3",B10="to"),Skemaoplysninger!$AM$30,"")</f>
        <v/>
      </c>
      <c r="BU10" s="210" t="str">
        <f>IF(AND(C10="Skema 3",B10="fr"),Skemaoplysninger!$AO$30,"")</f>
        <v/>
      </c>
      <c r="BV10" s="210" t="str">
        <f>IF(AND(C10="Skema 4",B10="ma"),Skemaoplysninger!$AU$30,"")</f>
        <v/>
      </c>
      <c r="BW10" s="210" t="str">
        <f>IF(AND(C10="Skema 4",B10="ti"),Skemaoplysninger!$AW$30,"")</f>
        <v/>
      </c>
      <c r="BX10" s="210" t="str">
        <f>IF(AND(C10="Skema 4",B10="on"),Skemaoplysninger!$AY$30,"")</f>
        <v/>
      </c>
      <c r="BY10" s="210" t="str">
        <f>IF(AND(C10="Skema 4",B10="to"),Skemaoplysninger!$BA$30,"")</f>
        <v/>
      </c>
      <c r="BZ10" s="210" t="str">
        <f>IF(AND(C10="Skema 4",B10="fr"),Skemaoplysninger!$BC$30,"")</f>
        <v/>
      </c>
      <c r="CA10" s="1">
        <f t="shared" ref="CA10:CA38" si="25">SUM(BG10:BZ10)*24+SUM(BC10:BF10)</f>
        <v>0</v>
      </c>
      <c r="CB10" s="1">
        <f t="shared" si="11"/>
        <v>0</v>
      </c>
      <c r="CC10" s="1">
        <f t="shared" si="12"/>
        <v>0</v>
      </c>
      <c r="CD10" s="210" t="str">
        <f>IF(AND(C10="Skema 1",B10="ma"),Skemaoplysninger!$E$31,"")</f>
        <v/>
      </c>
      <c r="CE10" s="210" t="str">
        <f>IF(AND(C10="Skema 1",B10="ti"),Skemaoplysninger!$G$31,"")</f>
        <v/>
      </c>
      <c r="CF10" s="210" t="str">
        <f>IF(AND(C10="Skema 1",B10="on"),Skemaoplysninger!$I$31,"")</f>
        <v/>
      </c>
      <c r="CG10" s="210" t="str">
        <f>IF(AND(C10="Skema 1",B10="to"),Skemaoplysninger!$K$31,"")</f>
        <v/>
      </c>
      <c r="CH10" s="210" t="str">
        <f>IF(AND(C10="Skema 1",B10="fr"),Skemaoplysninger!$M$31,"")</f>
        <v/>
      </c>
      <c r="CI10" s="210" t="str">
        <f>IF(AND(C10="Skema 2",B10="ma"),Skemaoplysninger!$S$31,"")</f>
        <v/>
      </c>
      <c r="CJ10" s="210" t="str">
        <f>IF(AND(C10="Skema 2",B10="ti"),Skemaoplysninger!$U$31,"")</f>
        <v/>
      </c>
      <c r="CK10" s="210" t="str">
        <f>IF(AND(C10="Skema 2",B10="on"),Skemaoplysninger!$W$31,"")</f>
        <v/>
      </c>
      <c r="CL10" s="210" t="str">
        <f>IF(AND(C10="Skema 2",B10="to"),Skemaoplysninger!$Y$31,"")</f>
        <v/>
      </c>
      <c r="CM10" s="210" t="str">
        <f>IF(AND(C10="Skema 2",B10="fr"),Skemaoplysninger!$AA$31,"")</f>
        <v/>
      </c>
      <c r="CN10" s="210" t="str">
        <f>IF(AND(C10="Skema 3",B10="ma"),Skemaoplysninger!$AG$31,"")</f>
        <v/>
      </c>
      <c r="CO10" s="210" t="str">
        <f>IF(AND(C10="Skema 3",B10="ti"),Skemaoplysninger!$AI$31,"")</f>
        <v/>
      </c>
      <c r="CP10" s="210" t="str">
        <f>IF(AND(C10="Skema 3",B10="on"),Skemaoplysninger!$AK$31,"")</f>
        <v/>
      </c>
      <c r="CQ10" s="210" t="str">
        <f>IF(AND(C10="Skema 3",B10="to"),Skemaoplysninger!$AM$31,"")</f>
        <v/>
      </c>
      <c r="CR10" s="210" t="str">
        <f>IF(AND(C10="Skema 3",B10="fr"),Skemaoplysninger!$AO$31,"")</f>
        <v/>
      </c>
      <c r="CS10" s="210" t="str">
        <f>IF(AND(C10="Skema 4",B10="ma"),Skemaoplysninger!$AU$31,"")</f>
        <v/>
      </c>
      <c r="CT10" s="210" t="str">
        <f>IF(AND(C10="Skema 4",B10="ti"),Skemaoplysninger!$AW$31,"")</f>
        <v/>
      </c>
      <c r="CU10" s="210" t="str">
        <f>IF(AND(C10="Skema 4",B10="on"),Skemaoplysninger!$AY$31,"")</f>
        <v/>
      </c>
      <c r="CV10" s="210" t="str">
        <f>IF(AND(C10="Skema 4",B10="to"),Skemaoplysninger!$BA$31,"")</f>
        <v/>
      </c>
      <c r="CW10" s="210" t="str">
        <f>IF(AND(C10="Skema 4",B10="fr"),Skemaoplysninger!$BC$31,"")</f>
        <v/>
      </c>
      <c r="CX10" s="249">
        <f>IF(Stamoplysninger!$H$29="NEJ",SUM(CD10:CW10)*24+CB10+CC10,0)</f>
        <v>0</v>
      </c>
      <c r="CY10" s="249">
        <f>IF(C10="Skema 1",Stamoplysninger!$H$30/200,0)</f>
        <v>0</v>
      </c>
      <c r="CZ10" s="249">
        <f>IF(C10="Skema 2",Stamoplysninger!$H$30/200,0)</f>
        <v>0</v>
      </c>
      <c r="DA10" s="249">
        <f>IF(C10="Skema 3",Stamoplysninger!$H$30/200,0)</f>
        <v>0</v>
      </c>
      <c r="DB10" s="249">
        <f>IF(C10="Skema 4",Stamoplysninger!$H$30/200,0)</f>
        <v>0</v>
      </c>
      <c r="DC10" s="249">
        <f>IF(C10="fagdag",Stamoplysninger!$H$30/200,0)</f>
        <v>0</v>
      </c>
      <c r="DD10" s="249">
        <f>IF(C10="emnedag",Stamoplysninger!$H$30/200,0)</f>
        <v>0</v>
      </c>
      <c r="DE10" s="249">
        <f>IF(C10="lejrskole",Stamoplysninger!$H$30/200,0)</f>
        <v>0</v>
      </c>
      <c r="DF10" s="249">
        <f>IF(C10="ekskursion",Stamoplysninger!$H$30/200,0)</f>
        <v>0</v>
      </c>
      <c r="DG10" s="249">
        <f t="shared" ref="DG10:DG38" si="26">SUM(CY10:DF10)</f>
        <v>0</v>
      </c>
      <c r="DH10" t="str">
        <f t="shared" ref="DH10:DH39" si="27">IF(AND(E10&gt;0,H10&gt;0),""&amp;E10&amp;" og "&amp;H10&amp;"","")</f>
        <v/>
      </c>
      <c r="DI10">
        <f t="shared" ref="DI10:DI38" si="28">IF(H10="",E10,"")</f>
        <v>0</v>
      </c>
      <c r="DJ10">
        <f t="shared" ref="DJ10:DJ38" si="29">IF(E10="",H10,"")</f>
        <v>0</v>
      </c>
      <c r="DK10" t="str">
        <f t="shared" si="13"/>
        <v/>
      </c>
      <c r="DL10" t="str">
        <f t="shared" si="13"/>
        <v/>
      </c>
      <c r="DM10" t="str">
        <f t="shared" si="13"/>
        <v/>
      </c>
      <c r="DN10" t="str">
        <f t="shared" ref="DN10:DN39" si="30">DK10&amp;""&amp;DL10&amp;""&amp;DM10</f>
        <v/>
      </c>
      <c r="DO10" s="652">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71">
        <f>IF(AND(Stamoplysninger!$B$22="Ulempetillæg udbetales med 25% af nettotimelønnen.",C10="ikke relevant"),(R10)/4,0)</f>
        <v>0</v>
      </c>
      <c r="DT10" s="671">
        <f>IF(AND(AND(Stamoplysninger!$B$22="Ulempetillæg udbetales med 25% af nettotimelønnen.",I10="X",C10="Ikke relevant")),K10/4,0)</f>
        <v>0</v>
      </c>
      <c r="DU10" s="671">
        <f>IF(AND(AND(Stamoplysninger!$B$22="Ulempetillæg udbetales med 25% af nettotimelønnen.",C10="ikke relevant",U10="X")),(X10/4),0)</f>
        <v>0</v>
      </c>
      <c r="DV10" s="672">
        <f>IF(AND(AND(AND(Stamoplysninger!$B$22="Ulempetillæg udbetales med 25% af nettotimelønnen.",I10="X",C10="Ikke relevant",S10="X"))),V10/4,0)</f>
        <v>0</v>
      </c>
      <c r="DW10" s="652"/>
      <c r="DZ10" s="671"/>
      <c r="EA10" s="671"/>
      <c r="EB10" s="672"/>
      <c r="EC10" s="652">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71">
        <f>IF(AND(Stamoplysninger!$B$22="Ulempetillæg afspadseres med 25%(Kræver en aftale imellem ledelsen og den ansatte)",C10="ikke relevant"),(R10)/4,0)</f>
        <v>0</v>
      </c>
      <c r="EH10" s="671">
        <f>IF(AND(AND(Stamoplysninger!$B$22="Ulempetillæg afspadseres med 25%(Kræver en aftale imellem ledelsen og den ansatte)",I10="X",C10="Ikke relevant")),K10/4,0)</f>
        <v>0</v>
      </c>
      <c r="EI10" s="671">
        <f>IF(AND(AND(Stamoplysninger!$B$22="Ulempetillæg afspadseres med 25%(Kræver en aftale imellem ledelsen og den ansatte)",U10="X",C10="Ikke relevant")),X10/4,0)</f>
        <v>0</v>
      </c>
      <c r="EJ10" s="671">
        <f>IF(AND(AND(AND(Stamoplysninger!$B$22="Ulempetillæg afspadseres med 25%(Kræver en aftale imellem ledelsen og den ansatte)",I10="X",C10="Ikke relevant",S10="X"))),V10/4,0)</f>
        <v>0</v>
      </c>
      <c r="EK10" s="283">
        <f>IF(AND(Stamoplysninger!$B$26="Weekendtimer og weekendtillæg afspadseres.",I10="X"),K10*1.5,0)</f>
        <v>0</v>
      </c>
      <c r="EL10" s="251">
        <f>IF(AND(AND(Stamoplysninger!$B$26="Weekendtimer og weekendtillæg afspadseres.",I10="X",S10="X")),V10*1.5,0)</f>
        <v>0</v>
      </c>
      <c r="EM10" s="674">
        <f>IF(AND(AND(Stamoplysninger!$B$26="Weekendtimer og weekendtillæg afspadseres.",I10="X",C10="ikke relevant")),K10*1.5,0)</f>
        <v>0</v>
      </c>
      <c r="EN10" s="675">
        <f>IF(AND(AND(AND(Stamoplysninger!$B$26="Weekendtimer og weekendtillæg afspadseres.",I10="X",C10="ikke relevant",S10="X"))),(V10*1.5),0)</f>
        <v>0</v>
      </c>
      <c r="EO10" s="283">
        <f>IF(AND(Stamoplysninger!$B$26="Weekendtimer og weekendtillæg udbetales.",I10="X"),K10*1.5,0)</f>
        <v>0</v>
      </c>
      <c r="EP10" s="251">
        <f>IF(AND(AND(Stamoplysninger!$B$26="Weekendtimer og weekendtillæg udbetales.",I10="X",S10="X")),V10*1.5,0)</f>
        <v>0</v>
      </c>
      <c r="EQ10" s="674">
        <f>IF(AND(AND(Stamoplysninger!$B$26="Weekendtimer og weekendtillæg udbetales.",I10="X",C10="ikke relevant")),K10*1.5,0)</f>
        <v>0</v>
      </c>
      <c r="ER10" s="675">
        <f>IF(AND(AND(AND(Stamoplysninger!$B$26="Weekendtimer og weekendtillæg udbetales.",I10="X",C10="ikke relevant",S10="X"))),(V10*1.5),0)</f>
        <v>0</v>
      </c>
      <c r="ES10" s="283">
        <f>IF(AND(Stamoplysninger!$B$26="Der er indgået lokalaftale omkring weekendtimer.(Kræver aftale med TR/FSL) Weekendtillæg afspadseres.",I10="X"),K10*0.5,0)</f>
        <v>0</v>
      </c>
      <c r="ET10" s="251">
        <f>IF(AND(AND(Stamoplysninger!$B$26="Der er indgået lokalaftale omkring weekendtimer.(Kræver aftale med TR/FSL) Weekendtillæg afspadseres.",I10="X",S10="X")),V10*0.5,0)</f>
        <v>0</v>
      </c>
      <c r="EU10" s="674">
        <f>IF(AND(AND(Stamoplysninger!$B$26="Der er indgået lokalaftale omkring weekendtimer.(Kræver aftale med TR/FSL) Weekendtillæg afspadseres.",I10="X",C10="ikke relevant")),K10*0.5,0)</f>
        <v>0</v>
      </c>
      <c r="EV10" s="675">
        <f>IF(AND(AND(AND(Stamoplysninger!$B$26="Der er indgået lokalaftale omkring weekendtimer.(Kræver aftale med TR/FSL) Weekendtillæg afspadseres.",I10="X",C10="ikke relevant",S10="X"))),(V10*0.5),0)</f>
        <v>0</v>
      </c>
      <c r="EW10" s="283">
        <f>IF(AND(Stamoplysninger!$B$26="Der er indgået lokalaftale omkring weekendtimer(Kræver aftale med TR/FSL). Weekendtillæg udbetales.",I10="X"),K10*0.5,0)</f>
        <v>0</v>
      </c>
      <c r="EX10" s="251">
        <f>IF(AND(AND(Stamoplysninger!$B$26="Der er indgået lokalaftale omkring weekendtimer(Kræver aftale med TR/FSL). Weekendtillæg udbetales.",I10="X",S10="X")),V10*0.5,0)</f>
        <v>0</v>
      </c>
      <c r="EY10" s="674">
        <f>IF(AND(AND(Stamoplysninger!$B$26="Der er indgået lokalaftale omkring weekendtimer(Kræver aftale med TR/FSL). Weekendtillæg udbetales.",I10="X",C10="ikke relevant")),K10*0.5,0)</f>
        <v>0</v>
      </c>
      <c r="EZ10" s="675">
        <f>IF(AND(AND(AND(Stamoplysninger!$B$26="Der er indgået lokalaftale omkring weekendtimer(Kræver aftale med TR/FSL). Weekendtillæg udbetales.",I10="X",C10="ikke relevant",S10="X"))),(V10*0.5),0)</f>
        <v>0</v>
      </c>
      <c r="FA10" s="283">
        <f>IF(AND(Stamoplysninger!$B$26="Der er indgået lokalaftale omkring weekendtillæg(Kræver aftale med TR/FSL). Weekendtimerne afspadseres.",I10="X"),K10,0)</f>
        <v>0</v>
      </c>
      <c r="FB10" s="251">
        <f>IF(AND(AND(Stamoplysninger!$B$26="Der er indgået lokalaftale omkring weekendtillæg(Kræver aftale med TR/FSL). Weekendtimerne afspadseres.",I10="X",S10="X")),V10,0)</f>
        <v>0</v>
      </c>
      <c r="FC10" s="674">
        <f>IF(AND(AND(Stamoplysninger!$B$26="Der er indgået lokalaftale omkring weekendtillæg(Kræver aftale med TR/FSL). Weekendtimerne afspadseres..",I10="X",C10="ikke relevant")),K10,0)</f>
        <v>0</v>
      </c>
      <c r="FD10" s="675">
        <f>IF(AND(AND(AND(Stamoplysninger!$B$26="Der er indgået lokalaftale omkring weekendtillæg(Kræver aftale med TR/FSL). Weekendtimerne afspadseres.",I10="X",C10="ikke relevant",S10="X"))),(V10),0)</f>
        <v>0</v>
      </c>
      <c r="FE10" s="283">
        <f>IF(AND(Stamoplysninger!$B$26="Der er indgået lokalaftale omkring weekendtillæg(Kræver aftale med TR/FSL). Weekendtimerne udbetales.",I10="X"),K10,0)</f>
        <v>0</v>
      </c>
      <c r="FF10" s="251">
        <f>IF(AND(AND(Stamoplysninger!$B$26="Der er indgået lokalaftale omkring weekendtillæg(Kræver aftale med TR/FSL). Weekendtimerne udbetales.",I10="X",S10="X")),V10,0)</f>
        <v>0</v>
      </c>
      <c r="FG10" s="674">
        <f>IF(AND(AND(Stamoplysninger!$B$26="Der er indgået lokalaftale omkring weekendtillæg(Kræver aftale med TR/FSL). Weekendtimerne udbetales.",I10="X",C10="ikke relevant")),K10,0)</f>
        <v>0</v>
      </c>
      <c r="FH10" s="675">
        <f>IF(AND(AND(AND(Stamoplysninger!$B$26="Der er indgået lokalaftale omkring weekendtillæg(Kræver aftale med TR/FSL). Weekendtimerne udbetales.",I10="X",C10="ikke relevant",S10="X"))),(V10),0)</f>
        <v>0</v>
      </c>
      <c r="FI10" s="283">
        <f>IF(AND(Stamoplysninger!$B$26="Weekendtimer og weekendtillæg afspadseres.",I10="X"),K10,0)</f>
        <v>0</v>
      </c>
      <c r="FJ10" s="251">
        <f>IF(AND(Stamoplysninger!$B$26="Weekendtimer og weekendtillæg afspadseres.",Y10="X"),(AA10+AL10)/2,0)</f>
        <v>0</v>
      </c>
      <c r="FK10" s="674">
        <f>IF(AND(AND(Stamoplysninger!$B$26="Weekendtimer og weekendtillæg afspadseres.",I10="X",C10="ikke relevant")),K10,0)</f>
        <v>0</v>
      </c>
      <c r="FL10" s="675">
        <f>IF(AND(AND(Stamoplysninger!$B$26="Weekendtimer og weekendtillæg afspadseres.",Y10="X",S10="ikke relevant")),(AA10+AL10)/2,0)</f>
        <v>0</v>
      </c>
      <c r="FM10" s="283">
        <f>IF(AND(Stamoplysninger!$B$26="Der er indgået lokalaftale omkring weekendtillæg(Kræver aftale med TR/FSL). Weekendtimerne afspadseres.",I10="X"),K10,0)</f>
        <v>0</v>
      </c>
      <c r="FN10" s="674">
        <f>IF(AND(AND(Stamoplysninger!$B$26="Der er indgået lokalaftale omkring weekendtillæg(Kræver aftale med TR/FSL). Weekendtimerne afspadseres.",I10="X",C10="ikke relevant")),K10,0)</f>
        <v>0</v>
      </c>
      <c r="FO10" s="283">
        <f>IF(AND(Stamoplysninger!$B$26="Weekendtimer og weekendtillæg udbetales.",I10="X"),K10,0)</f>
        <v>0</v>
      </c>
      <c r="FP10" s="251">
        <f>IF(AND(Stamoplysninger!$B$26="Weekendtimer og weekendtillæg udbetales.",AA10="X"),(AC10+AN10)/2,0)</f>
        <v>0</v>
      </c>
      <c r="FQ10" s="674">
        <f>IF(AND(AND(Stamoplysninger!$B$26="Weekendtimer og weekendtillæg udbetales.",I10="X",C10="ikke relevant")),K10,0)</f>
        <v>0</v>
      </c>
      <c r="FR10" s="688">
        <f>IF(AND(AND(Stamoplysninger!$B$26="Weekendtimer og weekendtillæg udbetales.",AA10="X",U10="ikke relevant")),(AC10+AN10)/2,0)</f>
        <v>0</v>
      </c>
      <c r="FS10" s="283">
        <f t="shared" si="14"/>
        <v>0</v>
      </c>
      <c r="FT10" s="658">
        <f t="shared" si="15"/>
        <v>0</v>
      </c>
      <c r="FU10">
        <f t="shared" si="16"/>
        <v>0</v>
      </c>
      <c r="FV10" s="283">
        <f>IF(AND(Stamoplysninger!$B$26="Der er indgået lokalaftale omkring weekendtimer.(Kræver aftale med TR/FSL) Weekendtillæg afspadseres.",I10="X"),K10,0)</f>
        <v>0</v>
      </c>
      <c r="FW10" s="674">
        <f>IF(AND(AND(Stamoplysninger!$B$26="Der er indgået lokalaftale omkring weekendtimer.(Kræver aftale med TR/FSL) Weekendtillæg afspadseres.",I10="X",C10="ikke relevant")),K10,0)</f>
        <v>0</v>
      </c>
      <c r="FX10" s="283">
        <f>IF(AND(Stamoplysninger!$B$26="Der er indgået lokalaftale omkring weekendtimer(Kræver aftale med TR/FSL). Weekendtillæg udbetales.",I10="X"),K10,0)</f>
        <v>0</v>
      </c>
      <c r="FY10" s="674">
        <f>IF(AND(AND(Stamoplysninger!$B$26="Der er indgået lokalaftale omkring weekendtimer(Kræver aftale med TR/FSL). Weekendtillæg udbetales.",I10="X",C10="ikke relevant")),K10,0)</f>
        <v>0</v>
      </c>
      <c r="FZ10" s="283">
        <f>IF(AND(Stamoplysninger!$B$26="Der er indgået lokalaftale omkring weekendtillæg(Kræver aftale med TR/FSL). Weekendtimerne udbetales.",I10="X"),K10,0)</f>
        <v>0</v>
      </c>
      <c r="GA10" s="674">
        <f>IF(AND(AND(Stamoplysninger!$B$26="Der er indgået lokalaftale omkring weekendtillæg(Kræver aftale med TR/FSL). Weekendtimerne udbetales.",I10="X",C10="ikke relevant")),K10,0)</f>
        <v>0</v>
      </c>
      <c r="GB10" s="283">
        <f>IF(AND(Stamoplysninger!$B$26="Der er indgået lokalaftale omkring weekendtimer og weekendtillæg.(Kræver aftale med TR/FSL).",I10="X"),K10,0)</f>
        <v>0</v>
      </c>
      <c r="GC10" s="674">
        <f>IF(AND(AND(Stamoplysninger!$B$26="Der er indgået lokalaftale omkring weekendtimer og weekendtillæg.(Kræver aftale med TR/FSL).",I10="X",C10="ikke relevant")),K10,0)</f>
        <v>0</v>
      </c>
    </row>
    <row r="11" spans="1:185">
      <c r="A11" s="245">
        <f t="shared" si="17"/>
        <v>3</v>
      </c>
      <c r="B11" s="128" t="str">
        <f t="shared" si="0"/>
        <v>sø</v>
      </c>
      <c r="C11" s="129" t="s">
        <v>120</v>
      </c>
      <c r="D11" s="130" t="str">
        <f t="shared" si="1"/>
        <v/>
      </c>
      <c r="E11" s="917"/>
      <c r="F11" s="918"/>
      <c r="G11" s="919"/>
      <c r="H11" s="298"/>
      <c r="I11" s="413"/>
      <c r="J11" s="413"/>
      <c r="K11" s="380"/>
      <c r="L11" s="380"/>
      <c r="M11" s="380"/>
      <c r="N11" s="318">
        <f t="shared" si="18"/>
        <v>0</v>
      </c>
      <c r="O11" s="318">
        <f t="shared" si="19"/>
        <v>0</v>
      </c>
      <c r="P11" s="318">
        <f>IF(Stamoplysninger!$H$29="JA",November!DG11,CX11)</f>
        <v>0</v>
      </c>
      <c r="Q11" s="318">
        <f t="shared" si="20"/>
        <v>0</v>
      </c>
      <c r="R11" s="319"/>
      <c r="S11" s="324"/>
      <c r="T11" s="325"/>
      <c r="U11" s="325"/>
      <c r="V11" s="435"/>
      <c r="W11" s="435"/>
      <c r="X11" s="644"/>
      <c r="Y11">
        <f t="shared" si="21"/>
        <v>0</v>
      </c>
      <c r="Z11" s="437">
        <f t="shared" si="22"/>
        <v>0</v>
      </c>
      <c r="AA11" s="1">
        <f t="shared" si="2"/>
        <v>0</v>
      </c>
      <c r="AB11" s="1">
        <f t="shared" si="3"/>
        <v>0</v>
      </c>
      <c r="AC11" s="1">
        <f t="shared" si="4"/>
        <v>0</v>
      </c>
      <c r="AD11" s="1">
        <f t="shared" si="5"/>
        <v>0</v>
      </c>
      <c r="AE11" s="1">
        <f t="shared" si="6"/>
        <v>0</v>
      </c>
      <c r="AF11" s="1">
        <f>IF(C11="Orlov",7.4*Stamoplysninger!$E$15,0)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9">
        <f t="shared" si="7"/>
        <v>0</v>
      </c>
      <c r="BC11" s="1">
        <f t="shared" si="24"/>
        <v>0</v>
      </c>
      <c r="BD11" s="1">
        <f t="shared" si="8"/>
        <v>0</v>
      </c>
      <c r="BE11" s="1">
        <f t="shared" si="9"/>
        <v>0</v>
      </c>
      <c r="BF11" s="1">
        <f t="shared" si="10"/>
        <v>0</v>
      </c>
      <c r="BG11" s="210" t="str">
        <f>IF(AND(C11="Skema 1",B11="ma"),Skemaoplysninger!$E$30,"")</f>
        <v/>
      </c>
      <c r="BH11" s="210" t="str">
        <f>IF(AND(C11="Skema 1",B11="ti"),Skemaoplysninger!$G$30,"")</f>
        <v/>
      </c>
      <c r="BI11" s="210" t="str">
        <f>IF(AND(C11="Skema 1",B11="on"),Skemaoplysninger!$I$30,"")</f>
        <v/>
      </c>
      <c r="BJ11" s="210" t="str">
        <f>IF(AND(C11="Skema 1",B11="to"),Skemaoplysninger!$K$30,"")</f>
        <v/>
      </c>
      <c r="BK11" s="210" t="str">
        <f>IF(AND(C11="Skema 1",B11="fr"),Skemaoplysninger!$M$30,"")</f>
        <v/>
      </c>
      <c r="BL11" s="210" t="str">
        <f>IF(AND(C11="Skema 2",B11="ma"),Skemaoplysninger!$S$30,"")</f>
        <v/>
      </c>
      <c r="BM11" s="210" t="str">
        <f>IF(AND(C11="Skema 2",B11="ti"),Skemaoplysninger!$U$30,"")</f>
        <v/>
      </c>
      <c r="BN11" s="210" t="str">
        <f>IF(AND(C11="Skema 2",B11="on"),Skemaoplysninger!$W$30,"")</f>
        <v/>
      </c>
      <c r="BO11" s="210" t="str">
        <f>IF(AND(C11="Skema 2",B11="to"),Skemaoplysninger!$Y$30,"")</f>
        <v/>
      </c>
      <c r="BP11" s="210" t="str">
        <f>IF(AND(C11="Skema 2",B11="fr"),Skemaoplysninger!$AA$30,"")</f>
        <v/>
      </c>
      <c r="BQ11" s="210" t="str">
        <f>IF(AND(C11="Skema 3",B11="ma"),Skemaoplysninger!$AG$30,"")</f>
        <v/>
      </c>
      <c r="BR11" s="210" t="str">
        <f>IF(AND(C11="Skema 3",B11="ti"),Skemaoplysninger!$AI$30,"")</f>
        <v/>
      </c>
      <c r="BS11" s="210" t="str">
        <f>IF(AND(C11="Skema 3",B11="on"),Skemaoplysninger!$AK$30,"")</f>
        <v/>
      </c>
      <c r="BT11" s="210" t="str">
        <f>IF(AND(C11="Skema 3",B11="to"),Skemaoplysninger!$AM$30,"")</f>
        <v/>
      </c>
      <c r="BU11" s="210" t="str">
        <f>IF(AND(C11="Skema 3",B11="fr"),Skemaoplysninger!$AO$30,"")</f>
        <v/>
      </c>
      <c r="BV11" s="210" t="str">
        <f>IF(AND(C11="Skema 4",B11="ma"),Skemaoplysninger!$AU$30,"")</f>
        <v/>
      </c>
      <c r="BW11" s="210" t="str">
        <f>IF(AND(C11="Skema 4",B11="ti"),Skemaoplysninger!$AW$30,"")</f>
        <v/>
      </c>
      <c r="BX11" s="210" t="str">
        <f>IF(AND(C11="Skema 4",B11="on"),Skemaoplysninger!$AY$30,"")</f>
        <v/>
      </c>
      <c r="BY11" s="210" t="str">
        <f>IF(AND(C11="Skema 4",B11="to"),Skemaoplysninger!$BA$30,"")</f>
        <v/>
      </c>
      <c r="BZ11" s="210" t="str">
        <f>IF(AND(C11="Skema 4",B11="fr"),Skemaoplysninger!$BC$30,"")</f>
        <v/>
      </c>
      <c r="CA11" s="1">
        <f t="shared" si="25"/>
        <v>0</v>
      </c>
      <c r="CB11" s="1">
        <f t="shared" si="11"/>
        <v>0</v>
      </c>
      <c r="CC11" s="1">
        <f t="shared" si="12"/>
        <v>0</v>
      </c>
      <c r="CD11" s="210" t="str">
        <f>IF(AND(C11="Skema 1",B11="ma"),Skemaoplysninger!$E$31,"")</f>
        <v/>
      </c>
      <c r="CE11" s="210" t="str">
        <f>IF(AND(C11="Skema 1",B11="ti"),Skemaoplysninger!$G$31,"")</f>
        <v/>
      </c>
      <c r="CF11" s="210" t="str">
        <f>IF(AND(C11="Skema 1",B11="on"),Skemaoplysninger!$I$31,"")</f>
        <v/>
      </c>
      <c r="CG11" s="210" t="str">
        <f>IF(AND(C11="Skema 1",B11="to"),Skemaoplysninger!$K$31,"")</f>
        <v/>
      </c>
      <c r="CH11" s="210" t="str">
        <f>IF(AND(C11="Skema 1",B11="fr"),Skemaoplysninger!$M$31,"")</f>
        <v/>
      </c>
      <c r="CI11" s="210" t="str">
        <f>IF(AND(C11="Skema 2",B11="ma"),Skemaoplysninger!$S$31,"")</f>
        <v/>
      </c>
      <c r="CJ11" s="210" t="str">
        <f>IF(AND(C11="Skema 2",B11="ti"),Skemaoplysninger!$U$31,"")</f>
        <v/>
      </c>
      <c r="CK11" s="210" t="str">
        <f>IF(AND(C11="Skema 2",B11="on"),Skemaoplysninger!$W$31,"")</f>
        <v/>
      </c>
      <c r="CL11" s="210" t="str">
        <f>IF(AND(C11="Skema 2",B11="to"),Skemaoplysninger!$Y$31,"")</f>
        <v/>
      </c>
      <c r="CM11" s="210" t="str">
        <f>IF(AND(C11="Skema 2",B11="fr"),Skemaoplysninger!$AA$31,"")</f>
        <v/>
      </c>
      <c r="CN11" s="210" t="str">
        <f>IF(AND(C11="Skema 3",B11="ma"),Skemaoplysninger!$AG$31,"")</f>
        <v/>
      </c>
      <c r="CO11" s="210" t="str">
        <f>IF(AND(C11="Skema 3",B11="ti"),Skemaoplysninger!$AI$31,"")</f>
        <v/>
      </c>
      <c r="CP11" s="210" t="str">
        <f>IF(AND(C11="Skema 3",B11="on"),Skemaoplysninger!$AK$31,"")</f>
        <v/>
      </c>
      <c r="CQ11" s="210" t="str">
        <f>IF(AND(C11="Skema 3",B11="to"),Skemaoplysninger!$AM$31,"")</f>
        <v/>
      </c>
      <c r="CR11" s="210" t="str">
        <f>IF(AND(C11="Skema 3",B11="fr"),Skemaoplysninger!$AO$31,"")</f>
        <v/>
      </c>
      <c r="CS11" s="210" t="str">
        <f>IF(AND(C11="Skema 4",B11="ma"),Skemaoplysninger!$AU$31,"")</f>
        <v/>
      </c>
      <c r="CT11" s="210" t="str">
        <f>IF(AND(C11="Skema 4",B11="ti"),Skemaoplysninger!$AW$31,"")</f>
        <v/>
      </c>
      <c r="CU11" s="210" t="str">
        <f>IF(AND(C11="Skema 4",B11="on"),Skemaoplysninger!$AY$31,"")</f>
        <v/>
      </c>
      <c r="CV11" s="210" t="str">
        <f>IF(AND(C11="Skema 4",B11="to"),Skemaoplysninger!$BA$31,"")</f>
        <v/>
      </c>
      <c r="CW11" s="210" t="str">
        <f>IF(AND(C11="Skema 4",B11="fr"),Skemaoplysninger!$BC$31,"")</f>
        <v/>
      </c>
      <c r="CX11" s="249">
        <f>IF(Stamoplysninger!$H$29="NEJ",SUM(CD11:CW11)*24+CB11+CC11,0)</f>
        <v>0</v>
      </c>
      <c r="CY11" s="249">
        <f>IF(C11="Skema 1",Stamoplysninger!$H$30/200,0)</f>
        <v>0</v>
      </c>
      <c r="CZ11" s="249">
        <f>IF(C11="Skema 2",Stamoplysninger!$H$30/200,0)</f>
        <v>0</v>
      </c>
      <c r="DA11" s="249">
        <f>IF(C11="Skema 3",Stamoplysninger!$H$30/200,0)</f>
        <v>0</v>
      </c>
      <c r="DB11" s="249">
        <f>IF(C11="Skema 4",Stamoplysninger!$H$30/200,0)</f>
        <v>0</v>
      </c>
      <c r="DC11" s="249">
        <f>IF(C11="fagdag",Stamoplysninger!$H$30/200,0)</f>
        <v>0</v>
      </c>
      <c r="DD11" s="249">
        <f>IF(C11="emnedag",Stamoplysninger!$H$30/200,0)</f>
        <v>0</v>
      </c>
      <c r="DE11" s="249">
        <f>IF(C11="lejrskole",Stamoplysninger!$H$30/200,0)</f>
        <v>0</v>
      </c>
      <c r="DF11" s="249">
        <f>IF(C11="ekskursion",Stamoplysninger!$H$30/200,0)</f>
        <v>0</v>
      </c>
      <c r="DG11" s="249">
        <f t="shared" si="26"/>
        <v>0</v>
      </c>
      <c r="DH11" t="str">
        <f t="shared" si="27"/>
        <v/>
      </c>
      <c r="DI11">
        <f t="shared" si="28"/>
        <v>0</v>
      </c>
      <c r="DJ11">
        <f t="shared" si="29"/>
        <v>0</v>
      </c>
      <c r="DK11" t="str">
        <f t="shared" si="13"/>
        <v/>
      </c>
      <c r="DL11" t="str">
        <f t="shared" si="13"/>
        <v/>
      </c>
      <c r="DM11" t="str">
        <f t="shared" si="13"/>
        <v/>
      </c>
      <c r="DN11" t="str">
        <f t="shared" si="30"/>
        <v/>
      </c>
      <c r="DO11" s="652">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71">
        <f>IF(AND(Stamoplysninger!$B$22="Ulempetillæg udbetales med 25% af nettotimelønnen.",C11="ikke relevant"),(R11)/4,0)</f>
        <v>0</v>
      </c>
      <c r="DT11" s="671">
        <f>IF(AND(AND(Stamoplysninger!$B$22="Ulempetillæg udbetales med 25% af nettotimelønnen.",I11="X",C11="Ikke relevant")),K11/4,0)</f>
        <v>0</v>
      </c>
      <c r="DU11" s="671">
        <f>IF(AND(AND(Stamoplysninger!$B$22="Ulempetillæg udbetales med 25% af nettotimelønnen.",C11="ikke relevant",U11="X")),(X11/4),0)</f>
        <v>0</v>
      </c>
      <c r="DV11" s="672">
        <f>IF(AND(AND(AND(Stamoplysninger!$B$22="Ulempetillæg udbetales med 25% af nettotimelønnen.",I11="X",C11="Ikke relevant",S11="X"))),V11/4,0)</f>
        <v>0</v>
      </c>
      <c r="DW11" s="652"/>
      <c r="DZ11" s="671"/>
      <c r="EA11" s="671"/>
      <c r="EB11" s="672"/>
      <c r="EC11" s="652">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71">
        <f>IF(AND(Stamoplysninger!$B$22="Ulempetillæg afspadseres med 25%(Kræver en aftale imellem ledelsen og den ansatte)",C11="ikke relevant"),(R11)/4,0)</f>
        <v>0</v>
      </c>
      <c r="EH11" s="671">
        <f>IF(AND(AND(Stamoplysninger!$B$22="Ulempetillæg afspadseres med 25%(Kræver en aftale imellem ledelsen og den ansatte)",I11="X",C11="Ikke relevant")),K11/4,0)</f>
        <v>0</v>
      </c>
      <c r="EI11" s="671">
        <f>IF(AND(AND(Stamoplysninger!$B$22="Ulempetillæg afspadseres med 25%(Kræver en aftale imellem ledelsen og den ansatte)",U11="X",C11="Ikke relevant")),X11/4,0)</f>
        <v>0</v>
      </c>
      <c r="EJ11" s="671">
        <f>IF(AND(AND(AND(Stamoplysninger!$B$22="Ulempetillæg afspadseres med 25%(Kræver en aftale imellem ledelsen og den ansatte)",I11="X",C11="Ikke relevant",S11="X"))),V11/4,0)</f>
        <v>0</v>
      </c>
      <c r="EK11" s="283">
        <f>IF(AND(Stamoplysninger!$B$26="Weekendtimer og weekendtillæg afspadseres.",I11="X"),K11*1.5,0)</f>
        <v>0</v>
      </c>
      <c r="EL11" s="251">
        <f>IF(AND(AND(Stamoplysninger!$B$26="Weekendtimer og weekendtillæg afspadseres.",I11="X",S11="X")),V11*1.5,0)</f>
        <v>0</v>
      </c>
      <c r="EM11" s="674">
        <f>IF(AND(AND(Stamoplysninger!$B$26="Weekendtimer og weekendtillæg afspadseres.",I11="X",C11="ikke relevant")),K11*1.5,0)</f>
        <v>0</v>
      </c>
      <c r="EN11" s="675">
        <f>IF(AND(AND(AND(Stamoplysninger!$B$26="Weekendtimer og weekendtillæg afspadseres.",I11="X",C11="ikke relevant",S11="X"))),(V11*1.5),0)</f>
        <v>0</v>
      </c>
      <c r="EO11" s="283">
        <f>IF(AND(Stamoplysninger!$B$26="Weekendtimer og weekendtillæg udbetales.",I11="X"),K11*1.5,0)</f>
        <v>0</v>
      </c>
      <c r="EP11" s="251">
        <f>IF(AND(AND(Stamoplysninger!$B$26="Weekendtimer og weekendtillæg udbetales.",I11="X",S11="X")),V11*1.5,0)</f>
        <v>0</v>
      </c>
      <c r="EQ11" s="674">
        <f>IF(AND(AND(Stamoplysninger!$B$26="Weekendtimer og weekendtillæg udbetales.",I11="X",C11="ikke relevant")),K11*1.5,0)</f>
        <v>0</v>
      </c>
      <c r="ER11" s="675">
        <f>IF(AND(AND(AND(Stamoplysninger!$B$26="Weekendtimer og weekendtillæg udbetales.",I11="X",C11="ikke relevant",S11="X"))),(V11*1.5),0)</f>
        <v>0</v>
      </c>
      <c r="ES11" s="283">
        <f>IF(AND(Stamoplysninger!$B$26="Der er indgået lokalaftale omkring weekendtimer.(Kræver aftale med TR/FSL) Weekendtillæg afspadseres.",I11="X"),K11*0.5,0)</f>
        <v>0</v>
      </c>
      <c r="ET11" s="251">
        <f>IF(AND(AND(Stamoplysninger!$B$26="Der er indgået lokalaftale omkring weekendtimer.(Kræver aftale med TR/FSL) Weekendtillæg afspadseres.",I11="X",S11="X")),V11*0.5,0)</f>
        <v>0</v>
      </c>
      <c r="EU11" s="674">
        <f>IF(AND(AND(Stamoplysninger!$B$26="Der er indgået lokalaftale omkring weekendtimer.(Kræver aftale med TR/FSL) Weekendtillæg afspadseres.",I11="X",C11="ikke relevant")),K11*0.5,0)</f>
        <v>0</v>
      </c>
      <c r="EV11" s="675">
        <f>IF(AND(AND(AND(Stamoplysninger!$B$26="Der er indgået lokalaftale omkring weekendtimer.(Kræver aftale med TR/FSL) Weekendtillæg afspadseres.",I11="X",C11="ikke relevant",S11="X"))),(V11*0.5),0)</f>
        <v>0</v>
      </c>
      <c r="EW11" s="283">
        <f>IF(AND(Stamoplysninger!$B$26="Der er indgået lokalaftale omkring weekendtimer(Kræver aftale med TR/FSL). Weekendtillæg udbetales.",I11="X"),K11*0.5,0)</f>
        <v>0</v>
      </c>
      <c r="EX11" s="251">
        <f>IF(AND(AND(Stamoplysninger!$B$26="Der er indgået lokalaftale omkring weekendtimer(Kræver aftale med TR/FSL). Weekendtillæg udbetales.",I11="X",S11="X")),V11*0.5,0)</f>
        <v>0</v>
      </c>
      <c r="EY11" s="674">
        <f>IF(AND(AND(Stamoplysninger!$B$26="Der er indgået lokalaftale omkring weekendtimer(Kræver aftale med TR/FSL). Weekendtillæg udbetales.",I11="X",C11="ikke relevant")),K11*0.5,0)</f>
        <v>0</v>
      </c>
      <c r="EZ11" s="675">
        <f>IF(AND(AND(AND(Stamoplysninger!$B$26="Der er indgået lokalaftale omkring weekendtimer(Kræver aftale med TR/FSL). Weekendtillæg udbetales.",I11="X",C11="ikke relevant",S11="X"))),(V11*0.5),0)</f>
        <v>0</v>
      </c>
      <c r="FA11" s="283">
        <f>IF(AND(Stamoplysninger!$B$26="Der er indgået lokalaftale omkring weekendtillæg(Kræver aftale med TR/FSL). Weekendtimerne afspadseres.",I11="X"),K11,0)</f>
        <v>0</v>
      </c>
      <c r="FB11" s="251">
        <f>IF(AND(AND(Stamoplysninger!$B$26="Der er indgået lokalaftale omkring weekendtillæg(Kræver aftale med TR/FSL). Weekendtimerne afspadseres.",I11="X",S11="X")),V11,0)</f>
        <v>0</v>
      </c>
      <c r="FC11" s="674">
        <f>IF(AND(AND(Stamoplysninger!$B$26="Der er indgået lokalaftale omkring weekendtillæg(Kræver aftale med TR/FSL). Weekendtimerne afspadseres..",I11="X",C11="ikke relevant")),K11,0)</f>
        <v>0</v>
      </c>
      <c r="FD11" s="675">
        <f>IF(AND(AND(AND(Stamoplysninger!$B$26="Der er indgået lokalaftale omkring weekendtillæg(Kræver aftale med TR/FSL). Weekendtimerne afspadseres.",I11="X",C11="ikke relevant",S11="X"))),(V11),0)</f>
        <v>0</v>
      </c>
      <c r="FE11" s="283">
        <f>IF(AND(Stamoplysninger!$B$26="Der er indgået lokalaftale omkring weekendtillæg(Kræver aftale med TR/FSL). Weekendtimerne udbetales.",I11="X"),K11,0)</f>
        <v>0</v>
      </c>
      <c r="FF11" s="251">
        <f>IF(AND(AND(Stamoplysninger!$B$26="Der er indgået lokalaftale omkring weekendtillæg(Kræver aftale med TR/FSL). Weekendtimerne udbetales.",I11="X",S11="X")),V11,0)</f>
        <v>0</v>
      </c>
      <c r="FG11" s="674">
        <f>IF(AND(AND(Stamoplysninger!$B$26="Der er indgået lokalaftale omkring weekendtillæg(Kræver aftale med TR/FSL). Weekendtimerne udbetales.",I11="X",C11="ikke relevant")),K11,0)</f>
        <v>0</v>
      </c>
      <c r="FH11" s="675">
        <f>IF(AND(AND(AND(Stamoplysninger!$B$26="Der er indgået lokalaftale omkring weekendtillæg(Kræver aftale med TR/FSL). Weekendtimerne udbetales.",I11="X",C11="ikke relevant",S11="X"))),(V11),0)</f>
        <v>0</v>
      </c>
      <c r="FI11" s="283">
        <f>IF(AND(Stamoplysninger!$B$26="Weekendtimer og weekendtillæg afspadseres.",I11="X"),K11,0)</f>
        <v>0</v>
      </c>
      <c r="FJ11" s="251">
        <f>IF(AND(Stamoplysninger!$B$26="Weekendtimer og weekendtillæg afspadseres.",Y11="X"),(AA11+AL11)/2,0)</f>
        <v>0</v>
      </c>
      <c r="FK11" s="674">
        <f>IF(AND(AND(Stamoplysninger!$B$26="Weekendtimer og weekendtillæg afspadseres.",I11="X",C11="ikke relevant")),K11,0)</f>
        <v>0</v>
      </c>
      <c r="FL11" s="675">
        <f>IF(AND(AND(Stamoplysninger!$B$26="Weekendtimer og weekendtillæg afspadseres.",Y11="X",S11="ikke relevant")),(AA11+AL11)/2,0)</f>
        <v>0</v>
      </c>
      <c r="FM11" s="283">
        <f>IF(AND(Stamoplysninger!$B$26="Der er indgået lokalaftale omkring weekendtillæg(Kræver aftale med TR/FSL). Weekendtimerne afspadseres.",I11="X"),K11,0)</f>
        <v>0</v>
      </c>
      <c r="FN11" s="674">
        <f>IF(AND(AND(Stamoplysninger!$B$26="Der er indgået lokalaftale omkring weekendtillæg(Kræver aftale med TR/FSL). Weekendtimerne afspadseres.",I11="X",C11="ikke relevant")),K11,0)</f>
        <v>0</v>
      </c>
      <c r="FO11" s="283">
        <f>IF(AND(Stamoplysninger!$B$26="Weekendtimer og weekendtillæg udbetales.",I11="X"),K11,0)</f>
        <v>0</v>
      </c>
      <c r="FP11" s="251">
        <f>IF(AND(Stamoplysninger!$B$26="Weekendtimer og weekendtillæg udbetales.",AA11="X"),(AC11+AN11)/2,0)</f>
        <v>0</v>
      </c>
      <c r="FQ11" s="674">
        <f>IF(AND(AND(Stamoplysninger!$B$26="Weekendtimer og weekendtillæg udbetales.",I11="X",C11="ikke relevant")),K11,0)</f>
        <v>0</v>
      </c>
      <c r="FR11" s="688">
        <f>IF(AND(AND(Stamoplysninger!$B$26="Weekendtimer og weekendtillæg udbetales.",AA11="X",U11="ikke relevant")),(AC11+AN11)/2,0)</f>
        <v>0</v>
      </c>
      <c r="FS11" s="283">
        <f t="shared" si="14"/>
        <v>0</v>
      </c>
      <c r="FT11" s="658">
        <f t="shared" si="15"/>
        <v>0</v>
      </c>
      <c r="FU11">
        <f t="shared" si="16"/>
        <v>0</v>
      </c>
      <c r="FV11" s="283">
        <f>IF(AND(Stamoplysninger!$B$26="Der er indgået lokalaftale omkring weekendtimer.(Kræver aftale med TR/FSL) Weekendtillæg afspadseres.",I11="X"),K11,0)</f>
        <v>0</v>
      </c>
      <c r="FW11" s="674">
        <f>IF(AND(AND(Stamoplysninger!$B$26="Der er indgået lokalaftale omkring weekendtimer.(Kræver aftale med TR/FSL) Weekendtillæg afspadseres.",I11="X",C11="ikke relevant")),K11,0)</f>
        <v>0</v>
      </c>
      <c r="FX11" s="283">
        <f>IF(AND(Stamoplysninger!$B$26="Der er indgået lokalaftale omkring weekendtimer(Kræver aftale med TR/FSL). Weekendtillæg udbetales.",I11="X"),K11,0)</f>
        <v>0</v>
      </c>
      <c r="FY11" s="674">
        <f>IF(AND(AND(Stamoplysninger!$B$26="Der er indgået lokalaftale omkring weekendtimer(Kræver aftale med TR/FSL). Weekendtillæg udbetales.",I11="X",C11="ikke relevant")),K11,0)</f>
        <v>0</v>
      </c>
      <c r="FZ11" s="283">
        <f>IF(AND(Stamoplysninger!$B$26="Der er indgået lokalaftale omkring weekendtillæg(Kræver aftale med TR/FSL). Weekendtimerne udbetales.",I11="X"),K11,0)</f>
        <v>0</v>
      </c>
      <c r="GA11" s="674">
        <f>IF(AND(AND(Stamoplysninger!$B$26="Der er indgået lokalaftale omkring weekendtillæg(Kræver aftale med TR/FSL). Weekendtimerne udbetales.",I11="X",C11="ikke relevant")),K11,0)</f>
        <v>0</v>
      </c>
      <c r="GB11" s="283">
        <f>IF(AND(Stamoplysninger!$B$26="Der er indgået lokalaftale omkring weekendtimer og weekendtillæg.(Kræver aftale med TR/FSL).",I11="X"),K11,0)</f>
        <v>0</v>
      </c>
      <c r="GC11" s="674">
        <f>IF(AND(AND(Stamoplysninger!$B$26="Der er indgået lokalaftale omkring weekendtimer og weekendtillæg.(Kræver aftale med TR/FSL).",I11="X",C11="ikke relevant")),K11,0)</f>
        <v>0</v>
      </c>
    </row>
    <row r="12" spans="1:185">
      <c r="A12" s="245">
        <f t="shared" si="17"/>
        <v>4</v>
      </c>
      <c r="B12" s="128" t="str">
        <f t="shared" si="0"/>
        <v>ma</v>
      </c>
      <c r="C12" s="129" t="s">
        <v>206</v>
      </c>
      <c r="D12" s="130">
        <f t="shared" si="1"/>
        <v>45</v>
      </c>
      <c r="E12" s="917"/>
      <c r="F12" s="918"/>
      <c r="G12" s="919"/>
      <c r="H12" s="298"/>
      <c r="I12" s="527"/>
      <c r="J12" s="413"/>
      <c r="K12" s="380"/>
      <c r="L12" s="380"/>
      <c r="M12" s="380"/>
      <c r="N12" s="318">
        <f t="shared" si="18"/>
        <v>7.75</v>
      </c>
      <c r="O12" s="318">
        <f t="shared" si="19"/>
        <v>3.916666666666667</v>
      </c>
      <c r="P12" s="318">
        <f>IF(Stamoplysninger!$H$29="JA",November!DG12,CX12)</f>
        <v>0.83333333333333337</v>
      </c>
      <c r="Q12" s="318">
        <f t="shared" si="20"/>
        <v>2.9999999999999996</v>
      </c>
      <c r="R12" s="319"/>
      <c r="S12" s="324"/>
      <c r="T12" s="325"/>
      <c r="U12" s="325"/>
      <c r="V12" s="435"/>
      <c r="W12" s="435"/>
      <c r="X12" s="644"/>
      <c r="Y12">
        <f t="shared" si="21"/>
        <v>0</v>
      </c>
      <c r="Z12" s="437">
        <f t="shared" si="22"/>
        <v>0</v>
      </c>
      <c r="AA12" s="1">
        <f t="shared" si="2"/>
        <v>0</v>
      </c>
      <c r="AB12" s="1">
        <f t="shared" si="3"/>
        <v>0</v>
      </c>
      <c r="AC12" s="1">
        <f t="shared" si="4"/>
        <v>0</v>
      </c>
      <c r="AD12" s="1">
        <f t="shared" si="5"/>
        <v>0</v>
      </c>
      <c r="AE12" s="1">
        <f t="shared" si="6"/>
        <v>0</v>
      </c>
      <c r="AF12" s="1">
        <f>IF(C12="Orlov",7.4*Stamoplysninger!$E$15,0)</f>
        <v>0</v>
      </c>
      <c r="AG12">
        <f>IF(AND(C12="Skema 1",B12="ma"),Arbejdstidsoversigt!$E$72,"")</f>
        <v>7.75</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7.75</v>
      </c>
      <c r="BB12" s="229">
        <f t="shared" si="7"/>
        <v>186</v>
      </c>
      <c r="BC12" s="1">
        <f t="shared" si="24"/>
        <v>0</v>
      </c>
      <c r="BD12" s="1">
        <f t="shared" si="8"/>
        <v>0</v>
      </c>
      <c r="BE12" s="1">
        <f t="shared" si="9"/>
        <v>0</v>
      </c>
      <c r="BF12" s="1">
        <f t="shared" si="10"/>
        <v>0</v>
      </c>
      <c r="BG12" s="210">
        <f>IF(AND(C12="Skema 1",B12="ma"),Skemaoplysninger!$E$30,"")</f>
        <v>0.16319444444444445</v>
      </c>
      <c r="BH12" s="210" t="str">
        <f>IF(AND(C12="Skema 1",B12="ti"),Skemaoplysninger!$G$30,"")</f>
        <v/>
      </c>
      <c r="BI12" s="210" t="str">
        <f>IF(AND(C12="Skema 1",B12="on"),Skemaoplysninger!$I$30,"")</f>
        <v/>
      </c>
      <c r="BJ12" s="210" t="str">
        <f>IF(AND(C12="Skema 1",B12="to"),Skemaoplysninger!$K$30,"")</f>
        <v/>
      </c>
      <c r="BK12" s="210" t="str">
        <f>IF(AND(C12="Skema 1",B12="fr"),Skemaoplysninger!$M$30,"")</f>
        <v/>
      </c>
      <c r="BL12" s="210" t="str">
        <f>IF(AND(C12="Skema 2",B12="ma"),Skemaoplysninger!$S$30,"")</f>
        <v/>
      </c>
      <c r="BM12" s="210" t="str">
        <f>IF(AND(C12="Skema 2",B12="ti"),Skemaoplysninger!$U$30,"")</f>
        <v/>
      </c>
      <c r="BN12" s="210" t="str">
        <f>IF(AND(C12="Skema 2",B12="on"),Skemaoplysninger!$W$30,"")</f>
        <v/>
      </c>
      <c r="BO12" s="210" t="str">
        <f>IF(AND(C12="Skema 2",B12="to"),Skemaoplysninger!$Y$30,"")</f>
        <v/>
      </c>
      <c r="BP12" s="210" t="str">
        <f>IF(AND(C12="Skema 2",B12="fr"),Skemaoplysninger!$AA$30,"")</f>
        <v/>
      </c>
      <c r="BQ12" s="210" t="str">
        <f>IF(AND(C12="Skema 3",B12="ma"),Skemaoplysninger!$AG$30,"")</f>
        <v/>
      </c>
      <c r="BR12" s="210" t="str">
        <f>IF(AND(C12="Skema 3",B12="ti"),Skemaoplysninger!$AI$30,"")</f>
        <v/>
      </c>
      <c r="BS12" s="210" t="str">
        <f>IF(AND(C12="Skema 3",B12="on"),Skemaoplysninger!$AK$30,"")</f>
        <v/>
      </c>
      <c r="BT12" s="210" t="str">
        <f>IF(AND(C12="Skema 3",B12="to"),Skemaoplysninger!$AM$30,"")</f>
        <v/>
      </c>
      <c r="BU12" s="210" t="str">
        <f>IF(AND(C12="Skema 3",B12="fr"),Skemaoplysninger!$AO$30,"")</f>
        <v/>
      </c>
      <c r="BV12" s="210" t="str">
        <f>IF(AND(C12="Skema 4",B12="ma"),Skemaoplysninger!$AU$30,"")</f>
        <v/>
      </c>
      <c r="BW12" s="210" t="str">
        <f>IF(AND(C12="Skema 4",B12="ti"),Skemaoplysninger!$AW$30,"")</f>
        <v/>
      </c>
      <c r="BX12" s="210" t="str">
        <f>IF(AND(C12="Skema 4",B12="on"),Skemaoplysninger!$AY$30,"")</f>
        <v/>
      </c>
      <c r="BY12" s="210" t="str">
        <f>IF(AND(C12="Skema 4",B12="to"),Skemaoplysninger!$BA$30,"")</f>
        <v/>
      </c>
      <c r="BZ12" s="210" t="str">
        <f>IF(AND(C12="Skema 4",B12="fr"),Skemaoplysninger!$BC$30,"")</f>
        <v/>
      </c>
      <c r="CA12" s="1">
        <f t="shared" si="25"/>
        <v>3.916666666666667</v>
      </c>
      <c r="CB12" s="1">
        <f t="shared" si="11"/>
        <v>0</v>
      </c>
      <c r="CC12" s="1">
        <f t="shared" si="12"/>
        <v>0</v>
      </c>
      <c r="CD12" s="210">
        <f>IF(AND(C12="Skema 1",B12="ma"),Skemaoplysninger!$E$31,"")</f>
        <v>3.4722222222222224E-2</v>
      </c>
      <c r="CE12" s="210" t="str">
        <f>IF(AND(C12="Skema 1",B12="ti"),Skemaoplysninger!$G$31,"")</f>
        <v/>
      </c>
      <c r="CF12" s="210" t="str">
        <f>IF(AND(C12="Skema 1",B12="on"),Skemaoplysninger!$I$31,"")</f>
        <v/>
      </c>
      <c r="CG12" s="210" t="str">
        <f>IF(AND(C12="Skema 1",B12="to"),Skemaoplysninger!$K$31,"")</f>
        <v/>
      </c>
      <c r="CH12" s="210" t="str">
        <f>IF(AND(C12="Skema 1",B12="fr"),Skemaoplysninger!$M$31,"")</f>
        <v/>
      </c>
      <c r="CI12" s="210" t="str">
        <f>IF(AND(C12="Skema 2",B12="ma"),Skemaoplysninger!$S$31,"")</f>
        <v/>
      </c>
      <c r="CJ12" s="210" t="str">
        <f>IF(AND(C12="Skema 2",B12="ti"),Skemaoplysninger!$U$31,"")</f>
        <v/>
      </c>
      <c r="CK12" s="210" t="str">
        <f>IF(AND(C12="Skema 2",B12="on"),Skemaoplysninger!$W$31,"")</f>
        <v/>
      </c>
      <c r="CL12" s="210" t="str">
        <f>IF(AND(C12="Skema 2",B12="to"),Skemaoplysninger!$Y$31,"")</f>
        <v/>
      </c>
      <c r="CM12" s="210" t="str">
        <f>IF(AND(C12="Skema 2",B12="fr"),Skemaoplysninger!$AA$31,"")</f>
        <v/>
      </c>
      <c r="CN12" s="210" t="str">
        <f>IF(AND(C12="Skema 3",B12="ma"),Skemaoplysninger!$AG$31,"")</f>
        <v/>
      </c>
      <c r="CO12" s="210" t="str">
        <f>IF(AND(C12="Skema 3",B12="ti"),Skemaoplysninger!$AI$31,"")</f>
        <v/>
      </c>
      <c r="CP12" s="210" t="str">
        <f>IF(AND(C12="Skema 3",B12="on"),Skemaoplysninger!$AK$31,"")</f>
        <v/>
      </c>
      <c r="CQ12" s="210" t="str">
        <f>IF(AND(C12="Skema 3",B12="to"),Skemaoplysninger!$AM$31,"")</f>
        <v/>
      </c>
      <c r="CR12" s="210" t="str">
        <f>IF(AND(C12="Skema 3",B12="fr"),Skemaoplysninger!$AO$31,"")</f>
        <v/>
      </c>
      <c r="CS12" s="210" t="str">
        <f>IF(AND(C12="Skema 4",B12="ma"),Skemaoplysninger!$AU$31,"")</f>
        <v/>
      </c>
      <c r="CT12" s="210" t="str">
        <f>IF(AND(C12="Skema 4",B12="ti"),Skemaoplysninger!$AW$31,"")</f>
        <v/>
      </c>
      <c r="CU12" s="210" t="str">
        <f>IF(AND(C12="Skema 4",B12="on"),Skemaoplysninger!$AY$31,"")</f>
        <v/>
      </c>
      <c r="CV12" s="210" t="str">
        <f>IF(AND(C12="Skema 4",B12="to"),Skemaoplysninger!$BA$31,"")</f>
        <v/>
      </c>
      <c r="CW12" s="210" t="str">
        <f>IF(AND(C12="Skema 4",B12="fr"),Skemaoplysninger!$BC$31,"")</f>
        <v/>
      </c>
      <c r="CX12" s="249">
        <f>IF(Stamoplysninger!$H$29="NEJ",SUM(CD12:CW12)*24+CB12+CC12,0)</f>
        <v>0.83333333333333337</v>
      </c>
      <c r="CY12" s="249">
        <f>IF(C12="Skema 1",Stamoplysninger!$H$30/200,0)</f>
        <v>0</v>
      </c>
      <c r="CZ12" s="249">
        <f>IF(C12="Skema 2",Stamoplysninger!$H$30/200,0)</f>
        <v>0</v>
      </c>
      <c r="DA12" s="249">
        <f>IF(C12="Skema 3",Stamoplysninger!$H$30/200,0)</f>
        <v>0</v>
      </c>
      <c r="DB12" s="249">
        <f>IF(C12="Skema 4",Stamoplysninger!$H$30/200,0)</f>
        <v>0</v>
      </c>
      <c r="DC12" s="249">
        <f>IF(C12="fagdag",Stamoplysninger!$H$30/200,0)</f>
        <v>0</v>
      </c>
      <c r="DD12" s="249">
        <f>IF(C12="emnedag",Stamoplysninger!$H$30/200,0)</f>
        <v>0</v>
      </c>
      <c r="DE12" s="249">
        <f>IF(C12="lejrskole",Stamoplysninger!$H$30/200,0)</f>
        <v>0</v>
      </c>
      <c r="DF12" s="249">
        <f>IF(C12="ekskursion",Stamoplysninger!$H$30/200,0)</f>
        <v>0</v>
      </c>
      <c r="DG12" s="249">
        <f t="shared" si="26"/>
        <v>0</v>
      </c>
      <c r="DH12" t="str">
        <f t="shared" si="27"/>
        <v/>
      </c>
      <c r="DI12">
        <f t="shared" si="28"/>
        <v>0</v>
      </c>
      <c r="DJ12">
        <f>IF(E12="",H12,"")</f>
        <v>0</v>
      </c>
      <c r="DK12" t="str">
        <f t="shared" si="13"/>
        <v/>
      </c>
      <c r="DL12" t="str">
        <f t="shared" si="13"/>
        <v/>
      </c>
      <c r="DM12" t="str">
        <f t="shared" si="13"/>
        <v/>
      </c>
      <c r="DN12" t="str">
        <f t="shared" si="30"/>
        <v/>
      </c>
      <c r="DO12" s="652">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71">
        <f>IF(AND(Stamoplysninger!$B$22="Ulempetillæg udbetales med 25% af nettotimelønnen.",C12="ikke relevant"),(R12)/4,0)</f>
        <v>0</v>
      </c>
      <c r="DT12" s="671">
        <f>IF(AND(AND(Stamoplysninger!$B$22="Ulempetillæg udbetales med 25% af nettotimelønnen.",I12="X",C12="Ikke relevant")),K12/4,0)</f>
        <v>0</v>
      </c>
      <c r="DU12" s="671">
        <f>IF(AND(AND(Stamoplysninger!$B$22="Ulempetillæg udbetales med 25% af nettotimelønnen.",C12="ikke relevant",U12="X")),(X12/4),0)</f>
        <v>0</v>
      </c>
      <c r="DV12" s="672">
        <f>IF(AND(AND(AND(Stamoplysninger!$B$22="Ulempetillæg udbetales med 25% af nettotimelønnen.",I12="X",C12="Ikke relevant",S12="X"))),V12/4,0)</f>
        <v>0</v>
      </c>
      <c r="DW12" s="652"/>
      <c r="DZ12" s="671"/>
      <c r="EA12" s="671"/>
      <c r="EB12" s="672"/>
      <c r="EC12" s="652">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71">
        <f>IF(AND(Stamoplysninger!$B$22="Ulempetillæg afspadseres med 25%(Kræver en aftale imellem ledelsen og den ansatte)",C12="ikke relevant"),(R12)/4,0)</f>
        <v>0</v>
      </c>
      <c r="EH12" s="671">
        <f>IF(AND(AND(Stamoplysninger!$B$22="Ulempetillæg afspadseres med 25%(Kræver en aftale imellem ledelsen og den ansatte)",I12="X",C12="Ikke relevant")),K12/4,0)</f>
        <v>0</v>
      </c>
      <c r="EI12" s="671">
        <f>IF(AND(AND(Stamoplysninger!$B$22="Ulempetillæg afspadseres med 25%(Kræver en aftale imellem ledelsen og den ansatte)",U12="X",C12="Ikke relevant")),X12/4,0)</f>
        <v>0</v>
      </c>
      <c r="EJ12" s="671">
        <f>IF(AND(AND(AND(Stamoplysninger!$B$22="Ulempetillæg afspadseres med 25%(Kræver en aftale imellem ledelsen og den ansatte)",I12="X",C12="Ikke relevant",S12="X"))),V12/4,0)</f>
        <v>0</v>
      </c>
      <c r="EK12" s="283">
        <f>IF(AND(Stamoplysninger!$B$26="Weekendtimer og weekendtillæg afspadseres.",I12="X"),K12*1.5,0)</f>
        <v>0</v>
      </c>
      <c r="EL12" s="251">
        <f>IF(AND(AND(Stamoplysninger!$B$26="Weekendtimer og weekendtillæg afspadseres.",I12="X",S12="X")),V12*1.5,0)</f>
        <v>0</v>
      </c>
      <c r="EM12" s="674">
        <f>IF(AND(AND(Stamoplysninger!$B$26="Weekendtimer og weekendtillæg afspadseres.",I12="X",C12="ikke relevant")),K12*1.5,0)</f>
        <v>0</v>
      </c>
      <c r="EN12" s="675">
        <f>IF(AND(AND(AND(Stamoplysninger!$B$26="Weekendtimer og weekendtillæg afspadseres.",I12="X",C12="ikke relevant",S12="X"))),(V12*1.5),0)</f>
        <v>0</v>
      </c>
      <c r="EO12" s="283">
        <f>IF(AND(Stamoplysninger!$B$26="Weekendtimer og weekendtillæg udbetales.",I12="X"),K12*1.5,0)</f>
        <v>0</v>
      </c>
      <c r="EP12" s="251">
        <f>IF(AND(AND(Stamoplysninger!$B$26="Weekendtimer og weekendtillæg udbetales.",I12="X",S12="X")),V12*1.5,0)</f>
        <v>0</v>
      </c>
      <c r="EQ12" s="674">
        <f>IF(AND(AND(Stamoplysninger!$B$26="Weekendtimer og weekendtillæg udbetales.",I12="X",C12="ikke relevant")),K12*1.5,0)</f>
        <v>0</v>
      </c>
      <c r="ER12" s="675">
        <f>IF(AND(AND(AND(Stamoplysninger!$B$26="Weekendtimer og weekendtillæg udbetales.",I12="X",C12="ikke relevant",S12="X"))),(V12*1.5),0)</f>
        <v>0</v>
      </c>
      <c r="ES12" s="283">
        <f>IF(AND(Stamoplysninger!$B$26="Der er indgået lokalaftale omkring weekendtimer.(Kræver aftale med TR/FSL) Weekendtillæg afspadseres.",I12="X"),K12*0.5,0)</f>
        <v>0</v>
      </c>
      <c r="ET12" s="251">
        <f>IF(AND(AND(Stamoplysninger!$B$26="Der er indgået lokalaftale omkring weekendtimer.(Kræver aftale med TR/FSL) Weekendtillæg afspadseres.",I12="X",S12="X")),V12*0.5,0)</f>
        <v>0</v>
      </c>
      <c r="EU12" s="674">
        <f>IF(AND(AND(Stamoplysninger!$B$26="Der er indgået lokalaftale omkring weekendtimer.(Kræver aftale med TR/FSL) Weekendtillæg afspadseres.",I12="X",C12="ikke relevant")),K12*0.5,0)</f>
        <v>0</v>
      </c>
      <c r="EV12" s="675">
        <f>IF(AND(AND(AND(Stamoplysninger!$B$26="Der er indgået lokalaftale omkring weekendtimer.(Kræver aftale med TR/FSL) Weekendtillæg afspadseres.",I12="X",C12="ikke relevant",S12="X"))),(V12*0.5),0)</f>
        <v>0</v>
      </c>
      <c r="EW12" s="283">
        <f>IF(AND(Stamoplysninger!$B$26="Der er indgået lokalaftale omkring weekendtimer(Kræver aftale med TR/FSL). Weekendtillæg udbetales.",I12="X"),K12*0.5,0)</f>
        <v>0</v>
      </c>
      <c r="EX12" s="251">
        <f>IF(AND(AND(Stamoplysninger!$B$26="Der er indgået lokalaftale omkring weekendtimer(Kræver aftale med TR/FSL). Weekendtillæg udbetales.",I12="X",S12="X")),V12*0.5,0)</f>
        <v>0</v>
      </c>
      <c r="EY12" s="674">
        <f>IF(AND(AND(Stamoplysninger!$B$26="Der er indgået lokalaftale omkring weekendtimer(Kræver aftale med TR/FSL). Weekendtillæg udbetales.",I12="X",C12="ikke relevant")),K12*0.5,0)</f>
        <v>0</v>
      </c>
      <c r="EZ12" s="675">
        <f>IF(AND(AND(AND(Stamoplysninger!$B$26="Der er indgået lokalaftale omkring weekendtimer(Kræver aftale med TR/FSL). Weekendtillæg udbetales.",I12="X",C12="ikke relevant",S12="X"))),(V12*0.5),0)</f>
        <v>0</v>
      </c>
      <c r="FA12" s="283">
        <f>IF(AND(Stamoplysninger!$B$26="Der er indgået lokalaftale omkring weekendtillæg(Kræver aftale med TR/FSL). Weekendtimerne afspadseres.",I12="X"),K12,0)</f>
        <v>0</v>
      </c>
      <c r="FB12" s="251">
        <f>IF(AND(AND(Stamoplysninger!$B$26="Der er indgået lokalaftale omkring weekendtillæg(Kræver aftale med TR/FSL). Weekendtimerne afspadseres.",I12="X",S12="X")),V12,0)</f>
        <v>0</v>
      </c>
      <c r="FC12" s="674">
        <f>IF(AND(AND(Stamoplysninger!$B$26="Der er indgået lokalaftale omkring weekendtillæg(Kræver aftale med TR/FSL). Weekendtimerne afspadseres..",I12="X",C12="ikke relevant")),K12,0)</f>
        <v>0</v>
      </c>
      <c r="FD12" s="675">
        <f>IF(AND(AND(AND(Stamoplysninger!$B$26="Der er indgået lokalaftale omkring weekendtillæg(Kræver aftale med TR/FSL). Weekendtimerne afspadseres.",I12="X",C12="ikke relevant",S12="X"))),(V12),0)</f>
        <v>0</v>
      </c>
      <c r="FE12" s="283">
        <f>IF(AND(Stamoplysninger!$B$26="Der er indgået lokalaftale omkring weekendtillæg(Kræver aftale med TR/FSL). Weekendtimerne udbetales.",I12="X"),K12,0)</f>
        <v>0</v>
      </c>
      <c r="FF12" s="251">
        <f>IF(AND(AND(Stamoplysninger!$B$26="Der er indgået lokalaftale omkring weekendtillæg(Kræver aftale med TR/FSL). Weekendtimerne udbetales.",I12="X",S12="X")),V12,0)</f>
        <v>0</v>
      </c>
      <c r="FG12" s="674">
        <f>IF(AND(AND(Stamoplysninger!$B$26="Der er indgået lokalaftale omkring weekendtillæg(Kræver aftale med TR/FSL). Weekendtimerne udbetales.",I12="X",C12="ikke relevant")),K12,0)</f>
        <v>0</v>
      </c>
      <c r="FH12" s="675">
        <f>IF(AND(AND(AND(Stamoplysninger!$B$26="Der er indgået lokalaftale omkring weekendtillæg(Kræver aftale med TR/FSL). Weekendtimerne udbetales.",I12="X",C12="ikke relevant",S12="X"))),(V12),0)</f>
        <v>0</v>
      </c>
      <c r="FI12" s="283">
        <f>IF(AND(Stamoplysninger!$B$26="Weekendtimer og weekendtillæg afspadseres.",I12="X"),K12,0)</f>
        <v>0</v>
      </c>
      <c r="FJ12" s="251">
        <f>IF(AND(Stamoplysninger!$B$26="Weekendtimer og weekendtillæg afspadseres.",Y12="X"),(AA12+AL12)/2,0)</f>
        <v>0</v>
      </c>
      <c r="FK12" s="674">
        <f>IF(AND(AND(Stamoplysninger!$B$26="Weekendtimer og weekendtillæg afspadseres.",I12="X",C12="ikke relevant")),K12,0)</f>
        <v>0</v>
      </c>
      <c r="FL12" s="675">
        <f>IF(AND(AND(Stamoplysninger!$B$26="Weekendtimer og weekendtillæg afspadseres.",Y12="X",S12="ikke relevant")),(AA12+AL12)/2,0)</f>
        <v>0</v>
      </c>
      <c r="FM12" s="283">
        <f>IF(AND(Stamoplysninger!$B$26="Der er indgået lokalaftale omkring weekendtillæg(Kræver aftale med TR/FSL). Weekendtimerne afspadseres.",I12="X"),K12,0)</f>
        <v>0</v>
      </c>
      <c r="FN12" s="674">
        <f>IF(AND(AND(Stamoplysninger!$B$26="Der er indgået lokalaftale omkring weekendtillæg(Kræver aftale med TR/FSL). Weekendtimerne afspadseres.",I12="X",C12="ikke relevant")),K12,0)</f>
        <v>0</v>
      </c>
      <c r="FO12" s="283">
        <f>IF(AND(Stamoplysninger!$B$26="Weekendtimer og weekendtillæg udbetales.",I12="X"),K12,0)</f>
        <v>0</v>
      </c>
      <c r="FP12" s="251">
        <f>IF(AND(Stamoplysninger!$B$26="Weekendtimer og weekendtillæg udbetales.",AA12="X"),(AC12+AN12)/2,0)</f>
        <v>0</v>
      </c>
      <c r="FQ12" s="674">
        <f>IF(AND(AND(Stamoplysninger!$B$26="Weekendtimer og weekendtillæg udbetales.",I12="X",C12="ikke relevant")),K12,0)</f>
        <v>0</v>
      </c>
      <c r="FR12" s="688">
        <f>IF(AND(AND(Stamoplysninger!$B$26="Weekendtimer og weekendtillæg udbetales.",AA12="X",U12="ikke relevant")),(AC12+AN12)/2,0)</f>
        <v>0</v>
      </c>
      <c r="FS12" s="283">
        <f t="shared" si="14"/>
        <v>0</v>
      </c>
      <c r="FT12" s="658">
        <f t="shared" si="15"/>
        <v>0</v>
      </c>
      <c r="FU12">
        <f t="shared" si="16"/>
        <v>0</v>
      </c>
      <c r="FV12" s="283">
        <f>IF(AND(Stamoplysninger!$B$26="Der er indgået lokalaftale omkring weekendtimer.(Kræver aftale med TR/FSL) Weekendtillæg afspadseres.",I12="X"),K12,0)</f>
        <v>0</v>
      </c>
      <c r="FW12" s="674">
        <f>IF(AND(AND(Stamoplysninger!$B$26="Der er indgået lokalaftale omkring weekendtimer.(Kræver aftale med TR/FSL) Weekendtillæg afspadseres.",I12="X",C12="ikke relevant")),K12,0)</f>
        <v>0</v>
      </c>
      <c r="FX12" s="283">
        <f>IF(AND(Stamoplysninger!$B$26="Der er indgået lokalaftale omkring weekendtimer(Kræver aftale med TR/FSL). Weekendtillæg udbetales.",I12="X"),K12,0)</f>
        <v>0</v>
      </c>
      <c r="FY12" s="674">
        <f>IF(AND(AND(Stamoplysninger!$B$26="Der er indgået lokalaftale omkring weekendtimer(Kræver aftale med TR/FSL). Weekendtillæg udbetales.",I12="X",C12="ikke relevant")),K12,0)</f>
        <v>0</v>
      </c>
      <c r="FZ12" s="283">
        <f>IF(AND(Stamoplysninger!$B$26="Der er indgået lokalaftale omkring weekendtillæg(Kræver aftale med TR/FSL). Weekendtimerne udbetales.",I12="X"),K12,0)</f>
        <v>0</v>
      </c>
      <c r="GA12" s="674">
        <f>IF(AND(AND(Stamoplysninger!$B$26="Der er indgået lokalaftale omkring weekendtillæg(Kræver aftale med TR/FSL). Weekendtimerne udbetales.",I12="X",C12="ikke relevant")),K12,0)</f>
        <v>0</v>
      </c>
      <c r="GB12" s="283">
        <f>IF(AND(Stamoplysninger!$B$26="Der er indgået lokalaftale omkring weekendtimer og weekendtillæg.(Kræver aftale med TR/FSL).",I12="X"),K12,0)</f>
        <v>0</v>
      </c>
      <c r="GC12" s="674">
        <f>IF(AND(AND(Stamoplysninger!$B$26="Der er indgået lokalaftale omkring weekendtimer og weekendtillæg.(Kræver aftale med TR/FSL).",I12="X",C12="ikke relevant")),K12,0)</f>
        <v>0</v>
      </c>
    </row>
    <row r="13" spans="1:185">
      <c r="A13" s="245">
        <f t="shared" si="17"/>
        <v>5</v>
      </c>
      <c r="B13" s="128" t="str">
        <f t="shared" si="0"/>
        <v>ti</v>
      </c>
      <c r="C13" s="129" t="s">
        <v>206</v>
      </c>
      <c r="D13" s="130" t="str">
        <f t="shared" si="1"/>
        <v/>
      </c>
      <c r="E13" s="917"/>
      <c r="F13" s="918"/>
      <c r="G13" s="919"/>
      <c r="H13" s="298"/>
      <c r="I13" s="527"/>
      <c r="J13" s="413"/>
      <c r="K13" s="380"/>
      <c r="L13" s="380"/>
      <c r="M13" s="380"/>
      <c r="N13" s="318">
        <f t="shared" si="18"/>
        <v>7.75</v>
      </c>
      <c r="O13" s="318">
        <f t="shared" si="19"/>
        <v>4.5</v>
      </c>
      <c r="P13" s="318">
        <f>IF(Stamoplysninger!$H$29="JA",November!DG13,CX13)</f>
        <v>1</v>
      </c>
      <c r="Q13" s="318">
        <f t="shared" si="20"/>
        <v>2.25</v>
      </c>
      <c r="R13" s="319"/>
      <c r="S13" s="324"/>
      <c r="T13" s="325"/>
      <c r="U13" s="325"/>
      <c r="V13" s="435"/>
      <c r="W13" s="435"/>
      <c r="X13" s="644"/>
      <c r="Y13">
        <f t="shared" si="21"/>
        <v>0</v>
      </c>
      <c r="Z13" s="437">
        <f t="shared" si="22"/>
        <v>0</v>
      </c>
      <c r="AA13" s="1">
        <f t="shared" si="2"/>
        <v>0</v>
      </c>
      <c r="AB13" s="1">
        <f t="shared" si="3"/>
        <v>0</v>
      </c>
      <c r="AC13" s="1">
        <f t="shared" si="4"/>
        <v>0</v>
      </c>
      <c r="AD13" s="1">
        <f t="shared" si="5"/>
        <v>0</v>
      </c>
      <c r="AE13" s="1">
        <f t="shared" si="6"/>
        <v>0</v>
      </c>
      <c r="AF13" s="1">
        <f>IF(C13="Orlov",7.4*Stamoplysninger!$E$15,0)</f>
        <v>0</v>
      </c>
      <c r="AG13" t="str">
        <f>IF(AND(C13="Skema 1",B13="ma"),Arbejdstidsoversigt!$E$72,"")</f>
        <v/>
      </c>
      <c r="AH13">
        <f>IF(AND(C13="Skema 1",B13="ti"),Arbejdstidsoversigt!$E$73,"")</f>
        <v>7.75</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7.75</v>
      </c>
      <c r="BB13" s="229">
        <f t="shared" si="7"/>
        <v>186</v>
      </c>
      <c r="BC13" s="1">
        <f t="shared" si="24"/>
        <v>0</v>
      </c>
      <c r="BD13" s="1">
        <f t="shared" si="8"/>
        <v>0</v>
      </c>
      <c r="BE13" s="1">
        <f t="shared" si="9"/>
        <v>0</v>
      </c>
      <c r="BF13" s="1">
        <f t="shared" si="10"/>
        <v>0</v>
      </c>
      <c r="BG13" s="210" t="str">
        <f>IF(AND(C13="Skema 1",B13="ma"),Skemaoplysninger!$E$30,"")</f>
        <v/>
      </c>
      <c r="BH13" s="210">
        <f>IF(AND(C13="Skema 1",B13="ti"),Skemaoplysninger!$G$30,"")</f>
        <v>0.1875</v>
      </c>
      <c r="BI13" s="210" t="str">
        <f>IF(AND(C13="Skema 1",B13="on"),Skemaoplysninger!$I$30,"")</f>
        <v/>
      </c>
      <c r="BJ13" s="210" t="str">
        <f>IF(AND(C13="Skema 1",B13="to"),Skemaoplysninger!$K$30,"")</f>
        <v/>
      </c>
      <c r="BK13" s="210" t="str">
        <f>IF(AND(C13="Skema 1",B13="fr"),Skemaoplysninger!$M$30,"")</f>
        <v/>
      </c>
      <c r="BL13" s="210" t="str">
        <f>IF(AND(C13="Skema 2",B13="ma"),Skemaoplysninger!$S$30,"")</f>
        <v/>
      </c>
      <c r="BM13" s="210" t="str">
        <f>IF(AND(C13="Skema 2",B13="ti"),Skemaoplysninger!$U$30,"")</f>
        <v/>
      </c>
      <c r="BN13" s="210" t="str">
        <f>IF(AND(C13="Skema 2",B13="on"),Skemaoplysninger!$W$30,"")</f>
        <v/>
      </c>
      <c r="BO13" s="210" t="str">
        <f>IF(AND(C13="Skema 2",B13="to"),Skemaoplysninger!$Y$30,"")</f>
        <v/>
      </c>
      <c r="BP13" s="210" t="str">
        <f>IF(AND(C13="Skema 2",B13="fr"),Skemaoplysninger!$AA$30,"")</f>
        <v/>
      </c>
      <c r="BQ13" s="210" t="str">
        <f>IF(AND(C13="Skema 3",B13="ma"),Skemaoplysninger!$AG$30,"")</f>
        <v/>
      </c>
      <c r="BR13" s="210" t="str">
        <f>IF(AND(C13="Skema 3",B13="ti"),Skemaoplysninger!$AI$30,"")</f>
        <v/>
      </c>
      <c r="BS13" s="210" t="str">
        <f>IF(AND(C13="Skema 3",B13="on"),Skemaoplysninger!$AK$30,"")</f>
        <v/>
      </c>
      <c r="BT13" s="210" t="str">
        <f>IF(AND(C13="Skema 3",B13="to"),Skemaoplysninger!$AM$30,"")</f>
        <v/>
      </c>
      <c r="BU13" s="210" t="str">
        <f>IF(AND(C13="Skema 3",B13="fr"),Skemaoplysninger!$AO$30,"")</f>
        <v/>
      </c>
      <c r="BV13" s="210" t="str">
        <f>IF(AND(C13="Skema 4",B13="ma"),Skemaoplysninger!$AU$30,"")</f>
        <v/>
      </c>
      <c r="BW13" s="210" t="str">
        <f>IF(AND(C13="Skema 4",B13="ti"),Skemaoplysninger!$AW$30,"")</f>
        <v/>
      </c>
      <c r="BX13" s="210" t="str">
        <f>IF(AND(C13="Skema 4",B13="on"),Skemaoplysninger!$AY$30,"")</f>
        <v/>
      </c>
      <c r="BY13" s="210" t="str">
        <f>IF(AND(C13="Skema 4",B13="to"),Skemaoplysninger!$BA$30,"")</f>
        <v/>
      </c>
      <c r="BZ13" s="210" t="str">
        <f>IF(AND(C13="Skema 4",B13="fr"),Skemaoplysninger!$BC$30,"")</f>
        <v/>
      </c>
      <c r="CA13" s="1">
        <f t="shared" si="25"/>
        <v>4.5</v>
      </c>
      <c r="CB13" s="1">
        <f t="shared" si="11"/>
        <v>0</v>
      </c>
      <c r="CC13" s="1">
        <f t="shared" si="12"/>
        <v>0</v>
      </c>
      <c r="CD13" s="210" t="str">
        <f>IF(AND(C13="Skema 1",B13="ma"),Skemaoplysninger!$E$31,"")</f>
        <v/>
      </c>
      <c r="CE13" s="210">
        <f>IF(AND(C13="Skema 1",B13="ti"),Skemaoplysninger!$G$31,"")</f>
        <v>4.1666666666666671E-2</v>
      </c>
      <c r="CF13" s="210" t="str">
        <f>IF(AND(C13="Skema 1",B13="on"),Skemaoplysninger!$I$31,"")</f>
        <v/>
      </c>
      <c r="CG13" s="210" t="str">
        <f>IF(AND(C13="Skema 1",B13="to"),Skemaoplysninger!$K$31,"")</f>
        <v/>
      </c>
      <c r="CH13" s="210" t="str">
        <f>IF(AND(C13="Skema 1",B13="fr"),Skemaoplysninger!$M$31,"")</f>
        <v/>
      </c>
      <c r="CI13" s="210" t="str">
        <f>IF(AND(C13="Skema 2",B13="ma"),Skemaoplysninger!$S$31,"")</f>
        <v/>
      </c>
      <c r="CJ13" s="210" t="str">
        <f>IF(AND(C13="Skema 2",B13="ti"),Skemaoplysninger!$U$31,"")</f>
        <v/>
      </c>
      <c r="CK13" s="210" t="str">
        <f>IF(AND(C13="Skema 2",B13="on"),Skemaoplysninger!$W$31,"")</f>
        <v/>
      </c>
      <c r="CL13" s="210" t="str">
        <f>IF(AND(C13="Skema 2",B13="to"),Skemaoplysninger!$Y$31,"")</f>
        <v/>
      </c>
      <c r="CM13" s="210" t="str">
        <f>IF(AND(C13="Skema 2",B13="fr"),Skemaoplysninger!$AA$31,"")</f>
        <v/>
      </c>
      <c r="CN13" s="210" t="str">
        <f>IF(AND(C13="Skema 3",B13="ma"),Skemaoplysninger!$AG$31,"")</f>
        <v/>
      </c>
      <c r="CO13" s="210" t="str">
        <f>IF(AND(C13="Skema 3",B13="ti"),Skemaoplysninger!$AI$31,"")</f>
        <v/>
      </c>
      <c r="CP13" s="210" t="str">
        <f>IF(AND(C13="Skema 3",B13="on"),Skemaoplysninger!$AK$31,"")</f>
        <v/>
      </c>
      <c r="CQ13" s="210" t="str">
        <f>IF(AND(C13="Skema 3",B13="to"),Skemaoplysninger!$AM$31,"")</f>
        <v/>
      </c>
      <c r="CR13" s="210" t="str">
        <f>IF(AND(C13="Skema 3",B13="fr"),Skemaoplysninger!$AO$31,"")</f>
        <v/>
      </c>
      <c r="CS13" s="210" t="str">
        <f>IF(AND(C13="Skema 4",B13="ma"),Skemaoplysninger!$AU$31,"")</f>
        <v/>
      </c>
      <c r="CT13" s="210" t="str">
        <f>IF(AND(C13="Skema 4",B13="ti"),Skemaoplysninger!$AW$31,"")</f>
        <v/>
      </c>
      <c r="CU13" s="210" t="str">
        <f>IF(AND(C13="Skema 4",B13="on"),Skemaoplysninger!$AY$31,"")</f>
        <v/>
      </c>
      <c r="CV13" s="210" t="str">
        <f>IF(AND(C13="Skema 4",B13="to"),Skemaoplysninger!$BA$31,"")</f>
        <v/>
      </c>
      <c r="CW13" s="210" t="str">
        <f>IF(AND(C13="Skema 4",B13="fr"),Skemaoplysninger!$BC$31,"")</f>
        <v/>
      </c>
      <c r="CX13" s="249">
        <f>IF(Stamoplysninger!$H$29="NEJ",SUM(CD13:CW13)*24+CB13+CC13,0)</f>
        <v>1</v>
      </c>
      <c r="CY13" s="249">
        <f>IF(C13="Skema 1",Stamoplysninger!$H$30/200,0)</f>
        <v>0</v>
      </c>
      <c r="CZ13" s="249">
        <f>IF(C13="Skema 2",Stamoplysninger!$H$30/200,0)</f>
        <v>0</v>
      </c>
      <c r="DA13" s="249">
        <f>IF(C13="Skema 3",Stamoplysninger!$H$30/200,0)</f>
        <v>0</v>
      </c>
      <c r="DB13" s="249">
        <f>IF(C13="Skema 4",Stamoplysninger!$H$30/200,0)</f>
        <v>0</v>
      </c>
      <c r="DC13" s="249">
        <f>IF(C13="fagdag",Stamoplysninger!$H$30/200,0)</f>
        <v>0</v>
      </c>
      <c r="DD13" s="249">
        <f>IF(C13="emnedag",Stamoplysninger!$H$30/200,0)</f>
        <v>0</v>
      </c>
      <c r="DE13" s="249">
        <f>IF(C13="lejrskole",Stamoplysninger!$H$30/200,0)</f>
        <v>0</v>
      </c>
      <c r="DF13" s="249">
        <f>IF(C13="ekskursion",Stamoplysninger!$H$30/200,0)</f>
        <v>0</v>
      </c>
      <c r="DG13" s="249">
        <f t="shared" si="26"/>
        <v>0</v>
      </c>
      <c r="DH13" t="str">
        <f t="shared" si="27"/>
        <v/>
      </c>
      <c r="DI13">
        <f t="shared" si="28"/>
        <v>0</v>
      </c>
      <c r="DJ13">
        <f t="shared" si="29"/>
        <v>0</v>
      </c>
      <c r="DK13" t="str">
        <f t="shared" si="13"/>
        <v/>
      </c>
      <c r="DL13" t="str">
        <f t="shared" si="13"/>
        <v/>
      </c>
      <c r="DM13" t="str">
        <f t="shared" si="13"/>
        <v/>
      </c>
      <c r="DN13" t="str">
        <f t="shared" si="30"/>
        <v/>
      </c>
      <c r="DO13" s="652">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71">
        <f>IF(AND(Stamoplysninger!$B$22="Ulempetillæg udbetales med 25% af nettotimelønnen.",C13="ikke relevant"),(R13)/4,0)</f>
        <v>0</v>
      </c>
      <c r="DT13" s="671">
        <f>IF(AND(AND(Stamoplysninger!$B$22="Ulempetillæg udbetales med 25% af nettotimelønnen.",I13="X",C13="Ikke relevant")),K13/4,0)</f>
        <v>0</v>
      </c>
      <c r="DU13" s="671">
        <f>IF(AND(AND(Stamoplysninger!$B$22="Ulempetillæg udbetales med 25% af nettotimelønnen.",C13="ikke relevant",U13="X")),(X13/4),0)</f>
        <v>0</v>
      </c>
      <c r="DV13" s="672">
        <f>IF(AND(AND(AND(Stamoplysninger!$B$22="Ulempetillæg udbetales med 25% af nettotimelønnen.",I13="X",C13="Ikke relevant",S13="X"))),V13/4,0)</f>
        <v>0</v>
      </c>
      <c r="DW13" s="652"/>
      <c r="DZ13" s="671"/>
      <c r="EA13" s="671"/>
      <c r="EB13" s="672"/>
      <c r="EC13" s="652">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71">
        <f>IF(AND(Stamoplysninger!$B$22="Ulempetillæg afspadseres med 25%(Kræver en aftale imellem ledelsen og den ansatte)",C13="ikke relevant"),(R13)/4,0)</f>
        <v>0</v>
      </c>
      <c r="EH13" s="671">
        <f>IF(AND(AND(Stamoplysninger!$B$22="Ulempetillæg afspadseres med 25%(Kræver en aftale imellem ledelsen og den ansatte)",I13="X",C13="Ikke relevant")),K13/4,0)</f>
        <v>0</v>
      </c>
      <c r="EI13" s="671">
        <f>IF(AND(AND(Stamoplysninger!$B$22="Ulempetillæg afspadseres med 25%(Kræver en aftale imellem ledelsen og den ansatte)",U13="X",C13="Ikke relevant")),X13/4,0)</f>
        <v>0</v>
      </c>
      <c r="EJ13" s="671">
        <f>IF(AND(AND(AND(Stamoplysninger!$B$22="Ulempetillæg afspadseres med 25%(Kræver en aftale imellem ledelsen og den ansatte)",I13="X",C13="Ikke relevant",S13="X"))),V13/4,0)</f>
        <v>0</v>
      </c>
      <c r="EK13" s="283">
        <f>IF(AND(Stamoplysninger!$B$26="Weekendtimer og weekendtillæg afspadseres.",I13="X"),K13*1.5,0)</f>
        <v>0</v>
      </c>
      <c r="EL13" s="251">
        <f>IF(AND(AND(Stamoplysninger!$B$26="Weekendtimer og weekendtillæg afspadseres.",I13="X",S13="X")),V13*1.5,0)</f>
        <v>0</v>
      </c>
      <c r="EM13" s="674">
        <f>IF(AND(AND(Stamoplysninger!$B$26="Weekendtimer og weekendtillæg afspadseres.",I13="X",C13="ikke relevant")),K13*1.5,0)</f>
        <v>0</v>
      </c>
      <c r="EN13" s="675">
        <f>IF(AND(AND(AND(Stamoplysninger!$B$26="Weekendtimer og weekendtillæg afspadseres.",I13="X",C13="ikke relevant",S13="X"))),(V13*1.5),0)</f>
        <v>0</v>
      </c>
      <c r="EO13" s="283">
        <f>IF(AND(Stamoplysninger!$B$26="Weekendtimer og weekendtillæg udbetales.",I13="X"),K13*1.5,0)</f>
        <v>0</v>
      </c>
      <c r="EP13" s="251">
        <f>IF(AND(AND(Stamoplysninger!$B$26="Weekendtimer og weekendtillæg udbetales.",I13="X",S13="X")),V13*1.5,0)</f>
        <v>0</v>
      </c>
      <c r="EQ13" s="674">
        <f>IF(AND(AND(Stamoplysninger!$B$26="Weekendtimer og weekendtillæg udbetales.",I13="X",C13="ikke relevant")),K13*1.5,0)</f>
        <v>0</v>
      </c>
      <c r="ER13" s="675">
        <f>IF(AND(AND(AND(Stamoplysninger!$B$26="Weekendtimer og weekendtillæg udbetales.",I13="X",C13="ikke relevant",S13="X"))),(V13*1.5),0)</f>
        <v>0</v>
      </c>
      <c r="ES13" s="283">
        <f>IF(AND(Stamoplysninger!$B$26="Der er indgået lokalaftale omkring weekendtimer.(Kræver aftale med TR/FSL) Weekendtillæg afspadseres.",I13="X"),K13*0.5,0)</f>
        <v>0</v>
      </c>
      <c r="ET13" s="251">
        <f>IF(AND(AND(Stamoplysninger!$B$26="Der er indgået lokalaftale omkring weekendtimer.(Kræver aftale med TR/FSL) Weekendtillæg afspadseres.",I13="X",S13="X")),V13*0.5,0)</f>
        <v>0</v>
      </c>
      <c r="EU13" s="674">
        <f>IF(AND(AND(Stamoplysninger!$B$26="Der er indgået lokalaftale omkring weekendtimer.(Kræver aftale med TR/FSL) Weekendtillæg afspadseres.",I13="X",C13="ikke relevant")),K13*0.5,0)</f>
        <v>0</v>
      </c>
      <c r="EV13" s="675">
        <f>IF(AND(AND(AND(Stamoplysninger!$B$26="Der er indgået lokalaftale omkring weekendtimer.(Kræver aftale med TR/FSL) Weekendtillæg afspadseres.",I13="X",C13="ikke relevant",S13="X"))),(V13*0.5),0)</f>
        <v>0</v>
      </c>
      <c r="EW13" s="283">
        <f>IF(AND(Stamoplysninger!$B$26="Der er indgået lokalaftale omkring weekendtimer(Kræver aftale med TR/FSL). Weekendtillæg udbetales.",I13="X"),K13*0.5,0)</f>
        <v>0</v>
      </c>
      <c r="EX13" s="251">
        <f>IF(AND(AND(Stamoplysninger!$B$26="Der er indgået lokalaftale omkring weekendtimer(Kræver aftale med TR/FSL). Weekendtillæg udbetales.",I13="X",S13="X")),V13*0.5,0)</f>
        <v>0</v>
      </c>
      <c r="EY13" s="674">
        <f>IF(AND(AND(Stamoplysninger!$B$26="Der er indgået lokalaftale omkring weekendtimer(Kræver aftale med TR/FSL). Weekendtillæg udbetales.",I13="X",C13="ikke relevant")),K13*0.5,0)</f>
        <v>0</v>
      </c>
      <c r="EZ13" s="675">
        <f>IF(AND(AND(AND(Stamoplysninger!$B$26="Der er indgået lokalaftale omkring weekendtimer(Kræver aftale med TR/FSL). Weekendtillæg udbetales.",I13="X",C13="ikke relevant",S13="X"))),(V13*0.5),0)</f>
        <v>0</v>
      </c>
      <c r="FA13" s="283">
        <f>IF(AND(Stamoplysninger!$B$26="Der er indgået lokalaftale omkring weekendtillæg(Kræver aftale med TR/FSL). Weekendtimerne afspadseres.",I13="X"),K13,0)</f>
        <v>0</v>
      </c>
      <c r="FB13" s="251">
        <f>IF(AND(AND(Stamoplysninger!$B$26="Der er indgået lokalaftale omkring weekendtillæg(Kræver aftale med TR/FSL). Weekendtimerne afspadseres.",I13="X",S13="X")),V13,0)</f>
        <v>0</v>
      </c>
      <c r="FC13" s="674">
        <f>IF(AND(AND(Stamoplysninger!$B$26="Der er indgået lokalaftale omkring weekendtillæg(Kræver aftale med TR/FSL). Weekendtimerne afspadseres..",I13="X",C13="ikke relevant")),K13,0)</f>
        <v>0</v>
      </c>
      <c r="FD13" s="675">
        <f>IF(AND(AND(AND(Stamoplysninger!$B$26="Der er indgået lokalaftale omkring weekendtillæg(Kræver aftale med TR/FSL). Weekendtimerne afspadseres.",I13="X",C13="ikke relevant",S13="X"))),(V13),0)</f>
        <v>0</v>
      </c>
      <c r="FE13" s="283">
        <f>IF(AND(Stamoplysninger!$B$26="Der er indgået lokalaftale omkring weekendtillæg(Kræver aftale med TR/FSL). Weekendtimerne udbetales.",I13="X"),K13,0)</f>
        <v>0</v>
      </c>
      <c r="FF13" s="251">
        <f>IF(AND(AND(Stamoplysninger!$B$26="Der er indgået lokalaftale omkring weekendtillæg(Kræver aftale med TR/FSL). Weekendtimerne udbetales.",I13="X",S13="X")),V13,0)</f>
        <v>0</v>
      </c>
      <c r="FG13" s="674">
        <f>IF(AND(AND(Stamoplysninger!$B$26="Der er indgået lokalaftale omkring weekendtillæg(Kræver aftale med TR/FSL). Weekendtimerne udbetales.",I13="X",C13="ikke relevant")),K13,0)</f>
        <v>0</v>
      </c>
      <c r="FH13" s="675">
        <f>IF(AND(AND(AND(Stamoplysninger!$B$26="Der er indgået lokalaftale omkring weekendtillæg(Kræver aftale med TR/FSL). Weekendtimerne udbetales.",I13="X",C13="ikke relevant",S13="X"))),(V13),0)</f>
        <v>0</v>
      </c>
      <c r="FI13" s="283">
        <f>IF(AND(Stamoplysninger!$B$26="Weekendtimer og weekendtillæg afspadseres.",I13="X"),K13,0)</f>
        <v>0</v>
      </c>
      <c r="FJ13" s="251">
        <f>IF(AND(Stamoplysninger!$B$26="Weekendtimer og weekendtillæg afspadseres.",Y13="X"),(AA13+AL13)/2,0)</f>
        <v>0</v>
      </c>
      <c r="FK13" s="674">
        <f>IF(AND(AND(Stamoplysninger!$B$26="Weekendtimer og weekendtillæg afspadseres.",I13="X",C13="ikke relevant")),K13,0)</f>
        <v>0</v>
      </c>
      <c r="FL13" s="675">
        <f>IF(AND(AND(Stamoplysninger!$B$26="Weekendtimer og weekendtillæg afspadseres.",Y13="X",S13="ikke relevant")),(AA13+AL13)/2,0)</f>
        <v>0</v>
      </c>
      <c r="FM13" s="283">
        <f>IF(AND(Stamoplysninger!$B$26="Der er indgået lokalaftale omkring weekendtillæg(Kræver aftale med TR/FSL). Weekendtimerne afspadseres.",I13="X"),K13,0)</f>
        <v>0</v>
      </c>
      <c r="FN13" s="674">
        <f>IF(AND(AND(Stamoplysninger!$B$26="Der er indgået lokalaftale omkring weekendtillæg(Kræver aftale med TR/FSL). Weekendtimerne afspadseres.",I13="X",C13="ikke relevant")),K13,0)</f>
        <v>0</v>
      </c>
      <c r="FO13" s="283">
        <f>IF(AND(Stamoplysninger!$B$26="Weekendtimer og weekendtillæg udbetales.",I13="X"),K13,0)</f>
        <v>0</v>
      </c>
      <c r="FP13" s="251">
        <f>IF(AND(Stamoplysninger!$B$26="Weekendtimer og weekendtillæg udbetales.",AA13="X"),(AC13+AN13)/2,0)</f>
        <v>0</v>
      </c>
      <c r="FQ13" s="674">
        <f>IF(AND(AND(Stamoplysninger!$B$26="Weekendtimer og weekendtillæg udbetales.",I13="X",C13="ikke relevant")),K13,0)</f>
        <v>0</v>
      </c>
      <c r="FR13" s="688">
        <f>IF(AND(AND(Stamoplysninger!$B$26="Weekendtimer og weekendtillæg udbetales.",AA13="X",U13="ikke relevant")),(AC13+AN13)/2,0)</f>
        <v>0</v>
      </c>
      <c r="FS13" s="283">
        <f t="shared" si="14"/>
        <v>0</v>
      </c>
      <c r="FT13" s="658">
        <f t="shared" si="15"/>
        <v>0</v>
      </c>
      <c r="FU13">
        <f t="shared" si="16"/>
        <v>0</v>
      </c>
      <c r="FV13" s="283">
        <f>IF(AND(Stamoplysninger!$B$26="Der er indgået lokalaftale omkring weekendtimer.(Kræver aftale med TR/FSL) Weekendtillæg afspadseres.",I13="X"),K13,0)</f>
        <v>0</v>
      </c>
      <c r="FW13" s="674">
        <f>IF(AND(AND(Stamoplysninger!$B$26="Der er indgået lokalaftale omkring weekendtimer.(Kræver aftale med TR/FSL) Weekendtillæg afspadseres.",I13="X",C13="ikke relevant")),K13,0)</f>
        <v>0</v>
      </c>
      <c r="FX13" s="283">
        <f>IF(AND(Stamoplysninger!$B$26="Der er indgået lokalaftale omkring weekendtimer(Kræver aftale med TR/FSL). Weekendtillæg udbetales.",I13="X"),K13,0)</f>
        <v>0</v>
      </c>
      <c r="FY13" s="674">
        <f>IF(AND(AND(Stamoplysninger!$B$26="Der er indgået lokalaftale omkring weekendtimer(Kræver aftale med TR/FSL). Weekendtillæg udbetales.",I13="X",C13="ikke relevant")),K13,0)</f>
        <v>0</v>
      </c>
      <c r="FZ13" s="283">
        <f>IF(AND(Stamoplysninger!$B$26="Der er indgået lokalaftale omkring weekendtillæg(Kræver aftale med TR/FSL). Weekendtimerne udbetales.",I13="X"),K13,0)</f>
        <v>0</v>
      </c>
      <c r="GA13" s="674">
        <f>IF(AND(AND(Stamoplysninger!$B$26="Der er indgået lokalaftale omkring weekendtillæg(Kræver aftale med TR/FSL). Weekendtimerne udbetales.",I13="X",C13="ikke relevant")),K13,0)</f>
        <v>0</v>
      </c>
      <c r="GB13" s="283">
        <f>IF(AND(Stamoplysninger!$B$26="Der er indgået lokalaftale omkring weekendtimer og weekendtillæg.(Kræver aftale med TR/FSL).",I13="X"),K13,0)</f>
        <v>0</v>
      </c>
      <c r="GC13" s="674">
        <f>IF(AND(AND(Stamoplysninger!$B$26="Der er indgået lokalaftale omkring weekendtimer og weekendtillæg.(Kræver aftale med TR/FSL).",I13="X",C13="ikke relevant")),K13,0)</f>
        <v>0</v>
      </c>
    </row>
    <row r="14" spans="1:185" ht="16" customHeight="1">
      <c r="A14" s="245">
        <f t="shared" si="17"/>
        <v>6</v>
      </c>
      <c r="B14" s="128" t="str">
        <f t="shared" si="0"/>
        <v>on</v>
      </c>
      <c r="C14" s="129" t="s">
        <v>206</v>
      </c>
      <c r="D14" s="130" t="str">
        <f t="shared" si="1"/>
        <v/>
      </c>
      <c r="E14" s="917"/>
      <c r="F14" s="918"/>
      <c r="G14" s="919"/>
      <c r="H14" s="298"/>
      <c r="I14" s="527"/>
      <c r="J14" s="413"/>
      <c r="K14" s="380"/>
      <c r="L14" s="380"/>
      <c r="M14" s="380"/>
      <c r="N14" s="318">
        <f t="shared" si="18"/>
        <v>7.75</v>
      </c>
      <c r="O14" s="318">
        <f t="shared" si="19"/>
        <v>5</v>
      </c>
      <c r="P14" s="318">
        <f>IF(Stamoplysninger!$H$29="JA",November!DG14,CX14)</f>
        <v>1.1666666666666665</v>
      </c>
      <c r="Q14" s="318">
        <f t="shared" si="20"/>
        <v>1.5833333333333335</v>
      </c>
      <c r="R14" s="319"/>
      <c r="S14" s="324"/>
      <c r="T14" s="325"/>
      <c r="U14" s="325"/>
      <c r="V14" s="435"/>
      <c r="W14" s="435"/>
      <c r="X14" s="644"/>
      <c r="Y14">
        <f t="shared" si="21"/>
        <v>0</v>
      </c>
      <c r="Z14" s="437">
        <f t="shared" si="22"/>
        <v>0</v>
      </c>
      <c r="AA14" s="1">
        <f t="shared" si="2"/>
        <v>0</v>
      </c>
      <c r="AB14" s="1">
        <f t="shared" si="3"/>
        <v>0</v>
      </c>
      <c r="AC14" s="1">
        <f t="shared" si="4"/>
        <v>0</v>
      </c>
      <c r="AD14" s="1">
        <f t="shared" si="5"/>
        <v>0</v>
      </c>
      <c r="AE14" s="1">
        <f t="shared" si="6"/>
        <v>0</v>
      </c>
      <c r="AF14" s="1">
        <f>IF(C14="Orlov",7.4*Stamoplysninger!$E$15,0)</f>
        <v>0</v>
      </c>
      <c r="AG14" t="str">
        <f>IF(AND(C14="Skema 1",B14="ma"),Arbejdstidsoversigt!$E$72,"")</f>
        <v/>
      </c>
      <c r="AH14" t="str">
        <f>IF(AND(C14="Skema 1",B14="ti"),Arbejdstidsoversigt!$E$73,"")</f>
        <v/>
      </c>
      <c r="AI14">
        <f>IF(AND(C14="Skema 1",B14="on"),Arbejdstidsoversigt!$E$74,"")</f>
        <v>7.75</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7.75</v>
      </c>
      <c r="BB14" s="229">
        <f t="shared" si="7"/>
        <v>186</v>
      </c>
      <c r="BC14" s="1">
        <f t="shared" si="24"/>
        <v>0</v>
      </c>
      <c r="BD14" s="1">
        <f t="shared" si="8"/>
        <v>0</v>
      </c>
      <c r="BE14" s="1">
        <f t="shared" si="9"/>
        <v>0</v>
      </c>
      <c r="BF14" s="1">
        <f t="shared" si="10"/>
        <v>0</v>
      </c>
      <c r="BG14" s="210" t="str">
        <f>IF(AND(C14="Skema 1",B14="ma"),Skemaoplysninger!$E$30,"")</f>
        <v/>
      </c>
      <c r="BH14" s="210" t="str">
        <f>IF(AND(C14="Skema 1",B14="ti"),Skemaoplysninger!$G$30,"")</f>
        <v/>
      </c>
      <c r="BI14" s="210">
        <f>IF(AND(C14="Skema 1",B14="on"),Skemaoplysninger!$I$30,"")</f>
        <v>0.20833333333333331</v>
      </c>
      <c r="BJ14" s="210" t="str">
        <f>IF(AND(C14="Skema 1",B14="to"),Skemaoplysninger!$K$30,"")</f>
        <v/>
      </c>
      <c r="BK14" s="210" t="str">
        <f>IF(AND(C14="Skema 1",B14="fr"),Skemaoplysninger!$M$30,"")</f>
        <v/>
      </c>
      <c r="BL14" s="210" t="str">
        <f>IF(AND(C14="Skema 2",B14="ma"),Skemaoplysninger!$S$30,"")</f>
        <v/>
      </c>
      <c r="BM14" s="210" t="str">
        <f>IF(AND(C14="Skema 2",B14="ti"),Skemaoplysninger!$U$30,"")</f>
        <v/>
      </c>
      <c r="BN14" s="210" t="str">
        <f>IF(AND(C14="Skema 2",B14="on"),Skemaoplysninger!$W$30,"")</f>
        <v/>
      </c>
      <c r="BO14" s="210" t="str">
        <f>IF(AND(C14="Skema 2",B14="to"),Skemaoplysninger!$Y$30,"")</f>
        <v/>
      </c>
      <c r="BP14" s="210" t="str">
        <f>IF(AND(C14="Skema 2",B14="fr"),Skemaoplysninger!$AA$30,"")</f>
        <v/>
      </c>
      <c r="BQ14" s="210" t="str">
        <f>IF(AND(C14="Skema 3",B14="ma"),Skemaoplysninger!$AG$30,"")</f>
        <v/>
      </c>
      <c r="BR14" s="210" t="str">
        <f>IF(AND(C14="Skema 3",B14="ti"),Skemaoplysninger!$AI$30,"")</f>
        <v/>
      </c>
      <c r="BS14" s="210" t="str">
        <f>IF(AND(C14="Skema 3",B14="on"),Skemaoplysninger!$AK$30,"")</f>
        <v/>
      </c>
      <c r="BT14" s="210" t="str">
        <f>IF(AND(C14="Skema 3",B14="to"),Skemaoplysninger!$AM$30,"")</f>
        <v/>
      </c>
      <c r="BU14" s="210" t="str">
        <f>IF(AND(C14="Skema 3",B14="fr"),Skemaoplysninger!$AO$30,"")</f>
        <v/>
      </c>
      <c r="BV14" s="210" t="str">
        <f>IF(AND(C14="Skema 4",B14="ma"),Skemaoplysninger!$AU$30,"")</f>
        <v/>
      </c>
      <c r="BW14" s="210" t="str">
        <f>IF(AND(C14="Skema 4",B14="ti"),Skemaoplysninger!$AW$30,"")</f>
        <v/>
      </c>
      <c r="BX14" s="210" t="str">
        <f>IF(AND(C14="Skema 4",B14="on"),Skemaoplysninger!$AY$30,"")</f>
        <v/>
      </c>
      <c r="BY14" s="210" t="str">
        <f>IF(AND(C14="Skema 4",B14="to"),Skemaoplysninger!$BA$30,"")</f>
        <v/>
      </c>
      <c r="BZ14" s="210" t="str">
        <f>IF(AND(C14="Skema 4",B14="fr"),Skemaoplysninger!$BC$30,"")</f>
        <v/>
      </c>
      <c r="CA14" s="1">
        <f t="shared" si="25"/>
        <v>5</v>
      </c>
      <c r="CB14" s="1">
        <f t="shared" si="11"/>
        <v>0</v>
      </c>
      <c r="CC14" s="1">
        <f t="shared" si="12"/>
        <v>0</v>
      </c>
      <c r="CD14" s="210" t="str">
        <f>IF(AND(C14="Skema 1",B14="ma"),Skemaoplysninger!$E$31,"")</f>
        <v/>
      </c>
      <c r="CE14" s="210" t="str">
        <f>IF(AND(C14="Skema 1",B14="ti"),Skemaoplysninger!$G$31,"")</f>
        <v/>
      </c>
      <c r="CF14" s="210">
        <f>IF(AND(C14="Skema 1",B14="on"),Skemaoplysninger!$I$31,"")</f>
        <v>4.8611111111111105E-2</v>
      </c>
      <c r="CG14" s="210" t="str">
        <f>IF(AND(C14="Skema 1",B14="to"),Skemaoplysninger!$K$31,"")</f>
        <v/>
      </c>
      <c r="CH14" s="210" t="str">
        <f>IF(AND(C14="Skema 1",B14="fr"),Skemaoplysninger!$M$31,"")</f>
        <v/>
      </c>
      <c r="CI14" s="210" t="str">
        <f>IF(AND(C14="Skema 2",B14="ma"),Skemaoplysninger!$S$31,"")</f>
        <v/>
      </c>
      <c r="CJ14" s="210" t="str">
        <f>IF(AND(C14="Skema 2",B14="ti"),Skemaoplysninger!$U$31,"")</f>
        <v/>
      </c>
      <c r="CK14" s="210" t="str">
        <f>IF(AND(C14="Skema 2",B14="on"),Skemaoplysninger!$W$31,"")</f>
        <v/>
      </c>
      <c r="CL14" s="210" t="str">
        <f>IF(AND(C14="Skema 2",B14="to"),Skemaoplysninger!$Y$31,"")</f>
        <v/>
      </c>
      <c r="CM14" s="210" t="str">
        <f>IF(AND(C14="Skema 2",B14="fr"),Skemaoplysninger!$AA$31,"")</f>
        <v/>
      </c>
      <c r="CN14" s="210" t="str">
        <f>IF(AND(C14="Skema 3",B14="ma"),Skemaoplysninger!$AG$31,"")</f>
        <v/>
      </c>
      <c r="CO14" s="210" t="str">
        <f>IF(AND(C14="Skema 3",B14="ti"),Skemaoplysninger!$AI$31,"")</f>
        <v/>
      </c>
      <c r="CP14" s="210" t="str">
        <f>IF(AND(C14="Skema 3",B14="on"),Skemaoplysninger!$AK$31,"")</f>
        <v/>
      </c>
      <c r="CQ14" s="210" t="str">
        <f>IF(AND(C14="Skema 3",B14="to"),Skemaoplysninger!$AM$31,"")</f>
        <v/>
      </c>
      <c r="CR14" s="210" t="str">
        <f>IF(AND(C14="Skema 3",B14="fr"),Skemaoplysninger!$AO$31,"")</f>
        <v/>
      </c>
      <c r="CS14" s="210" t="str">
        <f>IF(AND(C14="Skema 4",B14="ma"),Skemaoplysninger!$AU$31,"")</f>
        <v/>
      </c>
      <c r="CT14" s="210" t="str">
        <f>IF(AND(C14="Skema 4",B14="ti"),Skemaoplysninger!$AW$31,"")</f>
        <v/>
      </c>
      <c r="CU14" s="210" t="str">
        <f>IF(AND(C14="Skema 4",B14="on"),Skemaoplysninger!$AY$31,"")</f>
        <v/>
      </c>
      <c r="CV14" s="210" t="str">
        <f>IF(AND(C14="Skema 4",B14="to"),Skemaoplysninger!$BA$31,"")</f>
        <v/>
      </c>
      <c r="CW14" s="210" t="str">
        <f>IF(AND(C14="Skema 4",B14="fr"),Skemaoplysninger!$BC$31,"")</f>
        <v/>
      </c>
      <c r="CX14" s="249">
        <f>IF(Stamoplysninger!$H$29="NEJ",SUM(CD14:CW14)*24+CB14+CC14,0)</f>
        <v>1.1666666666666665</v>
      </c>
      <c r="CY14" s="249">
        <f>IF(C14="Skema 1",Stamoplysninger!$H$30/200,0)</f>
        <v>0</v>
      </c>
      <c r="CZ14" s="249">
        <f>IF(C14="Skema 2",Stamoplysninger!$H$30/200,0)</f>
        <v>0</v>
      </c>
      <c r="DA14" s="249">
        <f>IF(C14="Skema 3",Stamoplysninger!$H$30/200,0)</f>
        <v>0</v>
      </c>
      <c r="DB14" s="249">
        <f>IF(C14="Skema 4",Stamoplysninger!$H$30/200,0)</f>
        <v>0</v>
      </c>
      <c r="DC14" s="249">
        <f>IF(C14="fagdag",Stamoplysninger!$H$30/200,0)</f>
        <v>0</v>
      </c>
      <c r="DD14" s="249">
        <f>IF(C14="emnedag",Stamoplysninger!$H$30/200,0)</f>
        <v>0</v>
      </c>
      <c r="DE14" s="249">
        <f>IF(C14="lejrskole",Stamoplysninger!$H$30/200,0)</f>
        <v>0</v>
      </c>
      <c r="DF14" s="249">
        <f>IF(C14="ekskursion",Stamoplysninger!$H$30/200,0)</f>
        <v>0</v>
      </c>
      <c r="DG14" s="249">
        <f t="shared" si="26"/>
        <v>0</v>
      </c>
      <c r="DH14" t="str">
        <f t="shared" si="27"/>
        <v/>
      </c>
      <c r="DI14">
        <f t="shared" si="28"/>
        <v>0</v>
      </c>
      <c r="DJ14">
        <f t="shared" si="29"/>
        <v>0</v>
      </c>
      <c r="DK14" t="str">
        <f t="shared" si="13"/>
        <v/>
      </c>
      <c r="DL14" t="str">
        <f t="shared" si="13"/>
        <v/>
      </c>
      <c r="DM14" t="str">
        <f t="shared" si="13"/>
        <v/>
      </c>
      <c r="DN14" t="str">
        <f t="shared" si="30"/>
        <v/>
      </c>
      <c r="DO14" s="652">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71">
        <f>IF(AND(Stamoplysninger!$B$22="Ulempetillæg udbetales med 25% af nettotimelønnen.",C14="ikke relevant"),(R14)/4,0)</f>
        <v>0</v>
      </c>
      <c r="DT14" s="671">
        <f>IF(AND(AND(Stamoplysninger!$B$22="Ulempetillæg udbetales med 25% af nettotimelønnen.",I14="X",C14="Ikke relevant")),K14/4,0)</f>
        <v>0</v>
      </c>
      <c r="DU14" s="671">
        <f>IF(AND(AND(Stamoplysninger!$B$22="Ulempetillæg udbetales med 25% af nettotimelønnen.",C14="ikke relevant",U14="X")),(X14/4),0)</f>
        <v>0</v>
      </c>
      <c r="DV14" s="672">
        <f>IF(AND(AND(AND(Stamoplysninger!$B$22="Ulempetillæg udbetales med 25% af nettotimelønnen.",I14="X",C14="Ikke relevant",S14="X"))),V14/4,0)</f>
        <v>0</v>
      </c>
      <c r="DW14" s="652"/>
      <c r="DZ14" s="671"/>
      <c r="EA14" s="671"/>
      <c r="EB14" s="672"/>
      <c r="EC14" s="652">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71">
        <f>IF(AND(Stamoplysninger!$B$22="Ulempetillæg afspadseres med 25%(Kræver en aftale imellem ledelsen og den ansatte)",C14="ikke relevant"),(R14)/4,0)</f>
        <v>0</v>
      </c>
      <c r="EH14" s="671">
        <f>IF(AND(AND(Stamoplysninger!$B$22="Ulempetillæg afspadseres med 25%(Kræver en aftale imellem ledelsen og den ansatte)",I14="X",C14="Ikke relevant")),K14/4,0)</f>
        <v>0</v>
      </c>
      <c r="EI14" s="671">
        <f>IF(AND(AND(Stamoplysninger!$B$22="Ulempetillæg afspadseres med 25%(Kræver en aftale imellem ledelsen og den ansatte)",U14="X",C14="Ikke relevant")),X14/4,0)</f>
        <v>0</v>
      </c>
      <c r="EJ14" s="671">
        <f>IF(AND(AND(AND(Stamoplysninger!$B$22="Ulempetillæg afspadseres med 25%(Kræver en aftale imellem ledelsen og den ansatte)",I14="X",C14="Ikke relevant",S14="X"))),V14/4,0)</f>
        <v>0</v>
      </c>
      <c r="EK14" s="283">
        <f>IF(AND(Stamoplysninger!$B$26="Weekendtimer og weekendtillæg afspadseres.",I14="X"),K14*1.5,0)</f>
        <v>0</v>
      </c>
      <c r="EL14" s="251">
        <f>IF(AND(AND(Stamoplysninger!$B$26="Weekendtimer og weekendtillæg afspadseres.",I14="X",S14="X")),V14*1.5,0)</f>
        <v>0</v>
      </c>
      <c r="EM14" s="674">
        <f>IF(AND(AND(Stamoplysninger!$B$26="Weekendtimer og weekendtillæg afspadseres.",I14="X",C14="ikke relevant")),K14*1.5,0)</f>
        <v>0</v>
      </c>
      <c r="EN14" s="675">
        <f>IF(AND(AND(AND(Stamoplysninger!$B$26="Weekendtimer og weekendtillæg afspadseres.",I14="X",C14="ikke relevant",S14="X"))),(V14*1.5),0)</f>
        <v>0</v>
      </c>
      <c r="EO14" s="283">
        <f>IF(AND(Stamoplysninger!$B$26="Weekendtimer og weekendtillæg udbetales.",I14="X"),K14*1.5,0)</f>
        <v>0</v>
      </c>
      <c r="EP14" s="251">
        <f>IF(AND(AND(Stamoplysninger!$B$26="Weekendtimer og weekendtillæg udbetales.",I14="X",S14="X")),V14*1.5,0)</f>
        <v>0</v>
      </c>
      <c r="EQ14" s="674">
        <f>IF(AND(AND(Stamoplysninger!$B$26="Weekendtimer og weekendtillæg udbetales.",I14="X",C14="ikke relevant")),K14*1.5,0)</f>
        <v>0</v>
      </c>
      <c r="ER14" s="675">
        <f>IF(AND(AND(AND(Stamoplysninger!$B$26="Weekendtimer og weekendtillæg udbetales.",I14="X",C14="ikke relevant",S14="X"))),(V14*1.5),0)</f>
        <v>0</v>
      </c>
      <c r="ES14" s="283">
        <f>IF(AND(Stamoplysninger!$B$26="Der er indgået lokalaftale omkring weekendtimer.(Kræver aftale med TR/FSL) Weekendtillæg afspadseres.",I14="X"),K14*0.5,0)</f>
        <v>0</v>
      </c>
      <c r="ET14" s="251">
        <f>IF(AND(AND(Stamoplysninger!$B$26="Der er indgået lokalaftale omkring weekendtimer.(Kræver aftale med TR/FSL) Weekendtillæg afspadseres.",I14="X",S14="X")),V14*0.5,0)</f>
        <v>0</v>
      </c>
      <c r="EU14" s="674">
        <f>IF(AND(AND(Stamoplysninger!$B$26="Der er indgået lokalaftale omkring weekendtimer.(Kræver aftale med TR/FSL) Weekendtillæg afspadseres.",I14="X",C14="ikke relevant")),K14*0.5,0)</f>
        <v>0</v>
      </c>
      <c r="EV14" s="675">
        <f>IF(AND(AND(AND(Stamoplysninger!$B$26="Der er indgået lokalaftale omkring weekendtimer.(Kræver aftale med TR/FSL) Weekendtillæg afspadseres.",I14="X",C14="ikke relevant",S14="X"))),(V14*0.5),0)</f>
        <v>0</v>
      </c>
      <c r="EW14" s="283">
        <f>IF(AND(Stamoplysninger!$B$26="Der er indgået lokalaftale omkring weekendtimer(Kræver aftale med TR/FSL). Weekendtillæg udbetales.",I14="X"),K14*0.5,0)</f>
        <v>0</v>
      </c>
      <c r="EX14" s="251">
        <f>IF(AND(AND(Stamoplysninger!$B$26="Der er indgået lokalaftale omkring weekendtimer(Kræver aftale med TR/FSL). Weekendtillæg udbetales.",I14="X",S14="X")),V14*0.5,0)</f>
        <v>0</v>
      </c>
      <c r="EY14" s="674">
        <f>IF(AND(AND(Stamoplysninger!$B$26="Der er indgået lokalaftale omkring weekendtimer(Kræver aftale med TR/FSL). Weekendtillæg udbetales.",I14="X",C14="ikke relevant")),K14*0.5,0)</f>
        <v>0</v>
      </c>
      <c r="EZ14" s="675">
        <f>IF(AND(AND(AND(Stamoplysninger!$B$26="Der er indgået lokalaftale omkring weekendtimer(Kræver aftale med TR/FSL). Weekendtillæg udbetales.",I14="X",C14="ikke relevant",S14="X"))),(V14*0.5),0)</f>
        <v>0</v>
      </c>
      <c r="FA14" s="283">
        <f>IF(AND(Stamoplysninger!$B$26="Der er indgået lokalaftale omkring weekendtillæg(Kræver aftale med TR/FSL). Weekendtimerne afspadseres.",I14="X"),K14,0)</f>
        <v>0</v>
      </c>
      <c r="FB14" s="251">
        <f>IF(AND(AND(Stamoplysninger!$B$26="Der er indgået lokalaftale omkring weekendtillæg(Kræver aftale med TR/FSL). Weekendtimerne afspadseres.",I14="X",S14="X")),V14,0)</f>
        <v>0</v>
      </c>
      <c r="FC14" s="674">
        <f>IF(AND(AND(Stamoplysninger!$B$26="Der er indgået lokalaftale omkring weekendtillæg(Kræver aftale med TR/FSL). Weekendtimerne afspadseres..",I14="X",C14="ikke relevant")),K14,0)</f>
        <v>0</v>
      </c>
      <c r="FD14" s="675">
        <f>IF(AND(AND(AND(Stamoplysninger!$B$26="Der er indgået lokalaftale omkring weekendtillæg(Kræver aftale med TR/FSL). Weekendtimerne afspadseres.",I14="X",C14="ikke relevant",S14="X"))),(V14),0)</f>
        <v>0</v>
      </c>
      <c r="FE14" s="283">
        <f>IF(AND(Stamoplysninger!$B$26="Der er indgået lokalaftale omkring weekendtillæg(Kræver aftale med TR/FSL). Weekendtimerne udbetales.",I14="X"),K14,0)</f>
        <v>0</v>
      </c>
      <c r="FF14" s="251">
        <f>IF(AND(AND(Stamoplysninger!$B$26="Der er indgået lokalaftale omkring weekendtillæg(Kræver aftale med TR/FSL). Weekendtimerne udbetales.",I14="X",S14="X")),V14,0)</f>
        <v>0</v>
      </c>
      <c r="FG14" s="674">
        <f>IF(AND(AND(Stamoplysninger!$B$26="Der er indgået lokalaftale omkring weekendtillæg(Kræver aftale med TR/FSL). Weekendtimerne udbetales.",I14="X",C14="ikke relevant")),K14,0)</f>
        <v>0</v>
      </c>
      <c r="FH14" s="675">
        <f>IF(AND(AND(AND(Stamoplysninger!$B$26="Der er indgået lokalaftale omkring weekendtillæg(Kræver aftale med TR/FSL). Weekendtimerne udbetales.",I14="X",C14="ikke relevant",S14="X"))),(V14),0)</f>
        <v>0</v>
      </c>
      <c r="FI14" s="283">
        <f>IF(AND(Stamoplysninger!$B$26="Weekendtimer og weekendtillæg afspadseres.",I14="X"),K14,0)</f>
        <v>0</v>
      </c>
      <c r="FJ14" s="251">
        <f>IF(AND(Stamoplysninger!$B$26="Weekendtimer og weekendtillæg afspadseres.",Y14="X"),(AA14+AL14)/2,0)</f>
        <v>0</v>
      </c>
      <c r="FK14" s="674">
        <f>IF(AND(AND(Stamoplysninger!$B$26="Weekendtimer og weekendtillæg afspadseres.",I14="X",C14="ikke relevant")),K14,0)</f>
        <v>0</v>
      </c>
      <c r="FL14" s="675">
        <f>IF(AND(AND(Stamoplysninger!$B$26="Weekendtimer og weekendtillæg afspadseres.",Y14="X",S14="ikke relevant")),(AA14+AL14)/2,0)</f>
        <v>0</v>
      </c>
      <c r="FM14" s="283">
        <f>IF(AND(Stamoplysninger!$B$26="Der er indgået lokalaftale omkring weekendtillæg(Kræver aftale med TR/FSL). Weekendtimerne afspadseres.",I14="X"),K14,0)</f>
        <v>0</v>
      </c>
      <c r="FN14" s="674">
        <f>IF(AND(AND(Stamoplysninger!$B$26="Der er indgået lokalaftale omkring weekendtillæg(Kræver aftale med TR/FSL). Weekendtimerne afspadseres.",I14="X",C14="ikke relevant")),K14,0)</f>
        <v>0</v>
      </c>
      <c r="FO14" s="283">
        <f>IF(AND(Stamoplysninger!$B$26="Weekendtimer og weekendtillæg udbetales.",I14="X"),K14,0)</f>
        <v>0</v>
      </c>
      <c r="FP14" s="251">
        <f>IF(AND(Stamoplysninger!$B$26="Weekendtimer og weekendtillæg udbetales.",AA14="X"),(AC14+AN14)/2,0)</f>
        <v>0</v>
      </c>
      <c r="FQ14" s="674">
        <f>IF(AND(AND(Stamoplysninger!$B$26="Weekendtimer og weekendtillæg udbetales.",I14="X",C14="ikke relevant")),K14,0)</f>
        <v>0</v>
      </c>
      <c r="FR14" s="688">
        <f>IF(AND(AND(Stamoplysninger!$B$26="Weekendtimer og weekendtillæg udbetales.",AA14="X",U14="ikke relevant")),(AC14+AN14)/2,0)</f>
        <v>0</v>
      </c>
      <c r="FS14" s="283">
        <f t="shared" si="14"/>
        <v>0</v>
      </c>
      <c r="FT14" s="658">
        <f t="shared" si="15"/>
        <v>0</v>
      </c>
      <c r="FU14">
        <f t="shared" si="16"/>
        <v>0</v>
      </c>
      <c r="FV14" s="283">
        <f>IF(AND(Stamoplysninger!$B$26="Der er indgået lokalaftale omkring weekendtimer.(Kræver aftale med TR/FSL) Weekendtillæg afspadseres.",I14="X"),K14,0)</f>
        <v>0</v>
      </c>
      <c r="FW14" s="674">
        <f>IF(AND(AND(Stamoplysninger!$B$26="Der er indgået lokalaftale omkring weekendtimer.(Kræver aftale med TR/FSL) Weekendtillæg afspadseres.",I14="X",C14="ikke relevant")),K14,0)</f>
        <v>0</v>
      </c>
      <c r="FX14" s="283">
        <f>IF(AND(Stamoplysninger!$B$26="Der er indgået lokalaftale omkring weekendtimer(Kræver aftale med TR/FSL). Weekendtillæg udbetales.",I14="X"),K14,0)</f>
        <v>0</v>
      </c>
      <c r="FY14" s="674">
        <f>IF(AND(AND(Stamoplysninger!$B$26="Der er indgået lokalaftale omkring weekendtimer(Kræver aftale med TR/FSL). Weekendtillæg udbetales.",I14="X",C14="ikke relevant")),K14,0)</f>
        <v>0</v>
      </c>
      <c r="FZ14" s="283">
        <f>IF(AND(Stamoplysninger!$B$26="Der er indgået lokalaftale omkring weekendtillæg(Kræver aftale med TR/FSL). Weekendtimerne udbetales.",I14="X"),K14,0)</f>
        <v>0</v>
      </c>
      <c r="GA14" s="674">
        <f>IF(AND(AND(Stamoplysninger!$B$26="Der er indgået lokalaftale omkring weekendtillæg(Kræver aftale med TR/FSL). Weekendtimerne udbetales.",I14="X",C14="ikke relevant")),K14,0)</f>
        <v>0</v>
      </c>
      <c r="GB14" s="283">
        <f>IF(AND(Stamoplysninger!$B$26="Der er indgået lokalaftale omkring weekendtimer og weekendtillæg.(Kræver aftale med TR/FSL).",I14="X"),K14,0)</f>
        <v>0</v>
      </c>
      <c r="GC14" s="674">
        <f>IF(AND(AND(Stamoplysninger!$B$26="Der er indgået lokalaftale omkring weekendtimer og weekendtillæg.(Kræver aftale med TR/FSL).",I14="X",C14="ikke relevant")),K14,0)</f>
        <v>0</v>
      </c>
    </row>
    <row r="15" spans="1:185" ht="16" customHeight="1">
      <c r="A15" s="245">
        <f t="shared" si="17"/>
        <v>7</v>
      </c>
      <c r="B15" s="128" t="str">
        <f t="shared" si="0"/>
        <v>to</v>
      </c>
      <c r="C15" s="129" t="s">
        <v>206</v>
      </c>
      <c r="D15" s="130" t="str">
        <f t="shared" si="1"/>
        <v/>
      </c>
      <c r="E15" s="917"/>
      <c r="F15" s="918"/>
      <c r="G15" s="919"/>
      <c r="H15" s="298"/>
      <c r="I15" s="527"/>
      <c r="J15" s="413"/>
      <c r="K15" s="380"/>
      <c r="L15" s="380"/>
      <c r="M15" s="380"/>
      <c r="N15" s="318">
        <f t="shared" si="18"/>
        <v>8.5</v>
      </c>
      <c r="O15" s="318">
        <f t="shared" si="19"/>
        <v>3</v>
      </c>
      <c r="P15" s="318">
        <f>IF(Stamoplysninger!$H$29="JA",November!DG15,CX15)</f>
        <v>1.5</v>
      </c>
      <c r="Q15" s="318">
        <f t="shared" si="20"/>
        <v>4</v>
      </c>
      <c r="R15" s="319"/>
      <c r="S15" s="324"/>
      <c r="T15" s="325"/>
      <c r="U15" s="325"/>
      <c r="V15" s="435"/>
      <c r="W15" s="435"/>
      <c r="X15" s="644"/>
      <c r="Y15">
        <f t="shared" si="21"/>
        <v>0</v>
      </c>
      <c r="Z15" s="437">
        <f t="shared" si="22"/>
        <v>0</v>
      </c>
      <c r="AA15" s="1">
        <f t="shared" si="2"/>
        <v>0</v>
      </c>
      <c r="AB15" s="1">
        <f t="shared" si="3"/>
        <v>0</v>
      </c>
      <c r="AC15" s="1">
        <f t="shared" si="4"/>
        <v>0</v>
      </c>
      <c r="AD15" s="1">
        <f t="shared" si="5"/>
        <v>0</v>
      </c>
      <c r="AE15" s="1">
        <f t="shared" si="6"/>
        <v>0</v>
      </c>
      <c r="AF15" s="1">
        <f>IF(C15="Orlov",7.4*Stamoplysninger!$E$15,0)</f>
        <v>0</v>
      </c>
      <c r="AG15" t="str">
        <f>IF(AND(C15="Skema 1",B15="ma"),Arbejdstidsoversigt!$E$72,"")</f>
        <v/>
      </c>
      <c r="AH15" t="str">
        <f>IF(AND(C15="Skema 1",B15="ti"),Arbejdstidsoversigt!$E$73,"")</f>
        <v/>
      </c>
      <c r="AI15" t="str">
        <f>IF(AND(C15="Skema 1",B15="on"),Arbejdstidsoversigt!$E$74,"")</f>
        <v/>
      </c>
      <c r="AJ15">
        <f>IF(AND(C15="Skema 1",B15="to"),Arbejdstidsoversigt!$E$75,"")</f>
        <v>8.5</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8.5</v>
      </c>
      <c r="BB15" s="229">
        <f t="shared" si="7"/>
        <v>204</v>
      </c>
      <c r="BC15" s="1">
        <f t="shared" si="24"/>
        <v>0</v>
      </c>
      <c r="BD15" s="1">
        <f t="shared" si="8"/>
        <v>0</v>
      </c>
      <c r="BE15" s="1">
        <f t="shared" si="9"/>
        <v>0</v>
      </c>
      <c r="BF15" s="1">
        <f t="shared" si="10"/>
        <v>0</v>
      </c>
      <c r="BG15" s="210" t="str">
        <f>IF(AND(C15="Skema 1",B15="ma"),Skemaoplysninger!$E$30,"")</f>
        <v/>
      </c>
      <c r="BH15" s="210" t="str">
        <f>IF(AND(C15="Skema 1",B15="ti"),Skemaoplysninger!$G$30,"")</f>
        <v/>
      </c>
      <c r="BI15" s="210" t="str">
        <f>IF(AND(C15="Skema 1",B15="on"),Skemaoplysninger!$I$30,"")</f>
        <v/>
      </c>
      <c r="BJ15" s="210">
        <f>IF(AND(C15="Skema 1",B15="to"),Skemaoplysninger!$K$30,"")</f>
        <v>0.125</v>
      </c>
      <c r="BK15" s="210" t="str">
        <f>IF(AND(C15="Skema 1",B15="fr"),Skemaoplysninger!$M$30,"")</f>
        <v/>
      </c>
      <c r="BL15" s="210" t="str">
        <f>IF(AND(C15="Skema 2",B15="ma"),Skemaoplysninger!$S$30,"")</f>
        <v/>
      </c>
      <c r="BM15" s="210" t="str">
        <f>IF(AND(C15="Skema 2",B15="ti"),Skemaoplysninger!$U$30,"")</f>
        <v/>
      </c>
      <c r="BN15" s="210" t="str">
        <f>IF(AND(C15="Skema 2",B15="on"),Skemaoplysninger!$W$30,"")</f>
        <v/>
      </c>
      <c r="BO15" s="210" t="str">
        <f>IF(AND(C15="Skema 2",B15="to"),Skemaoplysninger!$Y$30,"")</f>
        <v/>
      </c>
      <c r="BP15" s="210" t="str">
        <f>IF(AND(C15="Skema 2",B15="fr"),Skemaoplysninger!$AA$30,"")</f>
        <v/>
      </c>
      <c r="BQ15" s="210" t="str">
        <f>IF(AND(C15="Skema 3",B15="ma"),Skemaoplysninger!$AG$30,"")</f>
        <v/>
      </c>
      <c r="BR15" s="210" t="str">
        <f>IF(AND(C15="Skema 3",B15="ti"),Skemaoplysninger!$AI$30,"")</f>
        <v/>
      </c>
      <c r="BS15" s="210" t="str">
        <f>IF(AND(C15="Skema 3",B15="on"),Skemaoplysninger!$AK$30,"")</f>
        <v/>
      </c>
      <c r="BT15" s="210" t="str">
        <f>IF(AND(C15="Skema 3",B15="to"),Skemaoplysninger!$AM$30,"")</f>
        <v/>
      </c>
      <c r="BU15" s="210" t="str">
        <f>IF(AND(C15="Skema 3",B15="fr"),Skemaoplysninger!$AO$30,"")</f>
        <v/>
      </c>
      <c r="BV15" s="210" t="str">
        <f>IF(AND(C15="Skema 4",B15="ma"),Skemaoplysninger!$AU$30,"")</f>
        <v/>
      </c>
      <c r="BW15" s="210" t="str">
        <f>IF(AND(C15="Skema 4",B15="ti"),Skemaoplysninger!$AW$30,"")</f>
        <v/>
      </c>
      <c r="BX15" s="210" t="str">
        <f>IF(AND(C15="Skema 4",B15="on"),Skemaoplysninger!$AY$30,"")</f>
        <v/>
      </c>
      <c r="BY15" s="210" t="str">
        <f>IF(AND(C15="Skema 4",B15="to"),Skemaoplysninger!$BA$30,"")</f>
        <v/>
      </c>
      <c r="BZ15" s="210" t="str">
        <f>IF(AND(C15="Skema 4",B15="fr"),Skemaoplysninger!$BC$30,"")</f>
        <v/>
      </c>
      <c r="CA15" s="1">
        <f t="shared" si="25"/>
        <v>3</v>
      </c>
      <c r="CB15" s="1">
        <f t="shared" si="11"/>
        <v>0</v>
      </c>
      <c r="CC15" s="1">
        <f t="shared" si="12"/>
        <v>0</v>
      </c>
      <c r="CD15" s="210" t="str">
        <f>IF(AND(C15="Skema 1",B15="ma"),Skemaoplysninger!$E$31,"")</f>
        <v/>
      </c>
      <c r="CE15" s="210" t="str">
        <f>IF(AND(C15="Skema 1",B15="ti"),Skemaoplysninger!$G$31,"")</f>
        <v/>
      </c>
      <c r="CF15" s="210" t="str">
        <f>IF(AND(C15="Skema 1",B15="on"),Skemaoplysninger!$I$31,"")</f>
        <v/>
      </c>
      <c r="CG15" s="210">
        <f>IF(AND(C15="Skema 1",B15="to"),Skemaoplysninger!$K$31,"")</f>
        <v>6.25E-2</v>
      </c>
      <c r="CH15" s="210" t="str">
        <f>IF(AND(C15="Skema 1",B15="fr"),Skemaoplysninger!$M$31,"")</f>
        <v/>
      </c>
      <c r="CI15" s="210" t="str">
        <f>IF(AND(C15="Skema 2",B15="ma"),Skemaoplysninger!$S$31,"")</f>
        <v/>
      </c>
      <c r="CJ15" s="210" t="str">
        <f>IF(AND(C15="Skema 2",B15="ti"),Skemaoplysninger!$U$31,"")</f>
        <v/>
      </c>
      <c r="CK15" s="210" t="str">
        <f>IF(AND(C15="Skema 2",B15="on"),Skemaoplysninger!$W$31,"")</f>
        <v/>
      </c>
      <c r="CL15" s="210" t="str">
        <f>IF(AND(C15="Skema 2",B15="to"),Skemaoplysninger!$Y$31,"")</f>
        <v/>
      </c>
      <c r="CM15" s="210" t="str">
        <f>IF(AND(C15="Skema 2",B15="fr"),Skemaoplysninger!$AA$31,"")</f>
        <v/>
      </c>
      <c r="CN15" s="210" t="str">
        <f>IF(AND(C15="Skema 3",B15="ma"),Skemaoplysninger!$AG$31,"")</f>
        <v/>
      </c>
      <c r="CO15" s="210" t="str">
        <f>IF(AND(C15="Skema 3",B15="ti"),Skemaoplysninger!$AI$31,"")</f>
        <v/>
      </c>
      <c r="CP15" s="210" t="str">
        <f>IF(AND(C15="Skema 3",B15="on"),Skemaoplysninger!$AK$31,"")</f>
        <v/>
      </c>
      <c r="CQ15" s="210" t="str">
        <f>IF(AND(C15="Skema 3",B15="to"),Skemaoplysninger!$AM$31,"")</f>
        <v/>
      </c>
      <c r="CR15" s="210" t="str">
        <f>IF(AND(C15="Skema 3",B15="fr"),Skemaoplysninger!$AO$31,"")</f>
        <v/>
      </c>
      <c r="CS15" s="210" t="str">
        <f>IF(AND(C15="Skema 4",B15="ma"),Skemaoplysninger!$AU$31,"")</f>
        <v/>
      </c>
      <c r="CT15" s="210" t="str">
        <f>IF(AND(C15="Skema 4",B15="ti"),Skemaoplysninger!$AW$31,"")</f>
        <v/>
      </c>
      <c r="CU15" s="210" t="str">
        <f>IF(AND(C15="Skema 4",B15="on"),Skemaoplysninger!$AY$31,"")</f>
        <v/>
      </c>
      <c r="CV15" s="210" t="str">
        <f>IF(AND(C15="Skema 4",B15="to"),Skemaoplysninger!$BA$31,"")</f>
        <v/>
      </c>
      <c r="CW15" s="210" t="str">
        <f>IF(AND(C15="Skema 4",B15="fr"),Skemaoplysninger!$BC$31,"")</f>
        <v/>
      </c>
      <c r="CX15" s="249">
        <f>IF(Stamoplysninger!$H$29="NEJ",SUM(CD15:CW15)*24+CB15+CC15,0)</f>
        <v>1.5</v>
      </c>
      <c r="CY15" s="249">
        <f>IF(C15="Skema 1",Stamoplysninger!$H$30/200,0)</f>
        <v>0</v>
      </c>
      <c r="CZ15" s="249">
        <f>IF(C15="Skema 2",Stamoplysninger!$H$30/200,0)</f>
        <v>0</v>
      </c>
      <c r="DA15" s="249">
        <f>IF(C15="Skema 3",Stamoplysninger!$H$30/200,0)</f>
        <v>0</v>
      </c>
      <c r="DB15" s="249">
        <f>IF(C15="Skema 4",Stamoplysninger!$H$30/200,0)</f>
        <v>0</v>
      </c>
      <c r="DC15" s="249">
        <f>IF(C15="fagdag",Stamoplysninger!$H$30/200,0)</f>
        <v>0</v>
      </c>
      <c r="DD15" s="249">
        <f>IF(C15="emnedag",Stamoplysninger!$H$30/200,0)</f>
        <v>0</v>
      </c>
      <c r="DE15" s="249">
        <f>IF(C15="lejrskole",Stamoplysninger!$H$30/200,0)</f>
        <v>0</v>
      </c>
      <c r="DF15" s="249">
        <f>IF(C15="ekskursion",Stamoplysninger!$H$30/200,0)</f>
        <v>0</v>
      </c>
      <c r="DG15" s="249">
        <f t="shared" si="26"/>
        <v>0</v>
      </c>
      <c r="DH15" t="str">
        <f t="shared" si="27"/>
        <v/>
      </c>
      <c r="DI15">
        <f t="shared" si="28"/>
        <v>0</v>
      </c>
      <c r="DJ15">
        <f t="shared" si="29"/>
        <v>0</v>
      </c>
      <c r="DK15" t="str">
        <f t="shared" si="13"/>
        <v/>
      </c>
      <c r="DL15" t="str">
        <f t="shared" si="13"/>
        <v/>
      </c>
      <c r="DM15" t="str">
        <f t="shared" si="13"/>
        <v/>
      </c>
      <c r="DN15" t="str">
        <f t="shared" si="30"/>
        <v/>
      </c>
      <c r="DO15" s="652">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71">
        <f>IF(AND(Stamoplysninger!$B$22="Ulempetillæg udbetales med 25% af nettotimelønnen.",C15="ikke relevant"),(R15)/4,0)</f>
        <v>0</v>
      </c>
      <c r="DT15" s="671">
        <f>IF(AND(AND(Stamoplysninger!$B$22="Ulempetillæg udbetales med 25% af nettotimelønnen.",I15="X",C15="Ikke relevant")),K15/4,0)</f>
        <v>0</v>
      </c>
      <c r="DU15" s="671">
        <f>IF(AND(AND(Stamoplysninger!$B$22="Ulempetillæg udbetales med 25% af nettotimelønnen.",C15="ikke relevant",U15="X")),(X15/4),0)</f>
        <v>0</v>
      </c>
      <c r="DV15" s="672">
        <f>IF(AND(AND(AND(Stamoplysninger!$B$22="Ulempetillæg udbetales med 25% af nettotimelønnen.",I15="X",C15="Ikke relevant",S15="X"))),V15/4,0)</f>
        <v>0</v>
      </c>
      <c r="DW15" s="652"/>
      <c r="DZ15" s="671"/>
      <c r="EA15" s="671"/>
      <c r="EB15" s="672"/>
      <c r="EC15" s="652">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71">
        <f>IF(AND(Stamoplysninger!$B$22="Ulempetillæg afspadseres med 25%(Kræver en aftale imellem ledelsen og den ansatte)",C15="ikke relevant"),(R15)/4,0)</f>
        <v>0</v>
      </c>
      <c r="EH15" s="671">
        <f>IF(AND(AND(Stamoplysninger!$B$22="Ulempetillæg afspadseres med 25%(Kræver en aftale imellem ledelsen og den ansatte)",I15="X",C15="Ikke relevant")),K15/4,0)</f>
        <v>0</v>
      </c>
      <c r="EI15" s="671">
        <f>IF(AND(AND(Stamoplysninger!$B$22="Ulempetillæg afspadseres med 25%(Kræver en aftale imellem ledelsen og den ansatte)",U15="X",C15="Ikke relevant")),X15/4,0)</f>
        <v>0</v>
      </c>
      <c r="EJ15" s="671">
        <f>IF(AND(AND(AND(Stamoplysninger!$B$22="Ulempetillæg afspadseres med 25%(Kræver en aftale imellem ledelsen og den ansatte)",I15="X",C15="Ikke relevant",S15="X"))),V15/4,0)</f>
        <v>0</v>
      </c>
      <c r="EK15" s="283">
        <f>IF(AND(Stamoplysninger!$B$26="Weekendtimer og weekendtillæg afspadseres.",I15="X"),K15*1.5,0)</f>
        <v>0</v>
      </c>
      <c r="EL15" s="251">
        <f>IF(AND(AND(Stamoplysninger!$B$26="Weekendtimer og weekendtillæg afspadseres.",I15="X",S15="X")),V15*1.5,0)</f>
        <v>0</v>
      </c>
      <c r="EM15" s="674">
        <f>IF(AND(AND(Stamoplysninger!$B$26="Weekendtimer og weekendtillæg afspadseres.",I15="X",C15="ikke relevant")),K15*1.5,0)</f>
        <v>0</v>
      </c>
      <c r="EN15" s="675">
        <f>IF(AND(AND(AND(Stamoplysninger!$B$26="Weekendtimer og weekendtillæg afspadseres.",I15="X",C15="ikke relevant",S15="X"))),(V15*1.5),0)</f>
        <v>0</v>
      </c>
      <c r="EO15" s="283">
        <f>IF(AND(Stamoplysninger!$B$26="Weekendtimer og weekendtillæg udbetales.",I15="X"),K15*1.5,0)</f>
        <v>0</v>
      </c>
      <c r="EP15" s="251">
        <f>IF(AND(AND(Stamoplysninger!$B$26="Weekendtimer og weekendtillæg udbetales.",I15="X",S15="X")),V15*1.5,0)</f>
        <v>0</v>
      </c>
      <c r="EQ15" s="674">
        <f>IF(AND(AND(Stamoplysninger!$B$26="Weekendtimer og weekendtillæg udbetales.",I15="X",C15="ikke relevant")),K15*1.5,0)</f>
        <v>0</v>
      </c>
      <c r="ER15" s="675">
        <f>IF(AND(AND(AND(Stamoplysninger!$B$26="Weekendtimer og weekendtillæg udbetales.",I15="X",C15="ikke relevant",S15="X"))),(V15*1.5),0)</f>
        <v>0</v>
      </c>
      <c r="ES15" s="283">
        <f>IF(AND(Stamoplysninger!$B$26="Der er indgået lokalaftale omkring weekendtimer.(Kræver aftale med TR/FSL) Weekendtillæg afspadseres.",I15="X"),K15*0.5,0)</f>
        <v>0</v>
      </c>
      <c r="ET15" s="251">
        <f>IF(AND(AND(Stamoplysninger!$B$26="Der er indgået lokalaftale omkring weekendtimer.(Kræver aftale med TR/FSL) Weekendtillæg afspadseres.",I15="X",S15="X")),V15*0.5,0)</f>
        <v>0</v>
      </c>
      <c r="EU15" s="674">
        <f>IF(AND(AND(Stamoplysninger!$B$26="Der er indgået lokalaftale omkring weekendtimer.(Kræver aftale med TR/FSL) Weekendtillæg afspadseres.",I15="X",C15="ikke relevant")),K15*0.5,0)</f>
        <v>0</v>
      </c>
      <c r="EV15" s="675">
        <f>IF(AND(AND(AND(Stamoplysninger!$B$26="Der er indgået lokalaftale omkring weekendtimer.(Kræver aftale med TR/FSL) Weekendtillæg afspadseres.",I15="X",C15="ikke relevant",S15="X"))),(V15*0.5),0)</f>
        <v>0</v>
      </c>
      <c r="EW15" s="283">
        <f>IF(AND(Stamoplysninger!$B$26="Der er indgået lokalaftale omkring weekendtimer(Kræver aftale med TR/FSL). Weekendtillæg udbetales.",I15="X"),K15*0.5,0)</f>
        <v>0</v>
      </c>
      <c r="EX15" s="251">
        <f>IF(AND(AND(Stamoplysninger!$B$26="Der er indgået lokalaftale omkring weekendtimer(Kræver aftale med TR/FSL). Weekendtillæg udbetales.",I15="X",S15="X")),V15*0.5,0)</f>
        <v>0</v>
      </c>
      <c r="EY15" s="674">
        <f>IF(AND(AND(Stamoplysninger!$B$26="Der er indgået lokalaftale omkring weekendtimer(Kræver aftale med TR/FSL). Weekendtillæg udbetales.",I15="X",C15="ikke relevant")),K15*0.5,0)</f>
        <v>0</v>
      </c>
      <c r="EZ15" s="675">
        <f>IF(AND(AND(AND(Stamoplysninger!$B$26="Der er indgået lokalaftale omkring weekendtimer(Kræver aftale med TR/FSL). Weekendtillæg udbetales.",I15="X",C15="ikke relevant",S15="X"))),(V15*0.5),0)</f>
        <v>0</v>
      </c>
      <c r="FA15" s="283">
        <f>IF(AND(Stamoplysninger!$B$26="Der er indgået lokalaftale omkring weekendtillæg(Kræver aftale med TR/FSL). Weekendtimerne afspadseres.",I15="X"),K15,0)</f>
        <v>0</v>
      </c>
      <c r="FB15" s="251">
        <f>IF(AND(AND(Stamoplysninger!$B$26="Der er indgået lokalaftale omkring weekendtillæg(Kræver aftale med TR/FSL). Weekendtimerne afspadseres.",I15="X",S15="X")),V15,0)</f>
        <v>0</v>
      </c>
      <c r="FC15" s="674">
        <f>IF(AND(AND(Stamoplysninger!$B$26="Der er indgået lokalaftale omkring weekendtillæg(Kræver aftale med TR/FSL). Weekendtimerne afspadseres..",I15="X",C15="ikke relevant")),K15,0)</f>
        <v>0</v>
      </c>
      <c r="FD15" s="675">
        <f>IF(AND(AND(AND(Stamoplysninger!$B$26="Der er indgået lokalaftale omkring weekendtillæg(Kræver aftale med TR/FSL). Weekendtimerne afspadseres.",I15="X",C15="ikke relevant",S15="X"))),(V15),0)</f>
        <v>0</v>
      </c>
      <c r="FE15" s="283">
        <f>IF(AND(Stamoplysninger!$B$26="Der er indgået lokalaftale omkring weekendtillæg(Kræver aftale med TR/FSL). Weekendtimerne udbetales.",I15="X"),K15,0)</f>
        <v>0</v>
      </c>
      <c r="FF15" s="251">
        <f>IF(AND(AND(Stamoplysninger!$B$26="Der er indgået lokalaftale omkring weekendtillæg(Kræver aftale med TR/FSL). Weekendtimerne udbetales.",I15="X",S15="X")),V15,0)</f>
        <v>0</v>
      </c>
      <c r="FG15" s="674">
        <f>IF(AND(AND(Stamoplysninger!$B$26="Der er indgået lokalaftale omkring weekendtillæg(Kræver aftale med TR/FSL). Weekendtimerne udbetales.",I15="X",C15="ikke relevant")),K15,0)</f>
        <v>0</v>
      </c>
      <c r="FH15" s="675">
        <f>IF(AND(AND(AND(Stamoplysninger!$B$26="Der er indgået lokalaftale omkring weekendtillæg(Kræver aftale med TR/FSL). Weekendtimerne udbetales.",I15="X",C15="ikke relevant",S15="X"))),(V15),0)</f>
        <v>0</v>
      </c>
      <c r="FI15" s="283">
        <f>IF(AND(Stamoplysninger!$B$26="Weekendtimer og weekendtillæg afspadseres.",I15="X"),K15,0)</f>
        <v>0</v>
      </c>
      <c r="FJ15" s="251">
        <f>IF(AND(Stamoplysninger!$B$26="Weekendtimer og weekendtillæg afspadseres.",Y15="X"),(AA15+AL15)/2,0)</f>
        <v>0</v>
      </c>
      <c r="FK15" s="674">
        <f>IF(AND(AND(Stamoplysninger!$B$26="Weekendtimer og weekendtillæg afspadseres.",I15="X",C15="ikke relevant")),K15,0)</f>
        <v>0</v>
      </c>
      <c r="FL15" s="675">
        <f>IF(AND(AND(Stamoplysninger!$B$26="Weekendtimer og weekendtillæg afspadseres.",Y15="X",S15="ikke relevant")),(AA15+AL15)/2,0)</f>
        <v>0</v>
      </c>
      <c r="FM15" s="283">
        <f>IF(AND(Stamoplysninger!$B$26="Der er indgået lokalaftale omkring weekendtillæg(Kræver aftale med TR/FSL). Weekendtimerne afspadseres.",I15="X"),K15,0)</f>
        <v>0</v>
      </c>
      <c r="FN15" s="674">
        <f>IF(AND(AND(Stamoplysninger!$B$26="Der er indgået lokalaftale omkring weekendtillæg(Kræver aftale med TR/FSL). Weekendtimerne afspadseres.",I15="X",C15="ikke relevant")),K15,0)</f>
        <v>0</v>
      </c>
      <c r="FO15" s="283">
        <f>IF(AND(Stamoplysninger!$B$26="Weekendtimer og weekendtillæg udbetales.",I15="X"),K15,0)</f>
        <v>0</v>
      </c>
      <c r="FP15" s="251">
        <f>IF(AND(Stamoplysninger!$B$26="Weekendtimer og weekendtillæg udbetales.",AA15="X"),(AC15+AN15)/2,0)</f>
        <v>0</v>
      </c>
      <c r="FQ15" s="674">
        <f>IF(AND(AND(Stamoplysninger!$B$26="Weekendtimer og weekendtillæg udbetales.",I15="X",C15="ikke relevant")),K15,0)</f>
        <v>0</v>
      </c>
      <c r="FR15" s="688">
        <f>IF(AND(AND(Stamoplysninger!$B$26="Weekendtimer og weekendtillæg udbetales.",AA15="X",U15="ikke relevant")),(AC15+AN15)/2,0)</f>
        <v>0</v>
      </c>
      <c r="FS15" s="283">
        <f t="shared" si="14"/>
        <v>0</v>
      </c>
      <c r="FT15" s="658">
        <f t="shared" si="15"/>
        <v>0</v>
      </c>
      <c r="FU15">
        <f t="shared" si="16"/>
        <v>0</v>
      </c>
      <c r="FV15" s="283">
        <f>IF(AND(Stamoplysninger!$B$26="Der er indgået lokalaftale omkring weekendtimer.(Kræver aftale med TR/FSL) Weekendtillæg afspadseres.",I15="X"),K15,0)</f>
        <v>0</v>
      </c>
      <c r="FW15" s="674">
        <f>IF(AND(AND(Stamoplysninger!$B$26="Der er indgået lokalaftale omkring weekendtimer.(Kræver aftale med TR/FSL) Weekendtillæg afspadseres.",I15="X",C15="ikke relevant")),K15,0)</f>
        <v>0</v>
      </c>
      <c r="FX15" s="283">
        <f>IF(AND(Stamoplysninger!$B$26="Der er indgået lokalaftale omkring weekendtimer(Kræver aftale med TR/FSL). Weekendtillæg udbetales.",I15="X"),K15,0)</f>
        <v>0</v>
      </c>
      <c r="FY15" s="674">
        <f>IF(AND(AND(Stamoplysninger!$B$26="Der er indgået lokalaftale omkring weekendtimer(Kræver aftale med TR/FSL). Weekendtillæg udbetales.",I15="X",C15="ikke relevant")),K15,0)</f>
        <v>0</v>
      </c>
      <c r="FZ15" s="283">
        <f>IF(AND(Stamoplysninger!$B$26="Der er indgået lokalaftale omkring weekendtillæg(Kræver aftale med TR/FSL). Weekendtimerne udbetales.",I15="X"),K15,0)</f>
        <v>0</v>
      </c>
      <c r="GA15" s="674">
        <f>IF(AND(AND(Stamoplysninger!$B$26="Der er indgået lokalaftale omkring weekendtillæg(Kræver aftale med TR/FSL). Weekendtimerne udbetales.",I15="X",C15="ikke relevant")),K15,0)</f>
        <v>0</v>
      </c>
      <c r="GB15" s="283">
        <f>IF(AND(Stamoplysninger!$B$26="Der er indgået lokalaftale omkring weekendtimer og weekendtillæg.(Kræver aftale med TR/FSL).",I15="X"),K15,0)</f>
        <v>0</v>
      </c>
      <c r="GC15" s="674">
        <f>IF(AND(AND(Stamoplysninger!$B$26="Der er indgået lokalaftale omkring weekendtimer og weekendtillæg.(Kræver aftale med TR/FSL).",I15="X",C15="ikke relevant")),K15,0)</f>
        <v>0</v>
      </c>
    </row>
    <row r="16" spans="1:185">
      <c r="A16" s="245">
        <f t="shared" si="17"/>
        <v>8</v>
      </c>
      <c r="B16" s="128" t="str">
        <f t="shared" si="0"/>
        <v>fr</v>
      </c>
      <c r="C16" s="129" t="s">
        <v>206</v>
      </c>
      <c r="D16" s="130" t="str">
        <f t="shared" si="1"/>
        <v/>
      </c>
      <c r="E16" s="917"/>
      <c r="F16" s="918"/>
      <c r="G16" s="919"/>
      <c r="H16" s="298"/>
      <c r="I16" s="527"/>
      <c r="J16" s="413"/>
      <c r="K16" s="380"/>
      <c r="L16" s="380"/>
      <c r="M16" s="380"/>
      <c r="N16" s="318">
        <f t="shared" si="18"/>
        <v>6.75</v>
      </c>
      <c r="O16" s="318">
        <f t="shared" si="19"/>
        <v>3</v>
      </c>
      <c r="P16" s="318">
        <f>IF(Stamoplysninger!$H$29="JA",November!DG16,CX16)</f>
        <v>1.5</v>
      </c>
      <c r="Q16" s="318">
        <f t="shared" si="20"/>
        <v>2.25</v>
      </c>
      <c r="R16" s="319"/>
      <c r="S16" s="324"/>
      <c r="T16" s="325"/>
      <c r="U16" s="325"/>
      <c r="V16" s="435"/>
      <c r="W16" s="435"/>
      <c r="X16" s="644"/>
      <c r="Y16">
        <f t="shared" si="21"/>
        <v>0</v>
      </c>
      <c r="Z16" s="437">
        <f t="shared" si="22"/>
        <v>0</v>
      </c>
      <c r="AA16" s="1">
        <f t="shared" si="2"/>
        <v>0</v>
      </c>
      <c r="AB16" s="1">
        <f t="shared" si="3"/>
        <v>0</v>
      </c>
      <c r="AC16" s="1">
        <f t="shared" si="4"/>
        <v>0</v>
      </c>
      <c r="AD16" s="1">
        <f t="shared" si="5"/>
        <v>0</v>
      </c>
      <c r="AE16" s="1">
        <f t="shared" si="6"/>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f>IF(AND(C16="Skema 1",B16="fr"),Arbejdstidsoversigt!$E$76,"")</f>
        <v>6.75</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6.75</v>
      </c>
      <c r="BB16" s="229">
        <f t="shared" si="7"/>
        <v>162</v>
      </c>
      <c r="BC16" s="1">
        <f t="shared" si="24"/>
        <v>0</v>
      </c>
      <c r="BD16" s="1">
        <f t="shared" si="8"/>
        <v>0</v>
      </c>
      <c r="BE16" s="1">
        <f t="shared" si="9"/>
        <v>0</v>
      </c>
      <c r="BF16" s="1">
        <f t="shared" si="10"/>
        <v>0</v>
      </c>
      <c r="BG16" s="210" t="str">
        <f>IF(AND(C16="Skema 1",B16="ma"),Skemaoplysninger!$E$30,"")</f>
        <v/>
      </c>
      <c r="BH16" s="210" t="str">
        <f>IF(AND(C16="Skema 1",B16="ti"),Skemaoplysninger!$G$30,"")</f>
        <v/>
      </c>
      <c r="BI16" s="210" t="str">
        <f>IF(AND(C16="Skema 1",B16="on"),Skemaoplysninger!$I$30,"")</f>
        <v/>
      </c>
      <c r="BJ16" s="210" t="str">
        <f>IF(AND(C16="Skema 1",B16="to"),Skemaoplysninger!$K$30,"")</f>
        <v/>
      </c>
      <c r="BK16" s="210">
        <f>IF(AND(C16="Skema 1",B16="fr"),Skemaoplysninger!$M$30,"")</f>
        <v>0.125</v>
      </c>
      <c r="BL16" s="210" t="str">
        <f>IF(AND(C16="Skema 2",B16="ma"),Skemaoplysninger!$S$30,"")</f>
        <v/>
      </c>
      <c r="BM16" s="210" t="str">
        <f>IF(AND(C16="Skema 2",B16="ti"),Skemaoplysninger!$U$30,"")</f>
        <v/>
      </c>
      <c r="BN16" s="210" t="str">
        <f>IF(AND(C16="Skema 2",B16="on"),Skemaoplysninger!$W$30,"")</f>
        <v/>
      </c>
      <c r="BO16" s="210" t="str">
        <f>IF(AND(C16="Skema 2",B16="to"),Skemaoplysninger!$Y$30,"")</f>
        <v/>
      </c>
      <c r="BP16" s="210" t="str">
        <f>IF(AND(C16="Skema 2",B16="fr"),Skemaoplysninger!$AA$30,"")</f>
        <v/>
      </c>
      <c r="BQ16" s="210" t="str">
        <f>IF(AND(C16="Skema 3",B16="ma"),Skemaoplysninger!$AG$30,"")</f>
        <v/>
      </c>
      <c r="BR16" s="210" t="str">
        <f>IF(AND(C16="Skema 3",B16="ti"),Skemaoplysninger!$AI$30,"")</f>
        <v/>
      </c>
      <c r="BS16" s="210" t="str">
        <f>IF(AND(C16="Skema 3",B16="on"),Skemaoplysninger!$AK$30,"")</f>
        <v/>
      </c>
      <c r="BT16" s="210" t="str">
        <f>IF(AND(C16="Skema 3",B16="to"),Skemaoplysninger!$AM$30,"")</f>
        <v/>
      </c>
      <c r="BU16" s="210" t="str">
        <f>IF(AND(C16="Skema 3",B16="fr"),Skemaoplysninger!$AO$30,"")</f>
        <v/>
      </c>
      <c r="BV16" s="210" t="str">
        <f>IF(AND(C16="Skema 4",B16="ma"),Skemaoplysninger!$AU$30,"")</f>
        <v/>
      </c>
      <c r="BW16" s="210" t="str">
        <f>IF(AND(C16="Skema 4",B16="ti"),Skemaoplysninger!$AW$30,"")</f>
        <v/>
      </c>
      <c r="BX16" s="210" t="str">
        <f>IF(AND(C16="Skema 4",B16="on"),Skemaoplysninger!$AY$30,"")</f>
        <v/>
      </c>
      <c r="BY16" s="210" t="str">
        <f>IF(AND(C16="Skema 4",B16="to"),Skemaoplysninger!$BA$30,"")</f>
        <v/>
      </c>
      <c r="BZ16" s="210" t="str">
        <f>IF(AND(C16="Skema 4",B16="fr"),Skemaoplysninger!$BC$30,"")</f>
        <v/>
      </c>
      <c r="CA16" s="1">
        <f t="shared" si="25"/>
        <v>3</v>
      </c>
      <c r="CB16" s="1">
        <f t="shared" si="11"/>
        <v>0</v>
      </c>
      <c r="CC16" s="1">
        <f t="shared" si="12"/>
        <v>0</v>
      </c>
      <c r="CD16" s="210" t="str">
        <f>IF(AND(C16="Skema 1",B16="ma"),Skemaoplysninger!$E$31,"")</f>
        <v/>
      </c>
      <c r="CE16" s="210" t="str">
        <f>IF(AND(C16="Skema 1",B16="ti"),Skemaoplysninger!$G$31,"")</f>
        <v/>
      </c>
      <c r="CF16" s="210" t="str">
        <f>IF(AND(C16="Skema 1",B16="on"),Skemaoplysninger!$I$31,"")</f>
        <v/>
      </c>
      <c r="CG16" s="210" t="str">
        <f>IF(AND(C16="Skema 1",B16="to"),Skemaoplysninger!$K$31,"")</f>
        <v/>
      </c>
      <c r="CH16" s="210">
        <f>IF(AND(C16="Skema 1",B16="fr"),Skemaoplysninger!$M$31,"")</f>
        <v>6.25E-2</v>
      </c>
      <c r="CI16" s="210" t="str">
        <f>IF(AND(C16="Skema 2",B16="ma"),Skemaoplysninger!$S$31,"")</f>
        <v/>
      </c>
      <c r="CJ16" s="210" t="str">
        <f>IF(AND(C16="Skema 2",B16="ti"),Skemaoplysninger!$U$31,"")</f>
        <v/>
      </c>
      <c r="CK16" s="210" t="str">
        <f>IF(AND(C16="Skema 2",B16="on"),Skemaoplysninger!$W$31,"")</f>
        <v/>
      </c>
      <c r="CL16" s="210" t="str">
        <f>IF(AND(C16="Skema 2",B16="to"),Skemaoplysninger!$Y$31,"")</f>
        <v/>
      </c>
      <c r="CM16" s="210" t="str">
        <f>IF(AND(C16="Skema 2",B16="fr"),Skemaoplysninger!$AA$31,"")</f>
        <v/>
      </c>
      <c r="CN16" s="210" t="str">
        <f>IF(AND(C16="Skema 3",B16="ma"),Skemaoplysninger!$AG$31,"")</f>
        <v/>
      </c>
      <c r="CO16" s="210" t="str">
        <f>IF(AND(C16="Skema 3",B16="ti"),Skemaoplysninger!$AI$31,"")</f>
        <v/>
      </c>
      <c r="CP16" s="210" t="str">
        <f>IF(AND(C16="Skema 3",B16="on"),Skemaoplysninger!$AK$31,"")</f>
        <v/>
      </c>
      <c r="CQ16" s="210" t="str">
        <f>IF(AND(C16="Skema 3",B16="to"),Skemaoplysninger!$AM$31,"")</f>
        <v/>
      </c>
      <c r="CR16" s="210" t="str">
        <f>IF(AND(C16="Skema 3",B16="fr"),Skemaoplysninger!$AO$31,"")</f>
        <v/>
      </c>
      <c r="CS16" s="210" t="str">
        <f>IF(AND(C16="Skema 4",B16="ma"),Skemaoplysninger!$AU$31,"")</f>
        <v/>
      </c>
      <c r="CT16" s="210" t="str">
        <f>IF(AND(C16="Skema 4",B16="ti"),Skemaoplysninger!$AW$31,"")</f>
        <v/>
      </c>
      <c r="CU16" s="210" t="str">
        <f>IF(AND(C16="Skema 4",B16="on"),Skemaoplysninger!$AY$31,"")</f>
        <v/>
      </c>
      <c r="CV16" s="210" t="str">
        <f>IF(AND(C16="Skema 4",B16="to"),Skemaoplysninger!$BA$31,"")</f>
        <v/>
      </c>
      <c r="CW16" s="210" t="str">
        <f>IF(AND(C16="Skema 4",B16="fr"),Skemaoplysninger!$BC$31,"")</f>
        <v/>
      </c>
      <c r="CX16" s="249">
        <f>IF(Stamoplysninger!$H$29="NEJ",SUM(CD16:CW16)*24+CB16+CC16,0)</f>
        <v>1.5</v>
      </c>
      <c r="CY16" s="249">
        <f>IF(C16="Skema 1",Stamoplysninger!$H$30/200,0)</f>
        <v>0</v>
      </c>
      <c r="CZ16" s="249">
        <f>IF(C16="Skema 2",Stamoplysninger!$H$30/200,0)</f>
        <v>0</v>
      </c>
      <c r="DA16" s="249">
        <f>IF(C16="Skema 3",Stamoplysninger!$H$30/200,0)</f>
        <v>0</v>
      </c>
      <c r="DB16" s="249">
        <f>IF(C16="Skema 4",Stamoplysninger!$H$30/200,0)</f>
        <v>0</v>
      </c>
      <c r="DC16" s="249">
        <f>IF(C16="fagdag",Stamoplysninger!$H$30/200,0)</f>
        <v>0</v>
      </c>
      <c r="DD16" s="249">
        <f>IF(C16="emnedag",Stamoplysninger!$H$30/200,0)</f>
        <v>0</v>
      </c>
      <c r="DE16" s="249">
        <f>IF(C16="lejrskole",Stamoplysninger!$H$30/200,0)</f>
        <v>0</v>
      </c>
      <c r="DF16" s="249">
        <f>IF(C16="ekskursion",Stamoplysninger!$H$30/200,0)</f>
        <v>0</v>
      </c>
      <c r="DG16" s="249">
        <f t="shared" si="26"/>
        <v>0</v>
      </c>
      <c r="DH16" t="str">
        <f t="shared" si="27"/>
        <v/>
      </c>
      <c r="DI16">
        <f t="shared" si="28"/>
        <v>0</v>
      </c>
      <c r="DJ16">
        <f t="shared" si="29"/>
        <v>0</v>
      </c>
      <c r="DK16" t="str">
        <f t="shared" si="13"/>
        <v/>
      </c>
      <c r="DL16" t="str">
        <f t="shared" si="13"/>
        <v/>
      </c>
      <c r="DM16" t="str">
        <f t="shared" si="13"/>
        <v/>
      </c>
      <c r="DN16" t="str">
        <f t="shared" si="30"/>
        <v/>
      </c>
      <c r="DO16" s="652">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71">
        <f>IF(AND(Stamoplysninger!$B$22="Ulempetillæg udbetales med 25% af nettotimelønnen.",C16="ikke relevant"),(R16)/4,0)</f>
        <v>0</v>
      </c>
      <c r="DT16" s="671">
        <f>IF(AND(AND(Stamoplysninger!$B$22="Ulempetillæg udbetales med 25% af nettotimelønnen.",I16="X",C16="Ikke relevant")),K16/4,0)</f>
        <v>0</v>
      </c>
      <c r="DU16" s="671">
        <f>IF(AND(AND(Stamoplysninger!$B$22="Ulempetillæg udbetales med 25% af nettotimelønnen.",C16="ikke relevant",U16="X")),(X16/4),0)</f>
        <v>0</v>
      </c>
      <c r="DV16" s="672">
        <f>IF(AND(AND(AND(Stamoplysninger!$B$22="Ulempetillæg udbetales med 25% af nettotimelønnen.",I16="X",C16="Ikke relevant",S16="X"))),V16/4,0)</f>
        <v>0</v>
      </c>
      <c r="DW16" s="652"/>
      <c r="DZ16" s="671"/>
      <c r="EA16" s="671"/>
      <c r="EB16" s="672"/>
      <c r="EC16" s="652">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71">
        <f>IF(AND(Stamoplysninger!$B$22="Ulempetillæg afspadseres med 25%(Kræver en aftale imellem ledelsen og den ansatte)",C16="ikke relevant"),(R16)/4,0)</f>
        <v>0</v>
      </c>
      <c r="EH16" s="671">
        <f>IF(AND(AND(Stamoplysninger!$B$22="Ulempetillæg afspadseres med 25%(Kræver en aftale imellem ledelsen og den ansatte)",I16="X",C16="Ikke relevant")),K16/4,0)</f>
        <v>0</v>
      </c>
      <c r="EI16" s="671">
        <f>IF(AND(AND(Stamoplysninger!$B$22="Ulempetillæg afspadseres med 25%(Kræver en aftale imellem ledelsen og den ansatte)",U16="X",C16="Ikke relevant")),X16/4,0)</f>
        <v>0</v>
      </c>
      <c r="EJ16" s="671">
        <f>IF(AND(AND(AND(Stamoplysninger!$B$22="Ulempetillæg afspadseres med 25%(Kræver en aftale imellem ledelsen og den ansatte)",I16="X",C16="Ikke relevant",S16="X"))),V16/4,0)</f>
        <v>0</v>
      </c>
      <c r="EK16" s="283">
        <f>IF(AND(Stamoplysninger!$B$26="Weekendtimer og weekendtillæg afspadseres.",I16="X"),K16*1.5,0)</f>
        <v>0</v>
      </c>
      <c r="EL16" s="251">
        <f>IF(AND(AND(Stamoplysninger!$B$26="Weekendtimer og weekendtillæg afspadseres.",I16="X",S16="X")),V16*1.5,0)</f>
        <v>0</v>
      </c>
      <c r="EM16" s="674">
        <f>IF(AND(AND(Stamoplysninger!$B$26="Weekendtimer og weekendtillæg afspadseres.",I16="X",C16="ikke relevant")),K16*1.5,0)</f>
        <v>0</v>
      </c>
      <c r="EN16" s="675">
        <f>IF(AND(AND(AND(Stamoplysninger!$B$26="Weekendtimer og weekendtillæg afspadseres.",I16="X",C16="ikke relevant",S16="X"))),(V16*1.5),0)</f>
        <v>0</v>
      </c>
      <c r="EO16" s="283">
        <f>IF(AND(Stamoplysninger!$B$26="Weekendtimer og weekendtillæg udbetales.",I16="X"),K16*1.5,0)</f>
        <v>0</v>
      </c>
      <c r="EP16" s="251">
        <f>IF(AND(AND(Stamoplysninger!$B$26="Weekendtimer og weekendtillæg udbetales.",I16="X",S16="X")),V16*1.5,0)</f>
        <v>0</v>
      </c>
      <c r="EQ16" s="674">
        <f>IF(AND(AND(Stamoplysninger!$B$26="Weekendtimer og weekendtillæg udbetales.",I16="X",C16="ikke relevant")),K16*1.5,0)</f>
        <v>0</v>
      </c>
      <c r="ER16" s="675">
        <f>IF(AND(AND(AND(Stamoplysninger!$B$26="Weekendtimer og weekendtillæg udbetales.",I16="X",C16="ikke relevant",S16="X"))),(V16*1.5),0)</f>
        <v>0</v>
      </c>
      <c r="ES16" s="283">
        <f>IF(AND(Stamoplysninger!$B$26="Der er indgået lokalaftale omkring weekendtimer.(Kræver aftale med TR/FSL) Weekendtillæg afspadseres.",I16="X"),K16*0.5,0)</f>
        <v>0</v>
      </c>
      <c r="ET16" s="251">
        <f>IF(AND(AND(Stamoplysninger!$B$26="Der er indgået lokalaftale omkring weekendtimer.(Kræver aftale med TR/FSL) Weekendtillæg afspadseres.",I16="X",S16="X")),V16*0.5,0)</f>
        <v>0</v>
      </c>
      <c r="EU16" s="674">
        <f>IF(AND(AND(Stamoplysninger!$B$26="Der er indgået lokalaftale omkring weekendtimer.(Kræver aftale med TR/FSL) Weekendtillæg afspadseres.",I16="X",C16="ikke relevant")),K16*0.5,0)</f>
        <v>0</v>
      </c>
      <c r="EV16" s="675">
        <f>IF(AND(AND(AND(Stamoplysninger!$B$26="Der er indgået lokalaftale omkring weekendtimer.(Kræver aftale med TR/FSL) Weekendtillæg afspadseres.",I16="X",C16="ikke relevant",S16="X"))),(V16*0.5),0)</f>
        <v>0</v>
      </c>
      <c r="EW16" s="283">
        <f>IF(AND(Stamoplysninger!$B$26="Der er indgået lokalaftale omkring weekendtimer(Kræver aftale med TR/FSL). Weekendtillæg udbetales.",I16="X"),K16*0.5,0)</f>
        <v>0</v>
      </c>
      <c r="EX16" s="251">
        <f>IF(AND(AND(Stamoplysninger!$B$26="Der er indgået lokalaftale omkring weekendtimer(Kræver aftale med TR/FSL). Weekendtillæg udbetales.",I16="X",S16="X")),V16*0.5,0)</f>
        <v>0</v>
      </c>
      <c r="EY16" s="674">
        <f>IF(AND(AND(Stamoplysninger!$B$26="Der er indgået lokalaftale omkring weekendtimer(Kræver aftale med TR/FSL). Weekendtillæg udbetales.",I16="X",C16="ikke relevant")),K16*0.5,0)</f>
        <v>0</v>
      </c>
      <c r="EZ16" s="675">
        <f>IF(AND(AND(AND(Stamoplysninger!$B$26="Der er indgået lokalaftale omkring weekendtimer(Kræver aftale med TR/FSL). Weekendtillæg udbetales.",I16="X",C16="ikke relevant",S16="X"))),(V16*0.5),0)</f>
        <v>0</v>
      </c>
      <c r="FA16" s="283">
        <f>IF(AND(Stamoplysninger!$B$26="Der er indgået lokalaftale omkring weekendtillæg(Kræver aftale med TR/FSL). Weekendtimerne afspadseres.",I16="X"),K16,0)</f>
        <v>0</v>
      </c>
      <c r="FB16" s="251">
        <f>IF(AND(AND(Stamoplysninger!$B$26="Der er indgået lokalaftale omkring weekendtillæg(Kræver aftale med TR/FSL). Weekendtimerne afspadseres.",I16="X",S16="X")),V16,0)</f>
        <v>0</v>
      </c>
      <c r="FC16" s="674">
        <f>IF(AND(AND(Stamoplysninger!$B$26="Der er indgået lokalaftale omkring weekendtillæg(Kræver aftale med TR/FSL). Weekendtimerne afspadseres..",I16="X",C16="ikke relevant")),K16,0)</f>
        <v>0</v>
      </c>
      <c r="FD16" s="675">
        <f>IF(AND(AND(AND(Stamoplysninger!$B$26="Der er indgået lokalaftale omkring weekendtillæg(Kræver aftale med TR/FSL). Weekendtimerne afspadseres.",I16="X",C16="ikke relevant",S16="X"))),(V16),0)</f>
        <v>0</v>
      </c>
      <c r="FE16" s="283">
        <f>IF(AND(Stamoplysninger!$B$26="Der er indgået lokalaftale omkring weekendtillæg(Kræver aftale med TR/FSL). Weekendtimerne udbetales.",I16="X"),K16,0)</f>
        <v>0</v>
      </c>
      <c r="FF16" s="251">
        <f>IF(AND(AND(Stamoplysninger!$B$26="Der er indgået lokalaftale omkring weekendtillæg(Kræver aftale med TR/FSL). Weekendtimerne udbetales.",I16="X",S16="X")),V16,0)</f>
        <v>0</v>
      </c>
      <c r="FG16" s="674">
        <f>IF(AND(AND(Stamoplysninger!$B$26="Der er indgået lokalaftale omkring weekendtillæg(Kræver aftale med TR/FSL). Weekendtimerne udbetales.",I16="X",C16="ikke relevant")),K16,0)</f>
        <v>0</v>
      </c>
      <c r="FH16" s="675">
        <f>IF(AND(AND(AND(Stamoplysninger!$B$26="Der er indgået lokalaftale omkring weekendtillæg(Kræver aftale med TR/FSL). Weekendtimerne udbetales.",I16="X",C16="ikke relevant",S16="X"))),(V16),0)</f>
        <v>0</v>
      </c>
      <c r="FI16" s="283">
        <f>IF(AND(Stamoplysninger!$B$26="Weekendtimer og weekendtillæg afspadseres.",I16="X"),K16,0)</f>
        <v>0</v>
      </c>
      <c r="FJ16" s="251">
        <f>IF(AND(Stamoplysninger!$B$26="Weekendtimer og weekendtillæg afspadseres.",Y16="X"),(AA16+AL16)/2,0)</f>
        <v>0</v>
      </c>
      <c r="FK16" s="674">
        <f>IF(AND(AND(Stamoplysninger!$B$26="Weekendtimer og weekendtillæg afspadseres.",I16="X",C16="ikke relevant")),K16,0)</f>
        <v>0</v>
      </c>
      <c r="FL16" s="675">
        <f>IF(AND(AND(Stamoplysninger!$B$26="Weekendtimer og weekendtillæg afspadseres.",Y16="X",S16="ikke relevant")),(AA16+AL16)/2,0)</f>
        <v>0</v>
      </c>
      <c r="FM16" s="283">
        <f>IF(AND(Stamoplysninger!$B$26="Der er indgået lokalaftale omkring weekendtillæg(Kræver aftale med TR/FSL). Weekendtimerne afspadseres.",I16="X"),K16,0)</f>
        <v>0</v>
      </c>
      <c r="FN16" s="674">
        <f>IF(AND(AND(Stamoplysninger!$B$26="Der er indgået lokalaftale omkring weekendtillæg(Kræver aftale med TR/FSL). Weekendtimerne afspadseres.",I16="X",C16="ikke relevant")),K16,0)</f>
        <v>0</v>
      </c>
      <c r="FO16" s="283">
        <f>IF(AND(Stamoplysninger!$B$26="Weekendtimer og weekendtillæg udbetales.",I16="X"),K16,0)</f>
        <v>0</v>
      </c>
      <c r="FP16" s="251">
        <f>IF(AND(Stamoplysninger!$B$26="Weekendtimer og weekendtillæg udbetales.",AA16="X"),(AC16+AN16)/2,0)</f>
        <v>0</v>
      </c>
      <c r="FQ16" s="674">
        <f>IF(AND(AND(Stamoplysninger!$B$26="Weekendtimer og weekendtillæg udbetales.",I16="X",C16="ikke relevant")),K16,0)</f>
        <v>0</v>
      </c>
      <c r="FR16" s="688">
        <f>IF(AND(AND(Stamoplysninger!$B$26="Weekendtimer og weekendtillæg udbetales.",AA16="X",U16="ikke relevant")),(AC16+AN16)/2,0)</f>
        <v>0</v>
      </c>
      <c r="FS16" s="283">
        <f t="shared" si="14"/>
        <v>0</v>
      </c>
      <c r="FT16" s="658">
        <f t="shared" si="15"/>
        <v>0</v>
      </c>
      <c r="FU16">
        <f t="shared" si="16"/>
        <v>0</v>
      </c>
      <c r="FV16" s="283">
        <f>IF(AND(Stamoplysninger!$B$26="Der er indgået lokalaftale omkring weekendtimer.(Kræver aftale med TR/FSL) Weekendtillæg afspadseres.",I16="X"),K16,0)</f>
        <v>0</v>
      </c>
      <c r="FW16" s="674">
        <f>IF(AND(AND(Stamoplysninger!$B$26="Der er indgået lokalaftale omkring weekendtimer.(Kræver aftale med TR/FSL) Weekendtillæg afspadseres.",I16="X",C16="ikke relevant")),K16,0)</f>
        <v>0</v>
      </c>
      <c r="FX16" s="283">
        <f>IF(AND(Stamoplysninger!$B$26="Der er indgået lokalaftale omkring weekendtimer(Kræver aftale med TR/FSL). Weekendtillæg udbetales.",I16="X"),K16,0)</f>
        <v>0</v>
      </c>
      <c r="FY16" s="674">
        <f>IF(AND(AND(Stamoplysninger!$B$26="Der er indgået lokalaftale omkring weekendtimer(Kræver aftale med TR/FSL). Weekendtillæg udbetales.",I16="X",C16="ikke relevant")),K16,0)</f>
        <v>0</v>
      </c>
      <c r="FZ16" s="283">
        <f>IF(AND(Stamoplysninger!$B$26="Der er indgået lokalaftale omkring weekendtillæg(Kræver aftale med TR/FSL). Weekendtimerne udbetales.",I16="X"),K16,0)</f>
        <v>0</v>
      </c>
      <c r="GA16" s="674">
        <f>IF(AND(AND(Stamoplysninger!$B$26="Der er indgået lokalaftale omkring weekendtillæg(Kræver aftale med TR/FSL). Weekendtimerne udbetales.",I16="X",C16="ikke relevant")),K16,0)</f>
        <v>0</v>
      </c>
      <c r="GB16" s="283">
        <f>IF(AND(Stamoplysninger!$B$26="Der er indgået lokalaftale omkring weekendtimer og weekendtillæg.(Kræver aftale med TR/FSL).",I16="X"),K16,0)</f>
        <v>0</v>
      </c>
      <c r="GC16" s="674">
        <f>IF(AND(AND(Stamoplysninger!$B$26="Der er indgået lokalaftale omkring weekendtimer og weekendtillæg.(Kræver aftale med TR/FSL).",I16="X",C16="ikke relevant")),K16,0)</f>
        <v>0</v>
      </c>
    </row>
    <row r="17" spans="1:185">
      <c r="A17" s="245">
        <f t="shared" si="17"/>
        <v>9</v>
      </c>
      <c r="B17" s="128" t="str">
        <f t="shared" si="0"/>
        <v>lø</v>
      </c>
      <c r="C17" s="129" t="s">
        <v>120</v>
      </c>
      <c r="D17" s="130" t="str">
        <f t="shared" si="1"/>
        <v/>
      </c>
      <c r="E17" s="917"/>
      <c r="F17" s="918"/>
      <c r="G17" s="919"/>
      <c r="H17" s="298"/>
      <c r="I17" s="413"/>
      <c r="J17" s="413"/>
      <c r="K17" s="380"/>
      <c r="L17" s="380"/>
      <c r="M17" s="380"/>
      <c r="N17" s="318">
        <f t="shared" si="18"/>
        <v>0</v>
      </c>
      <c r="O17" s="318">
        <f t="shared" si="19"/>
        <v>0</v>
      </c>
      <c r="P17" s="318">
        <f>IF(Stamoplysninger!$H$29="JA",November!DG17,CX17)</f>
        <v>0</v>
      </c>
      <c r="Q17" s="318">
        <f t="shared" si="20"/>
        <v>0</v>
      </c>
      <c r="R17" s="319"/>
      <c r="S17" s="324"/>
      <c r="T17" s="325"/>
      <c r="U17" s="325"/>
      <c r="V17" s="435"/>
      <c r="W17" s="435"/>
      <c r="X17" s="644"/>
      <c r="Y17">
        <f t="shared" si="21"/>
        <v>0</v>
      </c>
      <c r="Z17" s="437">
        <f t="shared" si="22"/>
        <v>0</v>
      </c>
      <c r="AA17" s="1">
        <f t="shared" si="2"/>
        <v>0</v>
      </c>
      <c r="AB17" s="1">
        <f t="shared" si="3"/>
        <v>0</v>
      </c>
      <c r="AC17" s="1">
        <f t="shared" si="4"/>
        <v>0</v>
      </c>
      <c r="AD17" s="1">
        <f t="shared" si="5"/>
        <v>0</v>
      </c>
      <c r="AE17" s="1">
        <f t="shared" si="6"/>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9">
        <f t="shared" si="7"/>
        <v>0</v>
      </c>
      <c r="BC17" s="1">
        <f t="shared" si="24"/>
        <v>0</v>
      </c>
      <c r="BD17" s="1">
        <f t="shared" si="8"/>
        <v>0</v>
      </c>
      <c r="BE17" s="1">
        <f t="shared" si="9"/>
        <v>0</v>
      </c>
      <c r="BF17" s="1">
        <f t="shared" si="10"/>
        <v>0</v>
      </c>
      <c r="BG17" s="210" t="str">
        <f>IF(AND(C17="Skema 1",B17="ma"),Skemaoplysninger!$E$30,"")</f>
        <v/>
      </c>
      <c r="BH17" s="210" t="str">
        <f>IF(AND(C17="Skema 1",B17="ti"),Skemaoplysninger!$G$30,"")</f>
        <v/>
      </c>
      <c r="BI17" s="210" t="str">
        <f>IF(AND(C17="Skema 1",B17="on"),Skemaoplysninger!$I$30,"")</f>
        <v/>
      </c>
      <c r="BJ17" s="210" t="str">
        <f>IF(AND(C17="Skema 1",B17="to"),Skemaoplysninger!$K$30,"")</f>
        <v/>
      </c>
      <c r="BK17" s="210" t="str">
        <f>IF(AND(C17="Skema 1",B17="fr"),Skemaoplysninger!$M$30,"")</f>
        <v/>
      </c>
      <c r="BL17" s="210" t="str">
        <f>IF(AND(C17="Skema 2",B17="ma"),Skemaoplysninger!$S$30,"")</f>
        <v/>
      </c>
      <c r="BM17" s="210" t="str">
        <f>IF(AND(C17="Skema 2",B17="ti"),Skemaoplysninger!$U$30,"")</f>
        <v/>
      </c>
      <c r="BN17" s="210" t="str">
        <f>IF(AND(C17="Skema 2",B17="on"),Skemaoplysninger!$W$30,"")</f>
        <v/>
      </c>
      <c r="BO17" s="210" t="str">
        <f>IF(AND(C17="Skema 2",B17="to"),Skemaoplysninger!$Y$30,"")</f>
        <v/>
      </c>
      <c r="BP17" s="210" t="str">
        <f>IF(AND(C17="Skema 2",B17="fr"),Skemaoplysninger!$AA$30,"")</f>
        <v/>
      </c>
      <c r="BQ17" s="210" t="str">
        <f>IF(AND(C17="Skema 3",B17="ma"),Skemaoplysninger!$AG$30,"")</f>
        <v/>
      </c>
      <c r="BR17" s="210" t="str">
        <f>IF(AND(C17="Skema 3",B17="ti"),Skemaoplysninger!$AI$30,"")</f>
        <v/>
      </c>
      <c r="BS17" s="210" t="str">
        <f>IF(AND(C17="Skema 3",B17="on"),Skemaoplysninger!$AK$30,"")</f>
        <v/>
      </c>
      <c r="BT17" s="210" t="str">
        <f>IF(AND(C17="Skema 3",B17="to"),Skemaoplysninger!$AM$30,"")</f>
        <v/>
      </c>
      <c r="BU17" s="210" t="str">
        <f>IF(AND(C17="Skema 3",B17="fr"),Skemaoplysninger!$AO$30,"")</f>
        <v/>
      </c>
      <c r="BV17" s="210" t="str">
        <f>IF(AND(C17="Skema 4",B17="ma"),Skemaoplysninger!$AU$30,"")</f>
        <v/>
      </c>
      <c r="BW17" s="210" t="str">
        <f>IF(AND(C17="Skema 4",B17="ti"),Skemaoplysninger!$AW$30,"")</f>
        <v/>
      </c>
      <c r="BX17" s="210" t="str">
        <f>IF(AND(C17="Skema 4",B17="on"),Skemaoplysninger!$AY$30,"")</f>
        <v/>
      </c>
      <c r="BY17" s="210" t="str">
        <f>IF(AND(C17="Skema 4",B17="to"),Skemaoplysninger!$BA$30,"")</f>
        <v/>
      </c>
      <c r="BZ17" s="210" t="str">
        <f>IF(AND(C17="Skema 4",B17="fr"),Skemaoplysninger!$BC$30,"")</f>
        <v/>
      </c>
      <c r="CA17" s="1">
        <f t="shared" si="25"/>
        <v>0</v>
      </c>
      <c r="CB17" s="1">
        <f t="shared" si="11"/>
        <v>0</v>
      </c>
      <c r="CC17" s="1">
        <f t="shared" si="12"/>
        <v>0</v>
      </c>
      <c r="CD17" s="210" t="str">
        <f>IF(AND(C17="Skema 1",B17="ma"),Skemaoplysninger!$E$31,"")</f>
        <v/>
      </c>
      <c r="CE17" s="210" t="str">
        <f>IF(AND(C17="Skema 1",B17="ti"),Skemaoplysninger!$G$31,"")</f>
        <v/>
      </c>
      <c r="CF17" s="210" t="str">
        <f>IF(AND(C17="Skema 1",B17="on"),Skemaoplysninger!$I$31,"")</f>
        <v/>
      </c>
      <c r="CG17" s="210" t="str">
        <f>IF(AND(C17="Skema 1",B17="to"),Skemaoplysninger!$K$31,"")</f>
        <v/>
      </c>
      <c r="CH17" s="210" t="str">
        <f>IF(AND(C17="Skema 1",B17="fr"),Skemaoplysninger!$M$31,"")</f>
        <v/>
      </c>
      <c r="CI17" s="210" t="str">
        <f>IF(AND(C17="Skema 2",B17="ma"),Skemaoplysninger!$S$31,"")</f>
        <v/>
      </c>
      <c r="CJ17" s="210" t="str">
        <f>IF(AND(C17="Skema 2",B17="ti"),Skemaoplysninger!$U$31,"")</f>
        <v/>
      </c>
      <c r="CK17" s="210" t="str">
        <f>IF(AND(C17="Skema 2",B17="on"),Skemaoplysninger!$W$31,"")</f>
        <v/>
      </c>
      <c r="CL17" s="210" t="str">
        <f>IF(AND(C17="Skema 2",B17="to"),Skemaoplysninger!$Y$31,"")</f>
        <v/>
      </c>
      <c r="CM17" s="210" t="str">
        <f>IF(AND(C17="Skema 2",B17="fr"),Skemaoplysninger!$AA$31,"")</f>
        <v/>
      </c>
      <c r="CN17" s="210" t="str">
        <f>IF(AND(C17="Skema 3",B17="ma"),Skemaoplysninger!$AG$31,"")</f>
        <v/>
      </c>
      <c r="CO17" s="210" t="str">
        <f>IF(AND(C17="Skema 3",B17="ti"),Skemaoplysninger!$AI$31,"")</f>
        <v/>
      </c>
      <c r="CP17" s="210" t="str">
        <f>IF(AND(C17="Skema 3",B17="on"),Skemaoplysninger!$AK$31,"")</f>
        <v/>
      </c>
      <c r="CQ17" s="210" t="str">
        <f>IF(AND(C17="Skema 3",B17="to"),Skemaoplysninger!$AM$31,"")</f>
        <v/>
      </c>
      <c r="CR17" s="210" t="str">
        <f>IF(AND(C17="Skema 3",B17="fr"),Skemaoplysninger!$AO$31,"")</f>
        <v/>
      </c>
      <c r="CS17" s="210" t="str">
        <f>IF(AND(C17="Skema 4",B17="ma"),Skemaoplysninger!$AU$31,"")</f>
        <v/>
      </c>
      <c r="CT17" s="210" t="str">
        <f>IF(AND(C17="Skema 4",B17="ti"),Skemaoplysninger!$AW$31,"")</f>
        <v/>
      </c>
      <c r="CU17" s="210" t="str">
        <f>IF(AND(C17="Skema 4",B17="on"),Skemaoplysninger!$AY$31,"")</f>
        <v/>
      </c>
      <c r="CV17" s="210" t="str">
        <f>IF(AND(C17="Skema 4",B17="to"),Skemaoplysninger!$BA$31,"")</f>
        <v/>
      </c>
      <c r="CW17" s="210" t="str">
        <f>IF(AND(C17="Skema 4",B17="fr"),Skemaoplysninger!$BC$31,"")</f>
        <v/>
      </c>
      <c r="CX17" s="249">
        <f>IF(Stamoplysninger!$H$29="NEJ",SUM(CD17:CW17)*24+CB17+CC17,0)</f>
        <v>0</v>
      </c>
      <c r="CY17" s="249">
        <f>IF(C17="Skema 1",Stamoplysninger!$H$30/200,0)</f>
        <v>0</v>
      </c>
      <c r="CZ17" s="249">
        <f>IF(C17="Skema 2",Stamoplysninger!$H$30/200,0)</f>
        <v>0</v>
      </c>
      <c r="DA17" s="249">
        <f>IF(C17="Skema 3",Stamoplysninger!$H$30/200,0)</f>
        <v>0</v>
      </c>
      <c r="DB17" s="249">
        <f>IF(C17="Skema 4",Stamoplysninger!$H$30/200,0)</f>
        <v>0</v>
      </c>
      <c r="DC17" s="249">
        <f>IF(C17="fagdag",Stamoplysninger!$H$30/200,0)</f>
        <v>0</v>
      </c>
      <c r="DD17" s="249">
        <f>IF(C17="emnedag",Stamoplysninger!$H$30/200,0)</f>
        <v>0</v>
      </c>
      <c r="DE17" s="249">
        <f>IF(C17="lejrskole",Stamoplysninger!$H$30/200,0)</f>
        <v>0</v>
      </c>
      <c r="DF17" s="249">
        <f>IF(C17="ekskursion",Stamoplysninger!$H$30/200,0)</f>
        <v>0</v>
      </c>
      <c r="DG17" s="249">
        <f t="shared" si="26"/>
        <v>0</v>
      </c>
      <c r="DH17" t="str">
        <f t="shared" si="27"/>
        <v/>
      </c>
      <c r="DI17">
        <f t="shared" si="28"/>
        <v>0</v>
      </c>
      <c r="DJ17">
        <f t="shared" si="29"/>
        <v>0</v>
      </c>
      <c r="DK17" t="str">
        <f t="shared" si="13"/>
        <v/>
      </c>
      <c r="DL17" t="str">
        <f t="shared" si="13"/>
        <v/>
      </c>
      <c r="DM17" t="str">
        <f t="shared" si="13"/>
        <v/>
      </c>
      <c r="DN17" t="str">
        <f t="shared" si="30"/>
        <v/>
      </c>
      <c r="DO17" s="652">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71">
        <f>IF(AND(Stamoplysninger!$B$22="Ulempetillæg udbetales med 25% af nettotimelønnen.",C17="ikke relevant"),(R17)/4,0)</f>
        <v>0</v>
      </c>
      <c r="DT17" s="671">
        <f>IF(AND(AND(Stamoplysninger!$B$22="Ulempetillæg udbetales med 25% af nettotimelønnen.",I17="X",C17="Ikke relevant")),K17/4,0)</f>
        <v>0</v>
      </c>
      <c r="DU17" s="671">
        <f>IF(AND(AND(Stamoplysninger!$B$22="Ulempetillæg udbetales med 25% af nettotimelønnen.",C17="ikke relevant",U17="X")),(X17/4),0)</f>
        <v>0</v>
      </c>
      <c r="DV17" s="672">
        <f>IF(AND(AND(AND(Stamoplysninger!$B$22="Ulempetillæg udbetales med 25% af nettotimelønnen.",I17="X",C17="Ikke relevant",S17="X"))),V17/4,0)</f>
        <v>0</v>
      </c>
      <c r="DW17" s="652"/>
      <c r="DZ17" s="671"/>
      <c r="EA17" s="671"/>
      <c r="EB17" s="672"/>
      <c r="EC17" s="652">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71">
        <f>IF(AND(Stamoplysninger!$B$22="Ulempetillæg afspadseres med 25%(Kræver en aftale imellem ledelsen og den ansatte)",C17="ikke relevant"),(R17)/4,0)</f>
        <v>0</v>
      </c>
      <c r="EH17" s="671">
        <f>IF(AND(AND(Stamoplysninger!$B$22="Ulempetillæg afspadseres med 25%(Kræver en aftale imellem ledelsen og den ansatte)",I17="X",C17="Ikke relevant")),K17/4,0)</f>
        <v>0</v>
      </c>
      <c r="EI17" s="671">
        <f>IF(AND(AND(Stamoplysninger!$B$22="Ulempetillæg afspadseres med 25%(Kræver en aftale imellem ledelsen og den ansatte)",U17="X",C17="Ikke relevant")),X17/4,0)</f>
        <v>0</v>
      </c>
      <c r="EJ17" s="671">
        <f>IF(AND(AND(AND(Stamoplysninger!$B$22="Ulempetillæg afspadseres med 25%(Kræver en aftale imellem ledelsen og den ansatte)",I17="X",C17="Ikke relevant",S17="X"))),V17/4,0)</f>
        <v>0</v>
      </c>
      <c r="EK17" s="283">
        <f>IF(AND(Stamoplysninger!$B$26="Weekendtimer og weekendtillæg afspadseres.",I17="X"),K17*1.5,0)</f>
        <v>0</v>
      </c>
      <c r="EL17" s="251">
        <f>IF(AND(AND(Stamoplysninger!$B$26="Weekendtimer og weekendtillæg afspadseres.",I17="X",S17="X")),V17*1.5,0)</f>
        <v>0</v>
      </c>
      <c r="EM17" s="674">
        <f>IF(AND(AND(Stamoplysninger!$B$26="Weekendtimer og weekendtillæg afspadseres.",I17="X",C17="ikke relevant")),K17*1.5,0)</f>
        <v>0</v>
      </c>
      <c r="EN17" s="675">
        <f>IF(AND(AND(AND(Stamoplysninger!$B$26="Weekendtimer og weekendtillæg afspadseres.",I17="X",C17="ikke relevant",S17="X"))),(V17*1.5),0)</f>
        <v>0</v>
      </c>
      <c r="EO17" s="283">
        <f>IF(AND(Stamoplysninger!$B$26="Weekendtimer og weekendtillæg udbetales.",I17="X"),K17*1.5,0)</f>
        <v>0</v>
      </c>
      <c r="EP17" s="251">
        <f>IF(AND(AND(Stamoplysninger!$B$26="Weekendtimer og weekendtillæg udbetales.",I17="X",S17="X")),V17*1.5,0)</f>
        <v>0</v>
      </c>
      <c r="EQ17" s="674">
        <f>IF(AND(AND(Stamoplysninger!$B$26="Weekendtimer og weekendtillæg udbetales.",I17="X",C17="ikke relevant")),K17*1.5,0)</f>
        <v>0</v>
      </c>
      <c r="ER17" s="675">
        <f>IF(AND(AND(AND(Stamoplysninger!$B$26="Weekendtimer og weekendtillæg udbetales.",I17="X",C17="ikke relevant",S17="X"))),(V17*1.5),0)</f>
        <v>0</v>
      </c>
      <c r="ES17" s="283">
        <f>IF(AND(Stamoplysninger!$B$26="Der er indgået lokalaftale omkring weekendtimer.(Kræver aftale med TR/FSL) Weekendtillæg afspadseres.",I17="X"),K17*0.5,0)</f>
        <v>0</v>
      </c>
      <c r="ET17" s="251">
        <f>IF(AND(AND(Stamoplysninger!$B$26="Der er indgået lokalaftale omkring weekendtimer.(Kræver aftale med TR/FSL) Weekendtillæg afspadseres.",I17="X",S17="X")),V17*0.5,0)</f>
        <v>0</v>
      </c>
      <c r="EU17" s="674">
        <f>IF(AND(AND(Stamoplysninger!$B$26="Der er indgået lokalaftale omkring weekendtimer.(Kræver aftale med TR/FSL) Weekendtillæg afspadseres.",I17="X",C17="ikke relevant")),K17*0.5,0)</f>
        <v>0</v>
      </c>
      <c r="EV17" s="675">
        <f>IF(AND(AND(AND(Stamoplysninger!$B$26="Der er indgået lokalaftale omkring weekendtimer.(Kræver aftale med TR/FSL) Weekendtillæg afspadseres.",I17="X",C17="ikke relevant",S17="X"))),(V17*0.5),0)</f>
        <v>0</v>
      </c>
      <c r="EW17" s="283">
        <f>IF(AND(Stamoplysninger!$B$26="Der er indgået lokalaftale omkring weekendtimer(Kræver aftale med TR/FSL). Weekendtillæg udbetales.",I17="X"),K17*0.5,0)</f>
        <v>0</v>
      </c>
      <c r="EX17" s="251">
        <f>IF(AND(AND(Stamoplysninger!$B$26="Der er indgået lokalaftale omkring weekendtimer(Kræver aftale med TR/FSL). Weekendtillæg udbetales.",I17="X",S17="X")),V17*0.5,0)</f>
        <v>0</v>
      </c>
      <c r="EY17" s="674">
        <f>IF(AND(AND(Stamoplysninger!$B$26="Der er indgået lokalaftale omkring weekendtimer(Kræver aftale med TR/FSL). Weekendtillæg udbetales.",I17="X",C17="ikke relevant")),K17*0.5,0)</f>
        <v>0</v>
      </c>
      <c r="EZ17" s="675">
        <f>IF(AND(AND(AND(Stamoplysninger!$B$26="Der er indgået lokalaftale omkring weekendtimer(Kræver aftale med TR/FSL). Weekendtillæg udbetales.",I17="X",C17="ikke relevant",S17="X"))),(V17*0.5),0)</f>
        <v>0</v>
      </c>
      <c r="FA17" s="283">
        <f>IF(AND(Stamoplysninger!$B$26="Der er indgået lokalaftale omkring weekendtillæg(Kræver aftale med TR/FSL). Weekendtimerne afspadseres.",I17="X"),K17,0)</f>
        <v>0</v>
      </c>
      <c r="FB17" s="251">
        <f>IF(AND(AND(Stamoplysninger!$B$26="Der er indgået lokalaftale omkring weekendtillæg(Kræver aftale med TR/FSL). Weekendtimerne afspadseres.",I17="X",S17="X")),V17,0)</f>
        <v>0</v>
      </c>
      <c r="FC17" s="674">
        <f>IF(AND(AND(Stamoplysninger!$B$26="Der er indgået lokalaftale omkring weekendtillæg(Kræver aftale med TR/FSL). Weekendtimerne afspadseres..",I17="X",C17="ikke relevant")),K17,0)</f>
        <v>0</v>
      </c>
      <c r="FD17" s="675">
        <f>IF(AND(AND(AND(Stamoplysninger!$B$26="Der er indgået lokalaftale omkring weekendtillæg(Kræver aftale med TR/FSL). Weekendtimerne afspadseres.",I17="X",C17="ikke relevant",S17="X"))),(V17),0)</f>
        <v>0</v>
      </c>
      <c r="FE17" s="283">
        <f>IF(AND(Stamoplysninger!$B$26="Der er indgået lokalaftale omkring weekendtillæg(Kræver aftale med TR/FSL). Weekendtimerne udbetales.",I17="X"),K17,0)</f>
        <v>0</v>
      </c>
      <c r="FF17" s="251">
        <f>IF(AND(AND(Stamoplysninger!$B$26="Der er indgået lokalaftale omkring weekendtillæg(Kræver aftale med TR/FSL). Weekendtimerne udbetales.",I17="X",S17="X")),V17,0)</f>
        <v>0</v>
      </c>
      <c r="FG17" s="674">
        <f>IF(AND(AND(Stamoplysninger!$B$26="Der er indgået lokalaftale omkring weekendtillæg(Kræver aftale med TR/FSL). Weekendtimerne udbetales.",I17="X",C17="ikke relevant")),K17,0)</f>
        <v>0</v>
      </c>
      <c r="FH17" s="675">
        <f>IF(AND(AND(AND(Stamoplysninger!$B$26="Der er indgået lokalaftale omkring weekendtillæg(Kræver aftale med TR/FSL). Weekendtimerne udbetales.",I17="X",C17="ikke relevant",S17="X"))),(V17),0)</f>
        <v>0</v>
      </c>
      <c r="FI17" s="283">
        <f>IF(AND(Stamoplysninger!$B$26="Weekendtimer og weekendtillæg afspadseres.",I17="X"),K17,0)</f>
        <v>0</v>
      </c>
      <c r="FJ17" s="251">
        <f>IF(AND(Stamoplysninger!$B$26="Weekendtimer og weekendtillæg afspadseres.",Y17="X"),(AA17+AL17)/2,0)</f>
        <v>0</v>
      </c>
      <c r="FK17" s="674">
        <f>IF(AND(AND(Stamoplysninger!$B$26="Weekendtimer og weekendtillæg afspadseres.",I17="X",C17="ikke relevant")),K17,0)</f>
        <v>0</v>
      </c>
      <c r="FL17" s="675">
        <f>IF(AND(AND(Stamoplysninger!$B$26="Weekendtimer og weekendtillæg afspadseres.",Y17="X",S17="ikke relevant")),(AA17+AL17)/2,0)</f>
        <v>0</v>
      </c>
      <c r="FM17" s="283">
        <f>IF(AND(Stamoplysninger!$B$26="Der er indgået lokalaftale omkring weekendtillæg(Kræver aftale med TR/FSL). Weekendtimerne afspadseres.",I17="X"),K17,0)</f>
        <v>0</v>
      </c>
      <c r="FN17" s="674">
        <f>IF(AND(AND(Stamoplysninger!$B$26="Der er indgået lokalaftale omkring weekendtillæg(Kræver aftale med TR/FSL). Weekendtimerne afspadseres.",I17="X",C17="ikke relevant")),K17,0)</f>
        <v>0</v>
      </c>
      <c r="FO17" s="283">
        <f>IF(AND(Stamoplysninger!$B$26="Weekendtimer og weekendtillæg udbetales.",I17="X"),K17,0)</f>
        <v>0</v>
      </c>
      <c r="FP17" s="251">
        <f>IF(AND(Stamoplysninger!$B$26="Weekendtimer og weekendtillæg udbetales.",AA17="X"),(AC17+AN17)/2,0)</f>
        <v>0</v>
      </c>
      <c r="FQ17" s="674">
        <f>IF(AND(AND(Stamoplysninger!$B$26="Weekendtimer og weekendtillæg udbetales.",I17="X",C17="ikke relevant")),K17,0)</f>
        <v>0</v>
      </c>
      <c r="FR17" s="688">
        <f>IF(AND(AND(Stamoplysninger!$B$26="Weekendtimer og weekendtillæg udbetales.",AA17="X",U17="ikke relevant")),(AC17+AN17)/2,0)</f>
        <v>0</v>
      </c>
      <c r="FS17" s="283">
        <f t="shared" si="14"/>
        <v>0</v>
      </c>
      <c r="FT17" s="658">
        <f t="shared" si="15"/>
        <v>0</v>
      </c>
      <c r="FU17">
        <f t="shared" si="16"/>
        <v>0</v>
      </c>
      <c r="FV17" s="283">
        <f>IF(AND(Stamoplysninger!$B$26="Der er indgået lokalaftale omkring weekendtimer.(Kræver aftale med TR/FSL) Weekendtillæg afspadseres.",I17="X"),K17,0)</f>
        <v>0</v>
      </c>
      <c r="FW17" s="674">
        <f>IF(AND(AND(Stamoplysninger!$B$26="Der er indgået lokalaftale omkring weekendtimer.(Kræver aftale med TR/FSL) Weekendtillæg afspadseres.",I17="X",C17="ikke relevant")),K17,0)</f>
        <v>0</v>
      </c>
      <c r="FX17" s="283">
        <f>IF(AND(Stamoplysninger!$B$26="Der er indgået lokalaftale omkring weekendtimer(Kræver aftale med TR/FSL). Weekendtillæg udbetales.",I17="X"),K17,0)</f>
        <v>0</v>
      </c>
      <c r="FY17" s="674">
        <f>IF(AND(AND(Stamoplysninger!$B$26="Der er indgået lokalaftale omkring weekendtimer(Kræver aftale med TR/FSL). Weekendtillæg udbetales.",I17="X",C17="ikke relevant")),K17,0)</f>
        <v>0</v>
      </c>
      <c r="FZ17" s="283">
        <f>IF(AND(Stamoplysninger!$B$26="Der er indgået lokalaftale omkring weekendtillæg(Kræver aftale med TR/FSL). Weekendtimerne udbetales.",I17="X"),K17,0)</f>
        <v>0</v>
      </c>
      <c r="GA17" s="674">
        <f>IF(AND(AND(Stamoplysninger!$B$26="Der er indgået lokalaftale omkring weekendtillæg(Kræver aftale med TR/FSL). Weekendtimerne udbetales.",I17="X",C17="ikke relevant")),K17,0)</f>
        <v>0</v>
      </c>
      <c r="GB17" s="283">
        <f>IF(AND(Stamoplysninger!$B$26="Der er indgået lokalaftale omkring weekendtimer og weekendtillæg.(Kræver aftale med TR/FSL).",I17="X"),K17,0)</f>
        <v>0</v>
      </c>
      <c r="GC17" s="674">
        <f>IF(AND(AND(Stamoplysninger!$B$26="Der er indgået lokalaftale omkring weekendtimer og weekendtillæg.(Kræver aftale med TR/FSL).",I17="X",C17="ikke relevant")),K17,0)</f>
        <v>0</v>
      </c>
    </row>
    <row r="18" spans="1:185">
      <c r="A18" s="245">
        <f t="shared" si="17"/>
        <v>10</v>
      </c>
      <c r="B18" s="128" t="str">
        <f t="shared" si="0"/>
        <v>sø</v>
      </c>
      <c r="C18" s="129" t="s">
        <v>120</v>
      </c>
      <c r="D18" s="130" t="str">
        <f t="shared" si="1"/>
        <v/>
      </c>
      <c r="E18" s="917"/>
      <c r="F18" s="918"/>
      <c r="G18" s="919"/>
      <c r="H18" s="298"/>
      <c r="I18" s="413"/>
      <c r="J18" s="413"/>
      <c r="K18" s="380"/>
      <c r="L18" s="380"/>
      <c r="M18" s="380"/>
      <c r="N18" s="318">
        <f t="shared" si="18"/>
        <v>0</v>
      </c>
      <c r="O18" s="318">
        <f t="shared" si="19"/>
        <v>0</v>
      </c>
      <c r="P18" s="318">
        <f>IF(Stamoplysninger!$H$29="JA",November!DG18,CX18)</f>
        <v>0</v>
      </c>
      <c r="Q18" s="318">
        <f t="shared" si="20"/>
        <v>0</v>
      </c>
      <c r="R18" s="319"/>
      <c r="S18" s="324"/>
      <c r="T18" s="325"/>
      <c r="U18" s="325"/>
      <c r="V18" s="435"/>
      <c r="W18" s="435"/>
      <c r="X18" s="644"/>
      <c r="Y18">
        <f t="shared" si="21"/>
        <v>0</v>
      </c>
      <c r="Z18" s="437">
        <f t="shared" si="22"/>
        <v>0</v>
      </c>
      <c r="AA18" s="1">
        <f t="shared" si="2"/>
        <v>0</v>
      </c>
      <c r="AB18" s="1">
        <f t="shared" si="3"/>
        <v>0</v>
      </c>
      <c r="AC18" s="1">
        <f t="shared" si="4"/>
        <v>0</v>
      </c>
      <c r="AD18" s="1">
        <f t="shared" si="5"/>
        <v>0</v>
      </c>
      <c r="AE18" s="1">
        <f t="shared" si="6"/>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9">
        <f t="shared" si="7"/>
        <v>0</v>
      </c>
      <c r="BC18" s="1">
        <f t="shared" si="24"/>
        <v>0</v>
      </c>
      <c r="BD18" s="1">
        <f t="shared" si="8"/>
        <v>0</v>
      </c>
      <c r="BE18" s="1">
        <f t="shared" si="9"/>
        <v>0</v>
      </c>
      <c r="BF18" s="1">
        <f t="shared" si="10"/>
        <v>0</v>
      </c>
      <c r="BG18" s="210" t="str">
        <f>IF(AND(C18="Skema 1",B18="ma"),Skemaoplysninger!$E$30,"")</f>
        <v/>
      </c>
      <c r="BH18" s="210" t="str">
        <f>IF(AND(C18="Skema 1",B18="ti"),Skemaoplysninger!$G$30,"")</f>
        <v/>
      </c>
      <c r="BI18" s="210" t="str">
        <f>IF(AND(C18="Skema 1",B18="on"),Skemaoplysninger!$I$30,"")</f>
        <v/>
      </c>
      <c r="BJ18" s="210" t="str">
        <f>IF(AND(C18="Skema 1",B18="to"),Skemaoplysninger!$K$30,"")</f>
        <v/>
      </c>
      <c r="BK18" s="210" t="str">
        <f>IF(AND(C18="Skema 1",B18="fr"),Skemaoplysninger!$M$30,"")</f>
        <v/>
      </c>
      <c r="BL18" s="210" t="str">
        <f>IF(AND(C18="Skema 2",B18="ma"),Skemaoplysninger!$S$30,"")</f>
        <v/>
      </c>
      <c r="BM18" s="210" t="str">
        <f>IF(AND(C18="Skema 2",B18="ti"),Skemaoplysninger!$U$30,"")</f>
        <v/>
      </c>
      <c r="BN18" s="210" t="str">
        <f>IF(AND(C18="Skema 2",B18="on"),Skemaoplysninger!$W$30,"")</f>
        <v/>
      </c>
      <c r="BO18" s="210" t="str">
        <f>IF(AND(C18="Skema 2",B18="to"),Skemaoplysninger!$Y$30,"")</f>
        <v/>
      </c>
      <c r="BP18" s="210" t="str">
        <f>IF(AND(C18="Skema 2",B18="fr"),Skemaoplysninger!$AA$30,"")</f>
        <v/>
      </c>
      <c r="BQ18" s="210" t="str">
        <f>IF(AND(C18="Skema 3",B18="ma"),Skemaoplysninger!$AG$30,"")</f>
        <v/>
      </c>
      <c r="BR18" s="210" t="str">
        <f>IF(AND(C18="Skema 3",B18="ti"),Skemaoplysninger!$AI$30,"")</f>
        <v/>
      </c>
      <c r="BS18" s="210" t="str">
        <f>IF(AND(C18="Skema 3",B18="on"),Skemaoplysninger!$AK$30,"")</f>
        <v/>
      </c>
      <c r="BT18" s="210" t="str">
        <f>IF(AND(C18="Skema 3",B18="to"),Skemaoplysninger!$AM$30,"")</f>
        <v/>
      </c>
      <c r="BU18" s="210" t="str">
        <f>IF(AND(C18="Skema 3",B18="fr"),Skemaoplysninger!$AO$30,"")</f>
        <v/>
      </c>
      <c r="BV18" s="210" t="str">
        <f>IF(AND(C18="Skema 4",B18="ma"),Skemaoplysninger!$AU$30,"")</f>
        <v/>
      </c>
      <c r="BW18" s="210" t="str">
        <f>IF(AND(C18="Skema 4",B18="ti"),Skemaoplysninger!$AW$30,"")</f>
        <v/>
      </c>
      <c r="BX18" s="210" t="str">
        <f>IF(AND(C18="Skema 4",B18="on"),Skemaoplysninger!$AY$30,"")</f>
        <v/>
      </c>
      <c r="BY18" s="210" t="str">
        <f>IF(AND(C18="Skema 4",B18="to"),Skemaoplysninger!$BA$30,"")</f>
        <v/>
      </c>
      <c r="BZ18" s="210" t="str">
        <f>IF(AND(C18="Skema 4",B18="fr"),Skemaoplysninger!$BC$30,"")</f>
        <v/>
      </c>
      <c r="CA18" s="1">
        <f t="shared" si="25"/>
        <v>0</v>
      </c>
      <c r="CB18" s="1">
        <f t="shared" si="11"/>
        <v>0</v>
      </c>
      <c r="CC18" s="1">
        <f t="shared" si="12"/>
        <v>0</v>
      </c>
      <c r="CD18" s="210" t="str">
        <f>IF(AND(C18="Skema 1",B18="ma"),Skemaoplysninger!$E$31,"")</f>
        <v/>
      </c>
      <c r="CE18" s="210" t="str">
        <f>IF(AND(C18="Skema 1",B18="ti"),Skemaoplysninger!$G$31,"")</f>
        <v/>
      </c>
      <c r="CF18" s="210" t="str">
        <f>IF(AND(C18="Skema 1",B18="on"),Skemaoplysninger!$I$31,"")</f>
        <v/>
      </c>
      <c r="CG18" s="210" t="str">
        <f>IF(AND(C18="Skema 1",B18="to"),Skemaoplysninger!$K$31,"")</f>
        <v/>
      </c>
      <c r="CH18" s="210" t="str">
        <f>IF(AND(C18="Skema 1",B18="fr"),Skemaoplysninger!$M$31,"")</f>
        <v/>
      </c>
      <c r="CI18" s="210" t="str">
        <f>IF(AND(C18="Skema 2",B18="ma"),Skemaoplysninger!$S$31,"")</f>
        <v/>
      </c>
      <c r="CJ18" s="210" t="str">
        <f>IF(AND(C18="Skema 2",B18="ti"),Skemaoplysninger!$U$31,"")</f>
        <v/>
      </c>
      <c r="CK18" s="210" t="str">
        <f>IF(AND(C18="Skema 2",B18="on"),Skemaoplysninger!$W$31,"")</f>
        <v/>
      </c>
      <c r="CL18" s="210" t="str">
        <f>IF(AND(C18="Skema 2",B18="to"),Skemaoplysninger!$Y$31,"")</f>
        <v/>
      </c>
      <c r="CM18" s="210" t="str">
        <f>IF(AND(C18="Skema 2",B18="fr"),Skemaoplysninger!$AA$31,"")</f>
        <v/>
      </c>
      <c r="CN18" s="210" t="str">
        <f>IF(AND(C18="Skema 3",B18="ma"),Skemaoplysninger!$AG$31,"")</f>
        <v/>
      </c>
      <c r="CO18" s="210" t="str">
        <f>IF(AND(C18="Skema 3",B18="ti"),Skemaoplysninger!$AI$31,"")</f>
        <v/>
      </c>
      <c r="CP18" s="210" t="str">
        <f>IF(AND(C18="Skema 3",B18="on"),Skemaoplysninger!$AK$31,"")</f>
        <v/>
      </c>
      <c r="CQ18" s="210" t="str">
        <f>IF(AND(C18="Skema 3",B18="to"),Skemaoplysninger!$AM$31,"")</f>
        <v/>
      </c>
      <c r="CR18" s="210" t="str">
        <f>IF(AND(C18="Skema 3",B18="fr"),Skemaoplysninger!$AO$31,"")</f>
        <v/>
      </c>
      <c r="CS18" s="210" t="str">
        <f>IF(AND(C18="Skema 4",B18="ma"),Skemaoplysninger!$AU$31,"")</f>
        <v/>
      </c>
      <c r="CT18" s="210" t="str">
        <f>IF(AND(C18="Skema 4",B18="ti"),Skemaoplysninger!$AW$31,"")</f>
        <v/>
      </c>
      <c r="CU18" s="210" t="str">
        <f>IF(AND(C18="Skema 4",B18="on"),Skemaoplysninger!$AY$31,"")</f>
        <v/>
      </c>
      <c r="CV18" s="210" t="str">
        <f>IF(AND(C18="Skema 4",B18="to"),Skemaoplysninger!$BA$31,"")</f>
        <v/>
      </c>
      <c r="CW18" s="210" t="str">
        <f>IF(AND(C18="Skema 4",B18="fr"),Skemaoplysninger!$BC$31,"")</f>
        <v/>
      </c>
      <c r="CX18" s="249">
        <f>IF(Stamoplysninger!$H$29="NEJ",SUM(CD18:CW18)*24+CB18+CC18,0)</f>
        <v>0</v>
      </c>
      <c r="CY18" s="249">
        <f>IF(C18="Skema 1",Stamoplysninger!$H$30/200,0)</f>
        <v>0</v>
      </c>
      <c r="CZ18" s="249">
        <f>IF(C18="Skema 2",Stamoplysninger!$H$30/200,0)</f>
        <v>0</v>
      </c>
      <c r="DA18" s="249">
        <f>IF(C18="Skema 3",Stamoplysninger!$H$30/200,0)</f>
        <v>0</v>
      </c>
      <c r="DB18" s="249">
        <f>IF(C18="Skema 4",Stamoplysninger!$H$30/200,0)</f>
        <v>0</v>
      </c>
      <c r="DC18" s="249">
        <f>IF(C18="fagdag",Stamoplysninger!$H$30/200,0)</f>
        <v>0</v>
      </c>
      <c r="DD18" s="249">
        <f>IF(C18="emnedag",Stamoplysninger!$H$30/200,0)</f>
        <v>0</v>
      </c>
      <c r="DE18" s="249">
        <f>IF(C18="lejrskole",Stamoplysninger!$H$30/200,0)</f>
        <v>0</v>
      </c>
      <c r="DF18" s="249">
        <f>IF(C18="ekskursion",Stamoplysninger!$H$30/200,0)</f>
        <v>0</v>
      </c>
      <c r="DG18" s="249">
        <f t="shared" si="26"/>
        <v>0</v>
      </c>
      <c r="DH18" t="str">
        <f t="shared" si="27"/>
        <v/>
      </c>
      <c r="DI18">
        <f t="shared" si="28"/>
        <v>0</v>
      </c>
      <c r="DJ18">
        <f t="shared" si="29"/>
        <v>0</v>
      </c>
      <c r="DK18" t="str">
        <f t="shared" si="13"/>
        <v/>
      </c>
      <c r="DL18" t="str">
        <f t="shared" si="13"/>
        <v/>
      </c>
      <c r="DM18" t="str">
        <f t="shared" si="13"/>
        <v/>
      </c>
      <c r="DN18" t="str">
        <f t="shared" si="30"/>
        <v/>
      </c>
      <c r="DO18" s="652">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71">
        <f>IF(AND(Stamoplysninger!$B$22="Ulempetillæg udbetales med 25% af nettotimelønnen.",C18="ikke relevant"),(R18)/4,0)</f>
        <v>0</v>
      </c>
      <c r="DT18" s="671">
        <f>IF(AND(AND(Stamoplysninger!$B$22="Ulempetillæg udbetales med 25% af nettotimelønnen.",I18="X",C18="Ikke relevant")),K18/4,0)</f>
        <v>0</v>
      </c>
      <c r="DU18" s="671">
        <f>IF(AND(AND(Stamoplysninger!$B$22="Ulempetillæg udbetales med 25% af nettotimelønnen.",C18="ikke relevant",U18="X")),(X18/4),0)</f>
        <v>0</v>
      </c>
      <c r="DV18" s="672">
        <f>IF(AND(AND(AND(Stamoplysninger!$B$22="Ulempetillæg udbetales med 25% af nettotimelønnen.",I18="X",C18="Ikke relevant",S18="X"))),V18/4,0)</f>
        <v>0</v>
      </c>
      <c r="DW18" s="652"/>
      <c r="DZ18" s="671"/>
      <c r="EA18" s="671"/>
      <c r="EB18" s="672"/>
      <c r="EC18" s="652">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71">
        <f>IF(AND(Stamoplysninger!$B$22="Ulempetillæg afspadseres med 25%(Kræver en aftale imellem ledelsen og den ansatte)",C18="ikke relevant"),(R18)/4,0)</f>
        <v>0</v>
      </c>
      <c r="EH18" s="671">
        <f>IF(AND(AND(Stamoplysninger!$B$22="Ulempetillæg afspadseres med 25%(Kræver en aftale imellem ledelsen og den ansatte)",I18="X",C18="Ikke relevant")),K18/4,0)</f>
        <v>0</v>
      </c>
      <c r="EI18" s="671">
        <f>IF(AND(AND(Stamoplysninger!$B$22="Ulempetillæg afspadseres med 25%(Kræver en aftale imellem ledelsen og den ansatte)",U18="X",C18="Ikke relevant")),X18/4,0)</f>
        <v>0</v>
      </c>
      <c r="EJ18" s="671">
        <f>IF(AND(AND(AND(Stamoplysninger!$B$22="Ulempetillæg afspadseres med 25%(Kræver en aftale imellem ledelsen og den ansatte)",I18="X",C18="Ikke relevant",S18="X"))),V18/4,0)</f>
        <v>0</v>
      </c>
      <c r="EK18" s="283">
        <f>IF(AND(Stamoplysninger!$B$26="Weekendtimer og weekendtillæg afspadseres.",I18="X"),K18*1.5,0)</f>
        <v>0</v>
      </c>
      <c r="EL18" s="251">
        <f>IF(AND(AND(Stamoplysninger!$B$26="Weekendtimer og weekendtillæg afspadseres.",I18="X",S18="X")),V18*1.5,0)</f>
        <v>0</v>
      </c>
      <c r="EM18" s="674">
        <f>IF(AND(AND(Stamoplysninger!$B$26="Weekendtimer og weekendtillæg afspadseres.",I18="X",C18="ikke relevant")),K18*1.5,0)</f>
        <v>0</v>
      </c>
      <c r="EN18" s="675">
        <f>IF(AND(AND(AND(Stamoplysninger!$B$26="Weekendtimer og weekendtillæg afspadseres.",I18="X",C18="ikke relevant",S18="X"))),(V18*1.5),0)</f>
        <v>0</v>
      </c>
      <c r="EO18" s="283">
        <f>IF(AND(Stamoplysninger!$B$26="Weekendtimer og weekendtillæg udbetales.",I18="X"),K18*1.5,0)</f>
        <v>0</v>
      </c>
      <c r="EP18" s="251">
        <f>IF(AND(AND(Stamoplysninger!$B$26="Weekendtimer og weekendtillæg udbetales.",I18="X",S18="X")),V18*1.5,0)</f>
        <v>0</v>
      </c>
      <c r="EQ18" s="674">
        <f>IF(AND(AND(Stamoplysninger!$B$26="Weekendtimer og weekendtillæg udbetales.",I18="X",C18="ikke relevant")),K18*1.5,0)</f>
        <v>0</v>
      </c>
      <c r="ER18" s="675">
        <f>IF(AND(AND(AND(Stamoplysninger!$B$26="Weekendtimer og weekendtillæg udbetales.",I18="X",C18="ikke relevant",S18="X"))),(V18*1.5),0)</f>
        <v>0</v>
      </c>
      <c r="ES18" s="283">
        <f>IF(AND(Stamoplysninger!$B$26="Der er indgået lokalaftale omkring weekendtimer.(Kræver aftale med TR/FSL) Weekendtillæg afspadseres.",I18="X"),K18*0.5,0)</f>
        <v>0</v>
      </c>
      <c r="ET18" s="251">
        <f>IF(AND(AND(Stamoplysninger!$B$26="Der er indgået lokalaftale omkring weekendtimer.(Kræver aftale med TR/FSL) Weekendtillæg afspadseres.",I18="X",S18="X")),V18*0.5,0)</f>
        <v>0</v>
      </c>
      <c r="EU18" s="674">
        <f>IF(AND(AND(Stamoplysninger!$B$26="Der er indgået lokalaftale omkring weekendtimer.(Kræver aftale med TR/FSL) Weekendtillæg afspadseres.",I18="X",C18="ikke relevant")),K18*0.5,0)</f>
        <v>0</v>
      </c>
      <c r="EV18" s="675">
        <f>IF(AND(AND(AND(Stamoplysninger!$B$26="Der er indgået lokalaftale omkring weekendtimer.(Kræver aftale med TR/FSL) Weekendtillæg afspadseres.",I18="X",C18="ikke relevant",S18="X"))),(V18*0.5),0)</f>
        <v>0</v>
      </c>
      <c r="EW18" s="283">
        <f>IF(AND(Stamoplysninger!$B$26="Der er indgået lokalaftale omkring weekendtimer(Kræver aftale med TR/FSL). Weekendtillæg udbetales.",I18="X"),K18*0.5,0)</f>
        <v>0</v>
      </c>
      <c r="EX18" s="251">
        <f>IF(AND(AND(Stamoplysninger!$B$26="Der er indgået lokalaftale omkring weekendtimer(Kræver aftale med TR/FSL). Weekendtillæg udbetales.",I18="X",S18="X")),V18*0.5,0)</f>
        <v>0</v>
      </c>
      <c r="EY18" s="674">
        <f>IF(AND(AND(Stamoplysninger!$B$26="Der er indgået lokalaftale omkring weekendtimer(Kræver aftale med TR/FSL). Weekendtillæg udbetales.",I18="X",C18="ikke relevant")),K18*0.5,0)</f>
        <v>0</v>
      </c>
      <c r="EZ18" s="675">
        <f>IF(AND(AND(AND(Stamoplysninger!$B$26="Der er indgået lokalaftale omkring weekendtimer(Kræver aftale med TR/FSL). Weekendtillæg udbetales.",I18="X",C18="ikke relevant",S18="X"))),(V18*0.5),0)</f>
        <v>0</v>
      </c>
      <c r="FA18" s="283">
        <f>IF(AND(Stamoplysninger!$B$26="Der er indgået lokalaftale omkring weekendtillæg(Kræver aftale med TR/FSL). Weekendtimerne afspadseres.",I18="X"),K18,0)</f>
        <v>0</v>
      </c>
      <c r="FB18" s="251">
        <f>IF(AND(AND(Stamoplysninger!$B$26="Der er indgået lokalaftale omkring weekendtillæg(Kræver aftale med TR/FSL). Weekendtimerne afspadseres.",I18="X",S18="X")),V18,0)</f>
        <v>0</v>
      </c>
      <c r="FC18" s="674">
        <f>IF(AND(AND(Stamoplysninger!$B$26="Der er indgået lokalaftale omkring weekendtillæg(Kræver aftale med TR/FSL). Weekendtimerne afspadseres..",I18="X",C18="ikke relevant")),K18,0)</f>
        <v>0</v>
      </c>
      <c r="FD18" s="675">
        <f>IF(AND(AND(AND(Stamoplysninger!$B$26="Der er indgået lokalaftale omkring weekendtillæg(Kræver aftale med TR/FSL). Weekendtimerne afspadseres.",I18="X",C18="ikke relevant",S18="X"))),(V18),0)</f>
        <v>0</v>
      </c>
      <c r="FE18" s="283">
        <f>IF(AND(Stamoplysninger!$B$26="Der er indgået lokalaftale omkring weekendtillæg(Kræver aftale med TR/FSL). Weekendtimerne udbetales.",I18="X"),K18,0)</f>
        <v>0</v>
      </c>
      <c r="FF18" s="251">
        <f>IF(AND(AND(Stamoplysninger!$B$26="Der er indgået lokalaftale omkring weekendtillæg(Kræver aftale med TR/FSL). Weekendtimerne udbetales.",I18="X",S18="X")),V18,0)</f>
        <v>0</v>
      </c>
      <c r="FG18" s="674">
        <f>IF(AND(AND(Stamoplysninger!$B$26="Der er indgået lokalaftale omkring weekendtillæg(Kræver aftale med TR/FSL). Weekendtimerne udbetales.",I18="X",C18="ikke relevant")),K18,0)</f>
        <v>0</v>
      </c>
      <c r="FH18" s="675">
        <f>IF(AND(AND(AND(Stamoplysninger!$B$26="Der er indgået lokalaftale omkring weekendtillæg(Kræver aftale med TR/FSL). Weekendtimerne udbetales.",I18="X",C18="ikke relevant",S18="X"))),(V18),0)</f>
        <v>0</v>
      </c>
      <c r="FI18" s="283">
        <f>IF(AND(Stamoplysninger!$B$26="Weekendtimer og weekendtillæg afspadseres.",I18="X"),K18,0)</f>
        <v>0</v>
      </c>
      <c r="FJ18" s="251">
        <f>IF(AND(Stamoplysninger!$B$26="Weekendtimer og weekendtillæg afspadseres.",Y18="X"),(AA18+AL18)/2,0)</f>
        <v>0</v>
      </c>
      <c r="FK18" s="674">
        <f>IF(AND(AND(Stamoplysninger!$B$26="Weekendtimer og weekendtillæg afspadseres.",I18="X",C18="ikke relevant")),K18,0)</f>
        <v>0</v>
      </c>
      <c r="FL18" s="675">
        <f>IF(AND(AND(Stamoplysninger!$B$26="Weekendtimer og weekendtillæg afspadseres.",Y18="X",S18="ikke relevant")),(AA18+AL18)/2,0)</f>
        <v>0</v>
      </c>
      <c r="FM18" s="283">
        <f>IF(AND(Stamoplysninger!$B$26="Der er indgået lokalaftale omkring weekendtillæg(Kræver aftale med TR/FSL). Weekendtimerne afspadseres.",I18="X"),K18,0)</f>
        <v>0</v>
      </c>
      <c r="FN18" s="674">
        <f>IF(AND(AND(Stamoplysninger!$B$26="Der er indgået lokalaftale omkring weekendtillæg(Kræver aftale med TR/FSL). Weekendtimerne afspadseres.",I18="X",C18="ikke relevant")),K18,0)</f>
        <v>0</v>
      </c>
      <c r="FO18" s="283">
        <f>IF(AND(Stamoplysninger!$B$26="Weekendtimer og weekendtillæg udbetales.",I18="X"),K18,0)</f>
        <v>0</v>
      </c>
      <c r="FP18" s="251">
        <f>IF(AND(Stamoplysninger!$B$26="Weekendtimer og weekendtillæg udbetales.",AA18="X"),(AC18+AN18)/2,0)</f>
        <v>0</v>
      </c>
      <c r="FQ18" s="674">
        <f>IF(AND(AND(Stamoplysninger!$B$26="Weekendtimer og weekendtillæg udbetales.",I18="X",C18="ikke relevant")),K18,0)</f>
        <v>0</v>
      </c>
      <c r="FR18" s="688">
        <f>IF(AND(AND(Stamoplysninger!$B$26="Weekendtimer og weekendtillæg udbetales.",AA18="X",U18="ikke relevant")),(AC18+AN18)/2,0)</f>
        <v>0</v>
      </c>
      <c r="FS18" s="283">
        <f t="shared" si="14"/>
        <v>0</v>
      </c>
      <c r="FT18" s="658">
        <f t="shared" si="15"/>
        <v>0</v>
      </c>
      <c r="FU18">
        <f t="shared" si="16"/>
        <v>0</v>
      </c>
      <c r="FV18" s="283">
        <f>IF(AND(Stamoplysninger!$B$26="Der er indgået lokalaftale omkring weekendtimer.(Kræver aftale med TR/FSL) Weekendtillæg afspadseres.",I18="X"),K18,0)</f>
        <v>0</v>
      </c>
      <c r="FW18" s="674">
        <f>IF(AND(AND(Stamoplysninger!$B$26="Der er indgået lokalaftale omkring weekendtimer.(Kræver aftale med TR/FSL) Weekendtillæg afspadseres.",I18="X",C18="ikke relevant")),K18,0)</f>
        <v>0</v>
      </c>
      <c r="FX18" s="283">
        <f>IF(AND(Stamoplysninger!$B$26="Der er indgået lokalaftale omkring weekendtimer(Kræver aftale med TR/FSL). Weekendtillæg udbetales.",I18="X"),K18,0)</f>
        <v>0</v>
      </c>
      <c r="FY18" s="674">
        <f>IF(AND(AND(Stamoplysninger!$B$26="Der er indgået lokalaftale omkring weekendtimer(Kræver aftale med TR/FSL). Weekendtillæg udbetales.",I18="X",C18="ikke relevant")),K18,0)</f>
        <v>0</v>
      </c>
      <c r="FZ18" s="283">
        <f>IF(AND(Stamoplysninger!$B$26="Der er indgået lokalaftale omkring weekendtillæg(Kræver aftale med TR/FSL). Weekendtimerne udbetales.",I18="X"),K18,0)</f>
        <v>0</v>
      </c>
      <c r="GA18" s="674">
        <f>IF(AND(AND(Stamoplysninger!$B$26="Der er indgået lokalaftale omkring weekendtillæg(Kræver aftale med TR/FSL). Weekendtimerne udbetales.",I18="X",C18="ikke relevant")),K18,0)</f>
        <v>0</v>
      </c>
      <c r="GB18" s="283">
        <f>IF(AND(Stamoplysninger!$B$26="Der er indgået lokalaftale omkring weekendtimer og weekendtillæg.(Kræver aftale med TR/FSL).",I18="X"),K18,0)</f>
        <v>0</v>
      </c>
      <c r="GC18" s="674">
        <f>IF(AND(AND(Stamoplysninger!$B$26="Der er indgået lokalaftale omkring weekendtimer og weekendtillæg.(Kræver aftale med TR/FSL).",I18="X",C18="ikke relevant")),K18,0)</f>
        <v>0</v>
      </c>
    </row>
    <row r="19" spans="1:185">
      <c r="A19" s="245">
        <f t="shared" si="17"/>
        <v>11</v>
      </c>
      <c r="B19" s="128" t="str">
        <f t="shared" si="0"/>
        <v>ma</v>
      </c>
      <c r="C19" s="129" t="s">
        <v>206</v>
      </c>
      <c r="D19" s="130">
        <f t="shared" si="1"/>
        <v>46</v>
      </c>
      <c r="E19" s="917"/>
      <c r="F19" s="918"/>
      <c r="G19" s="919"/>
      <c r="H19" s="298"/>
      <c r="I19" s="527"/>
      <c r="J19" s="413"/>
      <c r="K19" s="380"/>
      <c r="L19" s="380"/>
      <c r="M19" s="380"/>
      <c r="N19" s="318">
        <f t="shared" si="18"/>
        <v>7.75</v>
      </c>
      <c r="O19" s="318">
        <f t="shared" si="19"/>
        <v>3.916666666666667</v>
      </c>
      <c r="P19" s="318">
        <f>IF(Stamoplysninger!$H$29="JA",November!DG19,CX19)</f>
        <v>0.83333333333333337</v>
      </c>
      <c r="Q19" s="318">
        <f t="shared" si="20"/>
        <v>2.9999999999999996</v>
      </c>
      <c r="R19" s="319"/>
      <c r="S19" s="324"/>
      <c r="T19" s="325"/>
      <c r="U19" s="325"/>
      <c r="V19" s="435"/>
      <c r="W19" s="435"/>
      <c r="X19" s="644"/>
      <c r="Y19">
        <f t="shared" si="21"/>
        <v>0</v>
      </c>
      <c r="Z19" s="437">
        <f t="shared" si="22"/>
        <v>0</v>
      </c>
      <c r="AA19" s="1">
        <f t="shared" si="2"/>
        <v>0</v>
      </c>
      <c r="AB19" s="1">
        <f t="shared" si="3"/>
        <v>0</v>
      </c>
      <c r="AC19" s="1">
        <f t="shared" si="4"/>
        <v>0</v>
      </c>
      <c r="AD19" s="1">
        <f t="shared" si="5"/>
        <v>0</v>
      </c>
      <c r="AE19" s="1">
        <f t="shared" si="6"/>
        <v>0</v>
      </c>
      <c r="AF19" s="1">
        <f>IF(C19="Orlov",7.4*Stamoplysninger!$E$15,0)</f>
        <v>0</v>
      </c>
      <c r="AG19">
        <f>IF(AND(C19="Skema 1",B19="ma"),Arbejdstidsoversigt!$E$72,"")</f>
        <v>7.75</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7.75</v>
      </c>
      <c r="BB19" s="229">
        <f t="shared" si="7"/>
        <v>186</v>
      </c>
      <c r="BC19" s="1">
        <f t="shared" si="24"/>
        <v>0</v>
      </c>
      <c r="BD19" s="1">
        <f t="shared" si="8"/>
        <v>0</v>
      </c>
      <c r="BE19" s="1">
        <f t="shared" si="9"/>
        <v>0</v>
      </c>
      <c r="BF19" s="1">
        <f t="shared" si="10"/>
        <v>0</v>
      </c>
      <c r="BG19" s="210">
        <f>IF(AND(C19="Skema 1",B19="ma"),Skemaoplysninger!$E$30,"")</f>
        <v>0.16319444444444445</v>
      </c>
      <c r="BH19" s="210" t="str">
        <f>IF(AND(C19="Skema 1",B19="ti"),Skemaoplysninger!$G$30,"")</f>
        <v/>
      </c>
      <c r="BI19" s="210" t="str">
        <f>IF(AND(C19="Skema 1",B19="on"),Skemaoplysninger!$I$30,"")</f>
        <v/>
      </c>
      <c r="BJ19" s="210" t="str">
        <f>IF(AND(C19="Skema 1",B19="to"),Skemaoplysninger!$K$30,"")</f>
        <v/>
      </c>
      <c r="BK19" s="210" t="str">
        <f>IF(AND(C19="Skema 1",B19="fr"),Skemaoplysninger!$M$30,"")</f>
        <v/>
      </c>
      <c r="BL19" s="210" t="str">
        <f>IF(AND(C19="Skema 2",B19="ma"),Skemaoplysninger!$S$30,"")</f>
        <v/>
      </c>
      <c r="BM19" s="210" t="str">
        <f>IF(AND(C19="Skema 2",B19="ti"),Skemaoplysninger!$U$30,"")</f>
        <v/>
      </c>
      <c r="BN19" s="210" t="str">
        <f>IF(AND(C19="Skema 2",B19="on"),Skemaoplysninger!$W$30,"")</f>
        <v/>
      </c>
      <c r="BO19" s="210" t="str">
        <f>IF(AND(C19="Skema 2",B19="to"),Skemaoplysninger!$Y$30,"")</f>
        <v/>
      </c>
      <c r="BP19" s="210" t="str">
        <f>IF(AND(C19="Skema 2",B19="fr"),Skemaoplysninger!$AA$30,"")</f>
        <v/>
      </c>
      <c r="BQ19" s="210" t="str">
        <f>IF(AND(C19="Skema 3",B19="ma"),Skemaoplysninger!$AG$30,"")</f>
        <v/>
      </c>
      <c r="BR19" s="210" t="str">
        <f>IF(AND(C19="Skema 3",B19="ti"),Skemaoplysninger!$AI$30,"")</f>
        <v/>
      </c>
      <c r="BS19" s="210" t="str">
        <f>IF(AND(C19="Skema 3",B19="on"),Skemaoplysninger!$AK$30,"")</f>
        <v/>
      </c>
      <c r="BT19" s="210" t="str">
        <f>IF(AND(C19="Skema 3",B19="to"),Skemaoplysninger!$AM$30,"")</f>
        <v/>
      </c>
      <c r="BU19" s="210" t="str">
        <f>IF(AND(C19="Skema 3",B19="fr"),Skemaoplysninger!$AO$30,"")</f>
        <v/>
      </c>
      <c r="BV19" s="210" t="str">
        <f>IF(AND(C19="Skema 4",B19="ma"),Skemaoplysninger!$AU$30,"")</f>
        <v/>
      </c>
      <c r="BW19" s="210" t="str">
        <f>IF(AND(C19="Skema 4",B19="ti"),Skemaoplysninger!$AW$30,"")</f>
        <v/>
      </c>
      <c r="BX19" s="210" t="str">
        <f>IF(AND(C19="Skema 4",B19="on"),Skemaoplysninger!$AY$30,"")</f>
        <v/>
      </c>
      <c r="BY19" s="210" t="str">
        <f>IF(AND(C19="Skema 4",B19="to"),Skemaoplysninger!$BA$30,"")</f>
        <v/>
      </c>
      <c r="BZ19" s="210" t="str">
        <f>IF(AND(C19="Skema 4",B19="fr"),Skemaoplysninger!$BC$30,"")</f>
        <v/>
      </c>
      <c r="CA19" s="1">
        <f t="shared" si="25"/>
        <v>3.916666666666667</v>
      </c>
      <c r="CB19" s="1">
        <f t="shared" si="11"/>
        <v>0</v>
      </c>
      <c r="CC19" s="1">
        <f t="shared" si="12"/>
        <v>0</v>
      </c>
      <c r="CD19" s="210">
        <f>IF(AND(C19="Skema 1",B19="ma"),Skemaoplysninger!$E$31,"")</f>
        <v>3.4722222222222224E-2</v>
      </c>
      <c r="CE19" s="210" t="str">
        <f>IF(AND(C19="Skema 1",B19="ti"),Skemaoplysninger!$G$31,"")</f>
        <v/>
      </c>
      <c r="CF19" s="210" t="str">
        <f>IF(AND(C19="Skema 1",B19="on"),Skemaoplysninger!$I$31,"")</f>
        <v/>
      </c>
      <c r="CG19" s="210" t="str">
        <f>IF(AND(C19="Skema 1",B19="to"),Skemaoplysninger!$K$31,"")</f>
        <v/>
      </c>
      <c r="CH19" s="210" t="str">
        <f>IF(AND(C19="Skema 1",B19="fr"),Skemaoplysninger!$M$31,"")</f>
        <v/>
      </c>
      <c r="CI19" s="210" t="str">
        <f>IF(AND(C19="Skema 2",B19="ma"),Skemaoplysninger!$S$31,"")</f>
        <v/>
      </c>
      <c r="CJ19" s="210" t="str">
        <f>IF(AND(C19="Skema 2",B19="ti"),Skemaoplysninger!$U$31,"")</f>
        <v/>
      </c>
      <c r="CK19" s="210" t="str">
        <f>IF(AND(C19="Skema 2",B19="on"),Skemaoplysninger!$W$31,"")</f>
        <v/>
      </c>
      <c r="CL19" s="210" t="str">
        <f>IF(AND(C19="Skema 2",B19="to"),Skemaoplysninger!$Y$31,"")</f>
        <v/>
      </c>
      <c r="CM19" s="210" t="str">
        <f>IF(AND(C19="Skema 2",B19="fr"),Skemaoplysninger!$AA$31,"")</f>
        <v/>
      </c>
      <c r="CN19" s="210" t="str">
        <f>IF(AND(C19="Skema 3",B19="ma"),Skemaoplysninger!$AG$31,"")</f>
        <v/>
      </c>
      <c r="CO19" s="210" t="str">
        <f>IF(AND(C19="Skema 3",B19="ti"),Skemaoplysninger!$AI$31,"")</f>
        <v/>
      </c>
      <c r="CP19" s="210" t="str">
        <f>IF(AND(C19="Skema 3",B19="on"),Skemaoplysninger!$AK$31,"")</f>
        <v/>
      </c>
      <c r="CQ19" s="210" t="str">
        <f>IF(AND(C19="Skema 3",B19="to"),Skemaoplysninger!$AM$31,"")</f>
        <v/>
      </c>
      <c r="CR19" s="210" t="str">
        <f>IF(AND(C19="Skema 3",B19="fr"),Skemaoplysninger!$AO$31,"")</f>
        <v/>
      </c>
      <c r="CS19" s="210" t="str">
        <f>IF(AND(C19="Skema 4",B19="ma"),Skemaoplysninger!$AU$31,"")</f>
        <v/>
      </c>
      <c r="CT19" s="210" t="str">
        <f>IF(AND(C19="Skema 4",B19="ti"),Skemaoplysninger!$AW$31,"")</f>
        <v/>
      </c>
      <c r="CU19" s="210" t="str">
        <f>IF(AND(C19="Skema 4",B19="on"),Skemaoplysninger!$AY$31,"")</f>
        <v/>
      </c>
      <c r="CV19" s="210" t="str">
        <f>IF(AND(C19="Skema 4",B19="to"),Skemaoplysninger!$BA$31,"")</f>
        <v/>
      </c>
      <c r="CW19" s="210" t="str">
        <f>IF(AND(C19="Skema 4",B19="fr"),Skemaoplysninger!$BC$31,"")</f>
        <v/>
      </c>
      <c r="CX19" s="249">
        <f>IF(Stamoplysninger!$H$29="NEJ",SUM(CD19:CW19)*24+CB19+CC19,0)</f>
        <v>0.83333333333333337</v>
      </c>
      <c r="CY19" s="249">
        <f>IF(C19="Skema 1",Stamoplysninger!$H$30/200,0)</f>
        <v>0</v>
      </c>
      <c r="CZ19" s="249">
        <f>IF(C19="Skema 2",Stamoplysninger!$H$30/200,0)</f>
        <v>0</v>
      </c>
      <c r="DA19" s="249">
        <f>IF(C19="Skema 3",Stamoplysninger!$H$30/200,0)</f>
        <v>0</v>
      </c>
      <c r="DB19" s="249">
        <f>IF(C19="Skema 4",Stamoplysninger!$H$30/200,0)</f>
        <v>0</v>
      </c>
      <c r="DC19" s="249">
        <f>IF(C19="fagdag",Stamoplysninger!$H$30/200,0)</f>
        <v>0</v>
      </c>
      <c r="DD19" s="249">
        <f>IF(C19="emnedag",Stamoplysninger!$H$30/200,0)</f>
        <v>0</v>
      </c>
      <c r="DE19" s="249">
        <f>IF(C19="lejrskole",Stamoplysninger!$H$30/200,0)</f>
        <v>0</v>
      </c>
      <c r="DF19" s="249">
        <f>IF(C19="ekskursion",Stamoplysninger!$H$30/200,0)</f>
        <v>0</v>
      </c>
      <c r="DG19" s="249">
        <f t="shared" si="26"/>
        <v>0</v>
      </c>
      <c r="DH19" t="str">
        <f t="shared" si="27"/>
        <v/>
      </c>
      <c r="DI19">
        <f t="shared" si="28"/>
        <v>0</v>
      </c>
      <c r="DJ19">
        <f t="shared" si="29"/>
        <v>0</v>
      </c>
      <c r="DK19" t="str">
        <f t="shared" si="13"/>
        <v/>
      </c>
      <c r="DL19" t="str">
        <f t="shared" si="13"/>
        <v/>
      </c>
      <c r="DM19" t="str">
        <f t="shared" si="13"/>
        <v/>
      </c>
      <c r="DN19" t="str">
        <f t="shared" si="30"/>
        <v/>
      </c>
      <c r="DO19" s="652">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71">
        <f>IF(AND(Stamoplysninger!$B$22="Ulempetillæg udbetales med 25% af nettotimelønnen.",C19="ikke relevant"),(R19)/4,0)</f>
        <v>0</v>
      </c>
      <c r="DT19" s="671">
        <f>IF(AND(AND(Stamoplysninger!$B$22="Ulempetillæg udbetales med 25% af nettotimelønnen.",I19="X",C19="Ikke relevant")),K19/4,0)</f>
        <v>0</v>
      </c>
      <c r="DU19" s="671">
        <f>IF(AND(AND(Stamoplysninger!$B$22="Ulempetillæg udbetales med 25% af nettotimelønnen.",C19="ikke relevant",U19="X")),(X19/4),0)</f>
        <v>0</v>
      </c>
      <c r="DV19" s="672">
        <f>IF(AND(AND(AND(Stamoplysninger!$B$22="Ulempetillæg udbetales med 25% af nettotimelønnen.",I19="X",C19="Ikke relevant",S19="X"))),V19/4,0)</f>
        <v>0</v>
      </c>
      <c r="DW19" s="652"/>
      <c r="DZ19" s="671"/>
      <c r="EA19" s="671"/>
      <c r="EB19" s="672"/>
      <c r="EC19" s="652">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71">
        <f>IF(AND(Stamoplysninger!$B$22="Ulempetillæg afspadseres med 25%(Kræver en aftale imellem ledelsen og den ansatte)",C19="ikke relevant"),(R19)/4,0)</f>
        <v>0</v>
      </c>
      <c r="EH19" s="671">
        <f>IF(AND(AND(Stamoplysninger!$B$22="Ulempetillæg afspadseres med 25%(Kræver en aftale imellem ledelsen og den ansatte)",I19="X",C19="Ikke relevant")),K19/4,0)</f>
        <v>0</v>
      </c>
      <c r="EI19" s="671">
        <f>IF(AND(AND(Stamoplysninger!$B$22="Ulempetillæg afspadseres med 25%(Kræver en aftale imellem ledelsen og den ansatte)",U19="X",C19="Ikke relevant")),X19/4,0)</f>
        <v>0</v>
      </c>
      <c r="EJ19" s="671">
        <f>IF(AND(AND(AND(Stamoplysninger!$B$22="Ulempetillæg afspadseres med 25%(Kræver en aftale imellem ledelsen og den ansatte)",I19="X",C19="Ikke relevant",S19="X"))),V19/4,0)</f>
        <v>0</v>
      </c>
      <c r="EK19" s="283">
        <f>IF(AND(Stamoplysninger!$B$26="Weekendtimer og weekendtillæg afspadseres.",I19="X"),K19*1.5,0)</f>
        <v>0</v>
      </c>
      <c r="EL19" s="251">
        <f>IF(AND(AND(Stamoplysninger!$B$26="Weekendtimer og weekendtillæg afspadseres.",I19="X",S19="X")),V19*1.5,0)</f>
        <v>0</v>
      </c>
      <c r="EM19" s="674">
        <f>IF(AND(AND(Stamoplysninger!$B$26="Weekendtimer og weekendtillæg afspadseres.",I19="X",C19="ikke relevant")),K19*1.5,0)</f>
        <v>0</v>
      </c>
      <c r="EN19" s="675">
        <f>IF(AND(AND(AND(Stamoplysninger!$B$26="Weekendtimer og weekendtillæg afspadseres.",I19="X",C19="ikke relevant",S19="X"))),(V19*1.5),0)</f>
        <v>0</v>
      </c>
      <c r="EO19" s="283">
        <f>IF(AND(Stamoplysninger!$B$26="Weekendtimer og weekendtillæg udbetales.",I19="X"),K19*1.5,0)</f>
        <v>0</v>
      </c>
      <c r="EP19" s="251">
        <f>IF(AND(AND(Stamoplysninger!$B$26="Weekendtimer og weekendtillæg udbetales.",I19="X",S19="X")),V19*1.5,0)</f>
        <v>0</v>
      </c>
      <c r="EQ19" s="674">
        <f>IF(AND(AND(Stamoplysninger!$B$26="Weekendtimer og weekendtillæg udbetales.",I19="X",C19="ikke relevant")),K19*1.5,0)</f>
        <v>0</v>
      </c>
      <c r="ER19" s="675">
        <f>IF(AND(AND(AND(Stamoplysninger!$B$26="Weekendtimer og weekendtillæg udbetales.",I19="X",C19="ikke relevant",S19="X"))),(V19*1.5),0)</f>
        <v>0</v>
      </c>
      <c r="ES19" s="283">
        <f>IF(AND(Stamoplysninger!$B$26="Der er indgået lokalaftale omkring weekendtimer.(Kræver aftale med TR/FSL) Weekendtillæg afspadseres.",I19="X"),K19*0.5,0)</f>
        <v>0</v>
      </c>
      <c r="ET19" s="251">
        <f>IF(AND(AND(Stamoplysninger!$B$26="Der er indgået lokalaftale omkring weekendtimer.(Kræver aftale med TR/FSL) Weekendtillæg afspadseres.",I19="X",S19="X")),V19*0.5,0)</f>
        <v>0</v>
      </c>
      <c r="EU19" s="674">
        <f>IF(AND(AND(Stamoplysninger!$B$26="Der er indgået lokalaftale omkring weekendtimer.(Kræver aftale med TR/FSL) Weekendtillæg afspadseres.",I19="X",C19="ikke relevant")),K19*0.5,0)</f>
        <v>0</v>
      </c>
      <c r="EV19" s="675">
        <f>IF(AND(AND(AND(Stamoplysninger!$B$26="Der er indgået lokalaftale omkring weekendtimer.(Kræver aftale med TR/FSL) Weekendtillæg afspadseres.",I19="X",C19="ikke relevant",S19="X"))),(V19*0.5),0)</f>
        <v>0</v>
      </c>
      <c r="EW19" s="283">
        <f>IF(AND(Stamoplysninger!$B$26="Der er indgået lokalaftale omkring weekendtimer(Kræver aftale med TR/FSL). Weekendtillæg udbetales.",I19="X"),K19*0.5,0)</f>
        <v>0</v>
      </c>
      <c r="EX19" s="251">
        <f>IF(AND(AND(Stamoplysninger!$B$26="Der er indgået lokalaftale omkring weekendtimer(Kræver aftale med TR/FSL). Weekendtillæg udbetales.",I19="X",S19="X")),V19*0.5,0)</f>
        <v>0</v>
      </c>
      <c r="EY19" s="674">
        <f>IF(AND(AND(Stamoplysninger!$B$26="Der er indgået lokalaftale omkring weekendtimer(Kræver aftale med TR/FSL). Weekendtillæg udbetales.",I19="X",C19="ikke relevant")),K19*0.5,0)</f>
        <v>0</v>
      </c>
      <c r="EZ19" s="675">
        <f>IF(AND(AND(AND(Stamoplysninger!$B$26="Der er indgået lokalaftale omkring weekendtimer(Kræver aftale med TR/FSL). Weekendtillæg udbetales.",I19="X",C19="ikke relevant",S19="X"))),(V19*0.5),0)</f>
        <v>0</v>
      </c>
      <c r="FA19" s="283">
        <f>IF(AND(Stamoplysninger!$B$26="Der er indgået lokalaftale omkring weekendtillæg(Kræver aftale med TR/FSL). Weekendtimerne afspadseres.",I19="X"),K19,0)</f>
        <v>0</v>
      </c>
      <c r="FB19" s="251">
        <f>IF(AND(AND(Stamoplysninger!$B$26="Der er indgået lokalaftale omkring weekendtillæg(Kræver aftale med TR/FSL). Weekendtimerne afspadseres.",I19="X",S19="X")),V19,0)</f>
        <v>0</v>
      </c>
      <c r="FC19" s="674">
        <f>IF(AND(AND(Stamoplysninger!$B$26="Der er indgået lokalaftale omkring weekendtillæg(Kræver aftale med TR/FSL). Weekendtimerne afspadseres..",I19="X",C19="ikke relevant")),K19,0)</f>
        <v>0</v>
      </c>
      <c r="FD19" s="675">
        <f>IF(AND(AND(AND(Stamoplysninger!$B$26="Der er indgået lokalaftale omkring weekendtillæg(Kræver aftale med TR/FSL). Weekendtimerne afspadseres.",I19="X",C19="ikke relevant",S19="X"))),(V19),0)</f>
        <v>0</v>
      </c>
      <c r="FE19" s="283">
        <f>IF(AND(Stamoplysninger!$B$26="Der er indgået lokalaftale omkring weekendtillæg(Kræver aftale med TR/FSL). Weekendtimerne udbetales.",I19="X"),K19,0)</f>
        <v>0</v>
      </c>
      <c r="FF19" s="251">
        <f>IF(AND(AND(Stamoplysninger!$B$26="Der er indgået lokalaftale omkring weekendtillæg(Kræver aftale med TR/FSL). Weekendtimerne udbetales.",I19="X",S19="X")),V19,0)</f>
        <v>0</v>
      </c>
      <c r="FG19" s="674">
        <f>IF(AND(AND(Stamoplysninger!$B$26="Der er indgået lokalaftale omkring weekendtillæg(Kræver aftale med TR/FSL). Weekendtimerne udbetales.",I19="X",C19="ikke relevant")),K19,0)</f>
        <v>0</v>
      </c>
      <c r="FH19" s="675">
        <f>IF(AND(AND(AND(Stamoplysninger!$B$26="Der er indgået lokalaftale omkring weekendtillæg(Kræver aftale med TR/FSL). Weekendtimerne udbetales.",I19="X",C19="ikke relevant",S19="X"))),(V19),0)</f>
        <v>0</v>
      </c>
      <c r="FI19" s="283">
        <f>IF(AND(Stamoplysninger!$B$26="Weekendtimer og weekendtillæg afspadseres.",I19="X"),K19,0)</f>
        <v>0</v>
      </c>
      <c r="FJ19" s="251">
        <f>IF(AND(Stamoplysninger!$B$26="Weekendtimer og weekendtillæg afspadseres.",Y19="X"),(AA19+AL19)/2,0)</f>
        <v>0</v>
      </c>
      <c r="FK19" s="674">
        <f>IF(AND(AND(Stamoplysninger!$B$26="Weekendtimer og weekendtillæg afspadseres.",I19="X",C19="ikke relevant")),K19,0)</f>
        <v>0</v>
      </c>
      <c r="FL19" s="675">
        <f>IF(AND(AND(Stamoplysninger!$B$26="Weekendtimer og weekendtillæg afspadseres.",Y19="X",S19="ikke relevant")),(AA19+AL19)/2,0)</f>
        <v>0</v>
      </c>
      <c r="FM19" s="283">
        <f>IF(AND(Stamoplysninger!$B$26="Der er indgået lokalaftale omkring weekendtillæg(Kræver aftale med TR/FSL). Weekendtimerne afspadseres.",I19="X"),K19,0)</f>
        <v>0</v>
      </c>
      <c r="FN19" s="674">
        <f>IF(AND(AND(Stamoplysninger!$B$26="Der er indgået lokalaftale omkring weekendtillæg(Kræver aftale med TR/FSL). Weekendtimerne afspadseres.",I19="X",C19="ikke relevant")),K19,0)</f>
        <v>0</v>
      </c>
      <c r="FO19" s="283">
        <f>IF(AND(Stamoplysninger!$B$26="Weekendtimer og weekendtillæg udbetales.",I19="X"),K19,0)</f>
        <v>0</v>
      </c>
      <c r="FP19" s="251">
        <f>IF(AND(Stamoplysninger!$B$26="Weekendtimer og weekendtillæg udbetales.",AA19="X"),(AC19+AN19)/2,0)</f>
        <v>0</v>
      </c>
      <c r="FQ19" s="674">
        <f>IF(AND(AND(Stamoplysninger!$B$26="Weekendtimer og weekendtillæg udbetales.",I19="X",C19="ikke relevant")),K19,0)</f>
        <v>0</v>
      </c>
      <c r="FR19" s="688">
        <f>IF(AND(AND(Stamoplysninger!$B$26="Weekendtimer og weekendtillæg udbetales.",AA19="X",U19="ikke relevant")),(AC19+AN19)/2,0)</f>
        <v>0</v>
      </c>
      <c r="FS19" s="283">
        <f t="shared" si="14"/>
        <v>0</v>
      </c>
      <c r="FT19" s="658">
        <f t="shared" si="15"/>
        <v>0</v>
      </c>
      <c r="FU19">
        <f t="shared" si="16"/>
        <v>0</v>
      </c>
      <c r="FV19" s="283">
        <f>IF(AND(Stamoplysninger!$B$26="Der er indgået lokalaftale omkring weekendtimer.(Kræver aftale med TR/FSL) Weekendtillæg afspadseres.",I19="X"),K19,0)</f>
        <v>0</v>
      </c>
      <c r="FW19" s="674">
        <f>IF(AND(AND(Stamoplysninger!$B$26="Der er indgået lokalaftale omkring weekendtimer.(Kræver aftale med TR/FSL) Weekendtillæg afspadseres.",I19="X",C19="ikke relevant")),K19,0)</f>
        <v>0</v>
      </c>
      <c r="FX19" s="283">
        <f>IF(AND(Stamoplysninger!$B$26="Der er indgået lokalaftale omkring weekendtimer(Kræver aftale med TR/FSL). Weekendtillæg udbetales.",I19="X"),K19,0)</f>
        <v>0</v>
      </c>
      <c r="FY19" s="674">
        <f>IF(AND(AND(Stamoplysninger!$B$26="Der er indgået lokalaftale omkring weekendtimer(Kræver aftale med TR/FSL). Weekendtillæg udbetales.",I19="X",C19="ikke relevant")),K19,0)</f>
        <v>0</v>
      </c>
      <c r="FZ19" s="283">
        <f>IF(AND(Stamoplysninger!$B$26="Der er indgået lokalaftale omkring weekendtillæg(Kræver aftale med TR/FSL). Weekendtimerne udbetales.",I19="X"),K19,0)</f>
        <v>0</v>
      </c>
      <c r="GA19" s="674">
        <f>IF(AND(AND(Stamoplysninger!$B$26="Der er indgået lokalaftale omkring weekendtillæg(Kræver aftale med TR/FSL). Weekendtimerne udbetales.",I19="X",C19="ikke relevant")),K19,0)</f>
        <v>0</v>
      </c>
      <c r="GB19" s="283">
        <f>IF(AND(Stamoplysninger!$B$26="Der er indgået lokalaftale omkring weekendtimer og weekendtillæg.(Kræver aftale med TR/FSL).",I19="X"),K19,0)</f>
        <v>0</v>
      </c>
      <c r="GC19" s="674">
        <f>IF(AND(AND(Stamoplysninger!$B$26="Der er indgået lokalaftale omkring weekendtimer og weekendtillæg.(Kræver aftale med TR/FSL).",I19="X",C19="ikke relevant")),K19,0)</f>
        <v>0</v>
      </c>
    </row>
    <row r="20" spans="1:185">
      <c r="A20" s="245">
        <f>IF(ISNUMBER(A19),A19+1,1)</f>
        <v>12</v>
      </c>
      <c r="B20" s="128" t="str">
        <f t="shared" si="0"/>
        <v>ti</v>
      </c>
      <c r="C20" s="129" t="s">
        <v>206</v>
      </c>
      <c r="D20" s="130" t="str">
        <f t="shared" si="1"/>
        <v/>
      </c>
      <c r="E20" s="917"/>
      <c r="F20" s="918"/>
      <c r="G20" s="919"/>
      <c r="H20" s="298"/>
      <c r="I20" s="527"/>
      <c r="J20" s="413"/>
      <c r="K20" s="380"/>
      <c r="L20" s="380"/>
      <c r="M20" s="380"/>
      <c r="N20" s="318">
        <f t="shared" si="18"/>
        <v>7.75</v>
      </c>
      <c r="O20" s="318">
        <f t="shared" si="19"/>
        <v>4.5</v>
      </c>
      <c r="P20" s="318">
        <f>IF(Stamoplysninger!$H$29="JA",November!DG20,CX20)</f>
        <v>1</v>
      </c>
      <c r="Q20" s="318">
        <f t="shared" si="20"/>
        <v>2.25</v>
      </c>
      <c r="R20" s="319"/>
      <c r="S20" s="324"/>
      <c r="T20" s="325"/>
      <c r="U20" s="325"/>
      <c r="V20" s="435"/>
      <c r="W20" s="435"/>
      <c r="X20" s="644"/>
      <c r="Y20">
        <f t="shared" si="21"/>
        <v>0</v>
      </c>
      <c r="Z20" s="437">
        <f t="shared" si="22"/>
        <v>0</v>
      </c>
      <c r="AA20" s="1">
        <f t="shared" si="2"/>
        <v>0</v>
      </c>
      <c r="AB20" s="1">
        <f t="shared" si="3"/>
        <v>0</v>
      </c>
      <c r="AC20" s="1">
        <f t="shared" si="4"/>
        <v>0</v>
      </c>
      <c r="AD20" s="1">
        <f t="shared" si="5"/>
        <v>0</v>
      </c>
      <c r="AE20" s="1">
        <f t="shared" si="6"/>
        <v>0</v>
      </c>
      <c r="AF20" s="1">
        <f>IF(C20="Orlov",7.4*Stamoplysninger!$E$15,0)</f>
        <v>0</v>
      </c>
      <c r="AG20" t="str">
        <f>IF(AND(C20="Skema 1",B20="ma"),Arbejdstidsoversigt!$E$72,"")</f>
        <v/>
      </c>
      <c r="AH20">
        <f>IF(AND(C20="Skema 1",B20="ti"),Arbejdstidsoversigt!$E$73,"")</f>
        <v>7.75</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7.75</v>
      </c>
      <c r="BB20" s="229">
        <f t="shared" si="7"/>
        <v>186</v>
      </c>
      <c r="BC20" s="1">
        <f t="shared" si="24"/>
        <v>0</v>
      </c>
      <c r="BD20" s="1">
        <f t="shared" si="8"/>
        <v>0</v>
      </c>
      <c r="BE20" s="1">
        <f t="shared" si="9"/>
        <v>0</v>
      </c>
      <c r="BF20" s="1">
        <f t="shared" si="10"/>
        <v>0</v>
      </c>
      <c r="BG20" s="210" t="str">
        <f>IF(AND(C20="Skema 1",B20="ma"),Skemaoplysninger!$E$30,"")</f>
        <v/>
      </c>
      <c r="BH20" s="210">
        <f>IF(AND(C20="Skema 1",B20="ti"),Skemaoplysninger!$G$30,"")</f>
        <v>0.1875</v>
      </c>
      <c r="BI20" s="210" t="str">
        <f>IF(AND(C20="Skema 1",B20="on"),Skemaoplysninger!$I$30,"")</f>
        <v/>
      </c>
      <c r="BJ20" s="210" t="str">
        <f>IF(AND(C20="Skema 1",B20="to"),Skemaoplysninger!$K$30,"")</f>
        <v/>
      </c>
      <c r="BK20" s="210" t="str">
        <f>IF(AND(C20="Skema 1",B20="fr"),Skemaoplysninger!$M$30,"")</f>
        <v/>
      </c>
      <c r="BL20" s="210" t="str">
        <f>IF(AND(C20="Skema 2",B20="ma"),Skemaoplysninger!$S$30,"")</f>
        <v/>
      </c>
      <c r="BM20" s="210" t="str">
        <f>IF(AND(C20="Skema 2",B20="ti"),Skemaoplysninger!$U$30,"")</f>
        <v/>
      </c>
      <c r="BN20" s="210" t="str">
        <f>IF(AND(C20="Skema 2",B20="on"),Skemaoplysninger!$W$30,"")</f>
        <v/>
      </c>
      <c r="BO20" s="210" t="str">
        <f>IF(AND(C20="Skema 2",B20="to"),Skemaoplysninger!$Y$30,"")</f>
        <v/>
      </c>
      <c r="BP20" s="210" t="str">
        <f>IF(AND(C20="Skema 2",B20="fr"),Skemaoplysninger!$AA$30,"")</f>
        <v/>
      </c>
      <c r="BQ20" s="210" t="str">
        <f>IF(AND(C20="Skema 3",B20="ma"),Skemaoplysninger!$AG$30,"")</f>
        <v/>
      </c>
      <c r="BR20" s="210" t="str">
        <f>IF(AND(C20="Skema 3",B20="ti"),Skemaoplysninger!$AI$30,"")</f>
        <v/>
      </c>
      <c r="BS20" s="210" t="str">
        <f>IF(AND(C20="Skema 3",B20="on"),Skemaoplysninger!$AK$30,"")</f>
        <v/>
      </c>
      <c r="BT20" s="210" t="str">
        <f>IF(AND(C20="Skema 3",B20="to"),Skemaoplysninger!$AM$30,"")</f>
        <v/>
      </c>
      <c r="BU20" s="210" t="str">
        <f>IF(AND(C20="Skema 3",B20="fr"),Skemaoplysninger!$AO$30,"")</f>
        <v/>
      </c>
      <c r="BV20" s="210" t="str">
        <f>IF(AND(C20="Skema 4",B20="ma"),Skemaoplysninger!$AU$30,"")</f>
        <v/>
      </c>
      <c r="BW20" s="210" t="str">
        <f>IF(AND(C20="Skema 4",B20="ti"),Skemaoplysninger!$AW$30,"")</f>
        <v/>
      </c>
      <c r="BX20" s="210" t="str">
        <f>IF(AND(C20="Skema 4",B20="on"),Skemaoplysninger!$AY$30,"")</f>
        <v/>
      </c>
      <c r="BY20" s="210" t="str">
        <f>IF(AND(C20="Skema 4",B20="to"),Skemaoplysninger!$BA$30,"")</f>
        <v/>
      </c>
      <c r="BZ20" s="210" t="str">
        <f>IF(AND(C20="Skema 4",B20="fr"),Skemaoplysninger!$BC$30,"")</f>
        <v/>
      </c>
      <c r="CA20" s="1">
        <f t="shared" si="25"/>
        <v>4.5</v>
      </c>
      <c r="CB20" s="1">
        <f t="shared" si="11"/>
        <v>0</v>
      </c>
      <c r="CC20" s="1">
        <f t="shared" si="12"/>
        <v>0</v>
      </c>
      <c r="CD20" s="210" t="str">
        <f>IF(AND(C20="Skema 1",B20="ma"),Skemaoplysninger!$E$31,"")</f>
        <v/>
      </c>
      <c r="CE20" s="210">
        <f>IF(AND(C20="Skema 1",B20="ti"),Skemaoplysninger!$G$31,"")</f>
        <v>4.1666666666666671E-2</v>
      </c>
      <c r="CF20" s="210" t="str">
        <f>IF(AND(C20="Skema 1",B20="on"),Skemaoplysninger!$I$31,"")</f>
        <v/>
      </c>
      <c r="CG20" s="210" t="str">
        <f>IF(AND(C20="Skema 1",B20="to"),Skemaoplysninger!$K$31,"")</f>
        <v/>
      </c>
      <c r="CH20" s="210" t="str">
        <f>IF(AND(C20="Skema 1",B20="fr"),Skemaoplysninger!$M$31,"")</f>
        <v/>
      </c>
      <c r="CI20" s="210" t="str">
        <f>IF(AND(C20="Skema 2",B20="ma"),Skemaoplysninger!$S$31,"")</f>
        <v/>
      </c>
      <c r="CJ20" s="210" t="str">
        <f>IF(AND(C20="Skema 2",B20="ti"),Skemaoplysninger!$U$31,"")</f>
        <v/>
      </c>
      <c r="CK20" s="210" t="str">
        <f>IF(AND(C20="Skema 2",B20="on"),Skemaoplysninger!$W$31,"")</f>
        <v/>
      </c>
      <c r="CL20" s="210" t="str">
        <f>IF(AND(C20="Skema 2",B20="to"),Skemaoplysninger!$Y$31,"")</f>
        <v/>
      </c>
      <c r="CM20" s="210" t="str">
        <f>IF(AND(C20="Skema 2",B20="fr"),Skemaoplysninger!$AA$31,"")</f>
        <v/>
      </c>
      <c r="CN20" s="210" t="str">
        <f>IF(AND(C20="Skema 3",B20="ma"),Skemaoplysninger!$AG$31,"")</f>
        <v/>
      </c>
      <c r="CO20" s="210" t="str">
        <f>IF(AND(C20="Skema 3",B20="ti"),Skemaoplysninger!$AI$31,"")</f>
        <v/>
      </c>
      <c r="CP20" s="210" t="str">
        <f>IF(AND(C20="Skema 3",B20="on"),Skemaoplysninger!$AK$31,"")</f>
        <v/>
      </c>
      <c r="CQ20" s="210" t="str">
        <f>IF(AND(C20="Skema 3",B20="to"),Skemaoplysninger!$AM$31,"")</f>
        <v/>
      </c>
      <c r="CR20" s="210" t="str">
        <f>IF(AND(C20="Skema 3",B20="fr"),Skemaoplysninger!$AO$31,"")</f>
        <v/>
      </c>
      <c r="CS20" s="210" t="str">
        <f>IF(AND(C20="Skema 4",B20="ma"),Skemaoplysninger!$AU$31,"")</f>
        <v/>
      </c>
      <c r="CT20" s="210" t="str">
        <f>IF(AND(C20="Skema 4",B20="ti"),Skemaoplysninger!$AW$31,"")</f>
        <v/>
      </c>
      <c r="CU20" s="210" t="str">
        <f>IF(AND(C20="Skema 4",B20="on"),Skemaoplysninger!$AY$31,"")</f>
        <v/>
      </c>
      <c r="CV20" s="210" t="str">
        <f>IF(AND(C20="Skema 4",B20="to"),Skemaoplysninger!$BA$31,"")</f>
        <v/>
      </c>
      <c r="CW20" s="210" t="str">
        <f>IF(AND(C20="Skema 4",B20="fr"),Skemaoplysninger!$BC$31,"")</f>
        <v/>
      </c>
      <c r="CX20" s="249">
        <f>IF(Stamoplysninger!$H$29="NEJ",SUM(CD20:CW20)*24+CB20+CC20,0)</f>
        <v>1</v>
      </c>
      <c r="CY20" s="249">
        <f>IF(C20="Skema 1",Stamoplysninger!$H$30/200,0)</f>
        <v>0</v>
      </c>
      <c r="CZ20" s="249">
        <f>IF(C20="Skema 2",Stamoplysninger!$H$30/200,0)</f>
        <v>0</v>
      </c>
      <c r="DA20" s="249">
        <f>IF(C20="Skema 3",Stamoplysninger!$H$30/200,0)</f>
        <v>0</v>
      </c>
      <c r="DB20" s="249">
        <f>IF(C20="Skema 4",Stamoplysninger!$H$30/200,0)</f>
        <v>0</v>
      </c>
      <c r="DC20" s="249">
        <f>IF(C20="fagdag",Stamoplysninger!$H$30/200,0)</f>
        <v>0</v>
      </c>
      <c r="DD20" s="249">
        <f>IF(C20="emnedag",Stamoplysninger!$H$30/200,0)</f>
        <v>0</v>
      </c>
      <c r="DE20" s="249">
        <f>IF(C20="lejrskole",Stamoplysninger!$H$30/200,0)</f>
        <v>0</v>
      </c>
      <c r="DF20" s="249">
        <f>IF(C20="ekskursion",Stamoplysninger!$H$30/200,0)</f>
        <v>0</v>
      </c>
      <c r="DG20" s="249">
        <f t="shared" si="26"/>
        <v>0</v>
      </c>
      <c r="DH20" t="str">
        <f t="shared" si="27"/>
        <v/>
      </c>
      <c r="DI20">
        <f t="shared" si="28"/>
        <v>0</v>
      </c>
      <c r="DJ20">
        <f t="shared" si="29"/>
        <v>0</v>
      </c>
      <c r="DK20" t="str">
        <f t="shared" si="13"/>
        <v/>
      </c>
      <c r="DL20" t="str">
        <f t="shared" si="13"/>
        <v/>
      </c>
      <c r="DM20" t="str">
        <f t="shared" si="13"/>
        <v/>
      </c>
      <c r="DN20" t="str">
        <f t="shared" si="30"/>
        <v/>
      </c>
      <c r="DO20" s="652">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71">
        <f>IF(AND(Stamoplysninger!$B$22="Ulempetillæg udbetales med 25% af nettotimelønnen.",C20="ikke relevant"),(R20)/4,0)</f>
        <v>0</v>
      </c>
      <c r="DT20" s="671">
        <f>IF(AND(AND(Stamoplysninger!$B$22="Ulempetillæg udbetales med 25% af nettotimelønnen.",I20="X",C20="Ikke relevant")),K20/4,0)</f>
        <v>0</v>
      </c>
      <c r="DU20" s="671">
        <f>IF(AND(AND(Stamoplysninger!$B$22="Ulempetillæg udbetales med 25% af nettotimelønnen.",C20="ikke relevant",U20="X")),(X20/4),0)</f>
        <v>0</v>
      </c>
      <c r="DV20" s="672">
        <f>IF(AND(AND(AND(Stamoplysninger!$B$22="Ulempetillæg udbetales med 25% af nettotimelønnen.",I20="X",C20="Ikke relevant",S20="X"))),V20/4,0)</f>
        <v>0</v>
      </c>
      <c r="DW20" s="652"/>
      <c r="DZ20" s="671"/>
      <c r="EA20" s="671"/>
      <c r="EB20" s="672"/>
      <c r="EC20" s="652">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71">
        <f>IF(AND(Stamoplysninger!$B$22="Ulempetillæg afspadseres med 25%(Kræver en aftale imellem ledelsen og den ansatte)",C20="ikke relevant"),(R20)/4,0)</f>
        <v>0</v>
      </c>
      <c r="EH20" s="671">
        <f>IF(AND(AND(Stamoplysninger!$B$22="Ulempetillæg afspadseres med 25%(Kræver en aftale imellem ledelsen og den ansatte)",I20="X",C20="Ikke relevant")),K20/4,0)</f>
        <v>0</v>
      </c>
      <c r="EI20" s="671">
        <f>IF(AND(AND(Stamoplysninger!$B$22="Ulempetillæg afspadseres med 25%(Kræver en aftale imellem ledelsen og den ansatte)",U20="X",C20="Ikke relevant")),X20/4,0)</f>
        <v>0</v>
      </c>
      <c r="EJ20" s="671">
        <f>IF(AND(AND(AND(Stamoplysninger!$B$22="Ulempetillæg afspadseres med 25%(Kræver en aftale imellem ledelsen og den ansatte)",I20="X",C20="Ikke relevant",S20="X"))),V20/4,0)</f>
        <v>0</v>
      </c>
      <c r="EK20" s="283">
        <f>IF(AND(Stamoplysninger!$B$26="Weekendtimer og weekendtillæg afspadseres.",I20="X"),K20*1.5,0)</f>
        <v>0</v>
      </c>
      <c r="EL20" s="251">
        <f>IF(AND(AND(Stamoplysninger!$B$26="Weekendtimer og weekendtillæg afspadseres.",I20="X",S20="X")),V20*1.5,0)</f>
        <v>0</v>
      </c>
      <c r="EM20" s="674">
        <f>IF(AND(AND(Stamoplysninger!$B$26="Weekendtimer og weekendtillæg afspadseres.",I20="X",C20="ikke relevant")),K20*1.5,0)</f>
        <v>0</v>
      </c>
      <c r="EN20" s="675">
        <f>IF(AND(AND(AND(Stamoplysninger!$B$26="Weekendtimer og weekendtillæg afspadseres.",I20="X",C20="ikke relevant",S20="X"))),(V20*1.5),0)</f>
        <v>0</v>
      </c>
      <c r="EO20" s="283">
        <f>IF(AND(Stamoplysninger!$B$26="Weekendtimer og weekendtillæg udbetales.",I20="X"),K20*1.5,0)</f>
        <v>0</v>
      </c>
      <c r="EP20" s="251">
        <f>IF(AND(AND(Stamoplysninger!$B$26="Weekendtimer og weekendtillæg udbetales.",I20="X",S20="X")),V20*1.5,0)</f>
        <v>0</v>
      </c>
      <c r="EQ20" s="674">
        <f>IF(AND(AND(Stamoplysninger!$B$26="Weekendtimer og weekendtillæg udbetales.",I20="X",C20="ikke relevant")),K20*1.5,0)</f>
        <v>0</v>
      </c>
      <c r="ER20" s="675">
        <f>IF(AND(AND(AND(Stamoplysninger!$B$26="Weekendtimer og weekendtillæg udbetales.",I20="X",C20="ikke relevant",S20="X"))),(V20*1.5),0)</f>
        <v>0</v>
      </c>
      <c r="ES20" s="283">
        <f>IF(AND(Stamoplysninger!$B$26="Der er indgået lokalaftale omkring weekendtimer.(Kræver aftale med TR/FSL) Weekendtillæg afspadseres.",I20="X"),K20*0.5,0)</f>
        <v>0</v>
      </c>
      <c r="ET20" s="251">
        <f>IF(AND(AND(Stamoplysninger!$B$26="Der er indgået lokalaftale omkring weekendtimer.(Kræver aftale med TR/FSL) Weekendtillæg afspadseres.",I20="X",S20="X")),V20*0.5,0)</f>
        <v>0</v>
      </c>
      <c r="EU20" s="674">
        <f>IF(AND(AND(Stamoplysninger!$B$26="Der er indgået lokalaftale omkring weekendtimer.(Kræver aftale med TR/FSL) Weekendtillæg afspadseres.",I20="X",C20="ikke relevant")),K20*0.5,0)</f>
        <v>0</v>
      </c>
      <c r="EV20" s="675">
        <f>IF(AND(AND(AND(Stamoplysninger!$B$26="Der er indgået lokalaftale omkring weekendtimer.(Kræver aftale med TR/FSL) Weekendtillæg afspadseres.",I20="X",C20="ikke relevant",S20="X"))),(V20*0.5),0)</f>
        <v>0</v>
      </c>
      <c r="EW20" s="283">
        <f>IF(AND(Stamoplysninger!$B$26="Der er indgået lokalaftale omkring weekendtimer(Kræver aftale med TR/FSL). Weekendtillæg udbetales.",I20="X"),K20*0.5,0)</f>
        <v>0</v>
      </c>
      <c r="EX20" s="251">
        <f>IF(AND(AND(Stamoplysninger!$B$26="Der er indgået lokalaftale omkring weekendtimer(Kræver aftale med TR/FSL). Weekendtillæg udbetales.",I20="X",S20="X")),V20*0.5,0)</f>
        <v>0</v>
      </c>
      <c r="EY20" s="674">
        <f>IF(AND(AND(Stamoplysninger!$B$26="Der er indgået lokalaftale omkring weekendtimer(Kræver aftale med TR/FSL). Weekendtillæg udbetales.",I20="X",C20="ikke relevant")),K20*0.5,0)</f>
        <v>0</v>
      </c>
      <c r="EZ20" s="675">
        <f>IF(AND(AND(AND(Stamoplysninger!$B$26="Der er indgået lokalaftale omkring weekendtimer(Kræver aftale med TR/FSL). Weekendtillæg udbetales.",I20="X",C20="ikke relevant",S20="X"))),(V20*0.5),0)</f>
        <v>0</v>
      </c>
      <c r="FA20" s="283">
        <f>IF(AND(Stamoplysninger!$B$26="Der er indgået lokalaftale omkring weekendtillæg(Kræver aftale med TR/FSL). Weekendtimerne afspadseres.",I20="X"),K20,0)</f>
        <v>0</v>
      </c>
      <c r="FB20" s="251">
        <f>IF(AND(AND(Stamoplysninger!$B$26="Der er indgået lokalaftale omkring weekendtillæg(Kræver aftale med TR/FSL). Weekendtimerne afspadseres.",I20="X",S20="X")),V20,0)</f>
        <v>0</v>
      </c>
      <c r="FC20" s="674">
        <f>IF(AND(AND(Stamoplysninger!$B$26="Der er indgået lokalaftale omkring weekendtillæg(Kræver aftale med TR/FSL). Weekendtimerne afspadseres..",I20="X",C20="ikke relevant")),K20,0)</f>
        <v>0</v>
      </c>
      <c r="FD20" s="675">
        <f>IF(AND(AND(AND(Stamoplysninger!$B$26="Der er indgået lokalaftale omkring weekendtillæg(Kræver aftale med TR/FSL). Weekendtimerne afspadseres.",I20="X",C20="ikke relevant",S20="X"))),(V20),0)</f>
        <v>0</v>
      </c>
      <c r="FE20" s="283">
        <f>IF(AND(Stamoplysninger!$B$26="Der er indgået lokalaftale omkring weekendtillæg(Kræver aftale med TR/FSL). Weekendtimerne udbetales.",I20="X"),K20,0)</f>
        <v>0</v>
      </c>
      <c r="FF20" s="251">
        <f>IF(AND(AND(Stamoplysninger!$B$26="Der er indgået lokalaftale omkring weekendtillæg(Kræver aftale med TR/FSL). Weekendtimerne udbetales.",I20="X",S20="X")),V20,0)</f>
        <v>0</v>
      </c>
      <c r="FG20" s="674">
        <f>IF(AND(AND(Stamoplysninger!$B$26="Der er indgået lokalaftale omkring weekendtillæg(Kræver aftale med TR/FSL). Weekendtimerne udbetales.",I20="X",C20="ikke relevant")),K20,0)</f>
        <v>0</v>
      </c>
      <c r="FH20" s="675">
        <f>IF(AND(AND(AND(Stamoplysninger!$B$26="Der er indgået lokalaftale omkring weekendtillæg(Kræver aftale med TR/FSL). Weekendtimerne udbetales.",I20="X",C20="ikke relevant",S20="X"))),(V20),0)</f>
        <v>0</v>
      </c>
      <c r="FI20" s="283">
        <f>IF(AND(Stamoplysninger!$B$26="Weekendtimer og weekendtillæg afspadseres.",I20="X"),K20,0)</f>
        <v>0</v>
      </c>
      <c r="FJ20" s="251">
        <f>IF(AND(Stamoplysninger!$B$26="Weekendtimer og weekendtillæg afspadseres.",Y20="X"),(AA20+AL20)/2,0)</f>
        <v>0</v>
      </c>
      <c r="FK20" s="674">
        <f>IF(AND(AND(Stamoplysninger!$B$26="Weekendtimer og weekendtillæg afspadseres.",I20="X",C20="ikke relevant")),K20,0)</f>
        <v>0</v>
      </c>
      <c r="FL20" s="675">
        <f>IF(AND(AND(Stamoplysninger!$B$26="Weekendtimer og weekendtillæg afspadseres.",Y20="X",S20="ikke relevant")),(AA20+AL20)/2,0)</f>
        <v>0</v>
      </c>
      <c r="FM20" s="283">
        <f>IF(AND(Stamoplysninger!$B$26="Der er indgået lokalaftale omkring weekendtillæg(Kræver aftale med TR/FSL). Weekendtimerne afspadseres.",I20="X"),K20,0)</f>
        <v>0</v>
      </c>
      <c r="FN20" s="674">
        <f>IF(AND(AND(Stamoplysninger!$B$26="Der er indgået lokalaftale omkring weekendtillæg(Kræver aftale med TR/FSL). Weekendtimerne afspadseres.",I20="X",C20="ikke relevant")),K20,0)</f>
        <v>0</v>
      </c>
      <c r="FO20" s="283">
        <f>IF(AND(Stamoplysninger!$B$26="Weekendtimer og weekendtillæg udbetales.",I20="X"),K20,0)</f>
        <v>0</v>
      </c>
      <c r="FP20" s="251">
        <f>IF(AND(Stamoplysninger!$B$26="Weekendtimer og weekendtillæg udbetales.",AA20="X"),(AC20+AN20)/2,0)</f>
        <v>0</v>
      </c>
      <c r="FQ20" s="674">
        <f>IF(AND(AND(Stamoplysninger!$B$26="Weekendtimer og weekendtillæg udbetales.",I20="X",C20="ikke relevant")),K20,0)</f>
        <v>0</v>
      </c>
      <c r="FR20" s="688">
        <f>IF(AND(AND(Stamoplysninger!$B$26="Weekendtimer og weekendtillæg udbetales.",AA20="X",U20="ikke relevant")),(AC20+AN20)/2,0)</f>
        <v>0</v>
      </c>
      <c r="FS20" s="283">
        <f t="shared" si="14"/>
        <v>0</v>
      </c>
      <c r="FT20" s="658">
        <f t="shared" si="15"/>
        <v>0</v>
      </c>
      <c r="FU20">
        <f t="shared" si="16"/>
        <v>0</v>
      </c>
      <c r="FV20" s="283">
        <f>IF(AND(Stamoplysninger!$B$26="Der er indgået lokalaftale omkring weekendtimer.(Kræver aftale med TR/FSL) Weekendtillæg afspadseres.",I20="X"),K20,0)</f>
        <v>0</v>
      </c>
      <c r="FW20" s="674">
        <f>IF(AND(AND(Stamoplysninger!$B$26="Der er indgået lokalaftale omkring weekendtimer.(Kræver aftale med TR/FSL) Weekendtillæg afspadseres.",I20="X",C20="ikke relevant")),K20,0)</f>
        <v>0</v>
      </c>
      <c r="FX20" s="283">
        <f>IF(AND(Stamoplysninger!$B$26="Der er indgået lokalaftale omkring weekendtimer(Kræver aftale med TR/FSL). Weekendtillæg udbetales.",I20="X"),K20,0)</f>
        <v>0</v>
      </c>
      <c r="FY20" s="674">
        <f>IF(AND(AND(Stamoplysninger!$B$26="Der er indgået lokalaftale omkring weekendtimer(Kræver aftale med TR/FSL). Weekendtillæg udbetales.",I20="X",C20="ikke relevant")),K20,0)</f>
        <v>0</v>
      </c>
      <c r="FZ20" s="283">
        <f>IF(AND(Stamoplysninger!$B$26="Der er indgået lokalaftale omkring weekendtillæg(Kræver aftale med TR/FSL). Weekendtimerne udbetales.",I20="X"),K20,0)</f>
        <v>0</v>
      </c>
      <c r="GA20" s="674">
        <f>IF(AND(AND(Stamoplysninger!$B$26="Der er indgået lokalaftale omkring weekendtillæg(Kræver aftale med TR/FSL). Weekendtimerne udbetales.",I20="X",C20="ikke relevant")),K20,0)</f>
        <v>0</v>
      </c>
      <c r="GB20" s="283">
        <f>IF(AND(Stamoplysninger!$B$26="Der er indgået lokalaftale omkring weekendtimer og weekendtillæg.(Kræver aftale med TR/FSL).",I20="X"),K20,0)</f>
        <v>0</v>
      </c>
      <c r="GC20" s="674">
        <f>IF(AND(AND(Stamoplysninger!$B$26="Der er indgået lokalaftale omkring weekendtimer og weekendtillæg.(Kræver aftale med TR/FSL).",I20="X",C20="ikke relevant")),K20,0)</f>
        <v>0</v>
      </c>
    </row>
    <row r="21" spans="1:185">
      <c r="A21" s="245">
        <f>IF(ISNUMBER(A20),A20+1,1)</f>
        <v>13</v>
      </c>
      <c r="B21" s="128" t="str">
        <f t="shared" si="0"/>
        <v>on</v>
      </c>
      <c r="C21" s="129" t="s">
        <v>136</v>
      </c>
      <c r="D21" s="130" t="str">
        <f t="shared" si="1"/>
        <v/>
      </c>
      <c r="E21" s="949" t="s">
        <v>6</v>
      </c>
      <c r="F21" s="950"/>
      <c r="G21" s="951"/>
      <c r="H21" s="297"/>
      <c r="I21" s="527"/>
      <c r="J21" s="413"/>
      <c r="K21" s="380">
        <v>6.5</v>
      </c>
      <c r="L21" s="380">
        <v>4.5</v>
      </c>
      <c r="M21" s="380">
        <v>1</v>
      </c>
      <c r="N21" s="318">
        <f t="shared" si="18"/>
        <v>6.5</v>
      </c>
      <c r="O21" s="318">
        <f t="shared" si="19"/>
        <v>4.5</v>
      </c>
      <c r="P21" s="318">
        <f>IF(Stamoplysninger!$H$29="JA",November!DG21,CX21)</f>
        <v>1</v>
      </c>
      <c r="Q21" s="318">
        <f t="shared" si="20"/>
        <v>1</v>
      </c>
      <c r="R21" s="319"/>
      <c r="S21" s="324"/>
      <c r="T21" s="325"/>
      <c r="U21" s="325"/>
      <c r="V21" s="435"/>
      <c r="W21" s="435"/>
      <c r="X21" s="644"/>
      <c r="Y21">
        <f t="shared" si="21"/>
        <v>0</v>
      </c>
      <c r="Z21" s="437">
        <f t="shared" si="22"/>
        <v>0</v>
      </c>
      <c r="AA21" s="1">
        <f t="shared" si="2"/>
        <v>0</v>
      </c>
      <c r="AB21" s="1">
        <f t="shared" si="3"/>
        <v>6.5</v>
      </c>
      <c r="AC21" s="1">
        <f t="shared" si="4"/>
        <v>0</v>
      </c>
      <c r="AD21" s="1">
        <f t="shared" si="5"/>
        <v>0</v>
      </c>
      <c r="AE21" s="1">
        <f t="shared" si="6"/>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6.5</v>
      </c>
      <c r="BB21" s="229">
        <f t="shared" si="7"/>
        <v>0</v>
      </c>
      <c r="BC21" s="1">
        <f t="shared" si="24"/>
        <v>0</v>
      </c>
      <c r="BD21" s="1">
        <f t="shared" si="8"/>
        <v>0</v>
      </c>
      <c r="BE21" s="1">
        <f t="shared" si="9"/>
        <v>4.5</v>
      </c>
      <c r="BF21" s="1">
        <f t="shared" si="10"/>
        <v>0</v>
      </c>
      <c r="BG21" s="210" t="str">
        <f>IF(AND(C21="Skema 1",B21="ma"),Skemaoplysninger!$E$30,"")</f>
        <v/>
      </c>
      <c r="BH21" s="210" t="str">
        <f>IF(AND(C21="Skema 1",B21="ti"),Skemaoplysninger!$G$30,"")</f>
        <v/>
      </c>
      <c r="BI21" s="210" t="str">
        <f>IF(AND(C21="Skema 1",B21="on"),Skemaoplysninger!$I$30,"")</f>
        <v/>
      </c>
      <c r="BJ21" s="210" t="str">
        <f>IF(AND(C21="Skema 1",B21="to"),Skemaoplysninger!$K$30,"")</f>
        <v/>
      </c>
      <c r="BK21" s="210" t="str">
        <f>IF(AND(C21="Skema 1",B21="fr"),Skemaoplysninger!$M$30,"")</f>
        <v/>
      </c>
      <c r="BL21" s="210" t="str">
        <f>IF(AND(C21="Skema 2",B21="ma"),Skemaoplysninger!$S$30,"")</f>
        <v/>
      </c>
      <c r="BM21" s="210" t="str">
        <f>IF(AND(C21="Skema 2",B21="ti"),Skemaoplysninger!$U$30,"")</f>
        <v/>
      </c>
      <c r="BN21" s="210" t="str">
        <f>IF(AND(C21="Skema 2",B21="on"),Skemaoplysninger!$W$30,"")</f>
        <v/>
      </c>
      <c r="BO21" s="210" t="str">
        <f>IF(AND(C21="Skema 2",B21="to"),Skemaoplysninger!$Y$30,"")</f>
        <v/>
      </c>
      <c r="BP21" s="210" t="str">
        <f>IF(AND(C21="Skema 2",B21="fr"),Skemaoplysninger!$AA$30,"")</f>
        <v/>
      </c>
      <c r="BQ21" s="210" t="str">
        <f>IF(AND(C21="Skema 3",B21="ma"),Skemaoplysninger!$AG$30,"")</f>
        <v/>
      </c>
      <c r="BR21" s="210" t="str">
        <f>IF(AND(C21="Skema 3",B21="ti"),Skemaoplysninger!$AI$30,"")</f>
        <v/>
      </c>
      <c r="BS21" s="210" t="str">
        <f>IF(AND(C21="Skema 3",B21="on"),Skemaoplysninger!$AK$30,"")</f>
        <v/>
      </c>
      <c r="BT21" s="210" t="str">
        <f>IF(AND(C21="Skema 3",B21="to"),Skemaoplysninger!$AM$30,"")</f>
        <v/>
      </c>
      <c r="BU21" s="210" t="str">
        <f>IF(AND(C21="Skema 3",B21="fr"),Skemaoplysninger!$AO$30,"")</f>
        <v/>
      </c>
      <c r="BV21" s="210" t="str">
        <f>IF(AND(C21="Skema 4",B21="ma"),Skemaoplysninger!$AU$30,"")</f>
        <v/>
      </c>
      <c r="BW21" s="210" t="str">
        <f>IF(AND(C21="Skema 4",B21="ti"),Skemaoplysninger!$AW$30,"")</f>
        <v/>
      </c>
      <c r="BX21" s="210" t="str">
        <f>IF(AND(C21="Skema 4",B21="on"),Skemaoplysninger!$AY$30,"")</f>
        <v/>
      </c>
      <c r="BY21" s="210" t="str">
        <f>IF(AND(C21="Skema 4",B21="to"),Skemaoplysninger!$BA$30,"")</f>
        <v/>
      </c>
      <c r="BZ21" s="210" t="str">
        <f>IF(AND(C21="Skema 4",B21="fr"),Skemaoplysninger!$BC$30,"")</f>
        <v/>
      </c>
      <c r="CA21" s="1">
        <f t="shared" si="25"/>
        <v>4.5</v>
      </c>
      <c r="CB21" s="1">
        <f t="shared" si="11"/>
        <v>1</v>
      </c>
      <c r="CC21" s="1">
        <f t="shared" si="12"/>
        <v>0</v>
      </c>
      <c r="CD21" s="210" t="str">
        <f>IF(AND(C21="Skema 1",B21="ma"),Skemaoplysninger!$E$31,"")</f>
        <v/>
      </c>
      <c r="CE21" s="210" t="str">
        <f>IF(AND(C21="Skema 1",B21="ti"),Skemaoplysninger!$G$31,"")</f>
        <v/>
      </c>
      <c r="CF21" s="210" t="str">
        <f>IF(AND(C21="Skema 1",B21="on"),Skemaoplysninger!$I$31,"")</f>
        <v/>
      </c>
      <c r="CG21" s="210" t="str">
        <f>IF(AND(C21="Skema 1",B21="to"),Skemaoplysninger!$K$31,"")</f>
        <v/>
      </c>
      <c r="CH21" s="210" t="str">
        <f>IF(AND(C21="Skema 1",B21="fr"),Skemaoplysninger!$M$31,"")</f>
        <v/>
      </c>
      <c r="CI21" s="210" t="str">
        <f>IF(AND(C21="Skema 2",B21="ma"),Skemaoplysninger!$S$31,"")</f>
        <v/>
      </c>
      <c r="CJ21" s="210" t="str">
        <f>IF(AND(C21="Skema 2",B21="ti"),Skemaoplysninger!$U$31,"")</f>
        <v/>
      </c>
      <c r="CK21" s="210" t="str">
        <f>IF(AND(C21="Skema 2",B21="on"),Skemaoplysninger!$W$31,"")</f>
        <v/>
      </c>
      <c r="CL21" s="210" t="str">
        <f>IF(AND(C21="Skema 2",B21="to"),Skemaoplysninger!$Y$31,"")</f>
        <v/>
      </c>
      <c r="CM21" s="210" t="str">
        <f>IF(AND(C21="Skema 2",B21="fr"),Skemaoplysninger!$AA$31,"")</f>
        <v/>
      </c>
      <c r="CN21" s="210" t="str">
        <f>IF(AND(C21="Skema 3",B21="ma"),Skemaoplysninger!$AG$31,"")</f>
        <v/>
      </c>
      <c r="CO21" s="210" t="str">
        <f>IF(AND(C21="Skema 3",B21="ti"),Skemaoplysninger!$AI$31,"")</f>
        <v/>
      </c>
      <c r="CP21" s="210" t="str">
        <f>IF(AND(C21="Skema 3",B21="on"),Skemaoplysninger!$AK$31,"")</f>
        <v/>
      </c>
      <c r="CQ21" s="210" t="str">
        <f>IF(AND(C21="Skema 3",B21="to"),Skemaoplysninger!$AM$31,"")</f>
        <v/>
      </c>
      <c r="CR21" s="210" t="str">
        <f>IF(AND(C21="Skema 3",B21="fr"),Skemaoplysninger!$AO$31,"")</f>
        <v/>
      </c>
      <c r="CS21" s="210" t="str">
        <f>IF(AND(C21="Skema 4",B21="ma"),Skemaoplysninger!$AU$31,"")</f>
        <v/>
      </c>
      <c r="CT21" s="210" t="str">
        <f>IF(AND(C21="Skema 4",B21="ti"),Skemaoplysninger!$AW$31,"")</f>
        <v/>
      </c>
      <c r="CU21" s="210" t="str">
        <f>IF(AND(C21="Skema 4",B21="on"),Skemaoplysninger!$AY$31,"")</f>
        <v/>
      </c>
      <c r="CV21" s="210" t="str">
        <f>IF(AND(C21="Skema 4",B21="to"),Skemaoplysninger!$BA$31,"")</f>
        <v/>
      </c>
      <c r="CW21" s="210" t="str">
        <f>IF(AND(C21="Skema 4",B21="fr"),Skemaoplysninger!$BC$31,"")</f>
        <v/>
      </c>
      <c r="CX21" s="249">
        <f>IF(Stamoplysninger!$H$29="NEJ",SUM(CD21:CW21)*24+CB21+CC21,0)</f>
        <v>1</v>
      </c>
      <c r="CY21" s="249">
        <f>IF(C21="Skema 1",Stamoplysninger!$H$30/200,0)</f>
        <v>0</v>
      </c>
      <c r="CZ21" s="249">
        <f>IF(C21="Skema 2",Stamoplysninger!$H$30/200,0)</f>
        <v>0</v>
      </c>
      <c r="DA21" s="249">
        <f>IF(C21="Skema 3",Stamoplysninger!$H$30/200,0)</f>
        <v>0</v>
      </c>
      <c r="DB21" s="249">
        <f>IF(C21="Skema 4",Stamoplysninger!$H$30/200,0)</f>
        <v>0</v>
      </c>
      <c r="DC21" s="249">
        <f>IF(C21="fagdag",Stamoplysninger!$H$30/200,0)</f>
        <v>0</v>
      </c>
      <c r="DD21" s="249">
        <f>IF(C21="emnedag",Stamoplysninger!$H$30/200,0)</f>
        <v>0</v>
      </c>
      <c r="DE21" s="249">
        <f>IF(C21="lejrskole",Stamoplysninger!$H$30/200,0)</f>
        <v>0</v>
      </c>
      <c r="DF21" s="249">
        <f>IF(C21="ekskursion",Stamoplysninger!$H$30/200,0)</f>
        <v>0</v>
      </c>
      <c r="DG21" s="249">
        <f t="shared" si="26"/>
        <v>0</v>
      </c>
      <c r="DH21" t="str">
        <f t="shared" si="27"/>
        <v/>
      </c>
      <c r="DI21" t="str">
        <f t="shared" si="28"/>
        <v>Matematik</v>
      </c>
      <c r="DJ21" t="str">
        <f t="shared" si="29"/>
        <v/>
      </c>
      <c r="DK21" t="str">
        <f t="shared" si="13"/>
        <v/>
      </c>
      <c r="DL21" t="str">
        <f t="shared" si="13"/>
        <v>Matematik</v>
      </c>
      <c r="DM21" t="str">
        <f t="shared" si="13"/>
        <v/>
      </c>
      <c r="DN21" t="str">
        <f t="shared" si="30"/>
        <v>Matematik</v>
      </c>
      <c r="DO21" s="652">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71">
        <f>IF(AND(Stamoplysninger!$B$22="Ulempetillæg udbetales med 25% af nettotimelønnen.",C21="ikke relevant"),(R21)/4,0)</f>
        <v>0</v>
      </c>
      <c r="DT21" s="671">
        <f>IF(AND(AND(Stamoplysninger!$B$22="Ulempetillæg udbetales med 25% af nettotimelønnen.",I21="X",C21="Ikke relevant")),K21/4,0)</f>
        <v>0</v>
      </c>
      <c r="DU21" s="671">
        <f>IF(AND(AND(Stamoplysninger!$B$22="Ulempetillæg udbetales med 25% af nettotimelønnen.",C21="ikke relevant",U21="X")),(X21/4),0)</f>
        <v>0</v>
      </c>
      <c r="DV21" s="672">
        <f>IF(AND(AND(AND(Stamoplysninger!$B$22="Ulempetillæg udbetales med 25% af nettotimelønnen.",I21="X",C21="Ikke relevant",S21="X"))),V21/4,0)</f>
        <v>0</v>
      </c>
      <c r="DW21" s="652"/>
      <c r="DZ21" s="671"/>
      <c r="EA21" s="671"/>
      <c r="EB21" s="672"/>
      <c r="EC21" s="652">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71">
        <f>IF(AND(Stamoplysninger!$B$22="Ulempetillæg afspadseres med 25%(Kræver en aftale imellem ledelsen og den ansatte)",C21="ikke relevant"),(R21)/4,0)</f>
        <v>0</v>
      </c>
      <c r="EH21" s="671">
        <f>IF(AND(AND(Stamoplysninger!$B$22="Ulempetillæg afspadseres med 25%(Kræver en aftale imellem ledelsen og den ansatte)",I21="X",C21="Ikke relevant")),K21/4,0)</f>
        <v>0</v>
      </c>
      <c r="EI21" s="671">
        <f>IF(AND(AND(Stamoplysninger!$B$22="Ulempetillæg afspadseres med 25%(Kræver en aftale imellem ledelsen og den ansatte)",U21="X",C21="Ikke relevant")),X21/4,0)</f>
        <v>0</v>
      </c>
      <c r="EJ21" s="671">
        <f>IF(AND(AND(AND(Stamoplysninger!$B$22="Ulempetillæg afspadseres med 25%(Kræver en aftale imellem ledelsen og den ansatte)",I21="X",C21="Ikke relevant",S21="X"))),V21/4,0)</f>
        <v>0</v>
      </c>
      <c r="EK21" s="283">
        <f>IF(AND(Stamoplysninger!$B$26="Weekendtimer og weekendtillæg afspadseres.",I21="X"),K21*1.5,0)</f>
        <v>0</v>
      </c>
      <c r="EL21" s="251">
        <f>IF(AND(AND(Stamoplysninger!$B$26="Weekendtimer og weekendtillæg afspadseres.",I21="X",S21="X")),V21*1.5,0)</f>
        <v>0</v>
      </c>
      <c r="EM21" s="674">
        <f>IF(AND(AND(Stamoplysninger!$B$26="Weekendtimer og weekendtillæg afspadseres.",I21="X",C21="ikke relevant")),K21*1.5,0)</f>
        <v>0</v>
      </c>
      <c r="EN21" s="675">
        <f>IF(AND(AND(AND(Stamoplysninger!$B$26="Weekendtimer og weekendtillæg afspadseres.",I21="X",C21="ikke relevant",S21="X"))),(V21*1.5),0)</f>
        <v>0</v>
      </c>
      <c r="EO21" s="283">
        <f>IF(AND(Stamoplysninger!$B$26="Weekendtimer og weekendtillæg udbetales.",I21="X"),K21*1.5,0)</f>
        <v>0</v>
      </c>
      <c r="EP21" s="251">
        <f>IF(AND(AND(Stamoplysninger!$B$26="Weekendtimer og weekendtillæg udbetales.",I21="X",S21="X")),V21*1.5,0)</f>
        <v>0</v>
      </c>
      <c r="EQ21" s="674">
        <f>IF(AND(AND(Stamoplysninger!$B$26="Weekendtimer og weekendtillæg udbetales.",I21="X",C21="ikke relevant")),K21*1.5,0)</f>
        <v>0</v>
      </c>
      <c r="ER21" s="675">
        <f>IF(AND(AND(AND(Stamoplysninger!$B$26="Weekendtimer og weekendtillæg udbetales.",I21="X",C21="ikke relevant",S21="X"))),(V21*1.5),0)</f>
        <v>0</v>
      </c>
      <c r="ES21" s="283">
        <f>IF(AND(Stamoplysninger!$B$26="Der er indgået lokalaftale omkring weekendtimer.(Kræver aftale med TR/FSL) Weekendtillæg afspadseres.",I21="X"),K21*0.5,0)</f>
        <v>0</v>
      </c>
      <c r="ET21" s="251">
        <f>IF(AND(AND(Stamoplysninger!$B$26="Der er indgået lokalaftale omkring weekendtimer.(Kræver aftale med TR/FSL) Weekendtillæg afspadseres.",I21="X",S21="X")),V21*0.5,0)</f>
        <v>0</v>
      </c>
      <c r="EU21" s="674">
        <f>IF(AND(AND(Stamoplysninger!$B$26="Der er indgået lokalaftale omkring weekendtimer.(Kræver aftale med TR/FSL) Weekendtillæg afspadseres.",I21="X",C21="ikke relevant")),K21*0.5,0)</f>
        <v>0</v>
      </c>
      <c r="EV21" s="675">
        <f>IF(AND(AND(AND(Stamoplysninger!$B$26="Der er indgået lokalaftale omkring weekendtimer.(Kræver aftale med TR/FSL) Weekendtillæg afspadseres.",I21="X",C21="ikke relevant",S21="X"))),(V21*0.5),0)</f>
        <v>0</v>
      </c>
      <c r="EW21" s="283">
        <f>IF(AND(Stamoplysninger!$B$26="Der er indgået lokalaftale omkring weekendtimer(Kræver aftale med TR/FSL). Weekendtillæg udbetales.",I21="X"),K21*0.5,0)</f>
        <v>0</v>
      </c>
      <c r="EX21" s="251">
        <f>IF(AND(AND(Stamoplysninger!$B$26="Der er indgået lokalaftale omkring weekendtimer(Kræver aftale med TR/FSL). Weekendtillæg udbetales.",I21="X",S21="X")),V21*0.5,0)</f>
        <v>0</v>
      </c>
      <c r="EY21" s="674">
        <f>IF(AND(AND(Stamoplysninger!$B$26="Der er indgået lokalaftale omkring weekendtimer(Kræver aftale med TR/FSL). Weekendtillæg udbetales.",I21="X",C21="ikke relevant")),K21*0.5,0)</f>
        <v>0</v>
      </c>
      <c r="EZ21" s="675">
        <f>IF(AND(AND(AND(Stamoplysninger!$B$26="Der er indgået lokalaftale omkring weekendtimer(Kræver aftale med TR/FSL). Weekendtillæg udbetales.",I21="X",C21="ikke relevant",S21="X"))),(V21*0.5),0)</f>
        <v>0</v>
      </c>
      <c r="FA21" s="283">
        <f>IF(AND(Stamoplysninger!$B$26="Der er indgået lokalaftale omkring weekendtillæg(Kræver aftale med TR/FSL). Weekendtimerne afspadseres.",I21="X"),K21,0)</f>
        <v>0</v>
      </c>
      <c r="FB21" s="251">
        <f>IF(AND(AND(Stamoplysninger!$B$26="Der er indgået lokalaftale omkring weekendtillæg(Kræver aftale med TR/FSL). Weekendtimerne afspadseres.",I21="X",S21="X")),V21,0)</f>
        <v>0</v>
      </c>
      <c r="FC21" s="674">
        <f>IF(AND(AND(Stamoplysninger!$B$26="Der er indgået lokalaftale omkring weekendtillæg(Kræver aftale med TR/FSL). Weekendtimerne afspadseres..",I21="X",C21="ikke relevant")),K21,0)</f>
        <v>0</v>
      </c>
      <c r="FD21" s="675">
        <f>IF(AND(AND(AND(Stamoplysninger!$B$26="Der er indgået lokalaftale omkring weekendtillæg(Kræver aftale med TR/FSL). Weekendtimerne afspadseres.",I21="X",C21="ikke relevant",S21="X"))),(V21),0)</f>
        <v>0</v>
      </c>
      <c r="FE21" s="283">
        <f>IF(AND(Stamoplysninger!$B$26="Der er indgået lokalaftale omkring weekendtillæg(Kræver aftale med TR/FSL). Weekendtimerne udbetales.",I21="X"),K21,0)</f>
        <v>0</v>
      </c>
      <c r="FF21" s="251">
        <f>IF(AND(AND(Stamoplysninger!$B$26="Der er indgået lokalaftale omkring weekendtillæg(Kræver aftale med TR/FSL). Weekendtimerne udbetales.",I21="X",S21="X")),V21,0)</f>
        <v>0</v>
      </c>
      <c r="FG21" s="674">
        <f>IF(AND(AND(Stamoplysninger!$B$26="Der er indgået lokalaftale omkring weekendtillæg(Kræver aftale med TR/FSL). Weekendtimerne udbetales.",I21="X",C21="ikke relevant")),K21,0)</f>
        <v>0</v>
      </c>
      <c r="FH21" s="675">
        <f>IF(AND(AND(AND(Stamoplysninger!$B$26="Der er indgået lokalaftale omkring weekendtillæg(Kræver aftale med TR/FSL). Weekendtimerne udbetales.",I21="X",C21="ikke relevant",S21="X"))),(V21),0)</f>
        <v>0</v>
      </c>
      <c r="FI21" s="283">
        <f>IF(AND(Stamoplysninger!$B$26="Weekendtimer og weekendtillæg afspadseres.",I21="X"),K21,0)</f>
        <v>0</v>
      </c>
      <c r="FJ21" s="251">
        <f>IF(AND(Stamoplysninger!$B$26="Weekendtimer og weekendtillæg afspadseres.",Y21="X"),(AA21+AL21)/2,0)</f>
        <v>0</v>
      </c>
      <c r="FK21" s="674">
        <f>IF(AND(AND(Stamoplysninger!$B$26="Weekendtimer og weekendtillæg afspadseres.",I21="X",C21="ikke relevant")),K21,0)</f>
        <v>0</v>
      </c>
      <c r="FL21" s="675">
        <f>IF(AND(AND(Stamoplysninger!$B$26="Weekendtimer og weekendtillæg afspadseres.",Y21="X",S21="ikke relevant")),(AA21+AL21)/2,0)</f>
        <v>0</v>
      </c>
      <c r="FM21" s="283">
        <f>IF(AND(Stamoplysninger!$B$26="Der er indgået lokalaftale omkring weekendtillæg(Kræver aftale med TR/FSL). Weekendtimerne afspadseres.",I21="X"),K21,0)</f>
        <v>0</v>
      </c>
      <c r="FN21" s="674">
        <f>IF(AND(AND(Stamoplysninger!$B$26="Der er indgået lokalaftale omkring weekendtillæg(Kræver aftale med TR/FSL). Weekendtimerne afspadseres.",I21="X",C21="ikke relevant")),K21,0)</f>
        <v>0</v>
      </c>
      <c r="FO21" s="283">
        <f>IF(AND(Stamoplysninger!$B$26="Weekendtimer og weekendtillæg udbetales.",I21="X"),K21,0)</f>
        <v>0</v>
      </c>
      <c r="FP21" s="251">
        <f>IF(AND(Stamoplysninger!$B$26="Weekendtimer og weekendtillæg udbetales.",AA21="X"),(AC21+AN21)/2,0)</f>
        <v>0</v>
      </c>
      <c r="FQ21" s="674">
        <f>IF(AND(AND(Stamoplysninger!$B$26="Weekendtimer og weekendtillæg udbetales.",I21="X",C21="ikke relevant")),K21,0)</f>
        <v>0</v>
      </c>
      <c r="FR21" s="688">
        <f>IF(AND(AND(Stamoplysninger!$B$26="Weekendtimer og weekendtillæg udbetales.",AA21="X",U21="ikke relevant")),(AC21+AN21)/2,0)</f>
        <v>0</v>
      </c>
      <c r="FS21" s="283">
        <f t="shared" si="14"/>
        <v>0</v>
      </c>
      <c r="FT21" s="658">
        <f t="shared" si="15"/>
        <v>0</v>
      </c>
      <c r="FU21">
        <f t="shared" si="16"/>
        <v>0</v>
      </c>
      <c r="FV21" s="283">
        <f>IF(AND(Stamoplysninger!$B$26="Der er indgået lokalaftale omkring weekendtimer.(Kræver aftale med TR/FSL) Weekendtillæg afspadseres.",I21="X"),K21,0)</f>
        <v>0</v>
      </c>
      <c r="FW21" s="674">
        <f>IF(AND(AND(Stamoplysninger!$B$26="Der er indgået lokalaftale omkring weekendtimer.(Kræver aftale med TR/FSL) Weekendtillæg afspadseres.",I21="X",C21="ikke relevant")),K21,0)</f>
        <v>0</v>
      </c>
      <c r="FX21" s="283">
        <f>IF(AND(Stamoplysninger!$B$26="Der er indgået lokalaftale omkring weekendtimer(Kræver aftale med TR/FSL). Weekendtillæg udbetales.",I21="X"),K21,0)</f>
        <v>0</v>
      </c>
      <c r="FY21" s="674">
        <f>IF(AND(AND(Stamoplysninger!$B$26="Der er indgået lokalaftale omkring weekendtimer(Kræver aftale med TR/FSL). Weekendtillæg udbetales.",I21="X",C21="ikke relevant")),K21,0)</f>
        <v>0</v>
      </c>
      <c r="FZ21" s="283">
        <f>IF(AND(Stamoplysninger!$B$26="Der er indgået lokalaftale omkring weekendtillæg(Kræver aftale med TR/FSL). Weekendtimerne udbetales.",I21="X"),K21,0)</f>
        <v>0</v>
      </c>
      <c r="GA21" s="674">
        <f>IF(AND(AND(Stamoplysninger!$B$26="Der er indgået lokalaftale omkring weekendtillæg(Kræver aftale med TR/FSL). Weekendtimerne udbetales.",I21="X",C21="ikke relevant")),K21,0)</f>
        <v>0</v>
      </c>
      <c r="GB21" s="283">
        <f>IF(AND(Stamoplysninger!$B$26="Der er indgået lokalaftale omkring weekendtimer og weekendtillæg.(Kræver aftale med TR/FSL).",I21="X"),K21,0)</f>
        <v>0</v>
      </c>
      <c r="GC21" s="674">
        <f>IF(AND(AND(Stamoplysninger!$B$26="Der er indgået lokalaftale omkring weekendtimer og weekendtillæg.(Kræver aftale med TR/FSL).",I21="X",C21="ikke relevant")),K21,0)</f>
        <v>0</v>
      </c>
    </row>
    <row r="22" spans="1:185">
      <c r="A22" s="245">
        <f t="shared" si="17"/>
        <v>14</v>
      </c>
      <c r="B22" s="128" t="str">
        <f t="shared" si="0"/>
        <v>to</v>
      </c>
      <c r="C22" s="129" t="s">
        <v>206</v>
      </c>
      <c r="D22" s="130" t="str">
        <f t="shared" si="1"/>
        <v/>
      </c>
      <c r="E22" s="949"/>
      <c r="F22" s="950"/>
      <c r="G22" s="951"/>
      <c r="H22" s="297"/>
      <c r="I22" s="527"/>
      <c r="J22" s="413"/>
      <c r="K22" s="380"/>
      <c r="L22" s="380"/>
      <c r="M22" s="380"/>
      <c r="N22" s="318">
        <f t="shared" si="18"/>
        <v>8.5</v>
      </c>
      <c r="O22" s="318">
        <f t="shared" si="19"/>
        <v>3</v>
      </c>
      <c r="P22" s="318">
        <f>IF(Stamoplysninger!$H$29="JA",November!DG22,CX22)</f>
        <v>1.5</v>
      </c>
      <c r="Q22" s="318">
        <f t="shared" si="20"/>
        <v>4</v>
      </c>
      <c r="R22" s="319"/>
      <c r="S22" s="324"/>
      <c r="T22" s="325"/>
      <c r="U22" s="325"/>
      <c r="V22" s="435"/>
      <c r="W22" s="435"/>
      <c r="X22" s="644"/>
      <c r="Y22">
        <f t="shared" si="21"/>
        <v>0</v>
      </c>
      <c r="Z22" s="437">
        <f t="shared" si="22"/>
        <v>0</v>
      </c>
      <c r="AA22" s="1">
        <f t="shared" si="2"/>
        <v>0</v>
      </c>
      <c r="AB22" s="1">
        <f t="shared" si="3"/>
        <v>0</v>
      </c>
      <c r="AC22" s="1">
        <f t="shared" si="4"/>
        <v>0</v>
      </c>
      <c r="AD22" s="1">
        <f t="shared" si="5"/>
        <v>0</v>
      </c>
      <c r="AE22" s="1">
        <f t="shared" si="6"/>
        <v>0</v>
      </c>
      <c r="AF22" s="1">
        <f>IF(C22="Orlov",7.4*Stamoplysninger!$E$15,0)</f>
        <v>0</v>
      </c>
      <c r="AG22" t="str">
        <f>IF(AND(C22="Skema 1",B22="ma"),Arbejdstidsoversigt!$E$72,"")</f>
        <v/>
      </c>
      <c r="AH22" t="str">
        <f>IF(AND(C22="Skema 1",B22="ti"),Arbejdstidsoversigt!$E$73,"")</f>
        <v/>
      </c>
      <c r="AI22" t="str">
        <f>IF(AND(C22="Skema 1",B22="on"),Arbejdstidsoversigt!$E$74,"")</f>
        <v/>
      </c>
      <c r="AJ22">
        <f>IF(AND(C22="Skema 1",B22="to"),Arbejdstidsoversigt!$E$75,"")</f>
        <v>8.5</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8.5</v>
      </c>
      <c r="BB22" s="229">
        <f t="shared" si="7"/>
        <v>204</v>
      </c>
      <c r="BC22" s="1">
        <f t="shared" si="24"/>
        <v>0</v>
      </c>
      <c r="BD22" s="1">
        <f t="shared" si="8"/>
        <v>0</v>
      </c>
      <c r="BE22" s="1">
        <f t="shared" si="9"/>
        <v>0</v>
      </c>
      <c r="BF22" s="1">
        <f t="shared" si="10"/>
        <v>0</v>
      </c>
      <c r="BG22" s="210" t="str">
        <f>IF(AND(C22="Skema 1",B22="ma"),Skemaoplysninger!$E$30,"")</f>
        <v/>
      </c>
      <c r="BH22" s="210" t="str">
        <f>IF(AND(C22="Skema 1",B22="ti"),Skemaoplysninger!$G$30,"")</f>
        <v/>
      </c>
      <c r="BI22" s="210" t="str">
        <f>IF(AND(C22="Skema 1",B22="on"),Skemaoplysninger!$I$30,"")</f>
        <v/>
      </c>
      <c r="BJ22" s="210">
        <f>IF(AND(C22="Skema 1",B22="to"),Skemaoplysninger!$K$30,"")</f>
        <v>0.125</v>
      </c>
      <c r="BK22" s="210" t="str">
        <f>IF(AND(C22="Skema 1",B22="fr"),Skemaoplysninger!$M$30,"")</f>
        <v/>
      </c>
      <c r="BL22" s="210" t="str">
        <f>IF(AND(C22="Skema 2",B22="ma"),Skemaoplysninger!$S$30,"")</f>
        <v/>
      </c>
      <c r="BM22" s="210" t="str">
        <f>IF(AND(C22="Skema 2",B22="ti"),Skemaoplysninger!$U$30,"")</f>
        <v/>
      </c>
      <c r="BN22" s="210" t="str">
        <f>IF(AND(C22="Skema 2",B22="on"),Skemaoplysninger!$W$30,"")</f>
        <v/>
      </c>
      <c r="BO22" s="210" t="str">
        <f>IF(AND(C22="Skema 2",B22="to"),Skemaoplysninger!$Y$30,"")</f>
        <v/>
      </c>
      <c r="BP22" s="210" t="str">
        <f>IF(AND(C22="Skema 2",B22="fr"),Skemaoplysninger!$AA$30,"")</f>
        <v/>
      </c>
      <c r="BQ22" s="210" t="str">
        <f>IF(AND(C22="Skema 3",B22="ma"),Skemaoplysninger!$AG$30,"")</f>
        <v/>
      </c>
      <c r="BR22" s="210" t="str">
        <f>IF(AND(C22="Skema 3",B22="ti"),Skemaoplysninger!$AI$30,"")</f>
        <v/>
      </c>
      <c r="BS22" s="210" t="str">
        <f>IF(AND(C22="Skema 3",B22="on"),Skemaoplysninger!$AK$30,"")</f>
        <v/>
      </c>
      <c r="BT22" s="210" t="str">
        <f>IF(AND(C22="Skema 3",B22="to"),Skemaoplysninger!$AM$30,"")</f>
        <v/>
      </c>
      <c r="BU22" s="210" t="str">
        <f>IF(AND(C22="Skema 3",B22="fr"),Skemaoplysninger!$AO$30,"")</f>
        <v/>
      </c>
      <c r="BV22" s="210" t="str">
        <f>IF(AND(C22="Skema 4",B22="ma"),Skemaoplysninger!$AU$30,"")</f>
        <v/>
      </c>
      <c r="BW22" s="210" t="str">
        <f>IF(AND(C22="Skema 4",B22="ti"),Skemaoplysninger!$AW$30,"")</f>
        <v/>
      </c>
      <c r="BX22" s="210" t="str">
        <f>IF(AND(C22="Skema 4",B22="on"),Skemaoplysninger!$AY$30,"")</f>
        <v/>
      </c>
      <c r="BY22" s="210" t="str">
        <f>IF(AND(C22="Skema 4",B22="to"),Skemaoplysninger!$BA$30,"")</f>
        <v/>
      </c>
      <c r="BZ22" s="210" t="str">
        <f>IF(AND(C22="Skema 4",B22="fr"),Skemaoplysninger!$BC$30,"")</f>
        <v/>
      </c>
      <c r="CA22" s="1">
        <f t="shared" si="25"/>
        <v>3</v>
      </c>
      <c r="CB22" s="1">
        <f t="shared" si="11"/>
        <v>0</v>
      </c>
      <c r="CC22" s="1">
        <f t="shared" si="12"/>
        <v>0</v>
      </c>
      <c r="CD22" s="210" t="str">
        <f>IF(AND(C22="Skema 1",B22="ma"),Skemaoplysninger!$E$31,"")</f>
        <v/>
      </c>
      <c r="CE22" s="210" t="str">
        <f>IF(AND(C22="Skema 1",B22="ti"),Skemaoplysninger!$G$31,"")</f>
        <v/>
      </c>
      <c r="CF22" s="210" t="str">
        <f>IF(AND(C22="Skema 1",B22="on"),Skemaoplysninger!$I$31,"")</f>
        <v/>
      </c>
      <c r="CG22" s="210">
        <f>IF(AND(C22="Skema 1",B22="to"),Skemaoplysninger!$K$31,"")</f>
        <v>6.25E-2</v>
      </c>
      <c r="CH22" s="210" t="str">
        <f>IF(AND(C22="Skema 1",B22="fr"),Skemaoplysninger!$M$31,"")</f>
        <v/>
      </c>
      <c r="CI22" s="210" t="str">
        <f>IF(AND(C22="Skema 2",B22="ma"),Skemaoplysninger!$S$31,"")</f>
        <v/>
      </c>
      <c r="CJ22" s="210" t="str">
        <f>IF(AND(C22="Skema 2",B22="ti"),Skemaoplysninger!$U$31,"")</f>
        <v/>
      </c>
      <c r="CK22" s="210" t="str">
        <f>IF(AND(C22="Skema 2",B22="on"),Skemaoplysninger!$W$31,"")</f>
        <v/>
      </c>
      <c r="CL22" s="210" t="str">
        <f>IF(AND(C22="Skema 2",B22="to"),Skemaoplysninger!$Y$31,"")</f>
        <v/>
      </c>
      <c r="CM22" s="210" t="str">
        <f>IF(AND(C22="Skema 2",B22="fr"),Skemaoplysninger!$AA$31,"")</f>
        <v/>
      </c>
      <c r="CN22" s="210" t="str">
        <f>IF(AND(C22="Skema 3",B22="ma"),Skemaoplysninger!$AG$31,"")</f>
        <v/>
      </c>
      <c r="CO22" s="210" t="str">
        <f>IF(AND(C22="Skema 3",B22="ti"),Skemaoplysninger!$AI$31,"")</f>
        <v/>
      </c>
      <c r="CP22" s="210" t="str">
        <f>IF(AND(C22="Skema 3",B22="on"),Skemaoplysninger!$AK$31,"")</f>
        <v/>
      </c>
      <c r="CQ22" s="210" t="str">
        <f>IF(AND(C22="Skema 3",B22="to"),Skemaoplysninger!$AM$31,"")</f>
        <v/>
      </c>
      <c r="CR22" s="210" t="str">
        <f>IF(AND(C22="Skema 3",B22="fr"),Skemaoplysninger!$AO$31,"")</f>
        <v/>
      </c>
      <c r="CS22" s="210" t="str">
        <f>IF(AND(C22="Skema 4",B22="ma"),Skemaoplysninger!$AU$31,"")</f>
        <v/>
      </c>
      <c r="CT22" s="210" t="str">
        <f>IF(AND(C22="Skema 4",B22="ti"),Skemaoplysninger!$AW$31,"")</f>
        <v/>
      </c>
      <c r="CU22" s="210" t="str">
        <f>IF(AND(C22="Skema 4",B22="on"),Skemaoplysninger!$AY$31,"")</f>
        <v/>
      </c>
      <c r="CV22" s="210" t="str">
        <f>IF(AND(C22="Skema 4",B22="to"),Skemaoplysninger!$BA$31,"")</f>
        <v/>
      </c>
      <c r="CW22" s="210" t="str">
        <f>IF(AND(C22="Skema 4",B22="fr"),Skemaoplysninger!$BC$31,"")</f>
        <v/>
      </c>
      <c r="CX22" s="249">
        <f>IF(Stamoplysninger!$H$29="NEJ",SUM(CD22:CW22)*24+CB22+CC22,0)</f>
        <v>1.5</v>
      </c>
      <c r="CY22" s="249">
        <f>IF(C22="Skema 1",Stamoplysninger!$H$30/200,0)</f>
        <v>0</v>
      </c>
      <c r="CZ22" s="249">
        <f>IF(C22="Skema 2",Stamoplysninger!$H$30/200,0)</f>
        <v>0</v>
      </c>
      <c r="DA22" s="249">
        <f>IF(C22="Skema 3",Stamoplysninger!$H$30/200,0)</f>
        <v>0</v>
      </c>
      <c r="DB22" s="249">
        <f>IF(C22="Skema 4",Stamoplysninger!$H$30/200,0)</f>
        <v>0</v>
      </c>
      <c r="DC22" s="249">
        <f>IF(C22="fagdag",Stamoplysninger!$H$30/200,0)</f>
        <v>0</v>
      </c>
      <c r="DD22" s="249">
        <f>IF(C22="emnedag",Stamoplysninger!$H$30/200,0)</f>
        <v>0</v>
      </c>
      <c r="DE22" s="249">
        <f>IF(C22="lejrskole",Stamoplysninger!$H$30/200,0)</f>
        <v>0</v>
      </c>
      <c r="DF22" s="249">
        <f>IF(C22="ekskursion",Stamoplysninger!$H$30/200,0)</f>
        <v>0</v>
      </c>
      <c r="DG22" s="249">
        <f t="shared" si="26"/>
        <v>0</v>
      </c>
      <c r="DH22" t="str">
        <f t="shared" si="27"/>
        <v/>
      </c>
      <c r="DI22">
        <f t="shared" si="28"/>
        <v>0</v>
      </c>
      <c r="DJ22">
        <f t="shared" si="29"/>
        <v>0</v>
      </c>
      <c r="DK22" t="str">
        <f t="shared" si="13"/>
        <v/>
      </c>
      <c r="DL22" t="str">
        <f t="shared" si="13"/>
        <v/>
      </c>
      <c r="DM22" t="str">
        <f t="shared" si="13"/>
        <v/>
      </c>
      <c r="DN22" t="str">
        <f t="shared" si="30"/>
        <v/>
      </c>
      <c r="DO22" s="652">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71">
        <f>IF(AND(Stamoplysninger!$B$22="Ulempetillæg udbetales med 25% af nettotimelønnen.",C22="ikke relevant"),(R22)/4,0)</f>
        <v>0</v>
      </c>
      <c r="DT22" s="671">
        <f>IF(AND(AND(Stamoplysninger!$B$22="Ulempetillæg udbetales med 25% af nettotimelønnen.",I22="X",C22="Ikke relevant")),K22/4,0)</f>
        <v>0</v>
      </c>
      <c r="DU22" s="671">
        <f>IF(AND(AND(Stamoplysninger!$B$22="Ulempetillæg udbetales med 25% af nettotimelønnen.",C22="ikke relevant",U22="X")),(X22/4),0)</f>
        <v>0</v>
      </c>
      <c r="DV22" s="672">
        <f>IF(AND(AND(AND(Stamoplysninger!$B$22="Ulempetillæg udbetales med 25% af nettotimelønnen.",I22="X",C22="Ikke relevant",S22="X"))),V22/4,0)</f>
        <v>0</v>
      </c>
      <c r="DW22" s="652"/>
      <c r="DZ22" s="671"/>
      <c r="EA22" s="671"/>
      <c r="EB22" s="672"/>
      <c r="EC22" s="652">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71">
        <f>IF(AND(Stamoplysninger!$B$22="Ulempetillæg afspadseres med 25%(Kræver en aftale imellem ledelsen og den ansatte)",C22="ikke relevant"),(R22)/4,0)</f>
        <v>0</v>
      </c>
      <c r="EH22" s="671">
        <f>IF(AND(AND(Stamoplysninger!$B$22="Ulempetillæg afspadseres med 25%(Kræver en aftale imellem ledelsen og den ansatte)",I22="X",C22="Ikke relevant")),K22/4,0)</f>
        <v>0</v>
      </c>
      <c r="EI22" s="671">
        <f>IF(AND(AND(Stamoplysninger!$B$22="Ulempetillæg afspadseres med 25%(Kræver en aftale imellem ledelsen og den ansatte)",U22="X",C22="Ikke relevant")),X22/4,0)</f>
        <v>0</v>
      </c>
      <c r="EJ22" s="671">
        <f>IF(AND(AND(AND(Stamoplysninger!$B$22="Ulempetillæg afspadseres med 25%(Kræver en aftale imellem ledelsen og den ansatte)",I22="X",C22="Ikke relevant",S22="X"))),V22/4,0)</f>
        <v>0</v>
      </c>
      <c r="EK22" s="283">
        <f>IF(AND(Stamoplysninger!$B$26="Weekendtimer og weekendtillæg afspadseres.",I22="X"),K22*1.5,0)</f>
        <v>0</v>
      </c>
      <c r="EL22" s="251">
        <f>IF(AND(AND(Stamoplysninger!$B$26="Weekendtimer og weekendtillæg afspadseres.",I22="X",S22="X")),V22*1.5,0)</f>
        <v>0</v>
      </c>
      <c r="EM22" s="674">
        <f>IF(AND(AND(Stamoplysninger!$B$26="Weekendtimer og weekendtillæg afspadseres.",I22="X",C22="ikke relevant")),K22*1.5,0)</f>
        <v>0</v>
      </c>
      <c r="EN22" s="675">
        <f>IF(AND(AND(AND(Stamoplysninger!$B$26="Weekendtimer og weekendtillæg afspadseres.",I22="X",C22="ikke relevant",S22="X"))),(V22*1.5),0)</f>
        <v>0</v>
      </c>
      <c r="EO22" s="283">
        <f>IF(AND(Stamoplysninger!$B$26="Weekendtimer og weekendtillæg udbetales.",I22="X"),K22*1.5,0)</f>
        <v>0</v>
      </c>
      <c r="EP22" s="251">
        <f>IF(AND(AND(Stamoplysninger!$B$26="Weekendtimer og weekendtillæg udbetales.",I22="X",S22="X")),V22*1.5,0)</f>
        <v>0</v>
      </c>
      <c r="EQ22" s="674">
        <f>IF(AND(AND(Stamoplysninger!$B$26="Weekendtimer og weekendtillæg udbetales.",I22="X",C22="ikke relevant")),K22*1.5,0)</f>
        <v>0</v>
      </c>
      <c r="ER22" s="675">
        <f>IF(AND(AND(AND(Stamoplysninger!$B$26="Weekendtimer og weekendtillæg udbetales.",I22="X",C22="ikke relevant",S22="X"))),(V22*1.5),0)</f>
        <v>0</v>
      </c>
      <c r="ES22" s="283">
        <f>IF(AND(Stamoplysninger!$B$26="Der er indgået lokalaftale omkring weekendtimer.(Kræver aftale med TR/FSL) Weekendtillæg afspadseres.",I22="X"),K22*0.5,0)</f>
        <v>0</v>
      </c>
      <c r="ET22" s="251">
        <f>IF(AND(AND(Stamoplysninger!$B$26="Der er indgået lokalaftale omkring weekendtimer.(Kræver aftale med TR/FSL) Weekendtillæg afspadseres.",I22="X",S22="X")),V22*0.5,0)</f>
        <v>0</v>
      </c>
      <c r="EU22" s="674">
        <f>IF(AND(AND(Stamoplysninger!$B$26="Der er indgået lokalaftale omkring weekendtimer.(Kræver aftale med TR/FSL) Weekendtillæg afspadseres.",I22="X",C22="ikke relevant")),K22*0.5,0)</f>
        <v>0</v>
      </c>
      <c r="EV22" s="675">
        <f>IF(AND(AND(AND(Stamoplysninger!$B$26="Der er indgået lokalaftale omkring weekendtimer.(Kræver aftale med TR/FSL) Weekendtillæg afspadseres.",I22="X",C22="ikke relevant",S22="X"))),(V22*0.5),0)</f>
        <v>0</v>
      </c>
      <c r="EW22" s="283">
        <f>IF(AND(Stamoplysninger!$B$26="Der er indgået lokalaftale omkring weekendtimer(Kræver aftale med TR/FSL). Weekendtillæg udbetales.",I22="X"),K22*0.5,0)</f>
        <v>0</v>
      </c>
      <c r="EX22" s="251">
        <f>IF(AND(AND(Stamoplysninger!$B$26="Der er indgået lokalaftale omkring weekendtimer(Kræver aftale med TR/FSL). Weekendtillæg udbetales.",I22="X",S22="X")),V22*0.5,0)</f>
        <v>0</v>
      </c>
      <c r="EY22" s="674">
        <f>IF(AND(AND(Stamoplysninger!$B$26="Der er indgået lokalaftale omkring weekendtimer(Kræver aftale med TR/FSL). Weekendtillæg udbetales.",I22="X",C22="ikke relevant")),K22*0.5,0)</f>
        <v>0</v>
      </c>
      <c r="EZ22" s="675">
        <f>IF(AND(AND(AND(Stamoplysninger!$B$26="Der er indgået lokalaftale omkring weekendtimer(Kræver aftale med TR/FSL). Weekendtillæg udbetales.",I22="X",C22="ikke relevant",S22="X"))),(V22*0.5),0)</f>
        <v>0</v>
      </c>
      <c r="FA22" s="283">
        <f>IF(AND(Stamoplysninger!$B$26="Der er indgået lokalaftale omkring weekendtillæg(Kræver aftale med TR/FSL). Weekendtimerne afspadseres.",I22="X"),K22,0)</f>
        <v>0</v>
      </c>
      <c r="FB22" s="251">
        <f>IF(AND(AND(Stamoplysninger!$B$26="Der er indgået lokalaftale omkring weekendtillæg(Kræver aftale med TR/FSL). Weekendtimerne afspadseres.",I22="X",S22="X")),V22,0)</f>
        <v>0</v>
      </c>
      <c r="FC22" s="674">
        <f>IF(AND(AND(Stamoplysninger!$B$26="Der er indgået lokalaftale omkring weekendtillæg(Kræver aftale med TR/FSL). Weekendtimerne afspadseres..",I22="X",C22="ikke relevant")),K22,0)</f>
        <v>0</v>
      </c>
      <c r="FD22" s="675">
        <f>IF(AND(AND(AND(Stamoplysninger!$B$26="Der er indgået lokalaftale omkring weekendtillæg(Kræver aftale med TR/FSL). Weekendtimerne afspadseres.",I22="X",C22="ikke relevant",S22="X"))),(V22),0)</f>
        <v>0</v>
      </c>
      <c r="FE22" s="283">
        <f>IF(AND(Stamoplysninger!$B$26="Der er indgået lokalaftale omkring weekendtillæg(Kræver aftale med TR/FSL). Weekendtimerne udbetales.",I22="X"),K22,0)</f>
        <v>0</v>
      </c>
      <c r="FF22" s="251">
        <f>IF(AND(AND(Stamoplysninger!$B$26="Der er indgået lokalaftale omkring weekendtillæg(Kræver aftale med TR/FSL). Weekendtimerne udbetales.",I22="X",S22="X")),V22,0)</f>
        <v>0</v>
      </c>
      <c r="FG22" s="674">
        <f>IF(AND(AND(Stamoplysninger!$B$26="Der er indgået lokalaftale omkring weekendtillæg(Kræver aftale med TR/FSL). Weekendtimerne udbetales.",I22="X",C22="ikke relevant")),K22,0)</f>
        <v>0</v>
      </c>
      <c r="FH22" s="675">
        <f>IF(AND(AND(AND(Stamoplysninger!$B$26="Der er indgået lokalaftale omkring weekendtillæg(Kræver aftale med TR/FSL). Weekendtimerne udbetales.",I22="X",C22="ikke relevant",S22="X"))),(V22),0)</f>
        <v>0</v>
      </c>
      <c r="FI22" s="283">
        <f>IF(AND(Stamoplysninger!$B$26="Weekendtimer og weekendtillæg afspadseres.",I22="X"),K22,0)</f>
        <v>0</v>
      </c>
      <c r="FJ22" s="251">
        <f>IF(AND(Stamoplysninger!$B$26="Weekendtimer og weekendtillæg afspadseres.",Y22="X"),(AA22+AL22)/2,0)</f>
        <v>0</v>
      </c>
      <c r="FK22" s="674">
        <f>IF(AND(AND(Stamoplysninger!$B$26="Weekendtimer og weekendtillæg afspadseres.",I22="X",C22="ikke relevant")),K22,0)</f>
        <v>0</v>
      </c>
      <c r="FL22" s="675">
        <f>IF(AND(AND(Stamoplysninger!$B$26="Weekendtimer og weekendtillæg afspadseres.",Y22="X",S22="ikke relevant")),(AA22+AL22)/2,0)</f>
        <v>0</v>
      </c>
      <c r="FM22" s="283">
        <f>IF(AND(Stamoplysninger!$B$26="Der er indgået lokalaftale omkring weekendtillæg(Kræver aftale med TR/FSL). Weekendtimerne afspadseres.",I22="X"),K22,0)</f>
        <v>0</v>
      </c>
      <c r="FN22" s="674">
        <f>IF(AND(AND(Stamoplysninger!$B$26="Der er indgået lokalaftale omkring weekendtillæg(Kræver aftale med TR/FSL). Weekendtimerne afspadseres.",I22="X",C22="ikke relevant")),K22,0)</f>
        <v>0</v>
      </c>
      <c r="FO22" s="283">
        <f>IF(AND(Stamoplysninger!$B$26="Weekendtimer og weekendtillæg udbetales.",I22="X"),K22,0)</f>
        <v>0</v>
      </c>
      <c r="FP22" s="251">
        <f>IF(AND(Stamoplysninger!$B$26="Weekendtimer og weekendtillæg udbetales.",AA22="X"),(AC22+AN22)/2,0)</f>
        <v>0</v>
      </c>
      <c r="FQ22" s="674">
        <f>IF(AND(AND(Stamoplysninger!$B$26="Weekendtimer og weekendtillæg udbetales.",I22="X",C22="ikke relevant")),K22,0)</f>
        <v>0</v>
      </c>
      <c r="FR22" s="688">
        <f>IF(AND(AND(Stamoplysninger!$B$26="Weekendtimer og weekendtillæg udbetales.",AA22="X",U22="ikke relevant")),(AC22+AN22)/2,0)</f>
        <v>0</v>
      </c>
      <c r="FS22" s="283">
        <f t="shared" si="14"/>
        <v>0</v>
      </c>
      <c r="FT22" s="658">
        <f t="shared" si="15"/>
        <v>0</v>
      </c>
      <c r="FU22">
        <f t="shared" si="16"/>
        <v>0</v>
      </c>
      <c r="FV22" s="283">
        <f>IF(AND(Stamoplysninger!$B$26="Der er indgået lokalaftale omkring weekendtimer.(Kræver aftale med TR/FSL) Weekendtillæg afspadseres.",I22="X"),K22,0)</f>
        <v>0</v>
      </c>
      <c r="FW22" s="674">
        <f>IF(AND(AND(Stamoplysninger!$B$26="Der er indgået lokalaftale omkring weekendtimer.(Kræver aftale med TR/FSL) Weekendtillæg afspadseres.",I22="X",C22="ikke relevant")),K22,0)</f>
        <v>0</v>
      </c>
      <c r="FX22" s="283">
        <f>IF(AND(Stamoplysninger!$B$26="Der er indgået lokalaftale omkring weekendtimer(Kræver aftale med TR/FSL). Weekendtillæg udbetales.",I22="X"),K22,0)</f>
        <v>0</v>
      </c>
      <c r="FY22" s="674">
        <f>IF(AND(AND(Stamoplysninger!$B$26="Der er indgået lokalaftale omkring weekendtimer(Kræver aftale med TR/FSL). Weekendtillæg udbetales.",I22="X",C22="ikke relevant")),K22,0)</f>
        <v>0</v>
      </c>
      <c r="FZ22" s="283">
        <f>IF(AND(Stamoplysninger!$B$26="Der er indgået lokalaftale omkring weekendtillæg(Kræver aftale med TR/FSL). Weekendtimerne udbetales.",I22="X"),K22,0)</f>
        <v>0</v>
      </c>
      <c r="GA22" s="674">
        <f>IF(AND(AND(Stamoplysninger!$B$26="Der er indgået lokalaftale omkring weekendtillæg(Kræver aftale med TR/FSL). Weekendtimerne udbetales.",I22="X",C22="ikke relevant")),K22,0)</f>
        <v>0</v>
      </c>
      <c r="GB22" s="283">
        <f>IF(AND(Stamoplysninger!$B$26="Der er indgået lokalaftale omkring weekendtimer og weekendtillæg.(Kræver aftale med TR/FSL).",I22="X"),K22,0)</f>
        <v>0</v>
      </c>
      <c r="GC22" s="674">
        <f>IF(AND(AND(Stamoplysninger!$B$26="Der er indgået lokalaftale omkring weekendtimer og weekendtillæg.(Kræver aftale med TR/FSL).",I22="X",C22="ikke relevant")),K22,0)</f>
        <v>0</v>
      </c>
    </row>
    <row r="23" spans="1:185">
      <c r="A23" s="245">
        <f t="shared" si="17"/>
        <v>15</v>
      </c>
      <c r="B23" s="128" t="str">
        <f t="shared" si="0"/>
        <v>fr</v>
      </c>
      <c r="C23" s="129" t="s">
        <v>206</v>
      </c>
      <c r="D23" s="130" t="str">
        <f t="shared" si="1"/>
        <v/>
      </c>
      <c r="E23" s="949"/>
      <c r="F23" s="950"/>
      <c r="G23" s="951"/>
      <c r="H23" s="297"/>
      <c r="I23" s="527"/>
      <c r="J23" s="413"/>
      <c r="K23" s="380"/>
      <c r="L23" s="380"/>
      <c r="M23" s="380"/>
      <c r="N23" s="318">
        <f t="shared" si="18"/>
        <v>6.75</v>
      </c>
      <c r="O23" s="318">
        <f t="shared" si="19"/>
        <v>3</v>
      </c>
      <c r="P23" s="318">
        <f>IF(Stamoplysninger!$H$29="JA",November!DG23,CX23)</f>
        <v>1.5</v>
      </c>
      <c r="Q23" s="318">
        <f t="shared" si="20"/>
        <v>2.25</v>
      </c>
      <c r="R23" s="319"/>
      <c r="S23" s="324"/>
      <c r="T23" s="325"/>
      <c r="U23" s="325"/>
      <c r="V23" s="435"/>
      <c r="W23" s="435"/>
      <c r="X23" s="644"/>
      <c r="Y23">
        <f t="shared" si="21"/>
        <v>0</v>
      </c>
      <c r="Z23" s="437">
        <f t="shared" si="22"/>
        <v>0</v>
      </c>
      <c r="AA23" s="1">
        <f t="shared" si="2"/>
        <v>0</v>
      </c>
      <c r="AB23" s="1">
        <f t="shared" si="3"/>
        <v>0</v>
      </c>
      <c r="AC23" s="1">
        <f t="shared" si="4"/>
        <v>0</v>
      </c>
      <c r="AD23" s="1">
        <f t="shared" si="5"/>
        <v>0</v>
      </c>
      <c r="AE23" s="1">
        <f t="shared" si="6"/>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f>IF(AND(C23="Skema 1",B23="fr"),Arbejdstidsoversigt!$E$76,"")</f>
        <v>6.75</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6.75</v>
      </c>
      <c r="BB23" s="229">
        <f t="shared" si="7"/>
        <v>162</v>
      </c>
      <c r="BC23" s="1">
        <f t="shared" si="24"/>
        <v>0</v>
      </c>
      <c r="BD23" s="1">
        <f t="shared" si="8"/>
        <v>0</v>
      </c>
      <c r="BE23" s="1">
        <f t="shared" si="9"/>
        <v>0</v>
      </c>
      <c r="BF23" s="1">
        <f t="shared" si="10"/>
        <v>0</v>
      </c>
      <c r="BG23" s="210" t="str">
        <f>IF(AND(C23="Skema 1",B23="ma"),Skemaoplysninger!$E$30,"")</f>
        <v/>
      </c>
      <c r="BH23" s="210" t="str">
        <f>IF(AND(C23="Skema 1",B23="ti"),Skemaoplysninger!$G$30,"")</f>
        <v/>
      </c>
      <c r="BI23" s="210" t="str">
        <f>IF(AND(C23="Skema 1",B23="on"),Skemaoplysninger!$I$30,"")</f>
        <v/>
      </c>
      <c r="BJ23" s="210" t="str">
        <f>IF(AND(C23="Skema 1",B23="to"),Skemaoplysninger!$K$30,"")</f>
        <v/>
      </c>
      <c r="BK23" s="210">
        <f>IF(AND(C23="Skema 1",B23="fr"),Skemaoplysninger!$M$30,"")</f>
        <v>0.125</v>
      </c>
      <c r="BL23" s="210" t="str">
        <f>IF(AND(C23="Skema 2",B23="ma"),Skemaoplysninger!$S$30,"")</f>
        <v/>
      </c>
      <c r="BM23" s="210" t="str">
        <f>IF(AND(C23="Skema 2",B23="ti"),Skemaoplysninger!$U$30,"")</f>
        <v/>
      </c>
      <c r="BN23" s="210" t="str">
        <f>IF(AND(C23="Skema 2",B23="on"),Skemaoplysninger!$W$30,"")</f>
        <v/>
      </c>
      <c r="BO23" s="210" t="str">
        <f>IF(AND(C23="Skema 2",B23="to"),Skemaoplysninger!$Y$30,"")</f>
        <v/>
      </c>
      <c r="BP23" s="210" t="str">
        <f>IF(AND(C23="Skema 2",B23="fr"),Skemaoplysninger!$AA$30,"")</f>
        <v/>
      </c>
      <c r="BQ23" s="210" t="str">
        <f>IF(AND(C23="Skema 3",B23="ma"),Skemaoplysninger!$AG$30,"")</f>
        <v/>
      </c>
      <c r="BR23" s="210" t="str">
        <f>IF(AND(C23="Skema 3",B23="ti"),Skemaoplysninger!$AI$30,"")</f>
        <v/>
      </c>
      <c r="BS23" s="210" t="str">
        <f>IF(AND(C23="Skema 3",B23="on"),Skemaoplysninger!$AK$30,"")</f>
        <v/>
      </c>
      <c r="BT23" s="210" t="str">
        <f>IF(AND(C23="Skema 3",B23="to"),Skemaoplysninger!$AM$30,"")</f>
        <v/>
      </c>
      <c r="BU23" s="210" t="str">
        <f>IF(AND(C23="Skema 3",B23="fr"),Skemaoplysninger!$AO$30,"")</f>
        <v/>
      </c>
      <c r="BV23" s="210" t="str">
        <f>IF(AND(C23="Skema 4",B23="ma"),Skemaoplysninger!$AU$30,"")</f>
        <v/>
      </c>
      <c r="BW23" s="210" t="str">
        <f>IF(AND(C23="Skema 4",B23="ti"),Skemaoplysninger!$AW$30,"")</f>
        <v/>
      </c>
      <c r="BX23" s="210" t="str">
        <f>IF(AND(C23="Skema 4",B23="on"),Skemaoplysninger!$AY$30,"")</f>
        <v/>
      </c>
      <c r="BY23" s="210" t="str">
        <f>IF(AND(C23="Skema 4",B23="to"),Skemaoplysninger!$BA$30,"")</f>
        <v/>
      </c>
      <c r="BZ23" s="210" t="str">
        <f>IF(AND(C23="Skema 4",B23="fr"),Skemaoplysninger!$BC$30,"")</f>
        <v/>
      </c>
      <c r="CA23" s="1">
        <f t="shared" si="25"/>
        <v>3</v>
      </c>
      <c r="CB23" s="1">
        <f t="shared" si="11"/>
        <v>0</v>
      </c>
      <c r="CC23" s="1">
        <f t="shared" si="12"/>
        <v>0</v>
      </c>
      <c r="CD23" s="210" t="str">
        <f>IF(AND(C23="Skema 1",B23="ma"),Skemaoplysninger!$E$31,"")</f>
        <v/>
      </c>
      <c r="CE23" s="210" t="str">
        <f>IF(AND(C23="Skema 1",B23="ti"),Skemaoplysninger!$G$31,"")</f>
        <v/>
      </c>
      <c r="CF23" s="210" t="str">
        <f>IF(AND(C23="Skema 1",B23="on"),Skemaoplysninger!$I$31,"")</f>
        <v/>
      </c>
      <c r="CG23" s="210" t="str">
        <f>IF(AND(C23="Skema 1",B23="to"),Skemaoplysninger!$K$31,"")</f>
        <v/>
      </c>
      <c r="CH23" s="210">
        <f>IF(AND(C23="Skema 1",B23="fr"),Skemaoplysninger!$M$31,"")</f>
        <v>6.25E-2</v>
      </c>
      <c r="CI23" s="210" t="str">
        <f>IF(AND(C23="Skema 2",B23="ma"),Skemaoplysninger!$S$31,"")</f>
        <v/>
      </c>
      <c r="CJ23" s="210" t="str">
        <f>IF(AND(C23="Skema 2",B23="ti"),Skemaoplysninger!$U$31,"")</f>
        <v/>
      </c>
      <c r="CK23" s="210" t="str">
        <f>IF(AND(C23="Skema 2",B23="on"),Skemaoplysninger!$W$31,"")</f>
        <v/>
      </c>
      <c r="CL23" s="210" t="str">
        <f>IF(AND(C23="Skema 2",B23="to"),Skemaoplysninger!$Y$31,"")</f>
        <v/>
      </c>
      <c r="CM23" s="210" t="str">
        <f>IF(AND(C23="Skema 2",B23="fr"),Skemaoplysninger!$AA$31,"")</f>
        <v/>
      </c>
      <c r="CN23" s="210" t="str">
        <f>IF(AND(C23="Skema 3",B23="ma"),Skemaoplysninger!$AG$31,"")</f>
        <v/>
      </c>
      <c r="CO23" s="210" t="str">
        <f>IF(AND(C23="Skema 3",B23="ti"),Skemaoplysninger!$AI$31,"")</f>
        <v/>
      </c>
      <c r="CP23" s="210" t="str">
        <f>IF(AND(C23="Skema 3",B23="on"),Skemaoplysninger!$AK$31,"")</f>
        <v/>
      </c>
      <c r="CQ23" s="210" t="str">
        <f>IF(AND(C23="Skema 3",B23="to"),Skemaoplysninger!$AM$31,"")</f>
        <v/>
      </c>
      <c r="CR23" s="210" t="str">
        <f>IF(AND(C23="Skema 3",B23="fr"),Skemaoplysninger!$AO$31,"")</f>
        <v/>
      </c>
      <c r="CS23" s="210" t="str">
        <f>IF(AND(C23="Skema 4",B23="ma"),Skemaoplysninger!$AU$31,"")</f>
        <v/>
      </c>
      <c r="CT23" s="210" t="str">
        <f>IF(AND(C23="Skema 4",B23="ti"),Skemaoplysninger!$AW$31,"")</f>
        <v/>
      </c>
      <c r="CU23" s="210" t="str">
        <f>IF(AND(C23="Skema 4",B23="on"),Skemaoplysninger!$AY$31,"")</f>
        <v/>
      </c>
      <c r="CV23" s="210" t="str">
        <f>IF(AND(C23="Skema 4",B23="to"),Skemaoplysninger!$BA$31,"")</f>
        <v/>
      </c>
      <c r="CW23" s="210" t="str">
        <f>IF(AND(C23="Skema 4",B23="fr"),Skemaoplysninger!$BC$31,"")</f>
        <v/>
      </c>
      <c r="CX23" s="249">
        <f>IF(Stamoplysninger!$H$29="NEJ",SUM(CD23:CW23)*24+CB23+CC23,0)</f>
        <v>1.5</v>
      </c>
      <c r="CY23" s="249">
        <f>IF(C23="Skema 1",Stamoplysninger!$H$30/200,0)</f>
        <v>0</v>
      </c>
      <c r="CZ23" s="249">
        <f>IF(C23="Skema 2",Stamoplysninger!$H$30/200,0)</f>
        <v>0</v>
      </c>
      <c r="DA23" s="249">
        <f>IF(C23="Skema 3",Stamoplysninger!$H$30/200,0)</f>
        <v>0</v>
      </c>
      <c r="DB23" s="249">
        <f>IF(C23="Skema 4",Stamoplysninger!$H$30/200,0)</f>
        <v>0</v>
      </c>
      <c r="DC23" s="249">
        <f>IF(C23="fagdag",Stamoplysninger!$H$30/200,0)</f>
        <v>0</v>
      </c>
      <c r="DD23" s="249">
        <f>IF(C23="emnedag",Stamoplysninger!$H$30/200,0)</f>
        <v>0</v>
      </c>
      <c r="DE23" s="249">
        <f>IF(C23="lejrskole",Stamoplysninger!$H$30/200,0)</f>
        <v>0</v>
      </c>
      <c r="DF23" s="249">
        <f>IF(C23="ekskursion",Stamoplysninger!$H$30/200,0)</f>
        <v>0</v>
      </c>
      <c r="DG23" s="249">
        <f t="shared" si="26"/>
        <v>0</v>
      </c>
      <c r="DH23" t="str">
        <f t="shared" si="27"/>
        <v/>
      </c>
      <c r="DI23">
        <f t="shared" si="28"/>
        <v>0</v>
      </c>
      <c r="DJ23">
        <f t="shared" si="29"/>
        <v>0</v>
      </c>
      <c r="DK23" t="str">
        <f t="shared" si="13"/>
        <v/>
      </c>
      <c r="DL23" t="str">
        <f t="shared" si="13"/>
        <v/>
      </c>
      <c r="DM23" t="str">
        <f t="shared" si="13"/>
        <v/>
      </c>
      <c r="DN23" t="str">
        <f t="shared" si="30"/>
        <v/>
      </c>
      <c r="DO23" s="652">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71">
        <f>IF(AND(Stamoplysninger!$B$22="Ulempetillæg udbetales med 25% af nettotimelønnen.",C23="ikke relevant"),(R23)/4,0)</f>
        <v>0</v>
      </c>
      <c r="DT23" s="671">
        <f>IF(AND(AND(Stamoplysninger!$B$22="Ulempetillæg udbetales med 25% af nettotimelønnen.",I23="X",C23="Ikke relevant")),K23/4,0)</f>
        <v>0</v>
      </c>
      <c r="DU23" s="671">
        <f>IF(AND(AND(Stamoplysninger!$B$22="Ulempetillæg udbetales med 25% af nettotimelønnen.",C23="ikke relevant",U23="X")),(X23/4),0)</f>
        <v>0</v>
      </c>
      <c r="DV23" s="672">
        <f>IF(AND(AND(AND(Stamoplysninger!$B$22="Ulempetillæg udbetales med 25% af nettotimelønnen.",I23="X",C23="Ikke relevant",S23="X"))),V23/4,0)</f>
        <v>0</v>
      </c>
      <c r="DW23" s="652"/>
      <c r="DZ23" s="671"/>
      <c r="EA23" s="671"/>
      <c r="EB23" s="672"/>
      <c r="EC23" s="652">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71">
        <f>IF(AND(Stamoplysninger!$B$22="Ulempetillæg afspadseres med 25%(Kræver en aftale imellem ledelsen og den ansatte)",C23="ikke relevant"),(R23)/4,0)</f>
        <v>0</v>
      </c>
      <c r="EH23" s="671">
        <f>IF(AND(AND(Stamoplysninger!$B$22="Ulempetillæg afspadseres med 25%(Kræver en aftale imellem ledelsen og den ansatte)",I23="X",C23="Ikke relevant")),K23/4,0)</f>
        <v>0</v>
      </c>
      <c r="EI23" s="671">
        <f>IF(AND(AND(Stamoplysninger!$B$22="Ulempetillæg afspadseres med 25%(Kræver en aftale imellem ledelsen og den ansatte)",U23="X",C23="Ikke relevant")),X23/4,0)</f>
        <v>0</v>
      </c>
      <c r="EJ23" s="671">
        <f>IF(AND(AND(AND(Stamoplysninger!$B$22="Ulempetillæg afspadseres med 25%(Kræver en aftale imellem ledelsen og den ansatte)",I23="X",C23="Ikke relevant",S23="X"))),V23/4,0)</f>
        <v>0</v>
      </c>
      <c r="EK23" s="283">
        <f>IF(AND(Stamoplysninger!$B$26="Weekendtimer og weekendtillæg afspadseres.",I23="X"),K23*1.5,0)</f>
        <v>0</v>
      </c>
      <c r="EL23" s="251">
        <f>IF(AND(AND(Stamoplysninger!$B$26="Weekendtimer og weekendtillæg afspadseres.",I23="X",S23="X")),V23*1.5,0)</f>
        <v>0</v>
      </c>
      <c r="EM23" s="674">
        <f>IF(AND(AND(Stamoplysninger!$B$26="Weekendtimer og weekendtillæg afspadseres.",I23="X",C23="ikke relevant")),K23*1.5,0)</f>
        <v>0</v>
      </c>
      <c r="EN23" s="675">
        <f>IF(AND(AND(AND(Stamoplysninger!$B$26="Weekendtimer og weekendtillæg afspadseres.",I23="X",C23="ikke relevant",S23="X"))),(V23*1.5),0)</f>
        <v>0</v>
      </c>
      <c r="EO23" s="283">
        <f>IF(AND(Stamoplysninger!$B$26="Weekendtimer og weekendtillæg udbetales.",I23="X"),K23*1.5,0)</f>
        <v>0</v>
      </c>
      <c r="EP23" s="251">
        <f>IF(AND(AND(Stamoplysninger!$B$26="Weekendtimer og weekendtillæg udbetales.",I23="X",S23="X")),V23*1.5,0)</f>
        <v>0</v>
      </c>
      <c r="EQ23" s="674">
        <f>IF(AND(AND(Stamoplysninger!$B$26="Weekendtimer og weekendtillæg udbetales.",I23="X",C23="ikke relevant")),K23*1.5,0)</f>
        <v>0</v>
      </c>
      <c r="ER23" s="675">
        <f>IF(AND(AND(AND(Stamoplysninger!$B$26="Weekendtimer og weekendtillæg udbetales.",I23="X",C23="ikke relevant",S23="X"))),(V23*1.5),0)</f>
        <v>0</v>
      </c>
      <c r="ES23" s="283">
        <f>IF(AND(Stamoplysninger!$B$26="Der er indgået lokalaftale omkring weekendtimer.(Kræver aftale med TR/FSL) Weekendtillæg afspadseres.",I23="X"),K23*0.5,0)</f>
        <v>0</v>
      </c>
      <c r="ET23" s="251">
        <f>IF(AND(AND(Stamoplysninger!$B$26="Der er indgået lokalaftale omkring weekendtimer.(Kræver aftale med TR/FSL) Weekendtillæg afspadseres.",I23="X",S23="X")),V23*0.5,0)</f>
        <v>0</v>
      </c>
      <c r="EU23" s="674">
        <f>IF(AND(AND(Stamoplysninger!$B$26="Der er indgået lokalaftale omkring weekendtimer.(Kræver aftale med TR/FSL) Weekendtillæg afspadseres.",I23="X",C23="ikke relevant")),K23*0.5,0)</f>
        <v>0</v>
      </c>
      <c r="EV23" s="675">
        <f>IF(AND(AND(AND(Stamoplysninger!$B$26="Der er indgået lokalaftale omkring weekendtimer.(Kræver aftale med TR/FSL) Weekendtillæg afspadseres.",I23="X",C23="ikke relevant",S23="X"))),(V23*0.5),0)</f>
        <v>0</v>
      </c>
      <c r="EW23" s="283">
        <f>IF(AND(Stamoplysninger!$B$26="Der er indgået lokalaftale omkring weekendtimer(Kræver aftale med TR/FSL). Weekendtillæg udbetales.",I23="X"),K23*0.5,0)</f>
        <v>0</v>
      </c>
      <c r="EX23" s="251">
        <f>IF(AND(AND(Stamoplysninger!$B$26="Der er indgået lokalaftale omkring weekendtimer(Kræver aftale med TR/FSL). Weekendtillæg udbetales.",I23="X",S23="X")),V23*0.5,0)</f>
        <v>0</v>
      </c>
      <c r="EY23" s="674">
        <f>IF(AND(AND(Stamoplysninger!$B$26="Der er indgået lokalaftale omkring weekendtimer(Kræver aftale med TR/FSL). Weekendtillæg udbetales.",I23="X",C23="ikke relevant")),K23*0.5,0)</f>
        <v>0</v>
      </c>
      <c r="EZ23" s="675">
        <f>IF(AND(AND(AND(Stamoplysninger!$B$26="Der er indgået lokalaftale omkring weekendtimer(Kræver aftale med TR/FSL). Weekendtillæg udbetales.",I23="X",C23="ikke relevant",S23="X"))),(V23*0.5),0)</f>
        <v>0</v>
      </c>
      <c r="FA23" s="283">
        <f>IF(AND(Stamoplysninger!$B$26="Der er indgået lokalaftale omkring weekendtillæg(Kræver aftale med TR/FSL). Weekendtimerne afspadseres.",I23="X"),K23,0)</f>
        <v>0</v>
      </c>
      <c r="FB23" s="251">
        <f>IF(AND(AND(Stamoplysninger!$B$26="Der er indgået lokalaftale omkring weekendtillæg(Kræver aftale med TR/FSL). Weekendtimerne afspadseres.",I23="X",S23="X")),V23,0)</f>
        <v>0</v>
      </c>
      <c r="FC23" s="674">
        <f>IF(AND(AND(Stamoplysninger!$B$26="Der er indgået lokalaftale omkring weekendtillæg(Kræver aftale med TR/FSL). Weekendtimerne afspadseres..",I23="X",C23="ikke relevant")),K23,0)</f>
        <v>0</v>
      </c>
      <c r="FD23" s="675">
        <f>IF(AND(AND(AND(Stamoplysninger!$B$26="Der er indgået lokalaftale omkring weekendtillæg(Kræver aftale med TR/FSL). Weekendtimerne afspadseres.",I23="X",C23="ikke relevant",S23="X"))),(V23),0)</f>
        <v>0</v>
      </c>
      <c r="FE23" s="283">
        <f>IF(AND(Stamoplysninger!$B$26="Der er indgået lokalaftale omkring weekendtillæg(Kræver aftale med TR/FSL). Weekendtimerne udbetales.",I23="X"),K23,0)</f>
        <v>0</v>
      </c>
      <c r="FF23" s="251">
        <f>IF(AND(AND(Stamoplysninger!$B$26="Der er indgået lokalaftale omkring weekendtillæg(Kræver aftale med TR/FSL). Weekendtimerne udbetales.",I23="X",S23="X")),V23,0)</f>
        <v>0</v>
      </c>
      <c r="FG23" s="674">
        <f>IF(AND(AND(Stamoplysninger!$B$26="Der er indgået lokalaftale omkring weekendtillæg(Kræver aftale med TR/FSL). Weekendtimerne udbetales.",I23="X",C23="ikke relevant")),K23,0)</f>
        <v>0</v>
      </c>
      <c r="FH23" s="675">
        <f>IF(AND(AND(AND(Stamoplysninger!$B$26="Der er indgået lokalaftale omkring weekendtillæg(Kræver aftale med TR/FSL). Weekendtimerne udbetales.",I23="X",C23="ikke relevant",S23="X"))),(V23),0)</f>
        <v>0</v>
      </c>
      <c r="FI23" s="283">
        <f>IF(AND(Stamoplysninger!$B$26="Weekendtimer og weekendtillæg afspadseres.",I23="X"),K23,0)</f>
        <v>0</v>
      </c>
      <c r="FJ23" s="251">
        <f>IF(AND(Stamoplysninger!$B$26="Weekendtimer og weekendtillæg afspadseres.",Y23="X"),(AA23+AL23)/2,0)</f>
        <v>0</v>
      </c>
      <c r="FK23" s="674">
        <f>IF(AND(AND(Stamoplysninger!$B$26="Weekendtimer og weekendtillæg afspadseres.",I23="X",C23="ikke relevant")),K23,0)</f>
        <v>0</v>
      </c>
      <c r="FL23" s="675">
        <f>IF(AND(AND(Stamoplysninger!$B$26="Weekendtimer og weekendtillæg afspadseres.",Y23="X",S23="ikke relevant")),(AA23+AL23)/2,0)</f>
        <v>0</v>
      </c>
      <c r="FM23" s="283">
        <f>IF(AND(Stamoplysninger!$B$26="Der er indgået lokalaftale omkring weekendtillæg(Kræver aftale med TR/FSL). Weekendtimerne afspadseres.",I23="X"),K23,0)</f>
        <v>0</v>
      </c>
      <c r="FN23" s="674">
        <f>IF(AND(AND(Stamoplysninger!$B$26="Der er indgået lokalaftale omkring weekendtillæg(Kræver aftale med TR/FSL). Weekendtimerne afspadseres.",I23="X",C23="ikke relevant")),K23,0)</f>
        <v>0</v>
      </c>
      <c r="FO23" s="283">
        <f>IF(AND(Stamoplysninger!$B$26="Weekendtimer og weekendtillæg udbetales.",I23="X"),K23,0)</f>
        <v>0</v>
      </c>
      <c r="FP23" s="251">
        <f>IF(AND(Stamoplysninger!$B$26="Weekendtimer og weekendtillæg udbetales.",AA23="X"),(AC23+AN23)/2,0)</f>
        <v>0</v>
      </c>
      <c r="FQ23" s="674">
        <f>IF(AND(AND(Stamoplysninger!$B$26="Weekendtimer og weekendtillæg udbetales.",I23="X",C23="ikke relevant")),K23,0)</f>
        <v>0</v>
      </c>
      <c r="FR23" s="688">
        <f>IF(AND(AND(Stamoplysninger!$B$26="Weekendtimer og weekendtillæg udbetales.",AA23="X",U23="ikke relevant")),(AC23+AN23)/2,0)</f>
        <v>0</v>
      </c>
      <c r="FS23" s="283">
        <f t="shared" si="14"/>
        <v>0</v>
      </c>
      <c r="FT23" s="658">
        <f t="shared" si="15"/>
        <v>0</v>
      </c>
      <c r="FU23">
        <f t="shared" si="16"/>
        <v>0</v>
      </c>
      <c r="FV23" s="283">
        <f>IF(AND(Stamoplysninger!$B$26="Der er indgået lokalaftale omkring weekendtimer.(Kræver aftale med TR/FSL) Weekendtillæg afspadseres.",I23="X"),K23,0)</f>
        <v>0</v>
      </c>
      <c r="FW23" s="674">
        <f>IF(AND(AND(Stamoplysninger!$B$26="Der er indgået lokalaftale omkring weekendtimer.(Kræver aftale med TR/FSL) Weekendtillæg afspadseres.",I23="X",C23="ikke relevant")),K23,0)</f>
        <v>0</v>
      </c>
      <c r="FX23" s="283">
        <f>IF(AND(Stamoplysninger!$B$26="Der er indgået lokalaftale omkring weekendtimer(Kræver aftale med TR/FSL). Weekendtillæg udbetales.",I23="X"),K23,0)</f>
        <v>0</v>
      </c>
      <c r="FY23" s="674">
        <f>IF(AND(AND(Stamoplysninger!$B$26="Der er indgået lokalaftale omkring weekendtimer(Kræver aftale med TR/FSL). Weekendtillæg udbetales.",I23="X",C23="ikke relevant")),K23,0)</f>
        <v>0</v>
      </c>
      <c r="FZ23" s="283">
        <f>IF(AND(Stamoplysninger!$B$26="Der er indgået lokalaftale omkring weekendtillæg(Kræver aftale med TR/FSL). Weekendtimerne udbetales.",I23="X"),K23,0)</f>
        <v>0</v>
      </c>
      <c r="GA23" s="674">
        <f>IF(AND(AND(Stamoplysninger!$B$26="Der er indgået lokalaftale omkring weekendtillæg(Kræver aftale med TR/FSL). Weekendtimerne udbetales.",I23="X",C23="ikke relevant")),K23,0)</f>
        <v>0</v>
      </c>
      <c r="GB23" s="283">
        <f>IF(AND(Stamoplysninger!$B$26="Der er indgået lokalaftale omkring weekendtimer og weekendtillæg.(Kræver aftale med TR/FSL).",I23="X"),K23,0)</f>
        <v>0</v>
      </c>
      <c r="GC23" s="674">
        <f>IF(AND(AND(Stamoplysninger!$B$26="Der er indgået lokalaftale omkring weekendtimer og weekendtillæg.(Kræver aftale med TR/FSL).",I23="X",C23="ikke relevant")),K23,0)</f>
        <v>0</v>
      </c>
    </row>
    <row r="24" spans="1:185">
      <c r="A24" s="245">
        <f>IF(ISNUMBER(A23),A23+1,1)</f>
        <v>16</v>
      </c>
      <c r="B24" s="128" t="str">
        <f t="shared" si="0"/>
        <v>lø</v>
      </c>
      <c r="C24" s="129" t="s">
        <v>120</v>
      </c>
      <c r="D24" s="130" t="str">
        <f t="shared" si="1"/>
        <v/>
      </c>
      <c r="E24" s="917"/>
      <c r="F24" s="918"/>
      <c r="G24" s="919"/>
      <c r="H24" s="298"/>
      <c r="I24" s="413"/>
      <c r="J24" s="413"/>
      <c r="K24" s="380"/>
      <c r="L24" s="380"/>
      <c r="M24" s="380"/>
      <c r="N24" s="318">
        <f t="shared" si="18"/>
        <v>0</v>
      </c>
      <c r="O24" s="318">
        <f t="shared" si="19"/>
        <v>0</v>
      </c>
      <c r="P24" s="318">
        <f>IF(Stamoplysninger!$H$29="JA",November!DG24,CX24)</f>
        <v>0</v>
      </c>
      <c r="Q24" s="318">
        <f t="shared" si="20"/>
        <v>0</v>
      </c>
      <c r="R24" s="319"/>
      <c r="S24" s="324"/>
      <c r="T24" s="325"/>
      <c r="U24" s="325"/>
      <c r="V24" s="435"/>
      <c r="W24" s="435"/>
      <c r="X24" s="644"/>
      <c r="Y24">
        <f t="shared" si="21"/>
        <v>0</v>
      </c>
      <c r="Z24" s="437">
        <f t="shared" si="22"/>
        <v>0</v>
      </c>
      <c r="AA24" s="1">
        <f t="shared" si="2"/>
        <v>0</v>
      </c>
      <c r="AB24" s="1">
        <f t="shared" si="3"/>
        <v>0</v>
      </c>
      <c r="AC24" s="1">
        <f t="shared" si="4"/>
        <v>0</v>
      </c>
      <c r="AD24" s="1">
        <f t="shared" si="5"/>
        <v>0</v>
      </c>
      <c r="AE24" s="1">
        <f t="shared" si="6"/>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9">
        <f t="shared" si="7"/>
        <v>0</v>
      </c>
      <c r="BC24" s="1">
        <f t="shared" si="24"/>
        <v>0</v>
      </c>
      <c r="BD24" s="1">
        <f t="shared" si="8"/>
        <v>0</v>
      </c>
      <c r="BE24" s="1">
        <f t="shared" si="9"/>
        <v>0</v>
      </c>
      <c r="BF24" s="1">
        <f t="shared" si="10"/>
        <v>0</v>
      </c>
      <c r="BG24" s="210" t="str">
        <f>IF(AND(C24="Skema 1",B24="ma"),Skemaoplysninger!$E$30,"")</f>
        <v/>
      </c>
      <c r="BH24" s="210" t="str">
        <f>IF(AND(C24="Skema 1",B24="ti"),Skemaoplysninger!$G$30,"")</f>
        <v/>
      </c>
      <c r="BI24" s="210" t="str">
        <f>IF(AND(C24="Skema 1",B24="on"),Skemaoplysninger!$I$30,"")</f>
        <v/>
      </c>
      <c r="BJ24" s="210" t="str">
        <f>IF(AND(C24="Skema 1",B24="to"),Skemaoplysninger!$K$30,"")</f>
        <v/>
      </c>
      <c r="BK24" s="210" t="str">
        <f>IF(AND(C24="Skema 1",B24="fr"),Skemaoplysninger!$M$30,"")</f>
        <v/>
      </c>
      <c r="BL24" s="210" t="str">
        <f>IF(AND(C24="Skema 2",B24="ma"),Skemaoplysninger!$S$30,"")</f>
        <v/>
      </c>
      <c r="BM24" s="210" t="str">
        <f>IF(AND(C24="Skema 2",B24="ti"),Skemaoplysninger!$U$30,"")</f>
        <v/>
      </c>
      <c r="BN24" s="210" t="str">
        <f>IF(AND(C24="Skema 2",B24="on"),Skemaoplysninger!$W$30,"")</f>
        <v/>
      </c>
      <c r="BO24" s="210" t="str">
        <f>IF(AND(C24="Skema 2",B24="to"),Skemaoplysninger!$Y$30,"")</f>
        <v/>
      </c>
      <c r="BP24" s="210" t="str">
        <f>IF(AND(C24="Skema 2",B24="fr"),Skemaoplysninger!$AA$30,"")</f>
        <v/>
      </c>
      <c r="BQ24" s="210" t="str">
        <f>IF(AND(C24="Skema 3",B24="ma"),Skemaoplysninger!$AG$30,"")</f>
        <v/>
      </c>
      <c r="BR24" s="210" t="str">
        <f>IF(AND(C24="Skema 3",B24="ti"),Skemaoplysninger!$AI$30,"")</f>
        <v/>
      </c>
      <c r="BS24" s="210" t="str">
        <f>IF(AND(C24="Skema 3",B24="on"),Skemaoplysninger!$AK$30,"")</f>
        <v/>
      </c>
      <c r="BT24" s="210" t="str">
        <f>IF(AND(C24="Skema 3",B24="to"),Skemaoplysninger!$AM$30,"")</f>
        <v/>
      </c>
      <c r="BU24" s="210" t="str">
        <f>IF(AND(C24="Skema 3",B24="fr"),Skemaoplysninger!$AO$30,"")</f>
        <v/>
      </c>
      <c r="BV24" s="210" t="str">
        <f>IF(AND(C24="Skema 4",B24="ma"),Skemaoplysninger!$AU$30,"")</f>
        <v/>
      </c>
      <c r="BW24" s="210" t="str">
        <f>IF(AND(C24="Skema 4",B24="ti"),Skemaoplysninger!$AW$30,"")</f>
        <v/>
      </c>
      <c r="BX24" s="210" t="str">
        <f>IF(AND(C24="Skema 4",B24="on"),Skemaoplysninger!$AY$30,"")</f>
        <v/>
      </c>
      <c r="BY24" s="210" t="str">
        <f>IF(AND(C24="Skema 4",B24="to"),Skemaoplysninger!$BA$30,"")</f>
        <v/>
      </c>
      <c r="BZ24" s="210" t="str">
        <f>IF(AND(C24="Skema 4",B24="fr"),Skemaoplysninger!$BC$30,"")</f>
        <v/>
      </c>
      <c r="CA24" s="1">
        <f t="shared" si="25"/>
        <v>0</v>
      </c>
      <c r="CB24" s="1">
        <f t="shared" si="11"/>
        <v>0</v>
      </c>
      <c r="CC24" s="1">
        <f t="shared" si="12"/>
        <v>0</v>
      </c>
      <c r="CD24" s="210" t="str">
        <f>IF(AND(C24="Skema 1",B24="ma"),Skemaoplysninger!$E$31,"")</f>
        <v/>
      </c>
      <c r="CE24" s="210" t="str">
        <f>IF(AND(C24="Skema 1",B24="ti"),Skemaoplysninger!$G$31,"")</f>
        <v/>
      </c>
      <c r="CF24" s="210" t="str">
        <f>IF(AND(C24="Skema 1",B24="on"),Skemaoplysninger!$I$31,"")</f>
        <v/>
      </c>
      <c r="CG24" s="210" t="str">
        <f>IF(AND(C24="Skema 1",B24="to"),Skemaoplysninger!$K$31,"")</f>
        <v/>
      </c>
      <c r="CH24" s="210" t="str">
        <f>IF(AND(C24="Skema 1",B24="fr"),Skemaoplysninger!$M$31,"")</f>
        <v/>
      </c>
      <c r="CI24" s="210" t="str">
        <f>IF(AND(C24="Skema 2",B24="ma"),Skemaoplysninger!$S$31,"")</f>
        <v/>
      </c>
      <c r="CJ24" s="210" t="str">
        <f>IF(AND(C24="Skema 2",B24="ti"),Skemaoplysninger!$U$31,"")</f>
        <v/>
      </c>
      <c r="CK24" s="210" t="str">
        <f>IF(AND(C24="Skema 2",B24="on"),Skemaoplysninger!$W$31,"")</f>
        <v/>
      </c>
      <c r="CL24" s="210" t="str">
        <f>IF(AND(C24="Skema 2",B24="to"),Skemaoplysninger!$Y$31,"")</f>
        <v/>
      </c>
      <c r="CM24" s="210" t="str">
        <f>IF(AND(C24="Skema 2",B24="fr"),Skemaoplysninger!$AA$31,"")</f>
        <v/>
      </c>
      <c r="CN24" s="210" t="str">
        <f>IF(AND(C24="Skema 3",B24="ma"),Skemaoplysninger!$AG$31,"")</f>
        <v/>
      </c>
      <c r="CO24" s="210" t="str">
        <f>IF(AND(C24="Skema 3",B24="ti"),Skemaoplysninger!$AI$31,"")</f>
        <v/>
      </c>
      <c r="CP24" s="210" t="str">
        <f>IF(AND(C24="Skema 3",B24="on"),Skemaoplysninger!$AK$31,"")</f>
        <v/>
      </c>
      <c r="CQ24" s="210" t="str">
        <f>IF(AND(C24="Skema 3",B24="to"),Skemaoplysninger!$AM$31,"")</f>
        <v/>
      </c>
      <c r="CR24" s="210" t="str">
        <f>IF(AND(C24="Skema 3",B24="fr"),Skemaoplysninger!$AO$31,"")</f>
        <v/>
      </c>
      <c r="CS24" s="210" t="str">
        <f>IF(AND(C24="Skema 4",B24="ma"),Skemaoplysninger!$AU$31,"")</f>
        <v/>
      </c>
      <c r="CT24" s="210" t="str">
        <f>IF(AND(C24="Skema 4",B24="ti"),Skemaoplysninger!$AW$31,"")</f>
        <v/>
      </c>
      <c r="CU24" s="210" t="str">
        <f>IF(AND(C24="Skema 4",B24="on"),Skemaoplysninger!$AY$31,"")</f>
        <v/>
      </c>
      <c r="CV24" s="210" t="str">
        <f>IF(AND(C24="Skema 4",B24="to"),Skemaoplysninger!$BA$31,"")</f>
        <v/>
      </c>
      <c r="CW24" s="210" t="str">
        <f>IF(AND(C24="Skema 4",B24="fr"),Skemaoplysninger!$BC$31,"")</f>
        <v/>
      </c>
      <c r="CX24" s="249">
        <f>IF(Stamoplysninger!$H$29="NEJ",SUM(CD24:CW24)*24+CB24+CC24,0)</f>
        <v>0</v>
      </c>
      <c r="CY24" s="249">
        <f>IF(C24="Skema 1",Stamoplysninger!$H$30/200,0)</f>
        <v>0</v>
      </c>
      <c r="CZ24" s="249">
        <f>IF(C24="Skema 2",Stamoplysninger!$H$30/200,0)</f>
        <v>0</v>
      </c>
      <c r="DA24" s="249">
        <f>IF(C24="Skema 3",Stamoplysninger!$H$30/200,0)</f>
        <v>0</v>
      </c>
      <c r="DB24" s="249">
        <f>IF(C24="Skema 4",Stamoplysninger!$H$30/200,0)</f>
        <v>0</v>
      </c>
      <c r="DC24" s="249">
        <f>IF(C24="fagdag",Stamoplysninger!$H$30/200,0)</f>
        <v>0</v>
      </c>
      <c r="DD24" s="249">
        <f>IF(C24="emnedag",Stamoplysninger!$H$30/200,0)</f>
        <v>0</v>
      </c>
      <c r="DE24" s="249">
        <f>IF(C24="lejrskole",Stamoplysninger!$H$30/200,0)</f>
        <v>0</v>
      </c>
      <c r="DF24" s="249">
        <f>IF(C24="ekskursion",Stamoplysninger!$H$30/200,0)</f>
        <v>0</v>
      </c>
      <c r="DG24" s="249">
        <f t="shared" si="26"/>
        <v>0</v>
      </c>
      <c r="DH24" t="str">
        <f t="shared" si="27"/>
        <v/>
      </c>
      <c r="DI24">
        <f t="shared" si="28"/>
        <v>0</v>
      </c>
      <c r="DJ24">
        <f t="shared" si="29"/>
        <v>0</v>
      </c>
      <c r="DK24" t="str">
        <f t="shared" si="13"/>
        <v/>
      </c>
      <c r="DL24" t="str">
        <f t="shared" si="13"/>
        <v/>
      </c>
      <c r="DM24" t="str">
        <f t="shared" si="13"/>
        <v/>
      </c>
      <c r="DN24" t="str">
        <f t="shared" si="30"/>
        <v/>
      </c>
      <c r="DO24" s="652">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71">
        <f>IF(AND(Stamoplysninger!$B$22="Ulempetillæg udbetales med 25% af nettotimelønnen.",C24="ikke relevant"),(R24)/4,0)</f>
        <v>0</v>
      </c>
      <c r="DT24" s="671">
        <f>IF(AND(AND(Stamoplysninger!$B$22="Ulempetillæg udbetales med 25% af nettotimelønnen.",I24="X",C24="Ikke relevant")),K24/4,0)</f>
        <v>0</v>
      </c>
      <c r="DU24" s="671">
        <f>IF(AND(AND(Stamoplysninger!$B$22="Ulempetillæg udbetales med 25% af nettotimelønnen.",C24="ikke relevant",U24="X")),(X24/4),0)</f>
        <v>0</v>
      </c>
      <c r="DV24" s="672">
        <f>IF(AND(AND(AND(Stamoplysninger!$B$22="Ulempetillæg udbetales med 25% af nettotimelønnen.",I24="X",C24="Ikke relevant",S24="X"))),V24/4,0)</f>
        <v>0</v>
      </c>
      <c r="DW24" s="652"/>
      <c r="DZ24" s="671"/>
      <c r="EA24" s="671"/>
      <c r="EB24" s="672"/>
      <c r="EC24" s="652">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71">
        <f>IF(AND(Stamoplysninger!$B$22="Ulempetillæg afspadseres med 25%(Kræver en aftale imellem ledelsen og den ansatte)",C24="ikke relevant"),(R24)/4,0)</f>
        <v>0</v>
      </c>
      <c r="EH24" s="671">
        <f>IF(AND(AND(Stamoplysninger!$B$22="Ulempetillæg afspadseres med 25%(Kræver en aftale imellem ledelsen og den ansatte)",I24="X",C24="Ikke relevant")),K24/4,0)</f>
        <v>0</v>
      </c>
      <c r="EI24" s="671">
        <f>IF(AND(AND(Stamoplysninger!$B$22="Ulempetillæg afspadseres med 25%(Kræver en aftale imellem ledelsen og den ansatte)",U24="X",C24="Ikke relevant")),X24/4,0)</f>
        <v>0</v>
      </c>
      <c r="EJ24" s="671">
        <f>IF(AND(AND(AND(Stamoplysninger!$B$22="Ulempetillæg afspadseres med 25%(Kræver en aftale imellem ledelsen og den ansatte)",I24="X",C24="Ikke relevant",S24="X"))),V24/4,0)</f>
        <v>0</v>
      </c>
      <c r="EK24" s="283">
        <f>IF(AND(Stamoplysninger!$B$26="Weekendtimer og weekendtillæg afspadseres.",I24="X"),K24*1.5,0)</f>
        <v>0</v>
      </c>
      <c r="EL24" s="251">
        <f>IF(AND(AND(Stamoplysninger!$B$26="Weekendtimer og weekendtillæg afspadseres.",I24="X",S24="X")),V24*1.5,0)</f>
        <v>0</v>
      </c>
      <c r="EM24" s="674">
        <f>IF(AND(AND(Stamoplysninger!$B$26="Weekendtimer og weekendtillæg afspadseres.",I24="X",C24="ikke relevant")),K24*1.5,0)</f>
        <v>0</v>
      </c>
      <c r="EN24" s="675">
        <f>IF(AND(AND(AND(Stamoplysninger!$B$26="Weekendtimer og weekendtillæg afspadseres.",I24="X",C24="ikke relevant",S24="X"))),(V24*1.5),0)</f>
        <v>0</v>
      </c>
      <c r="EO24" s="283">
        <f>IF(AND(Stamoplysninger!$B$26="Weekendtimer og weekendtillæg udbetales.",I24="X"),K24*1.5,0)</f>
        <v>0</v>
      </c>
      <c r="EP24" s="251">
        <f>IF(AND(AND(Stamoplysninger!$B$26="Weekendtimer og weekendtillæg udbetales.",I24="X",S24="X")),V24*1.5,0)</f>
        <v>0</v>
      </c>
      <c r="EQ24" s="674">
        <f>IF(AND(AND(Stamoplysninger!$B$26="Weekendtimer og weekendtillæg udbetales.",I24="X",C24="ikke relevant")),K24*1.5,0)</f>
        <v>0</v>
      </c>
      <c r="ER24" s="675">
        <f>IF(AND(AND(AND(Stamoplysninger!$B$26="Weekendtimer og weekendtillæg udbetales.",I24="X",C24="ikke relevant",S24="X"))),(V24*1.5),0)</f>
        <v>0</v>
      </c>
      <c r="ES24" s="283">
        <f>IF(AND(Stamoplysninger!$B$26="Der er indgået lokalaftale omkring weekendtimer.(Kræver aftale med TR/FSL) Weekendtillæg afspadseres.",I24="X"),K24*0.5,0)</f>
        <v>0</v>
      </c>
      <c r="ET24" s="251">
        <f>IF(AND(AND(Stamoplysninger!$B$26="Der er indgået lokalaftale omkring weekendtimer.(Kræver aftale med TR/FSL) Weekendtillæg afspadseres.",I24="X",S24="X")),V24*0.5,0)</f>
        <v>0</v>
      </c>
      <c r="EU24" s="674">
        <f>IF(AND(AND(Stamoplysninger!$B$26="Der er indgået lokalaftale omkring weekendtimer.(Kræver aftale med TR/FSL) Weekendtillæg afspadseres.",I24="X",C24="ikke relevant")),K24*0.5,0)</f>
        <v>0</v>
      </c>
      <c r="EV24" s="675">
        <f>IF(AND(AND(AND(Stamoplysninger!$B$26="Der er indgået lokalaftale omkring weekendtimer.(Kræver aftale med TR/FSL) Weekendtillæg afspadseres.",I24="X",C24="ikke relevant",S24="X"))),(V24*0.5),0)</f>
        <v>0</v>
      </c>
      <c r="EW24" s="283">
        <f>IF(AND(Stamoplysninger!$B$26="Der er indgået lokalaftale omkring weekendtimer(Kræver aftale med TR/FSL). Weekendtillæg udbetales.",I24="X"),K24*0.5,0)</f>
        <v>0</v>
      </c>
      <c r="EX24" s="251">
        <f>IF(AND(AND(Stamoplysninger!$B$26="Der er indgået lokalaftale omkring weekendtimer(Kræver aftale med TR/FSL). Weekendtillæg udbetales.",I24="X",S24="X")),V24*0.5,0)</f>
        <v>0</v>
      </c>
      <c r="EY24" s="674">
        <f>IF(AND(AND(Stamoplysninger!$B$26="Der er indgået lokalaftale omkring weekendtimer(Kræver aftale med TR/FSL). Weekendtillæg udbetales.",I24="X",C24="ikke relevant")),K24*0.5,0)</f>
        <v>0</v>
      </c>
      <c r="EZ24" s="675">
        <f>IF(AND(AND(AND(Stamoplysninger!$B$26="Der er indgået lokalaftale omkring weekendtimer(Kræver aftale med TR/FSL). Weekendtillæg udbetales.",I24="X",C24="ikke relevant",S24="X"))),(V24*0.5),0)</f>
        <v>0</v>
      </c>
      <c r="FA24" s="283">
        <f>IF(AND(Stamoplysninger!$B$26="Der er indgået lokalaftale omkring weekendtillæg(Kræver aftale med TR/FSL). Weekendtimerne afspadseres.",I24="X"),K24,0)</f>
        <v>0</v>
      </c>
      <c r="FB24" s="251">
        <f>IF(AND(AND(Stamoplysninger!$B$26="Der er indgået lokalaftale omkring weekendtillæg(Kræver aftale med TR/FSL). Weekendtimerne afspadseres.",I24="X",S24="X")),V24,0)</f>
        <v>0</v>
      </c>
      <c r="FC24" s="674">
        <f>IF(AND(AND(Stamoplysninger!$B$26="Der er indgået lokalaftale omkring weekendtillæg(Kræver aftale med TR/FSL). Weekendtimerne afspadseres..",I24="X",C24="ikke relevant")),K24,0)</f>
        <v>0</v>
      </c>
      <c r="FD24" s="675">
        <f>IF(AND(AND(AND(Stamoplysninger!$B$26="Der er indgået lokalaftale omkring weekendtillæg(Kræver aftale med TR/FSL). Weekendtimerne afspadseres.",I24="X",C24="ikke relevant",S24="X"))),(V24),0)</f>
        <v>0</v>
      </c>
      <c r="FE24" s="283">
        <f>IF(AND(Stamoplysninger!$B$26="Der er indgået lokalaftale omkring weekendtillæg(Kræver aftale med TR/FSL). Weekendtimerne udbetales.",I24="X"),K24,0)</f>
        <v>0</v>
      </c>
      <c r="FF24" s="251">
        <f>IF(AND(AND(Stamoplysninger!$B$26="Der er indgået lokalaftale omkring weekendtillæg(Kræver aftale med TR/FSL). Weekendtimerne udbetales.",I24="X",S24="X")),V24,0)</f>
        <v>0</v>
      </c>
      <c r="FG24" s="674">
        <f>IF(AND(AND(Stamoplysninger!$B$26="Der er indgået lokalaftale omkring weekendtillæg(Kræver aftale med TR/FSL). Weekendtimerne udbetales.",I24="X",C24="ikke relevant")),K24,0)</f>
        <v>0</v>
      </c>
      <c r="FH24" s="675">
        <f>IF(AND(AND(AND(Stamoplysninger!$B$26="Der er indgået lokalaftale omkring weekendtillæg(Kræver aftale med TR/FSL). Weekendtimerne udbetales.",I24="X",C24="ikke relevant",S24="X"))),(V24),0)</f>
        <v>0</v>
      </c>
      <c r="FI24" s="283">
        <f>IF(AND(Stamoplysninger!$B$26="Weekendtimer og weekendtillæg afspadseres.",I24="X"),K24,0)</f>
        <v>0</v>
      </c>
      <c r="FJ24" s="251">
        <f>IF(AND(Stamoplysninger!$B$26="Weekendtimer og weekendtillæg afspadseres.",Y24="X"),(AA24+AL24)/2,0)</f>
        <v>0</v>
      </c>
      <c r="FK24" s="674">
        <f>IF(AND(AND(Stamoplysninger!$B$26="Weekendtimer og weekendtillæg afspadseres.",I24="X",C24="ikke relevant")),K24,0)</f>
        <v>0</v>
      </c>
      <c r="FL24" s="675">
        <f>IF(AND(AND(Stamoplysninger!$B$26="Weekendtimer og weekendtillæg afspadseres.",Y24="X",S24="ikke relevant")),(AA24+AL24)/2,0)</f>
        <v>0</v>
      </c>
      <c r="FM24" s="283">
        <f>IF(AND(Stamoplysninger!$B$26="Der er indgået lokalaftale omkring weekendtillæg(Kræver aftale med TR/FSL). Weekendtimerne afspadseres.",I24="X"),K24,0)</f>
        <v>0</v>
      </c>
      <c r="FN24" s="674">
        <f>IF(AND(AND(Stamoplysninger!$B$26="Der er indgået lokalaftale omkring weekendtillæg(Kræver aftale med TR/FSL). Weekendtimerne afspadseres.",I24="X",C24="ikke relevant")),K24,0)</f>
        <v>0</v>
      </c>
      <c r="FO24" s="283">
        <f>IF(AND(Stamoplysninger!$B$26="Weekendtimer og weekendtillæg udbetales.",I24="X"),K24,0)</f>
        <v>0</v>
      </c>
      <c r="FP24" s="251">
        <f>IF(AND(Stamoplysninger!$B$26="Weekendtimer og weekendtillæg udbetales.",AA24="X"),(AC24+AN24)/2,0)</f>
        <v>0</v>
      </c>
      <c r="FQ24" s="674">
        <f>IF(AND(AND(Stamoplysninger!$B$26="Weekendtimer og weekendtillæg udbetales.",I24="X",C24="ikke relevant")),K24,0)</f>
        <v>0</v>
      </c>
      <c r="FR24" s="688">
        <f>IF(AND(AND(Stamoplysninger!$B$26="Weekendtimer og weekendtillæg udbetales.",AA24="X",U24="ikke relevant")),(AC24+AN24)/2,0)</f>
        <v>0</v>
      </c>
      <c r="FS24" s="283">
        <f t="shared" si="14"/>
        <v>0</v>
      </c>
      <c r="FT24" s="658">
        <f t="shared" si="15"/>
        <v>0</v>
      </c>
      <c r="FU24">
        <f t="shared" si="16"/>
        <v>0</v>
      </c>
      <c r="FV24" s="283">
        <f>IF(AND(Stamoplysninger!$B$26="Der er indgået lokalaftale omkring weekendtimer.(Kræver aftale med TR/FSL) Weekendtillæg afspadseres.",I24="X"),K24,0)</f>
        <v>0</v>
      </c>
      <c r="FW24" s="674">
        <f>IF(AND(AND(Stamoplysninger!$B$26="Der er indgået lokalaftale omkring weekendtimer.(Kræver aftale med TR/FSL) Weekendtillæg afspadseres.",I24="X",C24="ikke relevant")),K24,0)</f>
        <v>0</v>
      </c>
      <c r="FX24" s="283">
        <f>IF(AND(Stamoplysninger!$B$26="Der er indgået lokalaftale omkring weekendtimer(Kræver aftale med TR/FSL). Weekendtillæg udbetales.",I24="X"),K24,0)</f>
        <v>0</v>
      </c>
      <c r="FY24" s="674">
        <f>IF(AND(AND(Stamoplysninger!$B$26="Der er indgået lokalaftale omkring weekendtimer(Kræver aftale med TR/FSL). Weekendtillæg udbetales.",I24="X",C24="ikke relevant")),K24,0)</f>
        <v>0</v>
      </c>
      <c r="FZ24" s="283">
        <f>IF(AND(Stamoplysninger!$B$26="Der er indgået lokalaftale omkring weekendtillæg(Kræver aftale med TR/FSL). Weekendtimerne udbetales.",I24="X"),K24,0)</f>
        <v>0</v>
      </c>
      <c r="GA24" s="674">
        <f>IF(AND(AND(Stamoplysninger!$B$26="Der er indgået lokalaftale omkring weekendtillæg(Kræver aftale med TR/FSL). Weekendtimerne udbetales.",I24="X",C24="ikke relevant")),K24,0)</f>
        <v>0</v>
      </c>
      <c r="GB24" s="283">
        <f>IF(AND(Stamoplysninger!$B$26="Der er indgået lokalaftale omkring weekendtimer og weekendtillæg.(Kræver aftale med TR/FSL).",I24="X"),K24,0)</f>
        <v>0</v>
      </c>
      <c r="GC24" s="674">
        <f>IF(AND(AND(Stamoplysninger!$B$26="Der er indgået lokalaftale omkring weekendtimer og weekendtillæg.(Kræver aftale med TR/FSL).",I24="X",C24="ikke relevant")),K24,0)</f>
        <v>0</v>
      </c>
    </row>
    <row r="25" spans="1:185">
      <c r="A25" s="245">
        <f t="shared" si="17"/>
        <v>17</v>
      </c>
      <c r="B25" s="128" t="str">
        <f t="shared" si="0"/>
        <v>sø</v>
      </c>
      <c r="C25" s="129" t="s">
        <v>120</v>
      </c>
      <c r="D25" s="130" t="str">
        <f t="shared" si="1"/>
        <v/>
      </c>
      <c r="E25" s="917"/>
      <c r="F25" s="918"/>
      <c r="G25" s="919"/>
      <c r="H25" s="298"/>
      <c r="I25" s="413"/>
      <c r="J25" s="413"/>
      <c r="K25" s="380"/>
      <c r="L25" s="380"/>
      <c r="M25" s="380"/>
      <c r="N25" s="318">
        <f t="shared" si="18"/>
        <v>0</v>
      </c>
      <c r="O25" s="318">
        <f t="shared" si="19"/>
        <v>0</v>
      </c>
      <c r="P25" s="318">
        <f>IF(Stamoplysninger!$H$29="JA",November!DG25,CX25)</f>
        <v>0</v>
      </c>
      <c r="Q25" s="318">
        <f t="shared" si="20"/>
        <v>0</v>
      </c>
      <c r="R25" s="319"/>
      <c r="S25" s="324"/>
      <c r="T25" s="325"/>
      <c r="U25" s="325"/>
      <c r="V25" s="435"/>
      <c r="W25" s="435"/>
      <c r="X25" s="644"/>
      <c r="Y25">
        <f t="shared" si="21"/>
        <v>0</v>
      </c>
      <c r="Z25" s="437">
        <f t="shared" si="22"/>
        <v>0</v>
      </c>
      <c r="AA25" s="1">
        <f t="shared" si="2"/>
        <v>0</v>
      </c>
      <c r="AB25" s="1">
        <f t="shared" si="3"/>
        <v>0</v>
      </c>
      <c r="AC25" s="1">
        <f t="shared" si="4"/>
        <v>0</v>
      </c>
      <c r="AD25" s="1">
        <f t="shared" si="5"/>
        <v>0</v>
      </c>
      <c r="AE25" s="1">
        <f t="shared" si="6"/>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9">
        <f t="shared" si="7"/>
        <v>0</v>
      </c>
      <c r="BC25" s="1">
        <f t="shared" si="24"/>
        <v>0</v>
      </c>
      <c r="BD25" s="1">
        <f t="shared" si="8"/>
        <v>0</v>
      </c>
      <c r="BE25" s="1">
        <f t="shared" si="9"/>
        <v>0</v>
      </c>
      <c r="BF25" s="1">
        <f t="shared" si="10"/>
        <v>0</v>
      </c>
      <c r="BG25" s="210" t="str">
        <f>IF(AND(C25="Skema 1",B25="ma"),Skemaoplysninger!$E$30,"")</f>
        <v/>
      </c>
      <c r="BH25" s="210" t="str">
        <f>IF(AND(C25="Skema 1",B25="ti"),Skemaoplysninger!$G$30,"")</f>
        <v/>
      </c>
      <c r="BI25" s="210" t="str">
        <f>IF(AND(C25="Skema 1",B25="on"),Skemaoplysninger!$I$30,"")</f>
        <v/>
      </c>
      <c r="BJ25" s="210" t="str">
        <f>IF(AND(C25="Skema 1",B25="to"),Skemaoplysninger!$K$30,"")</f>
        <v/>
      </c>
      <c r="BK25" s="210" t="str">
        <f>IF(AND(C25="Skema 1",B25="fr"),Skemaoplysninger!$M$30,"")</f>
        <v/>
      </c>
      <c r="BL25" s="210" t="str">
        <f>IF(AND(C25="Skema 2",B25="ma"),Skemaoplysninger!$S$30,"")</f>
        <v/>
      </c>
      <c r="BM25" s="210" t="str">
        <f>IF(AND(C25="Skema 2",B25="ti"),Skemaoplysninger!$U$30,"")</f>
        <v/>
      </c>
      <c r="BN25" s="210" t="str">
        <f>IF(AND(C25="Skema 2",B25="on"),Skemaoplysninger!$W$30,"")</f>
        <v/>
      </c>
      <c r="BO25" s="210" t="str">
        <f>IF(AND(C25="Skema 2",B25="to"),Skemaoplysninger!$Y$30,"")</f>
        <v/>
      </c>
      <c r="BP25" s="210" t="str">
        <f>IF(AND(C25="Skema 2",B25="fr"),Skemaoplysninger!$AA$30,"")</f>
        <v/>
      </c>
      <c r="BQ25" s="210" t="str">
        <f>IF(AND(C25="Skema 3",B25="ma"),Skemaoplysninger!$AG$30,"")</f>
        <v/>
      </c>
      <c r="BR25" s="210" t="str">
        <f>IF(AND(C25="Skema 3",B25="ti"),Skemaoplysninger!$AI$30,"")</f>
        <v/>
      </c>
      <c r="BS25" s="210" t="str">
        <f>IF(AND(C25="Skema 3",B25="on"),Skemaoplysninger!$AK$30,"")</f>
        <v/>
      </c>
      <c r="BT25" s="210" t="str">
        <f>IF(AND(C25="Skema 3",B25="to"),Skemaoplysninger!$AM$30,"")</f>
        <v/>
      </c>
      <c r="BU25" s="210" t="str">
        <f>IF(AND(C25="Skema 3",B25="fr"),Skemaoplysninger!$AO$30,"")</f>
        <v/>
      </c>
      <c r="BV25" s="210" t="str">
        <f>IF(AND(C25="Skema 4",B25="ma"),Skemaoplysninger!$AU$30,"")</f>
        <v/>
      </c>
      <c r="BW25" s="210" t="str">
        <f>IF(AND(C25="Skema 4",B25="ti"),Skemaoplysninger!$AW$30,"")</f>
        <v/>
      </c>
      <c r="BX25" s="210" t="str">
        <f>IF(AND(C25="Skema 4",B25="on"),Skemaoplysninger!$AY$30,"")</f>
        <v/>
      </c>
      <c r="BY25" s="210" t="str">
        <f>IF(AND(C25="Skema 4",B25="to"),Skemaoplysninger!$BA$30,"")</f>
        <v/>
      </c>
      <c r="BZ25" s="210" t="str">
        <f>IF(AND(C25="Skema 4",B25="fr"),Skemaoplysninger!$BC$30,"")</f>
        <v/>
      </c>
      <c r="CA25" s="1">
        <f t="shared" si="25"/>
        <v>0</v>
      </c>
      <c r="CB25" s="1">
        <f t="shared" si="11"/>
        <v>0</v>
      </c>
      <c r="CC25" s="1">
        <f t="shared" si="12"/>
        <v>0</v>
      </c>
      <c r="CD25" s="210" t="str">
        <f>IF(AND(C25="Skema 1",B25="ma"),Skemaoplysninger!$E$31,"")</f>
        <v/>
      </c>
      <c r="CE25" s="210" t="str">
        <f>IF(AND(C25="Skema 1",B25="ti"),Skemaoplysninger!$G$31,"")</f>
        <v/>
      </c>
      <c r="CF25" s="210" t="str">
        <f>IF(AND(C25="Skema 1",B25="on"),Skemaoplysninger!$I$31,"")</f>
        <v/>
      </c>
      <c r="CG25" s="210" t="str">
        <f>IF(AND(C25="Skema 1",B25="to"),Skemaoplysninger!$K$31,"")</f>
        <v/>
      </c>
      <c r="CH25" s="210" t="str">
        <f>IF(AND(C25="Skema 1",B25="fr"),Skemaoplysninger!$M$31,"")</f>
        <v/>
      </c>
      <c r="CI25" s="210" t="str">
        <f>IF(AND(C25="Skema 2",B25="ma"),Skemaoplysninger!$S$31,"")</f>
        <v/>
      </c>
      <c r="CJ25" s="210" t="str">
        <f>IF(AND(C25="Skema 2",B25="ti"),Skemaoplysninger!$U$31,"")</f>
        <v/>
      </c>
      <c r="CK25" s="210" t="str">
        <f>IF(AND(C25="Skema 2",B25="on"),Skemaoplysninger!$W$31,"")</f>
        <v/>
      </c>
      <c r="CL25" s="210" t="str">
        <f>IF(AND(C25="Skema 2",B25="to"),Skemaoplysninger!$Y$31,"")</f>
        <v/>
      </c>
      <c r="CM25" s="210" t="str">
        <f>IF(AND(C25="Skema 2",B25="fr"),Skemaoplysninger!$AA$31,"")</f>
        <v/>
      </c>
      <c r="CN25" s="210" t="str">
        <f>IF(AND(C25="Skema 3",B25="ma"),Skemaoplysninger!$AG$31,"")</f>
        <v/>
      </c>
      <c r="CO25" s="210" t="str">
        <f>IF(AND(C25="Skema 3",B25="ti"),Skemaoplysninger!$AI$31,"")</f>
        <v/>
      </c>
      <c r="CP25" s="210" t="str">
        <f>IF(AND(C25="Skema 3",B25="on"),Skemaoplysninger!$AK$31,"")</f>
        <v/>
      </c>
      <c r="CQ25" s="210" t="str">
        <f>IF(AND(C25="Skema 3",B25="to"),Skemaoplysninger!$AM$31,"")</f>
        <v/>
      </c>
      <c r="CR25" s="210" t="str">
        <f>IF(AND(C25="Skema 3",B25="fr"),Skemaoplysninger!$AO$31,"")</f>
        <v/>
      </c>
      <c r="CS25" s="210" t="str">
        <f>IF(AND(C25="Skema 4",B25="ma"),Skemaoplysninger!$AU$31,"")</f>
        <v/>
      </c>
      <c r="CT25" s="210" t="str">
        <f>IF(AND(C25="Skema 4",B25="ti"),Skemaoplysninger!$AW$31,"")</f>
        <v/>
      </c>
      <c r="CU25" s="210" t="str">
        <f>IF(AND(C25="Skema 4",B25="on"),Skemaoplysninger!$AY$31,"")</f>
        <v/>
      </c>
      <c r="CV25" s="210" t="str">
        <f>IF(AND(C25="Skema 4",B25="to"),Skemaoplysninger!$BA$31,"")</f>
        <v/>
      </c>
      <c r="CW25" s="210" t="str">
        <f>IF(AND(C25="Skema 4",B25="fr"),Skemaoplysninger!$BC$31,"")</f>
        <v/>
      </c>
      <c r="CX25" s="249">
        <f>IF(Stamoplysninger!$H$29="NEJ",SUM(CD25:CW25)*24+CB25+CC25,0)</f>
        <v>0</v>
      </c>
      <c r="CY25" s="249">
        <f>IF(C25="Skema 1",Stamoplysninger!$H$30/200,0)</f>
        <v>0</v>
      </c>
      <c r="CZ25" s="249">
        <f>IF(C25="Skema 2",Stamoplysninger!$H$30/200,0)</f>
        <v>0</v>
      </c>
      <c r="DA25" s="249">
        <f>IF(C25="Skema 3",Stamoplysninger!$H$30/200,0)</f>
        <v>0</v>
      </c>
      <c r="DB25" s="249">
        <f>IF(C25="Skema 4",Stamoplysninger!$H$30/200,0)</f>
        <v>0</v>
      </c>
      <c r="DC25" s="249">
        <f>IF(C25="fagdag",Stamoplysninger!$H$30/200,0)</f>
        <v>0</v>
      </c>
      <c r="DD25" s="249">
        <f>IF(C25="emnedag",Stamoplysninger!$H$30/200,0)</f>
        <v>0</v>
      </c>
      <c r="DE25" s="249">
        <f>IF(C25="lejrskole",Stamoplysninger!$H$30/200,0)</f>
        <v>0</v>
      </c>
      <c r="DF25" s="249">
        <f>IF(C25="ekskursion",Stamoplysninger!$H$30/200,0)</f>
        <v>0</v>
      </c>
      <c r="DG25" s="249">
        <f t="shared" si="26"/>
        <v>0</v>
      </c>
      <c r="DH25" t="str">
        <f t="shared" si="27"/>
        <v/>
      </c>
      <c r="DI25">
        <f t="shared" si="28"/>
        <v>0</v>
      </c>
      <c r="DJ25">
        <f t="shared" si="29"/>
        <v>0</v>
      </c>
      <c r="DK25" t="str">
        <f t="shared" si="13"/>
        <v/>
      </c>
      <c r="DL25" t="str">
        <f t="shared" si="13"/>
        <v/>
      </c>
      <c r="DM25" t="str">
        <f t="shared" si="13"/>
        <v/>
      </c>
      <c r="DN25" t="str">
        <f t="shared" si="30"/>
        <v/>
      </c>
      <c r="DO25" s="652">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71">
        <f>IF(AND(Stamoplysninger!$B$22="Ulempetillæg udbetales med 25% af nettotimelønnen.",C25="ikke relevant"),(R25)/4,0)</f>
        <v>0</v>
      </c>
      <c r="DT25" s="671">
        <f>IF(AND(AND(Stamoplysninger!$B$22="Ulempetillæg udbetales med 25% af nettotimelønnen.",I25="X",C25="Ikke relevant")),K25/4,0)</f>
        <v>0</v>
      </c>
      <c r="DU25" s="671">
        <f>IF(AND(AND(Stamoplysninger!$B$22="Ulempetillæg udbetales med 25% af nettotimelønnen.",C25="ikke relevant",U25="X")),(X25/4),0)</f>
        <v>0</v>
      </c>
      <c r="DV25" s="672">
        <f>IF(AND(AND(AND(Stamoplysninger!$B$22="Ulempetillæg udbetales med 25% af nettotimelønnen.",I25="X",C25="Ikke relevant",S25="X"))),V25/4,0)</f>
        <v>0</v>
      </c>
      <c r="DW25" s="652"/>
      <c r="DZ25" s="671"/>
      <c r="EA25" s="671"/>
      <c r="EB25" s="672"/>
      <c r="EC25" s="652">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71">
        <f>IF(AND(Stamoplysninger!$B$22="Ulempetillæg afspadseres med 25%(Kræver en aftale imellem ledelsen og den ansatte)",C25="ikke relevant"),(R25)/4,0)</f>
        <v>0</v>
      </c>
      <c r="EH25" s="671">
        <f>IF(AND(AND(Stamoplysninger!$B$22="Ulempetillæg afspadseres med 25%(Kræver en aftale imellem ledelsen og den ansatte)",I25="X",C25="Ikke relevant")),K25/4,0)</f>
        <v>0</v>
      </c>
      <c r="EI25" s="671">
        <f>IF(AND(AND(Stamoplysninger!$B$22="Ulempetillæg afspadseres med 25%(Kræver en aftale imellem ledelsen og den ansatte)",U25="X",C25="Ikke relevant")),X25/4,0)</f>
        <v>0</v>
      </c>
      <c r="EJ25" s="671">
        <f>IF(AND(AND(AND(Stamoplysninger!$B$22="Ulempetillæg afspadseres med 25%(Kræver en aftale imellem ledelsen og den ansatte)",I25="X",C25="Ikke relevant",S25="X"))),V25/4,0)</f>
        <v>0</v>
      </c>
      <c r="EK25" s="283">
        <f>IF(AND(Stamoplysninger!$B$26="Weekendtimer og weekendtillæg afspadseres.",I25="X"),K25*1.5,0)</f>
        <v>0</v>
      </c>
      <c r="EL25" s="251">
        <f>IF(AND(AND(Stamoplysninger!$B$26="Weekendtimer og weekendtillæg afspadseres.",I25="X",S25="X")),V25*1.5,0)</f>
        <v>0</v>
      </c>
      <c r="EM25" s="674">
        <f>IF(AND(AND(Stamoplysninger!$B$26="Weekendtimer og weekendtillæg afspadseres.",I25="X",C25="ikke relevant")),K25*1.5,0)</f>
        <v>0</v>
      </c>
      <c r="EN25" s="675">
        <f>IF(AND(AND(AND(Stamoplysninger!$B$26="Weekendtimer og weekendtillæg afspadseres.",I25="X",C25="ikke relevant",S25="X"))),(V25*1.5),0)</f>
        <v>0</v>
      </c>
      <c r="EO25" s="283">
        <f>IF(AND(Stamoplysninger!$B$26="Weekendtimer og weekendtillæg udbetales.",I25="X"),K25*1.5,0)</f>
        <v>0</v>
      </c>
      <c r="EP25" s="251">
        <f>IF(AND(AND(Stamoplysninger!$B$26="Weekendtimer og weekendtillæg udbetales.",I25="X",S25="X")),V25*1.5,0)</f>
        <v>0</v>
      </c>
      <c r="EQ25" s="674">
        <f>IF(AND(AND(Stamoplysninger!$B$26="Weekendtimer og weekendtillæg udbetales.",I25="X",C25="ikke relevant")),K25*1.5,0)</f>
        <v>0</v>
      </c>
      <c r="ER25" s="675">
        <f>IF(AND(AND(AND(Stamoplysninger!$B$26="Weekendtimer og weekendtillæg udbetales.",I25="X",C25="ikke relevant",S25="X"))),(V25*1.5),0)</f>
        <v>0</v>
      </c>
      <c r="ES25" s="283">
        <f>IF(AND(Stamoplysninger!$B$26="Der er indgået lokalaftale omkring weekendtimer.(Kræver aftale med TR/FSL) Weekendtillæg afspadseres.",I25="X"),K25*0.5,0)</f>
        <v>0</v>
      </c>
      <c r="ET25" s="251">
        <f>IF(AND(AND(Stamoplysninger!$B$26="Der er indgået lokalaftale omkring weekendtimer.(Kræver aftale med TR/FSL) Weekendtillæg afspadseres.",I25="X",S25="X")),V25*0.5,0)</f>
        <v>0</v>
      </c>
      <c r="EU25" s="674">
        <f>IF(AND(AND(Stamoplysninger!$B$26="Der er indgået lokalaftale omkring weekendtimer.(Kræver aftale med TR/FSL) Weekendtillæg afspadseres.",I25="X",C25="ikke relevant")),K25*0.5,0)</f>
        <v>0</v>
      </c>
      <c r="EV25" s="675">
        <f>IF(AND(AND(AND(Stamoplysninger!$B$26="Der er indgået lokalaftale omkring weekendtimer.(Kræver aftale med TR/FSL) Weekendtillæg afspadseres.",I25="X",C25="ikke relevant",S25="X"))),(V25*0.5),0)</f>
        <v>0</v>
      </c>
      <c r="EW25" s="283">
        <f>IF(AND(Stamoplysninger!$B$26="Der er indgået lokalaftale omkring weekendtimer(Kræver aftale med TR/FSL). Weekendtillæg udbetales.",I25="X"),K25*0.5,0)</f>
        <v>0</v>
      </c>
      <c r="EX25" s="251">
        <f>IF(AND(AND(Stamoplysninger!$B$26="Der er indgået lokalaftale omkring weekendtimer(Kræver aftale med TR/FSL). Weekendtillæg udbetales.",I25="X",S25="X")),V25*0.5,0)</f>
        <v>0</v>
      </c>
      <c r="EY25" s="674">
        <f>IF(AND(AND(Stamoplysninger!$B$26="Der er indgået lokalaftale omkring weekendtimer(Kræver aftale med TR/FSL). Weekendtillæg udbetales.",I25="X",C25="ikke relevant")),K25*0.5,0)</f>
        <v>0</v>
      </c>
      <c r="EZ25" s="675">
        <f>IF(AND(AND(AND(Stamoplysninger!$B$26="Der er indgået lokalaftale omkring weekendtimer(Kræver aftale med TR/FSL). Weekendtillæg udbetales.",I25="X",C25="ikke relevant",S25="X"))),(V25*0.5),0)</f>
        <v>0</v>
      </c>
      <c r="FA25" s="283">
        <f>IF(AND(Stamoplysninger!$B$26="Der er indgået lokalaftale omkring weekendtillæg(Kræver aftale med TR/FSL). Weekendtimerne afspadseres.",I25="X"),K25,0)</f>
        <v>0</v>
      </c>
      <c r="FB25" s="251">
        <f>IF(AND(AND(Stamoplysninger!$B$26="Der er indgået lokalaftale omkring weekendtillæg(Kræver aftale med TR/FSL). Weekendtimerne afspadseres.",I25="X",S25="X")),V25,0)</f>
        <v>0</v>
      </c>
      <c r="FC25" s="674">
        <f>IF(AND(AND(Stamoplysninger!$B$26="Der er indgået lokalaftale omkring weekendtillæg(Kræver aftale med TR/FSL). Weekendtimerne afspadseres..",I25="X",C25="ikke relevant")),K25,0)</f>
        <v>0</v>
      </c>
      <c r="FD25" s="675">
        <f>IF(AND(AND(AND(Stamoplysninger!$B$26="Der er indgået lokalaftale omkring weekendtillæg(Kræver aftale med TR/FSL). Weekendtimerne afspadseres.",I25="X",C25="ikke relevant",S25="X"))),(V25),0)</f>
        <v>0</v>
      </c>
      <c r="FE25" s="283">
        <f>IF(AND(Stamoplysninger!$B$26="Der er indgået lokalaftale omkring weekendtillæg(Kræver aftale med TR/FSL). Weekendtimerne udbetales.",I25="X"),K25,0)</f>
        <v>0</v>
      </c>
      <c r="FF25" s="251">
        <f>IF(AND(AND(Stamoplysninger!$B$26="Der er indgået lokalaftale omkring weekendtillæg(Kræver aftale med TR/FSL). Weekendtimerne udbetales.",I25="X",S25="X")),V25,0)</f>
        <v>0</v>
      </c>
      <c r="FG25" s="674">
        <f>IF(AND(AND(Stamoplysninger!$B$26="Der er indgået lokalaftale omkring weekendtillæg(Kræver aftale med TR/FSL). Weekendtimerne udbetales.",I25="X",C25="ikke relevant")),K25,0)</f>
        <v>0</v>
      </c>
      <c r="FH25" s="675">
        <f>IF(AND(AND(AND(Stamoplysninger!$B$26="Der er indgået lokalaftale omkring weekendtillæg(Kræver aftale med TR/FSL). Weekendtimerne udbetales.",I25="X",C25="ikke relevant",S25="X"))),(V25),0)</f>
        <v>0</v>
      </c>
      <c r="FI25" s="283">
        <f>IF(AND(Stamoplysninger!$B$26="Weekendtimer og weekendtillæg afspadseres.",I25="X"),K25,0)</f>
        <v>0</v>
      </c>
      <c r="FJ25" s="251">
        <f>IF(AND(Stamoplysninger!$B$26="Weekendtimer og weekendtillæg afspadseres.",Y25="X"),(AA25+AL25)/2,0)</f>
        <v>0</v>
      </c>
      <c r="FK25" s="674">
        <f>IF(AND(AND(Stamoplysninger!$B$26="Weekendtimer og weekendtillæg afspadseres.",I25="X",C25="ikke relevant")),K25,0)</f>
        <v>0</v>
      </c>
      <c r="FL25" s="675">
        <f>IF(AND(AND(Stamoplysninger!$B$26="Weekendtimer og weekendtillæg afspadseres.",Y25="X",S25="ikke relevant")),(AA25+AL25)/2,0)</f>
        <v>0</v>
      </c>
      <c r="FM25" s="283">
        <f>IF(AND(Stamoplysninger!$B$26="Der er indgået lokalaftale omkring weekendtillæg(Kræver aftale med TR/FSL). Weekendtimerne afspadseres.",I25="X"),K25,0)</f>
        <v>0</v>
      </c>
      <c r="FN25" s="674">
        <f>IF(AND(AND(Stamoplysninger!$B$26="Der er indgået lokalaftale omkring weekendtillæg(Kræver aftale med TR/FSL). Weekendtimerne afspadseres.",I25="X",C25="ikke relevant")),K25,0)</f>
        <v>0</v>
      </c>
      <c r="FO25" s="283">
        <f>IF(AND(Stamoplysninger!$B$26="Weekendtimer og weekendtillæg udbetales.",I25="X"),K25,0)</f>
        <v>0</v>
      </c>
      <c r="FP25" s="251">
        <f>IF(AND(Stamoplysninger!$B$26="Weekendtimer og weekendtillæg udbetales.",AA25="X"),(AC25+AN25)/2,0)</f>
        <v>0</v>
      </c>
      <c r="FQ25" s="674">
        <f>IF(AND(AND(Stamoplysninger!$B$26="Weekendtimer og weekendtillæg udbetales.",I25="X",C25="ikke relevant")),K25,0)</f>
        <v>0</v>
      </c>
      <c r="FR25" s="688">
        <f>IF(AND(AND(Stamoplysninger!$B$26="Weekendtimer og weekendtillæg udbetales.",AA25="X",U25="ikke relevant")),(AC25+AN25)/2,0)</f>
        <v>0</v>
      </c>
      <c r="FS25" s="283">
        <f t="shared" si="14"/>
        <v>0</v>
      </c>
      <c r="FT25" s="658">
        <f t="shared" si="15"/>
        <v>0</v>
      </c>
      <c r="FU25">
        <f t="shared" si="16"/>
        <v>0</v>
      </c>
      <c r="FV25" s="283">
        <f>IF(AND(Stamoplysninger!$B$26="Der er indgået lokalaftale omkring weekendtimer.(Kræver aftale med TR/FSL) Weekendtillæg afspadseres.",I25="X"),K25,0)</f>
        <v>0</v>
      </c>
      <c r="FW25" s="674">
        <f>IF(AND(AND(Stamoplysninger!$B$26="Der er indgået lokalaftale omkring weekendtimer.(Kræver aftale med TR/FSL) Weekendtillæg afspadseres.",I25="X",C25="ikke relevant")),K25,0)</f>
        <v>0</v>
      </c>
      <c r="FX25" s="283">
        <f>IF(AND(Stamoplysninger!$B$26="Der er indgået lokalaftale omkring weekendtimer(Kræver aftale med TR/FSL). Weekendtillæg udbetales.",I25="X"),K25,0)</f>
        <v>0</v>
      </c>
      <c r="FY25" s="674">
        <f>IF(AND(AND(Stamoplysninger!$B$26="Der er indgået lokalaftale omkring weekendtimer(Kræver aftale med TR/FSL). Weekendtillæg udbetales.",I25="X",C25="ikke relevant")),K25,0)</f>
        <v>0</v>
      </c>
      <c r="FZ25" s="283">
        <f>IF(AND(Stamoplysninger!$B$26="Der er indgået lokalaftale omkring weekendtillæg(Kræver aftale med TR/FSL). Weekendtimerne udbetales.",I25="X"),K25,0)</f>
        <v>0</v>
      </c>
      <c r="GA25" s="674">
        <f>IF(AND(AND(Stamoplysninger!$B$26="Der er indgået lokalaftale omkring weekendtillæg(Kræver aftale med TR/FSL). Weekendtimerne udbetales.",I25="X",C25="ikke relevant")),K25,0)</f>
        <v>0</v>
      </c>
      <c r="GB25" s="283">
        <f>IF(AND(Stamoplysninger!$B$26="Der er indgået lokalaftale omkring weekendtimer og weekendtillæg.(Kræver aftale med TR/FSL).",I25="X"),K25,0)</f>
        <v>0</v>
      </c>
      <c r="GC25" s="674">
        <f>IF(AND(AND(Stamoplysninger!$B$26="Der er indgået lokalaftale omkring weekendtimer og weekendtillæg.(Kræver aftale med TR/FSL).",I25="X",C25="ikke relevant")),K25,0)</f>
        <v>0</v>
      </c>
    </row>
    <row r="26" spans="1:185">
      <c r="A26" s="245">
        <f t="shared" si="17"/>
        <v>18</v>
      </c>
      <c r="B26" s="128" t="str">
        <f t="shared" si="0"/>
        <v>ma</v>
      </c>
      <c r="C26" s="129" t="s">
        <v>206</v>
      </c>
      <c r="D26" s="130">
        <f t="shared" si="1"/>
        <v>47</v>
      </c>
      <c r="E26" s="917"/>
      <c r="F26" s="918"/>
      <c r="G26" s="919"/>
      <c r="H26" s="298"/>
      <c r="I26" s="527"/>
      <c r="J26" s="413"/>
      <c r="K26" s="380"/>
      <c r="L26" s="380"/>
      <c r="M26" s="380"/>
      <c r="N26" s="318">
        <f t="shared" si="18"/>
        <v>7.75</v>
      </c>
      <c r="O26" s="318">
        <f t="shared" si="19"/>
        <v>3.916666666666667</v>
      </c>
      <c r="P26" s="318">
        <f>IF(Stamoplysninger!$H$29="JA",November!DG26,CX26)</f>
        <v>0.83333333333333337</v>
      </c>
      <c r="Q26" s="318">
        <f t="shared" si="20"/>
        <v>2.9999999999999996</v>
      </c>
      <c r="R26" s="319"/>
      <c r="S26" s="324"/>
      <c r="T26" s="325"/>
      <c r="U26" s="325"/>
      <c r="V26" s="435"/>
      <c r="W26" s="435"/>
      <c r="X26" s="644"/>
      <c r="Y26">
        <f t="shared" si="21"/>
        <v>0</v>
      </c>
      <c r="Z26" s="437">
        <f t="shared" si="22"/>
        <v>0</v>
      </c>
      <c r="AA26" s="1">
        <f t="shared" si="2"/>
        <v>0</v>
      </c>
      <c r="AB26" s="1">
        <f t="shared" si="3"/>
        <v>0</v>
      </c>
      <c r="AC26" s="1">
        <f t="shared" si="4"/>
        <v>0</v>
      </c>
      <c r="AD26" s="1">
        <f t="shared" si="5"/>
        <v>0</v>
      </c>
      <c r="AE26" s="1">
        <f t="shared" si="6"/>
        <v>0</v>
      </c>
      <c r="AF26" s="1">
        <f>IF(C26="Orlov",7.4*Stamoplysninger!$E$15,0)</f>
        <v>0</v>
      </c>
      <c r="AG26">
        <f>IF(AND(C26="Skema 1",B26="ma"),Arbejdstidsoversigt!$E$72,"")</f>
        <v>7.75</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7.75</v>
      </c>
      <c r="BB26" s="229">
        <f t="shared" si="7"/>
        <v>186</v>
      </c>
      <c r="BC26" s="1">
        <f t="shared" si="24"/>
        <v>0</v>
      </c>
      <c r="BD26" s="1">
        <f t="shared" si="8"/>
        <v>0</v>
      </c>
      <c r="BE26" s="1">
        <f t="shared" si="9"/>
        <v>0</v>
      </c>
      <c r="BF26" s="1">
        <f t="shared" si="10"/>
        <v>0</v>
      </c>
      <c r="BG26" s="210">
        <f>IF(AND(C26="Skema 1",B26="ma"),Skemaoplysninger!$E$30,"")</f>
        <v>0.16319444444444445</v>
      </c>
      <c r="BH26" s="210" t="str">
        <f>IF(AND(C26="Skema 1",B26="ti"),Skemaoplysninger!$G$30,"")</f>
        <v/>
      </c>
      <c r="BI26" s="210" t="str">
        <f>IF(AND(C26="Skema 1",B26="on"),Skemaoplysninger!$I$30,"")</f>
        <v/>
      </c>
      <c r="BJ26" s="210" t="str">
        <f>IF(AND(C26="Skema 1",B26="to"),Skemaoplysninger!$K$30,"")</f>
        <v/>
      </c>
      <c r="BK26" s="210" t="str">
        <f>IF(AND(C26="Skema 1",B26="fr"),Skemaoplysninger!$M$30,"")</f>
        <v/>
      </c>
      <c r="BL26" s="210" t="str">
        <f>IF(AND(C26="Skema 2",B26="ma"),Skemaoplysninger!$S$30,"")</f>
        <v/>
      </c>
      <c r="BM26" s="210" t="str">
        <f>IF(AND(C26="Skema 2",B26="ti"),Skemaoplysninger!$U$30,"")</f>
        <v/>
      </c>
      <c r="BN26" s="210" t="str">
        <f>IF(AND(C26="Skema 2",B26="on"),Skemaoplysninger!$W$30,"")</f>
        <v/>
      </c>
      <c r="BO26" s="210" t="str">
        <f>IF(AND(C26="Skema 2",B26="to"),Skemaoplysninger!$Y$30,"")</f>
        <v/>
      </c>
      <c r="BP26" s="210" t="str">
        <f>IF(AND(C26="Skema 2",B26="fr"),Skemaoplysninger!$AA$30,"")</f>
        <v/>
      </c>
      <c r="BQ26" s="210" t="str">
        <f>IF(AND(C26="Skema 3",B26="ma"),Skemaoplysninger!$AG$30,"")</f>
        <v/>
      </c>
      <c r="BR26" s="210" t="str">
        <f>IF(AND(C26="Skema 3",B26="ti"),Skemaoplysninger!$AI$30,"")</f>
        <v/>
      </c>
      <c r="BS26" s="210" t="str">
        <f>IF(AND(C26="Skema 3",B26="on"),Skemaoplysninger!$AK$30,"")</f>
        <v/>
      </c>
      <c r="BT26" s="210" t="str">
        <f>IF(AND(C26="Skema 3",B26="to"),Skemaoplysninger!$AM$30,"")</f>
        <v/>
      </c>
      <c r="BU26" s="210" t="str">
        <f>IF(AND(C26="Skema 3",B26="fr"),Skemaoplysninger!$AO$30,"")</f>
        <v/>
      </c>
      <c r="BV26" s="210" t="str">
        <f>IF(AND(C26="Skema 4",B26="ma"),Skemaoplysninger!$AU$30,"")</f>
        <v/>
      </c>
      <c r="BW26" s="210" t="str">
        <f>IF(AND(C26="Skema 4",B26="ti"),Skemaoplysninger!$AW$30,"")</f>
        <v/>
      </c>
      <c r="BX26" s="210" t="str">
        <f>IF(AND(C26="Skema 4",B26="on"),Skemaoplysninger!$AY$30,"")</f>
        <v/>
      </c>
      <c r="BY26" s="210" t="str">
        <f>IF(AND(C26="Skema 4",B26="to"),Skemaoplysninger!$BA$30,"")</f>
        <v/>
      </c>
      <c r="BZ26" s="210" t="str">
        <f>IF(AND(C26="Skema 4",B26="fr"),Skemaoplysninger!$BC$30,"")</f>
        <v/>
      </c>
      <c r="CA26" s="1">
        <f t="shared" si="25"/>
        <v>3.916666666666667</v>
      </c>
      <c r="CB26" s="1">
        <f t="shared" si="11"/>
        <v>0</v>
      </c>
      <c r="CC26" s="1">
        <f t="shared" si="12"/>
        <v>0</v>
      </c>
      <c r="CD26" s="210">
        <f>IF(AND(C26="Skema 1",B26="ma"),Skemaoplysninger!$E$31,"")</f>
        <v>3.4722222222222224E-2</v>
      </c>
      <c r="CE26" s="210" t="str">
        <f>IF(AND(C26="Skema 1",B26="ti"),Skemaoplysninger!$G$31,"")</f>
        <v/>
      </c>
      <c r="CF26" s="210" t="str">
        <f>IF(AND(C26="Skema 1",B26="on"),Skemaoplysninger!$I$31,"")</f>
        <v/>
      </c>
      <c r="CG26" s="210" t="str">
        <f>IF(AND(C26="Skema 1",B26="to"),Skemaoplysninger!$K$31,"")</f>
        <v/>
      </c>
      <c r="CH26" s="210" t="str">
        <f>IF(AND(C26="Skema 1",B26="fr"),Skemaoplysninger!$M$31,"")</f>
        <v/>
      </c>
      <c r="CI26" s="210" t="str">
        <f>IF(AND(C26="Skema 2",B26="ma"),Skemaoplysninger!$S$31,"")</f>
        <v/>
      </c>
      <c r="CJ26" s="210" t="str">
        <f>IF(AND(C26="Skema 2",B26="ti"),Skemaoplysninger!$U$31,"")</f>
        <v/>
      </c>
      <c r="CK26" s="210" t="str">
        <f>IF(AND(C26="Skema 2",B26="on"),Skemaoplysninger!$W$31,"")</f>
        <v/>
      </c>
      <c r="CL26" s="210" t="str">
        <f>IF(AND(C26="Skema 2",B26="to"),Skemaoplysninger!$Y$31,"")</f>
        <v/>
      </c>
      <c r="CM26" s="210" t="str">
        <f>IF(AND(C26="Skema 2",B26="fr"),Skemaoplysninger!$AA$31,"")</f>
        <v/>
      </c>
      <c r="CN26" s="210" t="str">
        <f>IF(AND(C26="Skema 3",B26="ma"),Skemaoplysninger!$AG$31,"")</f>
        <v/>
      </c>
      <c r="CO26" s="210" t="str">
        <f>IF(AND(C26="Skema 3",B26="ti"),Skemaoplysninger!$AI$31,"")</f>
        <v/>
      </c>
      <c r="CP26" s="210" t="str">
        <f>IF(AND(C26="Skema 3",B26="on"),Skemaoplysninger!$AK$31,"")</f>
        <v/>
      </c>
      <c r="CQ26" s="210" t="str">
        <f>IF(AND(C26="Skema 3",B26="to"),Skemaoplysninger!$AM$31,"")</f>
        <v/>
      </c>
      <c r="CR26" s="210" t="str">
        <f>IF(AND(C26="Skema 3",B26="fr"),Skemaoplysninger!$AO$31,"")</f>
        <v/>
      </c>
      <c r="CS26" s="210" t="str">
        <f>IF(AND(C26="Skema 4",B26="ma"),Skemaoplysninger!$AU$31,"")</f>
        <v/>
      </c>
      <c r="CT26" s="210" t="str">
        <f>IF(AND(C26="Skema 4",B26="ti"),Skemaoplysninger!$AW$31,"")</f>
        <v/>
      </c>
      <c r="CU26" s="210" t="str">
        <f>IF(AND(C26="Skema 4",B26="on"),Skemaoplysninger!$AY$31,"")</f>
        <v/>
      </c>
      <c r="CV26" s="210" t="str">
        <f>IF(AND(C26="Skema 4",B26="to"),Skemaoplysninger!$BA$31,"")</f>
        <v/>
      </c>
      <c r="CW26" s="210" t="str">
        <f>IF(AND(C26="Skema 4",B26="fr"),Skemaoplysninger!$BC$31,"")</f>
        <v/>
      </c>
      <c r="CX26" s="249">
        <f>IF(Stamoplysninger!$H$29="NEJ",SUM(CD26:CW26)*24+CB26+CC26,0)</f>
        <v>0.83333333333333337</v>
      </c>
      <c r="CY26" s="249">
        <f>IF(C26="Skema 1",Stamoplysninger!$H$30/200,0)</f>
        <v>0</v>
      </c>
      <c r="CZ26" s="249">
        <f>IF(C26="Skema 2",Stamoplysninger!$H$30/200,0)</f>
        <v>0</v>
      </c>
      <c r="DA26" s="249">
        <f>IF(C26="Skema 3",Stamoplysninger!$H$30/200,0)</f>
        <v>0</v>
      </c>
      <c r="DB26" s="249">
        <f>IF(C26="Skema 4",Stamoplysninger!$H$30/200,0)</f>
        <v>0</v>
      </c>
      <c r="DC26" s="249">
        <f>IF(C26="fagdag",Stamoplysninger!$H$30/200,0)</f>
        <v>0</v>
      </c>
      <c r="DD26" s="249">
        <f>IF(C26="emnedag",Stamoplysninger!$H$30/200,0)</f>
        <v>0</v>
      </c>
      <c r="DE26" s="249">
        <f>IF(C26="lejrskole",Stamoplysninger!$H$30/200,0)</f>
        <v>0</v>
      </c>
      <c r="DF26" s="249">
        <f>IF(C26="ekskursion",Stamoplysninger!$H$30/200,0)</f>
        <v>0</v>
      </c>
      <c r="DG26" s="249">
        <f t="shared" si="26"/>
        <v>0</v>
      </c>
      <c r="DH26" t="str">
        <f t="shared" si="27"/>
        <v/>
      </c>
      <c r="DI26">
        <f t="shared" si="28"/>
        <v>0</v>
      </c>
      <c r="DJ26">
        <f t="shared" si="29"/>
        <v>0</v>
      </c>
      <c r="DK26" t="str">
        <f t="shared" si="13"/>
        <v/>
      </c>
      <c r="DL26" t="str">
        <f t="shared" si="13"/>
        <v/>
      </c>
      <c r="DM26" t="str">
        <f t="shared" si="13"/>
        <v/>
      </c>
      <c r="DN26" t="str">
        <f t="shared" si="30"/>
        <v/>
      </c>
      <c r="DO26" s="652">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71">
        <f>IF(AND(Stamoplysninger!$B$22="Ulempetillæg udbetales med 25% af nettotimelønnen.",C26="ikke relevant"),(R26)/4,0)</f>
        <v>0</v>
      </c>
      <c r="DT26" s="671">
        <f>IF(AND(AND(Stamoplysninger!$B$22="Ulempetillæg udbetales med 25% af nettotimelønnen.",I26="X",C26="Ikke relevant")),K26/4,0)</f>
        <v>0</v>
      </c>
      <c r="DU26" s="671">
        <f>IF(AND(AND(Stamoplysninger!$B$22="Ulempetillæg udbetales med 25% af nettotimelønnen.",C26="ikke relevant",U26="X")),(X26/4),0)</f>
        <v>0</v>
      </c>
      <c r="DV26" s="672">
        <f>IF(AND(AND(AND(Stamoplysninger!$B$22="Ulempetillæg udbetales med 25% af nettotimelønnen.",I26="X",C26="Ikke relevant",S26="X"))),V26/4,0)</f>
        <v>0</v>
      </c>
      <c r="DW26" s="652"/>
      <c r="DZ26" s="671"/>
      <c r="EA26" s="671"/>
      <c r="EB26" s="672"/>
      <c r="EC26" s="652">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71">
        <f>IF(AND(Stamoplysninger!$B$22="Ulempetillæg afspadseres med 25%(Kræver en aftale imellem ledelsen og den ansatte)",C26="ikke relevant"),(R26)/4,0)</f>
        <v>0</v>
      </c>
      <c r="EH26" s="671">
        <f>IF(AND(AND(Stamoplysninger!$B$22="Ulempetillæg afspadseres med 25%(Kræver en aftale imellem ledelsen og den ansatte)",I26="X",C26="Ikke relevant")),K26/4,0)</f>
        <v>0</v>
      </c>
      <c r="EI26" s="671">
        <f>IF(AND(AND(Stamoplysninger!$B$22="Ulempetillæg afspadseres med 25%(Kræver en aftale imellem ledelsen og den ansatte)",U26="X",C26="Ikke relevant")),X26/4,0)</f>
        <v>0</v>
      </c>
      <c r="EJ26" s="671">
        <f>IF(AND(AND(AND(Stamoplysninger!$B$22="Ulempetillæg afspadseres med 25%(Kræver en aftale imellem ledelsen og den ansatte)",I26="X",C26="Ikke relevant",S26="X"))),V26/4,0)</f>
        <v>0</v>
      </c>
      <c r="EK26" s="283">
        <f>IF(AND(Stamoplysninger!$B$26="Weekendtimer og weekendtillæg afspadseres.",I26="X"),K26*1.5,0)</f>
        <v>0</v>
      </c>
      <c r="EL26" s="251">
        <f>IF(AND(AND(Stamoplysninger!$B$26="Weekendtimer og weekendtillæg afspadseres.",I26="X",S26="X")),V26*1.5,0)</f>
        <v>0</v>
      </c>
      <c r="EM26" s="674">
        <f>IF(AND(AND(Stamoplysninger!$B$26="Weekendtimer og weekendtillæg afspadseres.",I26="X",C26="ikke relevant")),K26*1.5,0)</f>
        <v>0</v>
      </c>
      <c r="EN26" s="675">
        <f>IF(AND(AND(AND(Stamoplysninger!$B$26="Weekendtimer og weekendtillæg afspadseres.",I26="X",C26="ikke relevant",S26="X"))),(V26*1.5),0)</f>
        <v>0</v>
      </c>
      <c r="EO26" s="283">
        <f>IF(AND(Stamoplysninger!$B$26="Weekendtimer og weekendtillæg udbetales.",I26="X"),K26*1.5,0)</f>
        <v>0</v>
      </c>
      <c r="EP26" s="251">
        <f>IF(AND(AND(Stamoplysninger!$B$26="Weekendtimer og weekendtillæg udbetales.",I26="X",S26="X")),V26*1.5,0)</f>
        <v>0</v>
      </c>
      <c r="EQ26" s="674">
        <f>IF(AND(AND(Stamoplysninger!$B$26="Weekendtimer og weekendtillæg udbetales.",I26="X",C26="ikke relevant")),K26*1.5,0)</f>
        <v>0</v>
      </c>
      <c r="ER26" s="675">
        <f>IF(AND(AND(AND(Stamoplysninger!$B$26="Weekendtimer og weekendtillæg udbetales.",I26="X",C26="ikke relevant",S26="X"))),(V26*1.5),0)</f>
        <v>0</v>
      </c>
      <c r="ES26" s="283">
        <f>IF(AND(Stamoplysninger!$B$26="Der er indgået lokalaftale omkring weekendtimer.(Kræver aftale med TR/FSL) Weekendtillæg afspadseres.",I26="X"),K26*0.5,0)</f>
        <v>0</v>
      </c>
      <c r="ET26" s="251">
        <f>IF(AND(AND(Stamoplysninger!$B$26="Der er indgået lokalaftale omkring weekendtimer.(Kræver aftale med TR/FSL) Weekendtillæg afspadseres.",I26="X",S26="X")),V26*0.5,0)</f>
        <v>0</v>
      </c>
      <c r="EU26" s="674">
        <f>IF(AND(AND(Stamoplysninger!$B$26="Der er indgået lokalaftale omkring weekendtimer.(Kræver aftale med TR/FSL) Weekendtillæg afspadseres.",I26="X",C26="ikke relevant")),K26*0.5,0)</f>
        <v>0</v>
      </c>
      <c r="EV26" s="675">
        <f>IF(AND(AND(AND(Stamoplysninger!$B$26="Der er indgået lokalaftale omkring weekendtimer.(Kræver aftale med TR/FSL) Weekendtillæg afspadseres.",I26="X",C26="ikke relevant",S26="X"))),(V26*0.5),0)</f>
        <v>0</v>
      </c>
      <c r="EW26" s="283">
        <f>IF(AND(Stamoplysninger!$B$26="Der er indgået lokalaftale omkring weekendtimer(Kræver aftale med TR/FSL). Weekendtillæg udbetales.",I26="X"),K26*0.5,0)</f>
        <v>0</v>
      </c>
      <c r="EX26" s="251">
        <f>IF(AND(AND(Stamoplysninger!$B$26="Der er indgået lokalaftale omkring weekendtimer(Kræver aftale med TR/FSL). Weekendtillæg udbetales.",I26="X",S26="X")),V26*0.5,0)</f>
        <v>0</v>
      </c>
      <c r="EY26" s="674">
        <f>IF(AND(AND(Stamoplysninger!$B$26="Der er indgået lokalaftale omkring weekendtimer(Kræver aftale med TR/FSL). Weekendtillæg udbetales.",I26="X",C26="ikke relevant")),K26*0.5,0)</f>
        <v>0</v>
      </c>
      <c r="EZ26" s="675">
        <f>IF(AND(AND(AND(Stamoplysninger!$B$26="Der er indgået lokalaftale omkring weekendtimer(Kræver aftale med TR/FSL). Weekendtillæg udbetales.",I26="X",C26="ikke relevant",S26="X"))),(V26*0.5),0)</f>
        <v>0</v>
      </c>
      <c r="FA26" s="283">
        <f>IF(AND(Stamoplysninger!$B$26="Der er indgået lokalaftale omkring weekendtillæg(Kræver aftale med TR/FSL). Weekendtimerne afspadseres.",I26="X"),K26,0)</f>
        <v>0</v>
      </c>
      <c r="FB26" s="251">
        <f>IF(AND(AND(Stamoplysninger!$B$26="Der er indgået lokalaftale omkring weekendtillæg(Kræver aftale med TR/FSL). Weekendtimerne afspadseres.",I26="X",S26="X")),V26,0)</f>
        <v>0</v>
      </c>
      <c r="FC26" s="674">
        <f>IF(AND(AND(Stamoplysninger!$B$26="Der er indgået lokalaftale omkring weekendtillæg(Kræver aftale med TR/FSL). Weekendtimerne afspadseres..",I26="X",C26="ikke relevant")),K26,0)</f>
        <v>0</v>
      </c>
      <c r="FD26" s="675">
        <f>IF(AND(AND(AND(Stamoplysninger!$B$26="Der er indgået lokalaftale omkring weekendtillæg(Kræver aftale med TR/FSL). Weekendtimerne afspadseres.",I26="X",C26="ikke relevant",S26="X"))),(V26),0)</f>
        <v>0</v>
      </c>
      <c r="FE26" s="283">
        <f>IF(AND(Stamoplysninger!$B$26="Der er indgået lokalaftale omkring weekendtillæg(Kræver aftale med TR/FSL). Weekendtimerne udbetales.",I26="X"),K26,0)</f>
        <v>0</v>
      </c>
      <c r="FF26" s="251">
        <f>IF(AND(AND(Stamoplysninger!$B$26="Der er indgået lokalaftale omkring weekendtillæg(Kræver aftale med TR/FSL). Weekendtimerne udbetales.",I26="X",S26="X")),V26,0)</f>
        <v>0</v>
      </c>
      <c r="FG26" s="674">
        <f>IF(AND(AND(Stamoplysninger!$B$26="Der er indgået lokalaftale omkring weekendtillæg(Kræver aftale med TR/FSL). Weekendtimerne udbetales.",I26="X",C26="ikke relevant")),K26,0)</f>
        <v>0</v>
      </c>
      <c r="FH26" s="675">
        <f>IF(AND(AND(AND(Stamoplysninger!$B$26="Der er indgået lokalaftale omkring weekendtillæg(Kræver aftale med TR/FSL). Weekendtimerne udbetales.",I26="X",C26="ikke relevant",S26="X"))),(V26),0)</f>
        <v>0</v>
      </c>
      <c r="FI26" s="283">
        <f>IF(AND(Stamoplysninger!$B$26="Weekendtimer og weekendtillæg afspadseres.",I26="X"),K26,0)</f>
        <v>0</v>
      </c>
      <c r="FJ26" s="251">
        <f>IF(AND(Stamoplysninger!$B$26="Weekendtimer og weekendtillæg afspadseres.",Y26="X"),(AA26+AL26)/2,0)</f>
        <v>0</v>
      </c>
      <c r="FK26" s="674">
        <f>IF(AND(AND(Stamoplysninger!$B$26="Weekendtimer og weekendtillæg afspadseres.",I26="X",C26="ikke relevant")),K26,0)</f>
        <v>0</v>
      </c>
      <c r="FL26" s="675">
        <f>IF(AND(AND(Stamoplysninger!$B$26="Weekendtimer og weekendtillæg afspadseres.",Y26="X",S26="ikke relevant")),(AA26+AL26)/2,0)</f>
        <v>0</v>
      </c>
      <c r="FM26" s="283">
        <f>IF(AND(Stamoplysninger!$B$26="Der er indgået lokalaftale omkring weekendtillæg(Kræver aftale med TR/FSL). Weekendtimerne afspadseres.",I26="X"),K26,0)</f>
        <v>0</v>
      </c>
      <c r="FN26" s="674">
        <f>IF(AND(AND(Stamoplysninger!$B$26="Der er indgået lokalaftale omkring weekendtillæg(Kræver aftale med TR/FSL). Weekendtimerne afspadseres.",I26="X",C26="ikke relevant")),K26,0)</f>
        <v>0</v>
      </c>
      <c r="FO26" s="283">
        <f>IF(AND(Stamoplysninger!$B$26="Weekendtimer og weekendtillæg udbetales.",I26="X"),K26,0)</f>
        <v>0</v>
      </c>
      <c r="FP26" s="251">
        <f>IF(AND(Stamoplysninger!$B$26="Weekendtimer og weekendtillæg udbetales.",AA26="X"),(AC26+AN26)/2,0)</f>
        <v>0</v>
      </c>
      <c r="FQ26" s="674">
        <f>IF(AND(AND(Stamoplysninger!$B$26="Weekendtimer og weekendtillæg udbetales.",I26="X",C26="ikke relevant")),K26,0)</f>
        <v>0</v>
      </c>
      <c r="FR26" s="688">
        <f>IF(AND(AND(Stamoplysninger!$B$26="Weekendtimer og weekendtillæg udbetales.",AA26="X",U26="ikke relevant")),(AC26+AN26)/2,0)</f>
        <v>0</v>
      </c>
      <c r="FS26" s="283">
        <f t="shared" si="14"/>
        <v>0</v>
      </c>
      <c r="FT26" s="658">
        <f t="shared" si="15"/>
        <v>0</v>
      </c>
      <c r="FU26">
        <f t="shared" si="16"/>
        <v>0</v>
      </c>
      <c r="FV26" s="283">
        <f>IF(AND(Stamoplysninger!$B$26="Der er indgået lokalaftale omkring weekendtimer.(Kræver aftale med TR/FSL) Weekendtillæg afspadseres.",I26="X"),K26,0)</f>
        <v>0</v>
      </c>
      <c r="FW26" s="674">
        <f>IF(AND(AND(Stamoplysninger!$B$26="Der er indgået lokalaftale omkring weekendtimer.(Kræver aftale med TR/FSL) Weekendtillæg afspadseres.",I26="X",C26="ikke relevant")),K26,0)</f>
        <v>0</v>
      </c>
      <c r="FX26" s="283">
        <f>IF(AND(Stamoplysninger!$B$26="Der er indgået lokalaftale omkring weekendtimer(Kræver aftale med TR/FSL). Weekendtillæg udbetales.",I26="X"),K26,0)</f>
        <v>0</v>
      </c>
      <c r="FY26" s="674">
        <f>IF(AND(AND(Stamoplysninger!$B$26="Der er indgået lokalaftale omkring weekendtimer(Kræver aftale med TR/FSL). Weekendtillæg udbetales.",I26="X",C26="ikke relevant")),K26,0)</f>
        <v>0</v>
      </c>
      <c r="FZ26" s="283">
        <f>IF(AND(Stamoplysninger!$B$26="Der er indgået lokalaftale omkring weekendtillæg(Kræver aftale med TR/FSL). Weekendtimerne udbetales.",I26="X"),K26,0)</f>
        <v>0</v>
      </c>
      <c r="GA26" s="674">
        <f>IF(AND(AND(Stamoplysninger!$B$26="Der er indgået lokalaftale omkring weekendtillæg(Kræver aftale med TR/FSL). Weekendtimerne udbetales.",I26="X",C26="ikke relevant")),K26,0)</f>
        <v>0</v>
      </c>
      <c r="GB26" s="283">
        <f>IF(AND(Stamoplysninger!$B$26="Der er indgået lokalaftale omkring weekendtimer og weekendtillæg.(Kræver aftale med TR/FSL).",I26="X"),K26,0)</f>
        <v>0</v>
      </c>
      <c r="GC26" s="674">
        <f>IF(AND(AND(Stamoplysninger!$B$26="Der er indgået lokalaftale omkring weekendtimer og weekendtillæg.(Kræver aftale med TR/FSL).",I26="X",C26="ikke relevant")),K26,0)</f>
        <v>0</v>
      </c>
    </row>
    <row r="27" spans="1:185">
      <c r="A27" s="245">
        <f t="shared" si="17"/>
        <v>19</v>
      </c>
      <c r="B27" s="128" t="str">
        <f t="shared" si="0"/>
        <v>ti</v>
      </c>
      <c r="C27" s="129" t="s">
        <v>206</v>
      </c>
      <c r="D27" s="130" t="str">
        <f t="shared" si="1"/>
        <v/>
      </c>
      <c r="E27" s="917"/>
      <c r="F27" s="918"/>
      <c r="G27" s="919"/>
      <c r="H27" s="298"/>
      <c r="I27" s="527"/>
      <c r="J27" s="413"/>
      <c r="K27" s="380"/>
      <c r="L27" s="380"/>
      <c r="M27" s="380"/>
      <c r="N27" s="318">
        <f t="shared" si="18"/>
        <v>7.75</v>
      </c>
      <c r="O27" s="318">
        <f t="shared" si="19"/>
        <v>4.5</v>
      </c>
      <c r="P27" s="318">
        <f>IF(Stamoplysninger!$H$29="JA",November!DG27,CX27)</f>
        <v>1</v>
      </c>
      <c r="Q27" s="318">
        <f t="shared" si="20"/>
        <v>2.25</v>
      </c>
      <c r="R27" s="319"/>
      <c r="S27" s="324"/>
      <c r="T27" s="325"/>
      <c r="U27" s="325"/>
      <c r="V27" s="435"/>
      <c r="W27" s="435"/>
      <c r="X27" s="644"/>
      <c r="Y27">
        <f t="shared" si="21"/>
        <v>0</v>
      </c>
      <c r="Z27" s="437">
        <f t="shared" si="22"/>
        <v>0</v>
      </c>
      <c r="AA27" s="1">
        <f t="shared" si="2"/>
        <v>0</v>
      </c>
      <c r="AB27" s="1">
        <f t="shared" si="3"/>
        <v>0</v>
      </c>
      <c r="AC27" s="1">
        <f t="shared" si="4"/>
        <v>0</v>
      </c>
      <c r="AD27" s="1">
        <f t="shared" si="5"/>
        <v>0</v>
      </c>
      <c r="AE27" s="1">
        <f t="shared" si="6"/>
        <v>0</v>
      </c>
      <c r="AF27" s="1">
        <f>IF(C27="Orlov",7.4*Stamoplysninger!$E$15,0)</f>
        <v>0</v>
      </c>
      <c r="AG27" t="str">
        <f>IF(AND(C27="Skema 1",B27="ma"),Arbejdstidsoversigt!$E$72,"")</f>
        <v/>
      </c>
      <c r="AH27">
        <f>IF(AND(C27="Skema 1",B27="ti"),Arbejdstidsoversigt!$E$73,"")</f>
        <v>7.75</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7.75</v>
      </c>
      <c r="BB27" s="229">
        <f t="shared" si="7"/>
        <v>186</v>
      </c>
      <c r="BC27" s="1">
        <f t="shared" si="24"/>
        <v>0</v>
      </c>
      <c r="BD27" s="1">
        <f t="shared" si="8"/>
        <v>0</v>
      </c>
      <c r="BE27" s="1">
        <f t="shared" si="9"/>
        <v>0</v>
      </c>
      <c r="BF27" s="1">
        <f t="shared" si="10"/>
        <v>0</v>
      </c>
      <c r="BG27" s="210" t="str">
        <f>IF(AND(C27="Skema 1",B27="ma"),Skemaoplysninger!$E$30,"")</f>
        <v/>
      </c>
      <c r="BH27" s="210">
        <f>IF(AND(C27="Skema 1",B27="ti"),Skemaoplysninger!$G$30,"")</f>
        <v>0.1875</v>
      </c>
      <c r="BI27" s="210" t="str">
        <f>IF(AND(C27="Skema 1",B27="on"),Skemaoplysninger!$I$30,"")</f>
        <v/>
      </c>
      <c r="BJ27" s="210" t="str">
        <f>IF(AND(C27="Skema 1",B27="to"),Skemaoplysninger!$K$30,"")</f>
        <v/>
      </c>
      <c r="BK27" s="210" t="str">
        <f>IF(AND(C27="Skema 1",B27="fr"),Skemaoplysninger!$M$30,"")</f>
        <v/>
      </c>
      <c r="BL27" s="210" t="str">
        <f>IF(AND(C27="Skema 2",B27="ma"),Skemaoplysninger!$S$30,"")</f>
        <v/>
      </c>
      <c r="BM27" s="210" t="str">
        <f>IF(AND(C27="Skema 2",B27="ti"),Skemaoplysninger!$U$30,"")</f>
        <v/>
      </c>
      <c r="BN27" s="210" t="str">
        <f>IF(AND(C27="Skema 2",B27="on"),Skemaoplysninger!$W$30,"")</f>
        <v/>
      </c>
      <c r="BO27" s="210" t="str">
        <f>IF(AND(C27="Skema 2",B27="to"),Skemaoplysninger!$Y$30,"")</f>
        <v/>
      </c>
      <c r="BP27" s="210" t="str">
        <f>IF(AND(C27="Skema 2",B27="fr"),Skemaoplysninger!$AA$30,"")</f>
        <v/>
      </c>
      <c r="BQ27" s="210" t="str">
        <f>IF(AND(C27="Skema 3",B27="ma"),Skemaoplysninger!$AG$30,"")</f>
        <v/>
      </c>
      <c r="BR27" s="210" t="str">
        <f>IF(AND(C27="Skema 3",B27="ti"),Skemaoplysninger!$AI$30,"")</f>
        <v/>
      </c>
      <c r="BS27" s="210" t="str">
        <f>IF(AND(C27="Skema 3",B27="on"),Skemaoplysninger!$AK$30,"")</f>
        <v/>
      </c>
      <c r="BT27" s="210" t="str">
        <f>IF(AND(C27="Skema 3",B27="to"),Skemaoplysninger!$AM$30,"")</f>
        <v/>
      </c>
      <c r="BU27" s="210" t="str">
        <f>IF(AND(C27="Skema 3",B27="fr"),Skemaoplysninger!$AO$30,"")</f>
        <v/>
      </c>
      <c r="BV27" s="210" t="str">
        <f>IF(AND(C27="Skema 4",B27="ma"),Skemaoplysninger!$AU$30,"")</f>
        <v/>
      </c>
      <c r="BW27" s="210" t="str">
        <f>IF(AND(C27="Skema 4",B27="ti"),Skemaoplysninger!$AW$30,"")</f>
        <v/>
      </c>
      <c r="BX27" s="210" t="str">
        <f>IF(AND(C27="Skema 4",B27="on"),Skemaoplysninger!$AY$30,"")</f>
        <v/>
      </c>
      <c r="BY27" s="210" t="str">
        <f>IF(AND(C27="Skema 4",B27="to"),Skemaoplysninger!$BA$30,"")</f>
        <v/>
      </c>
      <c r="BZ27" s="210" t="str">
        <f>IF(AND(C27="Skema 4",B27="fr"),Skemaoplysninger!$BC$30,"")</f>
        <v/>
      </c>
      <c r="CA27" s="1">
        <f t="shared" si="25"/>
        <v>4.5</v>
      </c>
      <c r="CB27" s="1">
        <f t="shared" si="11"/>
        <v>0</v>
      </c>
      <c r="CC27" s="1">
        <f t="shared" si="12"/>
        <v>0</v>
      </c>
      <c r="CD27" s="210" t="str">
        <f>IF(AND(C27="Skema 1",B27="ma"),Skemaoplysninger!$E$31,"")</f>
        <v/>
      </c>
      <c r="CE27" s="210">
        <f>IF(AND(C27="Skema 1",B27="ti"),Skemaoplysninger!$G$31,"")</f>
        <v>4.1666666666666671E-2</v>
      </c>
      <c r="CF27" s="210" t="str">
        <f>IF(AND(C27="Skema 1",B27="on"),Skemaoplysninger!$I$31,"")</f>
        <v/>
      </c>
      <c r="CG27" s="210" t="str">
        <f>IF(AND(C27="Skema 1",B27="to"),Skemaoplysninger!$K$31,"")</f>
        <v/>
      </c>
      <c r="CH27" s="210" t="str">
        <f>IF(AND(C27="Skema 1",B27="fr"),Skemaoplysninger!$M$31,"")</f>
        <v/>
      </c>
      <c r="CI27" s="210" t="str">
        <f>IF(AND(C27="Skema 2",B27="ma"),Skemaoplysninger!$S$31,"")</f>
        <v/>
      </c>
      <c r="CJ27" s="210" t="str">
        <f>IF(AND(C27="Skema 2",B27="ti"),Skemaoplysninger!$U$31,"")</f>
        <v/>
      </c>
      <c r="CK27" s="210" t="str">
        <f>IF(AND(C27="Skema 2",B27="on"),Skemaoplysninger!$W$31,"")</f>
        <v/>
      </c>
      <c r="CL27" s="210" t="str">
        <f>IF(AND(C27="Skema 2",B27="to"),Skemaoplysninger!$Y$31,"")</f>
        <v/>
      </c>
      <c r="CM27" s="210" t="str">
        <f>IF(AND(C27="Skema 2",B27="fr"),Skemaoplysninger!$AA$31,"")</f>
        <v/>
      </c>
      <c r="CN27" s="210" t="str">
        <f>IF(AND(C27="Skema 3",B27="ma"),Skemaoplysninger!$AG$31,"")</f>
        <v/>
      </c>
      <c r="CO27" s="210" t="str">
        <f>IF(AND(C27="Skema 3",B27="ti"),Skemaoplysninger!$AI$31,"")</f>
        <v/>
      </c>
      <c r="CP27" s="210" t="str">
        <f>IF(AND(C27="Skema 3",B27="on"),Skemaoplysninger!$AK$31,"")</f>
        <v/>
      </c>
      <c r="CQ27" s="210" t="str">
        <f>IF(AND(C27="Skema 3",B27="to"),Skemaoplysninger!$AM$31,"")</f>
        <v/>
      </c>
      <c r="CR27" s="210" t="str">
        <f>IF(AND(C27="Skema 3",B27="fr"),Skemaoplysninger!$AO$31,"")</f>
        <v/>
      </c>
      <c r="CS27" s="210" t="str">
        <f>IF(AND(C27="Skema 4",B27="ma"),Skemaoplysninger!$AU$31,"")</f>
        <v/>
      </c>
      <c r="CT27" s="210" t="str">
        <f>IF(AND(C27="Skema 4",B27="ti"),Skemaoplysninger!$AW$31,"")</f>
        <v/>
      </c>
      <c r="CU27" s="210" t="str">
        <f>IF(AND(C27="Skema 4",B27="on"),Skemaoplysninger!$AY$31,"")</f>
        <v/>
      </c>
      <c r="CV27" s="210" t="str">
        <f>IF(AND(C27="Skema 4",B27="to"),Skemaoplysninger!$BA$31,"")</f>
        <v/>
      </c>
      <c r="CW27" s="210" t="str">
        <f>IF(AND(C27="Skema 4",B27="fr"),Skemaoplysninger!$BC$31,"")</f>
        <v/>
      </c>
      <c r="CX27" s="249">
        <f>IF(Stamoplysninger!$H$29="NEJ",SUM(CD27:CW27)*24+CB27+CC27,0)</f>
        <v>1</v>
      </c>
      <c r="CY27" s="249">
        <f>IF(C27="Skema 1",Stamoplysninger!$H$30/200,0)</f>
        <v>0</v>
      </c>
      <c r="CZ27" s="249">
        <f>IF(C27="Skema 2",Stamoplysninger!$H$30/200,0)</f>
        <v>0</v>
      </c>
      <c r="DA27" s="249">
        <f>IF(C27="Skema 3",Stamoplysninger!$H$30/200,0)</f>
        <v>0</v>
      </c>
      <c r="DB27" s="249">
        <f>IF(C27="Skema 4",Stamoplysninger!$H$30/200,0)</f>
        <v>0</v>
      </c>
      <c r="DC27" s="249">
        <f>IF(C27="fagdag",Stamoplysninger!$H$30/200,0)</f>
        <v>0</v>
      </c>
      <c r="DD27" s="249">
        <f>IF(C27="emnedag",Stamoplysninger!$H$30/200,0)</f>
        <v>0</v>
      </c>
      <c r="DE27" s="249">
        <f>IF(C27="lejrskole",Stamoplysninger!$H$30/200,0)</f>
        <v>0</v>
      </c>
      <c r="DF27" s="249">
        <f>IF(C27="ekskursion",Stamoplysninger!$H$30/200,0)</f>
        <v>0</v>
      </c>
      <c r="DG27" s="249">
        <f t="shared" si="26"/>
        <v>0</v>
      </c>
      <c r="DH27" t="str">
        <f t="shared" si="27"/>
        <v/>
      </c>
      <c r="DI27">
        <f t="shared" si="28"/>
        <v>0</v>
      </c>
      <c r="DJ27">
        <f t="shared" si="29"/>
        <v>0</v>
      </c>
      <c r="DK27" t="str">
        <f t="shared" si="13"/>
        <v/>
      </c>
      <c r="DL27" t="str">
        <f t="shared" si="13"/>
        <v/>
      </c>
      <c r="DM27" t="str">
        <f t="shared" si="13"/>
        <v/>
      </c>
      <c r="DN27" t="str">
        <f t="shared" si="30"/>
        <v/>
      </c>
      <c r="DO27" s="652">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71">
        <f>IF(AND(Stamoplysninger!$B$22="Ulempetillæg udbetales med 25% af nettotimelønnen.",C27="ikke relevant"),(R27)/4,0)</f>
        <v>0</v>
      </c>
      <c r="DT27" s="671">
        <f>IF(AND(AND(Stamoplysninger!$B$22="Ulempetillæg udbetales med 25% af nettotimelønnen.",I27="X",C27="Ikke relevant")),K27/4,0)</f>
        <v>0</v>
      </c>
      <c r="DU27" s="671">
        <f>IF(AND(AND(Stamoplysninger!$B$22="Ulempetillæg udbetales med 25% af nettotimelønnen.",C27="ikke relevant",U27="X")),(X27/4),0)</f>
        <v>0</v>
      </c>
      <c r="DV27" s="672">
        <f>IF(AND(AND(AND(Stamoplysninger!$B$22="Ulempetillæg udbetales med 25% af nettotimelønnen.",I27="X",C27="Ikke relevant",S27="X"))),V27/4,0)</f>
        <v>0</v>
      </c>
      <c r="DW27" s="652"/>
      <c r="DZ27" s="671"/>
      <c r="EA27" s="671"/>
      <c r="EB27" s="672"/>
      <c r="EC27" s="652">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71">
        <f>IF(AND(Stamoplysninger!$B$22="Ulempetillæg afspadseres med 25%(Kræver en aftale imellem ledelsen og den ansatte)",C27="ikke relevant"),(R27)/4,0)</f>
        <v>0</v>
      </c>
      <c r="EH27" s="671">
        <f>IF(AND(AND(Stamoplysninger!$B$22="Ulempetillæg afspadseres med 25%(Kræver en aftale imellem ledelsen og den ansatte)",I27="X",C27="Ikke relevant")),K27/4,0)</f>
        <v>0</v>
      </c>
      <c r="EI27" s="671">
        <f>IF(AND(AND(Stamoplysninger!$B$22="Ulempetillæg afspadseres med 25%(Kræver en aftale imellem ledelsen og den ansatte)",U27="X",C27="Ikke relevant")),X27/4,0)</f>
        <v>0</v>
      </c>
      <c r="EJ27" s="671">
        <f>IF(AND(AND(AND(Stamoplysninger!$B$22="Ulempetillæg afspadseres med 25%(Kræver en aftale imellem ledelsen og den ansatte)",I27="X",C27="Ikke relevant",S27="X"))),V27/4,0)</f>
        <v>0</v>
      </c>
      <c r="EK27" s="283">
        <f>IF(AND(Stamoplysninger!$B$26="Weekendtimer og weekendtillæg afspadseres.",I27="X"),K27*1.5,0)</f>
        <v>0</v>
      </c>
      <c r="EL27" s="251">
        <f>IF(AND(AND(Stamoplysninger!$B$26="Weekendtimer og weekendtillæg afspadseres.",I27="X",S27="X")),V27*1.5,0)</f>
        <v>0</v>
      </c>
      <c r="EM27" s="674">
        <f>IF(AND(AND(Stamoplysninger!$B$26="Weekendtimer og weekendtillæg afspadseres.",I27="X",C27="ikke relevant")),K27*1.5,0)</f>
        <v>0</v>
      </c>
      <c r="EN27" s="675">
        <f>IF(AND(AND(AND(Stamoplysninger!$B$26="Weekendtimer og weekendtillæg afspadseres.",I27="X",C27="ikke relevant",S27="X"))),(V27*1.5),0)</f>
        <v>0</v>
      </c>
      <c r="EO27" s="283">
        <f>IF(AND(Stamoplysninger!$B$26="Weekendtimer og weekendtillæg udbetales.",I27="X"),K27*1.5,0)</f>
        <v>0</v>
      </c>
      <c r="EP27" s="251">
        <f>IF(AND(AND(Stamoplysninger!$B$26="Weekendtimer og weekendtillæg udbetales.",I27="X",S27="X")),V27*1.5,0)</f>
        <v>0</v>
      </c>
      <c r="EQ27" s="674">
        <f>IF(AND(AND(Stamoplysninger!$B$26="Weekendtimer og weekendtillæg udbetales.",I27="X",C27="ikke relevant")),K27*1.5,0)</f>
        <v>0</v>
      </c>
      <c r="ER27" s="675">
        <f>IF(AND(AND(AND(Stamoplysninger!$B$26="Weekendtimer og weekendtillæg udbetales.",I27="X",C27="ikke relevant",S27="X"))),(V27*1.5),0)</f>
        <v>0</v>
      </c>
      <c r="ES27" s="283">
        <f>IF(AND(Stamoplysninger!$B$26="Der er indgået lokalaftale omkring weekendtimer.(Kræver aftale med TR/FSL) Weekendtillæg afspadseres.",I27="X"),K27*0.5,0)</f>
        <v>0</v>
      </c>
      <c r="ET27" s="251">
        <f>IF(AND(AND(Stamoplysninger!$B$26="Der er indgået lokalaftale omkring weekendtimer.(Kræver aftale med TR/FSL) Weekendtillæg afspadseres.",I27="X",S27="X")),V27*0.5,0)</f>
        <v>0</v>
      </c>
      <c r="EU27" s="674">
        <f>IF(AND(AND(Stamoplysninger!$B$26="Der er indgået lokalaftale omkring weekendtimer.(Kræver aftale med TR/FSL) Weekendtillæg afspadseres.",I27="X",C27="ikke relevant")),K27*0.5,0)</f>
        <v>0</v>
      </c>
      <c r="EV27" s="675">
        <f>IF(AND(AND(AND(Stamoplysninger!$B$26="Der er indgået lokalaftale omkring weekendtimer.(Kræver aftale med TR/FSL) Weekendtillæg afspadseres.",I27="X",C27="ikke relevant",S27="X"))),(V27*0.5),0)</f>
        <v>0</v>
      </c>
      <c r="EW27" s="283">
        <f>IF(AND(Stamoplysninger!$B$26="Der er indgået lokalaftale omkring weekendtimer(Kræver aftale med TR/FSL). Weekendtillæg udbetales.",I27="X"),K27*0.5,0)</f>
        <v>0</v>
      </c>
      <c r="EX27" s="251">
        <f>IF(AND(AND(Stamoplysninger!$B$26="Der er indgået lokalaftale omkring weekendtimer(Kræver aftale med TR/FSL). Weekendtillæg udbetales.",I27="X",S27="X")),V27*0.5,0)</f>
        <v>0</v>
      </c>
      <c r="EY27" s="674">
        <f>IF(AND(AND(Stamoplysninger!$B$26="Der er indgået lokalaftale omkring weekendtimer(Kræver aftale med TR/FSL). Weekendtillæg udbetales.",I27="X",C27="ikke relevant")),K27*0.5,0)</f>
        <v>0</v>
      </c>
      <c r="EZ27" s="675">
        <f>IF(AND(AND(AND(Stamoplysninger!$B$26="Der er indgået lokalaftale omkring weekendtimer(Kræver aftale med TR/FSL). Weekendtillæg udbetales.",I27="X",C27="ikke relevant",S27="X"))),(V27*0.5),0)</f>
        <v>0</v>
      </c>
      <c r="FA27" s="283">
        <f>IF(AND(Stamoplysninger!$B$26="Der er indgået lokalaftale omkring weekendtillæg(Kræver aftale med TR/FSL). Weekendtimerne afspadseres.",I27="X"),K27,0)</f>
        <v>0</v>
      </c>
      <c r="FB27" s="251">
        <f>IF(AND(AND(Stamoplysninger!$B$26="Der er indgået lokalaftale omkring weekendtillæg(Kræver aftale med TR/FSL). Weekendtimerne afspadseres.",I27="X",S27="X")),V27,0)</f>
        <v>0</v>
      </c>
      <c r="FC27" s="674">
        <f>IF(AND(AND(Stamoplysninger!$B$26="Der er indgået lokalaftale omkring weekendtillæg(Kræver aftale med TR/FSL). Weekendtimerne afspadseres..",I27="X",C27="ikke relevant")),K27,0)</f>
        <v>0</v>
      </c>
      <c r="FD27" s="675">
        <f>IF(AND(AND(AND(Stamoplysninger!$B$26="Der er indgået lokalaftale omkring weekendtillæg(Kræver aftale med TR/FSL). Weekendtimerne afspadseres.",I27="X",C27="ikke relevant",S27="X"))),(V27),0)</f>
        <v>0</v>
      </c>
      <c r="FE27" s="283">
        <f>IF(AND(Stamoplysninger!$B$26="Der er indgået lokalaftale omkring weekendtillæg(Kræver aftale med TR/FSL). Weekendtimerne udbetales.",I27="X"),K27,0)</f>
        <v>0</v>
      </c>
      <c r="FF27" s="251">
        <f>IF(AND(AND(Stamoplysninger!$B$26="Der er indgået lokalaftale omkring weekendtillæg(Kræver aftale med TR/FSL). Weekendtimerne udbetales.",I27="X",S27="X")),V27,0)</f>
        <v>0</v>
      </c>
      <c r="FG27" s="674">
        <f>IF(AND(AND(Stamoplysninger!$B$26="Der er indgået lokalaftale omkring weekendtillæg(Kræver aftale med TR/FSL). Weekendtimerne udbetales.",I27="X",C27="ikke relevant")),K27,0)</f>
        <v>0</v>
      </c>
      <c r="FH27" s="675">
        <f>IF(AND(AND(AND(Stamoplysninger!$B$26="Der er indgået lokalaftale omkring weekendtillæg(Kræver aftale med TR/FSL). Weekendtimerne udbetales.",I27="X",C27="ikke relevant",S27="X"))),(V27),0)</f>
        <v>0</v>
      </c>
      <c r="FI27" s="283">
        <f>IF(AND(Stamoplysninger!$B$26="Weekendtimer og weekendtillæg afspadseres.",I27="X"),K27,0)</f>
        <v>0</v>
      </c>
      <c r="FJ27" s="251">
        <f>IF(AND(Stamoplysninger!$B$26="Weekendtimer og weekendtillæg afspadseres.",Y27="X"),(AA27+AL27)/2,0)</f>
        <v>0</v>
      </c>
      <c r="FK27" s="674">
        <f>IF(AND(AND(Stamoplysninger!$B$26="Weekendtimer og weekendtillæg afspadseres.",I27="X",C27="ikke relevant")),K27,0)</f>
        <v>0</v>
      </c>
      <c r="FL27" s="675">
        <f>IF(AND(AND(Stamoplysninger!$B$26="Weekendtimer og weekendtillæg afspadseres.",Y27="X",S27="ikke relevant")),(AA27+AL27)/2,0)</f>
        <v>0</v>
      </c>
      <c r="FM27" s="283">
        <f>IF(AND(Stamoplysninger!$B$26="Der er indgået lokalaftale omkring weekendtillæg(Kræver aftale med TR/FSL). Weekendtimerne afspadseres.",I27="X"),K27,0)</f>
        <v>0</v>
      </c>
      <c r="FN27" s="674">
        <f>IF(AND(AND(Stamoplysninger!$B$26="Der er indgået lokalaftale omkring weekendtillæg(Kræver aftale med TR/FSL). Weekendtimerne afspadseres.",I27="X",C27="ikke relevant")),K27,0)</f>
        <v>0</v>
      </c>
      <c r="FO27" s="283">
        <f>IF(AND(Stamoplysninger!$B$26="Weekendtimer og weekendtillæg udbetales.",I27="X"),K27,0)</f>
        <v>0</v>
      </c>
      <c r="FP27" s="251">
        <f>IF(AND(Stamoplysninger!$B$26="Weekendtimer og weekendtillæg udbetales.",AA27="X"),(AC27+AN27)/2,0)</f>
        <v>0</v>
      </c>
      <c r="FQ27" s="674">
        <f>IF(AND(AND(Stamoplysninger!$B$26="Weekendtimer og weekendtillæg udbetales.",I27="X",C27="ikke relevant")),K27,0)</f>
        <v>0</v>
      </c>
      <c r="FR27" s="688">
        <f>IF(AND(AND(Stamoplysninger!$B$26="Weekendtimer og weekendtillæg udbetales.",AA27="X",U27="ikke relevant")),(AC27+AN27)/2,0)</f>
        <v>0</v>
      </c>
      <c r="FS27" s="283">
        <f t="shared" si="14"/>
        <v>0</v>
      </c>
      <c r="FT27" s="658">
        <f t="shared" si="15"/>
        <v>0</v>
      </c>
      <c r="FU27">
        <f t="shared" si="16"/>
        <v>0</v>
      </c>
      <c r="FV27" s="283">
        <f>IF(AND(Stamoplysninger!$B$26="Der er indgået lokalaftale omkring weekendtimer.(Kræver aftale med TR/FSL) Weekendtillæg afspadseres.",I27="X"),K27,0)</f>
        <v>0</v>
      </c>
      <c r="FW27" s="674">
        <f>IF(AND(AND(Stamoplysninger!$B$26="Der er indgået lokalaftale omkring weekendtimer.(Kræver aftale med TR/FSL) Weekendtillæg afspadseres.",I27="X",C27="ikke relevant")),K27,0)</f>
        <v>0</v>
      </c>
      <c r="FX27" s="283">
        <f>IF(AND(Stamoplysninger!$B$26="Der er indgået lokalaftale omkring weekendtimer(Kræver aftale med TR/FSL). Weekendtillæg udbetales.",I27="X"),K27,0)</f>
        <v>0</v>
      </c>
      <c r="FY27" s="674">
        <f>IF(AND(AND(Stamoplysninger!$B$26="Der er indgået lokalaftale omkring weekendtimer(Kræver aftale med TR/FSL). Weekendtillæg udbetales.",I27="X",C27="ikke relevant")),K27,0)</f>
        <v>0</v>
      </c>
      <c r="FZ27" s="283">
        <f>IF(AND(Stamoplysninger!$B$26="Der er indgået lokalaftale omkring weekendtillæg(Kræver aftale med TR/FSL). Weekendtimerne udbetales.",I27="X"),K27,0)</f>
        <v>0</v>
      </c>
      <c r="GA27" s="674">
        <f>IF(AND(AND(Stamoplysninger!$B$26="Der er indgået lokalaftale omkring weekendtillæg(Kræver aftale med TR/FSL). Weekendtimerne udbetales.",I27="X",C27="ikke relevant")),K27,0)</f>
        <v>0</v>
      </c>
      <c r="GB27" s="283">
        <f>IF(AND(Stamoplysninger!$B$26="Der er indgået lokalaftale omkring weekendtimer og weekendtillæg.(Kræver aftale med TR/FSL).",I27="X"),K27,0)</f>
        <v>0</v>
      </c>
      <c r="GC27" s="674">
        <f>IF(AND(AND(Stamoplysninger!$B$26="Der er indgået lokalaftale omkring weekendtimer og weekendtillæg.(Kræver aftale med TR/FSL).",I27="X",C27="ikke relevant")),K27,0)</f>
        <v>0</v>
      </c>
    </row>
    <row r="28" spans="1:185">
      <c r="A28" s="245">
        <f t="shared" si="17"/>
        <v>20</v>
      </c>
      <c r="B28" s="128" t="str">
        <f t="shared" si="0"/>
        <v>on</v>
      </c>
      <c r="C28" s="129" t="s">
        <v>206</v>
      </c>
      <c r="D28" s="130" t="str">
        <f t="shared" si="1"/>
        <v/>
      </c>
      <c r="E28" s="917"/>
      <c r="F28" s="918"/>
      <c r="G28" s="919"/>
      <c r="H28" s="298"/>
      <c r="I28" s="527"/>
      <c r="J28" s="413"/>
      <c r="K28" s="380"/>
      <c r="L28" s="380"/>
      <c r="M28" s="380"/>
      <c r="N28" s="318">
        <f t="shared" si="18"/>
        <v>7.75</v>
      </c>
      <c r="O28" s="318">
        <f t="shared" si="19"/>
        <v>5</v>
      </c>
      <c r="P28" s="318">
        <f>IF(Stamoplysninger!$H$29="JA",November!DG28,CX28)</f>
        <v>1.1666666666666665</v>
      </c>
      <c r="Q28" s="318">
        <f t="shared" si="20"/>
        <v>1.5833333333333335</v>
      </c>
      <c r="R28" s="319"/>
      <c r="S28" s="324"/>
      <c r="T28" s="325"/>
      <c r="U28" s="325"/>
      <c r="V28" s="435"/>
      <c r="W28" s="435"/>
      <c r="X28" s="644"/>
      <c r="Y28">
        <f t="shared" si="21"/>
        <v>0</v>
      </c>
      <c r="Z28" s="437">
        <f t="shared" si="22"/>
        <v>0</v>
      </c>
      <c r="AA28" s="1">
        <f t="shared" si="2"/>
        <v>0</v>
      </c>
      <c r="AB28" s="1">
        <f t="shared" si="3"/>
        <v>0</v>
      </c>
      <c r="AC28" s="1">
        <f t="shared" si="4"/>
        <v>0</v>
      </c>
      <c r="AD28" s="1">
        <f t="shared" si="5"/>
        <v>0</v>
      </c>
      <c r="AE28" s="1">
        <f t="shared" si="6"/>
        <v>0</v>
      </c>
      <c r="AF28" s="1">
        <f>IF(C28="Orlov",7.4*Stamoplysninger!$E$15,0)</f>
        <v>0</v>
      </c>
      <c r="AG28" t="str">
        <f>IF(AND(C28="Skema 1",B28="ma"),Arbejdstidsoversigt!$E$72,"")</f>
        <v/>
      </c>
      <c r="AH28" t="str">
        <f>IF(AND(C28="Skema 1",B28="ti"),Arbejdstidsoversigt!$E$73,"")</f>
        <v/>
      </c>
      <c r="AI28">
        <f>IF(AND(C28="Skema 1",B28="on"),Arbejdstidsoversigt!$E$74,"")</f>
        <v>7.75</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7.75</v>
      </c>
      <c r="BB28" s="229">
        <f t="shared" si="7"/>
        <v>186</v>
      </c>
      <c r="BC28" s="1">
        <f t="shared" si="24"/>
        <v>0</v>
      </c>
      <c r="BD28" s="1">
        <f t="shared" si="8"/>
        <v>0</v>
      </c>
      <c r="BE28" s="1">
        <f t="shared" si="9"/>
        <v>0</v>
      </c>
      <c r="BF28" s="1">
        <f t="shared" si="10"/>
        <v>0</v>
      </c>
      <c r="BG28" s="210" t="str">
        <f>IF(AND(C28="Skema 1",B28="ma"),Skemaoplysninger!$E$30,"")</f>
        <v/>
      </c>
      <c r="BH28" s="210" t="str">
        <f>IF(AND(C28="Skema 1",B28="ti"),Skemaoplysninger!$G$30,"")</f>
        <v/>
      </c>
      <c r="BI28" s="210">
        <f>IF(AND(C28="Skema 1",B28="on"),Skemaoplysninger!$I$30,"")</f>
        <v>0.20833333333333331</v>
      </c>
      <c r="BJ28" s="210" t="str">
        <f>IF(AND(C28="Skema 1",B28="to"),Skemaoplysninger!$K$30,"")</f>
        <v/>
      </c>
      <c r="BK28" s="210" t="str">
        <f>IF(AND(C28="Skema 1",B28="fr"),Skemaoplysninger!$M$30,"")</f>
        <v/>
      </c>
      <c r="BL28" s="210" t="str">
        <f>IF(AND(C28="Skema 2",B28="ma"),Skemaoplysninger!$S$30,"")</f>
        <v/>
      </c>
      <c r="BM28" s="210" t="str">
        <f>IF(AND(C28="Skema 2",B28="ti"),Skemaoplysninger!$U$30,"")</f>
        <v/>
      </c>
      <c r="BN28" s="210" t="str">
        <f>IF(AND(C28="Skema 2",B28="on"),Skemaoplysninger!$W$30,"")</f>
        <v/>
      </c>
      <c r="BO28" s="210" t="str">
        <f>IF(AND(C28="Skema 2",B28="to"),Skemaoplysninger!$Y$30,"")</f>
        <v/>
      </c>
      <c r="BP28" s="210" t="str">
        <f>IF(AND(C28="Skema 2",B28="fr"),Skemaoplysninger!$AA$30,"")</f>
        <v/>
      </c>
      <c r="BQ28" s="210" t="str">
        <f>IF(AND(C28="Skema 3",B28="ma"),Skemaoplysninger!$AG$30,"")</f>
        <v/>
      </c>
      <c r="BR28" s="210" t="str">
        <f>IF(AND(C28="Skema 3",B28="ti"),Skemaoplysninger!$AI$30,"")</f>
        <v/>
      </c>
      <c r="BS28" s="210" t="str">
        <f>IF(AND(C28="Skema 3",B28="on"),Skemaoplysninger!$AK$30,"")</f>
        <v/>
      </c>
      <c r="BT28" s="210" t="str">
        <f>IF(AND(C28="Skema 3",B28="to"),Skemaoplysninger!$AM$30,"")</f>
        <v/>
      </c>
      <c r="BU28" s="210" t="str">
        <f>IF(AND(C28="Skema 3",B28="fr"),Skemaoplysninger!$AO$30,"")</f>
        <v/>
      </c>
      <c r="BV28" s="210" t="str">
        <f>IF(AND(C28="Skema 4",B28="ma"),Skemaoplysninger!$AU$30,"")</f>
        <v/>
      </c>
      <c r="BW28" s="210" t="str">
        <f>IF(AND(C28="Skema 4",B28="ti"),Skemaoplysninger!$AW$30,"")</f>
        <v/>
      </c>
      <c r="BX28" s="210" t="str">
        <f>IF(AND(C28="Skema 4",B28="on"),Skemaoplysninger!$AY$30,"")</f>
        <v/>
      </c>
      <c r="BY28" s="210" t="str">
        <f>IF(AND(C28="Skema 4",B28="to"),Skemaoplysninger!$BA$30,"")</f>
        <v/>
      </c>
      <c r="BZ28" s="210" t="str">
        <f>IF(AND(C28="Skema 4",B28="fr"),Skemaoplysninger!$BC$30,"")</f>
        <v/>
      </c>
      <c r="CA28" s="1">
        <f t="shared" si="25"/>
        <v>5</v>
      </c>
      <c r="CB28" s="1">
        <f t="shared" si="11"/>
        <v>0</v>
      </c>
      <c r="CC28" s="1">
        <f t="shared" si="12"/>
        <v>0</v>
      </c>
      <c r="CD28" s="210" t="str">
        <f>IF(AND(C28="Skema 1",B28="ma"),Skemaoplysninger!$E$31,"")</f>
        <v/>
      </c>
      <c r="CE28" s="210" t="str">
        <f>IF(AND(C28="Skema 1",B28="ti"),Skemaoplysninger!$G$31,"")</f>
        <v/>
      </c>
      <c r="CF28" s="210">
        <f>IF(AND(C28="Skema 1",B28="on"),Skemaoplysninger!$I$31,"")</f>
        <v>4.8611111111111105E-2</v>
      </c>
      <c r="CG28" s="210" t="str">
        <f>IF(AND(C28="Skema 1",B28="to"),Skemaoplysninger!$K$31,"")</f>
        <v/>
      </c>
      <c r="CH28" s="210" t="str">
        <f>IF(AND(C28="Skema 1",B28="fr"),Skemaoplysninger!$M$31,"")</f>
        <v/>
      </c>
      <c r="CI28" s="210" t="str">
        <f>IF(AND(C28="Skema 2",B28="ma"),Skemaoplysninger!$S$31,"")</f>
        <v/>
      </c>
      <c r="CJ28" s="210" t="str">
        <f>IF(AND(C28="Skema 2",B28="ti"),Skemaoplysninger!$U$31,"")</f>
        <v/>
      </c>
      <c r="CK28" s="210" t="str">
        <f>IF(AND(C28="Skema 2",B28="on"),Skemaoplysninger!$W$31,"")</f>
        <v/>
      </c>
      <c r="CL28" s="210" t="str">
        <f>IF(AND(C28="Skema 2",B28="to"),Skemaoplysninger!$Y$31,"")</f>
        <v/>
      </c>
      <c r="CM28" s="210" t="str">
        <f>IF(AND(C28="Skema 2",B28="fr"),Skemaoplysninger!$AA$31,"")</f>
        <v/>
      </c>
      <c r="CN28" s="210" t="str">
        <f>IF(AND(C28="Skema 3",B28="ma"),Skemaoplysninger!$AG$31,"")</f>
        <v/>
      </c>
      <c r="CO28" s="210" t="str">
        <f>IF(AND(C28="Skema 3",B28="ti"),Skemaoplysninger!$AI$31,"")</f>
        <v/>
      </c>
      <c r="CP28" s="210" t="str">
        <f>IF(AND(C28="Skema 3",B28="on"),Skemaoplysninger!$AK$31,"")</f>
        <v/>
      </c>
      <c r="CQ28" s="210" t="str">
        <f>IF(AND(C28="Skema 3",B28="to"),Skemaoplysninger!$AM$31,"")</f>
        <v/>
      </c>
      <c r="CR28" s="210" t="str">
        <f>IF(AND(C28="Skema 3",B28="fr"),Skemaoplysninger!$AO$31,"")</f>
        <v/>
      </c>
      <c r="CS28" s="210" t="str">
        <f>IF(AND(C28="Skema 4",B28="ma"),Skemaoplysninger!$AU$31,"")</f>
        <v/>
      </c>
      <c r="CT28" s="210" t="str">
        <f>IF(AND(C28="Skema 4",B28="ti"),Skemaoplysninger!$AW$31,"")</f>
        <v/>
      </c>
      <c r="CU28" s="210" t="str">
        <f>IF(AND(C28="Skema 4",B28="on"),Skemaoplysninger!$AY$31,"")</f>
        <v/>
      </c>
      <c r="CV28" s="210" t="str">
        <f>IF(AND(C28="Skema 4",B28="to"),Skemaoplysninger!$BA$31,"")</f>
        <v/>
      </c>
      <c r="CW28" s="210" t="str">
        <f>IF(AND(C28="Skema 4",B28="fr"),Skemaoplysninger!$BC$31,"")</f>
        <v/>
      </c>
      <c r="CX28" s="249">
        <f>IF(Stamoplysninger!$H$29="NEJ",SUM(CD28:CW28)*24+CB28+CC28,0)</f>
        <v>1.1666666666666665</v>
      </c>
      <c r="CY28" s="249">
        <f>IF(C28="Skema 1",Stamoplysninger!$H$30/200,0)</f>
        <v>0</v>
      </c>
      <c r="CZ28" s="249">
        <f>IF(C28="Skema 2",Stamoplysninger!$H$30/200,0)</f>
        <v>0</v>
      </c>
      <c r="DA28" s="249">
        <f>IF(C28="Skema 3",Stamoplysninger!$H$30/200,0)</f>
        <v>0</v>
      </c>
      <c r="DB28" s="249">
        <f>IF(C28="Skema 4",Stamoplysninger!$H$30/200,0)</f>
        <v>0</v>
      </c>
      <c r="DC28" s="249">
        <f>IF(C28="fagdag",Stamoplysninger!$H$30/200,0)</f>
        <v>0</v>
      </c>
      <c r="DD28" s="249">
        <f>IF(C28="emnedag",Stamoplysninger!$H$30/200,0)</f>
        <v>0</v>
      </c>
      <c r="DE28" s="249">
        <f>IF(C28="lejrskole",Stamoplysninger!$H$30/200,0)</f>
        <v>0</v>
      </c>
      <c r="DF28" s="249">
        <f>IF(C28="ekskursion",Stamoplysninger!$H$30/200,0)</f>
        <v>0</v>
      </c>
      <c r="DG28" s="249">
        <f t="shared" si="26"/>
        <v>0</v>
      </c>
      <c r="DH28" t="str">
        <f t="shared" si="27"/>
        <v/>
      </c>
      <c r="DI28">
        <f t="shared" si="28"/>
        <v>0</v>
      </c>
      <c r="DJ28">
        <f t="shared" si="29"/>
        <v>0</v>
      </c>
      <c r="DK28" t="str">
        <f t="shared" si="13"/>
        <v/>
      </c>
      <c r="DL28" t="str">
        <f t="shared" si="13"/>
        <v/>
      </c>
      <c r="DM28" t="str">
        <f t="shared" si="13"/>
        <v/>
      </c>
      <c r="DN28" t="str">
        <f t="shared" si="30"/>
        <v/>
      </c>
      <c r="DO28" s="652">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71">
        <f>IF(AND(Stamoplysninger!$B$22="Ulempetillæg udbetales med 25% af nettotimelønnen.",C28="ikke relevant"),(R28)/4,0)</f>
        <v>0</v>
      </c>
      <c r="DT28" s="671">
        <f>IF(AND(AND(Stamoplysninger!$B$22="Ulempetillæg udbetales med 25% af nettotimelønnen.",I28="X",C28="Ikke relevant")),K28/4,0)</f>
        <v>0</v>
      </c>
      <c r="DU28" s="671">
        <f>IF(AND(AND(Stamoplysninger!$B$22="Ulempetillæg udbetales med 25% af nettotimelønnen.",C28="ikke relevant",U28="X")),(X28/4),0)</f>
        <v>0</v>
      </c>
      <c r="DV28" s="672">
        <f>IF(AND(AND(AND(Stamoplysninger!$B$22="Ulempetillæg udbetales med 25% af nettotimelønnen.",I28="X",C28="Ikke relevant",S28="X"))),V28/4,0)</f>
        <v>0</v>
      </c>
      <c r="DW28" s="652"/>
      <c r="DZ28" s="671"/>
      <c r="EA28" s="671"/>
      <c r="EB28" s="672"/>
      <c r="EC28" s="652">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71">
        <f>IF(AND(Stamoplysninger!$B$22="Ulempetillæg afspadseres med 25%(Kræver en aftale imellem ledelsen og den ansatte)",C28="ikke relevant"),(R28)/4,0)</f>
        <v>0</v>
      </c>
      <c r="EH28" s="671">
        <f>IF(AND(AND(Stamoplysninger!$B$22="Ulempetillæg afspadseres med 25%(Kræver en aftale imellem ledelsen og den ansatte)",I28="X",C28="Ikke relevant")),K28/4,0)</f>
        <v>0</v>
      </c>
      <c r="EI28" s="671">
        <f>IF(AND(AND(Stamoplysninger!$B$22="Ulempetillæg afspadseres med 25%(Kræver en aftale imellem ledelsen og den ansatte)",U28="X",C28="Ikke relevant")),X28/4,0)</f>
        <v>0</v>
      </c>
      <c r="EJ28" s="671">
        <f>IF(AND(AND(AND(Stamoplysninger!$B$22="Ulempetillæg afspadseres med 25%(Kræver en aftale imellem ledelsen og den ansatte)",I28="X",C28="Ikke relevant",S28="X"))),V28/4,0)</f>
        <v>0</v>
      </c>
      <c r="EK28" s="283">
        <f>IF(AND(Stamoplysninger!$B$26="Weekendtimer og weekendtillæg afspadseres.",I28="X"),K28*1.5,0)</f>
        <v>0</v>
      </c>
      <c r="EL28" s="251">
        <f>IF(AND(AND(Stamoplysninger!$B$26="Weekendtimer og weekendtillæg afspadseres.",I28="X",S28="X")),V28*1.5,0)</f>
        <v>0</v>
      </c>
      <c r="EM28" s="674">
        <f>IF(AND(AND(Stamoplysninger!$B$26="Weekendtimer og weekendtillæg afspadseres.",I28="X",C28="ikke relevant")),K28*1.5,0)</f>
        <v>0</v>
      </c>
      <c r="EN28" s="675">
        <f>IF(AND(AND(AND(Stamoplysninger!$B$26="Weekendtimer og weekendtillæg afspadseres.",I28="X",C28="ikke relevant",S28="X"))),(V28*1.5),0)</f>
        <v>0</v>
      </c>
      <c r="EO28" s="283">
        <f>IF(AND(Stamoplysninger!$B$26="Weekendtimer og weekendtillæg udbetales.",I28="X"),K28*1.5,0)</f>
        <v>0</v>
      </c>
      <c r="EP28" s="251">
        <f>IF(AND(AND(Stamoplysninger!$B$26="Weekendtimer og weekendtillæg udbetales.",I28="X",S28="X")),V28*1.5,0)</f>
        <v>0</v>
      </c>
      <c r="EQ28" s="674">
        <f>IF(AND(AND(Stamoplysninger!$B$26="Weekendtimer og weekendtillæg udbetales.",I28="X",C28="ikke relevant")),K28*1.5,0)</f>
        <v>0</v>
      </c>
      <c r="ER28" s="675">
        <f>IF(AND(AND(AND(Stamoplysninger!$B$26="Weekendtimer og weekendtillæg udbetales.",I28="X",C28="ikke relevant",S28="X"))),(V28*1.5),0)</f>
        <v>0</v>
      </c>
      <c r="ES28" s="283">
        <f>IF(AND(Stamoplysninger!$B$26="Der er indgået lokalaftale omkring weekendtimer.(Kræver aftale med TR/FSL) Weekendtillæg afspadseres.",I28="X"),K28*0.5,0)</f>
        <v>0</v>
      </c>
      <c r="ET28" s="251">
        <f>IF(AND(AND(Stamoplysninger!$B$26="Der er indgået lokalaftale omkring weekendtimer.(Kræver aftale med TR/FSL) Weekendtillæg afspadseres.",I28="X",S28="X")),V28*0.5,0)</f>
        <v>0</v>
      </c>
      <c r="EU28" s="674">
        <f>IF(AND(AND(Stamoplysninger!$B$26="Der er indgået lokalaftale omkring weekendtimer.(Kræver aftale med TR/FSL) Weekendtillæg afspadseres.",I28="X",C28="ikke relevant")),K28*0.5,0)</f>
        <v>0</v>
      </c>
      <c r="EV28" s="675">
        <f>IF(AND(AND(AND(Stamoplysninger!$B$26="Der er indgået lokalaftale omkring weekendtimer.(Kræver aftale med TR/FSL) Weekendtillæg afspadseres.",I28="X",C28="ikke relevant",S28="X"))),(V28*0.5),0)</f>
        <v>0</v>
      </c>
      <c r="EW28" s="283">
        <f>IF(AND(Stamoplysninger!$B$26="Der er indgået lokalaftale omkring weekendtimer(Kræver aftale med TR/FSL). Weekendtillæg udbetales.",I28="X"),K28*0.5,0)</f>
        <v>0</v>
      </c>
      <c r="EX28" s="251">
        <f>IF(AND(AND(Stamoplysninger!$B$26="Der er indgået lokalaftale omkring weekendtimer(Kræver aftale med TR/FSL). Weekendtillæg udbetales.",I28="X",S28="X")),V28*0.5,0)</f>
        <v>0</v>
      </c>
      <c r="EY28" s="674">
        <f>IF(AND(AND(Stamoplysninger!$B$26="Der er indgået lokalaftale omkring weekendtimer(Kræver aftale med TR/FSL). Weekendtillæg udbetales.",I28="X",C28="ikke relevant")),K28*0.5,0)</f>
        <v>0</v>
      </c>
      <c r="EZ28" s="675">
        <f>IF(AND(AND(AND(Stamoplysninger!$B$26="Der er indgået lokalaftale omkring weekendtimer(Kræver aftale med TR/FSL). Weekendtillæg udbetales.",I28="X",C28="ikke relevant",S28="X"))),(V28*0.5),0)</f>
        <v>0</v>
      </c>
      <c r="FA28" s="283">
        <f>IF(AND(Stamoplysninger!$B$26="Der er indgået lokalaftale omkring weekendtillæg(Kræver aftale med TR/FSL). Weekendtimerne afspadseres.",I28="X"),K28,0)</f>
        <v>0</v>
      </c>
      <c r="FB28" s="251">
        <f>IF(AND(AND(Stamoplysninger!$B$26="Der er indgået lokalaftale omkring weekendtillæg(Kræver aftale med TR/FSL). Weekendtimerne afspadseres.",I28="X",S28="X")),V28,0)</f>
        <v>0</v>
      </c>
      <c r="FC28" s="674">
        <f>IF(AND(AND(Stamoplysninger!$B$26="Der er indgået lokalaftale omkring weekendtillæg(Kræver aftale med TR/FSL). Weekendtimerne afspadseres..",I28="X",C28="ikke relevant")),K28,0)</f>
        <v>0</v>
      </c>
      <c r="FD28" s="675">
        <f>IF(AND(AND(AND(Stamoplysninger!$B$26="Der er indgået lokalaftale omkring weekendtillæg(Kræver aftale med TR/FSL). Weekendtimerne afspadseres.",I28="X",C28="ikke relevant",S28="X"))),(V28),0)</f>
        <v>0</v>
      </c>
      <c r="FE28" s="283">
        <f>IF(AND(Stamoplysninger!$B$26="Der er indgået lokalaftale omkring weekendtillæg(Kræver aftale med TR/FSL). Weekendtimerne udbetales.",I28="X"),K28,0)</f>
        <v>0</v>
      </c>
      <c r="FF28" s="251">
        <f>IF(AND(AND(Stamoplysninger!$B$26="Der er indgået lokalaftale omkring weekendtillæg(Kræver aftale med TR/FSL). Weekendtimerne udbetales.",I28="X",S28="X")),V28,0)</f>
        <v>0</v>
      </c>
      <c r="FG28" s="674">
        <f>IF(AND(AND(Stamoplysninger!$B$26="Der er indgået lokalaftale omkring weekendtillæg(Kræver aftale med TR/FSL). Weekendtimerne udbetales.",I28="X",C28="ikke relevant")),K28,0)</f>
        <v>0</v>
      </c>
      <c r="FH28" s="675">
        <f>IF(AND(AND(AND(Stamoplysninger!$B$26="Der er indgået lokalaftale omkring weekendtillæg(Kræver aftale med TR/FSL). Weekendtimerne udbetales.",I28="X",C28="ikke relevant",S28="X"))),(V28),0)</f>
        <v>0</v>
      </c>
      <c r="FI28" s="283">
        <f>IF(AND(Stamoplysninger!$B$26="Weekendtimer og weekendtillæg afspadseres.",I28="X"),K28,0)</f>
        <v>0</v>
      </c>
      <c r="FJ28" s="251">
        <f>IF(AND(Stamoplysninger!$B$26="Weekendtimer og weekendtillæg afspadseres.",Y28="X"),(AA28+AL28)/2,0)</f>
        <v>0</v>
      </c>
      <c r="FK28" s="674">
        <f>IF(AND(AND(Stamoplysninger!$B$26="Weekendtimer og weekendtillæg afspadseres.",I28="X",C28="ikke relevant")),K28,0)</f>
        <v>0</v>
      </c>
      <c r="FL28" s="675">
        <f>IF(AND(AND(Stamoplysninger!$B$26="Weekendtimer og weekendtillæg afspadseres.",Y28="X",S28="ikke relevant")),(AA28+AL28)/2,0)</f>
        <v>0</v>
      </c>
      <c r="FM28" s="283">
        <f>IF(AND(Stamoplysninger!$B$26="Der er indgået lokalaftale omkring weekendtillæg(Kræver aftale med TR/FSL). Weekendtimerne afspadseres.",I28="X"),K28,0)</f>
        <v>0</v>
      </c>
      <c r="FN28" s="674">
        <f>IF(AND(AND(Stamoplysninger!$B$26="Der er indgået lokalaftale omkring weekendtillæg(Kræver aftale med TR/FSL). Weekendtimerne afspadseres.",I28="X",C28="ikke relevant")),K28,0)</f>
        <v>0</v>
      </c>
      <c r="FO28" s="283">
        <f>IF(AND(Stamoplysninger!$B$26="Weekendtimer og weekendtillæg udbetales.",I28="X"),K28,0)</f>
        <v>0</v>
      </c>
      <c r="FP28" s="251">
        <f>IF(AND(Stamoplysninger!$B$26="Weekendtimer og weekendtillæg udbetales.",AA28="X"),(AC28+AN28)/2,0)</f>
        <v>0</v>
      </c>
      <c r="FQ28" s="674">
        <f>IF(AND(AND(Stamoplysninger!$B$26="Weekendtimer og weekendtillæg udbetales.",I28="X",C28="ikke relevant")),K28,0)</f>
        <v>0</v>
      </c>
      <c r="FR28" s="688">
        <f>IF(AND(AND(Stamoplysninger!$B$26="Weekendtimer og weekendtillæg udbetales.",AA28="X",U28="ikke relevant")),(AC28+AN28)/2,0)</f>
        <v>0</v>
      </c>
      <c r="FS28" s="283">
        <f t="shared" si="14"/>
        <v>0</v>
      </c>
      <c r="FT28" s="658">
        <f t="shared" si="15"/>
        <v>0</v>
      </c>
      <c r="FU28">
        <f t="shared" si="16"/>
        <v>0</v>
      </c>
      <c r="FV28" s="283">
        <f>IF(AND(Stamoplysninger!$B$26="Der er indgået lokalaftale omkring weekendtimer.(Kræver aftale med TR/FSL) Weekendtillæg afspadseres.",I28="X"),K28,0)</f>
        <v>0</v>
      </c>
      <c r="FW28" s="674">
        <f>IF(AND(AND(Stamoplysninger!$B$26="Der er indgået lokalaftale omkring weekendtimer.(Kræver aftale med TR/FSL) Weekendtillæg afspadseres.",I28="X",C28="ikke relevant")),K28,0)</f>
        <v>0</v>
      </c>
      <c r="FX28" s="283">
        <f>IF(AND(Stamoplysninger!$B$26="Der er indgået lokalaftale omkring weekendtimer(Kræver aftale med TR/FSL). Weekendtillæg udbetales.",I28="X"),K28,0)</f>
        <v>0</v>
      </c>
      <c r="FY28" s="674">
        <f>IF(AND(AND(Stamoplysninger!$B$26="Der er indgået lokalaftale omkring weekendtimer(Kræver aftale med TR/FSL). Weekendtillæg udbetales.",I28="X",C28="ikke relevant")),K28,0)</f>
        <v>0</v>
      </c>
      <c r="FZ28" s="283">
        <f>IF(AND(Stamoplysninger!$B$26="Der er indgået lokalaftale omkring weekendtillæg(Kræver aftale med TR/FSL). Weekendtimerne udbetales.",I28="X"),K28,0)</f>
        <v>0</v>
      </c>
      <c r="GA28" s="674">
        <f>IF(AND(AND(Stamoplysninger!$B$26="Der er indgået lokalaftale omkring weekendtillæg(Kræver aftale med TR/FSL). Weekendtimerne udbetales.",I28="X",C28="ikke relevant")),K28,0)</f>
        <v>0</v>
      </c>
      <c r="GB28" s="283">
        <f>IF(AND(Stamoplysninger!$B$26="Der er indgået lokalaftale omkring weekendtimer og weekendtillæg.(Kræver aftale med TR/FSL).",I28="X"),K28,0)</f>
        <v>0</v>
      </c>
      <c r="GC28" s="674">
        <f>IF(AND(AND(Stamoplysninger!$B$26="Der er indgået lokalaftale omkring weekendtimer og weekendtillæg.(Kræver aftale med TR/FSL).",I28="X",C28="ikke relevant")),K28,0)</f>
        <v>0</v>
      </c>
    </row>
    <row r="29" spans="1:185">
      <c r="A29" s="245">
        <f t="shared" si="17"/>
        <v>21</v>
      </c>
      <c r="B29" s="128" t="str">
        <f t="shared" si="0"/>
        <v>to</v>
      </c>
      <c r="C29" s="129" t="s">
        <v>206</v>
      </c>
      <c r="D29" s="130" t="str">
        <f t="shared" si="1"/>
        <v/>
      </c>
      <c r="E29" s="917"/>
      <c r="F29" s="918"/>
      <c r="G29" s="919"/>
      <c r="H29" s="298"/>
      <c r="I29" s="527"/>
      <c r="J29" s="413"/>
      <c r="K29" s="380"/>
      <c r="L29" s="380"/>
      <c r="M29" s="380"/>
      <c r="N29" s="318">
        <f t="shared" si="18"/>
        <v>8.5</v>
      </c>
      <c r="O29" s="318">
        <f t="shared" si="19"/>
        <v>3</v>
      </c>
      <c r="P29" s="318">
        <f>IF(Stamoplysninger!$H$29="JA",November!DG29,CX29)</f>
        <v>1.5</v>
      </c>
      <c r="Q29" s="318">
        <f t="shared" si="20"/>
        <v>4</v>
      </c>
      <c r="R29" s="319"/>
      <c r="S29" s="324"/>
      <c r="T29" s="325"/>
      <c r="U29" s="325"/>
      <c r="V29" s="435"/>
      <c r="W29" s="435"/>
      <c r="X29" s="644"/>
      <c r="Y29">
        <f t="shared" si="21"/>
        <v>0</v>
      </c>
      <c r="Z29" s="437">
        <f t="shared" si="22"/>
        <v>0</v>
      </c>
      <c r="AA29" s="1">
        <f t="shared" si="2"/>
        <v>0</v>
      </c>
      <c r="AB29" s="1">
        <f t="shared" si="3"/>
        <v>0</v>
      </c>
      <c r="AC29" s="1">
        <f t="shared" si="4"/>
        <v>0</v>
      </c>
      <c r="AD29" s="1">
        <f t="shared" si="5"/>
        <v>0</v>
      </c>
      <c r="AE29" s="1">
        <f t="shared" si="6"/>
        <v>0</v>
      </c>
      <c r="AF29" s="1">
        <f>IF(C29="Orlov",7.4*Stamoplysninger!$E$15,0)</f>
        <v>0</v>
      </c>
      <c r="AG29" t="str">
        <f>IF(AND(C29="Skema 1",B29="ma"),Arbejdstidsoversigt!$E$72,"")</f>
        <v/>
      </c>
      <c r="AH29" t="str">
        <f>IF(AND(C29="Skema 1",B29="ti"),Arbejdstidsoversigt!$E$73,"")</f>
        <v/>
      </c>
      <c r="AI29" t="str">
        <f>IF(AND(C29="Skema 1",B29="on"),Arbejdstidsoversigt!$E$74,"")</f>
        <v/>
      </c>
      <c r="AJ29">
        <f>IF(AND(C29="Skema 1",B29="to"),Arbejdstidsoversigt!$E$75,"")</f>
        <v>8.5</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8.5</v>
      </c>
      <c r="BB29" s="229">
        <f t="shared" si="7"/>
        <v>204</v>
      </c>
      <c r="BC29" s="1">
        <f t="shared" si="24"/>
        <v>0</v>
      </c>
      <c r="BD29" s="1">
        <f t="shared" si="8"/>
        <v>0</v>
      </c>
      <c r="BE29" s="1">
        <f t="shared" si="9"/>
        <v>0</v>
      </c>
      <c r="BF29" s="1">
        <f t="shared" si="10"/>
        <v>0</v>
      </c>
      <c r="BG29" s="210" t="str">
        <f>IF(AND(C29="Skema 1",B29="ma"),Skemaoplysninger!$E$30,"")</f>
        <v/>
      </c>
      <c r="BH29" s="210" t="str">
        <f>IF(AND(C29="Skema 1",B29="ti"),Skemaoplysninger!$G$30,"")</f>
        <v/>
      </c>
      <c r="BI29" s="210" t="str">
        <f>IF(AND(C29="Skema 1",B29="on"),Skemaoplysninger!$I$30,"")</f>
        <v/>
      </c>
      <c r="BJ29" s="210">
        <f>IF(AND(C29="Skema 1",B29="to"),Skemaoplysninger!$K$30,"")</f>
        <v>0.125</v>
      </c>
      <c r="BK29" s="210" t="str">
        <f>IF(AND(C29="Skema 1",B29="fr"),Skemaoplysninger!$M$30,"")</f>
        <v/>
      </c>
      <c r="BL29" s="210" t="str">
        <f>IF(AND(C29="Skema 2",B29="ma"),Skemaoplysninger!$S$30,"")</f>
        <v/>
      </c>
      <c r="BM29" s="210" t="str">
        <f>IF(AND(C29="Skema 2",B29="ti"),Skemaoplysninger!$U$30,"")</f>
        <v/>
      </c>
      <c r="BN29" s="210" t="str">
        <f>IF(AND(C29="Skema 2",B29="on"),Skemaoplysninger!$W$30,"")</f>
        <v/>
      </c>
      <c r="BO29" s="210" t="str">
        <f>IF(AND(C29="Skema 2",B29="to"),Skemaoplysninger!$Y$30,"")</f>
        <v/>
      </c>
      <c r="BP29" s="210" t="str">
        <f>IF(AND(C29="Skema 2",B29="fr"),Skemaoplysninger!$AA$30,"")</f>
        <v/>
      </c>
      <c r="BQ29" s="210" t="str">
        <f>IF(AND(C29="Skema 3",B29="ma"),Skemaoplysninger!$AG$30,"")</f>
        <v/>
      </c>
      <c r="BR29" s="210" t="str">
        <f>IF(AND(C29="Skema 3",B29="ti"),Skemaoplysninger!$AI$30,"")</f>
        <v/>
      </c>
      <c r="BS29" s="210" t="str">
        <f>IF(AND(C29="Skema 3",B29="on"),Skemaoplysninger!$AK$30,"")</f>
        <v/>
      </c>
      <c r="BT29" s="210" t="str">
        <f>IF(AND(C29="Skema 3",B29="to"),Skemaoplysninger!$AM$30,"")</f>
        <v/>
      </c>
      <c r="BU29" s="210" t="str">
        <f>IF(AND(C29="Skema 3",B29="fr"),Skemaoplysninger!$AO$30,"")</f>
        <v/>
      </c>
      <c r="BV29" s="210" t="str">
        <f>IF(AND(C29="Skema 4",B29="ma"),Skemaoplysninger!$AU$30,"")</f>
        <v/>
      </c>
      <c r="BW29" s="210" t="str">
        <f>IF(AND(C29="Skema 4",B29="ti"),Skemaoplysninger!$AW$30,"")</f>
        <v/>
      </c>
      <c r="BX29" s="210" t="str">
        <f>IF(AND(C29="Skema 4",B29="on"),Skemaoplysninger!$AY$30,"")</f>
        <v/>
      </c>
      <c r="BY29" s="210" t="str">
        <f>IF(AND(C29="Skema 4",B29="to"),Skemaoplysninger!$BA$30,"")</f>
        <v/>
      </c>
      <c r="BZ29" s="210" t="str">
        <f>IF(AND(C29="Skema 4",B29="fr"),Skemaoplysninger!$BC$30,"")</f>
        <v/>
      </c>
      <c r="CA29" s="1">
        <f t="shared" si="25"/>
        <v>3</v>
      </c>
      <c r="CB29" s="1">
        <f t="shared" si="11"/>
        <v>0</v>
      </c>
      <c r="CC29" s="1">
        <f t="shared" si="12"/>
        <v>0</v>
      </c>
      <c r="CD29" s="210" t="str">
        <f>IF(AND(C29="Skema 1",B29="ma"),Skemaoplysninger!$E$31,"")</f>
        <v/>
      </c>
      <c r="CE29" s="210" t="str">
        <f>IF(AND(C29="Skema 1",B29="ti"),Skemaoplysninger!$G$31,"")</f>
        <v/>
      </c>
      <c r="CF29" s="210" t="str">
        <f>IF(AND(C29="Skema 1",B29="on"),Skemaoplysninger!$I$31,"")</f>
        <v/>
      </c>
      <c r="CG29" s="210">
        <f>IF(AND(C29="Skema 1",B29="to"),Skemaoplysninger!$K$31,"")</f>
        <v>6.25E-2</v>
      </c>
      <c r="CH29" s="210" t="str">
        <f>IF(AND(C29="Skema 1",B29="fr"),Skemaoplysninger!$M$31,"")</f>
        <v/>
      </c>
      <c r="CI29" s="210" t="str">
        <f>IF(AND(C29="Skema 2",B29="ma"),Skemaoplysninger!$S$31,"")</f>
        <v/>
      </c>
      <c r="CJ29" s="210" t="str">
        <f>IF(AND(C29="Skema 2",B29="ti"),Skemaoplysninger!$U$31,"")</f>
        <v/>
      </c>
      <c r="CK29" s="210" t="str">
        <f>IF(AND(C29="Skema 2",B29="on"),Skemaoplysninger!$W$31,"")</f>
        <v/>
      </c>
      <c r="CL29" s="210" t="str">
        <f>IF(AND(C29="Skema 2",B29="to"),Skemaoplysninger!$Y$31,"")</f>
        <v/>
      </c>
      <c r="CM29" s="210" t="str">
        <f>IF(AND(C29="Skema 2",B29="fr"),Skemaoplysninger!$AA$31,"")</f>
        <v/>
      </c>
      <c r="CN29" s="210" t="str">
        <f>IF(AND(C29="Skema 3",B29="ma"),Skemaoplysninger!$AG$31,"")</f>
        <v/>
      </c>
      <c r="CO29" s="210" t="str">
        <f>IF(AND(C29="Skema 3",B29="ti"),Skemaoplysninger!$AI$31,"")</f>
        <v/>
      </c>
      <c r="CP29" s="210" t="str">
        <f>IF(AND(C29="Skema 3",B29="on"),Skemaoplysninger!$AK$31,"")</f>
        <v/>
      </c>
      <c r="CQ29" s="210" t="str">
        <f>IF(AND(C29="Skema 3",B29="to"),Skemaoplysninger!$AM$31,"")</f>
        <v/>
      </c>
      <c r="CR29" s="210" t="str">
        <f>IF(AND(C29="Skema 3",B29="fr"),Skemaoplysninger!$AO$31,"")</f>
        <v/>
      </c>
      <c r="CS29" s="210" t="str">
        <f>IF(AND(C29="Skema 4",B29="ma"),Skemaoplysninger!$AU$31,"")</f>
        <v/>
      </c>
      <c r="CT29" s="210" t="str">
        <f>IF(AND(C29="Skema 4",B29="ti"),Skemaoplysninger!$AW$31,"")</f>
        <v/>
      </c>
      <c r="CU29" s="210" t="str">
        <f>IF(AND(C29="Skema 4",B29="on"),Skemaoplysninger!$AY$31,"")</f>
        <v/>
      </c>
      <c r="CV29" s="210" t="str">
        <f>IF(AND(C29="Skema 4",B29="to"),Skemaoplysninger!$BA$31,"")</f>
        <v/>
      </c>
      <c r="CW29" s="210" t="str">
        <f>IF(AND(C29="Skema 4",B29="fr"),Skemaoplysninger!$BC$31,"")</f>
        <v/>
      </c>
      <c r="CX29" s="249">
        <f>IF(Stamoplysninger!$H$29="NEJ",SUM(CD29:CW29)*24+CB29+CC29,0)</f>
        <v>1.5</v>
      </c>
      <c r="CY29" s="249">
        <f>IF(C29="Skema 1",Stamoplysninger!$H$30/200,0)</f>
        <v>0</v>
      </c>
      <c r="CZ29" s="249">
        <f>IF(C29="Skema 2",Stamoplysninger!$H$30/200,0)</f>
        <v>0</v>
      </c>
      <c r="DA29" s="249">
        <f>IF(C29="Skema 3",Stamoplysninger!$H$30/200,0)</f>
        <v>0</v>
      </c>
      <c r="DB29" s="249">
        <f>IF(C29="Skema 4",Stamoplysninger!$H$30/200,0)</f>
        <v>0</v>
      </c>
      <c r="DC29" s="249">
        <f>IF(C29="fagdag",Stamoplysninger!$H$30/200,0)</f>
        <v>0</v>
      </c>
      <c r="DD29" s="249">
        <f>IF(C29="emnedag",Stamoplysninger!$H$30/200,0)</f>
        <v>0</v>
      </c>
      <c r="DE29" s="249">
        <f>IF(C29="lejrskole",Stamoplysninger!$H$30/200,0)</f>
        <v>0</v>
      </c>
      <c r="DF29" s="249">
        <f>IF(C29="ekskursion",Stamoplysninger!$H$30/200,0)</f>
        <v>0</v>
      </c>
      <c r="DG29" s="249">
        <f t="shared" si="26"/>
        <v>0</v>
      </c>
      <c r="DH29" t="str">
        <f t="shared" si="27"/>
        <v/>
      </c>
      <c r="DI29">
        <f t="shared" si="28"/>
        <v>0</v>
      </c>
      <c r="DJ29">
        <f t="shared" si="29"/>
        <v>0</v>
      </c>
      <c r="DK29" t="str">
        <f t="shared" si="13"/>
        <v/>
      </c>
      <c r="DL29" t="str">
        <f t="shared" si="13"/>
        <v/>
      </c>
      <c r="DM29" t="str">
        <f t="shared" si="13"/>
        <v/>
      </c>
      <c r="DN29" t="str">
        <f t="shared" si="30"/>
        <v/>
      </c>
      <c r="DO29" s="652">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71">
        <f>IF(AND(Stamoplysninger!$B$22="Ulempetillæg udbetales med 25% af nettotimelønnen.",C29="ikke relevant"),(R29)/4,0)</f>
        <v>0</v>
      </c>
      <c r="DT29" s="671">
        <f>IF(AND(AND(Stamoplysninger!$B$22="Ulempetillæg udbetales med 25% af nettotimelønnen.",I29="X",C29="Ikke relevant")),K29/4,0)</f>
        <v>0</v>
      </c>
      <c r="DU29" s="671">
        <f>IF(AND(AND(Stamoplysninger!$B$22="Ulempetillæg udbetales med 25% af nettotimelønnen.",C29="ikke relevant",U29="X")),(X29/4),0)</f>
        <v>0</v>
      </c>
      <c r="DV29" s="672">
        <f>IF(AND(AND(AND(Stamoplysninger!$B$22="Ulempetillæg udbetales med 25% af nettotimelønnen.",I29="X",C29="Ikke relevant",S29="X"))),V29/4,0)</f>
        <v>0</v>
      </c>
      <c r="DW29" s="652"/>
      <c r="DZ29" s="671"/>
      <c r="EA29" s="671"/>
      <c r="EB29" s="672"/>
      <c r="EC29" s="652">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71">
        <f>IF(AND(Stamoplysninger!$B$22="Ulempetillæg afspadseres med 25%(Kræver en aftale imellem ledelsen og den ansatte)",C29="ikke relevant"),(R29)/4,0)</f>
        <v>0</v>
      </c>
      <c r="EH29" s="671">
        <f>IF(AND(AND(Stamoplysninger!$B$22="Ulempetillæg afspadseres med 25%(Kræver en aftale imellem ledelsen og den ansatte)",I29="X",C29="Ikke relevant")),K29/4,0)</f>
        <v>0</v>
      </c>
      <c r="EI29" s="671">
        <f>IF(AND(AND(Stamoplysninger!$B$22="Ulempetillæg afspadseres med 25%(Kræver en aftale imellem ledelsen og den ansatte)",U29="X",C29="Ikke relevant")),X29/4,0)</f>
        <v>0</v>
      </c>
      <c r="EJ29" s="671">
        <f>IF(AND(AND(AND(Stamoplysninger!$B$22="Ulempetillæg afspadseres med 25%(Kræver en aftale imellem ledelsen og den ansatte)",I29="X",C29="Ikke relevant",S29="X"))),V29/4,0)</f>
        <v>0</v>
      </c>
      <c r="EK29" s="283">
        <f>IF(AND(Stamoplysninger!$B$26="Weekendtimer og weekendtillæg afspadseres.",I29="X"),K29*1.5,0)</f>
        <v>0</v>
      </c>
      <c r="EL29" s="251">
        <f>IF(AND(AND(Stamoplysninger!$B$26="Weekendtimer og weekendtillæg afspadseres.",I29="X",S29="X")),V29*1.5,0)</f>
        <v>0</v>
      </c>
      <c r="EM29" s="674">
        <f>IF(AND(AND(Stamoplysninger!$B$26="Weekendtimer og weekendtillæg afspadseres.",I29="X",C29="ikke relevant")),K29*1.5,0)</f>
        <v>0</v>
      </c>
      <c r="EN29" s="675">
        <f>IF(AND(AND(AND(Stamoplysninger!$B$26="Weekendtimer og weekendtillæg afspadseres.",I29="X",C29="ikke relevant",S29="X"))),(V29*1.5),0)</f>
        <v>0</v>
      </c>
      <c r="EO29" s="283">
        <f>IF(AND(Stamoplysninger!$B$26="Weekendtimer og weekendtillæg udbetales.",I29="X"),K29*1.5,0)</f>
        <v>0</v>
      </c>
      <c r="EP29" s="251">
        <f>IF(AND(AND(Stamoplysninger!$B$26="Weekendtimer og weekendtillæg udbetales.",I29="X",S29="X")),V29*1.5,0)</f>
        <v>0</v>
      </c>
      <c r="EQ29" s="674">
        <f>IF(AND(AND(Stamoplysninger!$B$26="Weekendtimer og weekendtillæg udbetales.",I29="X",C29="ikke relevant")),K29*1.5,0)</f>
        <v>0</v>
      </c>
      <c r="ER29" s="675">
        <f>IF(AND(AND(AND(Stamoplysninger!$B$26="Weekendtimer og weekendtillæg udbetales.",I29="X",C29="ikke relevant",S29="X"))),(V29*1.5),0)</f>
        <v>0</v>
      </c>
      <c r="ES29" s="283">
        <f>IF(AND(Stamoplysninger!$B$26="Der er indgået lokalaftale omkring weekendtimer.(Kræver aftale med TR/FSL) Weekendtillæg afspadseres.",I29="X"),K29*0.5,0)</f>
        <v>0</v>
      </c>
      <c r="ET29" s="251">
        <f>IF(AND(AND(Stamoplysninger!$B$26="Der er indgået lokalaftale omkring weekendtimer.(Kræver aftale med TR/FSL) Weekendtillæg afspadseres.",I29="X",S29="X")),V29*0.5,0)</f>
        <v>0</v>
      </c>
      <c r="EU29" s="674">
        <f>IF(AND(AND(Stamoplysninger!$B$26="Der er indgået lokalaftale omkring weekendtimer.(Kræver aftale med TR/FSL) Weekendtillæg afspadseres.",I29="X",C29="ikke relevant")),K29*0.5,0)</f>
        <v>0</v>
      </c>
      <c r="EV29" s="675">
        <f>IF(AND(AND(AND(Stamoplysninger!$B$26="Der er indgået lokalaftale omkring weekendtimer.(Kræver aftale med TR/FSL) Weekendtillæg afspadseres.",I29="X",C29="ikke relevant",S29="X"))),(V29*0.5),0)</f>
        <v>0</v>
      </c>
      <c r="EW29" s="283">
        <f>IF(AND(Stamoplysninger!$B$26="Der er indgået lokalaftale omkring weekendtimer(Kræver aftale med TR/FSL). Weekendtillæg udbetales.",I29="X"),K29*0.5,0)</f>
        <v>0</v>
      </c>
      <c r="EX29" s="251">
        <f>IF(AND(AND(Stamoplysninger!$B$26="Der er indgået lokalaftale omkring weekendtimer(Kræver aftale med TR/FSL). Weekendtillæg udbetales.",I29="X",S29="X")),V29*0.5,0)</f>
        <v>0</v>
      </c>
      <c r="EY29" s="674">
        <f>IF(AND(AND(Stamoplysninger!$B$26="Der er indgået lokalaftale omkring weekendtimer(Kræver aftale med TR/FSL). Weekendtillæg udbetales.",I29="X",C29="ikke relevant")),K29*0.5,0)</f>
        <v>0</v>
      </c>
      <c r="EZ29" s="675">
        <f>IF(AND(AND(AND(Stamoplysninger!$B$26="Der er indgået lokalaftale omkring weekendtimer(Kræver aftale med TR/FSL). Weekendtillæg udbetales.",I29="X",C29="ikke relevant",S29="X"))),(V29*0.5),0)</f>
        <v>0</v>
      </c>
      <c r="FA29" s="283">
        <f>IF(AND(Stamoplysninger!$B$26="Der er indgået lokalaftale omkring weekendtillæg(Kræver aftale med TR/FSL). Weekendtimerne afspadseres.",I29="X"),K29,0)</f>
        <v>0</v>
      </c>
      <c r="FB29" s="251">
        <f>IF(AND(AND(Stamoplysninger!$B$26="Der er indgået lokalaftale omkring weekendtillæg(Kræver aftale med TR/FSL). Weekendtimerne afspadseres.",I29="X",S29="X")),V29,0)</f>
        <v>0</v>
      </c>
      <c r="FC29" s="674">
        <f>IF(AND(AND(Stamoplysninger!$B$26="Der er indgået lokalaftale omkring weekendtillæg(Kræver aftale med TR/FSL). Weekendtimerne afspadseres..",I29="X",C29="ikke relevant")),K29,0)</f>
        <v>0</v>
      </c>
      <c r="FD29" s="675">
        <f>IF(AND(AND(AND(Stamoplysninger!$B$26="Der er indgået lokalaftale omkring weekendtillæg(Kræver aftale med TR/FSL). Weekendtimerne afspadseres.",I29="X",C29="ikke relevant",S29="X"))),(V29),0)</f>
        <v>0</v>
      </c>
      <c r="FE29" s="283">
        <f>IF(AND(Stamoplysninger!$B$26="Der er indgået lokalaftale omkring weekendtillæg(Kræver aftale med TR/FSL). Weekendtimerne udbetales.",I29="X"),K29,0)</f>
        <v>0</v>
      </c>
      <c r="FF29" s="251">
        <f>IF(AND(AND(Stamoplysninger!$B$26="Der er indgået lokalaftale omkring weekendtillæg(Kræver aftale med TR/FSL). Weekendtimerne udbetales.",I29="X",S29="X")),V29,0)</f>
        <v>0</v>
      </c>
      <c r="FG29" s="674">
        <f>IF(AND(AND(Stamoplysninger!$B$26="Der er indgået lokalaftale omkring weekendtillæg(Kræver aftale med TR/FSL). Weekendtimerne udbetales.",I29="X",C29="ikke relevant")),K29,0)</f>
        <v>0</v>
      </c>
      <c r="FH29" s="675">
        <f>IF(AND(AND(AND(Stamoplysninger!$B$26="Der er indgået lokalaftale omkring weekendtillæg(Kræver aftale med TR/FSL). Weekendtimerne udbetales.",I29="X",C29="ikke relevant",S29="X"))),(V29),0)</f>
        <v>0</v>
      </c>
      <c r="FI29" s="283">
        <f>IF(AND(Stamoplysninger!$B$26="Weekendtimer og weekendtillæg afspadseres.",I29="X"),K29,0)</f>
        <v>0</v>
      </c>
      <c r="FJ29" s="251">
        <f>IF(AND(Stamoplysninger!$B$26="Weekendtimer og weekendtillæg afspadseres.",Y29="X"),(AA29+AL29)/2,0)</f>
        <v>0</v>
      </c>
      <c r="FK29" s="674">
        <f>IF(AND(AND(Stamoplysninger!$B$26="Weekendtimer og weekendtillæg afspadseres.",I29="X",C29="ikke relevant")),K29,0)</f>
        <v>0</v>
      </c>
      <c r="FL29" s="675">
        <f>IF(AND(AND(Stamoplysninger!$B$26="Weekendtimer og weekendtillæg afspadseres.",Y29="X",S29="ikke relevant")),(AA29+AL29)/2,0)</f>
        <v>0</v>
      </c>
      <c r="FM29" s="283">
        <f>IF(AND(Stamoplysninger!$B$26="Der er indgået lokalaftale omkring weekendtillæg(Kræver aftale med TR/FSL). Weekendtimerne afspadseres.",I29="X"),K29,0)</f>
        <v>0</v>
      </c>
      <c r="FN29" s="674">
        <f>IF(AND(AND(Stamoplysninger!$B$26="Der er indgået lokalaftale omkring weekendtillæg(Kræver aftale med TR/FSL). Weekendtimerne afspadseres.",I29="X",C29="ikke relevant")),K29,0)</f>
        <v>0</v>
      </c>
      <c r="FO29" s="283">
        <f>IF(AND(Stamoplysninger!$B$26="Weekendtimer og weekendtillæg udbetales.",I29="X"),K29,0)</f>
        <v>0</v>
      </c>
      <c r="FP29" s="251">
        <f>IF(AND(Stamoplysninger!$B$26="Weekendtimer og weekendtillæg udbetales.",AA29="X"),(AC29+AN29)/2,0)</f>
        <v>0</v>
      </c>
      <c r="FQ29" s="674">
        <f>IF(AND(AND(Stamoplysninger!$B$26="Weekendtimer og weekendtillæg udbetales.",I29="X",C29="ikke relevant")),K29,0)</f>
        <v>0</v>
      </c>
      <c r="FR29" s="688">
        <f>IF(AND(AND(Stamoplysninger!$B$26="Weekendtimer og weekendtillæg udbetales.",AA29="X",U29="ikke relevant")),(AC29+AN29)/2,0)</f>
        <v>0</v>
      </c>
      <c r="FS29" s="283">
        <f t="shared" si="14"/>
        <v>0</v>
      </c>
      <c r="FT29" s="658">
        <f t="shared" si="15"/>
        <v>0</v>
      </c>
      <c r="FU29">
        <f>IF(AND(C29="weekend",I29="X"),K29,0)</f>
        <v>0</v>
      </c>
      <c r="FV29" s="283">
        <f>IF(AND(Stamoplysninger!$B$26="Der er indgået lokalaftale omkring weekendtimer.(Kræver aftale med TR/FSL) Weekendtillæg afspadseres.",I29="X"),K29,0)</f>
        <v>0</v>
      </c>
      <c r="FW29" s="674">
        <f>IF(AND(AND(Stamoplysninger!$B$26="Der er indgået lokalaftale omkring weekendtimer.(Kræver aftale med TR/FSL) Weekendtillæg afspadseres.",I29="X",C29="ikke relevant")),K29,0)</f>
        <v>0</v>
      </c>
      <c r="FX29" s="283">
        <f>IF(AND(Stamoplysninger!$B$26="Der er indgået lokalaftale omkring weekendtimer(Kræver aftale med TR/FSL). Weekendtillæg udbetales.",I29="X"),K29,0)</f>
        <v>0</v>
      </c>
      <c r="FY29" s="674">
        <f>IF(AND(AND(Stamoplysninger!$B$26="Der er indgået lokalaftale omkring weekendtimer(Kræver aftale med TR/FSL). Weekendtillæg udbetales.",I29="X",C29="ikke relevant")),K29,0)</f>
        <v>0</v>
      </c>
      <c r="FZ29" s="283">
        <f>IF(AND(Stamoplysninger!$B$26="Der er indgået lokalaftale omkring weekendtillæg(Kræver aftale med TR/FSL). Weekendtimerne udbetales.",I29="X"),K29,0)</f>
        <v>0</v>
      </c>
      <c r="GA29" s="674">
        <f>IF(AND(AND(Stamoplysninger!$B$26="Der er indgået lokalaftale omkring weekendtillæg(Kræver aftale med TR/FSL). Weekendtimerne udbetales.",I29="X",C29="ikke relevant")),K29,0)</f>
        <v>0</v>
      </c>
      <c r="GB29" s="283">
        <f>IF(AND(Stamoplysninger!$B$26="Der er indgået lokalaftale omkring weekendtimer og weekendtillæg.(Kræver aftale med TR/FSL).",I29="X"),K29,0)</f>
        <v>0</v>
      </c>
      <c r="GC29" s="674">
        <f>IF(AND(AND(Stamoplysninger!$B$26="Der er indgået lokalaftale omkring weekendtimer og weekendtillæg.(Kræver aftale med TR/FSL).",I29="X",C29="ikke relevant")),K29,0)</f>
        <v>0</v>
      </c>
    </row>
    <row r="30" spans="1:185">
      <c r="A30" s="245">
        <f t="shared" si="17"/>
        <v>22</v>
      </c>
      <c r="B30" s="128" t="str">
        <f t="shared" si="0"/>
        <v>fr</v>
      </c>
      <c r="C30" s="129" t="s">
        <v>206</v>
      </c>
      <c r="D30" s="130" t="str">
        <f t="shared" si="1"/>
        <v/>
      </c>
      <c r="E30" s="917"/>
      <c r="F30" s="918"/>
      <c r="G30" s="919"/>
      <c r="H30" s="298"/>
      <c r="I30" s="527"/>
      <c r="J30" s="413"/>
      <c r="K30" s="380"/>
      <c r="L30" s="380"/>
      <c r="M30" s="380"/>
      <c r="N30" s="318">
        <f t="shared" si="18"/>
        <v>6.75</v>
      </c>
      <c r="O30" s="318">
        <f t="shared" si="19"/>
        <v>3</v>
      </c>
      <c r="P30" s="318">
        <f>IF(Stamoplysninger!$H$29="JA",November!DG30,CX30)</f>
        <v>1.5</v>
      </c>
      <c r="Q30" s="318">
        <f t="shared" si="20"/>
        <v>2.25</v>
      </c>
      <c r="R30" s="319"/>
      <c r="S30" s="324"/>
      <c r="T30" s="325"/>
      <c r="U30" s="325"/>
      <c r="V30" s="435"/>
      <c r="W30" s="435"/>
      <c r="X30" s="644"/>
      <c r="Y30">
        <f t="shared" si="21"/>
        <v>0</v>
      </c>
      <c r="Z30" s="437">
        <f t="shared" si="22"/>
        <v>0</v>
      </c>
      <c r="AA30" s="1">
        <f t="shared" si="2"/>
        <v>0</v>
      </c>
      <c r="AB30" s="1">
        <f t="shared" si="3"/>
        <v>0</v>
      </c>
      <c r="AC30" s="1">
        <f t="shared" si="4"/>
        <v>0</v>
      </c>
      <c r="AD30" s="1">
        <f t="shared" si="5"/>
        <v>0</v>
      </c>
      <c r="AE30" s="1">
        <f t="shared" si="6"/>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f>IF(AND(C30="Skema 1",B30="fr"),Arbejdstidsoversigt!$E$76,"")</f>
        <v>6.75</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6.75</v>
      </c>
      <c r="BB30" s="229">
        <f t="shared" si="7"/>
        <v>162</v>
      </c>
      <c r="BC30" s="1">
        <f t="shared" si="24"/>
        <v>0</v>
      </c>
      <c r="BD30" s="1">
        <f t="shared" si="8"/>
        <v>0</v>
      </c>
      <c r="BE30" s="1">
        <f t="shared" si="9"/>
        <v>0</v>
      </c>
      <c r="BF30" s="1">
        <f t="shared" si="10"/>
        <v>0</v>
      </c>
      <c r="BG30" s="210" t="str">
        <f>IF(AND(C30="Skema 1",B30="ma"),Skemaoplysninger!$E$30,"")</f>
        <v/>
      </c>
      <c r="BH30" s="210" t="str">
        <f>IF(AND(C30="Skema 1",B30="ti"),Skemaoplysninger!$G$30,"")</f>
        <v/>
      </c>
      <c r="BI30" s="210" t="str">
        <f>IF(AND(C30="Skema 1",B30="on"),Skemaoplysninger!$I$30,"")</f>
        <v/>
      </c>
      <c r="BJ30" s="210" t="str">
        <f>IF(AND(C30="Skema 1",B30="to"),Skemaoplysninger!$K$30,"")</f>
        <v/>
      </c>
      <c r="BK30" s="210">
        <f>IF(AND(C30="Skema 1",B30="fr"),Skemaoplysninger!$M$30,"")</f>
        <v>0.125</v>
      </c>
      <c r="BL30" s="210" t="str">
        <f>IF(AND(C30="Skema 2",B30="ma"),Skemaoplysninger!$S$30,"")</f>
        <v/>
      </c>
      <c r="BM30" s="210" t="str">
        <f>IF(AND(C30="Skema 2",B30="ti"),Skemaoplysninger!$U$30,"")</f>
        <v/>
      </c>
      <c r="BN30" s="210" t="str">
        <f>IF(AND(C30="Skema 2",B30="on"),Skemaoplysninger!$W$30,"")</f>
        <v/>
      </c>
      <c r="BO30" s="210" t="str">
        <f>IF(AND(C30="Skema 2",B30="to"),Skemaoplysninger!$Y$30,"")</f>
        <v/>
      </c>
      <c r="BP30" s="210" t="str">
        <f>IF(AND(C30="Skema 2",B30="fr"),Skemaoplysninger!$AA$30,"")</f>
        <v/>
      </c>
      <c r="BQ30" s="210" t="str">
        <f>IF(AND(C30="Skema 3",B30="ma"),Skemaoplysninger!$AG$30,"")</f>
        <v/>
      </c>
      <c r="BR30" s="210" t="str">
        <f>IF(AND(C30="Skema 3",B30="ti"),Skemaoplysninger!$AI$30,"")</f>
        <v/>
      </c>
      <c r="BS30" s="210" t="str">
        <f>IF(AND(C30="Skema 3",B30="on"),Skemaoplysninger!$AK$30,"")</f>
        <v/>
      </c>
      <c r="BT30" s="210" t="str">
        <f>IF(AND(C30="Skema 3",B30="to"),Skemaoplysninger!$AM$30,"")</f>
        <v/>
      </c>
      <c r="BU30" s="210" t="str">
        <f>IF(AND(C30="Skema 3",B30="fr"),Skemaoplysninger!$AO$30,"")</f>
        <v/>
      </c>
      <c r="BV30" s="210" t="str">
        <f>IF(AND(C30="Skema 4",B30="ma"),Skemaoplysninger!$AU$30,"")</f>
        <v/>
      </c>
      <c r="BW30" s="210" t="str">
        <f>IF(AND(C30="Skema 4",B30="ti"),Skemaoplysninger!$AW$30,"")</f>
        <v/>
      </c>
      <c r="BX30" s="210" t="str">
        <f>IF(AND(C30="Skema 4",B30="on"),Skemaoplysninger!$AY$30,"")</f>
        <v/>
      </c>
      <c r="BY30" s="210" t="str">
        <f>IF(AND(C30="Skema 4",B30="to"),Skemaoplysninger!$BA$30,"")</f>
        <v/>
      </c>
      <c r="BZ30" s="210" t="str">
        <f>IF(AND(C30="Skema 4",B30="fr"),Skemaoplysninger!$BC$30,"")</f>
        <v/>
      </c>
      <c r="CA30" s="1">
        <f t="shared" si="25"/>
        <v>3</v>
      </c>
      <c r="CB30" s="1">
        <f t="shared" si="11"/>
        <v>0</v>
      </c>
      <c r="CC30" s="1">
        <f t="shared" si="12"/>
        <v>0</v>
      </c>
      <c r="CD30" s="210" t="str">
        <f>IF(AND(C30="Skema 1",B30="ma"),Skemaoplysninger!$E$31,"")</f>
        <v/>
      </c>
      <c r="CE30" s="210" t="str">
        <f>IF(AND(C30="Skema 1",B30="ti"),Skemaoplysninger!$G$31,"")</f>
        <v/>
      </c>
      <c r="CF30" s="210" t="str">
        <f>IF(AND(C30="Skema 1",B30="on"),Skemaoplysninger!$I$31,"")</f>
        <v/>
      </c>
      <c r="CG30" s="210" t="str">
        <f>IF(AND(C30="Skema 1",B30="to"),Skemaoplysninger!$K$31,"")</f>
        <v/>
      </c>
      <c r="CH30" s="210">
        <f>IF(AND(C30="Skema 1",B30="fr"),Skemaoplysninger!$M$31,"")</f>
        <v>6.25E-2</v>
      </c>
      <c r="CI30" s="210" t="str">
        <f>IF(AND(C30="Skema 2",B30="ma"),Skemaoplysninger!$S$31,"")</f>
        <v/>
      </c>
      <c r="CJ30" s="210" t="str">
        <f>IF(AND(C30="Skema 2",B30="ti"),Skemaoplysninger!$U$31,"")</f>
        <v/>
      </c>
      <c r="CK30" s="210" t="str">
        <f>IF(AND(C30="Skema 2",B30="on"),Skemaoplysninger!$W$31,"")</f>
        <v/>
      </c>
      <c r="CL30" s="210" t="str">
        <f>IF(AND(C30="Skema 2",B30="to"),Skemaoplysninger!$Y$31,"")</f>
        <v/>
      </c>
      <c r="CM30" s="210" t="str">
        <f>IF(AND(C30="Skema 2",B30="fr"),Skemaoplysninger!$AA$31,"")</f>
        <v/>
      </c>
      <c r="CN30" s="210" t="str">
        <f>IF(AND(C30="Skema 3",B30="ma"),Skemaoplysninger!$AG$31,"")</f>
        <v/>
      </c>
      <c r="CO30" s="210" t="str">
        <f>IF(AND(C30="Skema 3",B30="ti"),Skemaoplysninger!$AI$31,"")</f>
        <v/>
      </c>
      <c r="CP30" s="210" t="str">
        <f>IF(AND(C30="Skema 3",B30="on"),Skemaoplysninger!$AK$31,"")</f>
        <v/>
      </c>
      <c r="CQ30" s="210" t="str">
        <f>IF(AND(C30="Skema 3",B30="to"),Skemaoplysninger!$AM$31,"")</f>
        <v/>
      </c>
      <c r="CR30" s="210" t="str">
        <f>IF(AND(C30="Skema 3",B30="fr"),Skemaoplysninger!$AO$31,"")</f>
        <v/>
      </c>
      <c r="CS30" s="210" t="str">
        <f>IF(AND(C30="Skema 4",B30="ma"),Skemaoplysninger!$AU$31,"")</f>
        <v/>
      </c>
      <c r="CT30" s="210" t="str">
        <f>IF(AND(C30="Skema 4",B30="ti"),Skemaoplysninger!$AW$31,"")</f>
        <v/>
      </c>
      <c r="CU30" s="210" t="str">
        <f>IF(AND(C30="Skema 4",B30="on"),Skemaoplysninger!$AY$31,"")</f>
        <v/>
      </c>
      <c r="CV30" s="210" t="str">
        <f>IF(AND(C30="Skema 4",B30="to"),Skemaoplysninger!$BA$31,"")</f>
        <v/>
      </c>
      <c r="CW30" s="210" t="str">
        <f>IF(AND(C30="Skema 4",B30="fr"),Skemaoplysninger!$BC$31,"")</f>
        <v/>
      </c>
      <c r="CX30" s="249">
        <f>IF(Stamoplysninger!$H$29="NEJ",SUM(CD30:CW30)*24+CB30+CC30,0)</f>
        <v>1.5</v>
      </c>
      <c r="CY30" s="249">
        <f>IF(C30="Skema 1",Stamoplysninger!$H$30/200,0)</f>
        <v>0</v>
      </c>
      <c r="CZ30" s="249">
        <f>IF(C30="Skema 2",Stamoplysninger!$H$30/200,0)</f>
        <v>0</v>
      </c>
      <c r="DA30" s="249">
        <f>IF(C30="Skema 3",Stamoplysninger!$H$30/200,0)</f>
        <v>0</v>
      </c>
      <c r="DB30" s="249">
        <f>IF(C30="Skema 4",Stamoplysninger!$H$30/200,0)</f>
        <v>0</v>
      </c>
      <c r="DC30" s="249">
        <f>IF(C30="fagdag",Stamoplysninger!$H$30/200,0)</f>
        <v>0</v>
      </c>
      <c r="DD30" s="249">
        <f>IF(C30="emnedag",Stamoplysninger!$H$30/200,0)</f>
        <v>0</v>
      </c>
      <c r="DE30" s="249">
        <f>IF(C30="lejrskole",Stamoplysninger!$H$30/200,0)</f>
        <v>0</v>
      </c>
      <c r="DF30" s="249">
        <f>IF(C30="ekskursion",Stamoplysninger!$H$30/200,0)</f>
        <v>0</v>
      </c>
      <c r="DG30" s="249">
        <f t="shared" si="26"/>
        <v>0</v>
      </c>
      <c r="DH30" t="str">
        <f t="shared" si="27"/>
        <v/>
      </c>
      <c r="DI30">
        <f t="shared" si="28"/>
        <v>0</v>
      </c>
      <c r="DJ30">
        <f t="shared" si="29"/>
        <v>0</v>
      </c>
      <c r="DK30" t="str">
        <f t="shared" si="13"/>
        <v/>
      </c>
      <c r="DL30" t="str">
        <f t="shared" si="13"/>
        <v/>
      </c>
      <c r="DM30" t="str">
        <f t="shared" si="13"/>
        <v/>
      </c>
      <c r="DN30" t="str">
        <f t="shared" si="30"/>
        <v/>
      </c>
      <c r="DO30" s="652">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71">
        <f>IF(AND(Stamoplysninger!$B$22="Ulempetillæg udbetales med 25% af nettotimelønnen.",C30="ikke relevant"),(R30)/4,0)</f>
        <v>0</v>
      </c>
      <c r="DT30" s="671">
        <f>IF(AND(AND(Stamoplysninger!$B$22="Ulempetillæg udbetales med 25% af nettotimelønnen.",I30="X",C30="Ikke relevant")),K30/4,0)</f>
        <v>0</v>
      </c>
      <c r="DU30" s="671">
        <f>IF(AND(AND(Stamoplysninger!$B$22="Ulempetillæg udbetales med 25% af nettotimelønnen.",C30="ikke relevant",U30="X")),(X30/4),0)</f>
        <v>0</v>
      </c>
      <c r="DV30" s="672">
        <f>IF(AND(AND(AND(Stamoplysninger!$B$22="Ulempetillæg udbetales med 25% af nettotimelønnen.",I30="X",C30="Ikke relevant",S30="X"))),V30/4,0)</f>
        <v>0</v>
      </c>
      <c r="DW30" s="652"/>
      <c r="DZ30" s="671"/>
      <c r="EA30" s="671"/>
      <c r="EB30" s="672"/>
      <c r="EC30" s="652">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71">
        <f>IF(AND(Stamoplysninger!$B$22="Ulempetillæg afspadseres med 25%(Kræver en aftale imellem ledelsen og den ansatte)",C30="ikke relevant"),(R30)/4,0)</f>
        <v>0</v>
      </c>
      <c r="EH30" s="671">
        <f>IF(AND(AND(Stamoplysninger!$B$22="Ulempetillæg afspadseres med 25%(Kræver en aftale imellem ledelsen og den ansatte)",I30="X",C30="Ikke relevant")),K30/4,0)</f>
        <v>0</v>
      </c>
      <c r="EI30" s="671">
        <f>IF(AND(AND(Stamoplysninger!$B$22="Ulempetillæg afspadseres med 25%(Kræver en aftale imellem ledelsen og den ansatte)",U30="X",C30="Ikke relevant")),X30/4,0)</f>
        <v>0</v>
      </c>
      <c r="EJ30" s="671">
        <f>IF(AND(AND(AND(Stamoplysninger!$B$22="Ulempetillæg afspadseres med 25%(Kræver en aftale imellem ledelsen og den ansatte)",I30="X",C30="Ikke relevant",S30="X"))),V30/4,0)</f>
        <v>0</v>
      </c>
      <c r="EK30" s="283">
        <f>IF(AND(Stamoplysninger!$B$26="Weekendtimer og weekendtillæg afspadseres.",I30="X"),K30*1.5,0)</f>
        <v>0</v>
      </c>
      <c r="EL30" s="251">
        <f>IF(AND(AND(Stamoplysninger!$B$26="Weekendtimer og weekendtillæg afspadseres.",I30="X",S30="X")),V30*1.5,0)</f>
        <v>0</v>
      </c>
      <c r="EM30" s="674">
        <f>IF(AND(AND(Stamoplysninger!$B$26="Weekendtimer og weekendtillæg afspadseres.",I30="X",C30="ikke relevant")),K30*1.5,0)</f>
        <v>0</v>
      </c>
      <c r="EN30" s="675">
        <f>IF(AND(AND(AND(Stamoplysninger!$B$26="Weekendtimer og weekendtillæg afspadseres.",I30="X",C30="ikke relevant",S30="X"))),(V30*1.5),0)</f>
        <v>0</v>
      </c>
      <c r="EO30" s="283">
        <f>IF(AND(Stamoplysninger!$B$26="Weekendtimer og weekendtillæg udbetales.",I30="X"),K30*1.5,0)</f>
        <v>0</v>
      </c>
      <c r="EP30" s="251">
        <f>IF(AND(AND(Stamoplysninger!$B$26="Weekendtimer og weekendtillæg udbetales.",I30="X",S30="X")),V30*1.5,0)</f>
        <v>0</v>
      </c>
      <c r="EQ30" s="674">
        <f>IF(AND(AND(Stamoplysninger!$B$26="Weekendtimer og weekendtillæg udbetales.",I30="X",C30="ikke relevant")),K30*1.5,0)</f>
        <v>0</v>
      </c>
      <c r="ER30" s="675">
        <f>IF(AND(AND(AND(Stamoplysninger!$B$26="Weekendtimer og weekendtillæg udbetales.",I30="X",C30="ikke relevant",S30="X"))),(V30*1.5),0)</f>
        <v>0</v>
      </c>
      <c r="ES30" s="283">
        <f>IF(AND(Stamoplysninger!$B$26="Der er indgået lokalaftale omkring weekendtimer.(Kræver aftale med TR/FSL) Weekendtillæg afspadseres.",I30="X"),K30*0.5,0)</f>
        <v>0</v>
      </c>
      <c r="ET30" s="251">
        <f>IF(AND(AND(Stamoplysninger!$B$26="Der er indgået lokalaftale omkring weekendtimer.(Kræver aftale med TR/FSL) Weekendtillæg afspadseres.",I30="X",S30="X")),V30*0.5,0)</f>
        <v>0</v>
      </c>
      <c r="EU30" s="674">
        <f>IF(AND(AND(Stamoplysninger!$B$26="Der er indgået lokalaftale omkring weekendtimer.(Kræver aftale med TR/FSL) Weekendtillæg afspadseres.",I30="X",C30="ikke relevant")),K30*0.5,0)</f>
        <v>0</v>
      </c>
      <c r="EV30" s="675">
        <f>IF(AND(AND(AND(Stamoplysninger!$B$26="Der er indgået lokalaftale omkring weekendtimer.(Kræver aftale med TR/FSL) Weekendtillæg afspadseres.",I30="X",C30="ikke relevant",S30="X"))),(V30*0.5),0)</f>
        <v>0</v>
      </c>
      <c r="EW30" s="283">
        <f>IF(AND(Stamoplysninger!$B$26="Der er indgået lokalaftale omkring weekendtimer(Kræver aftale med TR/FSL). Weekendtillæg udbetales.",I30="X"),K30*0.5,0)</f>
        <v>0</v>
      </c>
      <c r="EX30" s="251">
        <f>IF(AND(AND(Stamoplysninger!$B$26="Der er indgået lokalaftale omkring weekendtimer(Kræver aftale med TR/FSL). Weekendtillæg udbetales.",I30="X",S30="X")),V30*0.5,0)</f>
        <v>0</v>
      </c>
      <c r="EY30" s="674">
        <f>IF(AND(AND(Stamoplysninger!$B$26="Der er indgået lokalaftale omkring weekendtimer(Kræver aftale med TR/FSL). Weekendtillæg udbetales.",I30="X",C30="ikke relevant")),K30*0.5,0)</f>
        <v>0</v>
      </c>
      <c r="EZ30" s="675">
        <f>IF(AND(AND(AND(Stamoplysninger!$B$26="Der er indgået lokalaftale omkring weekendtimer(Kræver aftale med TR/FSL). Weekendtillæg udbetales.",I30="X",C30="ikke relevant",S30="X"))),(V30*0.5),0)</f>
        <v>0</v>
      </c>
      <c r="FA30" s="283">
        <f>IF(AND(Stamoplysninger!$B$26="Der er indgået lokalaftale omkring weekendtillæg(Kræver aftale med TR/FSL). Weekendtimerne afspadseres.",I30="X"),K30,0)</f>
        <v>0</v>
      </c>
      <c r="FB30" s="251">
        <f>IF(AND(AND(Stamoplysninger!$B$26="Der er indgået lokalaftale omkring weekendtillæg(Kræver aftale med TR/FSL). Weekendtimerne afspadseres.",I30="X",S30="X")),V30,0)</f>
        <v>0</v>
      </c>
      <c r="FC30" s="674">
        <f>IF(AND(AND(Stamoplysninger!$B$26="Der er indgået lokalaftale omkring weekendtillæg(Kræver aftale med TR/FSL). Weekendtimerne afspadseres..",I30="X",C30="ikke relevant")),K30,0)</f>
        <v>0</v>
      </c>
      <c r="FD30" s="675">
        <f>IF(AND(AND(AND(Stamoplysninger!$B$26="Der er indgået lokalaftale omkring weekendtillæg(Kræver aftale med TR/FSL). Weekendtimerne afspadseres.",I30="X",C30="ikke relevant",S30="X"))),(V30),0)</f>
        <v>0</v>
      </c>
      <c r="FE30" s="283">
        <f>IF(AND(Stamoplysninger!$B$26="Der er indgået lokalaftale omkring weekendtillæg(Kræver aftale med TR/FSL). Weekendtimerne udbetales.",I30="X"),K30,0)</f>
        <v>0</v>
      </c>
      <c r="FF30" s="251">
        <f>IF(AND(AND(Stamoplysninger!$B$26="Der er indgået lokalaftale omkring weekendtillæg(Kræver aftale med TR/FSL). Weekendtimerne udbetales.",I30="X",S30="X")),V30,0)</f>
        <v>0</v>
      </c>
      <c r="FG30" s="674">
        <f>IF(AND(AND(Stamoplysninger!$B$26="Der er indgået lokalaftale omkring weekendtillæg(Kræver aftale med TR/FSL). Weekendtimerne udbetales.",I30="X",C30="ikke relevant")),K30,0)</f>
        <v>0</v>
      </c>
      <c r="FH30" s="675">
        <f>IF(AND(AND(AND(Stamoplysninger!$B$26="Der er indgået lokalaftale omkring weekendtillæg(Kræver aftale med TR/FSL). Weekendtimerne udbetales.",I30="X",C30="ikke relevant",S30="X"))),(V30),0)</f>
        <v>0</v>
      </c>
      <c r="FI30" s="283">
        <f>IF(AND(Stamoplysninger!$B$26="Weekendtimer og weekendtillæg afspadseres.",I30="X"),K30,0)</f>
        <v>0</v>
      </c>
      <c r="FJ30" s="251">
        <f>IF(AND(Stamoplysninger!$B$26="Weekendtimer og weekendtillæg afspadseres.",Y30="X"),(AA30+AL30)/2,0)</f>
        <v>0</v>
      </c>
      <c r="FK30" s="674">
        <f>IF(AND(AND(Stamoplysninger!$B$26="Weekendtimer og weekendtillæg afspadseres.",I30="X",C30="ikke relevant")),K30,0)</f>
        <v>0</v>
      </c>
      <c r="FL30" s="675">
        <f>IF(AND(AND(Stamoplysninger!$B$26="Weekendtimer og weekendtillæg afspadseres.",Y30="X",S30="ikke relevant")),(AA30+AL30)/2,0)</f>
        <v>0</v>
      </c>
      <c r="FM30" s="283">
        <f>IF(AND(Stamoplysninger!$B$26="Der er indgået lokalaftale omkring weekendtillæg(Kræver aftale med TR/FSL). Weekendtimerne afspadseres.",I30="X"),K30,0)</f>
        <v>0</v>
      </c>
      <c r="FN30" s="674">
        <f>IF(AND(AND(Stamoplysninger!$B$26="Der er indgået lokalaftale omkring weekendtillæg(Kræver aftale med TR/FSL). Weekendtimerne afspadseres.",I30="X",C30="ikke relevant")),K30,0)</f>
        <v>0</v>
      </c>
      <c r="FO30" s="283">
        <f>IF(AND(Stamoplysninger!$B$26="Weekendtimer og weekendtillæg udbetales.",I30="X"),K30,0)</f>
        <v>0</v>
      </c>
      <c r="FP30" s="251">
        <f>IF(AND(Stamoplysninger!$B$26="Weekendtimer og weekendtillæg udbetales.",AA30="X"),(AC30+AN30)/2,0)</f>
        <v>0</v>
      </c>
      <c r="FQ30" s="674">
        <f>IF(AND(AND(Stamoplysninger!$B$26="Weekendtimer og weekendtillæg udbetales.",I30="X",C30="ikke relevant")),K30,0)</f>
        <v>0</v>
      </c>
      <c r="FR30" s="688">
        <f>IF(AND(AND(Stamoplysninger!$B$26="Weekendtimer og weekendtillæg udbetales.",AA30="X",U30="ikke relevant")),(AC30+AN30)/2,0)</f>
        <v>0</v>
      </c>
      <c r="FS30" s="283">
        <f t="shared" si="14"/>
        <v>0</v>
      </c>
      <c r="FT30" s="658">
        <f t="shared" si="15"/>
        <v>0</v>
      </c>
      <c r="FU30">
        <f t="shared" ref="FU30:FU38" si="31">IF(AND(C30="weekend",I30="X"),K30,0)</f>
        <v>0</v>
      </c>
      <c r="FV30" s="283">
        <f>IF(AND(Stamoplysninger!$B$26="Der er indgået lokalaftale omkring weekendtimer.(Kræver aftale med TR/FSL) Weekendtillæg afspadseres.",I30="X"),K30,0)</f>
        <v>0</v>
      </c>
      <c r="FW30" s="674">
        <f>IF(AND(AND(Stamoplysninger!$B$26="Der er indgået lokalaftale omkring weekendtimer.(Kræver aftale med TR/FSL) Weekendtillæg afspadseres.",I30="X",C30="ikke relevant")),K30,0)</f>
        <v>0</v>
      </c>
      <c r="FX30" s="283">
        <f>IF(AND(Stamoplysninger!$B$26="Der er indgået lokalaftale omkring weekendtimer(Kræver aftale med TR/FSL). Weekendtillæg udbetales.",I30="X"),K30,0)</f>
        <v>0</v>
      </c>
      <c r="FY30" s="674">
        <f>IF(AND(AND(Stamoplysninger!$B$26="Der er indgået lokalaftale omkring weekendtimer(Kræver aftale med TR/FSL). Weekendtillæg udbetales.",I30="X",C30="ikke relevant")),K30,0)</f>
        <v>0</v>
      </c>
      <c r="FZ30" s="283">
        <f>IF(AND(Stamoplysninger!$B$26="Der er indgået lokalaftale omkring weekendtillæg(Kræver aftale med TR/FSL). Weekendtimerne udbetales.",I30="X"),K30,0)</f>
        <v>0</v>
      </c>
      <c r="GA30" s="674">
        <f>IF(AND(AND(Stamoplysninger!$B$26="Der er indgået lokalaftale omkring weekendtillæg(Kræver aftale med TR/FSL). Weekendtimerne udbetales.",I30="X",C30="ikke relevant")),K30,0)</f>
        <v>0</v>
      </c>
      <c r="GB30" s="283">
        <f>IF(AND(Stamoplysninger!$B$26="Der er indgået lokalaftale omkring weekendtimer og weekendtillæg.(Kræver aftale med TR/FSL).",I30="X"),K30,0)</f>
        <v>0</v>
      </c>
      <c r="GC30" s="674">
        <f>IF(AND(AND(Stamoplysninger!$B$26="Der er indgået lokalaftale omkring weekendtimer og weekendtillæg.(Kræver aftale med TR/FSL).",I30="X",C30="ikke relevant")),K30,0)</f>
        <v>0</v>
      </c>
    </row>
    <row r="31" spans="1:185">
      <c r="A31" s="245">
        <f t="shared" si="17"/>
        <v>23</v>
      </c>
      <c r="B31" s="128" t="str">
        <f t="shared" si="0"/>
        <v>lø</v>
      </c>
      <c r="C31" s="129" t="s">
        <v>120</v>
      </c>
      <c r="D31" s="130" t="str">
        <f t="shared" si="1"/>
        <v/>
      </c>
      <c r="E31" s="917"/>
      <c r="F31" s="918"/>
      <c r="G31" s="919"/>
      <c r="H31" s="298"/>
      <c r="I31" s="413"/>
      <c r="J31" s="413"/>
      <c r="K31" s="380"/>
      <c r="L31" s="380"/>
      <c r="M31" s="380"/>
      <c r="N31" s="318">
        <f t="shared" si="18"/>
        <v>0</v>
      </c>
      <c r="O31" s="318">
        <f t="shared" si="19"/>
        <v>0</v>
      </c>
      <c r="P31" s="318">
        <f>IF(Stamoplysninger!$H$29="JA",November!DG31,CX31)</f>
        <v>0</v>
      </c>
      <c r="Q31" s="318">
        <f t="shared" si="20"/>
        <v>0</v>
      </c>
      <c r="R31" s="319"/>
      <c r="S31" s="324"/>
      <c r="T31" s="325"/>
      <c r="U31" s="325"/>
      <c r="V31" s="435"/>
      <c r="W31" s="435"/>
      <c r="X31" s="644"/>
      <c r="Y31">
        <f t="shared" si="21"/>
        <v>0</v>
      </c>
      <c r="Z31" s="437">
        <f t="shared" si="22"/>
        <v>0</v>
      </c>
      <c r="AA31" s="1">
        <f t="shared" si="2"/>
        <v>0</v>
      </c>
      <c r="AB31" s="1">
        <f t="shared" si="3"/>
        <v>0</v>
      </c>
      <c r="AC31" s="1">
        <f t="shared" si="4"/>
        <v>0</v>
      </c>
      <c r="AD31" s="1">
        <f t="shared" si="5"/>
        <v>0</v>
      </c>
      <c r="AE31" s="1">
        <f t="shared" si="6"/>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9">
        <f t="shared" si="7"/>
        <v>0</v>
      </c>
      <c r="BC31" s="1">
        <f t="shared" si="24"/>
        <v>0</v>
      </c>
      <c r="BD31" s="1">
        <f t="shared" si="8"/>
        <v>0</v>
      </c>
      <c r="BE31" s="1">
        <f t="shared" si="9"/>
        <v>0</v>
      </c>
      <c r="BF31" s="1">
        <f t="shared" si="10"/>
        <v>0</v>
      </c>
      <c r="BG31" s="210" t="str">
        <f>IF(AND(C31="Skema 1",B31="ma"),Skemaoplysninger!$E$30,"")</f>
        <v/>
      </c>
      <c r="BH31" s="210" t="str">
        <f>IF(AND(C31="Skema 1",B31="ti"),Skemaoplysninger!$G$30,"")</f>
        <v/>
      </c>
      <c r="BI31" s="210" t="str">
        <f>IF(AND(C31="Skema 1",B31="on"),Skemaoplysninger!$I$30,"")</f>
        <v/>
      </c>
      <c r="BJ31" s="210" t="str">
        <f>IF(AND(C31="Skema 1",B31="to"),Skemaoplysninger!$K$30,"")</f>
        <v/>
      </c>
      <c r="BK31" s="210" t="str">
        <f>IF(AND(C31="Skema 1",B31="fr"),Skemaoplysninger!$M$30,"")</f>
        <v/>
      </c>
      <c r="BL31" s="210" t="str">
        <f>IF(AND(C31="Skema 2",B31="ma"),Skemaoplysninger!$S$30,"")</f>
        <v/>
      </c>
      <c r="BM31" s="210" t="str">
        <f>IF(AND(C31="Skema 2",B31="ti"),Skemaoplysninger!$U$30,"")</f>
        <v/>
      </c>
      <c r="BN31" s="210" t="str">
        <f>IF(AND(C31="Skema 2",B31="on"),Skemaoplysninger!$W$30,"")</f>
        <v/>
      </c>
      <c r="BO31" s="210" t="str">
        <f>IF(AND(C31="Skema 2",B31="to"),Skemaoplysninger!$Y$30,"")</f>
        <v/>
      </c>
      <c r="BP31" s="210" t="str">
        <f>IF(AND(C31="Skema 2",B31="fr"),Skemaoplysninger!$AA$30,"")</f>
        <v/>
      </c>
      <c r="BQ31" s="210" t="str">
        <f>IF(AND(C31="Skema 3",B31="ma"),Skemaoplysninger!$AG$30,"")</f>
        <v/>
      </c>
      <c r="BR31" s="210" t="str">
        <f>IF(AND(C31="Skema 3",B31="ti"),Skemaoplysninger!$AI$30,"")</f>
        <v/>
      </c>
      <c r="BS31" s="210" t="str">
        <f>IF(AND(C31="Skema 3",B31="on"),Skemaoplysninger!$AK$30,"")</f>
        <v/>
      </c>
      <c r="BT31" s="210" t="str">
        <f>IF(AND(C31="Skema 3",B31="to"),Skemaoplysninger!$AM$30,"")</f>
        <v/>
      </c>
      <c r="BU31" s="210" t="str">
        <f>IF(AND(C31="Skema 3",B31="fr"),Skemaoplysninger!$AO$30,"")</f>
        <v/>
      </c>
      <c r="BV31" s="210" t="str">
        <f>IF(AND(C31="Skema 4",B31="ma"),Skemaoplysninger!$AU$30,"")</f>
        <v/>
      </c>
      <c r="BW31" s="210" t="str">
        <f>IF(AND(C31="Skema 4",B31="ti"),Skemaoplysninger!$AW$30,"")</f>
        <v/>
      </c>
      <c r="BX31" s="210" t="str">
        <f>IF(AND(C31="Skema 4",B31="on"),Skemaoplysninger!$AY$30,"")</f>
        <v/>
      </c>
      <c r="BY31" s="210" t="str">
        <f>IF(AND(C31="Skema 4",B31="to"),Skemaoplysninger!$BA$30,"")</f>
        <v/>
      </c>
      <c r="BZ31" s="210" t="str">
        <f>IF(AND(C31="Skema 4",B31="fr"),Skemaoplysninger!$BC$30,"")</f>
        <v/>
      </c>
      <c r="CA31" s="1">
        <f t="shared" si="25"/>
        <v>0</v>
      </c>
      <c r="CB31" s="1">
        <f t="shared" si="11"/>
        <v>0</v>
      </c>
      <c r="CC31" s="1">
        <f t="shared" si="12"/>
        <v>0</v>
      </c>
      <c r="CD31" s="210" t="str">
        <f>IF(AND(C31="Skema 1",B31="ma"),Skemaoplysninger!$E$31,"")</f>
        <v/>
      </c>
      <c r="CE31" s="210" t="str">
        <f>IF(AND(C31="Skema 1",B31="ti"),Skemaoplysninger!$G$31,"")</f>
        <v/>
      </c>
      <c r="CF31" s="210" t="str">
        <f>IF(AND(C31="Skema 1",B31="on"),Skemaoplysninger!$I$31,"")</f>
        <v/>
      </c>
      <c r="CG31" s="210" t="str">
        <f>IF(AND(C31="Skema 1",B31="to"),Skemaoplysninger!$K$31,"")</f>
        <v/>
      </c>
      <c r="CH31" s="210" t="str">
        <f>IF(AND(C31="Skema 1",B31="fr"),Skemaoplysninger!$M$31,"")</f>
        <v/>
      </c>
      <c r="CI31" s="210" t="str">
        <f>IF(AND(C31="Skema 2",B31="ma"),Skemaoplysninger!$S$31,"")</f>
        <v/>
      </c>
      <c r="CJ31" s="210" t="str">
        <f>IF(AND(C31="Skema 2",B31="ti"),Skemaoplysninger!$U$31,"")</f>
        <v/>
      </c>
      <c r="CK31" s="210" t="str">
        <f>IF(AND(C31="Skema 2",B31="on"),Skemaoplysninger!$W$31,"")</f>
        <v/>
      </c>
      <c r="CL31" s="210" t="str">
        <f>IF(AND(C31="Skema 2",B31="to"),Skemaoplysninger!$Y$31,"")</f>
        <v/>
      </c>
      <c r="CM31" s="210" t="str">
        <f>IF(AND(C31="Skema 2",B31="fr"),Skemaoplysninger!$AA$31,"")</f>
        <v/>
      </c>
      <c r="CN31" s="210" t="str">
        <f>IF(AND(C31="Skema 3",B31="ma"),Skemaoplysninger!$AG$31,"")</f>
        <v/>
      </c>
      <c r="CO31" s="210" t="str">
        <f>IF(AND(C31="Skema 3",B31="ti"),Skemaoplysninger!$AI$31,"")</f>
        <v/>
      </c>
      <c r="CP31" s="210" t="str">
        <f>IF(AND(C31="Skema 3",B31="on"),Skemaoplysninger!$AK$31,"")</f>
        <v/>
      </c>
      <c r="CQ31" s="210" t="str">
        <f>IF(AND(C31="Skema 3",B31="to"),Skemaoplysninger!$AM$31,"")</f>
        <v/>
      </c>
      <c r="CR31" s="210" t="str">
        <f>IF(AND(C31="Skema 3",B31="fr"),Skemaoplysninger!$AO$31,"")</f>
        <v/>
      </c>
      <c r="CS31" s="210" t="str">
        <f>IF(AND(C31="Skema 4",B31="ma"),Skemaoplysninger!$AU$31,"")</f>
        <v/>
      </c>
      <c r="CT31" s="210" t="str">
        <f>IF(AND(C31="Skema 4",B31="ti"),Skemaoplysninger!$AW$31,"")</f>
        <v/>
      </c>
      <c r="CU31" s="210" t="str">
        <f>IF(AND(C31="Skema 4",B31="on"),Skemaoplysninger!$AY$31,"")</f>
        <v/>
      </c>
      <c r="CV31" s="210" t="str">
        <f>IF(AND(C31="Skema 4",B31="to"),Skemaoplysninger!$BA$31,"")</f>
        <v/>
      </c>
      <c r="CW31" s="210" t="str">
        <f>IF(AND(C31="Skema 4",B31="fr"),Skemaoplysninger!$BC$31,"")</f>
        <v/>
      </c>
      <c r="CX31" s="249">
        <f>IF(Stamoplysninger!$H$29="NEJ",SUM(CD31:CW31)*24+CB31+CC31,0)</f>
        <v>0</v>
      </c>
      <c r="CY31" s="249">
        <f>IF(C31="Skema 1",Stamoplysninger!$H$30/200,0)</f>
        <v>0</v>
      </c>
      <c r="CZ31" s="249">
        <f>IF(C31="Skema 2",Stamoplysninger!$H$30/200,0)</f>
        <v>0</v>
      </c>
      <c r="DA31" s="249">
        <f>IF(C31="Skema 3",Stamoplysninger!$H$30/200,0)</f>
        <v>0</v>
      </c>
      <c r="DB31" s="249">
        <f>IF(C31="Skema 4",Stamoplysninger!$H$30/200,0)</f>
        <v>0</v>
      </c>
      <c r="DC31" s="249">
        <f>IF(C31="fagdag",Stamoplysninger!$H$30/200,0)</f>
        <v>0</v>
      </c>
      <c r="DD31" s="249">
        <f>IF(C31="emnedag",Stamoplysninger!$H$30/200,0)</f>
        <v>0</v>
      </c>
      <c r="DE31" s="249">
        <f>IF(C31="lejrskole",Stamoplysninger!$H$30/200,0)</f>
        <v>0</v>
      </c>
      <c r="DF31" s="249">
        <f>IF(C31="ekskursion",Stamoplysninger!$H$30/200,0)</f>
        <v>0</v>
      </c>
      <c r="DG31" s="249">
        <f t="shared" si="26"/>
        <v>0</v>
      </c>
      <c r="DH31" t="str">
        <f t="shared" si="27"/>
        <v/>
      </c>
      <c r="DI31">
        <f t="shared" si="28"/>
        <v>0</v>
      </c>
      <c r="DJ31">
        <f t="shared" si="29"/>
        <v>0</v>
      </c>
      <c r="DK31" t="str">
        <f t="shared" si="13"/>
        <v/>
      </c>
      <c r="DL31" t="str">
        <f t="shared" si="13"/>
        <v/>
      </c>
      <c r="DM31" t="str">
        <f t="shared" si="13"/>
        <v/>
      </c>
      <c r="DN31" t="str">
        <f t="shared" si="30"/>
        <v/>
      </c>
      <c r="DO31" s="652">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71">
        <f>IF(AND(Stamoplysninger!$B$22="Ulempetillæg udbetales med 25% af nettotimelønnen.",C31="ikke relevant"),(R31)/4,0)</f>
        <v>0</v>
      </c>
      <c r="DT31" s="671">
        <f>IF(AND(AND(Stamoplysninger!$B$22="Ulempetillæg udbetales med 25% af nettotimelønnen.",I31="X",C31="Ikke relevant")),K31/4,0)</f>
        <v>0</v>
      </c>
      <c r="DU31" s="671">
        <f>IF(AND(AND(Stamoplysninger!$B$22="Ulempetillæg udbetales med 25% af nettotimelønnen.",C31="ikke relevant",U31="X")),(X31/4),0)</f>
        <v>0</v>
      </c>
      <c r="DV31" s="672">
        <f>IF(AND(AND(AND(Stamoplysninger!$B$22="Ulempetillæg udbetales med 25% af nettotimelønnen.",I31="X",C31="Ikke relevant",S31="X"))),V31/4,0)</f>
        <v>0</v>
      </c>
      <c r="DW31" s="652"/>
      <c r="DZ31" s="671"/>
      <c r="EA31" s="671"/>
      <c r="EB31" s="672"/>
      <c r="EC31" s="652">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71">
        <f>IF(AND(Stamoplysninger!$B$22="Ulempetillæg afspadseres med 25%(Kræver en aftale imellem ledelsen og den ansatte)",C31="ikke relevant"),(R31)/4,0)</f>
        <v>0</v>
      </c>
      <c r="EH31" s="671">
        <f>IF(AND(AND(Stamoplysninger!$B$22="Ulempetillæg afspadseres med 25%(Kræver en aftale imellem ledelsen og den ansatte)",I31="X",C31="Ikke relevant")),K31/4,0)</f>
        <v>0</v>
      </c>
      <c r="EI31" s="671">
        <f>IF(AND(AND(Stamoplysninger!$B$22="Ulempetillæg afspadseres med 25%(Kræver en aftale imellem ledelsen og den ansatte)",U31="X",C31="Ikke relevant")),X31/4,0)</f>
        <v>0</v>
      </c>
      <c r="EJ31" s="671">
        <f>IF(AND(AND(AND(Stamoplysninger!$B$22="Ulempetillæg afspadseres med 25%(Kræver en aftale imellem ledelsen og den ansatte)",I31="X",C31="Ikke relevant",S31="X"))),V31/4,0)</f>
        <v>0</v>
      </c>
      <c r="EK31" s="283">
        <f>IF(AND(Stamoplysninger!$B$26="Weekendtimer og weekendtillæg afspadseres.",I31="X"),K31*1.5,0)</f>
        <v>0</v>
      </c>
      <c r="EL31" s="251">
        <f>IF(AND(AND(Stamoplysninger!$B$26="Weekendtimer og weekendtillæg afspadseres.",I31="X",S31="X")),V31*1.5,0)</f>
        <v>0</v>
      </c>
      <c r="EM31" s="674">
        <f>IF(AND(AND(Stamoplysninger!$B$26="Weekendtimer og weekendtillæg afspadseres.",I31="X",C31="ikke relevant")),K31*1.5,0)</f>
        <v>0</v>
      </c>
      <c r="EN31" s="675">
        <f>IF(AND(AND(AND(Stamoplysninger!$B$26="Weekendtimer og weekendtillæg afspadseres.",I31="X",C31="ikke relevant",S31="X"))),(V31*1.5),0)</f>
        <v>0</v>
      </c>
      <c r="EO31" s="283">
        <f>IF(AND(Stamoplysninger!$B$26="Weekendtimer og weekendtillæg udbetales.",I31="X"),K31*1.5,0)</f>
        <v>0</v>
      </c>
      <c r="EP31" s="251">
        <f>IF(AND(AND(Stamoplysninger!$B$26="Weekendtimer og weekendtillæg udbetales.",I31="X",S31="X")),V31*1.5,0)</f>
        <v>0</v>
      </c>
      <c r="EQ31" s="674">
        <f>IF(AND(AND(Stamoplysninger!$B$26="Weekendtimer og weekendtillæg udbetales.",I31="X",C31="ikke relevant")),K31*1.5,0)</f>
        <v>0</v>
      </c>
      <c r="ER31" s="675">
        <f>IF(AND(AND(AND(Stamoplysninger!$B$26="Weekendtimer og weekendtillæg udbetales.",I31="X",C31="ikke relevant",S31="X"))),(V31*1.5),0)</f>
        <v>0</v>
      </c>
      <c r="ES31" s="283">
        <f>IF(AND(Stamoplysninger!$B$26="Der er indgået lokalaftale omkring weekendtimer.(Kræver aftale med TR/FSL) Weekendtillæg afspadseres.",I31="X"),K31*0.5,0)</f>
        <v>0</v>
      </c>
      <c r="ET31" s="251">
        <f>IF(AND(AND(Stamoplysninger!$B$26="Der er indgået lokalaftale omkring weekendtimer.(Kræver aftale med TR/FSL) Weekendtillæg afspadseres.",I31="X",S31="X")),V31*0.5,0)</f>
        <v>0</v>
      </c>
      <c r="EU31" s="674">
        <f>IF(AND(AND(Stamoplysninger!$B$26="Der er indgået lokalaftale omkring weekendtimer.(Kræver aftale med TR/FSL) Weekendtillæg afspadseres.",I31="X",C31="ikke relevant")),K31*0.5,0)</f>
        <v>0</v>
      </c>
      <c r="EV31" s="675">
        <f>IF(AND(AND(AND(Stamoplysninger!$B$26="Der er indgået lokalaftale omkring weekendtimer.(Kræver aftale med TR/FSL) Weekendtillæg afspadseres.",I31="X",C31="ikke relevant",S31="X"))),(V31*0.5),0)</f>
        <v>0</v>
      </c>
      <c r="EW31" s="283">
        <f>IF(AND(Stamoplysninger!$B$26="Der er indgået lokalaftale omkring weekendtimer(Kræver aftale med TR/FSL). Weekendtillæg udbetales.",I31="X"),K31*0.5,0)</f>
        <v>0</v>
      </c>
      <c r="EX31" s="251">
        <f>IF(AND(AND(Stamoplysninger!$B$26="Der er indgået lokalaftale omkring weekendtimer(Kræver aftale med TR/FSL). Weekendtillæg udbetales.",I31="X",S31="X")),V31*0.5,0)</f>
        <v>0</v>
      </c>
      <c r="EY31" s="674">
        <f>IF(AND(AND(Stamoplysninger!$B$26="Der er indgået lokalaftale omkring weekendtimer(Kræver aftale med TR/FSL). Weekendtillæg udbetales.",I31="X",C31="ikke relevant")),K31*0.5,0)</f>
        <v>0</v>
      </c>
      <c r="EZ31" s="675">
        <f>IF(AND(AND(AND(Stamoplysninger!$B$26="Der er indgået lokalaftale omkring weekendtimer(Kræver aftale med TR/FSL). Weekendtillæg udbetales.",I31="X",C31="ikke relevant",S31="X"))),(V31*0.5),0)</f>
        <v>0</v>
      </c>
      <c r="FA31" s="283">
        <f>IF(AND(Stamoplysninger!$B$26="Der er indgået lokalaftale omkring weekendtillæg(Kræver aftale med TR/FSL). Weekendtimerne afspadseres.",I31="X"),K31,0)</f>
        <v>0</v>
      </c>
      <c r="FB31" s="251">
        <f>IF(AND(AND(Stamoplysninger!$B$26="Der er indgået lokalaftale omkring weekendtillæg(Kræver aftale med TR/FSL). Weekendtimerne afspadseres.",I31="X",S31="X")),V31,0)</f>
        <v>0</v>
      </c>
      <c r="FC31" s="674">
        <f>IF(AND(AND(Stamoplysninger!$B$26="Der er indgået lokalaftale omkring weekendtillæg(Kræver aftale med TR/FSL). Weekendtimerne afspadseres..",I31="X",C31="ikke relevant")),K31,0)</f>
        <v>0</v>
      </c>
      <c r="FD31" s="675">
        <f>IF(AND(AND(AND(Stamoplysninger!$B$26="Der er indgået lokalaftale omkring weekendtillæg(Kræver aftale med TR/FSL). Weekendtimerne afspadseres.",I31="X",C31="ikke relevant",S31="X"))),(V31),0)</f>
        <v>0</v>
      </c>
      <c r="FE31" s="283">
        <f>IF(AND(Stamoplysninger!$B$26="Der er indgået lokalaftale omkring weekendtillæg(Kræver aftale med TR/FSL). Weekendtimerne udbetales.",I31="X"),K31,0)</f>
        <v>0</v>
      </c>
      <c r="FF31" s="251">
        <f>IF(AND(AND(Stamoplysninger!$B$26="Der er indgået lokalaftale omkring weekendtillæg(Kræver aftale med TR/FSL). Weekendtimerne udbetales.",I31="X",S31="X")),V31,0)</f>
        <v>0</v>
      </c>
      <c r="FG31" s="674">
        <f>IF(AND(AND(Stamoplysninger!$B$26="Der er indgået lokalaftale omkring weekendtillæg(Kræver aftale med TR/FSL). Weekendtimerne udbetales.",I31="X",C31="ikke relevant")),K31,0)</f>
        <v>0</v>
      </c>
      <c r="FH31" s="675">
        <f>IF(AND(AND(AND(Stamoplysninger!$B$26="Der er indgået lokalaftale omkring weekendtillæg(Kræver aftale med TR/FSL). Weekendtimerne udbetales.",I31="X",C31="ikke relevant",S31="X"))),(V31),0)</f>
        <v>0</v>
      </c>
      <c r="FI31" s="283">
        <f>IF(AND(Stamoplysninger!$B$26="Weekendtimer og weekendtillæg afspadseres.",I31="X"),K31,0)</f>
        <v>0</v>
      </c>
      <c r="FJ31" s="251">
        <f>IF(AND(Stamoplysninger!$B$26="Weekendtimer og weekendtillæg afspadseres.",Y31="X"),(AA31+AL31)/2,0)</f>
        <v>0</v>
      </c>
      <c r="FK31" s="674">
        <f>IF(AND(AND(Stamoplysninger!$B$26="Weekendtimer og weekendtillæg afspadseres.",I31="X",C31="ikke relevant")),K31,0)</f>
        <v>0</v>
      </c>
      <c r="FL31" s="675">
        <f>IF(AND(AND(Stamoplysninger!$B$26="Weekendtimer og weekendtillæg afspadseres.",Y31="X",S31="ikke relevant")),(AA31+AL31)/2,0)</f>
        <v>0</v>
      </c>
      <c r="FM31" s="283">
        <f>IF(AND(Stamoplysninger!$B$26="Der er indgået lokalaftale omkring weekendtillæg(Kræver aftale med TR/FSL). Weekendtimerne afspadseres.",I31="X"),K31,0)</f>
        <v>0</v>
      </c>
      <c r="FN31" s="674">
        <f>IF(AND(AND(Stamoplysninger!$B$26="Der er indgået lokalaftale omkring weekendtillæg(Kræver aftale med TR/FSL). Weekendtimerne afspadseres.",I31="X",C31="ikke relevant")),K31,0)</f>
        <v>0</v>
      </c>
      <c r="FO31" s="283">
        <f>IF(AND(Stamoplysninger!$B$26="Weekendtimer og weekendtillæg udbetales.",I31="X"),K31,0)</f>
        <v>0</v>
      </c>
      <c r="FP31" s="251">
        <f>IF(AND(Stamoplysninger!$B$26="Weekendtimer og weekendtillæg udbetales.",AA31="X"),(AC31+AN31)/2,0)</f>
        <v>0</v>
      </c>
      <c r="FQ31" s="674">
        <f>IF(AND(AND(Stamoplysninger!$B$26="Weekendtimer og weekendtillæg udbetales.",I31="X",C31="ikke relevant")),K31,0)</f>
        <v>0</v>
      </c>
      <c r="FR31" s="688">
        <f>IF(AND(AND(Stamoplysninger!$B$26="Weekendtimer og weekendtillæg udbetales.",AA31="X",U31="ikke relevant")),(AC31+AN31)/2,0)</f>
        <v>0</v>
      </c>
      <c r="FS31" s="283">
        <f t="shared" si="14"/>
        <v>0</v>
      </c>
      <c r="FT31" s="658">
        <f t="shared" si="15"/>
        <v>0</v>
      </c>
      <c r="FU31">
        <f t="shared" si="31"/>
        <v>0</v>
      </c>
      <c r="FV31" s="283">
        <f>IF(AND(Stamoplysninger!$B$26="Der er indgået lokalaftale omkring weekendtimer.(Kræver aftale med TR/FSL) Weekendtillæg afspadseres.",I31="X"),K31,0)</f>
        <v>0</v>
      </c>
      <c r="FW31" s="674">
        <f>IF(AND(AND(Stamoplysninger!$B$26="Der er indgået lokalaftale omkring weekendtimer.(Kræver aftale med TR/FSL) Weekendtillæg afspadseres.",I31="X",C31="ikke relevant")),K31,0)</f>
        <v>0</v>
      </c>
      <c r="FX31" s="283">
        <f>IF(AND(Stamoplysninger!$B$26="Der er indgået lokalaftale omkring weekendtimer(Kræver aftale med TR/FSL). Weekendtillæg udbetales.",I31="X"),K31,0)</f>
        <v>0</v>
      </c>
      <c r="FY31" s="674">
        <f>IF(AND(AND(Stamoplysninger!$B$26="Der er indgået lokalaftale omkring weekendtimer(Kræver aftale med TR/FSL). Weekendtillæg udbetales.",I31="X",C31="ikke relevant")),K31,0)</f>
        <v>0</v>
      </c>
      <c r="FZ31" s="283">
        <f>IF(AND(Stamoplysninger!$B$26="Der er indgået lokalaftale omkring weekendtillæg(Kræver aftale med TR/FSL). Weekendtimerne udbetales.",I31="X"),K31,0)</f>
        <v>0</v>
      </c>
      <c r="GA31" s="674">
        <f>IF(AND(AND(Stamoplysninger!$B$26="Der er indgået lokalaftale omkring weekendtillæg(Kræver aftale med TR/FSL). Weekendtimerne udbetales.",I31="X",C31="ikke relevant")),K31,0)</f>
        <v>0</v>
      </c>
      <c r="GB31" s="283">
        <f>IF(AND(Stamoplysninger!$B$26="Der er indgået lokalaftale omkring weekendtimer og weekendtillæg.(Kræver aftale med TR/FSL).",I31="X"),K31,0)</f>
        <v>0</v>
      </c>
      <c r="GC31" s="674">
        <f>IF(AND(AND(Stamoplysninger!$B$26="Der er indgået lokalaftale omkring weekendtimer og weekendtillæg.(Kræver aftale med TR/FSL).",I31="X",C31="ikke relevant")),K31,0)</f>
        <v>0</v>
      </c>
    </row>
    <row r="32" spans="1:185">
      <c r="A32" s="245">
        <f t="shared" si="17"/>
        <v>24</v>
      </c>
      <c r="B32" s="128" t="str">
        <f t="shared" si="0"/>
        <v>sø</v>
      </c>
      <c r="C32" s="129" t="s">
        <v>120</v>
      </c>
      <c r="D32" s="130" t="str">
        <f t="shared" si="1"/>
        <v/>
      </c>
      <c r="E32" s="949"/>
      <c r="F32" s="950"/>
      <c r="G32" s="951"/>
      <c r="H32" s="298"/>
      <c r="I32" s="413"/>
      <c r="J32" s="413"/>
      <c r="K32" s="380"/>
      <c r="L32" s="380"/>
      <c r="M32" s="380"/>
      <c r="N32" s="318">
        <f t="shared" si="18"/>
        <v>0</v>
      </c>
      <c r="O32" s="318">
        <f t="shared" si="19"/>
        <v>0</v>
      </c>
      <c r="P32" s="318">
        <f>IF(Stamoplysninger!$H$29="JA",November!DG32,CX32)</f>
        <v>0</v>
      </c>
      <c r="Q32" s="318">
        <f t="shared" si="20"/>
        <v>0</v>
      </c>
      <c r="R32" s="319"/>
      <c r="S32" s="324"/>
      <c r="T32" s="325"/>
      <c r="U32" s="325"/>
      <c r="V32" s="435"/>
      <c r="W32" s="435"/>
      <c r="X32" s="644"/>
      <c r="Y32">
        <f t="shared" si="21"/>
        <v>0</v>
      </c>
      <c r="Z32" s="437">
        <f t="shared" si="22"/>
        <v>0</v>
      </c>
      <c r="AA32" s="1">
        <f t="shared" si="2"/>
        <v>0</v>
      </c>
      <c r="AB32" s="1">
        <f t="shared" si="3"/>
        <v>0</v>
      </c>
      <c r="AC32" s="1">
        <f t="shared" si="4"/>
        <v>0</v>
      </c>
      <c r="AD32" s="1">
        <f t="shared" si="5"/>
        <v>0</v>
      </c>
      <c r="AE32" s="1">
        <f t="shared" si="6"/>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9">
        <f t="shared" si="7"/>
        <v>0</v>
      </c>
      <c r="BC32" s="1">
        <f t="shared" si="24"/>
        <v>0</v>
      </c>
      <c r="BD32" s="1">
        <f t="shared" si="8"/>
        <v>0</v>
      </c>
      <c r="BE32" s="1">
        <f t="shared" si="9"/>
        <v>0</v>
      </c>
      <c r="BF32" s="1">
        <f t="shared" si="10"/>
        <v>0</v>
      </c>
      <c r="BG32" s="210" t="str">
        <f>IF(AND(C32="Skema 1",B32="ma"),Skemaoplysninger!$E$30,"")</f>
        <v/>
      </c>
      <c r="BH32" s="210" t="str">
        <f>IF(AND(C32="Skema 1",B32="ti"),Skemaoplysninger!$G$30,"")</f>
        <v/>
      </c>
      <c r="BI32" s="210" t="str">
        <f>IF(AND(C32="Skema 1",B32="on"),Skemaoplysninger!$I$30,"")</f>
        <v/>
      </c>
      <c r="BJ32" s="210" t="str">
        <f>IF(AND(C32="Skema 1",B32="to"),Skemaoplysninger!$K$30,"")</f>
        <v/>
      </c>
      <c r="BK32" s="210" t="str">
        <f>IF(AND(C32="Skema 1",B32="fr"),Skemaoplysninger!$M$30,"")</f>
        <v/>
      </c>
      <c r="BL32" s="210" t="str">
        <f>IF(AND(C32="Skema 2",B32="ma"),Skemaoplysninger!$S$30,"")</f>
        <v/>
      </c>
      <c r="BM32" s="210" t="str">
        <f>IF(AND(C32="Skema 2",B32="ti"),Skemaoplysninger!$U$30,"")</f>
        <v/>
      </c>
      <c r="BN32" s="210" t="str">
        <f>IF(AND(C32="Skema 2",B32="on"),Skemaoplysninger!$W$30,"")</f>
        <v/>
      </c>
      <c r="BO32" s="210" t="str">
        <f>IF(AND(C32="Skema 2",B32="to"),Skemaoplysninger!$Y$30,"")</f>
        <v/>
      </c>
      <c r="BP32" s="210" t="str">
        <f>IF(AND(C32="Skema 2",B32="fr"),Skemaoplysninger!$AA$30,"")</f>
        <v/>
      </c>
      <c r="BQ32" s="210" t="str">
        <f>IF(AND(C32="Skema 3",B32="ma"),Skemaoplysninger!$AG$30,"")</f>
        <v/>
      </c>
      <c r="BR32" s="210" t="str">
        <f>IF(AND(C32="Skema 3",B32="ti"),Skemaoplysninger!$AI$30,"")</f>
        <v/>
      </c>
      <c r="BS32" s="210" t="str">
        <f>IF(AND(C32="Skema 3",B32="on"),Skemaoplysninger!$AK$30,"")</f>
        <v/>
      </c>
      <c r="BT32" s="210" t="str">
        <f>IF(AND(C32="Skema 3",B32="to"),Skemaoplysninger!$AM$30,"")</f>
        <v/>
      </c>
      <c r="BU32" s="210" t="str">
        <f>IF(AND(C32="Skema 3",B32="fr"),Skemaoplysninger!$AO$30,"")</f>
        <v/>
      </c>
      <c r="BV32" s="210" t="str">
        <f>IF(AND(C32="Skema 4",B32="ma"),Skemaoplysninger!$AU$30,"")</f>
        <v/>
      </c>
      <c r="BW32" s="210" t="str">
        <f>IF(AND(C32="Skema 4",B32="ti"),Skemaoplysninger!$AW$30,"")</f>
        <v/>
      </c>
      <c r="BX32" s="210" t="str">
        <f>IF(AND(C32="Skema 4",B32="on"),Skemaoplysninger!$AY$30,"")</f>
        <v/>
      </c>
      <c r="BY32" s="210" t="str">
        <f>IF(AND(C32="Skema 4",B32="to"),Skemaoplysninger!$BA$30,"")</f>
        <v/>
      </c>
      <c r="BZ32" s="210" t="str">
        <f>IF(AND(C32="Skema 4",B32="fr"),Skemaoplysninger!$BC$30,"")</f>
        <v/>
      </c>
      <c r="CA32" s="1">
        <f t="shared" si="25"/>
        <v>0</v>
      </c>
      <c r="CB32" s="1">
        <f t="shared" si="11"/>
        <v>0</v>
      </c>
      <c r="CC32" s="1">
        <f t="shared" si="12"/>
        <v>0</v>
      </c>
      <c r="CD32" s="210" t="str">
        <f>IF(AND(C32="Skema 1",B32="ma"),Skemaoplysninger!$E$31,"")</f>
        <v/>
      </c>
      <c r="CE32" s="210" t="str">
        <f>IF(AND(C32="Skema 1",B32="ti"),Skemaoplysninger!$G$31,"")</f>
        <v/>
      </c>
      <c r="CF32" s="210" t="str">
        <f>IF(AND(C32="Skema 1",B32="on"),Skemaoplysninger!$I$31,"")</f>
        <v/>
      </c>
      <c r="CG32" s="210" t="str">
        <f>IF(AND(C32="Skema 1",B32="to"),Skemaoplysninger!$K$31,"")</f>
        <v/>
      </c>
      <c r="CH32" s="210" t="str">
        <f>IF(AND(C32="Skema 1",B32="fr"),Skemaoplysninger!$M$31,"")</f>
        <v/>
      </c>
      <c r="CI32" s="210" t="str">
        <f>IF(AND(C32="Skema 2",B32="ma"),Skemaoplysninger!$S$31,"")</f>
        <v/>
      </c>
      <c r="CJ32" s="210" t="str">
        <f>IF(AND(C32="Skema 2",B32="ti"),Skemaoplysninger!$U$31,"")</f>
        <v/>
      </c>
      <c r="CK32" s="210" t="str">
        <f>IF(AND(C32="Skema 2",B32="on"),Skemaoplysninger!$W$31,"")</f>
        <v/>
      </c>
      <c r="CL32" s="210" t="str">
        <f>IF(AND(C32="Skema 2",B32="to"),Skemaoplysninger!$Y$31,"")</f>
        <v/>
      </c>
      <c r="CM32" s="210" t="str">
        <f>IF(AND(C32="Skema 2",B32="fr"),Skemaoplysninger!$AA$31,"")</f>
        <v/>
      </c>
      <c r="CN32" s="210" t="str">
        <f>IF(AND(C32="Skema 3",B32="ma"),Skemaoplysninger!$AG$31,"")</f>
        <v/>
      </c>
      <c r="CO32" s="210" t="str">
        <f>IF(AND(C32="Skema 3",B32="ti"),Skemaoplysninger!$AI$31,"")</f>
        <v/>
      </c>
      <c r="CP32" s="210" t="str">
        <f>IF(AND(C32="Skema 3",B32="on"),Skemaoplysninger!$AK$31,"")</f>
        <v/>
      </c>
      <c r="CQ32" s="210" t="str">
        <f>IF(AND(C32="Skema 3",B32="to"),Skemaoplysninger!$AM$31,"")</f>
        <v/>
      </c>
      <c r="CR32" s="210" t="str">
        <f>IF(AND(C32="Skema 3",B32="fr"),Skemaoplysninger!$AO$31,"")</f>
        <v/>
      </c>
      <c r="CS32" s="210" t="str">
        <f>IF(AND(C32="Skema 4",B32="ma"),Skemaoplysninger!$AU$31,"")</f>
        <v/>
      </c>
      <c r="CT32" s="210" t="str">
        <f>IF(AND(C32="Skema 4",B32="ti"),Skemaoplysninger!$AW$31,"")</f>
        <v/>
      </c>
      <c r="CU32" s="210" t="str">
        <f>IF(AND(C32="Skema 4",B32="on"),Skemaoplysninger!$AY$31,"")</f>
        <v/>
      </c>
      <c r="CV32" s="210" t="str">
        <f>IF(AND(C32="Skema 4",B32="to"),Skemaoplysninger!$BA$31,"")</f>
        <v/>
      </c>
      <c r="CW32" s="210" t="str">
        <f>IF(AND(C32="Skema 4",B32="fr"),Skemaoplysninger!$BC$31,"")</f>
        <v/>
      </c>
      <c r="CX32" s="249">
        <f>IF(Stamoplysninger!$H$29="NEJ",SUM(CD32:CW32)*24+CB32+CC32,0)</f>
        <v>0</v>
      </c>
      <c r="CY32" s="249">
        <f>IF(C32="Skema 1",Stamoplysninger!$H$30/200,0)</f>
        <v>0</v>
      </c>
      <c r="CZ32" s="249">
        <f>IF(C32="Skema 2",Stamoplysninger!$H$30/200,0)</f>
        <v>0</v>
      </c>
      <c r="DA32" s="249">
        <f>IF(C32="Skema 3",Stamoplysninger!$H$30/200,0)</f>
        <v>0</v>
      </c>
      <c r="DB32" s="249">
        <f>IF(C32="Skema 4",Stamoplysninger!$H$30/200,0)</f>
        <v>0</v>
      </c>
      <c r="DC32" s="249">
        <f>IF(C32="fagdag",Stamoplysninger!$H$30/200,0)</f>
        <v>0</v>
      </c>
      <c r="DD32" s="249">
        <f>IF(C32="emnedag",Stamoplysninger!$H$30/200,0)</f>
        <v>0</v>
      </c>
      <c r="DE32" s="249">
        <f>IF(C32="lejrskole",Stamoplysninger!$H$30/200,0)</f>
        <v>0</v>
      </c>
      <c r="DF32" s="249">
        <f>IF(C32="ekskursion",Stamoplysninger!$H$30/200,0)</f>
        <v>0</v>
      </c>
      <c r="DG32" s="249">
        <f t="shared" si="26"/>
        <v>0</v>
      </c>
      <c r="DH32" t="str">
        <f t="shared" si="27"/>
        <v/>
      </c>
      <c r="DI32">
        <f t="shared" si="28"/>
        <v>0</v>
      </c>
      <c r="DJ32">
        <f t="shared" si="29"/>
        <v>0</v>
      </c>
      <c r="DK32" t="str">
        <f t="shared" si="13"/>
        <v/>
      </c>
      <c r="DL32" t="str">
        <f t="shared" si="13"/>
        <v/>
      </c>
      <c r="DM32" t="str">
        <f t="shared" si="13"/>
        <v/>
      </c>
      <c r="DN32" t="str">
        <f t="shared" si="30"/>
        <v/>
      </c>
      <c r="DO32" s="652">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71">
        <f>IF(AND(Stamoplysninger!$B$22="Ulempetillæg udbetales med 25% af nettotimelønnen.",C32="ikke relevant"),(R32)/4,0)</f>
        <v>0</v>
      </c>
      <c r="DT32" s="671">
        <f>IF(AND(AND(Stamoplysninger!$B$22="Ulempetillæg udbetales med 25% af nettotimelønnen.",I32="X",C32="Ikke relevant")),K32/4,0)</f>
        <v>0</v>
      </c>
      <c r="DU32" s="671">
        <f>IF(AND(AND(Stamoplysninger!$B$22="Ulempetillæg udbetales med 25% af nettotimelønnen.",C32="ikke relevant",U32="X")),(X32/4),0)</f>
        <v>0</v>
      </c>
      <c r="DV32" s="672">
        <f>IF(AND(AND(AND(Stamoplysninger!$B$22="Ulempetillæg udbetales med 25% af nettotimelønnen.",I32="X",C32="Ikke relevant",S32="X"))),V32/4,0)</f>
        <v>0</v>
      </c>
      <c r="DW32" s="652"/>
      <c r="DZ32" s="671"/>
      <c r="EA32" s="671"/>
      <c r="EB32" s="672"/>
      <c r="EC32" s="652">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71">
        <f>IF(AND(Stamoplysninger!$B$22="Ulempetillæg afspadseres med 25%(Kræver en aftale imellem ledelsen og den ansatte)",C32="ikke relevant"),(R32)/4,0)</f>
        <v>0</v>
      </c>
      <c r="EH32" s="671">
        <f>IF(AND(AND(Stamoplysninger!$B$22="Ulempetillæg afspadseres med 25%(Kræver en aftale imellem ledelsen og den ansatte)",I32="X",C32="Ikke relevant")),K32/4,0)</f>
        <v>0</v>
      </c>
      <c r="EI32" s="671">
        <f>IF(AND(AND(Stamoplysninger!$B$22="Ulempetillæg afspadseres med 25%(Kræver en aftale imellem ledelsen og den ansatte)",U32="X",C32="Ikke relevant")),X32/4,0)</f>
        <v>0</v>
      </c>
      <c r="EJ32" s="671">
        <f>IF(AND(AND(AND(Stamoplysninger!$B$22="Ulempetillæg afspadseres med 25%(Kræver en aftale imellem ledelsen og den ansatte)",I32="X",C32="Ikke relevant",S32="X"))),V32/4,0)</f>
        <v>0</v>
      </c>
      <c r="EK32" s="283">
        <f>IF(AND(Stamoplysninger!$B$26="Weekendtimer og weekendtillæg afspadseres.",I32="X"),K32*1.5,0)</f>
        <v>0</v>
      </c>
      <c r="EL32" s="251">
        <f>IF(AND(AND(Stamoplysninger!$B$26="Weekendtimer og weekendtillæg afspadseres.",I32="X",S32="X")),V32*1.5,0)</f>
        <v>0</v>
      </c>
      <c r="EM32" s="674">
        <f>IF(AND(AND(Stamoplysninger!$B$26="Weekendtimer og weekendtillæg afspadseres.",I32="X",C32="ikke relevant")),K32*1.5,0)</f>
        <v>0</v>
      </c>
      <c r="EN32" s="675">
        <f>IF(AND(AND(AND(Stamoplysninger!$B$26="Weekendtimer og weekendtillæg afspadseres.",I32="X",C32="ikke relevant",S32="X"))),(V32*1.5),0)</f>
        <v>0</v>
      </c>
      <c r="EO32" s="283">
        <f>IF(AND(Stamoplysninger!$B$26="Weekendtimer og weekendtillæg udbetales.",I32="X"),K32*1.5,0)</f>
        <v>0</v>
      </c>
      <c r="EP32" s="251">
        <f>IF(AND(AND(Stamoplysninger!$B$26="Weekendtimer og weekendtillæg udbetales.",I32="X",S32="X")),V32*1.5,0)</f>
        <v>0</v>
      </c>
      <c r="EQ32" s="674">
        <f>IF(AND(AND(Stamoplysninger!$B$26="Weekendtimer og weekendtillæg udbetales.",I32="X",C32="ikke relevant")),K32*1.5,0)</f>
        <v>0</v>
      </c>
      <c r="ER32" s="675">
        <f>IF(AND(AND(AND(Stamoplysninger!$B$26="Weekendtimer og weekendtillæg udbetales.",I32="X",C32="ikke relevant",S32="X"))),(V32*1.5),0)</f>
        <v>0</v>
      </c>
      <c r="ES32" s="283">
        <f>IF(AND(Stamoplysninger!$B$26="Der er indgået lokalaftale omkring weekendtimer.(Kræver aftale med TR/FSL) Weekendtillæg afspadseres.",I32="X"),K32*0.5,0)</f>
        <v>0</v>
      </c>
      <c r="ET32" s="251">
        <f>IF(AND(AND(Stamoplysninger!$B$26="Der er indgået lokalaftale omkring weekendtimer.(Kræver aftale med TR/FSL) Weekendtillæg afspadseres.",I32="X",S32="X")),V32*0.5,0)</f>
        <v>0</v>
      </c>
      <c r="EU32" s="674">
        <f>IF(AND(AND(Stamoplysninger!$B$26="Der er indgået lokalaftale omkring weekendtimer.(Kræver aftale med TR/FSL) Weekendtillæg afspadseres.",I32="X",C32="ikke relevant")),K32*0.5,0)</f>
        <v>0</v>
      </c>
      <c r="EV32" s="675">
        <f>IF(AND(AND(AND(Stamoplysninger!$B$26="Der er indgået lokalaftale omkring weekendtimer.(Kræver aftale med TR/FSL) Weekendtillæg afspadseres.",I32="X",C32="ikke relevant",S32="X"))),(V32*0.5),0)</f>
        <v>0</v>
      </c>
      <c r="EW32" s="283">
        <f>IF(AND(Stamoplysninger!$B$26="Der er indgået lokalaftale omkring weekendtimer(Kræver aftale med TR/FSL). Weekendtillæg udbetales.",I32="X"),K32*0.5,0)</f>
        <v>0</v>
      </c>
      <c r="EX32" s="251">
        <f>IF(AND(AND(Stamoplysninger!$B$26="Der er indgået lokalaftale omkring weekendtimer(Kræver aftale med TR/FSL). Weekendtillæg udbetales.",I32="X",S32="X")),V32*0.5,0)</f>
        <v>0</v>
      </c>
      <c r="EY32" s="674">
        <f>IF(AND(AND(Stamoplysninger!$B$26="Der er indgået lokalaftale omkring weekendtimer(Kræver aftale med TR/FSL). Weekendtillæg udbetales.",I32="X",C32="ikke relevant")),K32*0.5,0)</f>
        <v>0</v>
      </c>
      <c r="EZ32" s="675">
        <f>IF(AND(AND(AND(Stamoplysninger!$B$26="Der er indgået lokalaftale omkring weekendtimer(Kræver aftale med TR/FSL). Weekendtillæg udbetales.",I32="X",C32="ikke relevant",S32="X"))),(V32*0.5),0)</f>
        <v>0</v>
      </c>
      <c r="FA32" s="283">
        <f>IF(AND(Stamoplysninger!$B$26="Der er indgået lokalaftale omkring weekendtillæg(Kræver aftale med TR/FSL). Weekendtimerne afspadseres.",I32="X"),K32,0)</f>
        <v>0</v>
      </c>
      <c r="FB32" s="251">
        <f>IF(AND(AND(Stamoplysninger!$B$26="Der er indgået lokalaftale omkring weekendtillæg(Kræver aftale med TR/FSL). Weekendtimerne afspadseres.",I32="X",S32="X")),V32,0)</f>
        <v>0</v>
      </c>
      <c r="FC32" s="674">
        <f>IF(AND(AND(Stamoplysninger!$B$26="Der er indgået lokalaftale omkring weekendtillæg(Kræver aftale med TR/FSL). Weekendtimerne afspadseres..",I32="X",C32="ikke relevant")),K32,0)</f>
        <v>0</v>
      </c>
      <c r="FD32" s="675">
        <f>IF(AND(AND(AND(Stamoplysninger!$B$26="Der er indgået lokalaftale omkring weekendtillæg(Kræver aftale med TR/FSL). Weekendtimerne afspadseres.",I32="X",C32="ikke relevant",S32="X"))),(V32),0)</f>
        <v>0</v>
      </c>
      <c r="FE32" s="283">
        <f>IF(AND(Stamoplysninger!$B$26="Der er indgået lokalaftale omkring weekendtillæg(Kræver aftale med TR/FSL). Weekendtimerne udbetales.",I32="X"),K32,0)</f>
        <v>0</v>
      </c>
      <c r="FF32" s="251">
        <f>IF(AND(AND(Stamoplysninger!$B$26="Der er indgået lokalaftale omkring weekendtillæg(Kræver aftale med TR/FSL). Weekendtimerne udbetales.",I32="X",S32="X")),V32,0)</f>
        <v>0</v>
      </c>
      <c r="FG32" s="674">
        <f>IF(AND(AND(Stamoplysninger!$B$26="Der er indgået lokalaftale omkring weekendtillæg(Kræver aftale med TR/FSL). Weekendtimerne udbetales.",I32="X",C32="ikke relevant")),K32,0)</f>
        <v>0</v>
      </c>
      <c r="FH32" s="675">
        <f>IF(AND(AND(AND(Stamoplysninger!$B$26="Der er indgået lokalaftale omkring weekendtillæg(Kræver aftale med TR/FSL). Weekendtimerne udbetales.",I32="X",C32="ikke relevant",S32="X"))),(V32),0)</f>
        <v>0</v>
      </c>
      <c r="FI32" s="283">
        <f>IF(AND(Stamoplysninger!$B$26="Weekendtimer og weekendtillæg afspadseres.",I32="X"),K32,0)</f>
        <v>0</v>
      </c>
      <c r="FJ32" s="251">
        <f>IF(AND(Stamoplysninger!$B$26="Weekendtimer og weekendtillæg afspadseres.",Y32="X"),(AA32+AL32)/2,0)</f>
        <v>0</v>
      </c>
      <c r="FK32" s="674">
        <f>IF(AND(AND(Stamoplysninger!$B$26="Weekendtimer og weekendtillæg afspadseres.",I32="X",C32="ikke relevant")),K32,0)</f>
        <v>0</v>
      </c>
      <c r="FL32" s="675">
        <f>IF(AND(AND(Stamoplysninger!$B$26="Weekendtimer og weekendtillæg afspadseres.",Y32="X",S32="ikke relevant")),(AA32+AL32)/2,0)</f>
        <v>0</v>
      </c>
      <c r="FM32" s="283">
        <f>IF(AND(Stamoplysninger!$B$26="Der er indgået lokalaftale omkring weekendtillæg(Kræver aftale med TR/FSL). Weekendtimerne afspadseres.",I32="X"),K32,0)</f>
        <v>0</v>
      </c>
      <c r="FN32" s="674">
        <f>IF(AND(AND(Stamoplysninger!$B$26="Der er indgået lokalaftale omkring weekendtillæg(Kræver aftale med TR/FSL). Weekendtimerne afspadseres.",I32="X",C32="ikke relevant")),K32,0)</f>
        <v>0</v>
      </c>
      <c r="FO32" s="283">
        <f>IF(AND(Stamoplysninger!$B$26="Weekendtimer og weekendtillæg udbetales.",I32="X"),K32,0)</f>
        <v>0</v>
      </c>
      <c r="FP32" s="251">
        <f>IF(AND(Stamoplysninger!$B$26="Weekendtimer og weekendtillæg udbetales.",AA32="X"),(AC32+AN32)/2,0)</f>
        <v>0</v>
      </c>
      <c r="FQ32" s="674">
        <f>IF(AND(AND(Stamoplysninger!$B$26="Weekendtimer og weekendtillæg udbetales.",I32="X",C32="ikke relevant")),K32,0)</f>
        <v>0</v>
      </c>
      <c r="FR32" s="688">
        <f>IF(AND(AND(Stamoplysninger!$B$26="Weekendtimer og weekendtillæg udbetales.",AA32="X",U32="ikke relevant")),(AC32+AN32)/2,0)</f>
        <v>0</v>
      </c>
      <c r="FS32" s="283">
        <f t="shared" si="14"/>
        <v>0</v>
      </c>
      <c r="FT32" s="658">
        <f t="shared" si="15"/>
        <v>0</v>
      </c>
      <c r="FU32">
        <f t="shared" si="31"/>
        <v>0</v>
      </c>
      <c r="FV32" s="283">
        <f>IF(AND(Stamoplysninger!$B$26="Der er indgået lokalaftale omkring weekendtimer.(Kræver aftale med TR/FSL) Weekendtillæg afspadseres.",I32="X"),K32,0)</f>
        <v>0</v>
      </c>
      <c r="FW32" s="674">
        <f>IF(AND(AND(Stamoplysninger!$B$26="Der er indgået lokalaftale omkring weekendtimer.(Kræver aftale med TR/FSL) Weekendtillæg afspadseres.",I32="X",C32="ikke relevant")),K32,0)</f>
        <v>0</v>
      </c>
      <c r="FX32" s="283">
        <f>IF(AND(Stamoplysninger!$B$26="Der er indgået lokalaftale omkring weekendtimer(Kræver aftale med TR/FSL). Weekendtillæg udbetales.",I32="X"),K32,0)</f>
        <v>0</v>
      </c>
      <c r="FY32" s="674">
        <f>IF(AND(AND(Stamoplysninger!$B$26="Der er indgået lokalaftale omkring weekendtimer(Kræver aftale med TR/FSL). Weekendtillæg udbetales.",I32="X",C32="ikke relevant")),K32,0)</f>
        <v>0</v>
      </c>
      <c r="FZ32" s="283">
        <f>IF(AND(Stamoplysninger!$B$26="Der er indgået lokalaftale omkring weekendtillæg(Kræver aftale med TR/FSL). Weekendtimerne udbetales.",I32="X"),K32,0)</f>
        <v>0</v>
      </c>
      <c r="GA32" s="674">
        <f>IF(AND(AND(Stamoplysninger!$B$26="Der er indgået lokalaftale omkring weekendtillæg(Kræver aftale med TR/FSL). Weekendtimerne udbetales.",I32="X",C32="ikke relevant")),K32,0)</f>
        <v>0</v>
      </c>
      <c r="GB32" s="283">
        <f>IF(AND(Stamoplysninger!$B$26="Der er indgået lokalaftale omkring weekendtimer og weekendtillæg.(Kræver aftale med TR/FSL).",I32="X"),K32,0)</f>
        <v>0</v>
      </c>
      <c r="GC32" s="674">
        <f>IF(AND(AND(Stamoplysninger!$B$26="Der er indgået lokalaftale omkring weekendtimer og weekendtillæg.(Kræver aftale med TR/FSL).",I32="X",C32="ikke relevant")),K32,0)</f>
        <v>0</v>
      </c>
    </row>
    <row r="33" spans="1:185">
      <c r="A33" s="245">
        <f t="shared" si="17"/>
        <v>25</v>
      </c>
      <c r="B33" s="128" t="str">
        <f t="shared" si="0"/>
        <v>ma</v>
      </c>
      <c r="C33" s="129" t="s">
        <v>206</v>
      </c>
      <c r="D33" s="130">
        <f t="shared" si="1"/>
        <v>48</v>
      </c>
      <c r="E33" s="917"/>
      <c r="F33" s="918"/>
      <c r="G33" s="919"/>
      <c r="H33" s="298"/>
      <c r="I33" s="527"/>
      <c r="J33" s="413"/>
      <c r="K33" s="380"/>
      <c r="L33" s="380"/>
      <c r="M33" s="380"/>
      <c r="N33" s="318">
        <f t="shared" si="18"/>
        <v>7.75</v>
      </c>
      <c r="O33" s="318">
        <f t="shared" si="19"/>
        <v>3.916666666666667</v>
      </c>
      <c r="P33" s="318">
        <f>IF(Stamoplysninger!$H$29="JA",November!DG33,CX33)</f>
        <v>0.83333333333333337</v>
      </c>
      <c r="Q33" s="318">
        <f t="shared" si="20"/>
        <v>2.9999999999999996</v>
      </c>
      <c r="R33" s="319"/>
      <c r="S33" s="324"/>
      <c r="T33" s="325"/>
      <c r="U33" s="325"/>
      <c r="V33" s="435"/>
      <c r="W33" s="435"/>
      <c r="X33" s="644"/>
      <c r="Y33">
        <f t="shared" si="21"/>
        <v>0</v>
      </c>
      <c r="Z33" s="437">
        <f t="shared" si="22"/>
        <v>0</v>
      </c>
      <c r="AA33" s="1">
        <f t="shared" si="2"/>
        <v>0</v>
      </c>
      <c r="AB33" s="1">
        <f t="shared" si="3"/>
        <v>0</v>
      </c>
      <c r="AC33" s="1">
        <f t="shared" si="4"/>
        <v>0</v>
      </c>
      <c r="AD33" s="1">
        <f t="shared" si="5"/>
        <v>0</v>
      </c>
      <c r="AE33" s="1">
        <f t="shared" si="6"/>
        <v>0</v>
      </c>
      <c r="AF33" s="1">
        <f>IF(C33="Orlov",7.4*Stamoplysninger!$E$15,0)</f>
        <v>0</v>
      </c>
      <c r="AG33">
        <f>IF(AND(C33="Skema 1",B33="ma"),Arbejdstidsoversigt!$E$72,"")</f>
        <v>7.75</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7.75</v>
      </c>
      <c r="BB33" s="229">
        <f t="shared" si="7"/>
        <v>186</v>
      </c>
      <c r="BC33" s="1">
        <f t="shared" si="24"/>
        <v>0</v>
      </c>
      <c r="BD33" s="1">
        <f t="shared" si="8"/>
        <v>0</v>
      </c>
      <c r="BE33" s="1">
        <f t="shared" si="9"/>
        <v>0</v>
      </c>
      <c r="BF33" s="1">
        <f t="shared" si="10"/>
        <v>0</v>
      </c>
      <c r="BG33" s="210">
        <f>IF(AND(C33="Skema 1",B33="ma"),Skemaoplysninger!$E$30,"")</f>
        <v>0.16319444444444445</v>
      </c>
      <c r="BH33" s="210" t="str">
        <f>IF(AND(C33="Skema 1",B33="ti"),Skemaoplysninger!$G$30,"")</f>
        <v/>
      </c>
      <c r="BI33" s="210" t="str">
        <f>IF(AND(C33="Skema 1",B33="on"),Skemaoplysninger!$I$30,"")</f>
        <v/>
      </c>
      <c r="BJ33" s="210" t="str">
        <f>IF(AND(C33="Skema 1",B33="to"),Skemaoplysninger!$K$30,"")</f>
        <v/>
      </c>
      <c r="BK33" s="210" t="str">
        <f>IF(AND(C33="Skema 1",B33="fr"),Skemaoplysninger!$M$30,"")</f>
        <v/>
      </c>
      <c r="BL33" s="210" t="str">
        <f>IF(AND(C33="Skema 2",B33="ma"),Skemaoplysninger!$S$30,"")</f>
        <v/>
      </c>
      <c r="BM33" s="210" t="str">
        <f>IF(AND(C33="Skema 2",B33="ti"),Skemaoplysninger!$U$30,"")</f>
        <v/>
      </c>
      <c r="BN33" s="210" t="str">
        <f>IF(AND(C33="Skema 2",B33="on"),Skemaoplysninger!$W$30,"")</f>
        <v/>
      </c>
      <c r="BO33" s="210" t="str">
        <f>IF(AND(C33="Skema 2",B33="to"),Skemaoplysninger!$Y$30,"")</f>
        <v/>
      </c>
      <c r="BP33" s="210" t="str">
        <f>IF(AND(C33="Skema 2",B33="fr"),Skemaoplysninger!$AA$30,"")</f>
        <v/>
      </c>
      <c r="BQ33" s="210" t="str">
        <f>IF(AND(C33="Skema 3",B33="ma"),Skemaoplysninger!$AG$30,"")</f>
        <v/>
      </c>
      <c r="BR33" s="210" t="str">
        <f>IF(AND(C33="Skema 3",B33="ti"),Skemaoplysninger!$AI$30,"")</f>
        <v/>
      </c>
      <c r="BS33" s="210" t="str">
        <f>IF(AND(C33="Skema 3",B33="on"),Skemaoplysninger!$AK$30,"")</f>
        <v/>
      </c>
      <c r="BT33" s="210" t="str">
        <f>IF(AND(C33="Skema 3",B33="to"),Skemaoplysninger!$AM$30,"")</f>
        <v/>
      </c>
      <c r="BU33" s="210" t="str">
        <f>IF(AND(C33="Skema 3",B33="fr"),Skemaoplysninger!$AO$30,"")</f>
        <v/>
      </c>
      <c r="BV33" s="210" t="str">
        <f>IF(AND(C33="Skema 4",B33="ma"),Skemaoplysninger!$AU$30,"")</f>
        <v/>
      </c>
      <c r="BW33" s="210" t="str">
        <f>IF(AND(C33="Skema 4",B33="ti"),Skemaoplysninger!$AW$30,"")</f>
        <v/>
      </c>
      <c r="BX33" s="210" t="str">
        <f>IF(AND(C33="Skema 4",B33="on"),Skemaoplysninger!$AY$30,"")</f>
        <v/>
      </c>
      <c r="BY33" s="210" t="str">
        <f>IF(AND(C33="Skema 4",B33="to"),Skemaoplysninger!$BA$30,"")</f>
        <v/>
      </c>
      <c r="BZ33" s="210" t="str">
        <f>IF(AND(C33="Skema 4",B33="fr"),Skemaoplysninger!$BC$30,"")</f>
        <v/>
      </c>
      <c r="CA33" s="1">
        <f t="shared" si="25"/>
        <v>3.916666666666667</v>
      </c>
      <c r="CB33" s="1">
        <f t="shared" si="11"/>
        <v>0</v>
      </c>
      <c r="CC33" s="1">
        <f t="shared" si="12"/>
        <v>0</v>
      </c>
      <c r="CD33" s="210">
        <f>IF(AND(C33="Skema 1",B33="ma"),Skemaoplysninger!$E$31,"")</f>
        <v>3.4722222222222224E-2</v>
      </c>
      <c r="CE33" s="210" t="str">
        <f>IF(AND(C33="Skema 1",B33="ti"),Skemaoplysninger!$G$31,"")</f>
        <v/>
      </c>
      <c r="CF33" s="210" t="str">
        <f>IF(AND(C33="Skema 1",B33="on"),Skemaoplysninger!$I$31,"")</f>
        <v/>
      </c>
      <c r="CG33" s="210" t="str">
        <f>IF(AND(C33="Skema 1",B33="to"),Skemaoplysninger!$K$31,"")</f>
        <v/>
      </c>
      <c r="CH33" s="210" t="str">
        <f>IF(AND(C33="Skema 1",B33="fr"),Skemaoplysninger!$M$31,"")</f>
        <v/>
      </c>
      <c r="CI33" s="210" t="str">
        <f>IF(AND(C33="Skema 2",B33="ma"),Skemaoplysninger!$S$31,"")</f>
        <v/>
      </c>
      <c r="CJ33" s="210" t="str">
        <f>IF(AND(C33="Skema 2",B33="ti"),Skemaoplysninger!$U$31,"")</f>
        <v/>
      </c>
      <c r="CK33" s="210" t="str">
        <f>IF(AND(C33="Skema 2",B33="on"),Skemaoplysninger!$W$31,"")</f>
        <v/>
      </c>
      <c r="CL33" s="210" t="str">
        <f>IF(AND(C33="Skema 2",B33="to"),Skemaoplysninger!$Y$31,"")</f>
        <v/>
      </c>
      <c r="CM33" s="210" t="str">
        <f>IF(AND(C33="Skema 2",B33="fr"),Skemaoplysninger!$AA$31,"")</f>
        <v/>
      </c>
      <c r="CN33" s="210" t="str">
        <f>IF(AND(C33="Skema 3",B33="ma"),Skemaoplysninger!$AG$31,"")</f>
        <v/>
      </c>
      <c r="CO33" s="210" t="str">
        <f>IF(AND(C33="Skema 3",B33="ti"),Skemaoplysninger!$AI$31,"")</f>
        <v/>
      </c>
      <c r="CP33" s="210" t="str">
        <f>IF(AND(C33="Skema 3",B33="on"),Skemaoplysninger!$AK$31,"")</f>
        <v/>
      </c>
      <c r="CQ33" s="210" t="str">
        <f>IF(AND(C33="Skema 3",B33="to"),Skemaoplysninger!$AM$31,"")</f>
        <v/>
      </c>
      <c r="CR33" s="210" t="str">
        <f>IF(AND(C33="Skema 3",B33="fr"),Skemaoplysninger!$AO$31,"")</f>
        <v/>
      </c>
      <c r="CS33" s="210" t="str">
        <f>IF(AND(C33="Skema 4",B33="ma"),Skemaoplysninger!$AU$31,"")</f>
        <v/>
      </c>
      <c r="CT33" s="210" t="str">
        <f>IF(AND(C33="Skema 4",B33="ti"),Skemaoplysninger!$AW$31,"")</f>
        <v/>
      </c>
      <c r="CU33" s="210" t="str">
        <f>IF(AND(C33="Skema 4",B33="on"),Skemaoplysninger!$AY$31,"")</f>
        <v/>
      </c>
      <c r="CV33" s="210" t="str">
        <f>IF(AND(C33="Skema 4",B33="to"),Skemaoplysninger!$BA$31,"")</f>
        <v/>
      </c>
      <c r="CW33" s="210" t="str">
        <f>IF(AND(C33="Skema 4",B33="fr"),Skemaoplysninger!$BC$31,"")</f>
        <v/>
      </c>
      <c r="CX33" s="249">
        <f>IF(Stamoplysninger!$H$29="NEJ",SUM(CD33:CW33)*24+CB33+CC33,0)</f>
        <v>0.83333333333333337</v>
      </c>
      <c r="CY33" s="249">
        <f>IF(C33="Skema 1",Stamoplysninger!$H$30/200,0)</f>
        <v>0</v>
      </c>
      <c r="CZ33" s="249">
        <f>IF(C33="Skema 2",Stamoplysninger!$H$30/200,0)</f>
        <v>0</v>
      </c>
      <c r="DA33" s="249">
        <f>IF(C33="Skema 3",Stamoplysninger!$H$30/200,0)</f>
        <v>0</v>
      </c>
      <c r="DB33" s="249">
        <f>IF(C33="Skema 4",Stamoplysninger!$H$30/200,0)</f>
        <v>0</v>
      </c>
      <c r="DC33" s="249">
        <f>IF(C33="fagdag",Stamoplysninger!$H$30/200,0)</f>
        <v>0</v>
      </c>
      <c r="DD33" s="249">
        <f>IF(C33="emnedag",Stamoplysninger!$H$30/200,0)</f>
        <v>0</v>
      </c>
      <c r="DE33" s="249">
        <f>IF(C33="lejrskole",Stamoplysninger!$H$30/200,0)</f>
        <v>0</v>
      </c>
      <c r="DF33" s="249">
        <f>IF(C33="ekskursion",Stamoplysninger!$H$30/200,0)</f>
        <v>0</v>
      </c>
      <c r="DG33" s="249">
        <f t="shared" si="26"/>
        <v>0</v>
      </c>
      <c r="DH33" t="str">
        <f t="shared" si="27"/>
        <v/>
      </c>
      <c r="DI33">
        <f t="shared" si="28"/>
        <v>0</v>
      </c>
      <c r="DJ33">
        <f t="shared" si="29"/>
        <v>0</v>
      </c>
      <c r="DK33" t="str">
        <f t="shared" si="13"/>
        <v/>
      </c>
      <c r="DL33" t="str">
        <f t="shared" si="13"/>
        <v/>
      </c>
      <c r="DM33" t="str">
        <f t="shared" si="13"/>
        <v/>
      </c>
      <c r="DN33" t="str">
        <f t="shared" si="30"/>
        <v/>
      </c>
      <c r="DO33" s="652">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71">
        <f>IF(AND(Stamoplysninger!$B$22="Ulempetillæg udbetales med 25% af nettotimelønnen.",C33="ikke relevant"),(R33)/4,0)</f>
        <v>0</v>
      </c>
      <c r="DT33" s="671">
        <f>IF(AND(AND(Stamoplysninger!$B$22="Ulempetillæg udbetales med 25% af nettotimelønnen.",I33="X",C33="Ikke relevant")),K33/4,0)</f>
        <v>0</v>
      </c>
      <c r="DU33" s="671">
        <f>IF(AND(AND(Stamoplysninger!$B$22="Ulempetillæg udbetales med 25% af nettotimelønnen.",C33="ikke relevant",U33="X")),(X33/4),0)</f>
        <v>0</v>
      </c>
      <c r="DV33" s="672">
        <f>IF(AND(AND(AND(Stamoplysninger!$B$22="Ulempetillæg udbetales med 25% af nettotimelønnen.",I33="X",C33="Ikke relevant",S33="X"))),V33/4,0)</f>
        <v>0</v>
      </c>
      <c r="DW33" s="652"/>
      <c r="DZ33" s="671"/>
      <c r="EA33" s="671"/>
      <c r="EB33" s="672"/>
      <c r="EC33" s="652">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71">
        <f>IF(AND(Stamoplysninger!$B$22="Ulempetillæg afspadseres med 25%(Kræver en aftale imellem ledelsen og den ansatte)",C33="ikke relevant"),(R33)/4,0)</f>
        <v>0</v>
      </c>
      <c r="EH33" s="671">
        <f>IF(AND(AND(Stamoplysninger!$B$22="Ulempetillæg afspadseres med 25%(Kræver en aftale imellem ledelsen og den ansatte)",I33="X",C33="Ikke relevant")),K33/4,0)</f>
        <v>0</v>
      </c>
      <c r="EI33" s="671">
        <f>IF(AND(AND(Stamoplysninger!$B$22="Ulempetillæg afspadseres med 25%(Kræver en aftale imellem ledelsen og den ansatte)",U33="X",C33="Ikke relevant")),X33/4,0)</f>
        <v>0</v>
      </c>
      <c r="EJ33" s="671">
        <f>IF(AND(AND(AND(Stamoplysninger!$B$22="Ulempetillæg afspadseres med 25%(Kræver en aftale imellem ledelsen og den ansatte)",I33="X",C33="Ikke relevant",S33="X"))),V33/4,0)</f>
        <v>0</v>
      </c>
      <c r="EK33" s="283">
        <f>IF(AND(Stamoplysninger!$B$26="Weekendtimer og weekendtillæg afspadseres.",I33="X"),K33*1.5,0)</f>
        <v>0</v>
      </c>
      <c r="EL33" s="251">
        <f>IF(AND(AND(Stamoplysninger!$B$26="Weekendtimer og weekendtillæg afspadseres.",I33="X",S33="X")),V33*1.5,0)</f>
        <v>0</v>
      </c>
      <c r="EM33" s="674">
        <f>IF(AND(AND(Stamoplysninger!$B$26="Weekendtimer og weekendtillæg afspadseres.",I33="X",C33="ikke relevant")),K33*1.5,0)</f>
        <v>0</v>
      </c>
      <c r="EN33" s="675">
        <f>IF(AND(AND(AND(Stamoplysninger!$B$26="Weekendtimer og weekendtillæg afspadseres.",I33="X",C33="ikke relevant",S33="X"))),(V33*1.5),0)</f>
        <v>0</v>
      </c>
      <c r="EO33" s="283">
        <f>IF(AND(Stamoplysninger!$B$26="Weekendtimer og weekendtillæg udbetales.",I33="X"),K33*1.5,0)</f>
        <v>0</v>
      </c>
      <c r="EP33" s="251">
        <f>IF(AND(AND(Stamoplysninger!$B$26="Weekendtimer og weekendtillæg udbetales.",I33="X",S33="X")),V33*1.5,0)</f>
        <v>0</v>
      </c>
      <c r="EQ33" s="674">
        <f>IF(AND(AND(Stamoplysninger!$B$26="Weekendtimer og weekendtillæg udbetales.",I33="X",C33="ikke relevant")),K33*1.5,0)</f>
        <v>0</v>
      </c>
      <c r="ER33" s="675">
        <f>IF(AND(AND(AND(Stamoplysninger!$B$26="Weekendtimer og weekendtillæg udbetales.",I33="X",C33="ikke relevant",S33="X"))),(V33*1.5),0)</f>
        <v>0</v>
      </c>
      <c r="ES33" s="283">
        <f>IF(AND(Stamoplysninger!$B$26="Der er indgået lokalaftale omkring weekendtimer.(Kræver aftale med TR/FSL) Weekendtillæg afspadseres.",I33="X"),K33*0.5,0)</f>
        <v>0</v>
      </c>
      <c r="ET33" s="251">
        <f>IF(AND(AND(Stamoplysninger!$B$26="Der er indgået lokalaftale omkring weekendtimer.(Kræver aftale med TR/FSL) Weekendtillæg afspadseres.",I33="X",S33="X")),V33*0.5,0)</f>
        <v>0</v>
      </c>
      <c r="EU33" s="674">
        <f>IF(AND(AND(Stamoplysninger!$B$26="Der er indgået lokalaftale omkring weekendtimer.(Kræver aftale med TR/FSL) Weekendtillæg afspadseres.",I33="X",C33="ikke relevant")),K33*0.5,0)</f>
        <v>0</v>
      </c>
      <c r="EV33" s="675">
        <f>IF(AND(AND(AND(Stamoplysninger!$B$26="Der er indgået lokalaftale omkring weekendtimer.(Kræver aftale med TR/FSL) Weekendtillæg afspadseres.",I33="X",C33="ikke relevant",S33="X"))),(V33*0.5),0)</f>
        <v>0</v>
      </c>
      <c r="EW33" s="283">
        <f>IF(AND(Stamoplysninger!$B$26="Der er indgået lokalaftale omkring weekendtimer(Kræver aftale med TR/FSL). Weekendtillæg udbetales.",I33="X"),K33*0.5,0)</f>
        <v>0</v>
      </c>
      <c r="EX33" s="251">
        <f>IF(AND(AND(Stamoplysninger!$B$26="Der er indgået lokalaftale omkring weekendtimer(Kræver aftale med TR/FSL). Weekendtillæg udbetales.",I33="X",S33="X")),V33*0.5,0)</f>
        <v>0</v>
      </c>
      <c r="EY33" s="674">
        <f>IF(AND(AND(Stamoplysninger!$B$26="Der er indgået lokalaftale omkring weekendtimer(Kræver aftale med TR/FSL). Weekendtillæg udbetales.",I33="X",C33="ikke relevant")),K33*0.5,0)</f>
        <v>0</v>
      </c>
      <c r="EZ33" s="675">
        <f>IF(AND(AND(AND(Stamoplysninger!$B$26="Der er indgået lokalaftale omkring weekendtimer(Kræver aftale med TR/FSL). Weekendtillæg udbetales.",I33="X",C33="ikke relevant",S33="X"))),(V33*0.5),0)</f>
        <v>0</v>
      </c>
      <c r="FA33" s="283">
        <f>IF(AND(Stamoplysninger!$B$26="Der er indgået lokalaftale omkring weekendtillæg(Kræver aftale med TR/FSL). Weekendtimerne afspadseres.",I33="X"),K33,0)</f>
        <v>0</v>
      </c>
      <c r="FB33" s="251">
        <f>IF(AND(AND(Stamoplysninger!$B$26="Der er indgået lokalaftale omkring weekendtillæg(Kræver aftale med TR/FSL). Weekendtimerne afspadseres.",I33="X",S33="X")),V33,0)</f>
        <v>0</v>
      </c>
      <c r="FC33" s="674">
        <f>IF(AND(AND(Stamoplysninger!$B$26="Der er indgået lokalaftale omkring weekendtillæg(Kræver aftale med TR/FSL). Weekendtimerne afspadseres..",I33="X",C33="ikke relevant")),K33,0)</f>
        <v>0</v>
      </c>
      <c r="FD33" s="675">
        <f>IF(AND(AND(AND(Stamoplysninger!$B$26="Der er indgået lokalaftale omkring weekendtillæg(Kræver aftale med TR/FSL). Weekendtimerne afspadseres.",I33="X",C33="ikke relevant",S33="X"))),(V33),0)</f>
        <v>0</v>
      </c>
      <c r="FE33" s="283">
        <f>IF(AND(Stamoplysninger!$B$26="Der er indgået lokalaftale omkring weekendtillæg(Kræver aftale med TR/FSL). Weekendtimerne udbetales.",I33="X"),K33,0)</f>
        <v>0</v>
      </c>
      <c r="FF33" s="251">
        <f>IF(AND(AND(Stamoplysninger!$B$26="Der er indgået lokalaftale omkring weekendtillæg(Kræver aftale med TR/FSL). Weekendtimerne udbetales.",I33="X",S33="X")),V33,0)</f>
        <v>0</v>
      </c>
      <c r="FG33" s="674">
        <f>IF(AND(AND(Stamoplysninger!$B$26="Der er indgået lokalaftale omkring weekendtillæg(Kræver aftale med TR/FSL). Weekendtimerne udbetales.",I33="X",C33="ikke relevant")),K33,0)</f>
        <v>0</v>
      </c>
      <c r="FH33" s="675">
        <f>IF(AND(AND(AND(Stamoplysninger!$B$26="Der er indgået lokalaftale omkring weekendtillæg(Kræver aftale med TR/FSL). Weekendtimerne udbetales.",I33="X",C33="ikke relevant",S33="X"))),(V33),0)</f>
        <v>0</v>
      </c>
      <c r="FI33" s="283">
        <f>IF(AND(Stamoplysninger!$B$26="Weekendtimer og weekendtillæg afspadseres.",I33="X"),K33,0)</f>
        <v>0</v>
      </c>
      <c r="FJ33" s="251">
        <f>IF(AND(Stamoplysninger!$B$26="Weekendtimer og weekendtillæg afspadseres.",Y33="X"),(AA33+AL33)/2,0)</f>
        <v>0</v>
      </c>
      <c r="FK33" s="674">
        <f>IF(AND(AND(Stamoplysninger!$B$26="Weekendtimer og weekendtillæg afspadseres.",I33="X",C33="ikke relevant")),K33,0)</f>
        <v>0</v>
      </c>
      <c r="FL33" s="675">
        <f>IF(AND(AND(Stamoplysninger!$B$26="Weekendtimer og weekendtillæg afspadseres.",Y33="X",S33="ikke relevant")),(AA33+AL33)/2,0)</f>
        <v>0</v>
      </c>
      <c r="FM33" s="283">
        <f>IF(AND(Stamoplysninger!$B$26="Der er indgået lokalaftale omkring weekendtillæg(Kræver aftale med TR/FSL). Weekendtimerne afspadseres.",I33="X"),K33,0)</f>
        <v>0</v>
      </c>
      <c r="FN33" s="674">
        <f>IF(AND(AND(Stamoplysninger!$B$26="Der er indgået lokalaftale omkring weekendtillæg(Kræver aftale med TR/FSL). Weekendtimerne afspadseres.",I33="X",C33="ikke relevant")),K33,0)</f>
        <v>0</v>
      </c>
      <c r="FO33" s="283">
        <f>IF(AND(Stamoplysninger!$B$26="Weekendtimer og weekendtillæg udbetales.",I33="X"),K33,0)</f>
        <v>0</v>
      </c>
      <c r="FP33" s="251">
        <f>IF(AND(Stamoplysninger!$B$26="Weekendtimer og weekendtillæg udbetales.",AA33="X"),(AC33+AN33)/2,0)</f>
        <v>0</v>
      </c>
      <c r="FQ33" s="674">
        <f>IF(AND(AND(Stamoplysninger!$B$26="Weekendtimer og weekendtillæg udbetales.",I33="X",C33="ikke relevant")),K33,0)</f>
        <v>0</v>
      </c>
      <c r="FR33" s="688">
        <f>IF(AND(AND(Stamoplysninger!$B$26="Weekendtimer og weekendtillæg udbetales.",AA33="X",U33="ikke relevant")),(AC33+AN33)/2,0)</f>
        <v>0</v>
      </c>
      <c r="FS33" s="283">
        <f t="shared" si="14"/>
        <v>0</v>
      </c>
      <c r="FT33" s="658">
        <f t="shared" si="15"/>
        <v>0</v>
      </c>
      <c r="FU33">
        <f t="shared" si="31"/>
        <v>0</v>
      </c>
      <c r="FV33" s="283">
        <f>IF(AND(Stamoplysninger!$B$26="Der er indgået lokalaftale omkring weekendtimer.(Kræver aftale med TR/FSL) Weekendtillæg afspadseres.",I33="X"),K33,0)</f>
        <v>0</v>
      </c>
      <c r="FW33" s="674">
        <f>IF(AND(AND(Stamoplysninger!$B$26="Der er indgået lokalaftale omkring weekendtimer.(Kræver aftale med TR/FSL) Weekendtillæg afspadseres.",I33="X",C33="ikke relevant")),K33,0)</f>
        <v>0</v>
      </c>
      <c r="FX33" s="283">
        <f>IF(AND(Stamoplysninger!$B$26="Der er indgået lokalaftale omkring weekendtimer(Kræver aftale med TR/FSL). Weekendtillæg udbetales.",I33="X"),K33,0)</f>
        <v>0</v>
      </c>
      <c r="FY33" s="674">
        <f>IF(AND(AND(Stamoplysninger!$B$26="Der er indgået lokalaftale omkring weekendtimer(Kræver aftale med TR/FSL). Weekendtillæg udbetales.",I33="X",C33="ikke relevant")),K33,0)</f>
        <v>0</v>
      </c>
      <c r="FZ33" s="283">
        <f>IF(AND(Stamoplysninger!$B$26="Der er indgået lokalaftale omkring weekendtillæg(Kræver aftale med TR/FSL). Weekendtimerne udbetales.",I33="X"),K33,0)</f>
        <v>0</v>
      </c>
      <c r="GA33" s="674">
        <f>IF(AND(AND(Stamoplysninger!$B$26="Der er indgået lokalaftale omkring weekendtillæg(Kræver aftale med TR/FSL). Weekendtimerne udbetales.",I33="X",C33="ikke relevant")),K33,0)</f>
        <v>0</v>
      </c>
      <c r="GB33" s="283">
        <f>IF(AND(Stamoplysninger!$B$26="Der er indgået lokalaftale omkring weekendtimer og weekendtillæg.(Kræver aftale med TR/FSL).",I33="X"),K33,0)</f>
        <v>0</v>
      </c>
      <c r="GC33" s="674">
        <f>IF(AND(AND(Stamoplysninger!$B$26="Der er indgået lokalaftale omkring weekendtimer og weekendtillæg.(Kræver aftale med TR/FSL).",I33="X",C33="ikke relevant")),K33,0)</f>
        <v>0</v>
      </c>
    </row>
    <row r="34" spans="1:185">
      <c r="A34" s="245">
        <f t="shared" si="17"/>
        <v>26</v>
      </c>
      <c r="B34" s="128" t="str">
        <f t="shared" si="0"/>
        <v>ti</v>
      </c>
      <c r="C34" s="129" t="s">
        <v>206</v>
      </c>
      <c r="D34" s="130" t="str">
        <f t="shared" si="1"/>
        <v/>
      </c>
      <c r="E34" s="917"/>
      <c r="F34" s="918"/>
      <c r="G34" s="919"/>
      <c r="H34" s="298"/>
      <c r="I34" s="527"/>
      <c r="J34" s="413"/>
      <c r="K34" s="380"/>
      <c r="L34" s="380"/>
      <c r="M34" s="380"/>
      <c r="N34" s="318">
        <f t="shared" si="18"/>
        <v>7.75</v>
      </c>
      <c r="O34" s="318">
        <f t="shared" si="19"/>
        <v>4.5</v>
      </c>
      <c r="P34" s="318">
        <f>IF(Stamoplysninger!$H$29="JA",November!DG34,CX34)</f>
        <v>1</v>
      </c>
      <c r="Q34" s="318">
        <f t="shared" si="20"/>
        <v>2.25</v>
      </c>
      <c r="R34" s="319"/>
      <c r="S34" s="324"/>
      <c r="T34" s="325"/>
      <c r="U34" s="325"/>
      <c r="V34" s="435"/>
      <c r="W34" s="435"/>
      <c r="X34" s="644"/>
      <c r="Y34">
        <f t="shared" si="21"/>
        <v>0</v>
      </c>
      <c r="Z34" s="437">
        <f t="shared" si="22"/>
        <v>0</v>
      </c>
      <c r="AA34" s="1">
        <f t="shared" si="2"/>
        <v>0</v>
      </c>
      <c r="AB34" s="1">
        <f t="shared" si="3"/>
        <v>0</v>
      </c>
      <c r="AC34" s="1">
        <f t="shared" si="4"/>
        <v>0</v>
      </c>
      <c r="AD34" s="1">
        <f t="shared" si="5"/>
        <v>0</v>
      </c>
      <c r="AE34" s="1">
        <f t="shared" si="6"/>
        <v>0</v>
      </c>
      <c r="AF34" s="1">
        <f>IF(C34="Orlov",7.4*Stamoplysninger!$E$15,0)</f>
        <v>0</v>
      </c>
      <c r="AG34" t="str">
        <f>IF(AND(C34="Skema 1",B34="ma"),Arbejdstidsoversigt!$E$72,"")</f>
        <v/>
      </c>
      <c r="AH34">
        <f>IF(AND(C34="Skema 1",B34="ti"),Arbejdstidsoversigt!$E$73,"")</f>
        <v>7.75</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7.75</v>
      </c>
      <c r="BB34" s="229">
        <f t="shared" si="7"/>
        <v>186</v>
      </c>
      <c r="BC34" s="1">
        <f t="shared" si="24"/>
        <v>0</v>
      </c>
      <c r="BD34" s="1">
        <f t="shared" si="8"/>
        <v>0</v>
      </c>
      <c r="BE34" s="1">
        <f t="shared" si="9"/>
        <v>0</v>
      </c>
      <c r="BF34" s="1">
        <f t="shared" si="10"/>
        <v>0</v>
      </c>
      <c r="BG34" s="210" t="str">
        <f>IF(AND(C34="Skema 1",B34="ma"),Skemaoplysninger!$E$30,"")</f>
        <v/>
      </c>
      <c r="BH34" s="210">
        <f>IF(AND(C34="Skema 1",B34="ti"),Skemaoplysninger!$G$30,"")</f>
        <v>0.1875</v>
      </c>
      <c r="BI34" s="210" t="str">
        <f>IF(AND(C34="Skema 1",B34="on"),Skemaoplysninger!$I$30,"")</f>
        <v/>
      </c>
      <c r="BJ34" s="210" t="str">
        <f>IF(AND(C34="Skema 1",B34="to"),Skemaoplysninger!$K$30,"")</f>
        <v/>
      </c>
      <c r="BK34" s="210" t="str">
        <f>IF(AND(C34="Skema 1",B34="fr"),Skemaoplysninger!$M$30,"")</f>
        <v/>
      </c>
      <c r="BL34" s="210" t="str">
        <f>IF(AND(C34="Skema 2",B34="ma"),Skemaoplysninger!$S$30,"")</f>
        <v/>
      </c>
      <c r="BM34" s="210" t="str">
        <f>IF(AND(C34="Skema 2",B34="ti"),Skemaoplysninger!$U$30,"")</f>
        <v/>
      </c>
      <c r="BN34" s="210" t="str">
        <f>IF(AND(C34="Skema 2",B34="on"),Skemaoplysninger!$W$30,"")</f>
        <v/>
      </c>
      <c r="BO34" s="210" t="str">
        <f>IF(AND(C34="Skema 2",B34="to"),Skemaoplysninger!$Y$30,"")</f>
        <v/>
      </c>
      <c r="BP34" s="210" t="str">
        <f>IF(AND(C34="Skema 2",B34="fr"),Skemaoplysninger!$AA$30,"")</f>
        <v/>
      </c>
      <c r="BQ34" s="210" t="str">
        <f>IF(AND(C34="Skema 3",B34="ma"),Skemaoplysninger!$AG$30,"")</f>
        <v/>
      </c>
      <c r="BR34" s="210" t="str">
        <f>IF(AND(C34="Skema 3",B34="ti"),Skemaoplysninger!$AI$30,"")</f>
        <v/>
      </c>
      <c r="BS34" s="210" t="str">
        <f>IF(AND(C34="Skema 3",B34="on"),Skemaoplysninger!$AK$30,"")</f>
        <v/>
      </c>
      <c r="BT34" s="210" t="str">
        <f>IF(AND(C34="Skema 3",B34="to"),Skemaoplysninger!$AM$30,"")</f>
        <v/>
      </c>
      <c r="BU34" s="210" t="str">
        <f>IF(AND(C34="Skema 3",B34="fr"),Skemaoplysninger!$AO$30,"")</f>
        <v/>
      </c>
      <c r="BV34" s="210" t="str">
        <f>IF(AND(C34="Skema 4",B34="ma"),Skemaoplysninger!$AU$30,"")</f>
        <v/>
      </c>
      <c r="BW34" s="210" t="str">
        <f>IF(AND(C34="Skema 4",B34="ti"),Skemaoplysninger!$AW$30,"")</f>
        <v/>
      </c>
      <c r="BX34" s="210" t="str">
        <f>IF(AND(C34="Skema 4",B34="on"),Skemaoplysninger!$AY$30,"")</f>
        <v/>
      </c>
      <c r="BY34" s="210" t="str">
        <f>IF(AND(C34="Skema 4",B34="to"),Skemaoplysninger!$BA$30,"")</f>
        <v/>
      </c>
      <c r="BZ34" s="210" t="str">
        <f>IF(AND(C34="Skema 4",B34="fr"),Skemaoplysninger!$BC$30,"")</f>
        <v/>
      </c>
      <c r="CA34" s="1">
        <f t="shared" si="25"/>
        <v>4.5</v>
      </c>
      <c r="CB34" s="1">
        <f t="shared" si="11"/>
        <v>0</v>
      </c>
      <c r="CC34" s="1">
        <f t="shared" si="12"/>
        <v>0</v>
      </c>
      <c r="CD34" s="210" t="str">
        <f>IF(AND(C34="Skema 1",B34="ma"),Skemaoplysninger!$E$31,"")</f>
        <v/>
      </c>
      <c r="CE34" s="210">
        <f>IF(AND(C34="Skema 1",B34="ti"),Skemaoplysninger!$G$31,"")</f>
        <v>4.1666666666666671E-2</v>
      </c>
      <c r="CF34" s="210" t="str">
        <f>IF(AND(C34="Skema 1",B34="on"),Skemaoplysninger!$I$31,"")</f>
        <v/>
      </c>
      <c r="CG34" s="210" t="str">
        <f>IF(AND(C34="Skema 1",B34="to"),Skemaoplysninger!$K$31,"")</f>
        <v/>
      </c>
      <c r="CH34" s="210" t="str">
        <f>IF(AND(C34="Skema 1",B34="fr"),Skemaoplysninger!$M$31,"")</f>
        <v/>
      </c>
      <c r="CI34" s="210" t="str">
        <f>IF(AND(C34="Skema 2",B34="ma"),Skemaoplysninger!$S$31,"")</f>
        <v/>
      </c>
      <c r="CJ34" s="210" t="str">
        <f>IF(AND(C34="Skema 2",B34="ti"),Skemaoplysninger!$U$31,"")</f>
        <v/>
      </c>
      <c r="CK34" s="210" t="str">
        <f>IF(AND(C34="Skema 2",B34="on"),Skemaoplysninger!$W$31,"")</f>
        <v/>
      </c>
      <c r="CL34" s="210" t="str">
        <f>IF(AND(C34="Skema 2",B34="to"),Skemaoplysninger!$Y$31,"")</f>
        <v/>
      </c>
      <c r="CM34" s="210" t="str">
        <f>IF(AND(C34="Skema 2",B34="fr"),Skemaoplysninger!$AA$31,"")</f>
        <v/>
      </c>
      <c r="CN34" s="210" t="str">
        <f>IF(AND(C34="Skema 3",B34="ma"),Skemaoplysninger!$AG$31,"")</f>
        <v/>
      </c>
      <c r="CO34" s="210" t="str">
        <f>IF(AND(C34="Skema 3",B34="ti"),Skemaoplysninger!$AI$31,"")</f>
        <v/>
      </c>
      <c r="CP34" s="210" t="str">
        <f>IF(AND(C34="Skema 3",B34="on"),Skemaoplysninger!$AK$31,"")</f>
        <v/>
      </c>
      <c r="CQ34" s="210" t="str">
        <f>IF(AND(C34="Skema 3",B34="to"),Skemaoplysninger!$AM$31,"")</f>
        <v/>
      </c>
      <c r="CR34" s="210" t="str">
        <f>IF(AND(C34="Skema 3",B34="fr"),Skemaoplysninger!$AO$31,"")</f>
        <v/>
      </c>
      <c r="CS34" s="210" t="str">
        <f>IF(AND(C34="Skema 4",B34="ma"),Skemaoplysninger!$AU$31,"")</f>
        <v/>
      </c>
      <c r="CT34" s="210" t="str">
        <f>IF(AND(C34="Skema 4",B34="ti"),Skemaoplysninger!$AW$31,"")</f>
        <v/>
      </c>
      <c r="CU34" s="210" t="str">
        <f>IF(AND(C34="Skema 4",B34="on"),Skemaoplysninger!$AY$31,"")</f>
        <v/>
      </c>
      <c r="CV34" s="210" t="str">
        <f>IF(AND(C34="Skema 4",B34="to"),Skemaoplysninger!$BA$31,"")</f>
        <v/>
      </c>
      <c r="CW34" s="210" t="str">
        <f>IF(AND(C34="Skema 4",B34="fr"),Skemaoplysninger!$BC$31,"")</f>
        <v/>
      </c>
      <c r="CX34" s="249">
        <f>IF(Stamoplysninger!$H$29="NEJ",SUM(CD34:CW34)*24+CB34+CC34,0)</f>
        <v>1</v>
      </c>
      <c r="CY34" s="249">
        <f>IF(C34="Skema 1",Stamoplysninger!$H$30/200,0)</f>
        <v>0</v>
      </c>
      <c r="CZ34" s="249">
        <f>IF(C34="Skema 2",Stamoplysninger!$H$30/200,0)</f>
        <v>0</v>
      </c>
      <c r="DA34" s="249">
        <f>IF(C34="Skema 3",Stamoplysninger!$H$30/200,0)</f>
        <v>0</v>
      </c>
      <c r="DB34" s="249">
        <f>IF(C34="Skema 4",Stamoplysninger!$H$30/200,0)</f>
        <v>0</v>
      </c>
      <c r="DC34" s="249">
        <f>IF(C34="fagdag",Stamoplysninger!$H$30/200,0)</f>
        <v>0</v>
      </c>
      <c r="DD34" s="249">
        <f>IF(C34="emnedag",Stamoplysninger!$H$30/200,0)</f>
        <v>0</v>
      </c>
      <c r="DE34" s="249">
        <f>IF(C34="lejrskole",Stamoplysninger!$H$30/200,0)</f>
        <v>0</v>
      </c>
      <c r="DF34" s="249">
        <f>IF(C34="ekskursion",Stamoplysninger!$H$30/200,0)</f>
        <v>0</v>
      </c>
      <c r="DG34" s="249">
        <f t="shared" si="26"/>
        <v>0</v>
      </c>
      <c r="DH34" t="str">
        <f t="shared" si="27"/>
        <v/>
      </c>
      <c r="DI34">
        <f t="shared" si="28"/>
        <v>0</v>
      </c>
      <c r="DJ34">
        <f t="shared" si="29"/>
        <v>0</v>
      </c>
      <c r="DK34" t="str">
        <f t="shared" si="13"/>
        <v/>
      </c>
      <c r="DL34" t="str">
        <f t="shared" si="13"/>
        <v/>
      </c>
      <c r="DM34" t="str">
        <f t="shared" si="13"/>
        <v/>
      </c>
      <c r="DN34" t="str">
        <f t="shared" si="30"/>
        <v/>
      </c>
      <c r="DO34" s="652">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71">
        <f>IF(AND(Stamoplysninger!$B$22="Ulempetillæg udbetales med 25% af nettotimelønnen.",C34="ikke relevant"),(R34)/4,0)</f>
        <v>0</v>
      </c>
      <c r="DT34" s="671">
        <f>IF(AND(AND(Stamoplysninger!$B$22="Ulempetillæg udbetales med 25% af nettotimelønnen.",I34="X",C34="Ikke relevant")),K34/4,0)</f>
        <v>0</v>
      </c>
      <c r="DU34" s="671">
        <f>IF(AND(AND(Stamoplysninger!$B$22="Ulempetillæg udbetales med 25% af nettotimelønnen.",C34="ikke relevant",U34="X")),(X34/4),0)</f>
        <v>0</v>
      </c>
      <c r="DV34" s="672">
        <f>IF(AND(AND(AND(Stamoplysninger!$B$22="Ulempetillæg udbetales med 25% af nettotimelønnen.",I34="X",C34="Ikke relevant",S34="X"))),V34/4,0)</f>
        <v>0</v>
      </c>
      <c r="DW34" s="652"/>
      <c r="DZ34" s="671"/>
      <c r="EA34" s="671"/>
      <c r="EB34" s="672"/>
      <c r="EC34" s="652">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71">
        <f>IF(AND(Stamoplysninger!$B$22="Ulempetillæg afspadseres med 25%(Kræver en aftale imellem ledelsen og den ansatte)",C34="ikke relevant"),(R34)/4,0)</f>
        <v>0</v>
      </c>
      <c r="EH34" s="671">
        <f>IF(AND(AND(Stamoplysninger!$B$22="Ulempetillæg afspadseres med 25%(Kræver en aftale imellem ledelsen og den ansatte)",I34="X",C34="Ikke relevant")),K34/4,0)</f>
        <v>0</v>
      </c>
      <c r="EI34" s="671">
        <f>IF(AND(AND(Stamoplysninger!$B$22="Ulempetillæg afspadseres med 25%(Kræver en aftale imellem ledelsen og den ansatte)",U34="X",C34="Ikke relevant")),X34/4,0)</f>
        <v>0</v>
      </c>
      <c r="EJ34" s="671">
        <f>IF(AND(AND(AND(Stamoplysninger!$B$22="Ulempetillæg afspadseres med 25%(Kræver en aftale imellem ledelsen og den ansatte)",I34="X",C34="Ikke relevant",S34="X"))),V34/4,0)</f>
        <v>0</v>
      </c>
      <c r="EK34" s="283">
        <f>IF(AND(Stamoplysninger!$B$26="Weekendtimer og weekendtillæg afspadseres.",I34="X"),K34*1.5,0)</f>
        <v>0</v>
      </c>
      <c r="EL34" s="251">
        <f>IF(AND(AND(Stamoplysninger!$B$26="Weekendtimer og weekendtillæg afspadseres.",I34="X",S34="X")),V34*1.5,0)</f>
        <v>0</v>
      </c>
      <c r="EM34" s="674">
        <f>IF(AND(AND(Stamoplysninger!$B$26="Weekendtimer og weekendtillæg afspadseres.",I34="X",C34="ikke relevant")),K34*1.5,0)</f>
        <v>0</v>
      </c>
      <c r="EN34" s="675">
        <f>IF(AND(AND(AND(Stamoplysninger!$B$26="Weekendtimer og weekendtillæg afspadseres.",I34="X",C34="ikke relevant",S34="X"))),(V34*1.5),0)</f>
        <v>0</v>
      </c>
      <c r="EO34" s="283">
        <f>IF(AND(Stamoplysninger!$B$26="Weekendtimer og weekendtillæg udbetales.",I34="X"),K34*1.5,0)</f>
        <v>0</v>
      </c>
      <c r="EP34" s="251">
        <f>IF(AND(AND(Stamoplysninger!$B$26="Weekendtimer og weekendtillæg udbetales.",I34="X",S34="X")),V34*1.5,0)</f>
        <v>0</v>
      </c>
      <c r="EQ34" s="674">
        <f>IF(AND(AND(Stamoplysninger!$B$26="Weekendtimer og weekendtillæg udbetales.",I34="X",C34="ikke relevant")),K34*1.5,0)</f>
        <v>0</v>
      </c>
      <c r="ER34" s="675">
        <f>IF(AND(AND(AND(Stamoplysninger!$B$26="Weekendtimer og weekendtillæg udbetales.",I34="X",C34="ikke relevant",S34="X"))),(V34*1.5),0)</f>
        <v>0</v>
      </c>
      <c r="ES34" s="283">
        <f>IF(AND(Stamoplysninger!$B$26="Der er indgået lokalaftale omkring weekendtimer.(Kræver aftale med TR/FSL) Weekendtillæg afspadseres.",I34="X"),K34*0.5,0)</f>
        <v>0</v>
      </c>
      <c r="ET34" s="251">
        <f>IF(AND(AND(Stamoplysninger!$B$26="Der er indgået lokalaftale omkring weekendtimer.(Kræver aftale med TR/FSL) Weekendtillæg afspadseres.",I34="X",S34="X")),V34*0.5,0)</f>
        <v>0</v>
      </c>
      <c r="EU34" s="674">
        <f>IF(AND(AND(Stamoplysninger!$B$26="Der er indgået lokalaftale omkring weekendtimer.(Kræver aftale med TR/FSL) Weekendtillæg afspadseres.",I34="X",C34="ikke relevant")),K34*0.5,0)</f>
        <v>0</v>
      </c>
      <c r="EV34" s="675">
        <f>IF(AND(AND(AND(Stamoplysninger!$B$26="Der er indgået lokalaftale omkring weekendtimer.(Kræver aftale med TR/FSL) Weekendtillæg afspadseres.",I34="X",C34="ikke relevant",S34="X"))),(V34*0.5),0)</f>
        <v>0</v>
      </c>
      <c r="EW34" s="283">
        <f>IF(AND(Stamoplysninger!$B$26="Der er indgået lokalaftale omkring weekendtimer(Kræver aftale med TR/FSL). Weekendtillæg udbetales.",I34="X"),K34*0.5,0)</f>
        <v>0</v>
      </c>
      <c r="EX34" s="251">
        <f>IF(AND(AND(Stamoplysninger!$B$26="Der er indgået lokalaftale omkring weekendtimer(Kræver aftale med TR/FSL). Weekendtillæg udbetales.",I34="X",S34="X")),V34*0.5,0)</f>
        <v>0</v>
      </c>
      <c r="EY34" s="674">
        <f>IF(AND(AND(Stamoplysninger!$B$26="Der er indgået lokalaftale omkring weekendtimer(Kræver aftale med TR/FSL). Weekendtillæg udbetales.",I34="X",C34="ikke relevant")),K34*0.5,0)</f>
        <v>0</v>
      </c>
      <c r="EZ34" s="675">
        <f>IF(AND(AND(AND(Stamoplysninger!$B$26="Der er indgået lokalaftale omkring weekendtimer(Kræver aftale med TR/FSL). Weekendtillæg udbetales.",I34="X",C34="ikke relevant",S34="X"))),(V34*0.5),0)</f>
        <v>0</v>
      </c>
      <c r="FA34" s="283">
        <f>IF(AND(Stamoplysninger!$B$26="Der er indgået lokalaftale omkring weekendtillæg(Kræver aftale med TR/FSL). Weekendtimerne afspadseres.",I34="X"),K34,0)</f>
        <v>0</v>
      </c>
      <c r="FB34" s="251">
        <f>IF(AND(AND(Stamoplysninger!$B$26="Der er indgået lokalaftale omkring weekendtillæg(Kræver aftale med TR/FSL). Weekendtimerne afspadseres.",I34="X",S34="X")),V34,0)</f>
        <v>0</v>
      </c>
      <c r="FC34" s="674">
        <f>IF(AND(AND(Stamoplysninger!$B$26="Der er indgået lokalaftale omkring weekendtillæg(Kræver aftale med TR/FSL). Weekendtimerne afspadseres..",I34="X",C34="ikke relevant")),K34,0)</f>
        <v>0</v>
      </c>
      <c r="FD34" s="675">
        <f>IF(AND(AND(AND(Stamoplysninger!$B$26="Der er indgået lokalaftale omkring weekendtillæg(Kræver aftale med TR/FSL). Weekendtimerne afspadseres.",I34="X",C34="ikke relevant",S34="X"))),(V34),0)</f>
        <v>0</v>
      </c>
      <c r="FE34" s="283">
        <f>IF(AND(Stamoplysninger!$B$26="Der er indgået lokalaftale omkring weekendtillæg(Kræver aftale med TR/FSL). Weekendtimerne udbetales.",I34="X"),K34,0)</f>
        <v>0</v>
      </c>
      <c r="FF34" s="251">
        <f>IF(AND(AND(Stamoplysninger!$B$26="Der er indgået lokalaftale omkring weekendtillæg(Kræver aftale med TR/FSL). Weekendtimerne udbetales.",I34="X",S34="X")),V34,0)</f>
        <v>0</v>
      </c>
      <c r="FG34" s="674">
        <f>IF(AND(AND(Stamoplysninger!$B$26="Der er indgået lokalaftale omkring weekendtillæg(Kræver aftale med TR/FSL). Weekendtimerne udbetales.",I34="X",C34="ikke relevant")),K34,0)</f>
        <v>0</v>
      </c>
      <c r="FH34" s="675">
        <f>IF(AND(AND(AND(Stamoplysninger!$B$26="Der er indgået lokalaftale omkring weekendtillæg(Kræver aftale med TR/FSL). Weekendtimerne udbetales.",I34="X",C34="ikke relevant",S34="X"))),(V34),0)</f>
        <v>0</v>
      </c>
      <c r="FI34" s="283">
        <f>IF(AND(Stamoplysninger!$B$26="Weekendtimer og weekendtillæg afspadseres.",I34="X"),K34,0)</f>
        <v>0</v>
      </c>
      <c r="FJ34" s="251">
        <f>IF(AND(Stamoplysninger!$B$26="Weekendtimer og weekendtillæg afspadseres.",Y34="X"),(AA34+AL34)/2,0)</f>
        <v>0</v>
      </c>
      <c r="FK34" s="674">
        <f>IF(AND(AND(Stamoplysninger!$B$26="Weekendtimer og weekendtillæg afspadseres.",I34="X",C34="ikke relevant")),K34,0)</f>
        <v>0</v>
      </c>
      <c r="FL34" s="675">
        <f>IF(AND(AND(Stamoplysninger!$B$26="Weekendtimer og weekendtillæg afspadseres.",Y34="X",S34="ikke relevant")),(AA34+AL34)/2,0)</f>
        <v>0</v>
      </c>
      <c r="FM34" s="283">
        <f>IF(AND(Stamoplysninger!$B$26="Der er indgået lokalaftale omkring weekendtillæg(Kræver aftale med TR/FSL). Weekendtimerne afspadseres.",I34="X"),K34,0)</f>
        <v>0</v>
      </c>
      <c r="FN34" s="674">
        <f>IF(AND(AND(Stamoplysninger!$B$26="Der er indgået lokalaftale omkring weekendtillæg(Kræver aftale med TR/FSL). Weekendtimerne afspadseres.",I34="X",C34="ikke relevant")),K34,0)</f>
        <v>0</v>
      </c>
      <c r="FO34" s="283">
        <f>IF(AND(Stamoplysninger!$B$26="Weekendtimer og weekendtillæg udbetales.",I34="X"),K34,0)</f>
        <v>0</v>
      </c>
      <c r="FP34" s="251">
        <f>IF(AND(Stamoplysninger!$B$26="Weekendtimer og weekendtillæg udbetales.",AA34="X"),(AC34+AN34)/2,0)</f>
        <v>0</v>
      </c>
      <c r="FQ34" s="674">
        <f>IF(AND(AND(Stamoplysninger!$B$26="Weekendtimer og weekendtillæg udbetales.",I34="X",C34="ikke relevant")),K34,0)</f>
        <v>0</v>
      </c>
      <c r="FR34" s="688">
        <f>IF(AND(AND(Stamoplysninger!$B$26="Weekendtimer og weekendtillæg udbetales.",AA34="X",U34="ikke relevant")),(AC34+AN34)/2,0)</f>
        <v>0</v>
      </c>
      <c r="FS34" s="283">
        <f t="shared" si="14"/>
        <v>0</v>
      </c>
      <c r="FT34" s="658">
        <f t="shared" si="15"/>
        <v>0</v>
      </c>
      <c r="FU34">
        <f>IF(AND(C34="weekend",I34="X"),K34,0)</f>
        <v>0</v>
      </c>
      <c r="FV34" s="283">
        <f>IF(AND(Stamoplysninger!$B$26="Der er indgået lokalaftale omkring weekendtimer.(Kræver aftale med TR/FSL) Weekendtillæg afspadseres.",I34="X"),K34,0)</f>
        <v>0</v>
      </c>
      <c r="FW34" s="674">
        <f>IF(AND(AND(Stamoplysninger!$B$26="Der er indgået lokalaftale omkring weekendtimer.(Kræver aftale med TR/FSL) Weekendtillæg afspadseres.",I34="X",C34="ikke relevant")),K34,0)</f>
        <v>0</v>
      </c>
      <c r="FX34" s="283">
        <f>IF(AND(Stamoplysninger!$B$26="Der er indgået lokalaftale omkring weekendtimer(Kræver aftale med TR/FSL). Weekendtillæg udbetales.",I34="X"),K34,0)</f>
        <v>0</v>
      </c>
      <c r="FY34" s="674">
        <f>IF(AND(AND(Stamoplysninger!$B$26="Der er indgået lokalaftale omkring weekendtimer(Kræver aftale med TR/FSL). Weekendtillæg udbetales.",I34="X",C34="ikke relevant")),K34,0)</f>
        <v>0</v>
      </c>
      <c r="FZ34" s="283">
        <f>IF(AND(Stamoplysninger!$B$26="Der er indgået lokalaftale omkring weekendtillæg(Kræver aftale med TR/FSL). Weekendtimerne udbetales.",I34="X"),K34,0)</f>
        <v>0</v>
      </c>
      <c r="GA34" s="674">
        <f>IF(AND(AND(Stamoplysninger!$B$26="Der er indgået lokalaftale omkring weekendtillæg(Kræver aftale med TR/FSL). Weekendtimerne udbetales.",I34="X",C34="ikke relevant")),K34,0)</f>
        <v>0</v>
      </c>
      <c r="GB34" s="283">
        <f>IF(AND(Stamoplysninger!$B$26="Der er indgået lokalaftale omkring weekendtimer og weekendtillæg.(Kræver aftale med TR/FSL).",I34="X"),K34,0)</f>
        <v>0</v>
      </c>
      <c r="GC34" s="674">
        <f>IF(AND(AND(Stamoplysninger!$B$26="Der er indgået lokalaftale omkring weekendtimer og weekendtillæg.(Kræver aftale med TR/FSL).",I34="X",C34="ikke relevant")),K34,0)</f>
        <v>0</v>
      </c>
    </row>
    <row r="35" spans="1:185">
      <c r="A35" s="245">
        <f t="shared" si="17"/>
        <v>27</v>
      </c>
      <c r="B35" s="128" t="str">
        <f t="shared" si="0"/>
        <v>on</v>
      </c>
      <c r="C35" s="129" t="s">
        <v>206</v>
      </c>
      <c r="D35" s="130" t="str">
        <f t="shared" si="1"/>
        <v/>
      </c>
      <c r="E35" s="917"/>
      <c r="F35" s="918"/>
      <c r="G35" s="919"/>
      <c r="H35" s="298"/>
      <c r="I35" s="527"/>
      <c r="J35" s="413"/>
      <c r="K35" s="380"/>
      <c r="L35" s="380"/>
      <c r="M35" s="380"/>
      <c r="N35" s="318">
        <f t="shared" si="18"/>
        <v>7.75</v>
      </c>
      <c r="O35" s="318">
        <f t="shared" si="19"/>
        <v>5</v>
      </c>
      <c r="P35" s="318">
        <f>IF(Stamoplysninger!$H$29="JA",November!DG35,CX35)</f>
        <v>1.1666666666666665</v>
      </c>
      <c r="Q35" s="318">
        <f t="shared" si="20"/>
        <v>1.5833333333333335</v>
      </c>
      <c r="R35" s="319"/>
      <c r="S35" s="324"/>
      <c r="T35" s="325"/>
      <c r="U35" s="325"/>
      <c r="V35" s="435"/>
      <c r="W35" s="435"/>
      <c r="X35" s="644"/>
      <c r="Y35">
        <f t="shared" si="21"/>
        <v>0</v>
      </c>
      <c r="Z35" s="437">
        <f t="shared" si="22"/>
        <v>0</v>
      </c>
      <c r="AA35" s="1">
        <f t="shared" si="2"/>
        <v>0</v>
      </c>
      <c r="AB35" s="1">
        <f t="shared" si="3"/>
        <v>0</v>
      </c>
      <c r="AC35" s="1">
        <f t="shared" si="4"/>
        <v>0</v>
      </c>
      <c r="AD35" s="1">
        <f t="shared" si="5"/>
        <v>0</v>
      </c>
      <c r="AE35" s="1">
        <f t="shared" si="6"/>
        <v>0</v>
      </c>
      <c r="AF35" s="1">
        <f>IF(C35="Orlov",7.4*Stamoplysninger!$E$15,0)</f>
        <v>0</v>
      </c>
      <c r="AG35" t="str">
        <f>IF(AND(C35="Skema 1",B35="ma"),Arbejdstidsoversigt!$E$72,"")</f>
        <v/>
      </c>
      <c r="AH35" t="str">
        <f>IF(AND(C35="Skema 1",B35="ti"),Arbejdstidsoversigt!$E$73,"")</f>
        <v/>
      </c>
      <c r="AI35">
        <f>IF(AND(C35="Skema 1",B35="on"),Arbejdstidsoversigt!$E$74,"")</f>
        <v>7.75</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7.75</v>
      </c>
      <c r="BB35" s="229">
        <f t="shared" si="7"/>
        <v>186</v>
      </c>
      <c r="BC35" s="1">
        <f t="shared" si="24"/>
        <v>0</v>
      </c>
      <c r="BD35" s="1">
        <f t="shared" si="8"/>
        <v>0</v>
      </c>
      <c r="BE35" s="1">
        <f t="shared" si="9"/>
        <v>0</v>
      </c>
      <c r="BF35" s="1">
        <f t="shared" si="10"/>
        <v>0</v>
      </c>
      <c r="BG35" s="210" t="str">
        <f>IF(AND(C35="Skema 1",B35="ma"),Skemaoplysninger!$E$30,"")</f>
        <v/>
      </c>
      <c r="BH35" s="210" t="str">
        <f>IF(AND(C35="Skema 1",B35="ti"),Skemaoplysninger!$G$30,"")</f>
        <v/>
      </c>
      <c r="BI35" s="210">
        <f>IF(AND(C35="Skema 1",B35="on"),Skemaoplysninger!$I$30,"")</f>
        <v>0.20833333333333331</v>
      </c>
      <c r="BJ35" s="210" t="str">
        <f>IF(AND(C35="Skema 1",B35="to"),Skemaoplysninger!$K$30,"")</f>
        <v/>
      </c>
      <c r="BK35" s="210" t="str">
        <f>IF(AND(C35="Skema 1",B35="fr"),Skemaoplysninger!$M$30,"")</f>
        <v/>
      </c>
      <c r="BL35" s="210" t="str">
        <f>IF(AND(C35="Skema 2",B35="ma"),Skemaoplysninger!$S$30,"")</f>
        <v/>
      </c>
      <c r="BM35" s="210" t="str">
        <f>IF(AND(C35="Skema 2",B35="ti"),Skemaoplysninger!$U$30,"")</f>
        <v/>
      </c>
      <c r="BN35" s="210" t="str">
        <f>IF(AND(C35="Skema 2",B35="on"),Skemaoplysninger!$W$30,"")</f>
        <v/>
      </c>
      <c r="BO35" s="210" t="str">
        <f>IF(AND(C35="Skema 2",B35="to"),Skemaoplysninger!$Y$30,"")</f>
        <v/>
      </c>
      <c r="BP35" s="210" t="str">
        <f>IF(AND(C35="Skema 2",B35="fr"),Skemaoplysninger!$AA$30,"")</f>
        <v/>
      </c>
      <c r="BQ35" s="210" t="str">
        <f>IF(AND(C35="Skema 3",B35="ma"),Skemaoplysninger!$AG$30,"")</f>
        <v/>
      </c>
      <c r="BR35" s="210" t="str">
        <f>IF(AND(C35="Skema 3",B35="ti"),Skemaoplysninger!$AI$30,"")</f>
        <v/>
      </c>
      <c r="BS35" s="210" t="str">
        <f>IF(AND(C35="Skema 3",B35="on"),Skemaoplysninger!$AK$30,"")</f>
        <v/>
      </c>
      <c r="BT35" s="210" t="str">
        <f>IF(AND(C35="Skema 3",B35="to"),Skemaoplysninger!$AM$30,"")</f>
        <v/>
      </c>
      <c r="BU35" s="210" t="str">
        <f>IF(AND(C35="Skema 3",B35="fr"),Skemaoplysninger!$AO$30,"")</f>
        <v/>
      </c>
      <c r="BV35" s="210" t="str">
        <f>IF(AND(C35="Skema 4",B35="ma"),Skemaoplysninger!$AU$30,"")</f>
        <v/>
      </c>
      <c r="BW35" s="210" t="str">
        <f>IF(AND(C35="Skema 4",B35="ti"),Skemaoplysninger!$AW$30,"")</f>
        <v/>
      </c>
      <c r="BX35" s="210" t="str">
        <f>IF(AND(C35="Skema 4",B35="on"),Skemaoplysninger!$AY$30,"")</f>
        <v/>
      </c>
      <c r="BY35" s="210" t="str">
        <f>IF(AND(C35="Skema 4",B35="to"),Skemaoplysninger!$BA$30,"")</f>
        <v/>
      </c>
      <c r="BZ35" s="210" t="str">
        <f>IF(AND(C35="Skema 4",B35="fr"),Skemaoplysninger!$BC$30,"")</f>
        <v/>
      </c>
      <c r="CA35" s="1">
        <f t="shared" si="25"/>
        <v>5</v>
      </c>
      <c r="CB35" s="1">
        <f t="shared" si="11"/>
        <v>0</v>
      </c>
      <c r="CC35" s="1">
        <f t="shared" si="12"/>
        <v>0</v>
      </c>
      <c r="CD35" s="210" t="str">
        <f>IF(AND(C35="Skema 1",B35="ma"),Skemaoplysninger!$E$31,"")</f>
        <v/>
      </c>
      <c r="CE35" s="210" t="str">
        <f>IF(AND(C35="Skema 1",B35="ti"),Skemaoplysninger!$G$31,"")</f>
        <v/>
      </c>
      <c r="CF35" s="210">
        <f>IF(AND(C35="Skema 1",B35="on"),Skemaoplysninger!$I$31,"")</f>
        <v>4.8611111111111105E-2</v>
      </c>
      <c r="CG35" s="210" t="str">
        <f>IF(AND(C35="Skema 1",B35="to"),Skemaoplysninger!$K$31,"")</f>
        <v/>
      </c>
      <c r="CH35" s="210" t="str">
        <f>IF(AND(C35="Skema 1",B35="fr"),Skemaoplysninger!$M$31,"")</f>
        <v/>
      </c>
      <c r="CI35" s="210" t="str">
        <f>IF(AND(C35="Skema 2",B35="ma"),Skemaoplysninger!$S$31,"")</f>
        <v/>
      </c>
      <c r="CJ35" s="210" t="str">
        <f>IF(AND(C35="Skema 2",B35="ti"),Skemaoplysninger!$U$31,"")</f>
        <v/>
      </c>
      <c r="CK35" s="210" t="str">
        <f>IF(AND(C35="Skema 2",B35="on"),Skemaoplysninger!$W$31,"")</f>
        <v/>
      </c>
      <c r="CL35" s="210" t="str">
        <f>IF(AND(C35="Skema 2",B35="to"),Skemaoplysninger!$Y$31,"")</f>
        <v/>
      </c>
      <c r="CM35" s="210" t="str">
        <f>IF(AND(C35="Skema 2",B35="fr"),Skemaoplysninger!$AA$31,"")</f>
        <v/>
      </c>
      <c r="CN35" s="210" t="str">
        <f>IF(AND(C35="Skema 3",B35="ma"),Skemaoplysninger!$AG$31,"")</f>
        <v/>
      </c>
      <c r="CO35" s="210" t="str">
        <f>IF(AND(C35="Skema 3",B35="ti"),Skemaoplysninger!$AI$31,"")</f>
        <v/>
      </c>
      <c r="CP35" s="210" t="str">
        <f>IF(AND(C35="Skema 3",B35="on"),Skemaoplysninger!$AK$31,"")</f>
        <v/>
      </c>
      <c r="CQ35" s="210" t="str">
        <f>IF(AND(C35="Skema 3",B35="to"),Skemaoplysninger!$AM$31,"")</f>
        <v/>
      </c>
      <c r="CR35" s="210" t="str">
        <f>IF(AND(C35="Skema 3",B35="fr"),Skemaoplysninger!$AO$31,"")</f>
        <v/>
      </c>
      <c r="CS35" s="210" t="str">
        <f>IF(AND(C35="Skema 4",B35="ma"),Skemaoplysninger!$AU$31,"")</f>
        <v/>
      </c>
      <c r="CT35" s="210" t="str">
        <f>IF(AND(C35="Skema 4",B35="ti"),Skemaoplysninger!$AW$31,"")</f>
        <v/>
      </c>
      <c r="CU35" s="210" t="str">
        <f>IF(AND(C35="Skema 4",B35="on"),Skemaoplysninger!$AY$31,"")</f>
        <v/>
      </c>
      <c r="CV35" s="210" t="str">
        <f>IF(AND(C35="Skema 4",B35="to"),Skemaoplysninger!$BA$31,"")</f>
        <v/>
      </c>
      <c r="CW35" s="210" t="str">
        <f>IF(AND(C35="Skema 4",B35="fr"),Skemaoplysninger!$BC$31,"")</f>
        <v/>
      </c>
      <c r="CX35" s="249">
        <f>IF(Stamoplysninger!$H$29="NEJ",SUM(CD35:CW35)*24+CB35+CC35,0)</f>
        <v>1.1666666666666665</v>
      </c>
      <c r="CY35" s="249">
        <f>IF(C35="Skema 1",Stamoplysninger!$H$30/200,0)</f>
        <v>0</v>
      </c>
      <c r="CZ35" s="249">
        <f>IF(C35="Skema 2",Stamoplysninger!$H$30/200,0)</f>
        <v>0</v>
      </c>
      <c r="DA35" s="249">
        <f>IF(C35="Skema 3",Stamoplysninger!$H$30/200,0)</f>
        <v>0</v>
      </c>
      <c r="DB35" s="249">
        <f>IF(C35="Skema 4",Stamoplysninger!$H$30/200,0)</f>
        <v>0</v>
      </c>
      <c r="DC35" s="249">
        <f>IF(C35="fagdag",Stamoplysninger!$H$30/200,0)</f>
        <v>0</v>
      </c>
      <c r="DD35" s="249">
        <f>IF(C35="emnedag",Stamoplysninger!$H$30/200,0)</f>
        <v>0</v>
      </c>
      <c r="DE35" s="249">
        <f>IF(C35="lejrskole",Stamoplysninger!$H$30/200,0)</f>
        <v>0</v>
      </c>
      <c r="DF35" s="249">
        <f>IF(C35="ekskursion",Stamoplysninger!$H$30/200,0)</f>
        <v>0</v>
      </c>
      <c r="DG35" s="249">
        <f t="shared" si="26"/>
        <v>0</v>
      </c>
      <c r="DH35" t="str">
        <f t="shared" si="27"/>
        <v/>
      </c>
      <c r="DI35">
        <f t="shared" si="28"/>
        <v>0</v>
      </c>
      <c r="DJ35">
        <f t="shared" si="29"/>
        <v>0</v>
      </c>
      <c r="DK35" t="str">
        <f t="shared" si="13"/>
        <v/>
      </c>
      <c r="DL35" t="str">
        <f t="shared" si="13"/>
        <v/>
      </c>
      <c r="DM35" t="str">
        <f t="shared" si="13"/>
        <v/>
      </c>
      <c r="DN35" t="str">
        <f t="shared" si="30"/>
        <v/>
      </c>
      <c r="DO35" s="652">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71">
        <f>IF(AND(Stamoplysninger!$B$22="Ulempetillæg udbetales med 25% af nettotimelønnen.",C35="ikke relevant"),(R35)/4,0)</f>
        <v>0</v>
      </c>
      <c r="DT35" s="671">
        <f>IF(AND(AND(Stamoplysninger!$B$22="Ulempetillæg udbetales med 25% af nettotimelønnen.",I35="X",C35="Ikke relevant")),K35/4,0)</f>
        <v>0</v>
      </c>
      <c r="DU35" s="671">
        <f>IF(AND(AND(Stamoplysninger!$B$22="Ulempetillæg udbetales med 25% af nettotimelønnen.",C35="ikke relevant",U35="X")),(X35/4),0)</f>
        <v>0</v>
      </c>
      <c r="DV35" s="672">
        <f>IF(AND(AND(AND(Stamoplysninger!$B$22="Ulempetillæg udbetales med 25% af nettotimelønnen.",I35="X",C35="Ikke relevant",S35="X"))),V35/4,0)</f>
        <v>0</v>
      </c>
      <c r="DW35" s="652"/>
      <c r="DZ35" s="671"/>
      <c r="EA35" s="671"/>
      <c r="EB35" s="672"/>
      <c r="EC35" s="652">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71">
        <f>IF(AND(Stamoplysninger!$B$22="Ulempetillæg afspadseres med 25%(Kræver en aftale imellem ledelsen og den ansatte)",C35="ikke relevant"),(R35)/4,0)</f>
        <v>0</v>
      </c>
      <c r="EH35" s="671">
        <f>IF(AND(AND(Stamoplysninger!$B$22="Ulempetillæg afspadseres med 25%(Kræver en aftale imellem ledelsen og den ansatte)",I35="X",C35="Ikke relevant")),K35/4,0)</f>
        <v>0</v>
      </c>
      <c r="EI35" s="671">
        <f>IF(AND(AND(Stamoplysninger!$B$22="Ulempetillæg afspadseres med 25%(Kræver en aftale imellem ledelsen og den ansatte)",U35="X",C35="Ikke relevant")),X35/4,0)</f>
        <v>0</v>
      </c>
      <c r="EJ35" s="671">
        <f>IF(AND(AND(AND(Stamoplysninger!$B$22="Ulempetillæg afspadseres med 25%(Kræver en aftale imellem ledelsen og den ansatte)",I35="X",C35="Ikke relevant",S35="X"))),V35/4,0)</f>
        <v>0</v>
      </c>
      <c r="EK35" s="283">
        <f>IF(AND(Stamoplysninger!$B$26="Weekendtimer og weekendtillæg afspadseres.",I35="X"),K35*1.5,0)</f>
        <v>0</v>
      </c>
      <c r="EL35" s="251">
        <f>IF(AND(AND(Stamoplysninger!$B$26="Weekendtimer og weekendtillæg afspadseres.",I35="X",S35="X")),V35*1.5,0)</f>
        <v>0</v>
      </c>
      <c r="EM35" s="674">
        <f>IF(AND(AND(Stamoplysninger!$B$26="Weekendtimer og weekendtillæg afspadseres.",I35="X",C35="ikke relevant")),K35*1.5,0)</f>
        <v>0</v>
      </c>
      <c r="EN35" s="675">
        <f>IF(AND(AND(AND(Stamoplysninger!$B$26="Weekendtimer og weekendtillæg afspadseres.",I35="X",C35="ikke relevant",S35="X"))),(V35*1.5),0)</f>
        <v>0</v>
      </c>
      <c r="EO35" s="283">
        <f>IF(AND(Stamoplysninger!$B$26="Weekendtimer og weekendtillæg udbetales.",I35="X"),K35*1.5,0)</f>
        <v>0</v>
      </c>
      <c r="EP35" s="251">
        <f>IF(AND(AND(Stamoplysninger!$B$26="Weekendtimer og weekendtillæg udbetales.",I35="X",S35="X")),V35*1.5,0)</f>
        <v>0</v>
      </c>
      <c r="EQ35" s="674">
        <f>IF(AND(AND(Stamoplysninger!$B$26="Weekendtimer og weekendtillæg udbetales.",I35="X",C35="ikke relevant")),K35*1.5,0)</f>
        <v>0</v>
      </c>
      <c r="ER35" s="675">
        <f>IF(AND(AND(AND(Stamoplysninger!$B$26="Weekendtimer og weekendtillæg udbetales.",I35="X",C35="ikke relevant",S35="X"))),(V35*1.5),0)</f>
        <v>0</v>
      </c>
      <c r="ES35" s="283">
        <f>IF(AND(Stamoplysninger!$B$26="Der er indgået lokalaftale omkring weekendtimer.(Kræver aftale med TR/FSL) Weekendtillæg afspadseres.",I35="X"),K35*0.5,0)</f>
        <v>0</v>
      </c>
      <c r="ET35" s="251">
        <f>IF(AND(AND(Stamoplysninger!$B$26="Der er indgået lokalaftale omkring weekendtimer.(Kræver aftale med TR/FSL) Weekendtillæg afspadseres.",I35="X",S35="X")),V35*0.5,0)</f>
        <v>0</v>
      </c>
      <c r="EU35" s="674">
        <f>IF(AND(AND(Stamoplysninger!$B$26="Der er indgået lokalaftale omkring weekendtimer.(Kræver aftale med TR/FSL) Weekendtillæg afspadseres.",I35="X",C35="ikke relevant")),K35*0.5,0)</f>
        <v>0</v>
      </c>
      <c r="EV35" s="675">
        <f>IF(AND(AND(AND(Stamoplysninger!$B$26="Der er indgået lokalaftale omkring weekendtimer.(Kræver aftale med TR/FSL) Weekendtillæg afspadseres.",I35="X",C35="ikke relevant",S35="X"))),(V35*0.5),0)</f>
        <v>0</v>
      </c>
      <c r="EW35" s="283">
        <f>IF(AND(Stamoplysninger!$B$26="Der er indgået lokalaftale omkring weekendtimer(Kræver aftale med TR/FSL). Weekendtillæg udbetales.",I35="X"),K35*0.5,0)</f>
        <v>0</v>
      </c>
      <c r="EX35" s="251">
        <f>IF(AND(AND(Stamoplysninger!$B$26="Der er indgået lokalaftale omkring weekendtimer(Kræver aftale med TR/FSL). Weekendtillæg udbetales.",I35="X",S35="X")),V35*0.5,0)</f>
        <v>0</v>
      </c>
      <c r="EY35" s="674">
        <f>IF(AND(AND(Stamoplysninger!$B$26="Der er indgået lokalaftale omkring weekendtimer(Kræver aftale med TR/FSL). Weekendtillæg udbetales.",I35="X",C35="ikke relevant")),K35*0.5,0)</f>
        <v>0</v>
      </c>
      <c r="EZ35" s="675">
        <f>IF(AND(AND(AND(Stamoplysninger!$B$26="Der er indgået lokalaftale omkring weekendtimer(Kræver aftale med TR/FSL). Weekendtillæg udbetales.",I35="X",C35="ikke relevant",S35="X"))),(V35*0.5),0)</f>
        <v>0</v>
      </c>
      <c r="FA35" s="283">
        <f>IF(AND(Stamoplysninger!$B$26="Der er indgået lokalaftale omkring weekendtillæg(Kræver aftale med TR/FSL). Weekendtimerne afspadseres.",I35="X"),K35,0)</f>
        <v>0</v>
      </c>
      <c r="FB35" s="251">
        <f>IF(AND(AND(Stamoplysninger!$B$26="Der er indgået lokalaftale omkring weekendtillæg(Kræver aftale med TR/FSL). Weekendtimerne afspadseres.",I35="X",S35="X")),V35,0)</f>
        <v>0</v>
      </c>
      <c r="FC35" s="674">
        <f>IF(AND(AND(Stamoplysninger!$B$26="Der er indgået lokalaftale omkring weekendtillæg(Kræver aftale med TR/FSL). Weekendtimerne afspadseres..",I35="X",C35="ikke relevant")),K35,0)</f>
        <v>0</v>
      </c>
      <c r="FD35" s="675">
        <f>IF(AND(AND(AND(Stamoplysninger!$B$26="Der er indgået lokalaftale omkring weekendtillæg(Kræver aftale med TR/FSL). Weekendtimerne afspadseres.",I35="X",C35="ikke relevant",S35="X"))),(V35),0)</f>
        <v>0</v>
      </c>
      <c r="FE35" s="283">
        <f>IF(AND(Stamoplysninger!$B$26="Der er indgået lokalaftale omkring weekendtillæg(Kræver aftale med TR/FSL). Weekendtimerne udbetales.",I35="X"),K35,0)</f>
        <v>0</v>
      </c>
      <c r="FF35" s="251">
        <f>IF(AND(AND(Stamoplysninger!$B$26="Der er indgået lokalaftale omkring weekendtillæg(Kræver aftale med TR/FSL). Weekendtimerne udbetales.",I35="X",S35="X")),V35,0)</f>
        <v>0</v>
      </c>
      <c r="FG35" s="674">
        <f>IF(AND(AND(Stamoplysninger!$B$26="Der er indgået lokalaftale omkring weekendtillæg(Kræver aftale med TR/FSL). Weekendtimerne udbetales.",I35="X",C35="ikke relevant")),K35,0)</f>
        <v>0</v>
      </c>
      <c r="FH35" s="675">
        <f>IF(AND(AND(AND(Stamoplysninger!$B$26="Der er indgået lokalaftale omkring weekendtillæg(Kræver aftale med TR/FSL). Weekendtimerne udbetales.",I35="X",C35="ikke relevant",S35="X"))),(V35),0)</f>
        <v>0</v>
      </c>
      <c r="FI35" s="283">
        <f>IF(AND(Stamoplysninger!$B$26="Weekendtimer og weekendtillæg afspadseres.",I35="X"),K35,0)</f>
        <v>0</v>
      </c>
      <c r="FJ35" s="251">
        <f>IF(AND(Stamoplysninger!$B$26="Weekendtimer og weekendtillæg afspadseres.",Y35="X"),(AA35+AL35)/2,0)</f>
        <v>0</v>
      </c>
      <c r="FK35" s="674">
        <f>IF(AND(AND(Stamoplysninger!$B$26="Weekendtimer og weekendtillæg afspadseres.",I35="X",C35="ikke relevant")),K35,0)</f>
        <v>0</v>
      </c>
      <c r="FL35" s="675">
        <f>IF(AND(AND(Stamoplysninger!$B$26="Weekendtimer og weekendtillæg afspadseres.",Y35="X",S35="ikke relevant")),(AA35+AL35)/2,0)</f>
        <v>0</v>
      </c>
      <c r="FM35" s="283">
        <f>IF(AND(Stamoplysninger!$B$26="Der er indgået lokalaftale omkring weekendtillæg(Kræver aftale med TR/FSL). Weekendtimerne afspadseres.",I35="X"),K35,0)</f>
        <v>0</v>
      </c>
      <c r="FN35" s="674">
        <f>IF(AND(AND(Stamoplysninger!$B$26="Der er indgået lokalaftale omkring weekendtillæg(Kræver aftale med TR/FSL). Weekendtimerne afspadseres.",I35="X",C35="ikke relevant")),K35,0)</f>
        <v>0</v>
      </c>
      <c r="FO35" s="283">
        <f>IF(AND(Stamoplysninger!$B$26="Weekendtimer og weekendtillæg udbetales.",I35="X"),K35,0)</f>
        <v>0</v>
      </c>
      <c r="FP35" s="251">
        <f>IF(AND(Stamoplysninger!$B$26="Weekendtimer og weekendtillæg udbetales.",AA35="X"),(AC35+AN35)/2,0)</f>
        <v>0</v>
      </c>
      <c r="FQ35" s="674">
        <f>IF(AND(AND(Stamoplysninger!$B$26="Weekendtimer og weekendtillæg udbetales.",I35="X",C35="ikke relevant")),K35,0)</f>
        <v>0</v>
      </c>
      <c r="FR35" s="688">
        <f>IF(AND(AND(Stamoplysninger!$B$26="Weekendtimer og weekendtillæg udbetales.",AA35="X",U35="ikke relevant")),(AC35+AN35)/2,0)</f>
        <v>0</v>
      </c>
      <c r="FS35" s="283">
        <f t="shared" si="14"/>
        <v>0</v>
      </c>
      <c r="FT35" s="658">
        <f t="shared" si="15"/>
        <v>0</v>
      </c>
      <c r="FU35">
        <f t="shared" si="31"/>
        <v>0</v>
      </c>
      <c r="FV35" s="283">
        <f>IF(AND(Stamoplysninger!$B$26="Der er indgået lokalaftale omkring weekendtimer.(Kræver aftale med TR/FSL) Weekendtillæg afspadseres.",I35="X"),K35,0)</f>
        <v>0</v>
      </c>
      <c r="FW35" s="674">
        <f>IF(AND(AND(Stamoplysninger!$B$26="Der er indgået lokalaftale omkring weekendtimer.(Kræver aftale med TR/FSL) Weekendtillæg afspadseres.",I35="X",C35="ikke relevant")),K35,0)</f>
        <v>0</v>
      </c>
      <c r="FX35" s="283">
        <f>IF(AND(Stamoplysninger!$B$26="Der er indgået lokalaftale omkring weekendtimer(Kræver aftale med TR/FSL). Weekendtillæg udbetales.",I35="X"),K35,0)</f>
        <v>0</v>
      </c>
      <c r="FY35" s="674">
        <f>IF(AND(AND(Stamoplysninger!$B$26="Der er indgået lokalaftale omkring weekendtimer(Kræver aftale med TR/FSL). Weekendtillæg udbetales.",I35="X",C35="ikke relevant")),K35,0)</f>
        <v>0</v>
      </c>
      <c r="FZ35" s="283">
        <f>IF(AND(Stamoplysninger!$B$26="Der er indgået lokalaftale omkring weekendtillæg(Kræver aftale med TR/FSL). Weekendtimerne udbetales.",I35="X"),K35,0)</f>
        <v>0</v>
      </c>
      <c r="GA35" s="674">
        <f>IF(AND(AND(Stamoplysninger!$B$26="Der er indgået lokalaftale omkring weekendtillæg(Kræver aftale med TR/FSL). Weekendtimerne udbetales.",I35="X",C35="ikke relevant")),K35,0)</f>
        <v>0</v>
      </c>
      <c r="GB35" s="283">
        <f>IF(AND(Stamoplysninger!$B$26="Der er indgået lokalaftale omkring weekendtimer og weekendtillæg.(Kræver aftale med TR/FSL).",I35="X"),K35,0)</f>
        <v>0</v>
      </c>
      <c r="GC35" s="674">
        <f>IF(AND(AND(Stamoplysninger!$B$26="Der er indgået lokalaftale omkring weekendtimer og weekendtillæg.(Kræver aftale med TR/FSL).",I35="X",C35="ikke relevant")),K35,0)</f>
        <v>0</v>
      </c>
    </row>
    <row r="36" spans="1:185" ht="16" customHeight="1">
      <c r="A36" s="245">
        <f t="shared" si="17"/>
        <v>28</v>
      </c>
      <c r="B36" s="128" t="str">
        <f t="shared" si="0"/>
        <v>to</v>
      </c>
      <c r="C36" s="129" t="s">
        <v>206</v>
      </c>
      <c r="D36" s="130" t="str">
        <f t="shared" si="1"/>
        <v/>
      </c>
      <c r="E36" s="949"/>
      <c r="F36" s="950"/>
      <c r="G36" s="951"/>
      <c r="H36" s="298"/>
      <c r="I36" s="527"/>
      <c r="J36" s="413"/>
      <c r="K36" s="380"/>
      <c r="L36" s="380"/>
      <c r="M36" s="380"/>
      <c r="N36" s="318">
        <f t="shared" si="18"/>
        <v>8.5</v>
      </c>
      <c r="O36" s="318">
        <f t="shared" si="19"/>
        <v>3</v>
      </c>
      <c r="P36" s="318">
        <f>IF(Stamoplysninger!$H$29="JA",November!DG36,CX36)</f>
        <v>1.5</v>
      </c>
      <c r="Q36" s="318">
        <f t="shared" si="20"/>
        <v>4</v>
      </c>
      <c r="R36" s="319"/>
      <c r="S36" s="324"/>
      <c r="T36" s="325"/>
      <c r="U36" s="325"/>
      <c r="V36" s="435"/>
      <c r="W36" s="435"/>
      <c r="X36" s="644"/>
      <c r="Y36">
        <f t="shared" si="21"/>
        <v>0</v>
      </c>
      <c r="Z36" s="437">
        <f t="shared" si="22"/>
        <v>0</v>
      </c>
      <c r="AA36" s="1">
        <f t="shared" si="2"/>
        <v>0</v>
      </c>
      <c r="AB36" s="1">
        <f t="shared" si="3"/>
        <v>0</v>
      </c>
      <c r="AC36" s="1">
        <f t="shared" si="4"/>
        <v>0</v>
      </c>
      <c r="AD36" s="1">
        <f t="shared" si="5"/>
        <v>0</v>
      </c>
      <c r="AE36" s="1">
        <f t="shared" si="6"/>
        <v>0</v>
      </c>
      <c r="AF36" s="1">
        <f>IF(C36="Orlov",7.4*Stamoplysninger!$E$15,0)</f>
        <v>0</v>
      </c>
      <c r="AG36" t="str">
        <f>IF(AND(C36="Skema 1",B36="ma"),Arbejdstidsoversigt!$E$72,"")</f>
        <v/>
      </c>
      <c r="AH36" t="str">
        <f>IF(AND(C36="Skema 1",B36="ti"),Arbejdstidsoversigt!$E$73,"")</f>
        <v/>
      </c>
      <c r="AI36" t="str">
        <f>IF(AND(C36="Skema 1",B36="on"),Arbejdstidsoversigt!$E$74,"")</f>
        <v/>
      </c>
      <c r="AJ36">
        <f>IF(AND(C36="Skema 1",B36="to"),Arbejdstidsoversigt!$E$75,"")</f>
        <v>8.5</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8.5</v>
      </c>
      <c r="BB36" s="229">
        <f t="shared" si="7"/>
        <v>204</v>
      </c>
      <c r="BC36" s="1">
        <f t="shared" si="24"/>
        <v>0</v>
      </c>
      <c r="BD36" s="1">
        <f t="shared" si="8"/>
        <v>0</v>
      </c>
      <c r="BE36" s="1">
        <f t="shared" si="9"/>
        <v>0</v>
      </c>
      <c r="BF36" s="1">
        <f t="shared" si="10"/>
        <v>0</v>
      </c>
      <c r="BG36" s="210" t="str">
        <f>IF(AND(C36="Skema 1",B36="ma"),Skemaoplysninger!$E$30,"")</f>
        <v/>
      </c>
      <c r="BH36" s="210" t="str">
        <f>IF(AND(C36="Skema 1",B36="ti"),Skemaoplysninger!$G$30,"")</f>
        <v/>
      </c>
      <c r="BI36" s="210" t="str">
        <f>IF(AND(C36="Skema 1",B36="on"),Skemaoplysninger!$I$30,"")</f>
        <v/>
      </c>
      <c r="BJ36" s="210">
        <f>IF(AND(C36="Skema 1",B36="to"),Skemaoplysninger!$K$30,"")</f>
        <v>0.125</v>
      </c>
      <c r="BK36" s="210" t="str">
        <f>IF(AND(C36="Skema 1",B36="fr"),Skemaoplysninger!$M$30,"")</f>
        <v/>
      </c>
      <c r="BL36" s="210" t="str">
        <f>IF(AND(C36="Skema 2",B36="ma"),Skemaoplysninger!$S$30,"")</f>
        <v/>
      </c>
      <c r="BM36" s="210" t="str">
        <f>IF(AND(C36="Skema 2",B36="ti"),Skemaoplysninger!$U$30,"")</f>
        <v/>
      </c>
      <c r="BN36" s="210" t="str">
        <f>IF(AND(C36="Skema 2",B36="on"),Skemaoplysninger!$W$30,"")</f>
        <v/>
      </c>
      <c r="BO36" s="210" t="str">
        <f>IF(AND(C36="Skema 2",B36="to"),Skemaoplysninger!$Y$30,"")</f>
        <v/>
      </c>
      <c r="BP36" s="210" t="str">
        <f>IF(AND(C36="Skema 2",B36="fr"),Skemaoplysninger!$AA$30,"")</f>
        <v/>
      </c>
      <c r="BQ36" s="210" t="str">
        <f>IF(AND(C36="Skema 3",B36="ma"),Skemaoplysninger!$AG$30,"")</f>
        <v/>
      </c>
      <c r="BR36" s="210" t="str">
        <f>IF(AND(C36="Skema 3",B36="ti"),Skemaoplysninger!$AI$30,"")</f>
        <v/>
      </c>
      <c r="BS36" s="210" t="str">
        <f>IF(AND(C36="Skema 3",B36="on"),Skemaoplysninger!$AK$30,"")</f>
        <v/>
      </c>
      <c r="BT36" s="210" t="str">
        <f>IF(AND(C36="Skema 3",B36="to"),Skemaoplysninger!$AM$30,"")</f>
        <v/>
      </c>
      <c r="BU36" s="210" t="str">
        <f>IF(AND(C36="Skema 3",B36="fr"),Skemaoplysninger!$AO$30,"")</f>
        <v/>
      </c>
      <c r="BV36" s="210" t="str">
        <f>IF(AND(C36="Skema 4",B36="ma"),Skemaoplysninger!$AU$30,"")</f>
        <v/>
      </c>
      <c r="BW36" s="210" t="str">
        <f>IF(AND(C36="Skema 4",B36="ti"),Skemaoplysninger!$AW$30,"")</f>
        <v/>
      </c>
      <c r="BX36" s="210" t="str">
        <f>IF(AND(C36="Skema 4",B36="on"),Skemaoplysninger!$AY$30,"")</f>
        <v/>
      </c>
      <c r="BY36" s="210" t="str">
        <f>IF(AND(C36="Skema 4",B36="to"),Skemaoplysninger!$BA$30,"")</f>
        <v/>
      </c>
      <c r="BZ36" s="210" t="str">
        <f>IF(AND(C36="Skema 4",B36="fr"),Skemaoplysninger!$BC$30,"")</f>
        <v/>
      </c>
      <c r="CA36" s="1">
        <f t="shared" si="25"/>
        <v>3</v>
      </c>
      <c r="CB36" s="1">
        <f t="shared" si="11"/>
        <v>0</v>
      </c>
      <c r="CC36" s="1">
        <f t="shared" si="12"/>
        <v>0</v>
      </c>
      <c r="CD36" s="210" t="str">
        <f>IF(AND(C36="Skema 1",B36="ma"),Skemaoplysninger!$E$31,"")</f>
        <v/>
      </c>
      <c r="CE36" s="210" t="str">
        <f>IF(AND(C36="Skema 1",B36="ti"),Skemaoplysninger!$G$31,"")</f>
        <v/>
      </c>
      <c r="CF36" s="210" t="str">
        <f>IF(AND(C36="Skema 1",B36="on"),Skemaoplysninger!$I$31,"")</f>
        <v/>
      </c>
      <c r="CG36" s="210">
        <f>IF(AND(C36="Skema 1",B36="to"),Skemaoplysninger!$K$31,"")</f>
        <v>6.25E-2</v>
      </c>
      <c r="CH36" s="210" t="str">
        <f>IF(AND(C36="Skema 1",B36="fr"),Skemaoplysninger!$M$31,"")</f>
        <v/>
      </c>
      <c r="CI36" s="210" t="str">
        <f>IF(AND(C36="Skema 2",B36="ma"),Skemaoplysninger!$S$31,"")</f>
        <v/>
      </c>
      <c r="CJ36" s="210" t="str">
        <f>IF(AND(C36="Skema 2",B36="ti"),Skemaoplysninger!$U$31,"")</f>
        <v/>
      </c>
      <c r="CK36" s="210" t="str">
        <f>IF(AND(C36="Skema 2",B36="on"),Skemaoplysninger!$W$31,"")</f>
        <v/>
      </c>
      <c r="CL36" s="210" t="str">
        <f>IF(AND(C36="Skema 2",B36="to"),Skemaoplysninger!$Y$31,"")</f>
        <v/>
      </c>
      <c r="CM36" s="210" t="str">
        <f>IF(AND(C36="Skema 2",B36="fr"),Skemaoplysninger!$AA$31,"")</f>
        <v/>
      </c>
      <c r="CN36" s="210" t="str">
        <f>IF(AND(C36="Skema 3",B36="ma"),Skemaoplysninger!$AG$31,"")</f>
        <v/>
      </c>
      <c r="CO36" s="210" t="str">
        <f>IF(AND(C36="Skema 3",B36="ti"),Skemaoplysninger!$AI$31,"")</f>
        <v/>
      </c>
      <c r="CP36" s="210" t="str">
        <f>IF(AND(C36="Skema 3",B36="on"),Skemaoplysninger!$AK$31,"")</f>
        <v/>
      </c>
      <c r="CQ36" s="210" t="str">
        <f>IF(AND(C36="Skema 3",B36="to"),Skemaoplysninger!$AM$31,"")</f>
        <v/>
      </c>
      <c r="CR36" s="210" t="str">
        <f>IF(AND(C36="Skema 3",B36="fr"),Skemaoplysninger!$AO$31,"")</f>
        <v/>
      </c>
      <c r="CS36" s="210" t="str">
        <f>IF(AND(C36="Skema 4",B36="ma"),Skemaoplysninger!$AU$31,"")</f>
        <v/>
      </c>
      <c r="CT36" s="210" t="str">
        <f>IF(AND(C36="Skema 4",B36="ti"),Skemaoplysninger!$AW$31,"")</f>
        <v/>
      </c>
      <c r="CU36" s="210" t="str">
        <f>IF(AND(C36="Skema 4",B36="on"),Skemaoplysninger!$AY$31,"")</f>
        <v/>
      </c>
      <c r="CV36" s="210" t="str">
        <f>IF(AND(C36="Skema 4",B36="to"),Skemaoplysninger!$BA$31,"")</f>
        <v/>
      </c>
      <c r="CW36" s="210" t="str">
        <f>IF(AND(C36="Skema 4",B36="fr"),Skemaoplysninger!$BC$31,"")</f>
        <v/>
      </c>
      <c r="CX36" s="249">
        <f>IF(Stamoplysninger!$H$29="NEJ",SUM(CD36:CW36)*24+CB36+CC36,0)</f>
        <v>1.5</v>
      </c>
      <c r="CY36" s="249">
        <f>IF(C36="Skema 1",Stamoplysninger!$H$30/200,0)</f>
        <v>0</v>
      </c>
      <c r="CZ36" s="249">
        <f>IF(C36="Skema 2",Stamoplysninger!$H$30/200,0)</f>
        <v>0</v>
      </c>
      <c r="DA36" s="249">
        <f>IF(C36="Skema 3",Stamoplysninger!$H$30/200,0)</f>
        <v>0</v>
      </c>
      <c r="DB36" s="249">
        <f>IF(C36="Skema 4",Stamoplysninger!$H$30/200,0)</f>
        <v>0</v>
      </c>
      <c r="DC36" s="249">
        <f>IF(C36="fagdag",Stamoplysninger!$H$30/200,0)</f>
        <v>0</v>
      </c>
      <c r="DD36" s="249">
        <f>IF(C36="emnedag",Stamoplysninger!$H$30/200,0)</f>
        <v>0</v>
      </c>
      <c r="DE36" s="249">
        <f>IF(C36="lejrskole",Stamoplysninger!$H$30/200,0)</f>
        <v>0</v>
      </c>
      <c r="DF36" s="249">
        <f>IF(C36="ekskursion",Stamoplysninger!$H$30/200,0)</f>
        <v>0</v>
      </c>
      <c r="DG36" s="249">
        <f t="shared" si="26"/>
        <v>0</v>
      </c>
      <c r="DH36" t="str">
        <f t="shared" si="27"/>
        <v/>
      </c>
      <c r="DI36">
        <f t="shared" si="28"/>
        <v>0</v>
      </c>
      <c r="DJ36">
        <f t="shared" si="29"/>
        <v>0</v>
      </c>
      <c r="DK36" t="str">
        <f t="shared" si="13"/>
        <v/>
      </c>
      <c r="DL36" t="str">
        <f t="shared" si="13"/>
        <v/>
      </c>
      <c r="DM36" t="str">
        <f t="shared" si="13"/>
        <v/>
      </c>
      <c r="DN36" t="str">
        <f t="shared" si="30"/>
        <v/>
      </c>
      <c r="DO36" s="652">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71">
        <f>IF(AND(Stamoplysninger!$B$22="Ulempetillæg udbetales med 25% af nettotimelønnen.",C36="ikke relevant"),(R36)/4,0)</f>
        <v>0</v>
      </c>
      <c r="DT36" s="671">
        <f>IF(AND(AND(Stamoplysninger!$B$22="Ulempetillæg udbetales med 25% af nettotimelønnen.",I36="X",C36="Ikke relevant")),K36/4,0)</f>
        <v>0</v>
      </c>
      <c r="DU36" s="671">
        <f>IF(AND(AND(Stamoplysninger!$B$22="Ulempetillæg udbetales med 25% af nettotimelønnen.",C36="ikke relevant",U36="X")),(X36/4),0)</f>
        <v>0</v>
      </c>
      <c r="DV36" s="672">
        <f>IF(AND(AND(AND(Stamoplysninger!$B$22="Ulempetillæg udbetales med 25% af nettotimelønnen.",I36="X",C36="Ikke relevant",S36="X"))),V36/4,0)</f>
        <v>0</v>
      </c>
      <c r="DW36" s="652"/>
      <c r="DZ36" s="671"/>
      <c r="EA36" s="671"/>
      <c r="EB36" s="672"/>
      <c r="EC36" s="652">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71">
        <f>IF(AND(Stamoplysninger!$B$22="Ulempetillæg afspadseres med 25%(Kræver en aftale imellem ledelsen og den ansatte)",C36="ikke relevant"),(R36)/4,0)</f>
        <v>0</v>
      </c>
      <c r="EH36" s="671">
        <f>IF(AND(AND(Stamoplysninger!$B$22="Ulempetillæg afspadseres med 25%(Kræver en aftale imellem ledelsen og den ansatte)",I36="X",C36="Ikke relevant")),K36/4,0)</f>
        <v>0</v>
      </c>
      <c r="EI36" s="671">
        <f>IF(AND(AND(Stamoplysninger!$B$22="Ulempetillæg afspadseres med 25%(Kræver en aftale imellem ledelsen og den ansatte)",U36="X",C36="Ikke relevant")),X36/4,0)</f>
        <v>0</v>
      </c>
      <c r="EJ36" s="671">
        <f>IF(AND(AND(AND(Stamoplysninger!$B$22="Ulempetillæg afspadseres med 25%(Kræver en aftale imellem ledelsen og den ansatte)",I36="X",C36="Ikke relevant",S36="X"))),V36/4,0)</f>
        <v>0</v>
      </c>
      <c r="EK36" s="283">
        <f>IF(AND(Stamoplysninger!$B$26="Weekendtimer og weekendtillæg afspadseres.",I36="X"),K36*1.5,0)</f>
        <v>0</v>
      </c>
      <c r="EL36" s="251">
        <f>IF(AND(AND(Stamoplysninger!$B$26="Weekendtimer og weekendtillæg afspadseres.",I36="X",S36="X")),V36*1.5,0)</f>
        <v>0</v>
      </c>
      <c r="EM36" s="674">
        <f>IF(AND(AND(Stamoplysninger!$B$26="Weekendtimer og weekendtillæg afspadseres.",I36="X",C36="ikke relevant")),K36*1.5,0)</f>
        <v>0</v>
      </c>
      <c r="EN36" s="675">
        <f>IF(AND(AND(AND(Stamoplysninger!$B$26="Weekendtimer og weekendtillæg afspadseres.",I36="X",C36="ikke relevant",S36="X"))),(V36*1.5),0)</f>
        <v>0</v>
      </c>
      <c r="EO36" s="283">
        <f>IF(AND(Stamoplysninger!$B$26="Weekendtimer og weekendtillæg udbetales.",I36="X"),K36*1.5,0)</f>
        <v>0</v>
      </c>
      <c r="EP36" s="251">
        <f>IF(AND(AND(Stamoplysninger!$B$26="Weekendtimer og weekendtillæg udbetales.",I36="X",S36="X")),V36*1.5,0)</f>
        <v>0</v>
      </c>
      <c r="EQ36" s="674">
        <f>IF(AND(AND(Stamoplysninger!$B$26="Weekendtimer og weekendtillæg udbetales.",I36="X",C36="ikke relevant")),K36*1.5,0)</f>
        <v>0</v>
      </c>
      <c r="ER36" s="675">
        <f>IF(AND(AND(AND(Stamoplysninger!$B$26="Weekendtimer og weekendtillæg udbetales.",I36="X",C36="ikke relevant",S36="X"))),(V36*1.5),0)</f>
        <v>0</v>
      </c>
      <c r="ES36" s="283">
        <f>IF(AND(Stamoplysninger!$B$26="Der er indgået lokalaftale omkring weekendtimer.(Kræver aftale med TR/FSL) Weekendtillæg afspadseres.",I36="X"),K36*0.5,0)</f>
        <v>0</v>
      </c>
      <c r="ET36" s="251">
        <f>IF(AND(AND(Stamoplysninger!$B$26="Der er indgået lokalaftale omkring weekendtimer.(Kræver aftale med TR/FSL) Weekendtillæg afspadseres.",I36="X",S36="X")),V36*0.5,0)</f>
        <v>0</v>
      </c>
      <c r="EU36" s="674">
        <f>IF(AND(AND(Stamoplysninger!$B$26="Der er indgået lokalaftale omkring weekendtimer.(Kræver aftale med TR/FSL) Weekendtillæg afspadseres.",I36="X",C36="ikke relevant")),K36*0.5,0)</f>
        <v>0</v>
      </c>
      <c r="EV36" s="675">
        <f>IF(AND(AND(AND(Stamoplysninger!$B$26="Der er indgået lokalaftale omkring weekendtimer.(Kræver aftale med TR/FSL) Weekendtillæg afspadseres.",I36="X",C36="ikke relevant",S36="X"))),(V36*0.5),0)</f>
        <v>0</v>
      </c>
      <c r="EW36" s="283">
        <f>IF(AND(Stamoplysninger!$B$26="Der er indgået lokalaftale omkring weekendtimer(Kræver aftale med TR/FSL). Weekendtillæg udbetales.",I36="X"),K36*0.5,0)</f>
        <v>0</v>
      </c>
      <c r="EX36" s="251">
        <f>IF(AND(AND(Stamoplysninger!$B$26="Der er indgået lokalaftale omkring weekendtimer(Kræver aftale med TR/FSL). Weekendtillæg udbetales.",I36="X",S36="X")),V36*0.5,0)</f>
        <v>0</v>
      </c>
      <c r="EY36" s="674">
        <f>IF(AND(AND(Stamoplysninger!$B$26="Der er indgået lokalaftale omkring weekendtimer(Kræver aftale med TR/FSL). Weekendtillæg udbetales.",I36="X",C36="ikke relevant")),K36*0.5,0)</f>
        <v>0</v>
      </c>
      <c r="EZ36" s="675">
        <f>IF(AND(AND(AND(Stamoplysninger!$B$26="Der er indgået lokalaftale omkring weekendtimer(Kræver aftale med TR/FSL). Weekendtillæg udbetales.",I36="X",C36="ikke relevant",S36="X"))),(V36*0.5),0)</f>
        <v>0</v>
      </c>
      <c r="FA36" s="283">
        <f>IF(AND(Stamoplysninger!$B$26="Der er indgået lokalaftale omkring weekendtillæg(Kræver aftale med TR/FSL). Weekendtimerne afspadseres.",I36="X"),K36,0)</f>
        <v>0</v>
      </c>
      <c r="FB36" s="251">
        <f>IF(AND(AND(Stamoplysninger!$B$26="Der er indgået lokalaftale omkring weekendtillæg(Kræver aftale med TR/FSL). Weekendtimerne afspadseres.",I36="X",S36="X")),V36,0)</f>
        <v>0</v>
      </c>
      <c r="FC36" s="674">
        <f>IF(AND(AND(Stamoplysninger!$B$26="Der er indgået lokalaftale omkring weekendtillæg(Kræver aftale med TR/FSL). Weekendtimerne afspadseres..",I36="X",C36="ikke relevant")),K36,0)</f>
        <v>0</v>
      </c>
      <c r="FD36" s="675">
        <f>IF(AND(AND(AND(Stamoplysninger!$B$26="Der er indgået lokalaftale omkring weekendtillæg(Kræver aftale med TR/FSL). Weekendtimerne afspadseres.",I36="X",C36="ikke relevant",S36="X"))),(V36),0)</f>
        <v>0</v>
      </c>
      <c r="FE36" s="283">
        <f>IF(AND(Stamoplysninger!$B$26="Der er indgået lokalaftale omkring weekendtillæg(Kræver aftale med TR/FSL). Weekendtimerne udbetales.",I36="X"),K36,0)</f>
        <v>0</v>
      </c>
      <c r="FF36" s="251">
        <f>IF(AND(AND(Stamoplysninger!$B$26="Der er indgået lokalaftale omkring weekendtillæg(Kræver aftale med TR/FSL). Weekendtimerne udbetales.",I36="X",S36="X")),V36,0)</f>
        <v>0</v>
      </c>
      <c r="FG36" s="674">
        <f>IF(AND(AND(Stamoplysninger!$B$26="Der er indgået lokalaftale omkring weekendtillæg(Kræver aftale med TR/FSL). Weekendtimerne udbetales.",I36="X",C36="ikke relevant")),K36,0)</f>
        <v>0</v>
      </c>
      <c r="FH36" s="675">
        <f>IF(AND(AND(AND(Stamoplysninger!$B$26="Der er indgået lokalaftale omkring weekendtillæg(Kræver aftale med TR/FSL). Weekendtimerne udbetales.",I36="X",C36="ikke relevant",S36="X"))),(V36),0)</f>
        <v>0</v>
      </c>
      <c r="FI36" s="283">
        <f>IF(AND(Stamoplysninger!$B$26="Weekendtimer og weekendtillæg afspadseres.",I36="X"),K36,0)</f>
        <v>0</v>
      </c>
      <c r="FJ36" s="251">
        <f>IF(AND(Stamoplysninger!$B$26="Weekendtimer og weekendtillæg afspadseres.",Y36="X"),(AA36+AL36)/2,0)</f>
        <v>0</v>
      </c>
      <c r="FK36" s="674">
        <f>IF(AND(AND(Stamoplysninger!$B$26="Weekendtimer og weekendtillæg afspadseres.",I36="X",C36="ikke relevant")),K36,0)</f>
        <v>0</v>
      </c>
      <c r="FL36" s="675">
        <f>IF(AND(AND(Stamoplysninger!$B$26="Weekendtimer og weekendtillæg afspadseres.",Y36="X",S36="ikke relevant")),(AA36+AL36)/2,0)</f>
        <v>0</v>
      </c>
      <c r="FM36" s="283">
        <f>IF(AND(Stamoplysninger!$B$26="Der er indgået lokalaftale omkring weekendtillæg(Kræver aftale med TR/FSL). Weekendtimerne afspadseres.",I36="X"),K36,0)</f>
        <v>0</v>
      </c>
      <c r="FN36" s="674">
        <f>IF(AND(AND(Stamoplysninger!$B$26="Der er indgået lokalaftale omkring weekendtillæg(Kræver aftale med TR/FSL). Weekendtimerne afspadseres.",I36="X",C36="ikke relevant")),K36,0)</f>
        <v>0</v>
      </c>
      <c r="FO36" s="283">
        <f>IF(AND(Stamoplysninger!$B$26="Weekendtimer og weekendtillæg udbetales.",I36="X"),K36,0)</f>
        <v>0</v>
      </c>
      <c r="FP36" s="251">
        <f>IF(AND(Stamoplysninger!$B$26="Weekendtimer og weekendtillæg udbetales.",AA36="X"),(AC36+AN36)/2,0)</f>
        <v>0</v>
      </c>
      <c r="FQ36" s="674">
        <f>IF(AND(AND(Stamoplysninger!$B$26="Weekendtimer og weekendtillæg udbetales.",I36="X",C36="ikke relevant")),K36,0)</f>
        <v>0</v>
      </c>
      <c r="FR36" s="688">
        <f>IF(AND(AND(Stamoplysninger!$B$26="Weekendtimer og weekendtillæg udbetales.",AA36="X",U36="ikke relevant")),(AC36+AN36)/2,0)</f>
        <v>0</v>
      </c>
      <c r="FS36" s="283">
        <f t="shared" si="14"/>
        <v>0</v>
      </c>
      <c r="FT36" s="658">
        <f t="shared" si="15"/>
        <v>0</v>
      </c>
      <c r="FU36">
        <f t="shared" si="31"/>
        <v>0</v>
      </c>
      <c r="FV36" s="283">
        <f>IF(AND(Stamoplysninger!$B$26="Der er indgået lokalaftale omkring weekendtimer.(Kræver aftale med TR/FSL) Weekendtillæg afspadseres.",I36="X"),K36,0)</f>
        <v>0</v>
      </c>
      <c r="FW36" s="674">
        <f>IF(AND(AND(Stamoplysninger!$B$26="Der er indgået lokalaftale omkring weekendtimer.(Kræver aftale med TR/FSL) Weekendtillæg afspadseres.",I36="X",C36="ikke relevant")),K36,0)</f>
        <v>0</v>
      </c>
      <c r="FX36" s="283">
        <f>IF(AND(Stamoplysninger!$B$26="Der er indgået lokalaftale omkring weekendtimer(Kræver aftale med TR/FSL). Weekendtillæg udbetales.",I36="X"),K36,0)</f>
        <v>0</v>
      </c>
      <c r="FY36" s="674">
        <f>IF(AND(AND(Stamoplysninger!$B$26="Der er indgået lokalaftale omkring weekendtimer(Kræver aftale med TR/FSL). Weekendtillæg udbetales.",I36="X",C36="ikke relevant")),K36,0)</f>
        <v>0</v>
      </c>
      <c r="FZ36" s="283">
        <f>IF(AND(Stamoplysninger!$B$26="Der er indgået lokalaftale omkring weekendtillæg(Kræver aftale med TR/FSL). Weekendtimerne udbetales.",I36="X"),K36,0)</f>
        <v>0</v>
      </c>
      <c r="GA36" s="674">
        <f>IF(AND(AND(Stamoplysninger!$B$26="Der er indgået lokalaftale omkring weekendtillæg(Kræver aftale med TR/FSL). Weekendtimerne udbetales.",I36="X",C36="ikke relevant")),K36,0)</f>
        <v>0</v>
      </c>
      <c r="GB36" s="283">
        <f>IF(AND(Stamoplysninger!$B$26="Der er indgået lokalaftale omkring weekendtimer og weekendtillæg.(Kræver aftale med TR/FSL).",I36="X"),K36,0)</f>
        <v>0</v>
      </c>
      <c r="GC36" s="674">
        <f>IF(AND(AND(Stamoplysninger!$B$26="Der er indgået lokalaftale omkring weekendtimer og weekendtillæg.(Kræver aftale med TR/FSL).",I36="X",C36="ikke relevant")),K36,0)</f>
        <v>0</v>
      </c>
    </row>
    <row r="37" spans="1:185" ht="16" customHeight="1">
      <c r="A37" s="245">
        <f>IF(ISNUMBER(A36),A36+1,1)</f>
        <v>29</v>
      </c>
      <c r="B37" s="128" t="str">
        <f t="shared" si="0"/>
        <v>fr</v>
      </c>
      <c r="C37" s="129" t="s">
        <v>206</v>
      </c>
      <c r="D37" s="130" t="str">
        <f t="shared" si="1"/>
        <v/>
      </c>
      <c r="E37" s="949"/>
      <c r="F37" s="950"/>
      <c r="G37" s="951"/>
      <c r="H37" s="298"/>
      <c r="I37" s="527"/>
      <c r="J37" s="413"/>
      <c r="K37" s="380"/>
      <c r="L37" s="380"/>
      <c r="M37" s="380"/>
      <c r="N37" s="318">
        <f t="shared" si="18"/>
        <v>6.75</v>
      </c>
      <c r="O37" s="318">
        <f t="shared" si="19"/>
        <v>3</v>
      </c>
      <c r="P37" s="318">
        <f>IF(Stamoplysninger!$H$29="JA",November!DG37,CX37)</f>
        <v>1.5</v>
      </c>
      <c r="Q37" s="318">
        <f t="shared" si="20"/>
        <v>2.25</v>
      </c>
      <c r="R37" s="319"/>
      <c r="S37" s="324"/>
      <c r="T37" s="325"/>
      <c r="U37" s="325"/>
      <c r="V37" s="435"/>
      <c r="W37" s="435"/>
      <c r="X37" s="644"/>
      <c r="Y37">
        <f t="shared" si="21"/>
        <v>0</v>
      </c>
      <c r="Z37" s="437">
        <f t="shared" si="22"/>
        <v>0</v>
      </c>
      <c r="AA37" s="1">
        <f t="shared" si="2"/>
        <v>0</v>
      </c>
      <c r="AB37" s="1">
        <f t="shared" si="3"/>
        <v>0</v>
      </c>
      <c r="AC37" s="1">
        <f t="shared" si="4"/>
        <v>0</v>
      </c>
      <c r="AD37" s="1">
        <f t="shared" si="5"/>
        <v>0</v>
      </c>
      <c r="AE37" s="1">
        <f t="shared" si="6"/>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f>IF(AND(C37="Skema 1",B37="fr"),Arbejdstidsoversigt!$E$76,"")</f>
        <v>6.75</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6.75</v>
      </c>
      <c r="BB37" s="229">
        <f t="shared" si="7"/>
        <v>162</v>
      </c>
      <c r="BC37" s="1">
        <f t="shared" si="24"/>
        <v>0</v>
      </c>
      <c r="BD37" s="1">
        <f t="shared" si="8"/>
        <v>0</v>
      </c>
      <c r="BE37" s="1">
        <f t="shared" si="9"/>
        <v>0</v>
      </c>
      <c r="BF37" s="1">
        <f t="shared" si="10"/>
        <v>0</v>
      </c>
      <c r="BG37" s="210" t="str">
        <f>IF(AND(C37="Skema 1",B37="ma"),Skemaoplysninger!$E$30,"")</f>
        <v/>
      </c>
      <c r="BH37" s="210" t="str">
        <f>IF(AND(C37="Skema 1",B37="ti"),Skemaoplysninger!$G$30,"")</f>
        <v/>
      </c>
      <c r="BI37" s="210" t="str">
        <f>IF(AND(C37="Skema 1",B37="on"),Skemaoplysninger!$I$30,"")</f>
        <v/>
      </c>
      <c r="BJ37" s="210" t="str">
        <f>IF(AND(C37="Skema 1",B37="to"),Skemaoplysninger!$K$30,"")</f>
        <v/>
      </c>
      <c r="BK37" s="210">
        <f>IF(AND(C37="Skema 1",B37="fr"),Skemaoplysninger!$M$30,"")</f>
        <v>0.125</v>
      </c>
      <c r="BL37" s="210" t="str">
        <f>IF(AND(C37="Skema 2",B37="ma"),Skemaoplysninger!$S$30,"")</f>
        <v/>
      </c>
      <c r="BM37" s="210" t="str">
        <f>IF(AND(C37="Skema 2",B37="ti"),Skemaoplysninger!$U$30,"")</f>
        <v/>
      </c>
      <c r="BN37" s="210" t="str">
        <f>IF(AND(C37="Skema 2",B37="on"),Skemaoplysninger!$W$30,"")</f>
        <v/>
      </c>
      <c r="BO37" s="210" t="str">
        <f>IF(AND(C37="Skema 2",B37="to"),Skemaoplysninger!$Y$30,"")</f>
        <v/>
      </c>
      <c r="BP37" s="210" t="str">
        <f>IF(AND(C37="Skema 2",B37="fr"),Skemaoplysninger!$AA$30,"")</f>
        <v/>
      </c>
      <c r="BQ37" s="210" t="str">
        <f>IF(AND(C37="Skema 3",B37="ma"),Skemaoplysninger!$AG$30,"")</f>
        <v/>
      </c>
      <c r="BR37" s="210" t="str">
        <f>IF(AND(C37="Skema 3",B37="ti"),Skemaoplysninger!$AI$30,"")</f>
        <v/>
      </c>
      <c r="BS37" s="210" t="str">
        <f>IF(AND(C37="Skema 3",B37="on"),Skemaoplysninger!$AK$30,"")</f>
        <v/>
      </c>
      <c r="BT37" s="210" t="str">
        <f>IF(AND(C37="Skema 3",B37="to"),Skemaoplysninger!$AM$30,"")</f>
        <v/>
      </c>
      <c r="BU37" s="210" t="str">
        <f>IF(AND(C37="Skema 3",B37="fr"),Skemaoplysninger!$AO$30,"")</f>
        <v/>
      </c>
      <c r="BV37" s="210" t="str">
        <f>IF(AND(C37="Skema 4",B37="ma"),Skemaoplysninger!$AU$30,"")</f>
        <v/>
      </c>
      <c r="BW37" s="210" t="str">
        <f>IF(AND(C37="Skema 4",B37="ti"),Skemaoplysninger!$AW$30,"")</f>
        <v/>
      </c>
      <c r="BX37" s="210" t="str">
        <f>IF(AND(C37="Skema 4",B37="on"),Skemaoplysninger!$AY$30,"")</f>
        <v/>
      </c>
      <c r="BY37" s="210" t="str">
        <f>IF(AND(C37="Skema 4",B37="to"),Skemaoplysninger!$BA$30,"")</f>
        <v/>
      </c>
      <c r="BZ37" s="210" t="str">
        <f>IF(AND(C37="Skema 4",B37="fr"),Skemaoplysninger!$BC$30,"")</f>
        <v/>
      </c>
      <c r="CA37" s="1">
        <f t="shared" si="25"/>
        <v>3</v>
      </c>
      <c r="CB37" s="1">
        <f t="shared" si="11"/>
        <v>0</v>
      </c>
      <c r="CC37" s="1">
        <f t="shared" si="12"/>
        <v>0</v>
      </c>
      <c r="CD37" s="210" t="str">
        <f>IF(AND(C37="Skema 1",B37="ma"),Skemaoplysninger!$E$31,"")</f>
        <v/>
      </c>
      <c r="CE37" s="210" t="str">
        <f>IF(AND(C37="Skema 1",B37="ti"),Skemaoplysninger!$G$31,"")</f>
        <v/>
      </c>
      <c r="CF37" s="210" t="str">
        <f>IF(AND(C37="Skema 1",B37="on"),Skemaoplysninger!$I$31,"")</f>
        <v/>
      </c>
      <c r="CG37" s="210" t="str">
        <f>IF(AND(C37="Skema 1",B37="to"),Skemaoplysninger!$K$31,"")</f>
        <v/>
      </c>
      <c r="CH37" s="210">
        <f>IF(AND(C37="Skema 1",B37="fr"),Skemaoplysninger!$M$31,"")</f>
        <v>6.25E-2</v>
      </c>
      <c r="CI37" s="210" t="str">
        <f>IF(AND(C37="Skema 2",B37="ma"),Skemaoplysninger!$S$31,"")</f>
        <v/>
      </c>
      <c r="CJ37" s="210" t="str">
        <f>IF(AND(C37="Skema 2",B37="ti"),Skemaoplysninger!$U$31,"")</f>
        <v/>
      </c>
      <c r="CK37" s="210" t="str">
        <f>IF(AND(C37="Skema 2",B37="on"),Skemaoplysninger!$W$31,"")</f>
        <v/>
      </c>
      <c r="CL37" s="210" t="str">
        <f>IF(AND(C37="Skema 2",B37="to"),Skemaoplysninger!$Y$31,"")</f>
        <v/>
      </c>
      <c r="CM37" s="210" t="str">
        <f>IF(AND(C37="Skema 2",B37="fr"),Skemaoplysninger!$AA$31,"")</f>
        <v/>
      </c>
      <c r="CN37" s="210" t="str">
        <f>IF(AND(C37="Skema 3",B37="ma"),Skemaoplysninger!$AG$31,"")</f>
        <v/>
      </c>
      <c r="CO37" s="210" t="str">
        <f>IF(AND(C37="Skema 3",B37="ti"),Skemaoplysninger!$AI$31,"")</f>
        <v/>
      </c>
      <c r="CP37" s="210" t="str">
        <f>IF(AND(C37="Skema 3",B37="on"),Skemaoplysninger!$AK$31,"")</f>
        <v/>
      </c>
      <c r="CQ37" s="210" t="str">
        <f>IF(AND(C37="Skema 3",B37="to"),Skemaoplysninger!$AM$31,"")</f>
        <v/>
      </c>
      <c r="CR37" s="210" t="str">
        <f>IF(AND(C37="Skema 3",B37="fr"),Skemaoplysninger!$AO$31,"")</f>
        <v/>
      </c>
      <c r="CS37" s="210" t="str">
        <f>IF(AND(C37="Skema 4",B37="ma"),Skemaoplysninger!$AU$31,"")</f>
        <v/>
      </c>
      <c r="CT37" s="210" t="str">
        <f>IF(AND(C37="Skema 4",B37="ti"),Skemaoplysninger!$AW$31,"")</f>
        <v/>
      </c>
      <c r="CU37" s="210" t="str">
        <f>IF(AND(C37="Skema 4",B37="on"),Skemaoplysninger!$AY$31,"")</f>
        <v/>
      </c>
      <c r="CV37" s="210" t="str">
        <f>IF(AND(C37="Skema 4",B37="to"),Skemaoplysninger!$BA$31,"")</f>
        <v/>
      </c>
      <c r="CW37" s="210" t="str">
        <f>IF(AND(C37="Skema 4",B37="fr"),Skemaoplysninger!$BC$31,"")</f>
        <v/>
      </c>
      <c r="CX37" s="249">
        <f>IF(Stamoplysninger!$H$29="NEJ",SUM(CD37:CW37)*24+CB37+CC37,0)</f>
        <v>1.5</v>
      </c>
      <c r="CY37" s="249">
        <f>IF(C37="Skema 1",Stamoplysninger!$H$30/200,0)</f>
        <v>0</v>
      </c>
      <c r="CZ37" s="249">
        <f>IF(C37="Skema 2",Stamoplysninger!$H$30/200,0)</f>
        <v>0</v>
      </c>
      <c r="DA37" s="249">
        <f>IF(C37="Skema 3",Stamoplysninger!$H$30/200,0)</f>
        <v>0</v>
      </c>
      <c r="DB37" s="249">
        <f>IF(C37="Skema 4",Stamoplysninger!$H$30/200,0)</f>
        <v>0</v>
      </c>
      <c r="DC37" s="249">
        <f>IF(C37="fagdag",Stamoplysninger!$H$30/200,0)</f>
        <v>0</v>
      </c>
      <c r="DD37" s="249">
        <f>IF(C37="emnedag",Stamoplysninger!$H$30/200,0)</f>
        <v>0</v>
      </c>
      <c r="DE37" s="249">
        <f>IF(C37="lejrskole",Stamoplysninger!$H$30/200,0)</f>
        <v>0</v>
      </c>
      <c r="DF37" s="249">
        <f>IF(C37="ekskursion",Stamoplysninger!$H$30/200,0)</f>
        <v>0</v>
      </c>
      <c r="DG37" s="249">
        <f t="shared" si="26"/>
        <v>0</v>
      </c>
      <c r="DH37" t="str">
        <f t="shared" si="27"/>
        <v/>
      </c>
      <c r="DI37">
        <f t="shared" si="28"/>
        <v>0</v>
      </c>
      <c r="DJ37">
        <f t="shared" si="29"/>
        <v>0</v>
      </c>
      <c r="DK37" t="str">
        <f t="shared" si="13"/>
        <v/>
      </c>
      <c r="DL37" t="str">
        <f t="shared" si="13"/>
        <v/>
      </c>
      <c r="DM37" t="str">
        <f t="shared" si="13"/>
        <v/>
      </c>
      <c r="DN37" t="str">
        <f t="shared" si="30"/>
        <v/>
      </c>
      <c r="DO37" s="652">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71">
        <f>IF(AND(Stamoplysninger!$B$22="Ulempetillæg udbetales med 25% af nettotimelønnen.",C37="ikke relevant"),(R37)/4,0)</f>
        <v>0</v>
      </c>
      <c r="DT37" s="671">
        <f>IF(AND(AND(Stamoplysninger!$B$22="Ulempetillæg udbetales med 25% af nettotimelønnen.",I37="X",C37="Ikke relevant")),K37/4,0)</f>
        <v>0</v>
      </c>
      <c r="DU37" s="671">
        <f>IF(AND(AND(Stamoplysninger!$B$22="Ulempetillæg udbetales med 25% af nettotimelønnen.",C37="ikke relevant",U37="X")),(X37/4),0)</f>
        <v>0</v>
      </c>
      <c r="DV37" s="672">
        <f>IF(AND(AND(AND(Stamoplysninger!$B$22="Ulempetillæg udbetales med 25% af nettotimelønnen.",I37="X",C37="Ikke relevant",U37="X"))),X37/4,0)</f>
        <v>0</v>
      </c>
      <c r="DW37" s="652"/>
      <c r="DZ37" s="671"/>
      <c r="EA37" s="671"/>
      <c r="EB37" s="672"/>
      <c r="EC37" s="652">
        <f>IF(Stamoplysninger!$B$22="Ulempetillæg afspadseres med 25%(Kræver en aftale imellem ledelsen og den ansatte)",(R37+X37)/4,0)</f>
        <v>0</v>
      </c>
      <c r="ED37">
        <f>IF(AND(Stamoplysninger!$B$22="Ulempetillæg afspadseres med 25%(Kræver en aftale imellem ledelsen og den ansatte)",I37="X"),K37/4,0)</f>
        <v>0</v>
      </c>
      <c r="EE37">
        <f>IF(AND(Stamoplysninger!$B$22="Ulempetillæg afspadseres med 25%(Kræver en aftale imellem ledelsen og den ansatte)",I37="X"),V37/4,0)</f>
        <v>0</v>
      </c>
      <c r="EF37">
        <f>IF(AND(AND(Stamoplysninger!$B$22="Ulempetillæg udbetales med 25% af nettotimelønnen.",AG37="X",W37="X")),AJ37/4,0)</f>
        <v>0</v>
      </c>
      <c r="EG37" s="671">
        <f>IF(AND(Stamoplysninger!$B$22="Ulempetillæg afspadseres med 25%(Kræver en aftale imellem ledelsen og den ansatte)",C37="ikke relevant"),(R37+X37)/4,0)</f>
        <v>0</v>
      </c>
      <c r="EH37" s="671">
        <f>IF(AND(AND(Stamoplysninger!$B$22="Ulempetillæg afspadseres med 25%(Kræver en aftale imellem ledelsen og den ansatte)",I37="X",C37="Ikke relevant")),K37/4,0)</f>
        <v>0</v>
      </c>
      <c r="EI37" s="671">
        <f>IF(AND(AND(Stamoplysninger!$B$22="Ulempetillæg afspadseres med 25%(Kræver en aftale imellem ledelsen og den ansatte)",I37="X",C37="Ikke relevant")),V37/4,0)</f>
        <v>0</v>
      </c>
      <c r="EJ37" s="671">
        <f>IF(AND(AND(Stamoplysninger!$B$22="Ulempetillæg afspadseres med 25%(Kræver en aftale imellem ledelsen og den ansatte)",J37="X",D37="Ikke relevant")),W37/4,0)</f>
        <v>0</v>
      </c>
      <c r="EK37" s="283">
        <f>IF(AND(Stamoplysninger!$B$26="Weekendtimer og weekendtillæg afspadseres.",I37="X"),K37+V37,0)</f>
        <v>0</v>
      </c>
      <c r="EL37" s="251">
        <f>IF(AND(Stamoplysninger!$B$26="Weekendtimer og weekendtillæg afspadseres.",J37="X"),(L37+W37)/2,0)</f>
        <v>0</v>
      </c>
      <c r="EM37" s="674">
        <f>IF(AND(AND(Stamoplysninger!$B$26="Weekendtimer og weekendtillæg afspadseres.",I37="X",C37="ikke relevant")),K37+V37,0)</f>
        <v>0</v>
      </c>
      <c r="EN37" s="675">
        <f>IF(AND(AND(Stamoplysninger!$B$26="Weekendtimer og weekendtillæg afspadseres.",I37="X",C37="ikke relevant")),(K37+V37)/2,0)</f>
        <v>0</v>
      </c>
      <c r="EO37" s="283">
        <f>IF(AND(Stamoplysninger!$B$26="Weekendtimer og weekendtillæg udbetales.",I37="X"),K37+V37,0)</f>
        <v>0</v>
      </c>
      <c r="EP37" s="251">
        <f>IF(AND(Stamoplysninger!$B$26="Weekendtimer og weekendtillæg udbetales.",I37="X"),(K37+V37)/2,0)</f>
        <v>0</v>
      </c>
      <c r="EQ37" s="674">
        <f>IF(AND(AND(Stamoplysninger!$B$26="Weekendtimer og weekendtillæg udbetales.",I37="X",C37="ikke relevant")),K37+V37,0)</f>
        <v>0</v>
      </c>
      <c r="ER37" s="675">
        <f>IF(AND(AND(Stamoplysninger!$B$26="Weekendtimer og weekendtillæg udbetales.",I37="X",C37="ikke relevant")),(K37+V37)/2,0)</f>
        <v>0</v>
      </c>
      <c r="ES37" s="283">
        <f>IF(AND(Stamoplysninger!$B$26="Weekendtimer og weekendtillæg udbetales.",M37="X"),O37+Z37,0)</f>
        <v>0</v>
      </c>
      <c r="ET37" s="251">
        <f>IF(AND(Stamoplysninger!$B$26="Weekendtimer og weekendtillæg udbetales.",M37="X"),(O37+Z37)/2,0)</f>
        <v>0</v>
      </c>
      <c r="EU37" s="674">
        <f>IF(AND(AND(Stamoplysninger!$B$26="Weekendtimer og weekendtillæg udbetales.",M37="X",G37="ikke relevant")),O37+Z37,0)</f>
        <v>0</v>
      </c>
      <c r="EV37" s="675">
        <f>IF(AND(AND(Stamoplysninger!$B$26="Weekendtimer og weekendtillæg udbetales.",M37="X",G37="ikke relevant")),(O37+Z37)/2,0)</f>
        <v>0</v>
      </c>
      <c r="EW37" s="283">
        <f>IF(AND(Stamoplysninger!$B$26="Der er indgået lokalaftale omkring weekendtimer(Kræver aftale med TR/FSL). Weekendtillæg udbetales.",I37="X"),K37*0.5,0)</f>
        <v>0</v>
      </c>
      <c r="EX37" s="251">
        <f>IF(AND(AND(Stamoplysninger!$B$26="Der er indgået lokalaftale omkring weekendtimer(Kræver aftale med TR/FSL). Weekendtillæg udbetales.",I37="X",S37="X")),V37*0.5,0)</f>
        <v>0</v>
      </c>
      <c r="EY37" s="674">
        <f>IF(AND(AND(Stamoplysninger!$B$26="Der er indgået lokalaftale omkring weekendtimer(Kræver aftale med TR/FSL). Weekendtillæg udbetales.",I37="X",C37="ikke relevant")),K37*0.5,0)</f>
        <v>0</v>
      </c>
      <c r="EZ37" s="675">
        <f>IF(AND(AND(AND(Stamoplysninger!$B$26="Der er indgået lokalaftale omkring weekendtimer(Kræver aftale med TR/FSL). Weekendtillæg udbetales.",I37="X",C37="ikke relevant",S37="X"))),(V37*0.5),0)</f>
        <v>0</v>
      </c>
      <c r="FA37" s="283">
        <f>IF(AND(Stamoplysninger!$B$26="Der er indgået lokalaftale omkring weekendtimer(Kræver aftale med TR/FSL). Weekendtillæg udbetales.",M37="X"),O37*0.5,0)</f>
        <v>0</v>
      </c>
      <c r="FB37" s="251">
        <f>IF(AND(AND(Stamoplysninger!$B$26="Der er indgået lokalaftale omkring weekendtimer(Kræver aftale med TR/FSL). Weekendtillæg udbetales.",M37="X",W37="X")),Z37*0.5,0)</f>
        <v>0</v>
      </c>
      <c r="FC37" s="674">
        <f>IF(AND(AND(Stamoplysninger!$B$26="Der er indgået lokalaftale omkring weekendtimer(Kræver aftale med TR/FSL). Weekendtillæg udbetales.",M37="X",G37="ikke relevant")),O37*0.5,0)</f>
        <v>0</v>
      </c>
      <c r="FD37" s="675">
        <f>IF(AND(AND(AND(Stamoplysninger!$B$26="Der er indgået lokalaftale omkring weekendtimer(Kræver aftale med TR/FSL). Weekendtillæg udbetales.",M37="X",G37="ikke relevant",W37="X"))),(Z37*0.5),0)</f>
        <v>0</v>
      </c>
      <c r="FE37" s="283">
        <f>IF(AND(Stamoplysninger!$B$26="Der er indgået lokalaftale omkring weekendtimer(Kræver aftale med TR/FSL). Weekendtillæg udbetales.",Q37="X"),S37*0.5,0)</f>
        <v>0</v>
      </c>
      <c r="FF37" s="251">
        <f>IF(AND(AND(Stamoplysninger!$B$26="Der er indgået lokalaftale omkring weekendtimer(Kræver aftale med TR/FSL). Weekendtillæg udbetales.",Q37="X",AA37="X")),AD37*0.5,0)</f>
        <v>0</v>
      </c>
      <c r="FG37" s="674">
        <f>IF(AND(AND(Stamoplysninger!$B$26="Der er indgået lokalaftale omkring weekendtimer(Kræver aftale med TR/FSL). Weekendtillæg udbetales.",Q37="X",K37="ikke relevant")),S37*0.5,0)</f>
        <v>0</v>
      </c>
      <c r="FH37" s="675">
        <f>IF(AND(AND(AND(Stamoplysninger!$B$26="Der er indgået lokalaftale omkring weekendtimer(Kræver aftale med TR/FSL). Weekendtillæg udbetales.",Q37="X",K37="ikke relevant",AA37="X"))),(AD37*0.5),0)</f>
        <v>0</v>
      </c>
      <c r="FI37" s="283">
        <f>IF(AND(Stamoplysninger!$B$26="Weekendtimer og weekendtillæg afspadseres.",I37="X"),K37,0)</f>
        <v>0</v>
      </c>
      <c r="FJ37" s="251">
        <f>IF(AND(Stamoplysninger!$B$26="Weekendtimer og weekendtillæg afspadseres.",Y37="X"),(AA37+AL37)/2,0)</f>
        <v>0</v>
      </c>
      <c r="FK37" s="674">
        <f>IF(AND(AND(Stamoplysninger!$B$26="Weekendtimer og weekendtillæg afspadseres.",I37="X",C37="ikke relevant")),K37,0)</f>
        <v>0</v>
      </c>
      <c r="FL37" s="675">
        <f>IF(AND(AND(Stamoplysninger!$B$26="Weekendtimer og weekendtillæg afspadseres.",Y37="X",S37="ikke relevant")),(AA37+AL37)/2,0)</f>
        <v>0</v>
      </c>
      <c r="FM37" s="283">
        <f>IF(AND(Stamoplysninger!$B$26="Der er indgået lokalaftale omkring weekendtillæg(Kræver aftale med TR/FSL). Weekendtimerne afspadseres.",I37="X"),K37,0)</f>
        <v>0</v>
      </c>
      <c r="FN37" s="674">
        <f>IF(AND(AND(Stamoplysninger!$B$26="Der er indgået lokalaftale omkring weekendtillæg(Kræver aftale med TR/FSL). Weekendtimerne afspadseres.",I37="X",C37="ikke relevant")),K37,0)</f>
        <v>0</v>
      </c>
      <c r="FO37" s="283">
        <f>IF(AND(Stamoplysninger!$B$26="Weekendtimer og weekendtillæg udbetales.",I37="X"),K37,0)</f>
        <v>0</v>
      </c>
      <c r="FP37" s="251">
        <f>IF(AND(Stamoplysninger!$B$26="Weekendtimer og weekendtillæg udbetales.",AA37="X"),(AC37+AN37)/2,0)</f>
        <v>0</v>
      </c>
      <c r="FQ37" s="674">
        <f>IF(AND(AND(Stamoplysninger!$B$26="Weekendtimer og weekendtillæg udbetales.",I37="X",C37="ikke relevant")),K37,0)</f>
        <v>0</v>
      </c>
      <c r="FR37" s="688">
        <f>IF(AND(AND(Stamoplysninger!$B$26="Weekendtimer og weekendtillæg udbetales.",AA37="X",U37="ikke relevant")),(AC37+AN37)/2,0)</f>
        <v>0</v>
      </c>
      <c r="FS37" s="283">
        <f t="shared" si="14"/>
        <v>0</v>
      </c>
      <c r="FT37" s="658">
        <f t="shared" si="15"/>
        <v>0</v>
      </c>
      <c r="FU37">
        <f t="shared" si="31"/>
        <v>0</v>
      </c>
      <c r="FV37" s="283">
        <f>IF(AND(Stamoplysninger!$B$26="Der er indgået lokalaftale omkring weekendtimer.(Kræver aftale med TR/FSL) Weekendtillæg afspadseres.",I37="X"),K37,0)</f>
        <v>0</v>
      </c>
      <c r="FW37" s="674">
        <f>IF(AND(AND(Stamoplysninger!$B$26="Der er indgået lokalaftale omkring weekendtimer.(Kræver aftale med TR/FSL) Weekendtillæg afspadseres.",I37="X",C37="ikke relevant")),K37,0)</f>
        <v>0</v>
      </c>
      <c r="FX37" s="283">
        <f>IF(AND(Stamoplysninger!$B$26="Der er indgået lokalaftale omkring weekendtimer(Kræver aftale med TR/FSL). Weekendtillæg udbetales.",I37="X"),K37,0)</f>
        <v>0</v>
      </c>
      <c r="FY37" s="674">
        <f>IF(AND(AND(Stamoplysninger!$B$26="Der er indgået lokalaftale omkring weekendtimer(Kræver aftale med TR/FSL). Weekendtillæg udbetales.",I37="X",C37="ikke relevant")),K37,0)</f>
        <v>0</v>
      </c>
      <c r="FZ37" s="283">
        <f>IF(AND(Stamoplysninger!$B$26="Der er indgået lokalaftale omkring weekendtillæg(Kræver aftale med TR/FSL). Weekendtimerne udbetales.",I37="X"),K37,0)</f>
        <v>0</v>
      </c>
      <c r="GA37" s="674">
        <f>IF(AND(AND(Stamoplysninger!$B$26="Der er indgået lokalaftale omkring weekendtillæg(Kræver aftale med TR/FSL). Weekendtimerne udbetales.",I37="X",C37="ikke relevant")),K37,0)</f>
        <v>0</v>
      </c>
      <c r="GB37" s="283">
        <f>IF(AND(Stamoplysninger!$B$26="Der er indgået lokalaftale omkring weekendtimer og weekendtillæg.(Kræver aftale med TR/FSL).",I37="X"),K37,0)</f>
        <v>0</v>
      </c>
      <c r="GC37" s="674">
        <f>IF(AND(AND(Stamoplysninger!$B$26="Der er indgået lokalaftale omkring weekendtimer og weekendtillæg.(Kræver aftale med TR/FSL).",I37="X",C37="ikke relevant")),K37,0)</f>
        <v>0</v>
      </c>
    </row>
    <row r="38" spans="1:185" ht="16" customHeight="1">
      <c r="A38" s="245">
        <f t="shared" si="17"/>
        <v>30</v>
      </c>
      <c r="B38" s="128" t="str">
        <f t="shared" si="0"/>
        <v>lø</v>
      </c>
      <c r="C38" s="129" t="s">
        <v>120</v>
      </c>
      <c r="D38" s="130" t="str">
        <f t="shared" si="1"/>
        <v/>
      </c>
      <c r="E38" s="949"/>
      <c r="F38" s="950"/>
      <c r="G38" s="951"/>
      <c r="H38" s="298"/>
      <c r="I38" s="413"/>
      <c r="J38" s="413"/>
      <c r="K38" s="380"/>
      <c r="L38" s="380"/>
      <c r="M38" s="380"/>
      <c r="N38" s="318">
        <f t="shared" si="18"/>
        <v>0</v>
      </c>
      <c r="O38" s="318">
        <f t="shared" si="19"/>
        <v>0</v>
      </c>
      <c r="P38" s="318">
        <f>IF(Stamoplysninger!$H$29="JA",November!DG38,CX38)</f>
        <v>0</v>
      </c>
      <c r="Q38" s="318">
        <f t="shared" si="20"/>
        <v>0</v>
      </c>
      <c r="R38" s="319"/>
      <c r="S38" s="324"/>
      <c r="T38" s="325"/>
      <c r="U38" s="325"/>
      <c r="V38" s="435"/>
      <c r="W38" s="435"/>
      <c r="X38" s="644"/>
      <c r="Y38">
        <f t="shared" si="21"/>
        <v>0</v>
      </c>
      <c r="Z38" s="437">
        <f t="shared" si="22"/>
        <v>0</v>
      </c>
      <c r="AA38" s="1">
        <f t="shared" si="2"/>
        <v>0</v>
      </c>
      <c r="AB38" s="1">
        <f t="shared" si="3"/>
        <v>0</v>
      </c>
      <c r="AC38" s="1">
        <f t="shared" si="4"/>
        <v>0</v>
      </c>
      <c r="AD38" s="1">
        <f t="shared" si="5"/>
        <v>0</v>
      </c>
      <c r="AE38" s="1">
        <f t="shared" si="6"/>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9">
        <f t="shared" si="7"/>
        <v>0</v>
      </c>
      <c r="BC38" s="1">
        <f t="shared" si="24"/>
        <v>0</v>
      </c>
      <c r="BD38" s="1">
        <f t="shared" si="8"/>
        <v>0</v>
      </c>
      <c r="BE38" s="1">
        <f t="shared" si="9"/>
        <v>0</v>
      </c>
      <c r="BF38" s="1">
        <f t="shared" si="10"/>
        <v>0</v>
      </c>
      <c r="BG38" s="210" t="str">
        <f>IF(AND(C38="Skema 1",B38="ma"),Skemaoplysninger!$E$30,"")</f>
        <v/>
      </c>
      <c r="BH38" s="210" t="str">
        <f>IF(AND(C38="Skema 1",B38="ti"),Skemaoplysninger!$G$30,"")</f>
        <v/>
      </c>
      <c r="BI38" s="210" t="str">
        <f>IF(AND(C38="Skema 1",B38="on"),Skemaoplysninger!$I$30,"")</f>
        <v/>
      </c>
      <c r="BJ38" s="210" t="str">
        <f>IF(AND(C38="Skema 1",B38="to"),Skemaoplysninger!$K$30,"")</f>
        <v/>
      </c>
      <c r="BK38" s="210" t="str">
        <f>IF(AND(C38="Skema 1",B38="fr"),Skemaoplysninger!$M$30,"")</f>
        <v/>
      </c>
      <c r="BL38" s="210" t="str">
        <f>IF(AND(C38="Skema 2",B38="ma"),Skemaoplysninger!$S$30,"")</f>
        <v/>
      </c>
      <c r="BM38" s="210" t="str">
        <f>IF(AND(C38="Skema 2",B38="ti"),Skemaoplysninger!$U$30,"")</f>
        <v/>
      </c>
      <c r="BN38" s="210" t="str">
        <f>IF(AND(C38="Skema 2",B38="on"),Skemaoplysninger!$W$30,"")</f>
        <v/>
      </c>
      <c r="BO38" s="210" t="str">
        <f>IF(AND(C38="Skema 2",B38="to"),Skemaoplysninger!$Y$30,"")</f>
        <v/>
      </c>
      <c r="BP38" s="210" t="str">
        <f>IF(AND(C38="Skema 2",B38="fr"),Skemaoplysninger!$AA$30,"")</f>
        <v/>
      </c>
      <c r="BQ38" s="210" t="str">
        <f>IF(AND(C38="Skema 3",B38="ma"),Skemaoplysninger!$AG$30,"")</f>
        <v/>
      </c>
      <c r="BR38" s="210" t="str">
        <f>IF(AND(C38="Skema 3",B38="ti"),Skemaoplysninger!$AI$30,"")</f>
        <v/>
      </c>
      <c r="BS38" s="210" t="str">
        <f>IF(AND(C38="Skema 3",B38="on"),Skemaoplysninger!$AK$30,"")</f>
        <v/>
      </c>
      <c r="BT38" s="210" t="str">
        <f>IF(AND(C38="Skema 3",B38="to"),Skemaoplysninger!$AM$30,"")</f>
        <v/>
      </c>
      <c r="BU38" s="210" t="str">
        <f>IF(AND(C38="Skema 3",B38="fr"),Skemaoplysninger!$AO$30,"")</f>
        <v/>
      </c>
      <c r="BV38" s="210" t="str">
        <f>IF(AND(C38="Skema 4",B38="ma"),Skemaoplysninger!$AU$30,"")</f>
        <v/>
      </c>
      <c r="BW38" s="210" t="str">
        <f>IF(AND(C38="Skema 4",B38="ti"),Skemaoplysninger!$AW$30,"")</f>
        <v/>
      </c>
      <c r="BX38" s="210" t="str">
        <f>IF(AND(C38="Skema 4",B38="on"),Skemaoplysninger!$AY$30,"")</f>
        <v/>
      </c>
      <c r="BY38" s="210" t="str">
        <f>IF(AND(C38="Skema 4",B38="to"),Skemaoplysninger!$BA$30,"")</f>
        <v/>
      </c>
      <c r="BZ38" s="210" t="str">
        <f>IF(AND(C38="Skema 4",B38="fr"),Skemaoplysninger!$BC$30,"")</f>
        <v/>
      </c>
      <c r="CA38" s="1">
        <f t="shared" si="25"/>
        <v>0</v>
      </c>
      <c r="CB38" s="1">
        <f t="shared" si="11"/>
        <v>0</v>
      </c>
      <c r="CC38" s="1">
        <f t="shared" si="12"/>
        <v>0</v>
      </c>
      <c r="CD38" s="210" t="str">
        <f>IF(AND(C38="Skema 1",B38="ma"),Skemaoplysninger!$E$31,"")</f>
        <v/>
      </c>
      <c r="CE38" s="210" t="str">
        <f>IF(AND(C38="Skema 1",B38="ti"),Skemaoplysninger!$G$31,"")</f>
        <v/>
      </c>
      <c r="CF38" s="210" t="str">
        <f>IF(AND(C38="Skema 1",B38="on"),Skemaoplysninger!$I$31,"")</f>
        <v/>
      </c>
      <c r="CG38" s="210" t="str">
        <f>IF(AND(C38="Skema 1",B38="to"),Skemaoplysninger!$K$31,"")</f>
        <v/>
      </c>
      <c r="CH38" s="210" t="str">
        <f>IF(AND(C38="Skema 1",B38="fr"),Skemaoplysninger!$M$31,"")</f>
        <v/>
      </c>
      <c r="CI38" s="210" t="str">
        <f>IF(AND(C38="Skema 2",B38="ma"),Skemaoplysninger!$S$31,"")</f>
        <v/>
      </c>
      <c r="CJ38" s="210" t="str">
        <f>IF(AND(C38="Skema 2",B38="ti"),Skemaoplysninger!$U$31,"")</f>
        <v/>
      </c>
      <c r="CK38" s="210" t="str">
        <f>IF(AND(C38="Skema 2",B38="on"),Skemaoplysninger!$W$31,"")</f>
        <v/>
      </c>
      <c r="CL38" s="210" t="str">
        <f>IF(AND(C38="Skema 2",B38="to"),Skemaoplysninger!$Y$31,"")</f>
        <v/>
      </c>
      <c r="CM38" s="210" t="str">
        <f>IF(AND(C38="Skema 2",B38="fr"),Skemaoplysninger!$AA$31,"")</f>
        <v/>
      </c>
      <c r="CN38" s="210" t="str">
        <f>IF(AND(C38="Skema 3",B38="ma"),Skemaoplysninger!$AG$31,"")</f>
        <v/>
      </c>
      <c r="CO38" s="210" t="str">
        <f>IF(AND(C38="Skema 3",B38="ti"),Skemaoplysninger!$AI$31,"")</f>
        <v/>
      </c>
      <c r="CP38" s="210" t="str">
        <f>IF(AND(C38="Skema 3",B38="on"),Skemaoplysninger!$AK$31,"")</f>
        <v/>
      </c>
      <c r="CQ38" s="210" t="str">
        <f>IF(AND(C38="Skema 3",B38="to"),Skemaoplysninger!$AM$31,"")</f>
        <v/>
      </c>
      <c r="CR38" s="210" t="str">
        <f>IF(AND(C38="Skema 3",B38="fr"),Skemaoplysninger!$AO$31,"")</f>
        <v/>
      </c>
      <c r="CS38" s="210" t="str">
        <f>IF(AND(C38="Skema 4",B38="ma"),Skemaoplysninger!$AU$31,"")</f>
        <v/>
      </c>
      <c r="CT38" s="210" t="str">
        <f>IF(AND(C38="Skema 4",B38="ti"),Skemaoplysninger!$AW$31,"")</f>
        <v/>
      </c>
      <c r="CU38" s="210" t="str">
        <f>IF(AND(C38="Skema 4",B38="on"),Skemaoplysninger!$AY$31,"")</f>
        <v/>
      </c>
      <c r="CV38" s="210" t="str">
        <f>IF(AND(C38="Skema 4",B38="to"),Skemaoplysninger!$BA$31,"")</f>
        <v/>
      </c>
      <c r="CW38" s="210" t="str">
        <f>IF(AND(C38="Skema 4",B38="fr"),Skemaoplysninger!$BC$31,"")</f>
        <v/>
      </c>
      <c r="CX38" s="249">
        <f>IF(Stamoplysninger!$H$29="NEJ",SUM(CD38:CW38)*24+CB38+CC38,0)</f>
        <v>0</v>
      </c>
      <c r="CY38" s="249">
        <f>IF(C38="Skema 1",Stamoplysninger!$H$30/200,0)</f>
        <v>0</v>
      </c>
      <c r="CZ38" s="249">
        <f>IF(C38="Skema 2",Stamoplysninger!$H$30/200,0)</f>
        <v>0</v>
      </c>
      <c r="DA38" s="249">
        <f>IF(C38="Skema 3",Stamoplysninger!$H$30/200,0)</f>
        <v>0</v>
      </c>
      <c r="DB38" s="249">
        <f>IF(C38="Skema 4",Stamoplysninger!$H$30/200,0)</f>
        <v>0</v>
      </c>
      <c r="DC38" s="249">
        <f>IF(C38="fagdag",Stamoplysninger!$H$30/200,0)</f>
        <v>0</v>
      </c>
      <c r="DD38" s="249">
        <f>IF(C38="emnedag",Stamoplysninger!$H$30/200,0)</f>
        <v>0</v>
      </c>
      <c r="DE38" s="249">
        <f>IF(C38="lejrskole",Stamoplysninger!$H$30/200,0)</f>
        <v>0</v>
      </c>
      <c r="DF38" s="249">
        <f>IF(C38="ekskursion",Stamoplysninger!$H$30/200,0)</f>
        <v>0</v>
      </c>
      <c r="DG38" s="249">
        <f t="shared" si="26"/>
        <v>0</v>
      </c>
      <c r="DH38" t="str">
        <f t="shared" si="27"/>
        <v/>
      </c>
      <c r="DI38">
        <f t="shared" si="28"/>
        <v>0</v>
      </c>
      <c r="DJ38">
        <f t="shared" si="29"/>
        <v>0</v>
      </c>
      <c r="DK38" t="str">
        <f t="shared" si="13"/>
        <v/>
      </c>
      <c r="DL38" t="str">
        <f t="shared" si="13"/>
        <v/>
      </c>
      <c r="DM38" t="str">
        <f t="shared" si="13"/>
        <v/>
      </c>
      <c r="DN38" t="str">
        <f t="shared" si="30"/>
        <v/>
      </c>
      <c r="DO38" s="652">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71">
        <f>IF(AND(Stamoplysninger!$B$22="Ulempetillæg udbetales med 25% af nettotimelønnen.",C38="ikke relevant"),(R38)/4,0)</f>
        <v>0</v>
      </c>
      <c r="DT38" s="671">
        <f>IF(AND(AND(Stamoplysninger!$B$22="Ulempetillæg udbetales med 25% af nettotimelønnen.",I38="X",C38="Ikke relevant")),K38/4,0)</f>
        <v>0</v>
      </c>
      <c r="DU38" s="671">
        <f>IF(AND(AND(Stamoplysninger!$B$22="Ulempetillæg udbetales med 25% af nettotimelønnen.",C38="ikke relevant",U38="X")),(X38/4),0)</f>
        <v>0</v>
      </c>
      <c r="DV38" s="672">
        <f>IF(AND(AND(AND(Stamoplysninger!$B$22="Ulempetillæg udbetales med 25% af nettotimelønnen.",I38="X",C38="Ikke relevant",U38="X"))),X38/4,0)</f>
        <v>0</v>
      </c>
      <c r="DW38" s="652"/>
      <c r="DZ38" s="671"/>
      <c r="EA38" s="671"/>
      <c r="EB38" s="672"/>
      <c r="EC38" s="652">
        <f>IF(Stamoplysninger!$B$22="Ulempetillæg afspadseres med 25%(Kræver en aftale imellem ledelsen og den ansatte)",(R38+X38)/4,0)</f>
        <v>0</v>
      </c>
      <c r="ED38">
        <f>IF(AND(Stamoplysninger!$B$22="Ulempetillæg afspadseres med 25%(Kræver en aftale imellem ledelsen og den ansatte)",I38="X"),K38/4,0)</f>
        <v>0</v>
      </c>
      <c r="EE38">
        <f>IF(AND(Stamoplysninger!$B$22="Ulempetillæg afspadseres med 25%(Kræver en aftale imellem ledelsen og den ansatte)",I38="X"),V38/4,0)</f>
        <v>0</v>
      </c>
      <c r="EF38">
        <f>IF(AND(AND(Stamoplysninger!$B$22="Ulempetillæg udbetales med 25% af nettotimelønnen.",AG38="X",W38="X")),AJ38/4,0)</f>
        <v>0</v>
      </c>
      <c r="EG38" s="671">
        <f>IF(AND(Stamoplysninger!$B$22="Ulempetillæg afspadseres med 25%(Kræver en aftale imellem ledelsen og den ansatte)",C38="ikke relevant"),(R38+X38)/4,0)</f>
        <v>0</v>
      </c>
      <c r="EH38" s="671">
        <f>IF(AND(AND(Stamoplysninger!$B$22="Ulempetillæg afspadseres med 25%(Kræver en aftale imellem ledelsen og den ansatte)",I38="X",C38="Ikke relevant")),K38/4,0)</f>
        <v>0</v>
      </c>
      <c r="EI38" s="671">
        <f>IF(AND(AND(Stamoplysninger!$B$22="Ulempetillæg afspadseres med 25%(Kræver en aftale imellem ledelsen og den ansatte)",I38="X",C38="Ikke relevant")),V38/4,0)</f>
        <v>0</v>
      </c>
      <c r="EJ38" s="671">
        <f>IF(AND(AND(Stamoplysninger!$B$22="Ulempetillæg afspadseres med 25%(Kræver en aftale imellem ledelsen og den ansatte)",J38="X",D38="Ikke relevant")),W38/4,0)</f>
        <v>0</v>
      </c>
      <c r="EK38" s="283">
        <f>IF(AND(Stamoplysninger!$B$26="Weekendtimer og weekendtillæg afspadseres.",I38="X"),K38+V38,0)</f>
        <v>0</v>
      </c>
      <c r="EL38" s="251">
        <f>IF(AND(Stamoplysninger!$B$26="Weekendtimer og weekendtillæg afspadseres.",J38="X"),(L38+W38)/2,0)</f>
        <v>0</v>
      </c>
      <c r="EM38" s="674">
        <f>IF(AND(AND(Stamoplysninger!$B$26="Weekendtimer og weekendtillæg afspadseres.",I38="X",C38="ikke relevant")),K38+V38,0)</f>
        <v>0</v>
      </c>
      <c r="EN38" s="675">
        <f>IF(AND(AND(Stamoplysninger!$B$26="Weekendtimer og weekendtillæg afspadseres.",I38="X",C38="ikke relevant")),(K38+V38)/2,0)</f>
        <v>0</v>
      </c>
      <c r="EO38" s="283">
        <f>IF(AND(Stamoplysninger!$B$26="Weekendtimer og weekendtillæg udbetales.",I38="X"),K38+V38,0)</f>
        <v>0</v>
      </c>
      <c r="EP38" s="251">
        <f>IF(AND(Stamoplysninger!$B$26="Weekendtimer og weekendtillæg udbetales.",I38="X"),(K38+V38)/2,0)</f>
        <v>0</v>
      </c>
      <c r="EQ38" s="674">
        <f>IF(AND(AND(Stamoplysninger!$B$26="Weekendtimer og weekendtillæg udbetales.",I38="X",C38="ikke relevant")),K38+V38,0)</f>
        <v>0</v>
      </c>
      <c r="ER38" s="675">
        <f>IF(AND(AND(Stamoplysninger!$B$26="Weekendtimer og weekendtillæg udbetales.",I38="X",C38="ikke relevant")),(K38+V38)/2,0)</f>
        <v>0</v>
      </c>
      <c r="ES38" s="283">
        <f>IF(AND(Stamoplysninger!$B$26="Weekendtimer og weekendtillæg udbetales.",M38="X"),O38+Z38,0)</f>
        <v>0</v>
      </c>
      <c r="ET38" s="251">
        <f>IF(AND(Stamoplysninger!$B$26="Weekendtimer og weekendtillæg udbetales.",M38="X"),(O38+Z38)/2,0)</f>
        <v>0</v>
      </c>
      <c r="EU38" s="674">
        <f>IF(AND(AND(Stamoplysninger!$B$26="Weekendtimer og weekendtillæg udbetales.",M38="X",G38="ikke relevant")),O38+Z38,0)</f>
        <v>0</v>
      </c>
      <c r="EV38" s="675">
        <f>IF(AND(AND(Stamoplysninger!$B$26="Weekendtimer og weekendtillæg udbetales.",M38="X",G38="ikke relevant")),(O38+Z38)/2,0)</f>
        <v>0</v>
      </c>
      <c r="EW38" s="283">
        <f>IF(AND(Stamoplysninger!$B$26="Der er indgået lokalaftale omkring weekendtimer(Kræver aftale med TR/FSL). Weekendtillæg udbetales.",I38="X"),K38*0.5,0)</f>
        <v>0</v>
      </c>
      <c r="EX38" s="251">
        <f>IF(AND(AND(Stamoplysninger!$B$26="Der er indgået lokalaftale omkring weekendtimer(Kræver aftale med TR/FSL). Weekendtillæg udbetales.",I38="X",S38="X")),V38*0.5,0)</f>
        <v>0</v>
      </c>
      <c r="EY38" s="674">
        <f>IF(AND(AND(Stamoplysninger!$B$26="Der er indgået lokalaftale omkring weekendtimer(Kræver aftale med TR/FSL). Weekendtillæg udbetales.",I38="X",C38="ikke relevant")),K38*0.5,0)</f>
        <v>0</v>
      </c>
      <c r="EZ38" s="675">
        <f>IF(AND(AND(AND(Stamoplysninger!$B$26="Der er indgået lokalaftale omkring weekendtimer(Kræver aftale med TR/FSL). Weekendtillæg udbetales.",I38="X",C38="ikke relevant",S38="X"))),(V38*0.5),0)</f>
        <v>0</v>
      </c>
      <c r="FA38" s="283">
        <f>IF(AND(Stamoplysninger!$B$26="Der er indgået lokalaftale omkring weekendtimer(Kræver aftale med TR/FSL). Weekendtillæg udbetales.",M38="X"),O38*0.5,0)</f>
        <v>0</v>
      </c>
      <c r="FB38" s="251">
        <f>IF(AND(AND(Stamoplysninger!$B$26="Der er indgået lokalaftale omkring weekendtimer(Kræver aftale med TR/FSL). Weekendtillæg udbetales.",M38="X",W38="X")),Z38*0.5,0)</f>
        <v>0</v>
      </c>
      <c r="FC38" s="674">
        <f>IF(AND(AND(Stamoplysninger!$B$26="Der er indgået lokalaftale omkring weekendtimer(Kræver aftale med TR/FSL). Weekendtillæg udbetales.",M38="X",G38="ikke relevant")),O38*0.5,0)</f>
        <v>0</v>
      </c>
      <c r="FD38" s="675">
        <f>IF(AND(AND(AND(Stamoplysninger!$B$26="Der er indgået lokalaftale omkring weekendtimer(Kræver aftale med TR/FSL). Weekendtillæg udbetales.",M38="X",G38="ikke relevant",W38="X"))),(Z38*0.5),0)</f>
        <v>0</v>
      </c>
      <c r="FE38" s="283">
        <f>IF(AND(Stamoplysninger!$B$26="Der er indgået lokalaftale omkring weekendtimer(Kræver aftale med TR/FSL). Weekendtillæg udbetales.",Q38="X"),S38*0.5,0)</f>
        <v>0</v>
      </c>
      <c r="FF38" s="251">
        <f>IF(AND(AND(Stamoplysninger!$B$26="Der er indgået lokalaftale omkring weekendtimer(Kræver aftale med TR/FSL). Weekendtillæg udbetales.",Q38="X",AA38="X")),AD38*0.5,0)</f>
        <v>0</v>
      </c>
      <c r="FG38" s="674">
        <f>IF(AND(AND(Stamoplysninger!$B$26="Der er indgået lokalaftale omkring weekendtimer(Kræver aftale med TR/FSL). Weekendtillæg udbetales.",Q38="X",K38="ikke relevant")),S38*0.5,0)</f>
        <v>0</v>
      </c>
      <c r="FH38" s="675">
        <f>IF(AND(AND(AND(Stamoplysninger!$B$26="Der er indgået lokalaftale omkring weekendtimer(Kræver aftale med TR/FSL). Weekendtillæg udbetales.",Q38="X",K38="ikke relevant",AA38="X"))),(AD38*0.5),0)</f>
        <v>0</v>
      </c>
      <c r="FI38" s="283">
        <f>IF(AND(Stamoplysninger!$B$26="Weekendtimer og weekendtillæg afspadseres.",I38="X"),K38,0)</f>
        <v>0</v>
      </c>
      <c r="FJ38" s="251">
        <f>IF(AND(Stamoplysninger!$B$26="Weekendtimer og weekendtillæg afspadseres.",Y38="X"),(AA38+AL38)/2,0)</f>
        <v>0</v>
      </c>
      <c r="FK38" s="674">
        <f>IF(AND(AND(Stamoplysninger!$B$26="Weekendtimer og weekendtillæg afspadseres.",I38="X",C38="ikke relevant")),K38,0)</f>
        <v>0</v>
      </c>
      <c r="FL38" s="675">
        <f>IF(AND(AND(Stamoplysninger!$B$26="Weekendtimer og weekendtillæg afspadseres.",Y38="X",S38="ikke relevant")),(AA38+AL38)/2,0)</f>
        <v>0</v>
      </c>
      <c r="FM38" s="283">
        <f>IF(AND(Stamoplysninger!$B$26="Der er indgået lokalaftale omkring weekendtillæg(Kræver aftale med TR/FSL). Weekendtimerne afspadseres.",I38="X"),K38,0)</f>
        <v>0</v>
      </c>
      <c r="FN38" s="674">
        <f>IF(AND(AND(Stamoplysninger!$B$26="Der er indgået lokalaftale omkring weekendtillæg(Kræver aftale med TR/FSL). Weekendtimerne afspadseres.",I38="X",C38="ikke relevant")),K38,0)</f>
        <v>0</v>
      </c>
      <c r="FO38" s="283">
        <f>IF(AND(Stamoplysninger!$B$26="Weekendtimer og weekendtillæg udbetales.",I38="X"),K38,0)</f>
        <v>0</v>
      </c>
      <c r="FP38" s="251">
        <f>IF(AND(Stamoplysninger!$B$26="Weekendtimer og weekendtillæg udbetales.",AA38="X"),(AC38+AN38)/2,0)</f>
        <v>0</v>
      </c>
      <c r="FQ38" s="674">
        <f>IF(AND(AND(Stamoplysninger!$B$26="Weekendtimer og weekendtillæg udbetales.",I38="X",C38="ikke relevant")),K38,0)</f>
        <v>0</v>
      </c>
      <c r="FR38" s="688">
        <f>IF(AND(AND(Stamoplysninger!$B$26="Weekendtimer og weekendtillæg udbetales.",AA38="X",U38="ikke relevant")),(AC38+AN38)/2,0)</f>
        <v>0</v>
      </c>
      <c r="FS38" s="283">
        <f>IF(AND(I38="X",S38="X"),V38,0)</f>
        <v>0</v>
      </c>
      <c r="FT38" s="658">
        <f>IF(AND(AND(C38="ikke relevant",I38="X",S38="X")),V38,0)</f>
        <v>0</v>
      </c>
      <c r="FU38">
        <f t="shared" si="31"/>
        <v>0</v>
      </c>
      <c r="FV38" s="283">
        <f>IF(AND(Stamoplysninger!$B$26="Der er indgået lokalaftale omkring weekendtimer.(Kræver aftale med TR/FSL) Weekendtillæg afspadseres.",I38="X"),K38,0)</f>
        <v>0</v>
      </c>
      <c r="FW38" s="674">
        <f>IF(AND(AND(Stamoplysninger!$B$26="Der er indgået lokalaftale omkring weekendtimer.(Kræver aftale med TR/FSL) Weekendtillæg afspadseres.",I38="X",C38="ikke relevant")),K38,0)</f>
        <v>0</v>
      </c>
      <c r="FX38" s="283">
        <f>IF(AND(Stamoplysninger!$B$26="Der er indgået lokalaftale omkring weekendtimer(Kræver aftale med TR/FSL). Weekendtillæg udbetales.",I38="X"),K38,0)</f>
        <v>0</v>
      </c>
      <c r="FY38" s="674">
        <f>IF(AND(AND(Stamoplysninger!$B$26="Der er indgået lokalaftale omkring weekendtimer(Kræver aftale med TR/FSL). Weekendtillæg udbetales.",I38="X",C38="ikke relevant")),K38,0)</f>
        <v>0</v>
      </c>
      <c r="FZ38" s="283">
        <f>IF(AND(Stamoplysninger!$B$26="Der er indgået lokalaftale omkring weekendtillæg(Kræver aftale med TR/FSL). Weekendtimerne udbetales.",I38="X"),K38,0)</f>
        <v>0</v>
      </c>
      <c r="GA38" s="674">
        <f>IF(AND(AND(Stamoplysninger!$B$26="Der er indgået lokalaftale omkring weekendtillæg(Kræver aftale med TR/FSL). Weekendtimerne udbetales.",I38="X",C38="ikke relevant")),K38,0)</f>
        <v>0</v>
      </c>
      <c r="GB38" s="283">
        <f>IF(AND(Stamoplysninger!$B$26="Der er indgået lokalaftale omkring weekendtimer og weekendtillæg.(Kræver aftale med TR/FSL).",I38="X"),K38,0)</f>
        <v>0</v>
      </c>
      <c r="GC38" s="674">
        <f>IF(AND(AND(Stamoplysninger!$B$26="Der er indgået lokalaftale omkring weekendtimer og weekendtillæg.(Kræver aftale med TR/FSL).",I38="X",C38="ikke relevant")),K38,0)</f>
        <v>0</v>
      </c>
    </row>
    <row r="39" spans="1:185" ht="17" thickBot="1">
      <c r="A39" s="972" t="s">
        <v>260</v>
      </c>
      <c r="B39" s="973"/>
      <c r="C39" s="973"/>
      <c r="D39" s="973"/>
      <c r="E39" s="973"/>
      <c r="F39" s="973"/>
      <c r="G39" s="973"/>
      <c r="H39" s="973"/>
      <c r="I39" s="974"/>
      <c r="J39" s="313"/>
      <c r="K39" s="381"/>
      <c r="L39" s="381"/>
      <c r="M39" s="381"/>
      <c r="N39" s="322">
        <f>SUM(N9:N38)</f>
        <v>159.5</v>
      </c>
      <c r="O39" s="322">
        <f>SUM(O9:O38)</f>
        <v>80.166666666666671</v>
      </c>
      <c r="P39" s="322">
        <f>SUM(P9:P38)</f>
        <v>25.333333333333336</v>
      </c>
      <c r="Q39" s="322">
        <f>SUM(Q9:Q38)</f>
        <v>54</v>
      </c>
      <c r="R39" s="32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32"/>
      <c r="T39" s="433"/>
      <c r="U39" s="433"/>
      <c r="V39" s="43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3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3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1">
        <f>SUM(Y9:Y38)</f>
        <v>0</v>
      </c>
      <c r="Z39" s="398">
        <f>Z9+Z10+Z11+Z12+Z13+Z14+Z15+Z16+Z17+Z18+Z19+Z20+Z21+Z22+Z23+Z24+Z25+Z26+Z27+Z28+Z29+Z30+Z31+Z32+Z33+Z34+Z35+Z36+Z37+Z38</f>
        <v>0</v>
      </c>
      <c r="AA39" s="235">
        <f t="shared" ref="AA39:AF39" si="32">SUM(AA9:AA38)</f>
        <v>0</v>
      </c>
      <c r="AB39" s="235">
        <f t="shared" si="32"/>
        <v>6.5</v>
      </c>
      <c r="AC39" s="235">
        <f t="shared" si="32"/>
        <v>0</v>
      </c>
      <c r="AD39" s="235">
        <f t="shared" si="32"/>
        <v>0</v>
      </c>
      <c r="AE39" s="235">
        <f t="shared" si="32"/>
        <v>0</v>
      </c>
      <c r="AF39" s="235">
        <f t="shared" si="32"/>
        <v>0</v>
      </c>
      <c r="BA39" s="1">
        <f>SUM(BA9:BA38)</f>
        <v>159.5</v>
      </c>
      <c r="BB39" s="112"/>
      <c r="BC39" s="235">
        <f>SUM(BC9:BC38)</f>
        <v>0</v>
      </c>
      <c r="BD39" s="235">
        <f>SUM(BD9:BD38)</f>
        <v>0</v>
      </c>
      <c r="BE39" s="235">
        <f>SUM(BE9:BE38)</f>
        <v>4.5</v>
      </c>
      <c r="BF39" s="235">
        <f>SUM(BF9:BF38)</f>
        <v>0</v>
      </c>
      <c r="CA39" s="235">
        <f>SUM(CA9:CA38)</f>
        <v>80.166666666666671</v>
      </c>
      <c r="CB39" s="235">
        <f>SUM(CB9:CB38)</f>
        <v>1</v>
      </c>
      <c r="CC39" s="235">
        <f>SUM(CC9:CC38)</f>
        <v>0</v>
      </c>
      <c r="CX39" s="249"/>
      <c r="CY39" s="249">
        <f t="shared" ref="CY39:DG39" si="33">SUM(CY9:CY38)</f>
        <v>0</v>
      </c>
      <c r="CZ39" s="249">
        <f t="shared" si="33"/>
        <v>0</v>
      </c>
      <c r="DA39" s="249">
        <f t="shared" si="33"/>
        <v>0</v>
      </c>
      <c r="DB39" s="249">
        <f t="shared" si="33"/>
        <v>0</v>
      </c>
      <c r="DC39" s="249">
        <f t="shared" si="33"/>
        <v>0</v>
      </c>
      <c r="DD39" s="249">
        <f t="shared" si="33"/>
        <v>0</v>
      </c>
      <c r="DE39" s="249">
        <f t="shared" si="33"/>
        <v>0</v>
      </c>
      <c r="DF39" s="249">
        <f t="shared" si="33"/>
        <v>0</v>
      </c>
      <c r="DG39" s="249">
        <f t="shared" si="33"/>
        <v>0</v>
      </c>
      <c r="DH39" t="str">
        <f t="shared" si="27"/>
        <v/>
      </c>
      <c r="DK39" t="str">
        <f t="shared" si="13"/>
        <v/>
      </c>
      <c r="DL39" t="str">
        <f t="shared" si="13"/>
        <v/>
      </c>
      <c r="DM39" t="str">
        <f t="shared" si="13"/>
        <v/>
      </c>
      <c r="DN39" t="str">
        <f t="shared" si="30"/>
        <v/>
      </c>
      <c r="DO39" s="652"/>
      <c r="DS39" s="671"/>
      <c r="DT39" s="671"/>
      <c r="DU39" s="671"/>
      <c r="DV39" s="672"/>
      <c r="DW39" s="652"/>
      <c r="DZ39" s="671"/>
      <c r="EA39" s="671"/>
      <c r="EB39" s="672"/>
      <c r="EC39" s="652"/>
      <c r="EG39" s="671"/>
      <c r="EH39" s="671"/>
      <c r="EI39" s="671"/>
      <c r="EJ39" s="671"/>
      <c r="EK39" s="283"/>
      <c r="EL39" s="251"/>
      <c r="EM39" s="674"/>
      <c r="EN39" s="675"/>
      <c r="EO39" s="283"/>
      <c r="EP39" s="251"/>
      <c r="EQ39" s="674"/>
      <c r="ER39" s="675"/>
      <c r="ES39" s="283"/>
      <c r="ET39" s="251"/>
      <c r="EU39" s="674"/>
      <c r="EV39" s="675"/>
      <c r="EW39" s="283"/>
      <c r="EX39" s="251"/>
      <c r="EY39" s="674"/>
      <c r="EZ39" s="675"/>
      <c r="FA39" s="283"/>
      <c r="FB39" s="251"/>
      <c r="FC39" s="674"/>
      <c r="FD39" s="675"/>
      <c r="FE39" s="283"/>
      <c r="FF39" s="251"/>
      <c r="FG39" s="674"/>
      <c r="FH39" s="675"/>
      <c r="FI39" s="283"/>
      <c r="FJ39" s="251"/>
      <c r="FK39" s="674"/>
      <c r="FL39" s="675"/>
      <c r="FM39" s="283"/>
      <c r="FN39" s="674"/>
      <c r="FO39" s="283"/>
      <c r="FP39" s="251"/>
      <c r="FQ39" s="674"/>
      <c r="FR39" s="688"/>
      <c r="FS39" s="283"/>
      <c r="FT39" s="658"/>
      <c r="FV39" s="283"/>
      <c r="FW39" s="674"/>
      <c r="FX39" s="283"/>
      <c r="FY39" s="674"/>
      <c r="FZ39" s="283"/>
      <c r="GA39" s="674"/>
      <c r="GB39" s="283"/>
      <c r="GC39" s="674"/>
    </row>
    <row r="40" spans="1:185" ht="17" thickBot="1">
      <c r="A40" s="232"/>
      <c r="B40" s="232"/>
      <c r="C40" s="232"/>
      <c r="D40" s="232"/>
      <c r="E40" s="232"/>
      <c r="F40" s="232"/>
      <c r="G40" s="232"/>
      <c r="H40" s="232"/>
      <c r="I40" s="232"/>
      <c r="J40" s="232"/>
      <c r="K40" s="239"/>
      <c r="L40" s="239"/>
      <c r="M40" s="239"/>
      <c r="N40" s="239"/>
      <c r="O40" s="239"/>
      <c r="P40" s="239"/>
      <c r="Q40" s="239"/>
      <c r="R40" s="239"/>
      <c r="S40" s="239"/>
      <c r="T40" s="239"/>
      <c r="U40" s="239"/>
      <c r="V40" s="239"/>
      <c r="W40" s="239"/>
      <c r="X40" s="239"/>
      <c r="Y40" s="247"/>
      <c r="Z40" s="211"/>
      <c r="AA40" s="235"/>
      <c r="AB40" s="211"/>
      <c r="AC40" s="211"/>
      <c r="AD40" s="235"/>
      <c r="AE40" s="235"/>
      <c r="AF40" s="235"/>
      <c r="AG40" s="235"/>
      <c r="BC40" s="235"/>
      <c r="BD40" s="235"/>
      <c r="BE40" s="235"/>
      <c r="BF40" s="235"/>
      <c r="BG40" s="112"/>
      <c r="CB40" s="235"/>
      <c r="CC40" s="235"/>
      <c r="CD40" s="112"/>
      <c r="CX40" s="248"/>
      <c r="CZ40"/>
      <c r="DO40" s="669">
        <f>SUM(DO9:DO39)</f>
        <v>0</v>
      </c>
      <c r="DP40" s="670">
        <f t="shared" ref="DP40:GC40" si="34">SUM(DP9:DP39)</f>
        <v>0</v>
      </c>
      <c r="DQ40" s="670">
        <f t="shared" si="34"/>
        <v>0</v>
      </c>
      <c r="DR40" s="670">
        <f t="shared" si="34"/>
        <v>0</v>
      </c>
      <c r="DS40" s="673">
        <f t="shared" si="34"/>
        <v>0</v>
      </c>
      <c r="DT40" s="673">
        <f t="shared" si="34"/>
        <v>0</v>
      </c>
      <c r="DU40" s="670">
        <f t="shared" si="34"/>
        <v>0</v>
      </c>
      <c r="DV40" s="673">
        <f t="shared" si="34"/>
        <v>0</v>
      </c>
      <c r="DW40" s="669">
        <f t="shared" ref="DW40:EB40" si="35">SUM(DW9:DW39)</f>
        <v>0</v>
      </c>
      <c r="DX40" s="670">
        <f t="shared" si="35"/>
        <v>0</v>
      </c>
      <c r="DY40" s="670">
        <f t="shared" si="35"/>
        <v>0</v>
      </c>
      <c r="DZ40" s="673">
        <f t="shared" si="35"/>
        <v>0</v>
      </c>
      <c r="EA40" s="673">
        <f t="shared" si="35"/>
        <v>0</v>
      </c>
      <c r="EB40" s="673">
        <f t="shared" si="35"/>
        <v>0</v>
      </c>
      <c r="EC40" s="670">
        <f t="shared" si="34"/>
        <v>0</v>
      </c>
      <c r="ED40" s="670">
        <f t="shared" si="34"/>
        <v>0</v>
      </c>
      <c r="EE40" s="670">
        <f t="shared" si="34"/>
        <v>0</v>
      </c>
      <c r="EF40" s="670">
        <f t="shared" si="34"/>
        <v>0</v>
      </c>
      <c r="EG40" s="673">
        <f t="shared" si="34"/>
        <v>0</v>
      </c>
      <c r="EH40" s="673">
        <f t="shared" si="34"/>
        <v>0</v>
      </c>
      <c r="EI40" s="673">
        <f t="shared" si="34"/>
        <v>0</v>
      </c>
      <c r="EJ40" s="673">
        <f t="shared" si="34"/>
        <v>0</v>
      </c>
      <c r="EK40" s="670">
        <f t="shared" si="34"/>
        <v>0</v>
      </c>
      <c r="EL40" s="670">
        <f t="shared" si="34"/>
        <v>0</v>
      </c>
      <c r="EM40" s="673">
        <f t="shared" si="34"/>
        <v>0</v>
      </c>
      <c r="EN40" s="673">
        <f t="shared" si="34"/>
        <v>0</v>
      </c>
      <c r="EO40" s="670">
        <f t="shared" si="34"/>
        <v>0</v>
      </c>
      <c r="EP40" s="670">
        <f t="shared" si="34"/>
        <v>0</v>
      </c>
      <c r="EQ40" s="673">
        <f t="shared" si="34"/>
        <v>0</v>
      </c>
      <c r="ER40" s="676">
        <f t="shared" si="34"/>
        <v>0</v>
      </c>
      <c r="ES40" s="670">
        <f t="shared" si="34"/>
        <v>0</v>
      </c>
      <c r="ET40" s="670">
        <f t="shared" si="34"/>
        <v>0</v>
      </c>
      <c r="EU40" s="673">
        <f t="shared" si="34"/>
        <v>0</v>
      </c>
      <c r="EV40" s="676">
        <f t="shared" si="34"/>
        <v>0</v>
      </c>
      <c r="EW40" s="670">
        <f t="shared" si="34"/>
        <v>0</v>
      </c>
      <c r="EX40" s="670">
        <f t="shared" si="34"/>
        <v>0</v>
      </c>
      <c r="EY40" s="673">
        <f t="shared" si="34"/>
        <v>0</v>
      </c>
      <c r="EZ40" s="676">
        <f t="shared" si="34"/>
        <v>0</v>
      </c>
      <c r="FA40" s="670">
        <f t="shared" si="34"/>
        <v>0</v>
      </c>
      <c r="FB40" s="670">
        <f t="shared" si="34"/>
        <v>0</v>
      </c>
      <c r="FC40" s="673">
        <f t="shared" si="34"/>
        <v>0</v>
      </c>
      <c r="FD40" s="676">
        <f t="shared" si="34"/>
        <v>0</v>
      </c>
      <c r="FE40" s="670">
        <f t="shared" si="34"/>
        <v>0</v>
      </c>
      <c r="FF40" s="670">
        <f t="shared" si="34"/>
        <v>0</v>
      </c>
      <c r="FG40" s="673">
        <f t="shared" si="34"/>
        <v>0</v>
      </c>
      <c r="FH40" s="676">
        <f t="shared" si="34"/>
        <v>0</v>
      </c>
      <c r="FI40" s="685">
        <f t="shared" si="34"/>
        <v>0</v>
      </c>
      <c r="FJ40" s="670">
        <f t="shared" si="34"/>
        <v>0</v>
      </c>
      <c r="FK40" s="685">
        <f t="shared" si="34"/>
        <v>0</v>
      </c>
      <c r="FL40" s="673">
        <f t="shared" si="34"/>
        <v>0</v>
      </c>
      <c r="FM40" s="685">
        <f t="shared" si="34"/>
        <v>0</v>
      </c>
      <c r="FN40" s="685">
        <f t="shared" si="34"/>
        <v>0</v>
      </c>
      <c r="FO40" s="685">
        <f t="shared" si="34"/>
        <v>0</v>
      </c>
      <c r="FP40" s="670">
        <f t="shared" si="34"/>
        <v>0</v>
      </c>
      <c r="FQ40" s="685">
        <f t="shared" si="34"/>
        <v>0</v>
      </c>
      <c r="FR40" s="676">
        <f t="shared" si="34"/>
        <v>0</v>
      </c>
      <c r="FS40" s="689">
        <f t="shared" si="34"/>
        <v>0</v>
      </c>
      <c r="FT40" s="690">
        <f t="shared" si="34"/>
        <v>0</v>
      </c>
      <c r="FU40" s="690">
        <f t="shared" si="34"/>
        <v>0</v>
      </c>
      <c r="FV40" s="689">
        <f>SUM(FV9:FV39)</f>
        <v>0</v>
      </c>
      <c r="FW40" s="690">
        <f t="shared" si="34"/>
        <v>0</v>
      </c>
      <c r="FX40" s="689">
        <f t="shared" si="34"/>
        <v>0</v>
      </c>
      <c r="FY40" s="690">
        <f t="shared" si="34"/>
        <v>0</v>
      </c>
      <c r="FZ40" s="685">
        <f t="shared" si="34"/>
        <v>0</v>
      </c>
      <c r="GA40" s="685">
        <f t="shared" si="34"/>
        <v>0</v>
      </c>
      <c r="GB40" s="685">
        <f t="shared" si="34"/>
        <v>0</v>
      </c>
      <c r="GC40" s="685">
        <f t="shared" si="34"/>
        <v>0</v>
      </c>
    </row>
    <row r="41" spans="1:185" ht="70" customHeight="1">
      <c r="A41" s="958" t="str">
        <f>"Arbejdstid for "&amp;A7&amp;" måned:"</f>
        <v>Arbejdstid for November måned:</v>
      </c>
      <c r="B41" s="959"/>
      <c r="C41" s="959"/>
      <c r="D41" s="959"/>
      <c r="E41" s="959"/>
      <c r="F41" s="959"/>
      <c r="G41" s="959"/>
      <c r="H41" s="330" t="s">
        <v>255</v>
      </c>
      <c r="I41" s="959" t="s">
        <v>221</v>
      </c>
      <c r="J41" s="960"/>
      <c r="K41" s="961"/>
      <c r="L41" s="262"/>
      <c r="M41" s="1011" t="str">
        <f>"Ulempetimer og weekendtimer i "&amp;A5&amp;""</f>
        <v>Ulempetimer og weekendtimer i November måneds kalender for: Beate Simonsen. Måneden vedr. normperioden: 01.08.2024 - 31.07.2025.</v>
      </c>
      <c r="N41" s="989"/>
      <c r="O41" s="989"/>
      <c r="P41" s="989"/>
      <c r="Q41" s="989"/>
      <c r="R41" s="989"/>
      <c r="S41" s="989"/>
      <c r="T41" s="989"/>
      <c r="U41" s="989"/>
      <c r="V41" s="989"/>
      <c r="W41" s="989"/>
      <c r="X41" s="990"/>
      <c r="Y41" s="239"/>
      <c r="Z41" s="239"/>
      <c r="AD41" s="90"/>
      <c r="AE41" s="90"/>
      <c r="BM41" s="1"/>
      <c r="CJ41" s="1"/>
      <c r="CU41" s="248"/>
      <c r="CV41" s="248"/>
      <c r="CY41"/>
      <c r="CZ41"/>
    </row>
    <row r="42" spans="1:185">
      <c r="A42" s="962" t="s">
        <v>534</v>
      </c>
      <c r="B42" s="963"/>
      <c r="C42" s="963"/>
      <c r="D42" s="963"/>
      <c r="E42" s="963"/>
      <c r="F42" s="963"/>
      <c r="G42" s="963"/>
      <c r="H42" s="256">
        <f>D77</f>
        <v>21</v>
      </c>
      <c r="I42" s="975">
        <f>IF(Stamoplysninger!$E$12="Ja",1924/Arbejdstidsoversigt!$K$9*Stamoplysninger!$E$15*$H$42,H42*7.4*Stamoplysninger!$E$15)</f>
        <v>154.80459770114942</v>
      </c>
      <c r="J42" s="976"/>
      <c r="K42" s="977"/>
      <c r="L42" s="258"/>
      <c r="M42" s="1012" t="s">
        <v>497</v>
      </c>
      <c r="N42" s="1013"/>
      <c r="O42" s="1013"/>
      <c r="P42" s="1013"/>
      <c r="Q42" s="1013"/>
      <c r="R42" s="1013"/>
      <c r="S42" s="1013"/>
      <c r="T42" s="1013"/>
      <c r="U42" s="1014"/>
      <c r="V42" s="1093">
        <f>P64+P68+P71+P73</f>
        <v>0</v>
      </c>
      <c r="W42" s="1093"/>
      <c r="X42" s="1094"/>
      <c r="Y42" s="239"/>
      <c r="Z42" s="239"/>
      <c r="AD42" s="90"/>
      <c r="AE42" s="90"/>
      <c r="BM42" s="1"/>
      <c r="CJ42" s="1"/>
      <c r="CU42" s="248"/>
      <c r="CV42" s="248"/>
      <c r="CY42"/>
      <c r="CZ42"/>
    </row>
    <row r="43" spans="1:185">
      <c r="A43" s="962" t="str">
        <f>"Ferie "&amp;A7&amp;" måned"</f>
        <v>Ferie November måned</v>
      </c>
      <c r="B43" s="963"/>
      <c r="C43" s="963"/>
      <c r="D43" s="963"/>
      <c r="E43" s="963"/>
      <c r="F43" s="963"/>
      <c r="G43" s="963"/>
      <c r="H43" s="257" t="str">
        <f>IF(D72&gt;0,$D$72,"0")</f>
        <v>0</v>
      </c>
      <c r="I43" s="965">
        <f>H43*7.4*Stamoplysninger!$E$15</f>
        <v>0</v>
      </c>
      <c r="J43" s="1126"/>
      <c r="K43" s="1127"/>
      <c r="L43" s="258"/>
      <c r="M43" s="1099" t="s">
        <v>259</v>
      </c>
      <c r="N43" s="1100"/>
      <c r="O43" s="1100"/>
      <c r="P43" s="1100"/>
      <c r="Q43" s="1100"/>
      <c r="R43" s="1100"/>
      <c r="S43" s="1100"/>
      <c r="T43" s="1100"/>
      <c r="U43" s="1100"/>
      <c r="V43" s="1095">
        <f>Q65+Q67+Q70+Q72</f>
        <v>0</v>
      </c>
      <c r="W43" s="1095"/>
      <c r="X43" s="1096"/>
      <c r="Y43" s="239"/>
      <c r="Z43" s="239"/>
      <c r="AD43" s="90"/>
      <c r="AE43" s="90"/>
      <c r="BM43" s="1"/>
      <c r="CJ43" s="1"/>
      <c r="CU43" s="248"/>
      <c r="CV43" s="248"/>
      <c r="CY43"/>
      <c r="CZ43"/>
    </row>
    <row r="44" spans="1:185">
      <c r="A44" s="962" t="str">
        <f>"Søgnehelligdage i "&amp;A7&amp;" måned"</f>
        <v>Søgnehelligdage i November måned</v>
      </c>
      <c r="B44" s="963"/>
      <c r="C44" s="963"/>
      <c r="D44" s="963"/>
      <c r="E44" s="963"/>
      <c r="F44" s="963"/>
      <c r="G44" s="963"/>
      <c r="H44" s="257">
        <f>IF(D71&gt;0,D71,0)</f>
        <v>0</v>
      </c>
      <c r="I44" s="964">
        <f>H44*7.4*Stamoplysninger!$E$15</f>
        <v>0</v>
      </c>
      <c r="J44" s="965"/>
      <c r="K44" s="966"/>
      <c r="L44" s="392"/>
      <c r="M44" s="1024" t="s">
        <v>295</v>
      </c>
      <c r="N44" s="1025"/>
      <c r="O44" s="1025"/>
      <c r="P44" s="1025"/>
      <c r="Q44" s="1025"/>
      <c r="R44" s="1025"/>
      <c r="S44" s="1025"/>
      <c r="T44" s="1025"/>
      <c r="U44" s="1025"/>
      <c r="V44" s="1097">
        <f>Oktober!V53</f>
        <v>0</v>
      </c>
      <c r="W44" s="1097"/>
      <c r="X44" s="1098"/>
      <c r="Y44" s="239"/>
      <c r="Z44" s="239"/>
      <c r="AD44" s="90"/>
      <c r="AE44" s="90"/>
      <c r="BM44" s="1"/>
      <c r="CJ44" s="1"/>
      <c r="CU44" s="248"/>
      <c r="CV44" s="248"/>
      <c r="CY44"/>
      <c r="CZ44"/>
    </row>
    <row r="45" spans="1:185">
      <c r="A45" s="962" t="str">
        <f>"Nettoarbejdstid ialt i "&amp;A7&amp;" måned"</f>
        <v>Nettoarbejdstid ialt i November måned</v>
      </c>
      <c r="B45" s="963"/>
      <c r="C45" s="963"/>
      <c r="D45" s="963"/>
      <c r="E45" s="963"/>
      <c r="F45" s="963"/>
      <c r="G45" s="963"/>
      <c r="H45" s="260">
        <f>H42-H43-H44</f>
        <v>21</v>
      </c>
      <c r="I45" s="964">
        <f>I42-I43-I44</f>
        <v>154.80459770114942</v>
      </c>
      <c r="J45" s="965"/>
      <c r="K45" s="966"/>
      <c r="L45" s="392"/>
      <c r="M45" s="1106" t="s">
        <v>302</v>
      </c>
      <c r="N45" s="1107"/>
      <c r="O45" s="1107"/>
      <c r="P45" s="1107"/>
      <c r="Q45" s="1107"/>
      <c r="R45" s="1107"/>
      <c r="S45" s="1107"/>
      <c r="T45" s="1107"/>
      <c r="U45" s="1107"/>
      <c r="V45" s="1101">
        <f>V43+V44</f>
        <v>0</v>
      </c>
      <c r="W45" s="1101"/>
      <c r="X45" s="1102"/>
      <c r="Y45" s="239"/>
      <c r="Z45" s="239"/>
      <c r="AD45" s="90"/>
      <c r="AE45" s="90"/>
      <c r="BM45" s="1"/>
      <c r="CJ45" s="1"/>
      <c r="CU45" s="248"/>
      <c r="CV45" s="248"/>
      <c r="CY45"/>
      <c r="CZ45"/>
    </row>
    <row r="46" spans="1:185">
      <c r="A46" s="978" t="str">
        <f>"Planlagt arbejdstid efter ovennstående "&amp;A7&amp;" måned kalender"</f>
        <v>Planlagt arbejdstid efter ovennstående November måned kalender</v>
      </c>
      <c r="B46" s="979"/>
      <c r="C46" s="979"/>
      <c r="D46" s="979"/>
      <c r="E46" s="979"/>
      <c r="F46" s="979"/>
      <c r="G46" s="979"/>
      <c r="H46" s="475">
        <f>D63+D64+D65+D66+D67+D68+D69</f>
        <v>21</v>
      </c>
      <c r="I46" s="980">
        <f>N39+R39+V105</f>
        <v>159.5</v>
      </c>
      <c r="J46" s="981"/>
      <c r="K46" s="982"/>
      <c r="L46" s="392"/>
      <c r="M46" s="1103" t="s">
        <v>293</v>
      </c>
      <c r="N46" s="1104"/>
      <c r="O46" s="1104"/>
      <c r="P46" s="1104"/>
      <c r="Q46" s="1104"/>
      <c r="R46" s="1104"/>
      <c r="S46" s="1104"/>
      <c r="T46" s="1104"/>
      <c r="U46" s="1104"/>
      <c r="V46" s="1104"/>
      <c r="W46" s="1104"/>
      <c r="X46" s="1105"/>
      <c r="Y46" s="239"/>
      <c r="Z46" s="239"/>
      <c r="AD46" s="90"/>
      <c r="AE46" s="90"/>
      <c r="BM46" s="1"/>
      <c r="CJ46" s="1"/>
      <c r="CU46" s="248"/>
      <c r="CV46" s="248"/>
      <c r="CY46"/>
      <c r="CZ46"/>
    </row>
    <row r="47" spans="1:185">
      <c r="A47" s="986" t="s">
        <v>452</v>
      </c>
      <c r="B47" s="987"/>
      <c r="C47" s="987"/>
      <c r="D47" s="987"/>
      <c r="E47" s="987"/>
      <c r="F47" s="987"/>
      <c r="G47" s="987"/>
      <c r="H47" s="988"/>
      <c r="I47" s="983">
        <f>(FI40+FM40+FO40+FV40+FX40+FZ40+GB40)*-1+FK40+FN40+FQ40+FW40+FY40+GA40+GC40+FU40</f>
        <v>0</v>
      </c>
      <c r="J47" s="984"/>
      <c r="K47" s="985"/>
      <c r="L47" s="393"/>
      <c r="M47" s="1108" t="s">
        <v>463</v>
      </c>
      <c r="N47" s="1109"/>
      <c r="O47" s="1109"/>
      <c r="P47" s="1109"/>
      <c r="Q47" s="1109"/>
      <c r="R47" s="1109"/>
      <c r="S47" s="1109"/>
      <c r="T47" s="1109"/>
      <c r="U47" s="1109"/>
      <c r="V47" s="1084" t="s">
        <v>221</v>
      </c>
      <c r="W47" s="1084"/>
      <c r="X47" s="1085"/>
      <c r="Y47" s="239"/>
      <c r="Z47" s="239"/>
      <c r="AD47" s="90"/>
      <c r="AE47" s="90"/>
      <c r="BM47" s="1"/>
      <c r="CJ47" s="1"/>
      <c r="CU47" s="248"/>
      <c r="CV47" s="248"/>
      <c r="CY47"/>
      <c r="CZ47"/>
    </row>
    <row r="48" spans="1:185">
      <c r="A48" s="1005" t="str">
        <f>"Arbejde særligt planlagt for "&amp;A7&amp;" måned efter fanen skemaoplysninger"</f>
        <v>Arbejde særligt planlagt for November måned efter fanen skemaoplysninger</v>
      </c>
      <c r="B48" s="1006"/>
      <c r="C48" s="1006"/>
      <c r="D48" s="1006"/>
      <c r="E48" s="1006"/>
      <c r="F48" s="1006"/>
      <c r="G48" s="1006"/>
      <c r="H48" s="1007"/>
      <c r="I48" s="981">
        <f>Skemaoplysninger!N91</f>
        <v>2</v>
      </c>
      <c r="J48" s="1003"/>
      <c r="K48" s="1004"/>
      <c r="L48" s="394"/>
      <c r="M48" s="1110"/>
      <c r="N48" s="1111"/>
      <c r="O48" s="1111"/>
      <c r="P48" s="1111"/>
      <c r="Q48" s="1111"/>
      <c r="R48" s="1111"/>
      <c r="S48" s="1111"/>
      <c r="T48" s="1111"/>
      <c r="U48" s="1112"/>
      <c r="V48" s="1047"/>
      <c r="W48" s="1047"/>
      <c r="X48" s="1048"/>
      <c r="Y48"/>
      <c r="Z48" s="239"/>
      <c r="AA48" s="239"/>
      <c r="AG48" s="90"/>
      <c r="AH48" s="90"/>
      <c r="BA48" s="239"/>
      <c r="BO48" s="1"/>
      <c r="CL48" s="1"/>
      <c r="CV48" s="248"/>
      <c r="CW48" s="248"/>
      <c r="CY48"/>
      <c r="CZ48"/>
    </row>
    <row r="49" spans="1:110">
      <c r="A49" s="967" t="s">
        <v>291</v>
      </c>
      <c r="B49" s="968"/>
      <c r="C49" s="968"/>
      <c r="D49" s="968"/>
      <c r="E49" s="968"/>
      <c r="F49" s="968"/>
      <c r="G49" s="968"/>
      <c r="H49" s="968"/>
      <c r="I49" s="969">
        <f>V39+X39-FA40+R105</f>
        <v>0</v>
      </c>
      <c r="J49" s="970"/>
      <c r="K49" s="971"/>
      <c r="L49" s="394"/>
      <c r="M49" s="1067"/>
      <c r="N49" s="1068"/>
      <c r="O49" s="1068"/>
      <c r="P49" s="1068"/>
      <c r="Q49" s="1068"/>
      <c r="R49" s="1068"/>
      <c r="S49" s="1068"/>
      <c r="T49" s="1068"/>
      <c r="U49" s="1068"/>
      <c r="V49" s="870"/>
      <c r="W49" s="871"/>
      <c r="X49" s="872"/>
      <c r="Y49"/>
      <c r="Z49" s="239"/>
      <c r="AA49" s="239"/>
      <c r="AE49" s="90"/>
      <c r="AG49" s="90"/>
      <c r="BN49" s="1"/>
      <c r="CK49" s="1"/>
      <c r="CV49" s="248"/>
      <c r="CW49" s="248"/>
      <c r="CY49"/>
      <c r="CZ49"/>
    </row>
    <row r="50" spans="1:110" ht="17" thickBot="1">
      <c r="A50" s="261" t="str">
        <f>"Faktisk arbejdstid ialt i "&amp;A7&amp;" måned"</f>
        <v>Faktisk arbejdstid ialt i November måned</v>
      </c>
      <c r="B50" s="314"/>
      <c r="C50" s="315"/>
      <c r="D50" s="315"/>
      <c r="E50" s="315"/>
      <c r="F50" s="315"/>
      <c r="G50" s="315"/>
      <c r="H50" s="316"/>
      <c r="I50" s="1008">
        <f>I46+I49+I48+I47</f>
        <v>161.5</v>
      </c>
      <c r="J50" s="1009"/>
      <c r="K50" s="1010"/>
      <c r="L50" s="394"/>
      <c r="M50" s="1067"/>
      <c r="N50" s="1068"/>
      <c r="O50" s="1068"/>
      <c r="P50" s="1068"/>
      <c r="Q50" s="1068"/>
      <c r="R50" s="1068"/>
      <c r="S50" s="1068"/>
      <c r="T50" s="1068"/>
      <c r="U50" s="1068"/>
      <c r="V50" s="870"/>
      <c r="W50" s="871"/>
      <c r="X50" s="872"/>
      <c r="Y50" s="239"/>
      <c r="Z50" s="239"/>
      <c r="AA50" s="214"/>
      <c r="AB50" s="247"/>
      <c r="AC50" s="247"/>
      <c r="AD50" s="247"/>
      <c r="AE50" s="239"/>
      <c r="AF50" s="247"/>
      <c r="AH50" s="239"/>
      <c r="AI50" s="239"/>
      <c r="AM50" s="90"/>
      <c r="AN50" s="90"/>
      <c r="BU50" s="1"/>
      <c r="CR50" s="1"/>
      <c r="CY50"/>
      <c r="CZ50"/>
      <c r="DC50" s="248"/>
      <c r="DD50" s="248"/>
    </row>
    <row r="51" spans="1:110" ht="17" thickBot="1">
      <c r="A51" s="255"/>
      <c r="B51" s="255"/>
      <c r="C51" s="255"/>
      <c r="D51" s="255"/>
      <c r="E51" s="255"/>
      <c r="F51" s="255"/>
      <c r="G51" s="255"/>
      <c r="H51" s="255"/>
      <c r="I51" s="522"/>
      <c r="J51" s="522"/>
      <c r="K51" s="522"/>
      <c r="L51" s="500"/>
      <c r="M51" s="1067"/>
      <c r="N51" s="1068"/>
      <c r="O51" s="1068"/>
      <c r="P51" s="1068"/>
      <c r="Q51" s="1068"/>
      <c r="R51" s="1068"/>
      <c r="S51" s="1068"/>
      <c r="T51" s="1068"/>
      <c r="U51" s="1068"/>
      <c r="V51" s="870"/>
      <c r="W51" s="871"/>
      <c r="X51" s="872"/>
      <c r="Y51" s="239"/>
      <c r="Z51" s="239"/>
      <c r="AA51" s="239"/>
      <c r="AB51" s="239"/>
      <c r="AC51" s="214"/>
      <c r="AD51" s="247"/>
      <c r="AE51" s="247"/>
      <c r="AF51" s="247"/>
      <c r="AG51" s="247"/>
      <c r="AH51" s="239"/>
      <c r="AJ51" s="239"/>
      <c r="AK51" s="239"/>
      <c r="AO51" s="90"/>
      <c r="AP51" s="90"/>
      <c r="BW51" s="1"/>
      <c r="CT51" s="1"/>
      <c r="CY51"/>
      <c r="CZ51"/>
      <c r="DE51" s="248"/>
      <c r="DF51" s="248"/>
    </row>
    <row r="52" spans="1:110" ht="25" thickBot="1">
      <c r="A52" s="958" t="s">
        <v>479</v>
      </c>
      <c r="B52" s="959"/>
      <c r="C52" s="959"/>
      <c r="D52" s="959"/>
      <c r="E52" s="959"/>
      <c r="F52" s="959"/>
      <c r="G52" s="959"/>
      <c r="H52" s="707" t="s">
        <v>740</v>
      </c>
      <c r="I52" s="1118" t="s">
        <v>478</v>
      </c>
      <c r="J52" s="1118"/>
      <c r="K52" s="1119"/>
      <c r="L52" s="500"/>
      <c r="M52" s="1078" t="s">
        <v>294</v>
      </c>
      <c r="N52" s="1079"/>
      <c r="O52" s="1079"/>
      <c r="P52" s="1079"/>
      <c r="Q52" s="1079"/>
      <c r="R52" s="1079"/>
      <c r="S52" s="1079"/>
      <c r="T52" s="1079"/>
      <c r="U52" s="1080"/>
      <c r="V52" s="1081">
        <f>V45-SUM(V48:X51)</f>
        <v>0</v>
      </c>
      <c r="W52" s="1082"/>
      <c r="X52" s="1083"/>
      <c r="Y52" s="239"/>
      <c r="Z52" s="239"/>
      <c r="AA52" s="239"/>
      <c r="AB52" s="239"/>
      <c r="AC52" s="214"/>
      <c r="AD52" s="247"/>
      <c r="AE52" s="247"/>
      <c r="AF52" s="247"/>
      <c r="AG52" s="247"/>
      <c r="AH52" s="239"/>
      <c r="AJ52" s="239"/>
      <c r="AK52" s="239"/>
      <c r="AO52" s="90"/>
      <c r="AP52" s="90"/>
      <c r="BW52" s="1"/>
      <c r="CT52" s="1"/>
      <c r="CY52"/>
      <c r="CZ52"/>
      <c r="DE52" s="248"/>
      <c r="DF52" s="248"/>
    </row>
    <row r="53" spans="1:110" ht="16" customHeight="1">
      <c r="A53" s="993"/>
      <c r="B53" s="994"/>
      <c r="C53" s="994"/>
      <c r="D53" s="994"/>
      <c r="E53" s="994"/>
      <c r="F53" s="994"/>
      <c r="G53" s="994"/>
      <c r="H53" s="605">
        <f>Oktober!H62</f>
        <v>0</v>
      </c>
      <c r="I53" s="1084">
        <f>Oktober!I62</f>
        <v>0</v>
      </c>
      <c r="J53" s="1084"/>
      <c r="K53" s="1085"/>
      <c r="L53" s="500"/>
      <c r="M53" s="239"/>
      <c r="N53" s="239"/>
      <c r="O53" s="239"/>
      <c r="P53" s="239"/>
      <c r="Q53" s="214"/>
      <c r="R53" s="247"/>
      <c r="S53" s="247"/>
      <c r="T53" s="247"/>
      <c r="U53" s="247"/>
      <c r="V53" s="239"/>
      <c r="X53" s="239"/>
      <c r="Y53" s="239"/>
      <c r="Z53" s="239"/>
      <c r="AA53" s="239"/>
      <c r="AB53" s="239"/>
      <c r="AC53" s="214"/>
      <c r="AD53" s="247"/>
      <c r="AE53" s="247"/>
      <c r="AF53" s="247"/>
      <c r="AG53" s="247"/>
      <c r="AH53" s="239"/>
      <c r="AJ53" s="239"/>
      <c r="AK53" s="239"/>
      <c r="AO53" s="90"/>
      <c r="AP53" s="90"/>
      <c r="BW53" s="1"/>
      <c r="CT53" s="1"/>
      <c r="CY53"/>
      <c r="CZ53"/>
      <c r="DE53" s="248"/>
      <c r="DF53" s="248"/>
    </row>
    <row r="54" spans="1:110" ht="16" customHeight="1">
      <c r="A54" s="1069" t="s">
        <v>482</v>
      </c>
      <c r="B54" s="1070"/>
      <c r="C54" s="1070"/>
      <c r="D54" s="1070"/>
      <c r="E54" s="1070"/>
      <c r="F54" s="1070"/>
      <c r="G54" s="1071"/>
      <c r="H54" s="603"/>
      <c r="I54" s="1123"/>
      <c r="J54" s="1124"/>
      <c r="K54" s="1125"/>
      <c r="L54" s="500"/>
      <c r="M54" s="239"/>
      <c r="N54" s="239"/>
      <c r="O54" s="239"/>
      <c r="P54" s="239"/>
      <c r="Q54" s="214"/>
      <c r="R54" s="247"/>
      <c r="S54" s="247"/>
      <c r="T54" s="247"/>
      <c r="U54" s="247"/>
      <c r="V54" s="239"/>
      <c r="X54" s="239"/>
      <c r="Y54" s="239"/>
      <c r="Z54" s="239"/>
      <c r="AA54" s="239"/>
      <c r="AB54" s="239"/>
      <c r="AC54" s="214"/>
      <c r="AD54" s="247"/>
      <c r="AE54" s="247"/>
      <c r="AF54" s="247"/>
      <c r="AG54" s="247"/>
      <c r="AH54" s="239"/>
      <c r="AJ54" s="239"/>
      <c r="AK54" s="239"/>
      <c r="AO54" s="90"/>
      <c r="AP54" s="90"/>
      <c r="BW54" s="1"/>
      <c r="CT54" s="1"/>
      <c r="CY54"/>
      <c r="CZ54"/>
      <c r="DE54" s="248"/>
      <c r="DF54" s="248"/>
    </row>
    <row r="55" spans="1:110" ht="37" customHeight="1">
      <c r="A55" s="864" t="s">
        <v>741</v>
      </c>
      <c r="B55" s="865"/>
      <c r="C55" s="865"/>
      <c r="D55" s="865"/>
      <c r="E55" s="865"/>
      <c r="F55" s="865"/>
      <c r="G55" s="865"/>
      <c r="H55" s="865"/>
      <c r="I55" s="865"/>
      <c r="J55" s="865"/>
      <c r="K55" s="866"/>
      <c r="L55" s="500"/>
      <c r="M55" s="523"/>
      <c r="N55" s="523"/>
      <c r="O55" s="523"/>
      <c r="P55" s="523"/>
      <c r="Q55" s="524"/>
      <c r="R55" s="525"/>
      <c r="S55" s="525"/>
      <c r="T55" s="525"/>
      <c r="U55" s="525"/>
      <c r="V55" s="523"/>
      <c r="W55" s="526"/>
      <c r="X55" s="523"/>
      <c r="Y55" s="239"/>
      <c r="Z55" s="239"/>
      <c r="AA55" s="239"/>
      <c r="AB55" s="239"/>
      <c r="AC55" s="214"/>
      <c r="AD55" s="247"/>
      <c r="AE55" s="247"/>
      <c r="AF55" s="247"/>
      <c r="AG55" s="247"/>
      <c r="AH55" s="239"/>
      <c r="AJ55" s="239"/>
      <c r="AK55" s="239"/>
      <c r="AO55" s="90"/>
      <c r="AP55" s="90"/>
      <c r="BW55" s="1"/>
      <c r="CT55" s="1"/>
      <c r="CY55"/>
      <c r="CZ55"/>
      <c r="DE55" s="248"/>
      <c r="DF55" s="248"/>
    </row>
    <row r="56" spans="1:110" ht="35" customHeight="1">
      <c r="A56" s="995" t="s">
        <v>742</v>
      </c>
      <c r="B56" s="996"/>
      <c r="C56" s="898" t="s">
        <v>510</v>
      </c>
      <c r="D56" s="899"/>
      <c r="E56" s="900" t="s">
        <v>511</v>
      </c>
      <c r="F56" s="865"/>
      <c r="G56" s="901"/>
      <c r="H56" s="910" t="s">
        <v>480</v>
      </c>
      <c r="I56" s="910"/>
      <c r="J56" s="910"/>
      <c r="K56" s="911"/>
      <c r="L56" s="500"/>
      <c r="M56" s="523"/>
      <c r="N56" s="523"/>
      <c r="O56" s="523"/>
      <c r="P56" s="523"/>
      <c r="Q56" s="524"/>
      <c r="R56" s="525"/>
      <c r="S56" s="525"/>
      <c r="T56" s="525"/>
      <c r="U56" s="525"/>
      <c r="V56" s="523"/>
      <c r="W56" s="526"/>
      <c r="X56" s="523"/>
      <c r="Y56" s="239"/>
      <c r="Z56" s="239"/>
      <c r="AA56" s="239"/>
      <c r="AB56" s="239"/>
      <c r="AC56" s="214"/>
      <c r="AD56" s="247"/>
      <c r="AE56" s="247"/>
      <c r="AF56" s="247"/>
      <c r="AG56" s="247"/>
      <c r="AH56" s="239"/>
      <c r="AJ56" s="239"/>
      <c r="AK56" s="239"/>
      <c r="AO56" s="90"/>
      <c r="AP56" s="90"/>
      <c r="BW56" s="1"/>
      <c r="CT56" s="1"/>
      <c r="CY56"/>
      <c r="CZ56"/>
      <c r="DE56" s="248"/>
      <c r="DF56" s="248"/>
    </row>
    <row r="57" spans="1:110">
      <c r="A57" s="902"/>
      <c r="B57" s="903"/>
      <c r="C57" s="906"/>
      <c r="D57" s="905"/>
      <c r="E57" s="907"/>
      <c r="F57" s="908"/>
      <c r="G57" s="909"/>
      <c r="H57" s="604"/>
      <c r="I57" s="896"/>
      <c r="J57" s="896"/>
      <c r="K57" s="897"/>
      <c r="L57" s="500"/>
      <c r="M57" s="523"/>
      <c r="N57" s="523"/>
      <c r="O57" s="523"/>
      <c r="P57" s="523"/>
      <c r="Q57" s="524"/>
      <c r="R57" s="525"/>
      <c r="S57" s="525"/>
      <c r="T57" s="525"/>
      <c r="U57" s="525"/>
      <c r="V57" s="523"/>
      <c r="W57" s="526"/>
      <c r="X57" s="523"/>
      <c r="Y57" s="239"/>
      <c r="Z57" s="239"/>
      <c r="AA57" s="239"/>
      <c r="AB57" s="239"/>
      <c r="AC57" s="214"/>
      <c r="AD57" s="247"/>
      <c r="AE57" s="247"/>
      <c r="AF57" s="247"/>
      <c r="AG57" s="247"/>
      <c r="AH57" s="239"/>
      <c r="AJ57" s="239"/>
      <c r="AK57" s="239"/>
      <c r="AO57" s="90"/>
      <c r="AP57" s="90"/>
      <c r="BW57" s="1"/>
      <c r="CT57" s="1"/>
      <c r="CY57"/>
      <c r="CZ57"/>
      <c r="DE57" s="248"/>
      <c r="DF57" s="248"/>
    </row>
    <row r="58" spans="1:110">
      <c r="A58" s="904"/>
      <c r="B58" s="905"/>
      <c r="C58" s="906"/>
      <c r="D58" s="905"/>
      <c r="E58" s="907"/>
      <c r="F58" s="908"/>
      <c r="G58" s="909"/>
      <c r="H58" s="604"/>
      <c r="I58" s="896"/>
      <c r="J58" s="896"/>
      <c r="K58" s="897"/>
      <c r="L58" s="500"/>
      <c r="M58" s="523"/>
      <c r="N58" s="523"/>
      <c r="O58" s="523"/>
      <c r="P58" s="523"/>
      <c r="Q58" s="524"/>
      <c r="R58" s="525"/>
      <c r="S58" s="525"/>
      <c r="T58" s="525"/>
      <c r="U58" s="525"/>
      <c r="V58" s="523"/>
      <c r="W58" s="526"/>
      <c r="X58" s="523"/>
      <c r="Y58" s="239"/>
      <c r="Z58" s="239"/>
      <c r="AA58" s="239"/>
      <c r="AB58" s="239"/>
      <c r="AC58" s="214"/>
      <c r="AD58" s="247"/>
      <c r="AE58" s="247"/>
      <c r="AF58" s="247"/>
      <c r="AG58" s="247"/>
      <c r="AH58" s="239"/>
      <c r="AJ58" s="239"/>
      <c r="AK58" s="239"/>
      <c r="AO58" s="90"/>
      <c r="AP58" s="90"/>
      <c r="BW58" s="1"/>
      <c r="CT58" s="1"/>
      <c r="CY58"/>
      <c r="CZ58"/>
      <c r="DE58" s="248"/>
      <c r="DF58" s="248"/>
    </row>
    <row r="59" spans="1:110">
      <c r="A59" s="904"/>
      <c r="B59" s="905"/>
      <c r="C59" s="906"/>
      <c r="D59" s="905"/>
      <c r="E59" s="907"/>
      <c r="F59" s="908"/>
      <c r="G59" s="909"/>
      <c r="H59" s="604"/>
      <c r="I59" s="896"/>
      <c r="J59" s="896"/>
      <c r="K59" s="897"/>
      <c r="L59" s="500"/>
      <c r="M59" s="523"/>
      <c r="N59" s="523"/>
      <c r="O59" s="523"/>
      <c r="P59" s="523"/>
      <c r="Q59" s="524"/>
      <c r="R59" s="525"/>
      <c r="S59" s="525"/>
      <c r="T59" s="525"/>
      <c r="U59" s="525"/>
      <c r="V59" s="523"/>
      <c r="W59" s="526"/>
      <c r="X59" s="523"/>
      <c r="Y59" s="239"/>
      <c r="Z59" s="239"/>
      <c r="AA59" s="239"/>
      <c r="AB59" s="239"/>
      <c r="AC59" s="214"/>
      <c r="AD59" s="247"/>
      <c r="AE59" s="247"/>
      <c r="AF59" s="247"/>
      <c r="AG59" s="247"/>
      <c r="AH59" s="239"/>
      <c r="AJ59" s="239"/>
      <c r="AK59" s="239"/>
      <c r="AO59" s="90"/>
      <c r="AP59" s="90"/>
      <c r="BW59" s="1"/>
      <c r="CT59" s="1"/>
      <c r="CY59"/>
      <c r="CZ59"/>
      <c r="DE59" s="248"/>
      <c r="DF59" s="248"/>
    </row>
    <row r="60" spans="1:110">
      <c r="A60" s="904"/>
      <c r="B60" s="905"/>
      <c r="C60" s="906"/>
      <c r="D60" s="905"/>
      <c r="E60" s="907"/>
      <c r="F60" s="908"/>
      <c r="G60" s="909"/>
      <c r="H60" s="604"/>
      <c r="I60" s="896"/>
      <c r="J60" s="896"/>
      <c r="K60" s="897"/>
      <c r="L60" s="500"/>
      <c r="M60" s="523"/>
      <c r="N60" s="523"/>
      <c r="O60" s="523"/>
      <c r="P60" s="523"/>
      <c r="Q60" s="524"/>
      <c r="R60" s="525"/>
      <c r="S60" s="525"/>
      <c r="T60" s="525"/>
      <c r="U60" s="525"/>
      <c r="V60" s="523"/>
      <c r="W60" s="526"/>
      <c r="X60" s="523"/>
      <c r="Y60" s="239"/>
      <c r="Z60" s="239"/>
      <c r="AA60" s="239"/>
      <c r="AB60" s="239"/>
      <c r="AC60" s="214"/>
      <c r="AD60" s="247"/>
      <c r="AE60" s="247"/>
      <c r="AF60" s="247"/>
      <c r="AG60" s="247"/>
      <c r="AH60" s="239"/>
      <c r="AJ60" s="239"/>
      <c r="AK60" s="239"/>
      <c r="AO60" s="90"/>
      <c r="AP60" s="90"/>
      <c r="BW60" s="1"/>
      <c r="CT60" s="1"/>
      <c r="CY60"/>
      <c r="CZ60"/>
      <c r="DE60" s="248"/>
      <c r="DF60" s="248"/>
    </row>
    <row r="61" spans="1:110" ht="17" thickBot="1">
      <c r="A61" s="893" t="s">
        <v>481</v>
      </c>
      <c r="B61" s="894"/>
      <c r="C61" s="895"/>
      <c r="D61" s="895"/>
      <c r="E61" s="895"/>
      <c r="F61" s="895"/>
      <c r="G61" s="895"/>
      <c r="H61" s="606">
        <f>H54+H53-SUM(H57:H60)</f>
        <v>0</v>
      </c>
      <c r="I61" s="912">
        <f>I53+I54-SUM(I57:K60)</f>
        <v>0</v>
      </c>
      <c r="J61" s="913"/>
      <c r="K61" s="914"/>
      <c r="L61" s="500"/>
      <c r="M61" s="523"/>
      <c r="N61" s="523"/>
      <c r="O61" s="523"/>
      <c r="P61" s="523"/>
      <c r="Q61" s="524"/>
      <c r="R61" s="525"/>
      <c r="S61" s="525"/>
      <c r="T61" s="525"/>
      <c r="U61" s="525"/>
      <c r="V61" s="523"/>
      <c r="W61" s="526"/>
      <c r="X61" s="523"/>
      <c r="Y61" s="239"/>
      <c r="Z61" s="239"/>
      <c r="AA61" s="239"/>
      <c r="AB61" s="239"/>
      <c r="AC61" s="214"/>
      <c r="AD61" s="247"/>
      <c r="AE61" s="247"/>
      <c r="AF61" s="247"/>
      <c r="AG61" s="247"/>
      <c r="AH61" s="239"/>
      <c r="AJ61" s="239"/>
      <c r="AK61" s="239"/>
      <c r="AO61" s="90"/>
      <c r="AP61" s="90"/>
      <c r="BW61" s="1"/>
      <c r="CT61" s="1"/>
      <c r="CY61"/>
      <c r="CZ61"/>
      <c r="DE61" s="248"/>
      <c r="DF61" s="248"/>
    </row>
    <row r="62" spans="1:110" hidden="1">
      <c r="A62" s="496"/>
      <c r="B62" s="496"/>
      <c r="C62" s="496"/>
      <c r="D62" s="496"/>
      <c r="E62" s="496"/>
      <c r="F62" s="496"/>
      <c r="G62" s="496"/>
      <c r="H62" s="450"/>
      <c r="I62" s="506"/>
      <c r="J62" s="506"/>
      <c r="K62" s="496"/>
      <c r="L62" s="659"/>
      <c r="M62" s="659"/>
      <c r="N62" s="659"/>
      <c r="O62" s="659"/>
      <c r="P62" s="659"/>
      <c r="Q62" s="524"/>
      <c r="R62" s="525"/>
      <c r="S62" s="525"/>
      <c r="T62" s="525"/>
      <c r="U62" s="525"/>
      <c r="V62" s="523" t="s">
        <v>583</v>
      </c>
      <c r="W62" s="526"/>
      <c r="X62" s="523"/>
      <c r="Y62"/>
      <c r="Z62"/>
      <c r="AA62" s="90"/>
      <c r="AB62" s="90"/>
      <c r="BI62" s="1"/>
      <c r="CF62" s="1"/>
      <c r="CQ62" s="248"/>
      <c r="CR62" s="248"/>
      <c r="CY62"/>
      <c r="CZ62"/>
    </row>
    <row r="63" spans="1:110" hidden="1">
      <c r="A63" s="498" t="s">
        <v>206</v>
      </c>
      <c r="B63" s="498"/>
      <c r="C63" s="498"/>
      <c r="D63" s="498">
        <f>COUNTIF([0]!November,"Skema 1")</f>
        <v>20</v>
      </c>
      <c r="E63" s="499"/>
      <c r="F63" s="498" t="s">
        <v>186</v>
      </c>
      <c r="G63" s="498">
        <f>COUNTIFS($B$9:$B$38,"ma",[0]!November,"Skema 1")</f>
        <v>4</v>
      </c>
      <c r="H63" s="123"/>
      <c r="I63" s="511"/>
      <c r="J63" s="659"/>
      <c r="K63" s="659"/>
      <c r="L63" s="511"/>
      <c r="M63" s="660"/>
      <c r="N63" s="659"/>
      <c r="O63" s="660"/>
      <c r="P63" s="678" t="s">
        <v>601</v>
      </c>
      <c r="Q63" s="680" t="s">
        <v>612</v>
      </c>
      <c r="R63" s="230"/>
      <c r="S63" s="230"/>
      <c r="T63" s="230"/>
      <c r="U63" s="230"/>
      <c r="V63" s="230"/>
      <c r="W63" s="118"/>
      <c r="X63" s="118"/>
      <c r="Y63"/>
      <c r="Z63"/>
      <c r="AA63" s="90"/>
      <c r="AB63" s="90"/>
      <c r="BI63" s="1"/>
      <c r="CF63" s="1"/>
      <c r="CQ63" s="248"/>
      <c r="CR63" s="248"/>
      <c r="CY63"/>
      <c r="CZ63"/>
    </row>
    <row r="64" spans="1:110" hidden="1">
      <c r="A64" s="1113" t="s">
        <v>207</v>
      </c>
      <c r="B64" s="1113"/>
      <c r="C64" s="1113"/>
      <c r="D64" s="498">
        <f>COUNTIF([0]!November,"Skema 2")</f>
        <v>0</v>
      </c>
      <c r="E64" s="499"/>
      <c r="F64" s="498" t="s">
        <v>187</v>
      </c>
      <c r="G64" s="498">
        <f>COUNTIFS($B$9:$B$38,"ti",[0]!November,"Skema 1")</f>
        <v>4</v>
      </c>
      <c r="H64" s="123"/>
      <c r="I64" s="511" t="s">
        <v>602</v>
      </c>
      <c r="J64" s="659"/>
      <c r="K64" s="511"/>
      <c r="L64" s="662"/>
      <c r="M64" s="660"/>
      <c r="N64" s="660"/>
      <c r="O64" s="663"/>
      <c r="P64" s="678">
        <f>IF(Stamoplysninger!$B$22="Ulempetillæg udbetales med 25% af nettotimelønnen.",SUM(DO40:DR40)-SUM(DS40:DV40),0)</f>
        <v>0</v>
      </c>
      <c r="Q64" s="680"/>
      <c r="R64" s="230"/>
      <c r="S64" s="230"/>
      <c r="T64" s="230"/>
      <c r="U64" s="230"/>
      <c r="V64" s="230"/>
      <c r="W64" s="118"/>
      <c r="X64" s="118"/>
      <c r="Y64"/>
      <c r="Z64"/>
      <c r="AA64" s="90"/>
      <c r="AB64" s="90"/>
      <c r="BI64" s="1"/>
      <c r="CF64" s="1"/>
      <c r="CQ64" s="248"/>
      <c r="CR64" s="248"/>
      <c r="CY64"/>
      <c r="CZ64"/>
    </row>
    <row r="65" spans="1:109" hidden="1">
      <c r="A65" s="1113" t="s">
        <v>208</v>
      </c>
      <c r="B65" s="1113"/>
      <c r="C65" s="1113"/>
      <c r="D65" s="498">
        <f>COUNTIF([0]!November,"Skema 3")</f>
        <v>0</v>
      </c>
      <c r="E65" s="499"/>
      <c r="F65" s="498" t="s">
        <v>188</v>
      </c>
      <c r="G65" s="498">
        <f>COUNTIFS($B$9:$B$38,"on",[0]!November,"Skema 1")</f>
        <v>3</v>
      </c>
      <c r="H65" s="498"/>
      <c r="I65" s="677" t="s">
        <v>603</v>
      </c>
      <c r="J65" s="659"/>
      <c r="K65" s="511"/>
      <c r="L65" s="662"/>
      <c r="M65" s="660"/>
      <c r="N65" s="660"/>
      <c r="O65" s="660"/>
      <c r="P65" s="678"/>
      <c r="Q65" s="680">
        <f>IF(Stamoplysninger!$B$22="Ulempetillæg afspadseres med 25%(Kræver en aftale imellem ledelsen og den ansatte)",EC40+ED40+EE40+EF40-EG40-EH40-EI40-EJ40,0)</f>
        <v>0</v>
      </c>
      <c r="R65" s="230"/>
      <c r="S65" s="230"/>
      <c r="T65" s="230"/>
      <c r="U65" s="230"/>
      <c r="V65" s="230"/>
      <c r="W65" s="118"/>
      <c r="X65" s="118"/>
      <c r="Y65"/>
      <c r="Z65"/>
      <c r="AA65" s="90"/>
      <c r="AB65" s="90"/>
      <c r="BI65" s="1"/>
      <c r="CF65" s="1"/>
      <c r="CQ65" s="248"/>
      <c r="CR65" s="248"/>
      <c r="CY65"/>
      <c r="CZ65"/>
    </row>
    <row r="66" spans="1:109" hidden="1">
      <c r="A66" s="1113" t="s">
        <v>209</v>
      </c>
      <c r="B66" s="1113"/>
      <c r="C66" s="1113"/>
      <c r="D66" s="498">
        <f>COUNTIF([0]!November,"Skema 4")</f>
        <v>0</v>
      </c>
      <c r="E66" s="499"/>
      <c r="F66" s="498" t="s">
        <v>190</v>
      </c>
      <c r="G66" s="498">
        <f>COUNTIFS($B$9:$B$38,"to",[0]!November,"Skema 1")</f>
        <v>4</v>
      </c>
      <c r="H66" s="498"/>
      <c r="I66" s="677" t="s">
        <v>604</v>
      </c>
      <c r="J66" s="659"/>
      <c r="K66" s="511"/>
      <c r="L66" s="662"/>
      <c r="M66" s="665"/>
      <c r="N66" s="665"/>
      <c r="O66" s="4"/>
      <c r="P66" s="678"/>
      <c r="Q66" s="680"/>
      <c r="R66" s="230"/>
      <c r="S66" s="230"/>
      <c r="T66" s="230"/>
      <c r="U66" s="230"/>
      <c r="V66" s="230"/>
      <c r="W66" s="118"/>
      <c r="X66" s="118"/>
      <c r="Y66" s="239"/>
      <c r="Z66" s="239"/>
      <c r="AA66" s="239"/>
      <c r="AB66" s="214"/>
      <c r="AC66" s="247"/>
      <c r="AD66" s="247"/>
      <c r="AE66" s="247"/>
      <c r="AF66" s="247"/>
      <c r="AG66" s="239"/>
      <c r="AI66" s="239"/>
      <c r="AJ66" s="239"/>
      <c r="AN66" s="90"/>
      <c r="AO66" s="90"/>
      <c r="BV66" s="1"/>
      <c r="CS66" s="1"/>
      <c r="CY66"/>
      <c r="CZ66"/>
      <c r="DD66" s="248"/>
      <c r="DE66" s="248"/>
    </row>
    <row r="67" spans="1:109" hidden="1">
      <c r="A67" s="498" t="s">
        <v>112</v>
      </c>
      <c r="B67" s="498"/>
      <c r="C67" s="498"/>
      <c r="D67" s="498">
        <f>COUNTIF([0]!November,"Fagdag")+COUNTIF([0]!November,"emnedag")</f>
        <v>1</v>
      </c>
      <c r="E67" s="499"/>
      <c r="F67" s="498" t="s">
        <v>189</v>
      </c>
      <c r="G67" s="498">
        <f>COUNTIFS($B$9:$B$38,"fr",[0]!November,"Skema 1")</f>
        <v>5</v>
      </c>
      <c r="H67" s="498"/>
      <c r="I67" s="662" t="s">
        <v>605</v>
      </c>
      <c r="J67" s="659"/>
      <c r="K67" s="511"/>
      <c r="L67" s="662"/>
      <c r="M67" s="665"/>
      <c r="N67" s="665"/>
      <c r="O67" s="4"/>
      <c r="P67" s="678"/>
      <c r="Q67" s="680">
        <f>IF(Stamoplysninger!$B$26="Weekendtimer og weekendtillæg afspadseres.",EK40+EL40-EM40-EN40,0)</f>
        <v>0</v>
      </c>
      <c r="R67" s="230"/>
      <c r="S67" s="230"/>
      <c r="T67" s="230"/>
      <c r="U67" s="230"/>
      <c r="V67" s="230"/>
      <c r="W67" s="118"/>
      <c r="X67" s="118"/>
      <c r="Y67" s="239"/>
      <c r="Z67" s="239"/>
      <c r="AA67" s="239"/>
      <c r="AB67" s="214"/>
      <c r="AC67" s="247"/>
      <c r="AD67" s="247"/>
      <c r="AE67" s="247"/>
      <c r="AF67" s="214"/>
      <c r="AG67" s="239"/>
      <c r="AI67" s="239"/>
      <c r="AJ67" s="239"/>
      <c r="AN67" s="90"/>
      <c r="AO67" s="90"/>
      <c r="BV67" s="1"/>
      <c r="CS67" s="1"/>
      <c r="CY67"/>
      <c r="CZ67"/>
      <c r="DD67" s="248"/>
      <c r="DE67" s="248"/>
    </row>
    <row r="68" spans="1:109" hidden="1">
      <c r="A68" s="502" t="s">
        <v>111</v>
      </c>
      <c r="B68" s="498"/>
      <c r="C68" s="498"/>
      <c r="D68" s="498">
        <f>COUNTIF([0]!November,"Lejrskole")+COUNTIF([0]!November,"Ekskursion")</f>
        <v>0</v>
      </c>
      <c r="E68" s="499"/>
      <c r="F68" s="498"/>
      <c r="G68" s="498"/>
      <c r="H68" s="498"/>
      <c r="I68" s="662" t="s">
        <v>606</v>
      </c>
      <c r="J68" s="662"/>
      <c r="K68" s="662"/>
      <c r="L68" s="662"/>
      <c r="M68" s="666"/>
      <c r="N68" s="666"/>
      <c r="O68" s="4"/>
      <c r="P68" s="679">
        <f>IF(Stamoplysninger!$B$26="Weekendtimer og weekendtillæg udbetales.",EO40+EP40-EQ40-ER40,0)</f>
        <v>0</v>
      </c>
      <c r="Q68" s="680"/>
      <c r="R68" s="230"/>
      <c r="S68" s="230"/>
      <c r="T68" s="230"/>
      <c r="U68" s="230"/>
      <c r="V68" s="230"/>
      <c r="W68" s="118"/>
      <c r="X68" s="118"/>
      <c r="Y68" s="239"/>
      <c r="Z68" s="239"/>
      <c r="AA68" s="239"/>
      <c r="AB68" s="214"/>
      <c r="AC68" s="247"/>
      <c r="AD68" s="247"/>
      <c r="AE68" s="247"/>
      <c r="AF68" s="214"/>
      <c r="AG68" s="239"/>
      <c r="AI68" s="239"/>
      <c r="AJ68" s="239"/>
      <c r="AN68" s="90"/>
      <c r="AO68" s="90"/>
      <c r="BV68" s="1"/>
      <c r="CS68" s="1"/>
      <c r="CY68"/>
      <c r="CZ68"/>
      <c r="DD68" s="248"/>
      <c r="DE68" s="248"/>
    </row>
    <row r="69" spans="1:109" hidden="1">
      <c r="A69" s="498" t="s">
        <v>110</v>
      </c>
      <c r="B69" s="498"/>
      <c r="C69" s="498"/>
      <c r="D69" s="498">
        <f>COUNTIF([0]!November,"Pæd.dag")</f>
        <v>0</v>
      </c>
      <c r="E69" s="499"/>
      <c r="F69" s="498" t="s">
        <v>191</v>
      </c>
      <c r="G69" s="498">
        <f>COUNTIFS($B$9:$B$38,"ma",[0]!November,"Skema 2")</f>
        <v>0</v>
      </c>
      <c r="H69" s="498"/>
      <c r="I69" s="662" t="s">
        <v>607</v>
      </c>
      <c r="J69" s="662"/>
      <c r="K69" s="662"/>
      <c r="L69" s="662"/>
      <c r="M69" s="666"/>
      <c r="N69" s="666"/>
      <c r="O69" s="4"/>
      <c r="P69" s="678"/>
      <c r="Q69" s="680"/>
      <c r="R69" s="230"/>
      <c r="S69" s="230"/>
      <c r="T69" s="230"/>
      <c r="U69" s="230"/>
      <c r="V69" s="230"/>
      <c r="W69" s="118"/>
      <c r="X69" s="118"/>
      <c r="Y69" s="239"/>
      <c r="Z69" s="239"/>
      <c r="AA69" s="239"/>
      <c r="AB69" s="214"/>
      <c r="AC69" s="247"/>
      <c r="AD69" s="247"/>
      <c r="AE69" s="247"/>
      <c r="AF69" s="214"/>
      <c r="AG69" s="239"/>
      <c r="AI69" s="239"/>
      <c r="AJ69" s="239"/>
      <c r="AN69" s="90"/>
      <c r="AO69" s="90"/>
      <c r="BV69" s="1"/>
      <c r="CS69" s="1"/>
      <c r="CY69"/>
      <c r="CZ69"/>
      <c r="DD69" s="248"/>
      <c r="DE69" s="248"/>
    </row>
    <row r="70" spans="1:109" hidden="1">
      <c r="A70" s="498" t="s">
        <v>120</v>
      </c>
      <c r="B70" s="498"/>
      <c r="C70" s="498"/>
      <c r="D70" s="498">
        <f>COUNTIF([0]!November,"Weekend")</f>
        <v>9</v>
      </c>
      <c r="E70" s="499"/>
      <c r="F70" s="498" t="s">
        <v>192</v>
      </c>
      <c r="G70" s="498">
        <f>COUNTIFS($B$9:$B$38,"ti",[0]!November,"Skema 2")</f>
        <v>0</v>
      </c>
      <c r="H70" s="498"/>
      <c r="I70" s="662" t="s">
        <v>608</v>
      </c>
      <c r="J70" s="662"/>
      <c r="K70" s="662"/>
      <c r="L70" s="662"/>
      <c r="M70" s="667"/>
      <c r="N70" s="667"/>
      <c r="O70" s="4"/>
      <c r="P70" s="678"/>
      <c r="Q70" s="681">
        <f>IF(Stamoplysninger!$B$26="Der er indgået lokalaftale omkring weekendtimer.(Kræver aftale med TR/FSL) Weekendtillæg afspadseres.",ES40+ET40-EU40-EV40,0)</f>
        <v>0</v>
      </c>
      <c r="R70" s="230"/>
      <c r="S70" s="230"/>
      <c r="T70" s="230"/>
      <c r="U70" s="230"/>
      <c r="V70" s="230"/>
      <c r="W70" s="118"/>
      <c r="X70" s="118"/>
      <c r="Y70"/>
      <c r="Z70"/>
      <c r="AM70" s="1"/>
      <c r="BJ70" s="1"/>
      <c r="BU70" s="248"/>
      <c r="BV70" s="248"/>
      <c r="CY70"/>
      <c r="CZ70"/>
    </row>
    <row r="71" spans="1:109" hidden="1">
      <c r="A71" s="498" t="s">
        <v>127</v>
      </c>
      <c r="B71" s="498"/>
      <c r="C71" s="498"/>
      <c r="D71" s="498">
        <f>COUNTIF([0]!November,"SH-dag")</f>
        <v>0</v>
      </c>
      <c r="E71" s="499"/>
      <c r="F71" s="498" t="s">
        <v>193</v>
      </c>
      <c r="G71" s="498">
        <f>COUNTIFS($B$9:$B$38,"on",[0]!November,"Skema 2")</f>
        <v>0</v>
      </c>
      <c r="H71" s="498"/>
      <c r="I71" s="662" t="s">
        <v>609</v>
      </c>
      <c r="J71" s="662"/>
      <c r="K71" s="662"/>
      <c r="L71" s="662"/>
      <c r="M71" s="667"/>
      <c r="N71" s="667"/>
      <c r="O71" s="4"/>
      <c r="P71" s="678">
        <f>IF(Stamoplysninger!$B$26="Der er indgået lokalaftale omkring weekendtimer(Kræver aftale med TR/FSL). Weekendtillæg udbetales.",EW40+EX40-EY40-EZ40,0)</f>
        <v>0</v>
      </c>
      <c r="Q71" s="680"/>
      <c r="R71" s="230"/>
      <c r="S71" s="230"/>
      <c r="T71" s="230"/>
      <c r="U71" s="230"/>
      <c r="V71" s="230"/>
      <c r="W71" s="118"/>
      <c r="X71" s="118"/>
      <c r="Y71"/>
      <c r="Z71"/>
      <c r="AM71" s="1"/>
      <c r="BJ71" s="1"/>
      <c r="BU71" s="248"/>
      <c r="BV71" s="248"/>
      <c r="CY71"/>
      <c r="CZ71"/>
    </row>
    <row r="72" spans="1:109" hidden="1">
      <c r="A72" s="498" t="s">
        <v>109</v>
      </c>
      <c r="B72" s="498"/>
      <c r="C72" s="498"/>
      <c r="D72" s="498">
        <f>COUNTIF([0]!November,"Feriedag")</f>
        <v>0</v>
      </c>
      <c r="E72" s="499"/>
      <c r="F72" s="498" t="s">
        <v>194</v>
      </c>
      <c r="G72" s="498">
        <f>COUNTIFS($B$9:$B$38,"to",[0]!November,"Skema 2")</f>
        <v>0</v>
      </c>
      <c r="H72" s="498"/>
      <c r="I72" s="662" t="s">
        <v>610</v>
      </c>
      <c r="J72" s="662"/>
      <c r="K72" s="662"/>
      <c r="L72" s="662"/>
      <c r="M72" s="667"/>
      <c r="N72" s="667"/>
      <c r="O72" s="4"/>
      <c r="P72" s="678"/>
      <c r="Q72" s="629">
        <f>IF(Stamoplysninger!$B$26="Der er indgået lokalaftale omkring weekendtillæg(Kræver aftale med TR/FSL). Weekendtimerne afspadseres.",FA40+FB40-FC40-FD40,0)</f>
        <v>0</v>
      </c>
      <c r="R72" s="41"/>
      <c r="S72" s="41"/>
      <c r="T72" s="41"/>
      <c r="Y72"/>
      <c r="Z72"/>
      <c r="AM72" s="1"/>
      <c r="BJ72" s="1"/>
      <c r="BU72" s="248"/>
      <c r="BV72" s="248"/>
      <c r="CY72"/>
      <c r="CZ72"/>
    </row>
    <row r="73" spans="1:109" hidden="1">
      <c r="A73" s="498" t="s">
        <v>178</v>
      </c>
      <c r="B73" s="498"/>
      <c r="C73" s="498"/>
      <c r="D73" s="498">
        <f>COUNTIF([0]!November,"Nul-dag")</f>
        <v>0</v>
      </c>
      <c r="E73" s="499"/>
      <c r="F73" s="498" t="s">
        <v>195</v>
      </c>
      <c r="G73" s="498">
        <f>COUNTIFS($B$9:$B$38,"fr",[0]!November,"Skema 2")</f>
        <v>0</v>
      </c>
      <c r="H73" s="498"/>
      <c r="I73" s="662" t="s">
        <v>611</v>
      </c>
      <c r="J73" s="662"/>
      <c r="K73" s="662"/>
      <c r="L73" s="662"/>
      <c r="M73" s="667"/>
      <c r="N73" s="667"/>
      <c r="O73" s="4"/>
      <c r="P73" s="678">
        <f>IF(Stamoplysninger!$B$26="Der er indgået lokalaftale omkring weekendtillæg(Kræver aftale med TR/FSL). Weekendtimerne udbetales.",FE40+FF40-FG40-FH40,0)</f>
        <v>0</v>
      </c>
      <c r="Q73" s="629"/>
      <c r="V73" t="s">
        <v>618</v>
      </c>
      <c r="Y73"/>
      <c r="Z73"/>
      <c r="AM73" s="1"/>
      <c r="BJ73" s="1"/>
      <c r="BU73" s="248"/>
      <c r="BV73" s="248"/>
      <c r="CY73"/>
      <c r="CZ73"/>
    </row>
    <row r="74" spans="1:109" hidden="1">
      <c r="A74" s="503" t="s">
        <v>416</v>
      </c>
      <c r="B74" s="498"/>
      <c r="C74" s="498"/>
      <c r="D74" s="498">
        <f>COUNTIF([0]!November,"Orlov")</f>
        <v>0</v>
      </c>
      <c r="E74" s="499"/>
      <c r="F74" s="504"/>
      <c r="G74" s="504"/>
      <c r="H74" s="504"/>
      <c r="I74" s="662" t="s">
        <v>617</v>
      </c>
      <c r="J74" s="662"/>
      <c r="K74" s="662"/>
      <c r="L74" s="662"/>
      <c r="M74" s="668"/>
      <c r="N74" s="668"/>
      <c r="O74" s="4"/>
      <c r="P74" s="661"/>
      <c r="R74">
        <f>IF(C9="ikke relevant",V9*-1+X9*-1,0)</f>
        <v>0</v>
      </c>
      <c r="S74" t="s">
        <v>623</v>
      </c>
      <c r="V74">
        <f>IF(C9="ikke relevant",R9*-1,0)</f>
        <v>0</v>
      </c>
      <c r="Y74"/>
      <c r="Z74"/>
      <c r="AM74" s="1"/>
      <c r="BJ74" s="1"/>
      <c r="BU74" s="248"/>
      <c r="BV74" s="248"/>
      <c r="CY74"/>
      <c r="CZ74"/>
    </row>
    <row r="75" spans="1:109" hidden="1">
      <c r="A75" s="498" t="s">
        <v>160</v>
      </c>
      <c r="B75" s="498"/>
      <c r="C75" s="498"/>
      <c r="D75" s="498">
        <f>COUNTIF([0]!November,"Ikke relevant")</f>
        <v>0</v>
      </c>
      <c r="E75" s="499"/>
      <c r="F75" s="498" t="s">
        <v>196</v>
      </c>
      <c r="G75" s="498">
        <f>COUNTIFS($B$9:$B$38,"ma",[0]!November,"Skema 3")</f>
        <v>0</v>
      </c>
      <c r="H75" s="498"/>
      <c r="I75" s="662"/>
      <c r="J75" s="662"/>
      <c r="K75" s="662"/>
      <c r="L75" s="511"/>
      <c r="M75" s="668"/>
      <c r="N75" s="668"/>
      <c r="O75" s="4"/>
      <c r="P75" s="661"/>
      <c r="R75">
        <f>IF(C10="ikke relevant",V10*-1+X10*-1,0)</f>
        <v>0</v>
      </c>
      <c r="V75">
        <f>IF(C10="ikke relevant",R10*-1,0)</f>
        <v>0</v>
      </c>
      <c r="Y75"/>
      <c r="Z75"/>
      <c r="AM75" s="1"/>
      <c r="BJ75" s="1"/>
      <c r="BU75" s="248"/>
      <c r="BV75" s="248"/>
      <c r="CY75"/>
      <c r="CZ75"/>
    </row>
    <row r="76" spans="1:109" hidden="1">
      <c r="A76" s="498" t="s">
        <v>108</v>
      </c>
      <c r="B76" s="498"/>
      <c r="C76" s="498"/>
      <c r="D76" s="498">
        <f>SUM(D63:D75)</f>
        <v>30</v>
      </c>
      <c r="E76" s="498"/>
      <c r="F76" s="498" t="s">
        <v>197</v>
      </c>
      <c r="G76" s="498">
        <f>COUNTIFS($B$9:$B$38,"ti",[0]!November,"Skema 3")</f>
        <v>0</v>
      </c>
      <c r="H76" s="498"/>
      <c r="I76" s="662"/>
      <c r="J76" s="662"/>
      <c r="K76" s="662"/>
      <c r="L76" s="511"/>
      <c r="M76" s="668"/>
      <c r="N76" s="668"/>
      <c r="O76" s="4"/>
      <c r="P76" s="661"/>
      <c r="R76">
        <f t="shared" ref="R76:R104" si="36">IF(C11="ikke relevant",V11*-1+X11*-1,0)</f>
        <v>0</v>
      </c>
      <c r="V76">
        <f t="shared" ref="V76:V104" si="37">IF(C11="ikke relevant",R11*-1,0)</f>
        <v>0</v>
      </c>
      <c r="Y76"/>
      <c r="Z76"/>
      <c r="AO76" s="1"/>
      <c r="BL76" s="1"/>
      <c r="BW76" s="248"/>
      <c r="BX76" s="248"/>
      <c r="CY76"/>
      <c r="CZ76"/>
    </row>
    <row r="77" spans="1:109" hidden="1">
      <c r="A77" s="498" t="s">
        <v>239</v>
      </c>
      <c r="B77" s="498"/>
      <c r="C77" s="498"/>
      <c r="D77" s="498">
        <f>D76-D70-A86-D75</f>
        <v>21</v>
      </c>
      <c r="E77" s="505"/>
      <c r="F77" s="498" t="s">
        <v>198</v>
      </c>
      <c r="G77" s="498">
        <f>COUNTIFS($B$9:$B$38,"on",[0]!November,"Skema 3")</f>
        <v>0</v>
      </c>
      <c r="H77" s="498"/>
      <c r="I77" s="662"/>
      <c r="J77" s="662"/>
      <c r="K77" s="662"/>
      <c r="L77" s="511"/>
      <c r="M77" s="668"/>
      <c r="N77" s="668"/>
      <c r="O77" s="4"/>
      <c r="P77" s="661"/>
      <c r="R77">
        <f t="shared" si="36"/>
        <v>0</v>
      </c>
      <c r="V77">
        <f t="shared" si="37"/>
        <v>0</v>
      </c>
      <c r="Y77"/>
      <c r="Z77"/>
      <c r="AO77" s="1"/>
      <c r="BL77" s="1"/>
      <c r="BW77" s="248"/>
      <c r="BX77" s="248"/>
      <c r="CY77"/>
      <c r="CZ77"/>
    </row>
    <row r="78" spans="1:109" hidden="1">
      <c r="A78" s="498"/>
      <c r="B78" s="498"/>
      <c r="C78" s="498"/>
      <c r="D78" s="498"/>
      <c r="E78" s="498"/>
      <c r="F78" s="498" t="s">
        <v>199</v>
      </c>
      <c r="G78" s="498">
        <f>COUNTIFS($B$9:$B$38,"to",[0]!November,"Skema 3")</f>
        <v>0</v>
      </c>
      <c r="H78" s="498"/>
      <c r="I78" s="664"/>
      <c r="J78" s="662"/>
      <c r="K78" s="662"/>
      <c r="L78" s="511"/>
      <c r="M78" s="660"/>
      <c r="N78" s="660"/>
      <c r="O78" s="4"/>
      <c r="P78" s="661"/>
      <c r="R78">
        <f t="shared" si="36"/>
        <v>0</v>
      </c>
      <c r="V78">
        <f t="shared" si="37"/>
        <v>0</v>
      </c>
      <c r="Y78"/>
      <c r="Z78"/>
      <c r="AO78" s="1"/>
      <c r="BL78" s="1"/>
      <c r="BW78" s="248"/>
      <c r="BX78" s="248"/>
      <c r="CY78"/>
      <c r="CZ78"/>
    </row>
    <row r="79" spans="1:109" hidden="1">
      <c r="A79" s="498"/>
      <c r="B79" s="498"/>
      <c r="C79" s="498"/>
      <c r="D79" s="498"/>
      <c r="E79" s="498"/>
      <c r="F79" s="498" t="s">
        <v>200</v>
      </c>
      <c r="G79" s="498">
        <f>COUNTIFS($B$9:$B$38,"fr",[0]!November,"Skema 3")</f>
        <v>0</v>
      </c>
      <c r="H79" s="498"/>
      <c r="I79" s="506"/>
      <c r="J79" s="511"/>
      <c r="K79" s="511"/>
      <c r="L79" s="511"/>
      <c r="M79" s="4"/>
      <c r="N79" s="4"/>
      <c r="O79" s="4"/>
      <c r="P79" s="4"/>
      <c r="R79">
        <f t="shared" si="36"/>
        <v>0</v>
      </c>
      <c r="V79">
        <f t="shared" si="37"/>
        <v>0</v>
      </c>
      <c r="Y79"/>
      <c r="Z79"/>
      <c r="AO79" s="1"/>
      <c r="BL79" s="1"/>
      <c r="BW79" s="248"/>
      <c r="BX79" s="248"/>
      <c r="CY79"/>
      <c r="CZ79"/>
    </row>
    <row r="80" spans="1:109" hidden="1">
      <c r="A80" s="498" t="s">
        <v>292</v>
      </c>
      <c r="B80" s="498"/>
      <c r="C80" s="498"/>
      <c r="D80" s="498"/>
      <c r="E80" s="498"/>
      <c r="F80" s="498"/>
      <c r="G80" s="498"/>
      <c r="H80" s="498"/>
      <c r="I80" s="506"/>
      <c r="J80" s="511"/>
      <c r="K80" s="511"/>
      <c r="L80" s="511"/>
      <c r="M80" s="4"/>
      <c r="N80" s="4"/>
      <c r="O80" s="4"/>
      <c r="P80" s="4"/>
      <c r="R80">
        <f t="shared" si="36"/>
        <v>0</v>
      </c>
      <c r="V80">
        <f t="shared" si="37"/>
        <v>0</v>
      </c>
      <c r="Y80"/>
      <c r="Z80"/>
      <c r="AO80" s="1"/>
      <c r="BL80" s="1"/>
      <c r="BW80" s="248"/>
      <c r="BX80" s="248"/>
      <c r="CY80"/>
      <c r="CZ80"/>
    </row>
    <row r="81" spans="1:111" hidden="1">
      <c r="A81" s="498">
        <f>COUNTIF($C$10:$C$11,"Skema 1")+COUNTIF($C$10:$C$11,"Skema 2")+COUNTIF($C$10:$C$11,"Skema 3")+COUNTIF($C$10:$C$11,"Skema 4")+COUNTIF($C$10:$C$11,"Fagdag")+COUNTIF($C$10:$C$11,"Emnedag")+COUNTIF($C$10:$C$11,"Lejrskole")+COUNTIF($C$10:$C$11,"Ekskursion")+COUNTIF($C$10:$C$11,"Pæd.dag")</f>
        <v>0</v>
      </c>
      <c r="B81" s="498"/>
      <c r="C81" s="498"/>
      <c r="D81" s="498"/>
      <c r="E81" s="498"/>
      <c r="F81" s="498" t="s">
        <v>201</v>
      </c>
      <c r="G81" s="498">
        <f>COUNTIFS($B$9:$B$38,"ma",[0]!November,"Skema 4")</f>
        <v>0</v>
      </c>
      <c r="H81" s="498"/>
      <c r="I81" s="506"/>
      <c r="J81" s="511"/>
      <c r="K81" s="511"/>
      <c r="L81" s="511"/>
      <c r="M81" s="4"/>
      <c r="N81" s="4"/>
      <c r="O81" s="4"/>
      <c r="P81" s="4"/>
      <c r="R81">
        <f t="shared" si="36"/>
        <v>0</v>
      </c>
      <c r="V81">
        <f t="shared" si="37"/>
        <v>0</v>
      </c>
      <c r="Y81"/>
      <c r="Z81"/>
      <c r="AO81" s="1"/>
      <c r="BL81" s="1"/>
      <c r="BW81" s="248"/>
      <c r="BX81" s="248"/>
      <c r="CY81"/>
      <c r="CZ81"/>
    </row>
    <row r="82" spans="1:111" hidden="1">
      <c r="A82" s="498">
        <f>COUNTIF($C$17:$C$18,"Skema 1")+COUNTIF($C$17:$C$18,"Skema 2")+COUNTIF($C$17:$C$18,"Skema 3")+COUNTIF($C$17:$C$18,"Skema 4")+COUNTIF($C$17:$C$18,"Fagdag")+COUNTIF($C$17:$C$18,"Emnedag")+COUNTIF($C$17:$C$18,"Lejrskole")+COUNTIF($C$17:$C$18,"Ekskursion")+COUNTIF($C$17:$C$18,"Pæd.dag")</f>
        <v>0</v>
      </c>
      <c r="B82" s="498"/>
      <c r="C82" s="498"/>
      <c r="D82" s="498"/>
      <c r="E82" s="498"/>
      <c r="F82" s="498" t="s">
        <v>202</v>
      </c>
      <c r="G82" s="498">
        <f>COUNTIFS($B$9:$B$38,"ti",[0]!November,"Skema 4")</f>
        <v>0</v>
      </c>
      <c r="H82" s="498"/>
      <c r="I82" s="506"/>
      <c r="J82" s="511"/>
      <c r="K82" s="511"/>
      <c r="L82" s="511"/>
      <c r="M82" s="4"/>
      <c r="N82" s="4"/>
      <c r="O82" s="4"/>
      <c r="P82" s="4"/>
      <c r="R82">
        <f t="shared" si="36"/>
        <v>0</v>
      </c>
      <c r="V82">
        <f t="shared" si="37"/>
        <v>0</v>
      </c>
      <c r="Y82"/>
      <c r="Z82"/>
      <c r="AO82" s="1"/>
      <c r="BL82" s="1"/>
      <c r="BW82" s="248"/>
      <c r="BX82" s="248"/>
      <c r="CY82"/>
      <c r="CZ82"/>
    </row>
    <row r="83" spans="1:111" hidden="1">
      <c r="A83" s="498">
        <f>COUNTIF($C$24:$C$25,"Skema 1")+COUNTIF($C$24:$C$25,"Skema 2")+COUNTIF($C$24:$C$25,"Skema 3")+COUNTIF($C$24:$C$25,"Skema 4")+COUNTIF($C$24:$C$25,"Fagdag")+COUNTIF($C$24:$C$25,"Emnedag")+COUNTIF($C$24:$C$25,"Lejrskole")+COUNTIF($C$24:$C$25,"Ekskursion")+COUNTIF($C$24:$C$25,"Pæd.dag")</f>
        <v>0</v>
      </c>
      <c r="B83" s="498"/>
      <c r="C83" s="498"/>
      <c r="D83" s="498"/>
      <c r="E83" s="498"/>
      <c r="F83" s="498" t="s">
        <v>203</v>
      </c>
      <c r="G83" s="498">
        <f>COUNTIFS($B$9:$B$38,"on",[0]!November,"Skema 4")</f>
        <v>0</v>
      </c>
      <c r="H83" s="498"/>
      <c r="I83" s="506"/>
      <c r="J83" s="511"/>
      <c r="K83" s="511"/>
      <c r="L83" s="511"/>
      <c r="M83" s="4"/>
      <c r="N83" s="4"/>
      <c r="O83" s="4"/>
      <c r="P83" s="4"/>
      <c r="R83">
        <f t="shared" si="36"/>
        <v>0</v>
      </c>
      <c r="V83">
        <f t="shared" si="37"/>
        <v>0</v>
      </c>
      <c r="Y83"/>
      <c r="Z83"/>
      <c r="AO83" s="1"/>
      <c r="BL83" s="1"/>
      <c r="BW83" s="248"/>
      <c r="BX83" s="248"/>
      <c r="CY83"/>
      <c r="CZ83"/>
    </row>
    <row r="84" spans="1:111" hidden="1">
      <c r="A84" s="498">
        <f>COUNTIF($C$31:$C$32,"Skema 1")+COUNTIF($C$31:$C$32,"Skema 2")+COUNTIF($C$31:$C$32,"Skema 3")+COUNTIF($C$31:$C$32,"Skema 4")+COUNTIF($C$31:$C$32,"Fagdag")+COUNTIF($C$31:$C$32,"Emnedag")+COUNTIF($C$31:$C$32,"Lejrskole")+COUNTIF($C$31:$C$32,"Ekskursion")+COUNTIF($C$31:$C$32,"Pæd.dag")</f>
        <v>0</v>
      </c>
      <c r="B84" s="498"/>
      <c r="C84" s="498"/>
      <c r="D84" s="498"/>
      <c r="E84" s="498"/>
      <c r="F84" s="498" t="s">
        <v>204</v>
      </c>
      <c r="G84" s="498">
        <f>COUNTIFS($B$9:$B$38,"to",[0]!November,"Skema 4")</f>
        <v>0</v>
      </c>
      <c r="H84" s="498"/>
      <c r="I84" s="506"/>
      <c r="J84" s="511"/>
      <c r="K84" s="511"/>
      <c r="L84" s="511"/>
      <c r="M84" s="4"/>
      <c r="N84" s="4"/>
      <c r="O84" s="4"/>
      <c r="P84" s="4"/>
      <c r="R84">
        <f t="shared" si="36"/>
        <v>0</v>
      </c>
      <c r="V84">
        <f t="shared" si="37"/>
        <v>0</v>
      </c>
      <c r="Y84"/>
      <c r="Z84"/>
      <c r="AO84" s="1">
        <f>SUM(N84:AN84)</f>
        <v>0</v>
      </c>
      <c r="BL84" s="1">
        <f>SUM(AI84:BK84)</f>
        <v>0</v>
      </c>
      <c r="BW84" s="248"/>
      <c r="BX84" s="248"/>
      <c r="CY84"/>
      <c r="CZ84"/>
    </row>
    <row r="85" spans="1:111" hidden="1">
      <c r="A85" s="498">
        <f>COUNTIF($C$38,"Skema 1")+COUNTIF($C$38,"Skema 2")+COUNTIF($C$38,"Skema 3")+COUNTIF($C$38,"Skema 4")+COUNTIF($C$38,"Fagdag")+COUNTIF($C$38,"Emnedag")+COUNTIF($C$38,"Lejrskole")+COUNTIF($C$38,"Ekskursion")+COUNTIF($C$38,"Pæd.dag")</f>
        <v>0</v>
      </c>
      <c r="B85" s="498"/>
      <c r="C85" s="498"/>
      <c r="D85" s="498"/>
      <c r="E85" s="498"/>
      <c r="F85" s="498" t="s">
        <v>205</v>
      </c>
      <c r="G85" s="498">
        <f>COUNTIFS($B$9:$B$38,"fr",[0]!November,"Skema 4")</f>
        <v>0</v>
      </c>
      <c r="H85" s="498"/>
      <c r="I85" s="498"/>
      <c r="J85" s="501"/>
      <c r="K85" s="501"/>
      <c r="L85" s="41"/>
      <c r="R85">
        <f t="shared" si="36"/>
        <v>0</v>
      </c>
      <c r="V85">
        <f t="shared" si="37"/>
        <v>0</v>
      </c>
      <c r="Y85"/>
      <c r="Z85"/>
      <c r="AO85" s="1">
        <f>SUM(N85:AN85)</f>
        <v>0</v>
      </c>
      <c r="BL85" s="1">
        <f>SUM(AI85:BK85)</f>
        <v>0</v>
      </c>
      <c r="BW85" s="248"/>
      <c r="BX85" s="248"/>
      <c r="CY85"/>
      <c r="CZ85"/>
    </row>
    <row r="86" spans="1:111" hidden="1">
      <c r="A86" s="498">
        <f>SUM(A81:A85)</f>
        <v>0</v>
      </c>
      <c r="B86" s="498"/>
      <c r="C86" s="498"/>
      <c r="D86" s="498"/>
      <c r="E86" s="498"/>
      <c r="F86" s="498"/>
      <c r="G86" s="503">
        <f>SUM(G63:G85)</f>
        <v>20</v>
      </c>
      <c r="H86" s="501"/>
      <c r="I86" s="498"/>
      <c r="J86" s="501"/>
      <c r="K86" s="501"/>
      <c r="L86" s="41"/>
      <c r="R86">
        <f t="shared" si="36"/>
        <v>0</v>
      </c>
      <c r="V86">
        <f t="shared" si="37"/>
        <v>0</v>
      </c>
      <c r="Y86"/>
      <c r="Z86"/>
      <c r="AO86" s="1">
        <f>SUM(N86:AN86)</f>
        <v>0</v>
      </c>
      <c r="BL86" s="1">
        <f>SUM(AI86:BK86)</f>
        <v>0</v>
      </c>
      <c r="BW86" s="248"/>
      <c r="BX86" s="248"/>
      <c r="CY86"/>
      <c r="CZ86"/>
    </row>
    <row r="87" spans="1:111" hidden="1">
      <c r="A87" s="501"/>
      <c r="B87" s="501"/>
      <c r="C87" s="501"/>
      <c r="D87" s="501"/>
      <c r="E87" s="498"/>
      <c r="F87" s="498"/>
      <c r="G87" s="498"/>
      <c r="H87" s="41"/>
      <c r="I87" s="501"/>
      <c r="J87" s="501"/>
      <c r="K87" s="501"/>
      <c r="L87" s="41"/>
      <c r="R87">
        <f t="shared" si="36"/>
        <v>0</v>
      </c>
      <c r="V87">
        <f t="shared" si="37"/>
        <v>0</v>
      </c>
      <c r="Y87"/>
      <c r="Z87"/>
      <c r="AO87" s="1">
        <f>SUM(N87:AN87)</f>
        <v>0</v>
      </c>
      <c r="BL87" s="1">
        <f>SUM(AI87:BK87)</f>
        <v>0</v>
      </c>
      <c r="BW87" s="248"/>
      <c r="BX87" s="248"/>
      <c r="CY87"/>
      <c r="CZ87"/>
    </row>
    <row r="88" spans="1:111" hidden="1">
      <c r="A88" s="501"/>
      <c r="B88" s="501"/>
      <c r="C88" s="501"/>
      <c r="D88" s="501"/>
      <c r="E88" s="498"/>
      <c r="F88" s="498"/>
      <c r="G88" s="498"/>
      <c r="H88" s="41"/>
      <c r="I88" s="41"/>
      <c r="J88" s="501"/>
      <c r="K88" s="501"/>
      <c r="L88" s="41"/>
      <c r="R88">
        <f t="shared" si="36"/>
        <v>0</v>
      </c>
      <c r="V88">
        <f t="shared" si="37"/>
        <v>0</v>
      </c>
      <c r="Y88"/>
      <c r="Z88"/>
      <c r="BW88" s="248"/>
      <c r="BX88" s="248"/>
      <c r="CY88"/>
      <c r="CZ88"/>
    </row>
    <row r="89" spans="1:111" hidden="1">
      <c r="A89" s="501"/>
      <c r="B89" s="501"/>
      <c r="C89" s="501"/>
      <c r="D89" s="501"/>
      <c r="E89" s="498"/>
      <c r="F89" s="498"/>
      <c r="G89" s="498"/>
      <c r="H89" s="41"/>
      <c r="I89" s="41"/>
      <c r="J89" s="41"/>
      <c r="K89" s="41"/>
      <c r="L89" s="41"/>
      <c r="R89">
        <f t="shared" si="36"/>
        <v>0</v>
      </c>
      <c r="V89">
        <f t="shared" si="37"/>
        <v>0</v>
      </c>
      <c r="Y89"/>
      <c r="Z89"/>
      <c r="BW89" s="248"/>
      <c r="BX89" s="248"/>
      <c r="CY89"/>
      <c r="CZ89"/>
    </row>
    <row r="90" spans="1:111" hidden="1">
      <c r="A90" s="501"/>
      <c r="B90" s="501"/>
      <c r="C90" s="501"/>
      <c r="D90" s="501"/>
      <c r="E90" s="498"/>
      <c r="F90" s="498"/>
      <c r="G90" s="498"/>
      <c r="H90" s="41"/>
      <c r="I90" s="41"/>
      <c r="J90" s="41"/>
      <c r="K90" s="41"/>
      <c r="L90" s="41"/>
      <c r="R90">
        <f t="shared" si="36"/>
        <v>0</v>
      </c>
      <c r="V90">
        <f t="shared" si="37"/>
        <v>0</v>
      </c>
      <c r="Y90"/>
      <c r="Z90"/>
      <c r="BW90" s="248"/>
      <c r="BX90" s="248"/>
      <c r="CY90"/>
      <c r="CZ90"/>
    </row>
    <row r="91" spans="1:111" hidden="1">
      <c r="A91" s="501"/>
      <c r="B91" s="501"/>
      <c r="C91" s="501"/>
      <c r="D91" s="501"/>
      <c r="E91" s="498"/>
      <c r="F91" s="498"/>
      <c r="G91" s="498"/>
      <c r="I91" s="41"/>
      <c r="J91" s="41"/>
      <c r="K91" s="41"/>
      <c r="L91" s="41"/>
      <c r="R91">
        <f t="shared" si="36"/>
        <v>0</v>
      </c>
      <c r="V91">
        <f t="shared" si="37"/>
        <v>0</v>
      </c>
      <c r="Y91"/>
      <c r="Z91"/>
      <c r="BW91" s="248"/>
      <c r="BX91" s="248"/>
      <c r="CY91"/>
      <c r="CZ91"/>
    </row>
    <row r="92" spans="1:111" hidden="1">
      <c r="A92" s="501"/>
      <c r="B92" s="501"/>
      <c r="C92" s="501"/>
      <c r="D92" s="501"/>
      <c r="E92" s="498"/>
      <c r="F92" s="498"/>
      <c r="G92" s="498"/>
      <c r="I92" s="41"/>
      <c r="J92" s="41"/>
      <c r="K92" s="41"/>
      <c r="L92" s="41"/>
      <c r="R92">
        <f t="shared" si="36"/>
        <v>0</v>
      </c>
      <c r="V92">
        <f t="shared" si="37"/>
        <v>0</v>
      </c>
      <c r="Y92"/>
      <c r="Z92"/>
      <c r="BW92" s="248"/>
      <c r="BX92" s="248"/>
      <c r="CY92"/>
      <c r="CZ92"/>
    </row>
    <row r="93" spans="1:111" hidden="1">
      <c r="A93" s="501"/>
      <c r="B93" s="501"/>
      <c r="C93" s="501"/>
      <c r="D93" s="501"/>
      <c r="E93" s="498"/>
      <c r="F93" s="498"/>
      <c r="G93" s="498"/>
      <c r="I93" s="41"/>
      <c r="J93" s="41"/>
      <c r="K93" s="41"/>
      <c r="L93" s="41"/>
      <c r="R93">
        <f t="shared" si="36"/>
        <v>0</v>
      </c>
      <c r="V93">
        <f t="shared" si="37"/>
        <v>0</v>
      </c>
      <c r="Y93"/>
      <c r="Z93"/>
      <c r="AD93" s="4"/>
      <c r="AE93" s="231"/>
      <c r="AF93" s="231"/>
      <c r="AG93" s="231"/>
      <c r="AH93" s="231"/>
      <c r="CY93"/>
      <c r="CZ93"/>
      <c r="DF93" s="248"/>
      <c r="DG93" s="248"/>
    </row>
    <row r="94" spans="1:111" hidden="1">
      <c r="A94" s="445"/>
      <c r="B94" s="445"/>
      <c r="C94" s="445"/>
      <c r="D94" s="445"/>
      <c r="E94" s="118"/>
      <c r="F94" s="118"/>
      <c r="G94" s="118"/>
      <c r="I94" s="41"/>
      <c r="J94" s="41"/>
      <c r="K94" s="41"/>
      <c r="L94" s="41"/>
      <c r="R94">
        <f t="shared" si="36"/>
        <v>0</v>
      </c>
      <c r="V94">
        <f t="shared" si="37"/>
        <v>0</v>
      </c>
      <c r="Y94"/>
      <c r="Z94"/>
      <c r="AD94" s="4"/>
      <c r="AE94" s="231"/>
      <c r="AF94" s="231"/>
      <c r="AG94" s="231"/>
      <c r="AH94" s="231"/>
      <c r="CY94"/>
      <c r="CZ94"/>
      <c r="DF94" s="248"/>
      <c r="DG94" s="248"/>
    </row>
    <row r="95" spans="1:111" hidden="1">
      <c r="A95" s="445"/>
      <c r="B95" s="445"/>
      <c r="C95" s="445"/>
      <c r="D95" s="445"/>
      <c r="E95" s="118"/>
      <c r="F95" s="118"/>
      <c r="G95" s="118"/>
      <c r="I95" s="41"/>
      <c r="J95" s="41"/>
      <c r="K95" s="41"/>
      <c r="L95" s="41"/>
      <c r="R95">
        <f t="shared" si="36"/>
        <v>0</v>
      </c>
      <c r="V95">
        <f t="shared" si="37"/>
        <v>0</v>
      </c>
    </row>
    <row r="96" spans="1:111" hidden="1">
      <c r="A96" s="445"/>
      <c r="B96" s="445"/>
      <c r="C96" s="445"/>
      <c r="D96" s="445"/>
      <c r="E96" s="118"/>
      <c r="F96" s="118"/>
      <c r="G96" s="118"/>
      <c r="I96" s="41"/>
      <c r="J96" s="41"/>
      <c r="K96" s="41"/>
      <c r="L96" s="41"/>
      <c r="R96">
        <f t="shared" si="36"/>
        <v>0</v>
      </c>
      <c r="V96">
        <f t="shared" si="37"/>
        <v>0</v>
      </c>
    </row>
    <row r="97" spans="1:22" hidden="1">
      <c r="A97" s="445"/>
      <c r="B97" s="445"/>
      <c r="C97" s="445"/>
      <c r="D97" s="445"/>
      <c r="E97" s="445"/>
      <c r="F97" s="445"/>
      <c r="G97" s="445"/>
      <c r="I97" s="41"/>
      <c r="J97" s="41"/>
      <c r="K97" s="41"/>
      <c r="L97" s="41"/>
      <c r="R97">
        <f t="shared" si="36"/>
        <v>0</v>
      </c>
      <c r="V97">
        <f t="shared" si="37"/>
        <v>0</v>
      </c>
    </row>
    <row r="98" spans="1:22" hidden="1">
      <c r="A98" s="445"/>
      <c r="B98" s="445"/>
      <c r="C98" s="445"/>
      <c r="D98" s="445"/>
      <c r="I98" s="41"/>
      <c r="J98" s="41"/>
      <c r="K98" s="41"/>
      <c r="L98" s="41"/>
      <c r="R98">
        <f t="shared" si="36"/>
        <v>0</v>
      </c>
      <c r="V98">
        <f t="shared" si="37"/>
        <v>0</v>
      </c>
    </row>
    <row r="99" spans="1:22" hidden="1">
      <c r="I99" s="41"/>
      <c r="J99" s="41"/>
      <c r="K99" s="41"/>
      <c r="L99" s="445"/>
      <c r="R99">
        <f t="shared" si="36"/>
        <v>0</v>
      </c>
      <c r="V99">
        <f t="shared" si="37"/>
        <v>0</v>
      </c>
    </row>
    <row r="100" spans="1:22" hidden="1">
      <c r="I100" s="41"/>
      <c r="J100" s="41"/>
      <c r="K100" s="41"/>
      <c r="L100" s="445"/>
      <c r="R100">
        <f t="shared" si="36"/>
        <v>0</v>
      </c>
      <c r="V100">
        <f t="shared" si="37"/>
        <v>0</v>
      </c>
    </row>
    <row r="101" spans="1:22" hidden="1">
      <c r="I101" s="41"/>
      <c r="J101" s="41"/>
      <c r="K101" s="41"/>
      <c r="L101" s="445"/>
      <c r="R101">
        <f t="shared" si="36"/>
        <v>0</v>
      </c>
      <c r="V101">
        <f t="shared" si="37"/>
        <v>0</v>
      </c>
    </row>
    <row r="102" spans="1:22" hidden="1">
      <c r="I102" s="445"/>
      <c r="J102" s="41"/>
      <c r="K102" s="41"/>
      <c r="L102" s="445"/>
      <c r="R102">
        <f t="shared" si="36"/>
        <v>0</v>
      </c>
      <c r="V102">
        <f t="shared" si="37"/>
        <v>0</v>
      </c>
    </row>
    <row r="103" spans="1:22" hidden="1">
      <c r="I103" s="445"/>
      <c r="J103" s="445"/>
      <c r="K103" s="445"/>
      <c r="L103" s="445"/>
      <c r="R103">
        <f t="shared" si="36"/>
        <v>0</v>
      </c>
      <c r="V103">
        <f t="shared" si="37"/>
        <v>0</v>
      </c>
    </row>
    <row r="104" spans="1:22" ht="17" hidden="1" thickBot="1">
      <c r="I104" s="445"/>
      <c r="J104" s="445"/>
      <c r="K104" s="445"/>
      <c r="L104" s="445"/>
      <c r="R104">
        <f t="shared" si="36"/>
        <v>0</v>
      </c>
      <c r="V104">
        <f t="shared" si="37"/>
        <v>0</v>
      </c>
    </row>
    <row r="105" spans="1:22" ht="17" hidden="1" thickBot="1">
      <c r="I105" s="445"/>
      <c r="J105" s="445"/>
      <c r="K105" s="445"/>
      <c r="L105" s="445"/>
      <c r="R105" s="693">
        <f>SUM(R74:R104)+FB40</f>
        <v>0</v>
      </c>
      <c r="V105">
        <f>SUM(V74:V104)</f>
        <v>0</v>
      </c>
    </row>
    <row r="106" spans="1:22" hidden="1">
      <c r="I106" s="445"/>
      <c r="J106" s="445"/>
      <c r="K106" s="445"/>
      <c r="L106" s="445"/>
    </row>
    <row r="107" spans="1:22" hidden="1"/>
  </sheetData>
  <sheetProtection sheet="1" objects="1" scenarios="1"/>
  <mergeCells count="173">
    <mergeCell ref="FQ8:FR8"/>
    <mergeCell ref="DS8:DV8"/>
    <mergeCell ref="DZ8:EB8"/>
    <mergeCell ref="EG8:EI8"/>
    <mergeCell ref="EM8:EN8"/>
    <mergeCell ref="EQ8:ER8"/>
    <mergeCell ref="EU8:EV8"/>
    <mergeCell ref="FC8:FD8"/>
    <mergeCell ref="FG8:FH8"/>
    <mergeCell ref="FK8:FL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A66:C66"/>
    <mergeCell ref="M41:X41"/>
    <mergeCell ref="M42:U42"/>
    <mergeCell ref="V42:X42"/>
    <mergeCell ref="M43:U43"/>
    <mergeCell ref="V43:X43"/>
    <mergeCell ref="M44:U44"/>
    <mergeCell ref="V44:X44"/>
    <mergeCell ref="M45:U45"/>
    <mergeCell ref="V45:X45"/>
    <mergeCell ref="A42:G42"/>
    <mergeCell ref="I42:K42"/>
    <mergeCell ref="A43:G43"/>
    <mergeCell ref="I43:K43"/>
    <mergeCell ref="A55:K55"/>
    <mergeCell ref="A56:B56"/>
    <mergeCell ref="C56:D56"/>
    <mergeCell ref="E56:G56"/>
    <mergeCell ref="H56:K56"/>
    <mergeCell ref="A57:B57"/>
    <mergeCell ref="C57:D57"/>
    <mergeCell ref="E57:G57"/>
    <mergeCell ref="I57:K57"/>
    <mergeCell ref="A58:B58"/>
    <mergeCell ref="E36:G36"/>
    <mergeCell ref="E37:G37"/>
    <mergeCell ref="E38:G38"/>
    <mergeCell ref="A39:I39"/>
    <mergeCell ref="A41:G41"/>
    <mergeCell ref="I41:K41"/>
    <mergeCell ref="C58:D58"/>
    <mergeCell ref="E58:G58"/>
    <mergeCell ref="I58:K58"/>
    <mergeCell ref="A46:G46"/>
    <mergeCell ref="I46:K46"/>
    <mergeCell ref="A44:G44"/>
    <mergeCell ref="I44:K44"/>
    <mergeCell ref="A45:G45"/>
    <mergeCell ref="I45:K45"/>
    <mergeCell ref="A65:C65"/>
    <mergeCell ref="M51:U51"/>
    <mergeCell ref="V51:X51"/>
    <mergeCell ref="A52:G53"/>
    <mergeCell ref="I52:K52"/>
    <mergeCell ref="M52:U52"/>
    <mergeCell ref="V52:X52"/>
    <mergeCell ref="I53:K53"/>
    <mergeCell ref="A59:B59"/>
    <mergeCell ref="C59:D59"/>
    <mergeCell ref="E59:G59"/>
    <mergeCell ref="I59:K59"/>
    <mergeCell ref="A60:B60"/>
    <mergeCell ref="C60:D60"/>
    <mergeCell ref="E60:G60"/>
    <mergeCell ref="M47:U47"/>
    <mergeCell ref="V47:X47"/>
    <mergeCell ref="A47:H47"/>
    <mergeCell ref="I47:K47"/>
    <mergeCell ref="A64:C64"/>
    <mergeCell ref="A49:H49"/>
    <mergeCell ref="I49:K49"/>
    <mergeCell ref="I50:K50"/>
    <mergeCell ref="M48:U48"/>
    <mergeCell ref="V48:X48"/>
    <mergeCell ref="M49:U49"/>
    <mergeCell ref="V49:X49"/>
    <mergeCell ref="M50:U50"/>
    <mergeCell ref="V50:X50"/>
    <mergeCell ref="I60:K60"/>
    <mergeCell ref="A61:G61"/>
    <mergeCell ref="I61:K61"/>
    <mergeCell ref="A54:G54"/>
    <mergeCell ref="I54:K54"/>
    <mergeCell ref="A48:H48"/>
    <mergeCell ref="I48:K48"/>
    <mergeCell ref="BQ6:BU6"/>
    <mergeCell ref="BV6:BZ6"/>
    <mergeCell ref="CD6:CH6"/>
    <mergeCell ref="CI6:CM6"/>
    <mergeCell ref="CN6:CR6"/>
    <mergeCell ref="CS6:CW6"/>
    <mergeCell ref="AL6:AP6"/>
    <mergeCell ref="AQ6:AU6"/>
    <mergeCell ref="AV6:AZ6"/>
    <mergeCell ref="BC6:BF6"/>
    <mergeCell ref="BG6:BK6"/>
    <mergeCell ref="M46:X46"/>
    <mergeCell ref="BL6:BP6"/>
    <mergeCell ref="P6:P7"/>
    <mergeCell ref="AA6:AE6"/>
    <mergeCell ref="AG6:AK6"/>
    <mergeCell ref="S5:X5"/>
    <mergeCell ref="S6:X6"/>
    <mergeCell ref="S8:U8"/>
    <mergeCell ref="V8:X8"/>
    <mergeCell ref="A3:X3"/>
    <mergeCell ref="E11:G11"/>
    <mergeCell ref="E12:G12"/>
    <mergeCell ref="E13:G13"/>
    <mergeCell ref="E14:G14"/>
    <mergeCell ref="B2:E2"/>
    <mergeCell ref="E4:G4"/>
    <mergeCell ref="K4:L4"/>
    <mergeCell ref="A5:R5"/>
    <mergeCell ref="A4:D4"/>
    <mergeCell ref="I8:J8"/>
    <mergeCell ref="K8:R8"/>
    <mergeCell ref="I6:I7"/>
    <mergeCell ref="J6:J7"/>
    <mergeCell ref="Q6:Q7"/>
    <mergeCell ref="R6:R7"/>
    <mergeCell ref="E6:G8"/>
    <mergeCell ref="K6:L6"/>
    <mergeCell ref="N6:N7"/>
    <mergeCell ref="O6:O7"/>
    <mergeCell ref="A7:D8"/>
    <mergeCell ref="H7:H8"/>
    <mergeCell ref="E9:G9"/>
    <mergeCell ref="E10:G10"/>
    <mergeCell ref="DA6:DE6"/>
    <mergeCell ref="EY8:EZ8"/>
    <mergeCell ref="EW6:EZ6"/>
    <mergeCell ref="E15:G15"/>
    <mergeCell ref="E16:G16"/>
    <mergeCell ref="E34:G34"/>
    <mergeCell ref="E35:G35"/>
    <mergeCell ref="E23:G23"/>
    <mergeCell ref="E24:G24"/>
    <mergeCell ref="E25:G25"/>
    <mergeCell ref="E26:G26"/>
    <mergeCell ref="E27:G27"/>
    <mergeCell ref="E28:G28"/>
    <mergeCell ref="E17:G17"/>
    <mergeCell ref="E18:G18"/>
    <mergeCell ref="E19:G19"/>
    <mergeCell ref="E20:G20"/>
    <mergeCell ref="E21:G21"/>
    <mergeCell ref="E22:G22"/>
    <mergeCell ref="E29:G29"/>
    <mergeCell ref="E30:G30"/>
    <mergeCell ref="E31:G31"/>
    <mergeCell ref="E33:G33"/>
    <mergeCell ref="E32:G32"/>
  </mergeCells>
  <phoneticPr fontId="5" type="noConversion"/>
  <conditionalFormatting sqref="A9:H38">
    <cfRule type="expression" dxfId="745" priority="42">
      <formula>OR($C9="ekskursion")</formula>
    </cfRule>
    <cfRule type="expression" dxfId="744" priority="48" stopIfTrue="1">
      <formula>OR($C9="Orlov")</formula>
    </cfRule>
    <cfRule type="expression" dxfId="743" priority="47">
      <formula>OR($C9="weekend")</formula>
    </cfRule>
    <cfRule type="expression" dxfId="742" priority="46">
      <formula>OR($C9="feriedag")</formula>
    </cfRule>
    <cfRule type="expression" dxfId="741" priority="45">
      <formula>OR($C9="fagdag")</formula>
    </cfRule>
    <cfRule type="expression" dxfId="740" priority="44">
      <formula>OR($C9="emnedag")</formula>
    </cfRule>
    <cfRule type="expression" dxfId="739" priority="43">
      <formula>OR($C9="lejrskole")</formula>
    </cfRule>
    <cfRule type="expression" dxfId="738" priority="41">
      <formula>OR($C9="SH-dag")</formula>
    </cfRule>
    <cfRule type="expression" dxfId="737" priority="40">
      <formula>OR($C9="nul-dag")</formula>
    </cfRule>
    <cfRule type="expression" dxfId="736" priority="39">
      <formula>OR($C9="pæd.dag")</formula>
    </cfRule>
    <cfRule type="expression" dxfId="735" priority="38">
      <formula>OR($C9="Ikke relevant")</formula>
    </cfRule>
    <cfRule type="expression" dxfId="734" priority="34">
      <formula>OR($C9="Skema 1")</formula>
    </cfRule>
    <cfRule type="expression" dxfId="733" priority="35">
      <formula>OR($C9="skema 2")</formula>
    </cfRule>
    <cfRule type="expression" dxfId="732" priority="36">
      <formula>OR($C9="Skema 3")</formula>
    </cfRule>
    <cfRule type="expression" dxfId="731" priority="37">
      <formula>OR($C9="Skema 4")</formula>
    </cfRule>
  </conditionalFormatting>
  <conditionalFormatting sqref="E20">
    <cfRule type="expression" dxfId="730" priority="50">
      <formula>OR($D19="nul-dag")</formula>
    </cfRule>
    <cfRule type="expression" dxfId="729" priority="51">
      <formula>OR($D19="SH-dag")</formula>
    </cfRule>
    <cfRule type="expression" dxfId="728" priority="52">
      <formula>OR($D19="ekskursion")</formula>
    </cfRule>
    <cfRule type="expression" dxfId="727" priority="53">
      <formula>OR($D19="lejrskole")</formula>
    </cfRule>
    <cfRule type="expression" dxfId="726" priority="49">
      <formula>OR($D19="pæd.dag")</formula>
    </cfRule>
    <cfRule type="expression" dxfId="725" priority="54">
      <formula>OR($D19="emnedag")</formula>
    </cfRule>
    <cfRule type="expression" dxfId="724" priority="55">
      <formula>OR($D19="fagdag")</formula>
    </cfRule>
    <cfRule type="expression" dxfId="723" priority="56">
      <formula>OR($D19="feriedag")</formula>
    </cfRule>
    <cfRule type="expression" dxfId="722" priority="57">
      <formula>OR($D19="weekend")</formula>
    </cfRule>
    <cfRule type="expression" dxfId="721" priority="58" stopIfTrue="1">
      <formula>OR($D19="skoledag")</formula>
    </cfRule>
    <cfRule type="expression" dxfId="720" priority="59">
      <formula>OR($D19="Ikke relevant")</formula>
    </cfRule>
  </conditionalFormatting>
  <conditionalFormatting sqref="H57:H60">
    <cfRule type="expression" dxfId="719" priority="1">
      <formula>OR($A57&gt;0,)</formula>
    </cfRule>
  </conditionalFormatting>
  <conditionalFormatting sqref="I57:I60">
    <cfRule type="expression" dxfId="718" priority="2">
      <formula>OR($C57&gt;0,)</formula>
    </cfRule>
  </conditionalFormatting>
  <conditionalFormatting sqref="K9:K38">
    <cfRule type="expression" dxfId="717" priority="31">
      <formula>OR($C9="Pæd.dag",)</formula>
    </cfRule>
  </conditionalFormatting>
  <conditionalFormatting sqref="K9:L38">
    <cfRule type="expression" dxfId="716" priority="33">
      <formula>OR($C9="Ekskursion",)</formula>
    </cfRule>
    <cfRule type="expression" dxfId="715" priority="32">
      <formula>OR($C9="Lejrskole",)</formula>
    </cfRule>
  </conditionalFormatting>
  <conditionalFormatting sqref="K9:M38">
    <cfRule type="expression" dxfId="714" priority="30">
      <formula>OR($C9="emnedag",)</formula>
    </cfRule>
    <cfRule type="expression" dxfId="713" priority="29">
      <formula>OR($C9="fagdag",)</formula>
    </cfRule>
  </conditionalFormatting>
  <conditionalFormatting sqref="R9:R38">
    <cfRule type="expression" dxfId="712" priority="60">
      <formula>OR($H9&gt;"0",)</formula>
    </cfRule>
  </conditionalFormatting>
  <conditionalFormatting sqref="V9:V38">
    <cfRule type="expression" dxfId="711" priority="11">
      <formula>OR($S9="X",)</formula>
    </cfRule>
  </conditionalFormatting>
  <conditionalFormatting sqref="V48:X51">
    <cfRule type="expression" dxfId="710" priority="3">
      <formula>OR($M48&gt;0,)</formula>
    </cfRule>
  </conditionalFormatting>
  <conditionalFormatting sqref="W9:W38">
    <cfRule type="expression" dxfId="709" priority="9">
      <formula>OR($T9="X",)</formula>
    </cfRule>
  </conditionalFormatting>
  <conditionalFormatting sqref="X9:X38">
    <cfRule type="expression" dxfId="708" priority="10">
      <formula>OR($U9="X",)</formula>
    </cfRule>
  </conditionalFormatting>
  <dataValidations count="3">
    <dataValidation type="list" allowBlank="1" showInputMessage="1" showErrorMessage="1" sqref="S9:U38 A57:D60" xr:uid="{EDE9D3BB-3F35-2747-835E-B54B86549652}">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31:I32 I17:I18 I24:I25 I38 I10:I11" xr:uid="{AB8DC5DC-53A9-064F-AC0D-F74976A97A73}">
      <formula1>$W$1:$W$2</formula1>
    </dataValidation>
    <dataValidation type="list" allowBlank="1" showInputMessage="1" showErrorMessage="1" promptTitle="OBS:" prompt="Ved arrangementer med overnatning ydes istedet for ulempe- og weekendgodtgørelse på hhv. 25% og 50% faste tillæg pr. påbegyndt dag. " sqref="J9:J38" xr:uid="{07E5C6AB-8020-F34F-8FE6-46083758EDB3}">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2C9AEEEB-F58D-5246-BA7F-BF5F3C7C9A8D}">
          <x14:formula1>
            <xm:f>August!$A$89:$A$103</xm:f>
          </x14:formula1>
          <xm:sqref>C9:C38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B7D6-73EB-D74A-9E9B-2AE6D07C8FA1}">
  <sheetPr>
    <tabColor theme="4" tint="-0.249977111117893"/>
    <pageSetUpPr fitToPage="1"/>
  </sheetPr>
  <dimension ref="A1:GC114"/>
  <sheetViews>
    <sheetView zoomScale="75" zoomScaleNormal="100" workbookViewId="0">
      <selection activeCell="J21" sqref="J21"/>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1" hidden="1" customWidth="1"/>
    <col min="26" max="26" width="7" style="231"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8" hidden="1" customWidth="1"/>
    <col min="105" max="118" width="10.83203125" hidden="1" customWidth="1"/>
    <col min="119" max="185" width="0" hidden="1" customWidth="1"/>
  </cols>
  <sheetData>
    <row r="1" spans="1:185" ht="16" customHeight="1">
      <c r="A1" s="93"/>
      <c r="B1" s="90"/>
      <c r="C1" s="90"/>
      <c r="D1" s="90"/>
      <c r="E1" s="90"/>
      <c r="F1" s="90"/>
      <c r="G1" s="90"/>
      <c r="H1" s="279"/>
      <c r="I1" s="278"/>
      <c r="J1" s="90"/>
      <c r="K1" s="230"/>
      <c r="L1" s="230"/>
      <c r="M1" s="230"/>
      <c r="N1" s="230"/>
      <c r="O1" s="230"/>
      <c r="P1" s="90"/>
      <c r="Q1" s="90"/>
      <c r="R1" s="90"/>
      <c r="S1" s="90"/>
      <c r="T1" s="90"/>
      <c r="U1" s="90"/>
      <c r="V1" s="90"/>
      <c r="W1" s="90"/>
      <c r="X1" s="41"/>
      <c r="Y1" s="246"/>
      <c r="Z1" s="90"/>
      <c r="AB1" s="90"/>
      <c r="AC1" s="90"/>
      <c r="AH1" s="90"/>
      <c r="AI1" s="90"/>
      <c r="CX1" s="248"/>
      <c r="CZ1"/>
    </row>
    <row r="2" spans="1:185" ht="21" thickBot="1">
      <c r="A2" s="92">
        <v>12</v>
      </c>
      <c r="B2" s="1086"/>
      <c r="C2" s="1086"/>
      <c r="D2" s="1086"/>
      <c r="E2" s="1086"/>
      <c r="F2" s="90"/>
      <c r="G2" s="90"/>
      <c r="H2" s="279"/>
      <c r="I2" s="278"/>
      <c r="J2" s="230"/>
      <c r="K2" s="230"/>
      <c r="L2" s="230"/>
      <c r="M2" s="230"/>
      <c r="N2" s="230"/>
      <c r="O2" s="230"/>
      <c r="P2" s="90"/>
      <c r="Q2" s="90"/>
      <c r="R2" s="90"/>
      <c r="S2" s="90"/>
      <c r="T2" s="90"/>
      <c r="U2" s="90"/>
      <c r="V2" s="90"/>
      <c r="W2" s="123" t="s">
        <v>31</v>
      </c>
      <c r="X2" s="123" t="s">
        <v>31</v>
      </c>
      <c r="Y2"/>
      <c r="Z2" s="90"/>
      <c r="AA2" s="90"/>
      <c r="AE2" s="90"/>
      <c r="AG2" s="90"/>
      <c r="CV2" s="248"/>
      <c r="CW2" s="248"/>
      <c r="CY2"/>
      <c r="CZ2"/>
    </row>
    <row r="3" spans="1:185" ht="17" thickBot="1">
      <c r="A3" s="1115" t="s">
        <v>310</v>
      </c>
      <c r="B3" s="1116"/>
      <c r="C3" s="1116"/>
      <c r="D3" s="1116"/>
      <c r="E3" s="1116"/>
      <c r="F3" s="1116"/>
      <c r="G3" s="1116"/>
      <c r="H3" s="1116"/>
      <c r="I3" s="1116"/>
      <c r="J3" s="1116"/>
      <c r="K3" s="1116"/>
      <c r="L3" s="1116"/>
      <c r="M3" s="1116"/>
      <c r="N3" s="1116"/>
      <c r="O3" s="1116"/>
      <c r="P3" s="1116"/>
      <c r="Q3" s="1116"/>
      <c r="R3" s="1116"/>
      <c r="S3" s="1116"/>
      <c r="T3" s="1116"/>
      <c r="U3" s="1116"/>
      <c r="V3" s="1116"/>
      <c r="W3" s="1116"/>
      <c r="X3" s="1117"/>
      <c r="Y3" s="90"/>
      <c r="Z3"/>
      <c r="AC3" s="90"/>
      <c r="AD3" s="90"/>
      <c r="AF3" s="90"/>
      <c r="CT3" s="248"/>
      <c r="CU3" s="248"/>
      <c r="CY3"/>
      <c r="CZ3"/>
      <c r="FI3" s="878" t="s">
        <v>636</v>
      </c>
      <c r="FJ3" s="879"/>
      <c r="FK3" s="879"/>
      <c r="FL3" s="879"/>
      <c r="FM3" s="879"/>
      <c r="FN3" s="879"/>
      <c r="FO3" s="879"/>
      <c r="FP3" s="879"/>
      <c r="FQ3" s="879"/>
      <c r="FR3" s="879"/>
      <c r="FS3" s="879"/>
      <c r="FT3" s="879"/>
      <c r="FU3" s="879"/>
      <c r="FV3" s="879"/>
      <c r="FW3" s="879"/>
      <c r="FX3" s="879"/>
      <c r="FY3" s="879"/>
      <c r="FZ3" s="879"/>
      <c r="GA3" s="879"/>
      <c r="GB3" s="879"/>
      <c r="GC3" s="880"/>
    </row>
    <row r="4" spans="1:185" ht="254" customHeight="1" thickBot="1">
      <c r="A4" s="915" t="s">
        <v>432</v>
      </c>
      <c r="B4" s="916"/>
      <c r="C4" s="916"/>
      <c r="D4" s="916"/>
      <c r="E4" s="920" t="s">
        <v>311</v>
      </c>
      <c r="F4" s="920"/>
      <c r="G4" s="920"/>
      <c r="H4" s="280" t="s">
        <v>414</v>
      </c>
      <c r="I4" s="438" t="s">
        <v>467</v>
      </c>
      <c r="J4" s="438" t="s">
        <v>468</v>
      </c>
      <c r="K4" s="931" t="s">
        <v>515</v>
      </c>
      <c r="L4" s="931"/>
      <c r="M4" s="486" t="s">
        <v>457</v>
      </c>
      <c r="N4" s="486" t="s">
        <v>433</v>
      </c>
      <c r="O4" s="486" t="s">
        <v>434</v>
      </c>
      <c r="P4" s="487" t="s">
        <v>458</v>
      </c>
      <c r="Q4" s="487" t="s">
        <v>309</v>
      </c>
      <c r="R4" s="487" t="s">
        <v>435</v>
      </c>
      <c r="S4" s="488" t="s">
        <v>465</v>
      </c>
      <c r="T4" s="488" t="s">
        <v>436</v>
      </c>
      <c r="U4" s="488" t="s">
        <v>437</v>
      </c>
      <c r="V4" s="489" t="s">
        <v>459</v>
      </c>
      <c r="W4" s="489" t="s">
        <v>400</v>
      </c>
      <c r="X4" s="490" t="s">
        <v>399</v>
      </c>
      <c r="Y4" s="246"/>
      <c r="Z4" s="90"/>
      <c r="AB4" s="90"/>
      <c r="AC4" s="90"/>
      <c r="AH4" s="90"/>
      <c r="AI4" s="90"/>
      <c r="CX4" s="248"/>
      <c r="CZ4"/>
      <c r="FI4" s="730" t="s">
        <v>634</v>
      </c>
      <c r="FJ4" s="730"/>
      <c r="FK4" s="730"/>
      <c r="FL4" s="730"/>
      <c r="FM4" t="s">
        <v>627</v>
      </c>
      <c r="FO4" s="730" t="s">
        <v>633</v>
      </c>
      <c r="FP4" s="730"/>
      <c r="FQ4" s="730"/>
      <c r="FR4" s="730"/>
    </row>
    <row r="5" spans="1:185" ht="26" customHeight="1" thickBot="1">
      <c r="A5" s="932" t="str">
        <f>""&amp;A7&amp;" måneds kalender for: "&amp;Stamoplysninger!E8&amp;". Måneden vedr. normperioden: "&amp;Stamoplysninger!E11&amp;" - "&amp;Stamoplysninger!G11&amp;"."</f>
        <v>December måneds kalender for: Beate Simonsen. Måneden vedr. normperioden: 01.08.2024 - 31.07.2025.</v>
      </c>
      <c r="B5" s="933"/>
      <c r="C5" s="933"/>
      <c r="D5" s="933"/>
      <c r="E5" s="933"/>
      <c r="F5" s="933"/>
      <c r="G5" s="933"/>
      <c r="H5" s="933"/>
      <c r="I5" s="933"/>
      <c r="J5" s="933"/>
      <c r="K5" s="933"/>
      <c r="L5" s="933"/>
      <c r="M5" s="933"/>
      <c r="N5" s="933"/>
      <c r="O5" s="933"/>
      <c r="P5" s="933"/>
      <c r="Q5" s="933"/>
      <c r="R5" s="933"/>
      <c r="S5" s="925" t="s">
        <v>306</v>
      </c>
      <c r="T5" s="926"/>
      <c r="U5" s="926"/>
      <c r="V5" s="926"/>
      <c r="W5" s="926"/>
      <c r="X5" s="927"/>
      <c r="Y5" s="246"/>
      <c r="Z5" s="90"/>
      <c r="AB5" s="90"/>
      <c r="AC5" s="90"/>
      <c r="AH5" s="90"/>
      <c r="AI5" s="90"/>
      <c r="CX5" s="248"/>
      <c r="CZ5"/>
      <c r="FI5" s="881" t="s">
        <v>620</v>
      </c>
      <c r="FJ5" s="881"/>
      <c r="FK5" s="881"/>
      <c r="FL5" s="881"/>
      <c r="FM5" s="881"/>
      <c r="FN5" s="881"/>
      <c r="FO5" s="881"/>
      <c r="FP5" s="881"/>
      <c r="FQ5" s="881"/>
      <c r="FR5" s="881"/>
      <c r="FU5" t="s">
        <v>635</v>
      </c>
      <c r="FV5" t="s">
        <v>628</v>
      </c>
      <c r="FX5" t="s">
        <v>629</v>
      </c>
      <c r="FZ5" t="s">
        <v>630</v>
      </c>
      <c r="GB5" s="526" t="s">
        <v>631</v>
      </c>
    </row>
    <row r="6" spans="1:185" ht="47" customHeight="1">
      <c r="A6" s="329">
        <f>August!A7</f>
        <v>2024</v>
      </c>
      <c r="B6" s="242"/>
      <c r="C6" s="243"/>
      <c r="D6" s="244"/>
      <c r="E6" s="940" t="s">
        <v>471</v>
      </c>
      <c r="F6" s="941"/>
      <c r="G6" s="942"/>
      <c r="H6" s="326" t="s">
        <v>324</v>
      </c>
      <c r="I6" s="888" t="s">
        <v>466</v>
      </c>
      <c r="J6" s="938" t="s">
        <v>487</v>
      </c>
      <c r="K6" s="934" t="s">
        <v>303</v>
      </c>
      <c r="L6" s="935"/>
      <c r="M6" s="327" t="s">
        <v>304</v>
      </c>
      <c r="N6" s="888" t="s">
        <v>447</v>
      </c>
      <c r="O6" s="888" t="s">
        <v>308</v>
      </c>
      <c r="P6" s="888" t="s">
        <v>456</v>
      </c>
      <c r="Q6" s="888" t="s">
        <v>387</v>
      </c>
      <c r="R6" s="891" t="s">
        <v>516</v>
      </c>
      <c r="S6" s="953" t="s">
        <v>305</v>
      </c>
      <c r="T6" s="954"/>
      <c r="U6" s="954"/>
      <c r="V6" s="954"/>
      <c r="W6" s="954"/>
      <c r="X6" s="955"/>
      <c r="Y6" s="212"/>
      <c r="Z6" s="212"/>
      <c r="AA6" s="890" t="s">
        <v>261</v>
      </c>
      <c r="AB6" s="890"/>
      <c r="AC6" s="890"/>
      <c r="AD6" s="890"/>
      <c r="AE6" s="890"/>
      <c r="AF6" s="209"/>
      <c r="AG6" s="890" t="s">
        <v>222</v>
      </c>
      <c r="AH6" s="890"/>
      <c r="AI6" s="890"/>
      <c r="AJ6" s="890"/>
      <c r="AK6" s="890"/>
      <c r="AL6" s="890" t="s">
        <v>223</v>
      </c>
      <c r="AM6" s="890"/>
      <c r="AN6" s="890"/>
      <c r="AO6" s="890"/>
      <c r="AP6" s="890"/>
      <c r="AQ6" s="890" t="s">
        <v>224</v>
      </c>
      <c r="AR6" s="890"/>
      <c r="AS6" s="890"/>
      <c r="AT6" s="890"/>
      <c r="AU6" s="890"/>
      <c r="AV6" s="890" t="s">
        <v>225</v>
      </c>
      <c r="AW6" s="890"/>
      <c r="AX6" s="890"/>
      <c r="AY6" s="890"/>
      <c r="AZ6" s="890"/>
      <c r="BA6" s="299"/>
      <c r="BB6" s="209"/>
      <c r="BC6" s="890" t="s">
        <v>264</v>
      </c>
      <c r="BD6" s="890"/>
      <c r="BE6" s="890"/>
      <c r="BF6" s="890"/>
      <c r="BG6" s="890" t="s">
        <v>227</v>
      </c>
      <c r="BH6" s="890"/>
      <c r="BI6" s="890"/>
      <c r="BJ6" s="890"/>
      <c r="BK6" s="890"/>
      <c r="BL6" s="890" t="s">
        <v>228</v>
      </c>
      <c r="BM6" s="890"/>
      <c r="BN6" s="890"/>
      <c r="BO6" s="890"/>
      <c r="BP6" s="890"/>
      <c r="BQ6" s="890" t="s">
        <v>229</v>
      </c>
      <c r="BR6" s="890"/>
      <c r="BS6" s="890"/>
      <c r="BT6" s="890"/>
      <c r="BU6" s="890"/>
      <c r="BV6" s="890" t="s">
        <v>230</v>
      </c>
      <c r="BW6" s="890"/>
      <c r="BX6" s="890"/>
      <c r="BY6" s="890"/>
      <c r="BZ6" s="890"/>
      <c r="CD6" s="890" t="s">
        <v>265</v>
      </c>
      <c r="CE6" s="890"/>
      <c r="CF6" s="890"/>
      <c r="CG6" s="890"/>
      <c r="CH6" s="890"/>
      <c r="CI6" s="890" t="s">
        <v>267</v>
      </c>
      <c r="CJ6" s="890"/>
      <c r="CK6" s="890"/>
      <c r="CL6" s="890"/>
      <c r="CM6" s="890"/>
      <c r="CN6" s="890" t="s">
        <v>266</v>
      </c>
      <c r="CO6" s="890"/>
      <c r="CP6" s="890"/>
      <c r="CQ6" s="890"/>
      <c r="CR6" s="890"/>
      <c r="CS6" s="890" t="s">
        <v>268</v>
      </c>
      <c r="CT6" s="890"/>
      <c r="CU6" s="890"/>
      <c r="CV6" s="890"/>
      <c r="CW6" s="890"/>
      <c r="CX6" s="248"/>
      <c r="CZ6"/>
      <c r="DA6" s="730" t="s">
        <v>212</v>
      </c>
      <c r="DB6" s="730"/>
      <c r="DC6" s="730"/>
      <c r="DD6" s="730"/>
      <c r="DE6" s="730"/>
      <c r="DO6" s="1049" t="s">
        <v>320</v>
      </c>
      <c r="DP6" s="1050"/>
      <c r="DQ6" s="1050"/>
      <c r="DR6" s="1050"/>
      <c r="DS6" s="1050"/>
      <c r="DT6" s="1050"/>
      <c r="DU6" s="1050"/>
      <c r="DV6" s="1051"/>
      <c r="DW6" s="1052" t="s">
        <v>320</v>
      </c>
      <c r="DX6" s="1053"/>
      <c r="DY6" s="1053"/>
      <c r="DZ6" s="1053"/>
      <c r="EA6" s="1053"/>
      <c r="EB6" s="1054"/>
      <c r="EC6" s="1055" t="s">
        <v>376</v>
      </c>
      <c r="ED6" s="1056"/>
      <c r="EE6" s="1056"/>
      <c r="EF6" s="1056"/>
      <c r="EG6" s="1056"/>
      <c r="EH6" s="1056"/>
      <c r="EI6" s="1056"/>
      <c r="EJ6" s="1057"/>
      <c r="EK6" s="1058" t="s">
        <v>321</v>
      </c>
      <c r="EL6" s="1059"/>
      <c r="EM6" s="1059"/>
      <c r="EN6" s="1060"/>
      <c r="EO6" s="1058" t="s">
        <v>325</v>
      </c>
      <c r="EP6" s="1059"/>
      <c r="EQ6" s="1059"/>
      <c r="ER6" s="1060"/>
      <c r="ES6" s="873" t="s">
        <v>379</v>
      </c>
      <c r="ET6" s="874"/>
      <c r="EU6" s="874"/>
      <c r="EV6" s="875"/>
      <c r="EW6" s="873" t="s">
        <v>380</v>
      </c>
      <c r="EX6" s="874"/>
      <c r="EY6" s="874"/>
      <c r="EZ6" s="875"/>
      <c r="FA6" s="873" t="s">
        <v>381</v>
      </c>
      <c r="FB6" s="874"/>
      <c r="FC6" s="874"/>
      <c r="FD6" s="875"/>
      <c r="FE6" s="873" t="s">
        <v>382</v>
      </c>
      <c r="FF6" s="874"/>
      <c r="FG6" s="874"/>
      <c r="FH6" s="875"/>
      <c r="FI6" s="883" t="s">
        <v>605</v>
      </c>
      <c r="FJ6" s="884"/>
      <c r="FK6" s="884"/>
      <c r="FL6" s="1061"/>
      <c r="FM6" s="882" t="s">
        <v>381</v>
      </c>
      <c r="FN6" s="882"/>
      <c r="FO6" s="883" t="s">
        <v>632</v>
      </c>
      <c r="FP6" s="884"/>
      <c r="FQ6" s="884"/>
      <c r="FR6" s="885"/>
      <c r="FS6" s="886" t="s">
        <v>622</v>
      </c>
      <c r="FT6" s="887"/>
      <c r="FU6" t="s">
        <v>625</v>
      </c>
      <c r="FV6" s="882" t="s">
        <v>379</v>
      </c>
      <c r="FW6" s="882"/>
      <c r="FX6" s="882" t="s">
        <v>380</v>
      </c>
      <c r="FY6" s="882"/>
      <c r="FZ6" s="882" t="s">
        <v>382</v>
      </c>
      <c r="GA6" s="882"/>
      <c r="GB6" s="882" t="s">
        <v>378</v>
      </c>
      <c r="GC6" s="882"/>
    </row>
    <row r="7" spans="1:185" ht="184" customHeight="1">
      <c r="A7" s="997" t="s">
        <v>282</v>
      </c>
      <c r="B7" s="998"/>
      <c r="C7" s="998"/>
      <c r="D7" s="999"/>
      <c r="E7" s="943"/>
      <c r="F7" s="944"/>
      <c r="G7" s="945"/>
      <c r="H7" s="952" t="s">
        <v>486</v>
      </c>
      <c r="I7" s="937"/>
      <c r="J7" s="939"/>
      <c r="K7" s="328" t="s">
        <v>517</v>
      </c>
      <c r="L7" s="328" t="s">
        <v>518</v>
      </c>
      <c r="M7" s="328" t="s">
        <v>519</v>
      </c>
      <c r="N7" s="889"/>
      <c r="O7" s="889"/>
      <c r="P7" s="889"/>
      <c r="Q7" s="889"/>
      <c r="R7" s="892"/>
      <c r="S7" s="492" t="s">
        <v>738</v>
      </c>
      <c r="T7" s="327" t="s">
        <v>307</v>
      </c>
      <c r="U7" s="327" t="s">
        <v>401</v>
      </c>
      <c r="V7" s="443" t="s">
        <v>439</v>
      </c>
      <c r="W7" s="443" t="s">
        <v>438</v>
      </c>
      <c r="X7" s="444" t="s">
        <v>398</v>
      </c>
      <c r="Y7" s="212" t="s">
        <v>279</v>
      </c>
      <c r="Z7" s="212" t="s">
        <v>280</v>
      </c>
      <c r="AA7" s="300" t="s">
        <v>211</v>
      </c>
      <c r="AB7" t="s">
        <v>136</v>
      </c>
      <c r="AC7" t="s">
        <v>139</v>
      </c>
      <c r="AD7" t="s">
        <v>138</v>
      </c>
      <c r="AE7" t="s">
        <v>137</v>
      </c>
      <c r="AF7" t="s">
        <v>416</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8"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2" t="s">
        <v>231</v>
      </c>
      <c r="CB7" s="234" t="s">
        <v>251</v>
      </c>
      <c r="CC7" s="300"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8" t="s">
        <v>277</v>
      </c>
      <c r="CY7" s="248" t="s">
        <v>269</v>
      </c>
      <c r="CZ7" s="248" t="s">
        <v>270</v>
      </c>
      <c r="DA7" s="248" t="s">
        <v>271</v>
      </c>
      <c r="DB7" s="248" t="s">
        <v>272</v>
      </c>
      <c r="DC7" s="248" t="s">
        <v>273</v>
      </c>
      <c r="DD7" s="248" t="s">
        <v>274</v>
      </c>
      <c r="DE7" s="248" t="s">
        <v>275</v>
      </c>
      <c r="DF7" s="248" t="s">
        <v>276</v>
      </c>
      <c r="DG7" s="248"/>
      <c r="DO7" s="649" t="s">
        <v>720</v>
      </c>
      <c r="DP7" s="300" t="s">
        <v>721</v>
      </c>
      <c r="DQ7" s="703" t="s">
        <v>725</v>
      </c>
      <c r="DR7" s="703" t="s">
        <v>722</v>
      </c>
      <c r="DS7" s="650" t="s">
        <v>727</v>
      </c>
      <c r="DT7" s="650" t="str">
        <f>DP7</f>
        <v>Ulempetillæg på weekenddage - kræver der er sat kryds i weekendarbejde. KOLONNE I</v>
      </c>
      <c r="DU7" s="705" t="s">
        <v>728</v>
      </c>
      <c r="DV7" s="704" t="str">
        <f>DR7</f>
        <v>Ulempetillæg ændringer på weekenddage. Kræver der er sat kryds i ændring i timetal og at det er en weekeend. KOLONNE I OG S</v>
      </c>
      <c r="DW7" s="649" t="s">
        <v>598</v>
      </c>
      <c r="DX7" s="300" t="s">
        <v>596</v>
      </c>
      <c r="DY7" s="300" t="s">
        <v>597</v>
      </c>
      <c r="DZ7" s="650" t="str">
        <f>DW7</f>
        <v>17-06 timer til udbetaling inkl. ændringer 17-06</v>
      </c>
      <c r="EA7" s="650" t="str">
        <f>DX7</f>
        <v>Ulempetillæg på weekenddage</v>
      </c>
      <c r="EB7" s="651" t="str">
        <f>DY7</f>
        <v>Ulempetillæg ændringer på weekenddage</v>
      </c>
      <c r="EC7" s="706" t="s">
        <v>723</v>
      </c>
      <c r="ED7" s="703" t="s">
        <v>724</v>
      </c>
      <c r="EE7" s="703" t="s">
        <v>726</v>
      </c>
      <c r="EF7" s="703" t="s">
        <v>722</v>
      </c>
      <c r="EG7" s="650" t="s">
        <v>727</v>
      </c>
      <c r="EH7" s="705" t="str">
        <f>ED7</f>
        <v>Ulempetillæg på weekenddage til afspadsering. Kræver der er sat kryds i weekendarb. KOLONNE I</v>
      </c>
      <c r="EI7" s="705" t="s">
        <v>728</v>
      </c>
      <c r="EJ7" s="704" t="str">
        <f>EF7</f>
        <v>Ulempetillæg ændringer på weekenddage. Kræver der er sat kryds i ændring i timetal og at det er en weekeend. KOLONNE I OG S</v>
      </c>
      <c r="EK7" s="656" t="s">
        <v>730</v>
      </c>
      <c r="EL7" s="654" t="s">
        <v>729</v>
      </c>
      <c r="EM7" s="655" t="s">
        <v>733</v>
      </c>
      <c r="EN7" s="657" t="s">
        <v>732</v>
      </c>
      <c r="EO7" s="656" t="s">
        <v>730</v>
      </c>
      <c r="EP7" s="654" t="s">
        <v>729</v>
      </c>
      <c r="EQ7" s="655" t="s">
        <v>733</v>
      </c>
      <c r="ER7" s="657" t="s">
        <v>732</v>
      </c>
      <c r="ES7" s="656" t="s">
        <v>734</v>
      </c>
      <c r="ET7" s="654" t="s">
        <v>735</v>
      </c>
      <c r="EU7" s="655" t="s">
        <v>731</v>
      </c>
      <c r="EV7" s="657" t="s">
        <v>736</v>
      </c>
      <c r="EW7" s="656" t="s">
        <v>734</v>
      </c>
      <c r="EX7" s="654" t="s">
        <v>735</v>
      </c>
      <c r="EY7" s="655" t="s">
        <v>731</v>
      </c>
      <c r="EZ7" s="657" t="s">
        <v>736</v>
      </c>
      <c r="FA7" s="656" t="s">
        <v>737</v>
      </c>
      <c r="FB7" s="654" t="s">
        <v>735</v>
      </c>
      <c r="FC7" s="655" t="s">
        <v>731</v>
      </c>
      <c r="FD7" s="657" t="s">
        <v>736</v>
      </c>
      <c r="FE7" s="656" t="str">
        <f>FA7</f>
        <v>Weekendtimer på weekenddage</v>
      </c>
      <c r="FF7" s="654" t="s">
        <v>735</v>
      </c>
      <c r="FG7" s="655" t="s">
        <v>731</v>
      </c>
      <c r="FH7" s="657" t="s">
        <v>736</v>
      </c>
      <c r="FI7" s="682" t="s">
        <v>619</v>
      </c>
      <c r="FJ7" s="654" t="s">
        <v>600</v>
      </c>
      <c r="FK7" s="682" t="s">
        <v>619</v>
      </c>
      <c r="FL7" s="657" t="s">
        <v>600</v>
      </c>
      <c r="FM7" s="683" t="s">
        <v>613</v>
      </c>
      <c r="FN7" s="684" t="s">
        <v>614</v>
      </c>
      <c r="FO7" s="682" t="s">
        <v>599</v>
      </c>
      <c r="FP7" s="654" t="s">
        <v>600</v>
      </c>
      <c r="FQ7" s="686" t="s">
        <v>599</v>
      </c>
      <c r="FR7" s="687" t="s">
        <v>600</v>
      </c>
      <c r="FS7" s="691" t="s">
        <v>621</v>
      </c>
      <c r="FT7" s="684" t="s">
        <v>621</v>
      </c>
      <c r="FU7" s="300" t="s">
        <v>624</v>
      </c>
      <c r="FV7" s="683" t="s">
        <v>626</v>
      </c>
      <c r="FW7" s="683" t="s">
        <v>626</v>
      </c>
      <c r="FX7" s="683" t="s">
        <v>626</v>
      </c>
      <c r="FY7" s="683" t="s">
        <v>626</v>
      </c>
      <c r="FZ7" s="683" t="s">
        <v>615</v>
      </c>
      <c r="GA7" s="684" t="s">
        <v>616</v>
      </c>
      <c r="GB7" s="683" t="s">
        <v>615</v>
      </c>
      <c r="GC7" s="684" t="s">
        <v>616</v>
      </c>
    </row>
    <row r="8" spans="1:185" ht="20" customHeight="1">
      <c r="A8" s="1000"/>
      <c r="B8" s="1001"/>
      <c r="C8" s="1001"/>
      <c r="D8" s="1002"/>
      <c r="E8" s="946"/>
      <c r="F8" s="947"/>
      <c r="G8" s="948"/>
      <c r="H8" s="889"/>
      <c r="I8" s="928" t="s">
        <v>383</v>
      </c>
      <c r="J8" s="936"/>
      <c r="K8" s="928" t="s">
        <v>326</v>
      </c>
      <c r="L8" s="929"/>
      <c r="M8" s="929"/>
      <c r="N8" s="929"/>
      <c r="O8" s="929"/>
      <c r="P8" s="929"/>
      <c r="Q8" s="929"/>
      <c r="R8" s="929"/>
      <c r="S8" s="956" t="s">
        <v>383</v>
      </c>
      <c r="T8" s="929"/>
      <c r="U8" s="936"/>
      <c r="V8" s="928" t="s">
        <v>384</v>
      </c>
      <c r="W8" s="929"/>
      <c r="X8" s="930"/>
      <c r="Y8" s="212"/>
      <c r="Z8" s="212"/>
      <c r="AA8" s="300"/>
      <c r="BB8" s="228"/>
      <c r="CA8" s="112"/>
      <c r="CB8" s="234"/>
      <c r="CC8" s="300"/>
      <c r="CX8" s="248"/>
      <c r="DA8" s="248"/>
      <c r="DB8" s="248"/>
      <c r="DC8" s="248"/>
      <c r="DD8" s="248"/>
      <c r="DE8" s="248"/>
      <c r="DF8" s="248"/>
      <c r="DG8" s="248"/>
      <c r="DH8" t="s">
        <v>493</v>
      </c>
      <c r="DI8" t="s">
        <v>494</v>
      </c>
      <c r="DJ8" t="s">
        <v>495</v>
      </c>
      <c r="DO8" s="652"/>
      <c r="DS8" s="1063" t="s">
        <v>162</v>
      </c>
      <c r="DT8" s="1063"/>
      <c r="DU8" s="1063"/>
      <c r="DV8" s="1064"/>
      <c r="DW8" s="652"/>
      <c r="DZ8" s="1065" t="s">
        <v>162</v>
      </c>
      <c r="EA8" s="1065"/>
      <c r="EB8" s="1066"/>
      <c r="EG8" s="1065" t="s">
        <v>162</v>
      </c>
      <c r="EH8" s="1065"/>
      <c r="EI8" s="1065"/>
      <c r="EJ8" s="653"/>
      <c r="EK8" s="283"/>
      <c r="EL8" s="251"/>
      <c r="EM8" s="876" t="s">
        <v>162</v>
      </c>
      <c r="EN8" s="877"/>
      <c r="EO8" s="283"/>
      <c r="EP8" s="251"/>
      <c r="EQ8" s="876" t="s">
        <v>162</v>
      </c>
      <c r="ER8" s="877"/>
      <c r="ES8" s="283"/>
      <c r="ET8" s="251"/>
      <c r="EU8" s="876" t="s">
        <v>162</v>
      </c>
      <c r="EV8" s="877"/>
      <c r="EW8" s="283"/>
      <c r="EX8" s="251"/>
      <c r="EY8" s="876" t="s">
        <v>162</v>
      </c>
      <c r="EZ8" s="877"/>
      <c r="FA8" s="283"/>
      <c r="FB8" s="251"/>
      <c r="FC8" s="876" t="s">
        <v>162</v>
      </c>
      <c r="FD8" s="877"/>
      <c r="FE8" s="283"/>
      <c r="FF8" s="251"/>
      <c r="FG8" s="876" t="s">
        <v>162</v>
      </c>
      <c r="FH8" s="877"/>
      <c r="FI8" s="283"/>
      <c r="FJ8" s="251"/>
      <c r="FK8" s="876" t="s">
        <v>162</v>
      </c>
      <c r="FL8" s="877"/>
      <c r="FN8" s="645" t="s">
        <v>160</v>
      </c>
      <c r="FO8" s="283"/>
      <c r="FP8" s="251"/>
      <c r="FQ8" s="876" t="s">
        <v>162</v>
      </c>
      <c r="FR8" s="1062"/>
      <c r="FS8" s="283"/>
      <c r="FT8" s="692" t="s">
        <v>160</v>
      </c>
      <c r="FW8" s="645" t="s">
        <v>160</v>
      </c>
      <c r="FY8" s="645" t="s">
        <v>160</v>
      </c>
      <c r="GA8" s="645" t="s">
        <v>160</v>
      </c>
      <c r="GC8" s="645" t="s">
        <v>160</v>
      </c>
    </row>
    <row r="9" spans="1:185">
      <c r="A9" s="245">
        <f>IF(ISNUMBER(A7),A7+1,1)</f>
        <v>1</v>
      </c>
      <c r="B9" s="128" t="str">
        <f t="shared" ref="B9:B39" si="0">CHOOSE(MOD(WEEKDAY(DATE(A$6,A$2,A9)),7)+1,"lø","sø","ma","ti","on","to","fr",)</f>
        <v>sø</v>
      </c>
      <c r="C9" s="129" t="s">
        <v>120</v>
      </c>
      <c r="D9" s="130" t="str">
        <f t="shared" ref="D9:D39" si="1">IF(B9="ma",(DATE(A$6,A$2,A9)-DATE(A$6,1,1)+7)/7,"")</f>
        <v/>
      </c>
      <c r="E9" s="917"/>
      <c r="F9" s="918"/>
      <c r="G9" s="919"/>
      <c r="H9" s="298"/>
      <c r="I9" s="413"/>
      <c r="J9" s="413"/>
      <c r="K9" s="380"/>
      <c r="L9" s="380"/>
      <c r="M9" s="380"/>
      <c r="N9" s="318">
        <f>BA9</f>
        <v>0</v>
      </c>
      <c r="O9" s="318">
        <f>CA9</f>
        <v>0</v>
      </c>
      <c r="P9" s="318">
        <f>IF(Stamoplysninger!$H$29="JA",December!DG9,CX9)</f>
        <v>0</v>
      </c>
      <c r="Q9" s="318">
        <f>IF(OR(C9="Lejrskole",C9="Ekskursion"),0,N9-O9-P9)</f>
        <v>0</v>
      </c>
      <c r="R9" s="319"/>
      <c r="S9" s="324"/>
      <c r="T9" s="325"/>
      <c r="U9" s="325"/>
      <c r="V9" s="435"/>
      <c r="W9" s="412"/>
      <c r="X9" s="642"/>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9">
        <f t="shared" ref="BB9:BB39" si="8">SUM(AG9:AK9)*24</f>
        <v>0</v>
      </c>
      <c r="BC9" s="1">
        <f>IF($C$9="Lejrskole",$L$9,0)</f>
        <v>0</v>
      </c>
      <c r="BD9" s="1">
        <f t="shared" ref="BD9:BD39" si="9">IF(C9="Ekskursion",L9,0)</f>
        <v>0</v>
      </c>
      <c r="BE9" s="1">
        <f t="shared" ref="BE9:BE39" si="10">IF(C9="fagdag",L9,0)</f>
        <v>0</v>
      </c>
      <c r="BF9" s="1">
        <f t="shared" ref="BF9:BF39" si="11">IF(C9="emnedag",L9,0)</f>
        <v>0</v>
      </c>
      <c r="BG9" s="210" t="str">
        <f>IF(AND(C9="Skema 1",B9="ma"),Skemaoplysninger!$E$30,"")</f>
        <v/>
      </c>
      <c r="BH9" s="210" t="str">
        <f>IF(AND(C9="Skema 1",B9="ti"),Skemaoplysninger!$G$30,"")</f>
        <v/>
      </c>
      <c r="BI9" s="210" t="str">
        <f>IF(AND(C9="Skema 1",B9="on"),Skemaoplysninger!$I$30,"")</f>
        <v/>
      </c>
      <c r="BJ9" s="210" t="str">
        <f>IF(AND(C9="Skema 1",B9="to"),Skemaoplysninger!$K$30,"")</f>
        <v/>
      </c>
      <c r="BK9" s="210" t="str">
        <f>IF(AND(C9="Skema 1",B9="fr"),Skemaoplysninger!$M$30,"")</f>
        <v/>
      </c>
      <c r="BL9" s="210" t="str">
        <f>IF(AND(C9="Skema 2",B9="ma"),Skemaoplysninger!$S$30,"")</f>
        <v/>
      </c>
      <c r="BM9" s="210" t="str">
        <f>IF(AND(C9="Skema 2",B9="ti"),Skemaoplysninger!$U$30,"")</f>
        <v/>
      </c>
      <c r="BN9" s="210" t="str">
        <f>IF(AND(C9="Skema 2",B9="on"),Skemaoplysninger!$W$30,"")</f>
        <v/>
      </c>
      <c r="BO9" s="210" t="str">
        <f>IF(AND(C9="Skema 2",B9="to"),Skemaoplysninger!$Y$30,"")</f>
        <v/>
      </c>
      <c r="BP9" s="210" t="str">
        <f>IF(AND(C9="Skema 2",B9="fr"),Skemaoplysninger!$AA$30,"")</f>
        <v/>
      </c>
      <c r="BQ9" s="210" t="str">
        <f>IF(AND(C9="Skema 3",B9="ma"),Skemaoplysninger!$AG$30,"")</f>
        <v/>
      </c>
      <c r="BR9" s="210" t="str">
        <f>IF(AND(C9="Skema 3",B9="ti"),Skemaoplysninger!$AI$30,"")</f>
        <v/>
      </c>
      <c r="BS9" s="210" t="str">
        <f>IF(AND(C9="Skema 3",B9="on"),Skemaoplysninger!$AK$30,"")</f>
        <v/>
      </c>
      <c r="BT9" s="210" t="str">
        <f>IF(AND(C9="Skema 3",B9="to"),Skemaoplysninger!$AM$30,"")</f>
        <v/>
      </c>
      <c r="BU9" s="210" t="str">
        <f>IF(AND(C9="Skema 3",B9="fr"),Skemaoplysninger!$AO$30,"")</f>
        <v/>
      </c>
      <c r="BV9" s="210" t="str">
        <f>IF(AND(C9="Skema 4",B9="ma"),Skemaoplysninger!$AU$30,"")</f>
        <v/>
      </c>
      <c r="BW9" s="210" t="str">
        <f>IF(AND(C9="Skema 4",B9="ti"),Skemaoplysninger!$AW$30,"")</f>
        <v/>
      </c>
      <c r="BX9" s="210" t="str">
        <f>IF(AND(C9="Skema 4",B9="on"),Skemaoplysninger!$AY$30,"")</f>
        <v/>
      </c>
      <c r="BY9" s="210" t="str">
        <f>IF(AND(C9="Skema 4",B9="to"),Skemaoplysninger!$BA$30,"")</f>
        <v/>
      </c>
      <c r="BZ9" s="210" t="str">
        <f>IF(AND(C9="Skema 4",B9="fr"),Skemaoplysninger!$BC$30,"")</f>
        <v/>
      </c>
      <c r="CA9" s="1">
        <f>SUM(BG9:BZ9)*24+SUM(BC9:BF9)</f>
        <v>0</v>
      </c>
      <c r="CB9" s="1">
        <f t="shared" ref="CB9:CB39" si="12">IF(C9="fagdag",M9,0)</f>
        <v>0</v>
      </c>
      <c r="CC9" s="1">
        <f t="shared" ref="CC9:CC39" si="13">IF(C9="emnedag",M9,0)</f>
        <v>0</v>
      </c>
      <c r="CD9" s="210" t="str">
        <f>IF(AND(C9="Skema 1",B9="ma"),Skemaoplysninger!$E$31,"")</f>
        <v/>
      </c>
      <c r="CE9" s="210" t="str">
        <f>IF(AND(C9="Skema 1",B9="ti"),Skemaoplysninger!$G$31,"")</f>
        <v/>
      </c>
      <c r="CF9" s="210" t="str">
        <f>IF(AND(C9="Skema 1",B9="on"),Skemaoplysninger!$I$31,"")</f>
        <v/>
      </c>
      <c r="CG9" s="210" t="str">
        <f>IF(AND(C9="Skema 1",B9="to"),Skemaoplysninger!$K$31,"")</f>
        <v/>
      </c>
      <c r="CH9" s="210" t="str">
        <f>IF(AND(C9="Skema 1",B9="fr"),Skemaoplysninger!$M$31,"")</f>
        <v/>
      </c>
      <c r="CI9" s="210" t="str">
        <f>IF(AND(C9="Skema 2",B9="ma"),Skemaoplysninger!$S$31,"")</f>
        <v/>
      </c>
      <c r="CJ9" s="210" t="str">
        <f>IF(AND(C9="Skema 2",B9="ti"),Skemaoplysninger!$U$31,"")</f>
        <v/>
      </c>
      <c r="CK9" s="210" t="str">
        <f>IF(AND(C9="Skema 2",B9="on"),Skemaoplysninger!$W$31,"")</f>
        <v/>
      </c>
      <c r="CL9" s="210" t="str">
        <f>IF(AND(C9="Skema 2",B9="to"),Skemaoplysninger!$Y$31,"")</f>
        <v/>
      </c>
      <c r="CM9" s="210" t="str">
        <f>IF(AND(C9="Skema 2",B9="fr"),Skemaoplysninger!$AA$31,"")</f>
        <v/>
      </c>
      <c r="CN9" s="210" t="str">
        <f>IF(AND(C9="Skema 3",B9="ma"),Skemaoplysninger!$AG$31,"")</f>
        <v/>
      </c>
      <c r="CO9" s="210" t="str">
        <f>IF(AND(C9="Skema 3",B9="ti"),Skemaoplysninger!$AI$31,"")</f>
        <v/>
      </c>
      <c r="CP9" s="210" t="str">
        <f>IF(AND(C9="Skema 3",B9="on"),Skemaoplysninger!$AK$31,"")</f>
        <v/>
      </c>
      <c r="CQ9" s="210" t="str">
        <f>IF(AND(C9="Skema 3",B9="to"),Skemaoplysninger!$AM$31,"")</f>
        <v/>
      </c>
      <c r="CR9" s="210" t="str">
        <f>IF(AND(C9="Skema 3",B9="fr"),Skemaoplysninger!$AO$31,"")</f>
        <v/>
      </c>
      <c r="CS9" s="210" t="str">
        <f>IF(AND(C9="Skema 4",B9="ma"),Skemaoplysninger!$AU$31,"")</f>
        <v/>
      </c>
      <c r="CT9" s="210" t="str">
        <f>IF(AND(C9="Skema 4",B9="ti"),Skemaoplysninger!$AW$31,"")</f>
        <v/>
      </c>
      <c r="CU9" s="210" t="str">
        <f>IF(AND(C9="Skema 4",B9="on"),Skemaoplysninger!$AY$31,"")</f>
        <v/>
      </c>
      <c r="CV9" s="210" t="str">
        <f>IF(AND(C9="Skema 4",B9="to"),Skemaoplysninger!$BA$31,"")</f>
        <v/>
      </c>
      <c r="CW9" s="210" t="str">
        <f>IF(AND(C9="Skema 4",B9="fr"),Skemaoplysninger!$BC$31,"")</f>
        <v/>
      </c>
      <c r="CX9" s="249">
        <f>IF(Stamoplysninger!$H$29="NEJ",SUM(CD9:CW9)*24+CB9+CC9,0)</f>
        <v>0</v>
      </c>
      <c r="CY9" s="249">
        <f>IF(C9="Skema 1",Stamoplysninger!$H$30/200,0)</f>
        <v>0</v>
      </c>
      <c r="CZ9" s="249">
        <f>IF(C9="Skema 2",Stamoplysninger!$H$30/200,0)</f>
        <v>0</v>
      </c>
      <c r="DA9" s="249">
        <f>IF(C9="Skema 3",Stamoplysninger!$H$30/200,0)</f>
        <v>0</v>
      </c>
      <c r="DB9" s="249">
        <f>IF(C9="Skema 4",Stamoplysninger!$H$30/200,0)</f>
        <v>0</v>
      </c>
      <c r="DC9" s="249">
        <f>IF(C9="fagdag",Stamoplysninger!$H$30/200,0)</f>
        <v>0</v>
      </c>
      <c r="DD9" s="249">
        <f>IF(C9="emnedag",Stamoplysninger!$H$30/200,0)</f>
        <v>0</v>
      </c>
      <c r="DE9" s="249">
        <f>IF(C9="lejrskole",Stamoplysninger!$H$30/200,0)</f>
        <v>0</v>
      </c>
      <c r="DF9" s="249">
        <f>IF(C9="ekskursion",Stamoplysninger!$H$30/200,0)</f>
        <v>0</v>
      </c>
      <c r="DG9" s="249">
        <f>SUM(CY9:DF9)</f>
        <v>0</v>
      </c>
      <c r="DH9" t="str">
        <f>IF(AND(E9&gt;0,H9&gt;0),""&amp;E9&amp;" og "&amp;H9&amp;"","")</f>
        <v/>
      </c>
      <c r="DI9">
        <f>IF(H9="",E9,"")</f>
        <v>0</v>
      </c>
      <c r="DJ9">
        <f>IF(E9="",H9,"")</f>
        <v>0</v>
      </c>
      <c r="DK9" t="str">
        <f t="shared" ref="DK9:DM38" si="14">IF(DH9=0,"",DH9)</f>
        <v/>
      </c>
      <c r="DL9" t="str">
        <f>IF(DI9=0,"",DI9)</f>
        <v/>
      </c>
      <c r="DM9" t="str">
        <f>IF(DJ9=0,"",DJ9)</f>
        <v/>
      </c>
      <c r="DN9" t="str">
        <f>DK9&amp;""&amp;DL9&amp;""&amp;DM9</f>
        <v/>
      </c>
      <c r="DO9" s="652">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71">
        <f>IF(AND(Stamoplysninger!$B$22="Ulempetillæg udbetales med 25% af nettotimelønnen.",C9="ikke relevant"),(R9)/4,0)</f>
        <v>0</v>
      </c>
      <c r="DT9" s="671">
        <f>IF(AND(AND(Stamoplysninger!$B$22="Ulempetillæg udbetales med 25% af nettotimelønnen.",I9="X",C9="Ikke relevant")),K9/4,0)</f>
        <v>0</v>
      </c>
      <c r="DU9" s="671">
        <f>IF(AND(AND(Stamoplysninger!$B$22="Ulempetillæg udbetales med 25% af nettotimelønnen.",C9="ikke relevant",U9="X")),(X9/4),0)</f>
        <v>0</v>
      </c>
      <c r="DV9" s="672">
        <f>IF(AND(AND(AND(Stamoplysninger!$B$22="Ulempetillæg udbetales med 25% af nettotimelønnen.",I9="X",C9="Ikke relevant",S9="X"))),V9/4,0)</f>
        <v>0</v>
      </c>
      <c r="DW9" s="652"/>
      <c r="DZ9" s="671"/>
      <c r="EA9" s="671"/>
      <c r="EB9" s="672"/>
      <c r="EC9" s="652">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71">
        <f>IF(AND(Stamoplysninger!$B$22="Ulempetillæg afspadseres med 25%(Kræver en aftale imellem ledelsen og den ansatte)",C9="ikke relevant"),(R9)/4,0)</f>
        <v>0</v>
      </c>
      <c r="EH9" s="671">
        <f>IF(AND(AND(Stamoplysninger!$B$22="Ulempetillæg afspadseres med 25%(Kræver en aftale imellem ledelsen og den ansatte)",I9="X",C9="Ikke relevant")),K9/4,0)</f>
        <v>0</v>
      </c>
      <c r="EI9" s="671">
        <f>IF(AND(AND(Stamoplysninger!$B$22="Ulempetillæg afspadseres med 25%(Kræver en aftale imellem ledelsen og den ansatte)",U9="X",C9="Ikke relevant")),X9/4,0)</f>
        <v>0</v>
      </c>
      <c r="EJ9" s="671">
        <f>IF(AND(AND(AND(Stamoplysninger!$B$22="Ulempetillæg afspadseres med 25%(Kræver en aftale imellem ledelsen og den ansatte)",I9="X",C9="Ikke relevant",S9="X"))),V9/4,0)</f>
        <v>0</v>
      </c>
      <c r="EK9" s="283">
        <f>IF(AND(Stamoplysninger!$B$26="Weekendtimer og weekendtillæg afspadseres.",$I$9="X"),$K$9*1.5,0)</f>
        <v>0</v>
      </c>
      <c r="EL9" s="251">
        <f>IF(AND(AND(Stamoplysninger!$B$26="Weekendtimer og weekendtillæg afspadseres.",$I$9="X",$S$9="X")),$V$9*1.5,0)</f>
        <v>0</v>
      </c>
      <c r="EM9" s="674">
        <f>IF(AND(AND(Stamoplysninger!$B$26="Weekendtimer og weekendtillæg afspadseres.",$I$9="X",$C$9="ikke relevant")),$K$9*1.5,0)</f>
        <v>0</v>
      </c>
      <c r="EN9" s="675">
        <f>IF(AND(AND(AND(Stamoplysninger!$B$26="Weekendtimer og weekendtillæg afspadseres.",$I$9="X",$C$9="ikke relevant",$S$9="X"))),($V$9*1.5),0)</f>
        <v>0</v>
      </c>
      <c r="EO9" s="283">
        <f>IF(AND(Stamoplysninger!$B$26="Weekendtimer og weekendtillæg udbetales.",$I$9="X"),$K$9*1.5,0)</f>
        <v>0</v>
      </c>
      <c r="EP9" s="251">
        <f>IF(AND(AND(Stamoplysninger!$B$26="Weekendtimer og weekendtillæg udbetales.",$I$9="X",$S$9="X")),$V$9*1.5,0)</f>
        <v>0</v>
      </c>
      <c r="EQ9" s="674">
        <f>IF(AND(AND(Stamoplysninger!$B$26="Weekendtimer og weekendtillæg udbetales.",$I$9="X",$C$9="ikke relevant")),$K$9*1.5,0)</f>
        <v>0</v>
      </c>
      <c r="ER9" s="675">
        <f>IF(AND(AND(AND(Stamoplysninger!$B$26="Weekendtimer og weekendtillæg udbetales.",$I$9="X",$C$9="ikke relevant",$S$9="X"))),($V$9*1.5),0)</f>
        <v>0</v>
      </c>
      <c r="ES9" s="283">
        <f>IF(AND(Stamoplysninger!$B$26="Der er indgået lokalaftale omkring weekendtimer.(Kræver aftale med TR/FSL) Weekendtillæg afspadseres.",$I$9="X"),$K$9*0.5,0)</f>
        <v>0</v>
      </c>
      <c r="ET9" s="251">
        <f>IF(AND(AND(Stamoplysninger!$B$26="Der er indgået lokalaftale omkring weekendtimer.(Kræver aftale med TR/FSL) Weekendtillæg afspadseres.",$I$9="X",$S$9="X")),$V$9*0.5,0)</f>
        <v>0</v>
      </c>
      <c r="EU9" s="674">
        <f>IF(AND(AND(Stamoplysninger!$B$26="Der er indgået lokalaftale omkring weekendtimer.(Kræver aftale med TR/FSL) Weekendtillæg afspadseres.",$I$9="X",$C$9="ikke relevant")),$K$9*0.5,0)</f>
        <v>0</v>
      </c>
      <c r="EV9" s="675">
        <f>IF(AND(AND(AND(Stamoplysninger!$B$26="Der er indgået lokalaftale omkring weekendtimer.(Kræver aftale med TR/FSL) Weekendtillæg afspadseres.",$I$9="X",$C$9="ikke relevant",$S$9="X"))),($V$9*0.5),0)</f>
        <v>0</v>
      </c>
      <c r="EW9" s="283">
        <f>IF(AND(Stamoplysninger!$B$26="Der er indgået lokalaftale omkring weekendtimer(Kræver aftale med TR/FSL). Weekendtillæg udbetales.",$I$9="X"),$K$9*0.5,0)</f>
        <v>0</v>
      </c>
      <c r="EX9" s="251">
        <f>IF(AND(AND(Stamoplysninger!$B$26="Der er indgået lokalaftale omkring weekendtimer(Kræver aftale med TR/FSL). Weekendtillæg udbetales.",$I$9="X",$S$9="X")),$V$9*0.5,0)</f>
        <v>0</v>
      </c>
      <c r="EY9" s="674">
        <f>IF(AND(AND(Stamoplysninger!$B$26="Der er indgået lokalaftale omkring weekendtimer(Kræver aftale med TR/FSL). Weekendtillæg udbetales.",$I$9="X",$C$9="ikke relevant")),$K$9*0.5,0)</f>
        <v>0</v>
      </c>
      <c r="EZ9" s="675">
        <f>IF(AND(AND(AND(Stamoplysninger!$B$26="Der er indgået lokalaftale omkring weekendtimer(Kræver aftale med TR/FSL). Weekendtillæg udbetales.",$I$9="X",$C$9="ikke relevant",$S$9="X"))),($V$9*0.5),0)</f>
        <v>0</v>
      </c>
      <c r="FA9" s="283">
        <f>IF(AND(Stamoplysninger!$B$26="Der er indgået lokalaftale omkring weekendtillæg(Kræver aftale med TR/FSL). Weekendtimerne afspadseres.",I9="X"),K9,0)</f>
        <v>0</v>
      </c>
      <c r="FB9" s="251">
        <f>IF(AND(AND(Stamoplysninger!$B$26="Der er indgået lokalaftale omkring weekendtillæg(Kræver aftale med TR/FSL). Weekendtimerne afspadseres.",I9="X",S9="X")),V9,0)</f>
        <v>0</v>
      </c>
      <c r="FC9" s="674">
        <f>IF(AND(AND(Stamoplysninger!$B$26="Der er indgået lokalaftale omkring weekendtillæg(Kræver aftale med TR/FSL). Weekendtimerne afspadseres..",I9="X",C9="ikke relevant")),K9,0)</f>
        <v>0</v>
      </c>
      <c r="FD9" s="675">
        <f>IF(AND(AND(AND(Stamoplysninger!$B$26="Der er indgået lokalaftale omkring weekendtillæg(Kræver aftale med TR/FSL). Weekendtimerne afspadseres.",I9="X",C9="ikke relevant",S9="X"))),(V9),0)</f>
        <v>0</v>
      </c>
      <c r="FE9" s="283">
        <f>IF(AND(Stamoplysninger!$B$26="Der er indgået lokalaftale omkring weekendtillæg(Kræver aftale med TR/FSL). Weekendtimerne udbetales.",I9="X"),K9,0)</f>
        <v>0</v>
      </c>
      <c r="FF9" s="251">
        <f>IF(AND(AND(Stamoplysninger!$B$26="Der er indgået lokalaftale omkring weekendtillæg(Kræver aftale med TR/FSL). Weekendtimerne udbetales.",I9="X",S9="X")),V9,0)</f>
        <v>0</v>
      </c>
      <c r="FG9" s="674">
        <f>IF(AND(AND(Stamoplysninger!$B$26="Der er indgået lokalaftale omkring weekendtillæg(Kræver aftale med TR/FSL). Weekendtimerne udbetales.",I9="X",C9="ikke relevant")),K9,0)</f>
        <v>0</v>
      </c>
      <c r="FH9" s="675">
        <f>IF(AND(AND(AND(Stamoplysninger!$B$26="Der er indgået lokalaftale omkring weekendtillæg(Kræver aftale med TR/FSL). Weekendtimerne udbetales.",I9="X",C9="ikke relevant",S9="X"))),(V9),0)</f>
        <v>0</v>
      </c>
      <c r="FI9" s="283">
        <f>IF(AND(Stamoplysninger!$B$26="Weekendtimer og weekendtillæg afspadseres.",I9="X"),K9,0)</f>
        <v>0</v>
      </c>
      <c r="FJ9" s="251">
        <f>IF(AND(Stamoplysninger!$B$26="Weekendtimer og weekendtillæg afspadseres.",I9="X"),(K9+V9)/2,0)</f>
        <v>0</v>
      </c>
      <c r="FK9" s="674">
        <f>IF(AND(AND(Stamoplysninger!$B$26="Weekendtimer og weekendtillæg afspadseres.",I9="X",C9="ikke relevant")),K9,0)</f>
        <v>0</v>
      </c>
      <c r="FL9" s="675">
        <f>IF(AND(AND(Stamoplysninger!$B$26="Weekendtimer og weekendtillæg afspadseres.",I9="X",C9="ikke relevant")),(K9+V9)/2,0)</f>
        <v>0</v>
      </c>
      <c r="FM9" s="283">
        <f>IF(AND(Stamoplysninger!$B$26="Der er indgået lokalaftale omkring weekendtillæg(Kræver aftale med TR/FSL). Weekendtimerne afspadseres.",I9="X"),K9,0)</f>
        <v>0</v>
      </c>
      <c r="FN9" s="674">
        <f>IF(AND(AND(Stamoplysninger!$B$26="Der er indgået lokalaftale omkring weekendtillæg(Kræver aftale med TR/FSL). Weekendtimerne afspadseres.",I9="X",C9="ikke relevant")),K9,0)</f>
        <v>0</v>
      </c>
      <c r="FO9" s="283">
        <f>IF(AND(Stamoplysninger!$B$26="Weekendtimer og weekendtillæg udbetales.",I9="X"),K9,0)</f>
        <v>0</v>
      </c>
      <c r="FP9" s="251">
        <f>IF(AND(Stamoplysninger!$B$26="Weekendtimer og weekendtillæg udbetales.",AA9="X"),(AC9+AN9)/2,0)</f>
        <v>0</v>
      </c>
      <c r="FQ9" s="674">
        <f>IF(AND(AND(Stamoplysninger!$B$26="Weekendtimer og weekendtillæg udbetales.",I9="X",C9="ikke relevant")),K9,0)</f>
        <v>0</v>
      </c>
      <c r="FR9" s="688">
        <f>IF(AND(AND(Stamoplysninger!$B$26="Weekendtimer og weekendtillæg udbetales.",AA9="X",U9="ikke relevant")),(AC9+AN9)/2,0)</f>
        <v>0</v>
      </c>
      <c r="FS9" s="283">
        <f t="shared" ref="FS9:FS37" si="15">IF(AND(I9="X",S9="X"),V9,0)</f>
        <v>0</v>
      </c>
      <c r="FT9" s="658">
        <f t="shared" ref="FT9:FT37" si="16">IF(AND(AND(C9="ikke relevant",I9="X",S9="X")),V9,0)</f>
        <v>0</v>
      </c>
      <c r="FU9">
        <f t="shared" ref="FU9:FU28" si="17">IF(AND(C9="weekend",I9="X"),K9,0)</f>
        <v>0</v>
      </c>
      <c r="FV9" s="283">
        <f>IF(AND(Stamoplysninger!$B$26="Der er indgået lokalaftale omkring weekendtimer.(Kræver aftale med TR/FSL) Weekendtillæg afspadseres.",I9="X"),K9,0)</f>
        <v>0</v>
      </c>
      <c r="FW9" s="674">
        <f>IF(AND(AND(Stamoplysninger!$B$26="Der er indgået lokalaftale omkring weekendtimer.(Kræver aftale med TR/FSL) Weekendtillæg afspadseres.",I9="X",C9="ikke relevant")),K9,0)</f>
        <v>0</v>
      </c>
      <c r="FX9" s="283">
        <f>IF(AND(Stamoplysninger!$B$26="Der er indgået lokalaftale omkring weekendtimer(Kræver aftale med TR/FSL). Weekendtillæg udbetales.",I9="X"),K9,0)</f>
        <v>0</v>
      </c>
      <c r="FY9" s="674">
        <f>IF(AND(AND(Stamoplysninger!$B$26="Der er indgået lokalaftale omkring weekendtimer(Kræver aftale med TR/FSL). Weekendtillæg udbetales.",I9="X",C9="ikke relevant")),K9,0)</f>
        <v>0</v>
      </c>
      <c r="FZ9" s="283">
        <f>IF(AND(Stamoplysninger!$B$26="Der er indgået lokalaftale omkring weekendtillæg(Kræver aftale med TR/FSL). Weekendtimerne udbetales.",I9="X"),K9,0)</f>
        <v>0</v>
      </c>
      <c r="GA9" s="674">
        <f>IF(AND(AND(Stamoplysninger!$B$26="Der er indgået lokalaftale omkring weekendtillæg(Kræver aftale med TR/FSL). Weekendtimerne udbetales.",I9="X",C9="ikke relevant")),K9,0)</f>
        <v>0</v>
      </c>
      <c r="GB9" s="283">
        <f>IF(AND(Stamoplysninger!$B$26="Der er indgået lokalaftale omkring weekendtimer og weekendtillæg.(Kræver aftale med TR/FSL).",I9="X"),K9,0)</f>
        <v>0</v>
      </c>
      <c r="GC9" s="674">
        <f>IF(AND(AND(Stamoplysninger!$B$26="Der er indgået lokalaftale omkring weekendtimer og weekendtillæg.(Kræver aftale med TR/FSL).",I9="X",C9="ikke relevant")),K9,0)</f>
        <v>0</v>
      </c>
    </row>
    <row r="10" spans="1:185">
      <c r="A10" s="245">
        <f t="shared" ref="A10:A38" si="18">IF(ISNUMBER(A9),A9+1,1)</f>
        <v>2</v>
      </c>
      <c r="B10" s="128" t="str">
        <f t="shared" si="0"/>
        <v>ma</v>
      </c>
      <c r="C10" s="129" t="s">
        <v>211</v>
      </c>
      <c r="D10" s="130">
        <f t="shared" si="1"/>
        <v>49</v>
      </c>
      <c r="E10" s="917" t="s">
        <v>703</v>
      </c>
      <c r="F10" s="918"/>
      <c r="G10" s="919"/>
      <c r="H10" s="298"/>
      <c r="I10" s="527"/>
      <c r="J10" s="413"/>
      <c r="K10" s="380">
        <v>6.5</v>
      </c>
      <c r="L10" s="380">
        <v>4</v>
      </c>
      <c r="M10" s="380">
        <v>1</v>
      </c>
      <c r="N10" s="318">
        <f t="shared" ref="N10:N39" si="19">BA10</f>
        <v>6.5</v>
      </c>
      <c r="O10" s="318">
        <f t="shared" ref="O10:O39" si="20">CA10</f>
        <v>4</v>
      </c>
      <c r="P10" s="318">
        <f>IF(Stamoplysninger!$H$29="JA",December!DG10,CX10)</f>
        <v>1</v>
      </c>
      <c r="Q10" s="318">
        <f t="shared" ref="Q10:Q39" si="21">IF(OR(C10="Lejrskole",C10="Ekskursion"),0,N10-O10-P10)</f>
        <v>1.5</v>
      </c>
      <c r="R10" s="319"/>
      <c r="S10" s="324"/>
      <c r="T10" s="325"/>
      <c r="U10" s="325"/>
      <c r="V10" s="435"/>
      <c r="W10" s="412"/>
      <c r="X10" s="642"/>
      <c r="Y10">
        <f t="shared" ref="Y10:Y39" si="22">IF(S10="x",V10-N11,0)</f>
        <v>0</v>
      </c>
      <c r="Z10">
        <f t="shared" si="2"/>
        <v>0</v>
      </c>
      <c r="AA10" s="1">
        <f t="shared" si="3"/>
        <v>6.5</v>
      </c>
      <c r="AB10" s="1">
        <f t="shared" si="4"/>
        <v>0</v>
      </c>
      <c r="AC10" s="1">
        <f t="shared" si="5"/>
        <v>0</v>
      </c>
      <c r="AD10" s="1">
        <f t="shared" si="6"/>
        <v>0</v>
      </c>
      <c r="AE10" s="1">
        <f t="shared" si="7"/>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6.5</v>
      </c>
      <c r="BB10" s="229">
        <f t="shared" si="8"/>
        <v>0</v>
      </c>
      <c r="BC10" s="1">
        <f t="shared" ref="BC10:BC39" si="24">IF(C10="Lejrskole",L10,0)</f>
        <v>0</v>
      </c>
      <c r="BD10" s="1">
        <f t="shared" si="9"/>
        <v>0</v>
      </c>
      <c r="BE10" s="1">
        <f t="shared" si="10"/>
        <v>0</v>
      </c>
      <c r="BF10" s="1">
        <f t="shared" si="11"/>
        <v>4</v>
      </c>
      <c r="BG10" s="210" t="str">
        <f>IF(AND(C10="Skema 1",B10="ma"),Skemaoplysninger!$E$30,"")</f>
        <v/>
      </c>
      <c r="BH10" s="210" t="str">
        <f>IF(AND(C10="Skema 1",B10="ti"),Skemaoplysninger!$G$30,"")</f>
        <v/>
      </c>
      <c r="BI10" s="210" t="str">
        <f>IF(AND(C10="Skema 1",B10="on"),Skemaoplysninger!$I$30,"")</f>
        <v/>
      </c>
      <c r="BJ10" s="210" t="str">
        <f>IF(AND(C10="Skema 1",B10="to"),Skemaoplysninger!$K$30,"")</f>
        <v/>
      </c>
      <c r="BK10" s="210" t="str">
        <f>IF(AND(C10="Skema 1",B10="fr"),Skemaoplysninger!$M$30,"")</f>
        <v/>
      </c>
      <c r="BL10" s="210" t="str">
        <f>IF(AND(C10="Skema 2",B10="ma"),Skemaoplysninger!$S$30,"")</f>
        <v/>
      </c>
      <c r="BM10" s="210" t="str">
        <f>IF(AND(C10="Skema 2",B10="ti"),Skemaoplysninger!$U$30,"")</f>
        <v/>
      </c>
      <c r="BN10" s="210" t="str">
        <f>IF(AND(C10="Skema 2",B10="on"),Skemaoplysninger!$W$30,"")</f>
        <v/>
      </c>
      <c r="BO10" s="210" t="str">
        <f>IF(AND(C10="Skema 2",B10="to"),Skemaoplysninger!$Y$30,"")</f>
        <v/>
      </c>
      <c r="BP10" s="210" t="str">
        <f>IF(AND(C10="Skema 2",B10="fr"),Skemaoplysninger!$AA$30,"")</f>
        <v/>
      </c>
      <c r="BQ10" s="210" t="str">
        <f>IF(AND(C10="Skema 3",B10="ma"),Skemaoplysninger!$AG$30,"")</f>
        <v/>
      </c>
      <c r="BR10" s="210" t="str">
        <f>IF(AND(C10="Skema 3",B10="ti"),Skemaoplysninger!$AI$30,"")</f>
        <v/>
      </c>
      <c r="BS10" s="210" t="str">
        <f>IF(AND(C10="Skema 3",B10="on"),Skemaoplysninger!$AK$30,"")</f>
        <v/>
      </c>
      <c r="BT10" s="210" t="str">
        <f>IF(AND(C10="Skema 3",B10="to"),Skemaoplysninger!$AM$30,"")</f>
        <v/>
      </c>
      <c r="BU10" s="210" t="str">
        <f>IF(AND(C10="Skema 3",B10="fr"),Skemaoplysninger!$AO$30,"")</f>
        <v/>
      </c>
      <c r="BV10" s="210" t="str">
        <f>IF(AND(C10="Skema 4",B10="ma"),Skemaoplysninger!$AU$30,"")</f>
        <v/>
      </c>
      <c r="BW10" s="210" t="str">
        <f>IF(AND(C10="Skema 4",B10="ti"),Skemaoplysninger!$AW$30,"")</f>
        <v/>
      </c>
      <c r="BX10" s="210" t="str">
        <f>IF(AND(C10="Skema 4",B10="on"),Skemaoplysninger!$AY$30,"")</f>
        <v/>
      </c>
      <c r="BY10" s="210" t="str">
        <f>IF(AND(C10="Skema 4",B10="to"),Skemaoplysninger!$BA$30,"")</f>
        <v/>
      </c>
      <c r="BZ10" s="210" t="str">
        <f>IF(AND(C10="Skema 4",B10="fr"),Skemaoplysninger!$BC$30,"")</f>
        <v/>
      </c>
      <c r="CA10" s="1">
        <f t="shared" ref="CA10:CA39" si="25">SUM(BG10:BZ10)*24+SUM(BC10:BF10)</f>
        <v>4</v>
      </c>
      <c r="CB10" s="1">
        <f t="shared" si="12"/>
        <v>0</v>
      </c>
      <c r="CC10" s="1">
        <f t="shared" si="13"/>
        <v>1</v>
      </c>
      <c r="CD10" s="210" t="str">
        <f>IF(AND(C10="Skema 1",B10="ma"),Skemaoplysninger!$E$31,"")</f>
        <v/>
      </c>
      <c r="CE10" s="210" t="str">
        <f>IF(AND(C10="Skema 1",B10="ti"),Skemaoplysninger!$G$31,"")</f>
        <v/>
      </c>
      <c r="CF10" s="210" t="str">
        <f>IF(AND(C10="Skema 1",B10="on"),Skemaoplysninger!$I$31,"")</f>
        <v/>
      </c>
      <c r="CG10" s="210" t="str">
        <f>IF(AND(C10="Skema 1",B10="to"),Skemaoplysninger!$K$31,"")</f>
        <v/>
      </c>
      <c r="CH10" s="210" t="str">
        <f>IF(AND(C10="Skema 1",B10="fr"),Skemaoplysninger!$M$31,"")</f>
        <v/>
      </c>
      <c r="CI10" s="210" t="str">
        <f>IF(AND(C10="Skema 2",B10="ma"),Skemaoplysninger!$S$31,"")</f>
        <v/>
      </c>
      <c r="CJ10" s="210" t="str">
        <f>IF(AND(C10="Skema 2",B10="ti"),Skemaoplysninger!$U$31,"")</f>
        <v/>
      </c>
      <c r="CK10" s="210" t="str">
        <f>IF(AND(C10="Skema 2",B10="on"),Skemaoplysninger!$W$31,"")</f>
        <v/>
      </c>
      <c r="CL10" s="210" t="str">
        <f>IF(AND(C10="Skema 2",B10="to"),Skemaoplysninger!$Y$31,"")</f>
        <v/>
      </c>
      <c r="CM10" s="210" t="str">
        <f>IF(AND(C10="Skema 2",B10="fr"),Skemaoplysninger!$AA$31,"")</f>
        <v/>
      </c>
      <c r="CN10" s="210" t="str">
        <f>IF(AND(C10="Skema 3",B10="ma"),Skemaoplysninger!$AG$31,"")</f>
        <v/>
      </c>
      <c r="CO10" s="210" t="str">
        <f>IF(AND(C10="Skema 3",B10="ti"),Skemaoplysninger!$AI$31,"")</f>
        <v/>
      </c>
      <c r="CP10" s="210" t="str">
        <f>IF(AND(C10="Skema 3",B10="on"),Skemaoplysninger!$AK$31,"")</f>
        <v/>
      </c>
      <c r="CQ10" s="210" t="str">
        <f>IF(AND(C10="Skema 3",B10="to"),Skemaoplysninger!$AM$31,"")</f>
        <v/>
      </c>
      <c r="CR10" s="210" t="str">
        <f>IF(AND(C10="Skema 3",B10="fr"),Skemaoplysninger!$AO$31,"")</f>
        <v/>
      </c>
      <c r="CS10" s="210" t="str">
        <f>IF(AND(C10="Skema 4",B10="ma"),Skemaoplysninger!$AU$31,"")</f>
        <v/>
      </c>
      <c r="CT10" s="210" t="str">
        <f>IF(AND(C10="Skema 4",B10="ti"),Skemaoplysninger!$AW$31,"")</f>
        <v/>
      </c>
      <c r="CU10" s="210" t="str">
        <f>IF(AND(C10="Skema 4",B10="on"),Skemaoplysninger!$AY$31,"")</f>
        <v/>
      </c>
      <c r="CV10" s="210" t="str">
        <f>IF(AND(C10="Skema 4",B10="to"),Skemaoplysninger!$BA$31,"")</f>
        <v/>
      </c>
      <c r="CW10" s="210" t="str">
        <f>IF(AND(C10="Skema 4",B10="fr"),Skemaoplysninger!$BC$31,"")</f>
        <v/>
      </c>
      <c r="CX10" s="249">
        <f>IF(Stamoplysninger!$H$29="NEJ",SUM(CD10:CW10)*24+CB10+CC10,0)</f>
        <v>1</v>
      </c>
      <c r="CY10" s="249">
        <f>IF(C10="Skema 1",Stamoplysninger!$H$30/200,0)</f>
        <v>0</v>
      </c>
      <c r="CZ10" s="249">
        <f>IF(C10="Skema 2",Stamoplysninger!$H$30/200,0)</f>
        <v>0</v>
      </c>
      <c r="DA10" s="249">
        <f>IF(C10="Skema 3",Stamoplysninger!$H$30/200,0)</f>
        <v>0</v>
      </c>
      <c r="DB10" s="249">
        <f>IF(C10="Skema 4",Stamoplysninger!$H$30/200,0)</f>
        <v>0</v>
      </c>
      <c r="DC10" s="249">
        <f>IF(C10="fagdag",Stamoplysninger!$H$30/200,0)</f>
        <v>0</v>
      </c>
      <c r="DD10" s="249">
        <f>IF(C10="emnedag",Stamoplysninger!$H$30/200,0)</f>
        <v>0</v>
      </c>
      <c r="DE10" s="249">
        <f>IF(C10="lejrskole",Stamoplysninger!$H$30/200,0)</f>
        <v>0</v>
      </c>
      <c r="DF10" s="249">
        <f>IF(C10="ekskursion",Stamoplysninger!$H$30/200,0)</f>
        <v>0</v>
      </c>
      <c r="DG10" s="249">
        <f t="shared" ref="DG10:DG39" si="26">SUM(CY10:DF10)</f>
        <v>0</v>
      </c>
      <c r="DH10" t="str">
        <f t="shared" ref="DH10:DH38" si="27">IF(AND(E10&gt;0,H10&gt;0),""&amp;E10&amp;" og "&amp;H10&amp;"","")</f>
        <v/>
      </c>
      <c r="DI10" t="str">
        <f t="shared" ref="DI10:DI38" si="28">IF(H10="",E10,"")</f>
        <v>Juleklippedag</v>
      </c>
      <c r="DJ10" t="str">
        <f t="shared" ref="DJ10:DJ38" si="29">IF(E10="",H10,"")</f>
        <v/>
      </c>
      <c r="DK10" t="str">
        <f t="shared" si="14"/>
        <v/>
      </c>
      <c r="DL10" t="str">
        <f t="shared" si="14"/>
        <v>Juleklippedag</v>
      </c>
      <c r="DM10" t="str">
        <f t="shared" si="14"/>
        <v/>
      </c>
      <c r="DN10" t="str">
        <f t="shared" ref="DN10:DN38" si="30">DK10&amp;""&amp;DL10&amp;""&amp;DM10</f>
        <v>Juleklippedag</v>
      </c>
      <c r="DO10" s="652">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71">
        <f>IF(AND(Stamoplysninger!$B$22="Ulempetillæg udbetales med 25% af nettotimelønnen.",C10="ikke relevant"),(R10)/4,0)</f>
        <v>0</v>
      </c>
      <c r="DT10" s="671">
        <f>IF(AND(AND(Stamoplysninger!$B$22="Ulempetillæg udbetales med 25% af nettotimelønnen.",I10="X",C10="Ikke relevant")),K10/4,0)</f>
        <v>0</v>
      </c>
      <c r="DU10" s="671">
        <f>IF(AND(AND(Stamoplysninger!$B$22="Ulempetillæg udbetales med 25% af nettotimelønnen.",C10="ikke relevant",U10="X")),(X10/4),0)</f>
        <v>0</v>
      </c>
      <c r="DV10" s="672">
        <f>IF(AND(AND(AND(Stamoplysninger!$B$22="Ulempetillæg udbetales med 25% af nettotimelønnen.",I10="X",C10="Ikke relevant",S10="X"))),V10/4,0)</f>
        <v>0</v>
      </c>
      <c r="DW10" s="652"/>
      <c r="DZ10" s="671"/>
      <c r="EA10" s="671"/>
      <c r="EB10" s="672"/>
      <c r="EC10" s="652">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71">
        <f>IF(AND(Stamoplysninger!$B$22="Ulempetillæg afspadseres med 25%(Kræver en aftale imellem ledelsen og den ansatte)",C10="ikke relevant"),(R10)/4,0)</f>
        <v>0</v>
      </c>
      <c r="EH10" s="671">
        <f>IF(AND(AND(Stamoplysninger!$B$22="Ulempetillæg afspadseres med 25%(Kræver en aftale imellem ledelsen og den ansatte)",I10="X",C10="Ikke relevant")),K10/4,0)</f>
        <v>0</v>
      </c>
      <c r="EI10" s="671">
        <f>IF(AND(AND(Stamoplysninger!$B$22="Ulempetillæg afspadseres med 25%(Kræver en aftale imellem ledelsen og den ansatte)",U10="X",C10="Ikke relevant")),X10/4,0)</f>
        <v>0</v>
      </c>
      <c r="EJ10" s="671">
        <f>IF(AND(AND(AND(Stamoplysninger!$B$22="Ulempetillæg afspadseres med 25%(Kræver en aftale imellem ledelsen og den ansatte)",I10="X",C10="Ikke relevant",S10="X"))),V10/4,0)</f>
        <v>0</v>
      </c>
      <c r="EK10" s="283">
        <f>IF(AND(Stamoplysninger!$B$26="Weekendtimer og weekendtillæg afspadseres.",I10="X"),K10*1.5,0)</f>
        <v>0</v>
      </c>
      <c r="EL10" s="251">
        <f>IF(AND(AND(Stamoplysninger!$B$26="Weekendtimer og weekendtillæg afspadseres.",I10="X",S10="X")),V10*1.5,0)</f>
        <v>0</v>
      </c>
      <c r="EM10" s="674">
        <f>IF(AND(AND(Stamoplysninger!$B$26="Weekendtimer og weekendtillæg afspadseres.",I10="X",C10="ikke relevant")),K10*1.5,0)</f>
        <v>0</v>
      </c>
      <c r="EN10" s="675">
        <f>IF(AND(AND(AND(Stamoplysninger!$B$26="Weekendtimer og weekendtillæg afspadseres.",I10="X",C10="ikke relevant",S10="X"))),(V10*1.5),0)</f>
        <v>0</v>
      </c>
      <c r="EO10" s="283">
        <f>IF(AND(Stamoplysninger!$B$26="Weekendtimer og weekendtillæg udbetales.",I10="X"),K10*1.5,0)</f>
        <v>0</v>
      </c>
      <c r="EP10" s="251">
        <f>IF(AND(AND(Stamoplysninger!$B$26="Weekendtimer og weekendtillæg udbetales.",I10="X",S10="X")),V10*1.5,0)</f>
        <v>0</v>
      </c>
      <c r="EQ10" s="674">
        <f>IF(AND(AND(Stamoplysninger!$B$26="Weekendtimer og weekendtillæg udbetales.",I10="X",C10="ikke relevant")),K10*1.5,0)</f>
        <v>0</v>
      </c>
      <c r="ER10" s="675">
        <f>IF(AND(AND(AND(Stamoplysninger!$B$26="Weekendtimer og weekendtillæg udbetales.",I10="X",C10="ikke relevant",S10="X"))),(V10*1.5),0)</f>
        <v>0</v>
      </c>
      <c r="ES10" s="283">
        <f>IF(AND(Stamoplysninger!$B$26="Der er indgået lokalaftale omkring weekendtimer.(Kræver aftale med TR/FSL) Weekendtillæg afspadseres.",I10="X"),K10*0.5,0)</f>
        <v>0</v>
      </c>
      <c r="ET10" s="251">
        <f>IF(AND(AND(Stamoplysninger!$B$26="Der er indgået lokalaftale omkring weekendtimer.(Kræver aftale med TR/FSL) Weekendtillæg afspadseres.",I10="X",S10="X")),V10*0.5,0)</f>
        <v>0</v>
      </c>
      <c r="EU10" s="674">
        <f>IF(AND(AND(Stamoplysninger!$B$26="Der er indgået lokalaftale omkring weekendtimer.(Kræver aftale med TR/FSL) Weekendtillæg afspadseres.",I10="X",C10="ikke relevant")),K10*0.5,0)</f>
        <v>0</v>
      </c>
      <c r="EV10" s="675">
        <f>IF(AND(AND(AND(Stamoplysninger!$B$26="Der er indgået lokalaftale omkring weekendtimer.(Kræver aftale med TR/FSL) Weekendtillæg afspadseres.",I10="X",C10="ikke relevant",S10="X"))),(V10*0.5),0)</f>
        <v>0</v>
      </c>
      <c r="EW10" s="283">
        <f>IF(AND(Stamoplysninger!$B$26="Der er indgået lokalaftale omkring weekendtimer(Kræver aftale med TR/FSL). Weekendtillæg udbetales.",I10="X"),K10*0.5,0)</f>
        <v>0</v>
      </c>
      <c r="EX10" s="251">
        <f>IF(AND(AND(Stamoplysninger!$B$26="Der er indgået lokalaftale omkring weekendtimer(Kræver aftale med TR/FSL). Weekendtillæg udbetales.",I10="X",S10="X")),V10*0.5,0)</f>
        <v>0</v>
      </c>
      <c r="EY10" s="674">
        <f>IF(AND(AND(Stamoplysninger!$B$26="Der er indgået lokalaftale omkring weekendtimer(Kræver aftale med TR/FSL). Weekendtillæg udbetales.",I10="X",C10="ikke relevant")),K10*0.5,0)</f>
        <v>0</v>
      </c>
      <c r="EZ10" s="675">
        <f>IF(AND(AND(AND(Stamoplysninger!$B$26="Der er indgået lokalaftale omkring weekendtimer(Kræver aftale med TR/FSL). Weekendtillæg udbetales.",I10="X",C10="ikke relevant",S10="X"))),(V10*0.5),0)</f>
        <v>0</v>
      </c>
      <c r="FA10" s="283">
        <f>IF(AND(Stamoplysninger!$B$26="Der er indgået lokalaftale omkring weekendtillæg(Kræver aftale med TR/FSL). Weekendtimerne afspadseres.",I10="X"),K10,0)</f>
        <v>0</v>
      </c>
      <c r="FB10" s="251">
        <f>IF(AND(AND(Stamoplysninger!$B$26="Der er indgået lokalaftale omkring weekendtillæg(Kræver aftale med TR/FSL). Weekendtimerne afspadseres.",I10="X",S10="X")),V10,0)</f>
        <v>0</v>
      </c>
      <c r="FC10" s="674">
        <f>IF(AND(AND(Stamoplysninger!$B$26="Der er indgået lokalaftale omkring weekendtillæg(Kræver aftale med TR/FSL). Weekendtimerne afspadseres..",I10="X",C10="ikke relevant")),K10,0)</f>
        <v>0</v>
      </c>
      <c r="FD10" s="675">
        <f>IF(AND(AND(AND(Stamoplysninger!$B$26="Der er indgået lokalaftale omkring weekendtillæg(Kræver aftale med TR/FSL). Weekendtimerne afspadseres.",I10="X",C10="ikke relevant",S10="X"))),(V10),0)</f>
        <v>0</v>
      </c>
      <c r="FE10" s="283">
        <f>IF(AND(Stamoplysninger!$B$26="Der er indgået lokalaftale omkring weekendtillæg(Kræver aftale med TR/FSL). Weekendtimerne udbetales.",I10="X"),K10,0)</f>
        <v>0</v>
      </c>
      <c r="FF10" s="251">
        <f>IF(AND(AND(Stamoplysninger!$B$26="Der er indgået lokalaftale omkring weekendtillæg(Kræver aftale med TR/FSL). Weekendtimerne udbetales.",I10="X",S10="X")),V10,0)</f>
        <v>0</v>
      </c>
      <c r="FG10" s="674">
        <f>IF(AND(AND(Stamoplysninger!$B$26="Der er indgået lokalaftale omkring weekendtillæg(Kræver aftale med TR/FSL). Weekendtimerne udbetales.",I10="X",C10="ikke relevant")),K10,0)</f>
        <v>0</v>
      </c>
      <c r="FH10" s="675">
        <f>IF(AND(AND(AND(Stamoplysninger!$B$26="Der er indgået lokalaftale omkring weekendtillæg(Kræver aftale med TR/FSL). Weekendtimerne udbetales.",I10="X",C10="ikke relevant",S10="X"))),(V10),0)</f>
        <v>0</v>
      </c>
      <c r="FI10" s="283">
        <f>IF(AND(Stamoplysninger!$B$26="Weekendtimer og weekendtillæg afspadseres.",I10="X"),K10,0)</f>
        <v>0</v>
      </c>
      <c r="FJ10" s="251">
        <f>IF(AND(Stamoplysninger!$B$26="Weekendtimer og weekendtillæg afspadseres.",Y10="X"),(AA10+AL10)/2,0)</f>
        <v>0</v>
      </c>
      <c r="FK10" s="674">
        <f>IF(AND(AND(Stamoplysninger!$B$26="Weekendtimer og weekendtillæg afspadseres.",I10="X",C10="ikke relevant")),K10,0)</f>
        <v>0</v>
      </c>
      <c r="FL10" s="675">
        <f>IF(AND(AND(Stamoplysninger!$B$26="Weekendtimer og weekendtillæg afspadseres.",Y10="X",S10="ikke relevant")),(AA10+AL10)/2,0)</f>
        <v>0</v>
      </c>
      <c r="FM10" s="283">
        <f>IF(AND(Stamoplysninger!$B$26="Der er indgået lokalaftale omkring weekendtillæg(Kræver aftale med TR/FSL). Weekendtimerne afspadseres.",I10="X"),K10,0)</f>
        <v>0</v>
      </c>
      <c r="FN10" s="674">
        <f>IF(AND(AND(Stamoplysninger!$B$26="Der er indgået lokalaftale omkring weekendtillæg(Kræver aftale med TR/FSL). Weekendtimerne afspadseres.",I10="X",C10="ikke relevant")),K10,0)</f>
        <v>0</v>
      </c>
      <c r="FO10" s="283">
        <f>IF(AND(Stamoplysninger!$B$26="Weekendtimer og weekendtillæg udbetales.",I10="X"),K10,0)</f>
        <v>0</v>
      </c>
      <c r="FP10" s="251">
        <f>IF(AND(Stamoplysninger!$B$26="Weekendtimer og weekendtillæg udbetales.",AA10="X"),(AC10+AN10)/2,0)</f>
        <v>0</v>
      </c>
      <c r="FQ10" s="674">
        <f>IF(AND(AND(Stamoplysninger!$B$26="Weekendtimer og weekendtillæg udbetales.",I10="X",C10="ikke relevant")),K10,0)</f>
        <v>0</v>
      </c>
      <c r="FR10" s="688">
        <f>IF(AND(AND(Stamoplysninger!$B$26="Weekendtimer og weekendtillæg udbetales.",AA10="X",U10="ikke relevant")),(AC10+AN10)/2,0)</f>
        <v>0</v>
      </c>
      <c r="FS10" s="283">
        <f t="shared" si="15"/>
        <v>0</v>
      </c>
      <c r="FT10" s="658">
        <f t="shared" si="16"/>
        <v>0</v>
      </c>
      <c r="FU10">
        <f t="shared" si="17"/>
        <v>0</v>
      </c>
      <c r="FV10" s="283">
        <f>IF(AND(Stamoplysninger!$B$26="Der er indgået lokalaftale omkring weekendtimer.(Kræver aftale med TR/FSL) Weekendtillæg afspadseres.",I10="X"),K10,0)</f>
        <v>0</v>
      </c>
      <c r="FW10" s="674">
        <f>IF(AND(AND(Stamoplysninger!$B$26="Der er indgået lokalaftale omkring weekendtimer.(Kræver aftale med TR/FSL) Weekendtillæg afspadseres.",I10="X",C10="ikke relevant")),K10,0)</f>
        <v>0</v>
      </c>
      <c r="FX10" s="283">
        <f>IF(AND(Stamoplysninger!$B$26="Der er indgået lokalaftale omkring weekendtimer(Kræver aftale med TR/FSL). Weekendtillæg udbetales.",I10="X"),K10,0)</f>
        <v>0</v>
      </c>
      <c r="FY10" s="674">
        <f>IF(AND(AND(Stamoplysninger!$B$26="Der er indgået lokalaftale omkring weekendtimer(Kræver aftale med TR/FSL). Weekendtillæg udbetales.",I10="X",C10="ikke relevant")),K10,0)</f>
        <v>0</v>
      </c>
      <c r="FZ10" s="283">
        <f>IF(AND(Stamoplysninger!$B$26="Der er indgået lokalaftale omkring weekendtillæg(Kræver aftale med TR/FSL). Weekendtimerne udbetales.",I10="X"),K10,0)</f>
        <v>0</v>
      </c>
      <c r="GA10" s="674">
        <f>IF(AND(AND(Stamoplysninger!$B$26="Der er indgået lokalaftale omkring weekendtillæg(Kræver aftale med TR/FSL). Weekendtimerne udbetales.",I10="X",C10="ikke relevant")),K10,0)</f>
        <v>0</v>
      </c>
      <c r="GB10" s="283">
        <f>IF(AND(Stamoplysninger!$B$26="Der er indgået lokalaftale omkring weekendtimer og weekendtillæg.(Kræver aftale med TR/FSL).",I10="X"),K10,0)</f>
        <v>0</v>
      </c>
      <c r="GC10" s="674">
        <f>IF(AND(AND(Stamoplysninger!$B$26="Der er indgået lokalaftale omkring weekendtimer og weekendtillæg.(Kræver aftale med TR/FSL).",I10="X",C10="ikke relevant")),K10,0)</f>
        <v>0</v>
      </c>
    </row>
    <row r="11" spans="1:185">
      <c r="A11" s="245">
        <f t="shared" si="18"/>
        <v>3</v>
      </c>
      <c r="B11" s="128" t="str">
        <f t="shared" si="0"/>
        <v>ti</v>
      </c>
      <c r="C11" s="129" t="s">
        <v>206</v>
      </c>
      <c r="D11" s="130" t="str">
        <f t="shared" si="1"/>
        <v/>
      </c>
      <c r="E11" s="917"/>
      <c r="F11" s="918"/>
      <c r="G11" s="919"/>
      <c r="H11" s="298"/>
      <c r="I11" s="527"/>
      <c r="J11" s="413"/>
      <c r="K11" s="380"/>
      <c r="L11" s="380"/>
      <c r="M11" s="380"/>
      <c r="N11" s="318">
        <f t="shared" si="19"/>
        <v>7.75</v>
      </c>
      <c r="O11" s="318">
        <f t="shared" si="20"/>
        <v>4.5</v>
      </c>
      <c r="P11" s="318">
        <f>IF(Stamoplysninger!$H$29="JA",December!DG11,CX11)</f>
        <v>1</v>
      </c>
      <c r="Q11" s="318">
        <f t="shared" si="21"/>
        <v>2.25</v>
      </c>
      <c r="R11" s="319"/>
      <c r="S11" s="324"/>
      <c r="T11" s="325"/>
      <c r="U11" s="325"/>
      <c r="V11" s="435"/>
      <c r="W11" s="412"/>
      <c r="X11" s="642"/>
      <c r="Y11">
        <f t="shared" si="22"/>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1",B11="ma"),Arbejdstidsoversigt!$E$72,"")</f>
        <v/>
      </c>
      <c r="AH11">
        <f>IF(AND(C11="Skema 1",B11="ti"),Arbejdstidsoversigt!$E$73,"")</f>
        <v>7.75</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7.75</v>
      </c>
      <c r="BB11" s="229">
        <f t="shared" si="8"/>
        <v>186</v>
      </c>
      <c r="BC11" s="1">
        <f t="shared" si="24"/>
        <v>0</v>
      </c>
      <c r="BD11" s="1">
        <f t="shared" si="9"/>
        <v>0</v>
      </c>
      <c r="BE11" s="1">
        <f t="shared" si="10"/>
        <v>0</v>
      </c>
      <c r="BF11" s="1">
        <f t="shared" si="11"/>
        <v>0</v>
      </c>
      <c r="BG11" s="210" t="str">
        <f>IF(AND(C11="Skema 1",B11="ma"),Skemaoplysninger!$E$30,"")</f>
        <v/>
      </c>
      <c r="BH11" s="210">
        <f>IF(AND(C11="Skema 1",B11="ti"),Skemaoplysninger!$G$30,"")</f>
        <v>0.1875</v>
      </c>
      <c r="BI11" s="210" t="str">
        <f>IF(AND(C11="Skema 1",B11="on"),Skemaoplysninger!$I$30,"")</f>
        <v/>
      </c>
      <c r="BJ11" s="210" t="str">
        <f>IF(AND(C11="Skema 1",B11="to"),Skemaoplysninger!$K$30,"")</f>
        <v/>
      </c>
      <c r="BK11" s="210" t="str">
        <f>IF(AND(C11="Skema 1",B11="fr"),Skemaoplysninger!$M$30,"")</f>
        <v/>
      </c>
      <c r="BL11" s="210" t="str">
        <f>IF(AND(C11="Skema 2",B11="ma"),Skemaoplysninger!$S$30,"")</f>
        <v/>
      </c>
      <c r="BM11" s="210" t="str">
        <f>IF(AND(C11="Skema 2",B11="ti"),Skemaoplysninger!$U$30,"")</f>
        <v/>
      </c>
      <c r="BN11" s="210" t="str">
        <f>IF(AND(C11="Skema 2",B11="on"),Skemaoplysninger!$W$30,"")</f>
        <v/>
      </c>
      <c r="BO11" s="210" t="str">
        <f>IF(AND(C11="Skema 2",B11="to"),Skemaoplysninger!$Y$30,"")</f>
        <v/>
      </c>
      <c r="BP11" s="210" t="str">
        <f>IF(AND(C11="Skema 2",B11="fr"),Skemaoplysninger!$AA$30,"")</f>
        <v/>
      </c>
      <c r="BQ11" s="210" t="str">
        <f>IF(AND(C11="Skema 3",B11="ma"),Skemaoplysninger!$AG$30,"")</f>
        <v/>
      </c>
      <c r="BR11" s="210" t="str">
        <f>IF(AND(C11="Skema 3",B11="ti"),Skemaoplysninger!$AI$30,"")</f>
        <v/>
      </c>
      <c r="BS11" s="210" t="str">
        <f>IF(AND(C11="Skema 3",B11="on"),Skemaoplysninger!$AK$30,"")</f>
        <v/>
      </c>
      <c r="BT11" s="210" t="str">
        <f>IF(AND(C11="Skema 3",B11="to"),Skemaoplysninger!$AM$30,"")</f>
        <v/>
      </c>
      <c r="BU11" s="210" t="str">
        <f>IF(AND(C11="Skema 3",B11="fr"),Skemaoplysninger!$AO$30,"")</f>
        <v/>
      </c>
      <c r="BV11" s="210" t="str">
        <f>IF(AND(C11="Skema 4",B11="ma"),Skemaoplysninger!$AU$30,"")</f>
        <v/>
      </c>
      <c r="BW11" s="210" t="str">
        <f>IF(AND(C11="Skema 4",B11="ti"),Skemaoplysninger!$AW$30,"")</f>
        <v/>
      </c>
      <c r="BX11" s="210" t="str">
        <f>IF(AND(C11="Skema 4",B11="on"),Skemaoplysninger!$AY$30,"")</f>
        <v/>
      </c>
      <c r="BY11" s="210" t="str">
        <f>IF(AND(C11="Skema 4",B11="to"),Skemaoplysninger!$BA$30,"")</f>
        <v/>
      </c>
      <c r="BZ11" s="210" t="str">
        <f>IF(AND(C11="Skema 4",B11="fr"),Skemaoplysninger!$BC$30,"")</f>
        <v/>
      </c>
      <c r="CA11" s="1">
        <f t="shared" si="25"/>
        <v>4.5</v>
      </c>
      <c r="CB11" s="1">
        <f t="shared" si="12"/>
        <v>0</v>
      </c>
      <c r="CC11" s="1">
        <f t="shared" si="13"/>
        <v>0</v>
      </c>
      <c r="CD11" s="210" t="str">
        <f>IF(AND(C11="Skema 1",B11="ma"),Skemaoplysninger!$E$31,"")</f>
        <v/>
      </c>
      <c r="CE11" s="210">
        <f>IF(AND(C11="Skema 1",B11="ti"),Skemaoplysninger!$G$31,"")</f>
        <v>4.1666666666666671E-2</v>
      </c>
      <c r="CF11" s="210" t="str">
        <f>IF(AND(C11="Skema 1",B11="on"),Skemaoplysninger!$I$31,"")</f>
        <v/>
      </c>
      <c r="CG11" s="210" t="str">
        <f>IF(AND(C11="Skema 1",B11="to"),Skemaoplysninger!$K$31,"")</f>
        <v/>
      </c>
      <c r="CH11" s="210" t="str">
        <f>IF(AND(C11="Skema 1",B11="fr"),Skemaoplysninger!$M$31,"")</f>
        <v/>
      </c>
      <c r="CI11" s="210" t="str">
        <f>IF(AND(C11="Skema 2",B11="ma"),Skemaoplysninger!$S$31,"")</f>
        <v/>
      </c>
      <c r="CJ11" s="210" t="str">
        <f>IF(AND(C11="Skema 2",B11="ti"),Skemaoplysninger!$U$31,"")</f>
        <v/>
      </c>
      <c r="CK11" s="210" t="str">
        <f>IF(AND(C11="Skema 2",B11="on"),Skemaoplysninger!$W$31,"")</f>
        <v/>
      </c>
      <c r="CL11" s="210" t="str">
        <f>IF(AND(C11="Skema 2",B11="to"),Skemaoplysninger!$Y$31,"")</f>
        <v/>
      </c>
      <c r="CM11" s="210" t="str">
        <f>IF(AND(C11="Skema 2",B11="fr"),Skemaoplysninger!$AA$31,"")</f>
        <v/>
      </c>
      <c r="CN11" s="210" t="str">
        <f>IF(AND(C11="Skema 3",B11="ma"),Skemaoplysninger!$AG$31,"")</f>
        <v/>
      </c>
      <c r="CO11" s="210" t="str">
        <f>IF(AND(C11="Skema 3",B11="ti"),Skemaoplysninger!$AI$31,"")</f>
        <v/>
      </c>
      <c r="CP11" s="210" t="str">
        <f>IF(AND(C11="Skema 3",B11="on"),Skemaoplysninger!$AK$31,"")</f>
        <v/>
      </c>
      <c r="CQ11" s="210" t="str">
        <f>IF(AND(C11="Skema 3",B11="to"),Skemaoplysninger!$AM$31,"")</f>
        <v/>
      </c>
      <c r="CR11" s="210" t="str">
        <f>IF(AND(C11="Skema 3",B11="fr"),Skemaoplysninger!$AO$31,"")</f>
        <v/>
      </c>
      <c r="CS11" s="210" t="str">
        <f>IF(AND(C11="Skema 4",B11="ma"),Skemaoplysninger!$AU$31,"")</f>
        <v/>
      </c>
      <c r="CT11" s="210" t="str">
        <f>IF(AND(C11="Skema 4",B11="ti"),Skemaoplysninger!$AW$31,"")</f>
        <v/>
      </c>
      <c r="CU11" s="210" t="str">
        <f>IF(AND(C11="Skema 4",B11="on"),Skemaoplysninger!$AY$31,"")</f>
        <v/>
      </c>
      <c r="CV11" s="210" t="str">
        <f>IF(AND(C11="Skema 4",B11="to"),Skemaoplysninger!$BA$31,"")</f>
        <v/>
      </c>
      <c r="CW11" s="210" t="str">
        <f>IF(AND(C11="Skema 4",B11="fr"),Skemaoplysninger!$BC$31,"")</f>
        <v/>
      </c>
      <c r="CX11" s="249">
        <f>IF(Stamoplysninger!$H$29="NEJ",SUM(CD11:CW11)*24+CB11+CC11,0)</f>
        <v>1</v>
      </c>
      <c r="CY11" s="249">
        <f>IF(C11="Skema 1",Stamoplysninger!$H$30/200,0)</f>
        <v>0</v>
      </c>
      <c r="CZ11" s="249">
        <f>IF(C11="Skema 2",Stamoplysninger!$H$30/200,0)</f>
        <v>0</v>
      </c>
      <c r="DA11" s="249">
        <f>IF(C11="Skema 3",Stamoplysninger!$H$30/200,0)</f>
        <v>0</v>
      </c>
      <c r="DB11" s="249">
        <f>IF(C11="Skema 4",Stamoplysninger!$H$30/200,0)</f>
        <v>0</v>
      </c>
      <c r="DC11" s="249">
        <f>IF(C11="fagdag",Stamoplysninger!$H$30/200,0)</f>
        <v>0</v>
      </c>
      <c r="DD11" s="249">
        <f>IF(C11="emnedag",Stamoplysninger!$H$30/200,0)</f>
        <v>0</v>
      </c>
      <c r="DE11" s="249">
        <f>IF(C11="lejrskole",Stamoplysninger!$H$30/200,0)</f>
        <v>0</v>
      </c>
      <c r="DF11" s="249">
        <f>IF(C11="ekskursion",Stamoplysninger!$H$30/200,0)</f>
        <v>0</v>
      </c>
      <c r="DG11" s="249">
        <f t="shared" si="26"/>
        <v>0</v>
      </c>
      <c r="DH11" t="str">
        <f t="shared" si="27"/>
        <v/>
      </c>
      <c r="DI11">
        <f t="shared" si="28"/>
        <v>0</v>
      </c>
      <c r="DJ11">
        <f t="shared" si="29"/>
        <v>0</v>
      </c>
      <c r="DK11" t="str">
        <f t="shared" si="14"/>
        <v/>
      </c>
      <c r="DL11" t="str">
        <f t="shared" si="14"/>
        <v/>
      </c>
      <c r="DM11" t="str">
        <f t="shared" si="14"/>
        <v/>
      </c>
      <c r="DN11" t="str">
        <f t="shared" si="30"/>
        <v/>
      </c>
      <c r="DO11" s="652">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71">
        <f>IF(AND(Stamoplysninger!$B$22="Ulempetillæg udbetales med 25% af nettotimelønnen.",C11="ikke relevant"),(R11)/4,0)</f>
        <v>0</v>
      </c>
      <c r="DT11" s="671">
        <f>IF(AND(AND(Stamoplysninger!$B$22="Ulempetillæg udbetales med 25% af nettotimelønnen.",I11="X",C11="Ikke relevant")),K11/4,0)</f>
        <v>0</v>
      </c>
      <c r="DU11" s="671">
        <f>IF(AND(AND(Stamoplysninger!$B$22="Ulempetillæg udbetales med 25% af nettotimelønnen.",C11="ikke relevant",U11="X")),(X11/4),0)</f>
        <v>0</v>
      </c>
      <c r="DV11" s="672">
        <f>IF(AND(AND(AND(Stamoplysninger!$B$22="Ulempetillæg udbetales med 25% af nettotimelønnen.",I11="X",C11="Ikke relevant",S11="X"))),V11/4,0)</f>
        <v>0</v>
      </c>
      <c r="DW11" s="652"/>
      <c r="DZ11" s="671"/>
      <c r="EA11" s="671"/>
      <c r="EB11" s="672"/>
      <c r="EC11" s="652">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71">
        <f>IF(AND(Stamoplysninger!$B$22="Ulempetillæg afspadseres med 25%(Kræver en aftale imellem ledelsen og den ansatte)",C11="ikke relevant"),(R11)/4,0)</f>
        <v>0</v>
      </c>
      <c r="EH11" s="671">
        <f>IF(AND(AND(Stamoplysninger!$B$22="Ulempetillæg afspadseres med 25%(Kræver en aftale imellem ledelsen og den ansatte)",I11="X",C11="Ikke relevant")),K11/4,0)</f>
        <v>0</v>
      </c>
      <c r="EI11" s="671">
        <f>IF(AND(AND(Stamoplysninger!$B$22="Ulempetillæg afspadseres med 25%(Kræver en aftale imellem ledelsen og den ansatte)",U11="X",C11="Ikke relevant")),X11/4,0)</f>
        <v>0</v>
      </c>
      <c r="EJ11" s="671">
        <f>IF(AND(AND(AND(Stamoplysninger!$B$22="Ulempetillæg afspadseres med 25%(Kræver en aftale imellem ledelsen og den ansatte)",I11="X",C11="Ikke relevant",S11="X"))),V11/4,0)</f>
        <v>0</v>
      </c>
      <c r="EK11" s="283">
        <f>IF(AND(Stamoplysninger!$B$26="Weekendtimer og weekendtillæg afspadseres.",I11="X"),K11*1.5,0)</f>
        <v>0</v>
      </c>
      <c r="EL11" s="251">
        <f>IF(AND(AND(Stamoplysninger!$B$26="Weekendtimer og weekendtillæg afspadseres.",I11="X",S11="X")),V11*1.5,0)</f>
        <v>0</v>
      </c>
      <c r="EM11" s="674">
        <f>IF(AND(AND(Stamoplysninger!$B$26="Weekendtimer og weekendtillæg afspadseres.",I11="X",C11="ikke relevant")),K11*1.5,0)</f>
        <v>0</v>
      </c>
      <c r="EN11" s="675">
        <f>IF(AND(AND(AND(Stamoplysninger!$B$26="Weekendtimer og weekendtillæg afspadseres.",I11="X",C11="ikke relevant",S11="X"))),(V11*1.5),0)</f>
        <v>0</v>
      </c>
      <c r="EO11" s="283">
        <f>IF(AND(Stamoplysninger!$B$26="Weekendtimer og weekendtillæg udbetales.",I11="X"),K11*1.5,0)</f>
        <v>0</v>
      </c>
      <c r="EP11" s="251">
        <f>IF(AND(AND(Stamoplysninger!$B$26="Weekendtimer og weekendtillæg udbetales.",I11="X",S11="X")),V11*1.5,0)</f>
        <v>0</v>
      </c>
      <c r="EQ11" s="674">
        <f>IF(AND(AND(Stamoplysninger!$B$26="Weekendtimer og weekendtillæg udbetales.",I11="X",C11="ikke relevant")),K11*1.5,0)</f>
        <v>0</v>
      </c>
      <c r="ER11" s="675">
        <f>IF(AND(AND(AND(Stamoplysninger!$B$26="Weekendtimer og weekendtillæg udbetales.",I11="X",C11="ikke relevant",S11="X"))),(V11*1.5),0)</f>
        <v>0</v>
      </c>
      <c r="ES11" s="283">
        <f>IF(AND(Stamoplysninger!$B$26="Der er indgået lokalaftale omkring weekendtimer.(Kræver aftale med TR/FSL) Weekendtillæg afspadseres.",I11="X"),K11*0.5,0)</f>
        <v>0</v>
      </c>
      <c r="ET11" s="251">
        <f>IF(AND(AND(Stamoplysninger!$B$26="Der er indgået lokalaftale omkring weekendtimer.(Kræver aftale med TR/FSL) Weekendtillæg afspadseres.",I11="X",S11="X")),V11*0.5,0)</f>
        <v>0</v>
      </c>
      <c r="EU11" s="674">
        <f>IF(AND(AND(Stamoplysninger!$B$26="Der er indgået lokalaftale omkring weekendtimer.(Kræver aftale med TR/FSL) Weekendtillæg afspadseres.",I11="X",C11="ikke relevant")),K11*0.5,0)</f>
        <v>0</v>
      </c>
      <c r="EV11" s="675">
        <f>IF(AND(AND(AND(Stamoplysninger!$B$26="Der er indgået lokalaftale omkring weekendtimer.(Kræver aftale med TR/FSL) Weekendtillæg afspadseres.",I11="X",C11="ikke relevant",S11="X"))),(V11*0.5),0)</f>
        <v>0</v>
      </c>
      <c r="EW11" s="283">
        <f>IF(AND(Stamoplysninger!$B$26="Der er indgået lokalaftale omkring weekendtimer(Kræver aftale med TR/FSL). Weekendtillæg udbetales.",I11="X"),K11*0.5,0)</f>
        <v>0</v>
      </c>
      <c r="EX11" s="251">
        <f>IF(AND(AND(Stamoplysninger!$B$26="Der er indgået lokalaftale omkring weekendtimer(Kræver aftale med TR/FSL). Weekendtillæg udbetales.",I11="X",S11="X")),V11*0.5,0)</f>
        <v>0</v>
      </c>
      <c r="EY11" s="674">
        <f>IF(AND(AND(Stamoplysninger!$B$26="Der er indgået lokalaftale omkring weekendtimer(Kræver aftale med TR/FSL). Weekendtillæg udbetales.",I11="X",C11="ikke relevant")),K11*0.5,0)</f>
        <v>0</v>
      </c>
      <c r="EZ11" s="675">
        <f>IF(AND(AND(AND(Stamoplysninger!$B$26="Der er indgået lokalaftale omkring weekendtimer(Kræver aftale med TR/FSL). Weekendtillæg udbetales.",I11="X",C11="ikke relevant",S11="X"))),(V11*0.5),0)</f>
        <v>0</v>
      </c>
      <c r="FA11" s="283">
        <f>IF(AND(Stamoplysninger!$B$26="Der er indgået lokalaftale omkring weekendtillæg(Kræver aftale med TR/FSL). Weekendtimerne afspadseres.",I11="X"),K11,0)</f>
        <v>0</v>
      </c>
      <c r="FB11" s="251">
        <f>IF(AND(AND(Stamoplysninger!$B$26="Der er indgået lokalaftale omkring weekendtillæg(Kræver aftale med TR/FSL). Weekendtimerne afspadseres.",I11="X",S11="X")),V11,0)</f>
        <v>0</v>
      </c>
      <c r="FC11" s="674">
        <f>IF(AND(AND(Stamoplysninger!$B$26="Der er indgået lokalaftale omkring weekendtillæg(Kræver aftale med TR/FSL). Weekendtimerne afspadseres..",I11="X",C11="ikke relevant")),K11,0)</f>
        <v>0</v>
      </c>
      <c r="FD11" s="675">
        <f>IF(AND(AND(AND(Stamoplysninger!$B$26="Der er indgået lokalaftale omkring weekendtillæg(Kræver aftale med TR/FSL). Weekendtimerne afspadseres.",I11="X",C11="ikke relevant",S11="X"))),(V11),0)</f>
        <v>0</v>
      </c>
      <c r="FE11" s="283">
        <f>IF(AND(Stamoplysninger!$B$26="Der er indgået lokalaftale omkring weekendtillæg(Kræver aftale med TR/FSL). Weekendtimerne udbetales.",I11="X"),K11,0)</f>
        <v>0</v>
      </c>
      <c r="FF11" s="251">
        <f>IF(AND(AND(Stamoplysninger!$B$26="Der er indgået lokalaftale omkring weekendtillæg(Kræver aftale med TR/FSL). Weekendtimerne udbetales.",I11="X",S11="X")),V11,0)</f>
        <v>0</v>
      </c>
      <c r="FG11" s="674">
        <f>IF(AND(AND(Stamoplysninger!$B$26="Der er indgået lokalaftale omkring weekendtillæg(Kræver aftale med TR/FSL). Weekendtimerne udbetales.",I11="X",C11="ikke relevant")),K11,0)</f>
        <v>0</v>
      </c>
      <c r="FH11" s="675">
        <f>IF(AND(AND(AND(Stamoplysninger!$B$26="Der er indgået lokalaftale omkring weekendtillæg(Kræver aftale med TR/FSL). Weekendtimerne udbetales.",I11="X",C11="ikke relevant",S11="X"))),(V11),0)</f>
        <v>0</v>
      </c>
      <c r="FI11" s="283">
        <f>IF(AND(Stamoplysninger!$B$26="Weekendtimer og weekendtillæg afspadseres.",I11="X"),K11,0)</f>
        <v>0</v>
      </c>
      <c r="FJ11" s="251">
        <f>IF(AND(Stamoplysninger!$B$26="Weekendtimer og weekendtillæg afspadseres.",Y11="X"),(AA11+AL11)/2,0)</f>
        <v>0</v>
      </c>
      <c r="FK11" s="674">
        <f>IF(AND(AND(Stamoplysninger!$B$26="Weekendtimer og weekendtillæg afspadseres.",I11="X",C11="ikke relevant")),K11,0)</f>
        <v>0</v>
      </c>
      <c r="FL11" s="675">
        <f>IF(AND(AND(Stamoplysninger!$B$26="Weekendtimer og weekendtillæg afspadseres.",Y11="X",S11="ikke relevant")),(AA11+AL11)/2,0)</f>
        <v>0</v>
      </c>
      <c r="FM11" s="283">
        <f>IF(AND(Stamoplysninger!$B$26="Der er indgået lokalaftale omkring weekendtillæg(Kræver aftale med TR/FSL). Weekendtimerne afspadseres.",I11="X"),K11,0)</f>
        <v>0</v>
      </c>
      <c r="FN11" s="674">
        <f>IF(AND(AND(Stamoplysninger!$B$26="Der er indgået lokalaftale omkring weekendtillæg(Kræver aftale med TR/FSL). Weekendtimerne afspadseres.",I11="X",C11="ikke relevant")),K11,0)</f>
        <v>0</v>
      </c>
      <c r="FO11" s="283">
        <f>IF(AND(Stamoplysninger!$B$26="Weekendtimer og weekendtillæg udbetales.",I11="X"),K11,0)</f>
        <v>0</v>
      </c>
      <c r="FP11" s="251">
        <f>IF(AND(Stamoplysninger!$B$26="Weekendtimer og weekendtillæg udbetales.",AA11="X"),(AC11+AN11)/2,0)</f>
        <v>0</v>
      </c>
      <c r="FQ11" s="674">
        <f>IF(AND(AND(Stamoplysninger!$B$26="Weekendtimer og weekendtillæg udbetales.",I11="X",C11="ikke relevant")),K11,0)</f>
        <v>0</v>
      </c>
      <c r="FR11" s="688">
        <f>IF(AND(AND(Stamoplysninger!$B$26="Weekendtimer og weekendtillæg udbetales.",AA11="X",U11="ikke relevant")),(AC11+AN11)/2,0)</f>
        <v>0</v>
      </c>
      <c r="FS11" s="283">
        <f t="shared" si="15"/>
        <v>0</v>
      </c>
      <c r="FT11" s="658">
        <f t="shared" si="16"/>
        <v>0</v>
      </c>
      <c r="FU11">
        <f t="shared" si="17"/>
        <v>0</v>
      </c>
      <c r="FV11" s="283">
        <f>IF(AND(Stamoplysninger!$B$26="Der er indgået lokalaftale omkring weekendtimer.(Kræver aftale med TR/FSL) Weekendtillæg afspadseres.",I11="X"),K11,0)</f>
        <v>0</v>
      </c>
      <c r="FW11" s="674">
        <f>IF(AND(AND(Stamoplysninger!$B$26="Der er indgået lokalaftale omkring weekendtimer.(Kræver aftale med TR/FSL) Weekendtillæg afspadseres.",I11="X",C11="ikke relevant")),K11,0)</f>
        <v>0</v>
      </c>
      <c r="FX11" s="283">
        <f>IF(AND(Stamoplysninger!$B$26="Der er indgået lokalaftale omkring weekendtimer(Kræver aftale med TR/FSL). Weekendtillæg udbetales.",I11="X"),K11,0)</f>
        <v>0</v>
      </c>
      <c r="FY11" s="674">
        <f>IF(AND(AND(Stamoplysninger!$B$26="Der er indgået lokalaftale omkring weekendtimer(Kræver aftale med TR/FSL). Weekendtillæg udbetales.",I11="X",C11="ikke relevant")),K11,0)</f>
        <v>0</v>
      </c>
      <c r="FZ11" s="283">
        <f>IF(AND(Stamoplysninger!$B$26="Der er indgået lokalaftale omkring weekendtillæg(Kræver aftale med TR/FSL). Weekendtimerne udbetales.",I11="X"),K11,0)</f>
        <v>0</v>
      </c>
      <c r="GA11" s="674">
        <f>IF(AND(AND(Stamoplysninger!$B$26="Der er indgået lokalaftale omkring weekendtillæg(Kræver aftale med TR/FSL). Weekendtimerne udbetales.",I11="X",C11="ikke relevant")),K11,0)</f>
        <v>0</v>
      </c>
      <c r="GB11" s="283">
        <f>IF(AND(Stamoplysninger!$B$26="Der er indgået lokalaftale omkring weekendtimer og weekendtillæg.(Kræver aftale med TR/FSL).",I11="X"),K11,0)</f>
        <v>0</v>
      </c>
      <c r="GC11" s="674">
        <f>IF(AND(AND(Stamoplysninger!$B$26="Der er indgået lokalaftale omkring weekendtimer og weekendtillæg.(Kræver aftale med TR/FSL).",I11="X",C11="ikke relevant")),K11,0)</f>
        <v>0</v>
      </c>
    </row>
    <row r="12" spans="1:185">
      <c r="A12" s="245">
        <f t="shared" si="18"/>
        <v>4</v>
      </c>
      <c r="B12" s="128" t="str">
        <f t="shared" si="0"/>
        <v>on</v>
      </c>
      <c r="C12" s="129" t="s">
        <v>206</v>
      </c>
      <c r="D12" s="130" t="str">
        <f t="shared" si="1"/>
        <v/>
      </c>
      <c r="E12" s="917"/>
      <c r="F12" s="918"/>
      <c r="G12" s="919"/>
      <c r="H12" s="298"/>
      <c r="I12" s="527"/>
      <c r="J12" s="413"/>
      <c r="K12" s="380"/>
      <c r="L12" s="380"/>
      <c r="M12" s="380"/>
      <c r="N12" s="318">
        <f t="shared" si="19"/>
        <v>7.75</v>
      </c>
      <c r="O12" s="318">
        <f t="shared" si="20"/>
        <v>5</v>
      </c>
      <c r="P12" s="318">
        <f>IF(Stamoplysninger!$H$29="JA",December!DG12,CX12)</f>
        <v>1.1666666666666665</v>
      </c>
      <c r="Q12" s="318">
        <f t="shared" si="21"/>
        <v>1.5833333333333335</v>
      </c>
      <c r="R12" s="319"/>
      <c r="S12" s="324"/>
      <c r="T12" s="325"/>
      <c r="U12" s="325"/>
      <c r="V12" s="435"/>
      <c r="W12" s="412"/>
      <c r="X12" s="642"/>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t="str">
        <f>IF(AND(C12="Skema 1",B12="ti"),Arbejdstidsoversigt!$E$73,"")</f>
        <v/>
      </c>
      <c r="AI12">
        <f>IF(AND(C12="Skema 1",B12="on"),Arbejdstidsoversigt!$E$74,"")</f>
        <v>7.75</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7.75</v>
      </c>
      <c r="BB12" s="229">
        <f t="shared" si="8"/>
        <v>186</v>
      </c>
      <c r="BC12" s="1">
        <f t="shared" si="24"/>
        <v>0</v>
      </c>
      <c r="BD12" s="1">
        <f t="shared" si="9"/>
        <v>0</v>
      </c>
      <c r="BE12" s="1">
        <f t="shared" si="10"/>
        <v>0</v>
      </c>
      <c r="BF12" s="1">
        <f t="shared" si="11"/>
        <v>0</v>
      </c>
      <c r="BG12" s="210" t="str">
        <f>IF(AND(C12="Skema 1",B12="ma"),Skemaoplysninger!$E$30,"")</f>
        <v/>
      </c>
      <c r="BH12" s="210" t="str">
        <f>IF(AND(C12="Skema 1",B12="ti"),Skemaoplysninger!$G$30,"")</f>
        <v/>
      </c>
      <c r="BI12" s="210">
        <f>IF(AND(C12="Skema 1",B12="on"),Skemaoplysninger!$I$30,"")</f>
        <v>0.20833333333333331</v>
      </c>
      <c r="BJ12" s="210" t="str">
        <f>IF(AND(C12="Skema 1",B12="to"),Skemaoplysninger!$K$30,"")</f>
        <v/>
      </c>
      <c r="BK12" s="210" t="str">
        <f>IF(AND(C12="Skema 1",B12="fr"),Skemaoplysninger!$M$30,"")</f>
        <v/>
      </c>
      <c r="BL12" s="210" t="str">
        <f>IF(AND(C12="Skema 2",B12="ma"),Skemaoplysninger!$S$30,"")</f>
        <v/>
      </c>
      <c r="BM12" s="210" t="str">
        <f>IF(AND(C12="Skema 2",B12="ti"),Skemaoplysninger!$U$30,"")</f>
        <v/>
      </c>
      <c r="BN12" s="210" t="str">
        <f>IF(AND(C12="Skema 2",B12="on"),Skemaoplysninger!$W$30,"")</f>
        <v/>
      </c>
      <c r="BO12" s="210" t="str">
        <f>IF(AND(C12="Skema 2",B12="to"),Skemaoplysninger!$Y$30,"")</f>
        <v/>
      </c>
      <c r="BP12" s="210" t="str">
        <f>IF(AND(C12="Skema 2",B12="fr"),Skemaoplysninger!$AA$30,"")</f>
        <v/>
      </c>
      <c r="BQ12" s="210" t="str">
        <f>IF(AND(C12="Skema 3",B12="ma"),Skemaoplysninger!$AG$30,"")</f>
        <v/>
      </c>
      <c r="BR12" s="210" t="str">
        <f>IF(AND(C12="Skema 3",B12="ti"),Skemaoplysninger!$AI$30,"")</f>
        <v/>
      </c>
      <c r="BS12" s="210" t="str">
        <f>IF(AND(C12="Skema 3",B12="on"),Skemaoplysninger!$AK$30,"")</f>
        <v/>
      </c>
      <c r="BT12" s="210" t="str">
        <f>IF(AND(C12="Skema 3",B12="to"),Skemaoplysninger!$AM$30,"")</f>
        <v/>
      </c>
      <c r="BU12" s="210" t="str">
        <f>IF(AND(C12="Skema 3",B12="fr"),Skemaoplysninger!$AO$30,"")</f>
        <v/>
      </c>
      <c r="BV12" s="210" t="str">
        <f>IF(AND(C12="Skema 4",B12="ma"),Skemaoplysninger!$AU$30,"")</f>
        <v/>
      </c>
      <c r="BW12" s="210" t="str">
        <f>IF(AND(C12="Skema 4",B12="ti"),Skemaoplysninger!$AW$30,"")</f>
        <v/>
      </c>
      <c r="BX12" s="210" t="str">
        <f>IF(AND(C12="Skema 4",B12="on"),Skemaoplysninger!$AY$30,"")</f>
        <v/>
      </c>
      <c r="BY12" s="210" t="str">
        <f>IF(AND(C12="Skema 4",B12="to"),Skemaoplysninger!$BA$30,"")</f>
        <v/>
      </c>
      <c r="BZ12" s="210" t="str">
        <f>IF(AND(C12="Skema 4",B12="fr"),Skemaoplysninger!$BC$30,"")</f>
        <v/>
      </c>
      <c r="CA12" s="1">
        <f t="shared" si="25"/>
        <v>5</v>
      </c>
      <c r="CB12" s="1">
        <f t="shared" si="12"/>
        <v>0</v>
      </c>
      <c r="CC12" s="1">
        <f t="shared" si="13"/>
        <v>0</v>
      </c>
      <c r="CD12" s="210" t="str">
        <f>IF(AND(C12="Skema 1",B12="ma"),Skemaoplysninger!$E$31,"")</f>
        <v/>
      </c>
      <c r="CE12" s="210" t="str">
        <f>IF(AND(C12="Skema 1",B12="ti"),Skemaoplysninger!$G$31,"")</f>
        <v/>
      </c>
      <c r="CF12" s="210">
        <f>IF(AND(C12="Skema 1",B12="on"),Skemaoplysninger!$I$31,"")</f>
        <v>4.8611111111111105E-2</v>
      </c>
      <c r="CG12" s="210" t="str">
        <f>IF(AND(C12="Skema 1",B12="to"),Skemaoplysninger!$K$31,"")</f>
        <v/>
      </c>
      <c r="CH12" s="210" t="str">
        <f>IF(AND(C12="Skema 1",B12="fr"),Skemaoplysninger!$M$31,"")</f>
        <v/>
      </c>
      <c r="CI12" s="210" t="str">
        <f>IF(AND(C12="Skema 2",B12="ma"),Skemaoplysninger!$S$31,"")</f>
        <v/>
      </c>
      <c r="CJ12" s="210" t="str">
        <f>IF(AND(C12="Skema 2",B12="ti"),Skemaoplysninger!$U$31,"")</f>
        <v/>
      </c>
      <c r="CK12" s="210" t="str">
        <f>IF(AND(C12="Skema 2",B12="on"),Skemaoplysninger!$W$31,"")</f>
        <v/>
      </c>
      <c r="CL12" s="210" t="str">
        <f>IF(AND(C12="Skema 2",B12="to"),Skemaoplysninger!$Y$31,"")</f>
        <v/>
      </c>
      <c r="CM12" s="210" t="str">
        <f>IF(AND(C12="Skema 2",B12="fr"),Skemaoplysninger!$AA$31,"")</f>
        <v/>
      </c>
      <c r="CN12" s="210" t="str">
        <f>IF(AND(C12="Skema 3",B12="ma"),Skemaoplysninger!$AG$31,"")</f>
        <v/>
      </c>
      <c r="CO12" s="210" t="str">
        <f>IF(AND(C12="Skema 3",B12="ti"),Skemaoplysninger!$AI$31,"")</f>
        <v/>
      </c>
      <c r="CP12" s="210" t="str">
        <f>IF(AND(C12="Skema 3",B12="on"),Skemaoplysninger!$AK$31,"")</f>
        <v/>
      </c>
      <c r="CQ12" s="210" t="str">
        <f>IF(AND(C12="Skema 3",B12="to"),Skemaoplysninger!$AM$31,"")</f>
        <v/>
      </c>
      <c r="CR12" s="210" t="str">
        <f>IF(AND(C12="Skema 3",B12="fr"),Skemaoplysninger!$AO$31,"")</f>
        <v/>
      </c>
      <c r="CS12" s="210" t="str">
        <f>IF(AND(C12="Skema 4",B12="ma"),Skemaoplysninger!$AU$31,"")</f>
        <v/>
      </c>
      <c r="CT12" s="210" t="str">
        <f>IF(AND(C12="Skema 4",B12="ti"),Skemaoplysninger!$AW$31,"")</f>
        <v/>
      </c>
      <c r="CU12" s="210" t="str">
        <f>IF(AND(C12="Skema 4",B12="on"),Skemaoplysninger!$AY$31,"")</f>
        <v/>
      </c>
      <c r="CV12" s="210" t="str">
        <f>IF(AND(C12="Skema 4",B12="to"),Skemaoplysninger!$BA$31,"")</f>
        <v/>
      </c>
      <c r="CW12" s="210" t="str">
        <f>IF(AND(C12="Skema 4",B12="fr"),Skemaoplysninger!$BC$31,"")</f>
        <v/>
      </c>
      <c r="CX12" s="249">
        <f>IF(Stamoplysninger!$H$29="NEJ",SUM(CD12:CW12)*24+CB12+CC12,0)</f>
        <v>1.1666666666666665</v>
      </c>
      <c r="CY12" s="249">
        <f>IF(C12="Skema 1",Stamoplysninger!$H$30/200,0)</f>
        <v>0</v>
      </c>
      <c r="CZ12" s="249">
        <f>IF(C12="Skema 2",Stamoplysninger!$H$30/200,0)</f>
        <v>0</v>
      </c>
      <c r="DA12" s="249">
        <f>IF(C12="Skema 3",Stamoplysninger!$H$30/200,0)</f>
        <v>0</v>
      </c>
      <c r="DB12" s="249">
        <f>IF(C12="Skema 4",Stamoplysninger!$H$30/200,0)</f>
        <v>0</v>
      </c>
      <c r="DC12" s="249">
        <f>IF(C12="fagdag",Stamoplysninger!$H$30/200,0)</f>
        <v>0</v>
      </c>
      <c r="DD12" s="249">
        <f>IF(C12="emnedag",Stamoplysninger!$H$30/200,0)</f>
        <v>0</v>
      </c>
      <c r="DE12" s="249">
        <f>IF(C12="lejrskole",Stamoplysninger!$H$30/200,0)</f>
        <v>0</v>
      </c>
      <c r="DF12" s="249">
        <f>IF(C12="ekskursion",Stamoplysninger!$H$30/200,0)</f>
        <v>0</v>
      </c>
      <c r="DG12" s="249">
        <f t="shared" si="26"/>
        <v>0</v>
      </c>
      <c r="DH12" t="str">
        <f t="shared" si="27"/>
        <v/>
      </c>
      <c r="DI12">
        <f t="shared" si="28"/>
        <v>0</v>
      </c>
      <c r="DJ12">
        <f>IF(E12="",H12,"")</f>
        <v>0</v>
      </c>
      <c r="DK12" t="str">
        <f t="shared" si="14"/>
        <v/>
      </c>
      <c r="DL12" t="str">
        <f t="shared" si="14"/>
        <v/>
      </c>
      <c r="DM12" t="str">
        <f t="shared" si="14"/>
        <v/>
      </c>
      <c r="DN12" t="str">
        <f t="shared" si="30"/>
        <v/>
      </c>
      <c r="DO12" s="652">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71">
        <f>IF(AND(Stamoplysninger!$B$22="Ulempetillæg udbetales med 25% af nettotimelønnen.",C12="ikke relevant"),(R12)/4,0)</f>
        <v>0</v>
      </c>
      <c r="DT12" s="671">
        <f>IF(AND(AND(Stamoplysninger!$B$22="Ulempetillæg udbetales med 25% af nettotimelønnen.",I12="X",C12="Ikke relevant")),K12/4,0)</f>
        <v>0</v>
      </c>
      <c r="DU12" s="671">
        <f>IF(AND(AND(Stamoplysninger!$B$22="Ulempetillæg udbetales med 25% af nettotimelønnen.",C12="ikke relevant",U12="X")),(X12/4),0)</f>
        <v>0</v>
      </c>
      <c r="DV12" s="672">
        <f>IF(AND(AND(AND(Stamoplysninger!$B$22="Ulempetillæg udbetales med 25% af nettotimelønnen.",I12="X",C12="Ikke relevant",S12="X"))),V12/4,0)</f>
        <v>0</v>
      </c>
      <c r="DW12" s="652"/>
      <c r="DZ12" s="671"/>
      <c r="EA12" s="671"/>
      <c r="EB12" s="672"/>
      <c r="EC12" s="652">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71">
        <f>IF(AND(Stamoplysninger!$B$22="Ulempetillæg afspadseres med 25%(Kræver en aftale imellem ledelsen og den ansatte)",C12="ikke relevant"),(R12)/4,0)</f>
        <v>0</v>
      </c>
      <c r="EH12" s="671">
        <f>IF(AND(AND(Stamoplysninger!$B$22="Ulempetillæg afspadseres med 25%(Kræver en aftale imellem ledelsen og den ansatte)",I12="X",C12="Ikke relevant")),K12/4,0)</f>
        <v>0</v>
      </c>
      <c r="EI12" s="671">
        <f>IF(AND(AND(Stamoplysninger!$B$22="Ulempetillæg afspadseres med 25%(Kræver en aftale imellem ledelsen og den ansatte)",U12="X",C12="Ikke relevant")),X12/4,0)</f>
        <v>0</v>
      </c>
      <c r="EJ12" s="671">
        <f>IF(AND(AND(AND(Stamoplysninger!$B$22="Ulempetillæg afspadseres med 25%(Kræver en aftale imellem ledelsen og den ansatte)",I12="X",C12="Ikke relevant",S12="X"))),V12/4,0)</f>
        <v>0</v>
      </c>
      <c r="EK12" s="283">
        <f>IF(AND(Stamoplysninger!$B$26="Weekendtimer og weekendtillæg afspadseres.",I12="X"),K12*1.5,0)</f>
        <v>0</v>
      </c>
      <c r="EL12" s="251">
        <f>IF(AND(AND(Stamoplysninger!$B$26="Weekendtimer og weekendtillæg afspadseres.",I12="X",S12="X")),V12*1.5,0)</f>
        <v>0</v>
      </c>
      <c r="EM12" s="674">
        <f>IF(AND(AND(Stamoplysninger!$B$26="Weekendtimer og weekendtillæg afspadseres.",I12="X",C12="ikke relevant")),K12*1.5,0)</f>
        <v>0</v>
      </c>
      <c r="EN12" s="675">
        <f>IF(AND(AND(AND(Stamoplysninger!$B$26="Weekendtimer og weekendtillæg afspadseres.",I12="X",C12="ikke relevant",S12="X"))),(V12*1.5),0)</f>
        <v>0</v>
      </c>
      <c r="EO12" s="283">
        <f>IF(AND(Stamoplysninger!$B$26="Weekendtimer og weekendtillæg udbetales.",I12="X"),K12*1.5,0)</f>
        <v>0</v>
      </c>
      <c r="EP12" s="251">
        <f>IF(AND(AND(Stamoplysninger!$B$26="Weekendtimer og weekendtillæg udbetales.",I12="X",S12="X")),V12*1.5,0)</f>
        <v>0</v>
      </c>
      <c r="EQ12" s="674">
        <f>IF(AND(AND(Stamoplysninger!$B$26="Weekendtimer og weekendtillæg udbetales.",I12="X",C12="ikke relevant")),K12*1.5,0)</f>
        <v>0</v>
      </c>
      <c r="ER12" s="675">
        <f>IF(AND(AND(AND(Stamoplysninger!$B$26="Weekendtimer og weekendtillæg udbetales.",I12="X",C12="ikke relevant",S12="X"))),(V12*1.5),0)</f>
        <v>0</v>
      </c>
      <c r="ES12" s="283">
        <f>IF(AND(Stamoplysninger!$B$26="Der er indgået lokalaftale omkring weekendtimer.(Kræver aftale med TR/FSL) Weekendtillæg afspadseres.",I12="X"),K12*0.5,0)</f>
        <v>0</v>
      </c>
      <c r="ET12" s="251">
        <f>IF(AND(AND(Stamoplysninger!$B$26="Der er indgået lokalaftale omkring weekendtimer.(Kræver aftale med TR/FSL) Weekendtillæg afspadseres.",I12="X",S12="X")),V12*0.5,0)</f>
        <v>0</v>
      </c>
      <c r="EU12" s="674">
        <f>IF(AND(AND(Stamoplysninger!$B$26="Der er indgået lokalaftale omkring weekendtimer.(Kræver aftale med TR/FSL) Weekendtillæg afspadseres.",I12="X",C12="ikke relevant")),K12*0.5,0)</f>
        <v>0</v>
      </c>
      <c r="EV12" s="675">
        <f>IF(AND(AND(AND(Stamoplysninger!$B$26="Der er indgået lokalaftale omkring weekendtimer.(Kræver aftale med TR/FSL) Weekendtillæg afspadseres.",I12="X",C12="ikke relevant",S12="X"))),(V12*0.5),0)</f>
        <v>0</v>
      </c>
      <c r="EW12" s="283">
        <f>IF(AND(Stamoplysninger!$B$26="Der er indgået lokalaftale omkring weekendtimer(Kræver aftale med TR/FSL). Weekendtillæg udbetales.",I12="X"),K12*0.5,0)</f>
        <v>0</v>
      </c>
      <c r="EX12" s="251">
        <f>IF(AND(AND(Stamoplysninger!$B$26="Der er indgået lokalaftale omkring weekendtimer(Kræver aftale med TR/FSL). Weekendtillæg udbetales.",I12="X",S12="X")),V12*0.5,0)</f>
        <v>0</v>
      </c>
      <c r="EY12" s="674">
        <f>IF(AND(AND(Stamoplysninger!$B$26="Der er indgået lokalaftale omkring weekendtimer(Kræver aftale med TR/FSL). Weekendtillæg udbetales.",I12="X",C12="ikke relevant")),K12*0.5,0)</f>
        <v>0</v>
      </c>
      <c r="EZ12" s="675">
        <f>IF(AND(AND(AND(Stamoplysninger!$B$26="Der er indgået lokalaftale omkring weekendtimer(Kræver aftale med TR/FSL). Weekendtillæg udbetales.",I12="X",C12="ikke relevant",S12="X"))),(V12*0.5),0)</f>
        <v>0</v>
      </c>
      <c r="FA12" s="283">
        <f>IF(AND(Stamoplysninger!$B$26="Der er indgået lokalaftale omkring weekendtillæg(Kræver aftale med TR/FSL). Weekendtimerne afspadseres.",I12="X"),K12,0)</f>
        <v>0</v>
      </c>
      <c r="FB12" s="251">
        <f>IF(AND(AND(Stamoplysninger!$B$26="Der er indgået lokalaftale omkring weekendtillæg(Kræver aftale med TR/FSL). Weekendtimerne afspadseres.",I12="X",S12="X")),V12,0)</f>
        <v>0</v>
      </c>
      <c r="FC12" s="674">
        <f>IF(AND(AND(Stamoplysninger!$B$26="Der er indgået lokalaftale omkring weekendtillæg(Kræver aftale med TR/FSL). Weekendtimerne afspadseres..",I12="X",C12="ikke relevant")),K12,0)</f>
        <v>0</v>
      </c>
      <c r="FD12" s="675">
        <f>IF(AND(AND(AND(Stamoplysninger!$B$26="Der er indgået lokalaftale omkring weekendtillæg(Kræver aftale med TR/FSL). Weekendtimerne afspadseres.",I12="X",C12="ikke relevant",S12="X"))),(V12),0)</f>
        <v>0</v>
      </c>
      <c r="FE12" s="283">
        <f>IF(AND(Stamoplysninger!$B$26="Der er indgået lokalaftale omkring weekendtillæg(Kræver aftale med TR/FSL). Weekendtimerne udbetales.",I12="X"),K12,0)</f>
        <v>0</v>
      </c>
      <c r="FF12" s="251">
        <f>IF(AND(AND(Stamoplysninger!$B$26="Der er indgået lokalaftale omkring weekendtillæg(Kræver aftale med TR/FSL). Weekendtimerne udbetales.",I12="X",S12="X")),V12,0)</f>
        <v>0</v>
      </c>
      <c r="FG12" s="674">
        <f>IF(AND(AND(Stamoplysninger!$B$26="Der er indgået lokalaftale omkring weekendtillæg(Kræver aftale med TR/FSL). Weekendtimerne udbetales.",I12="X",C12="ikke relevant")),K12,0)</f>
        <v>0</v>
      </c>
      <c r="FH12" s="675">
        <f>IF(AND(AND(AND(Stamoplysninger!$B$26="Der er indgået lokalaftale omkring weekendtillæg(Kræver aftale med TR/FSL). Weekendtimerne udbetales.",I12="X",C12="ikke relevant",S12="X"))),(V12),0)</f>
        <v>0</v>
      </c>
      <c r="FI12" s="283">
        <f>IF(AND(Stamoplysninger!$B$26="Weekendtimer og weekendtillæg afspadseres.",I12="X"),K12,0)</f>
        <v>0</v>
      </c>
      <c r="FJ12" s="251">
        <f>IF(AND(Stamoplysninger!$B$26="Weekendtimer og weekendtillæg afspadseres.",Y12="X"),(AA12+AL12)/2,0)</f>
        <v>0</v>
      </c>
      <c r="FK12" s="674">
        <f>IF(AND(AND(Stamoplysninger!$B$26="Weekendtimer og weekendtillæg afspadseres.",I12="X",C12="ikke relevant")),K12,0)</f>
        <v>0</v>
      </c>
      <c r="FL12" s="675">
        <f>IF(AND(AND(Stamoplysninger!$B$26="Weekendtimer og weekendtillæg afspadseres.",Y12="X",S12="ikke relevant")),(AA12+AL12)/2,0)</f>
        <v>0</v>
      </c>
      <c r="FM12" s="283">
        <f>IF(AND(Stamoplysninger!$B$26="Der er indgået lokalaftale omkring weekendtillæg(Kræver aftale med TR/FSL). Weekendtimerne afspadseres.",I12="X"),K12,0)</f>
        <v>0</v>
      </c>
      <c r="FN12" s="674">
        <f>IF(AND(AND(Stamoplysninger!$B$26="Der er indgået lokalaftale omkring weekendtillæg(Kræver aftale med TR/FSL). Weekendtimerne afspadseres.",I12="X",C12="ikke relevant")),K12,0)</f>
        <v>0</v>
      </c>
      <c r="FO12" s="283">
        <f>IF(AND(Stamoplysninger!$B$26="Weekendtimer og weekendtillæg udbetales.",I12="X"),K12,0)</f>
        <v>0</v>
      </c>
      <c r="FP12" s="251">
        <f>IF(AND(Stamoplysninger!$B$26="Weekendtimer og weekendtillæg udbetales.",AA12="X"),(AC12+AN12)/2,0)</f>
        <v>0</v>
      </c>
      <c r="FQ12" s="674">
        <f>IF(AND(AND(Stamoplysninger!$B$26="Weekendtimer og weekendtillæg udbetales.",I12="X",C12="ikke relevant")),K12,0)</f>
        <v>0</v>
      </c>
      <c r="FR12" s="688">
        <f>IF(AND(AND(Stamoplysninger!$B$26="Weekendtimer og weekendtillæg udbetales.",AA12="X",U12="ikke relevant")),(AC12+AN12)/2,0)</f>
        <v>0</v>
      </c>
      <c r="FS12" s="283">
        <f t="shared" si="15"/>
        <v>0</v>
      </c>
      <c r="FT12" s="658">
        <f t="shared" si="16"/>
        <v>0</v>
      </c>
      <c r="FU12">
        <f t="shared" si="17"/>
        <v>0</v>
      </c>
      <c r="FV12" s="283">
        <f>IF(AND(Stamoplysninger!$B$26="Der er indgået lokalaftale omkring weekendtimer.(Kræver aftale med TR/FSL) Weekendtillæg afspadseres.",I12="X"),K12,0)</f>
        <v>0</v>
      </c>
      <c r="FW12" s="674">
        <f>IF(AND(AND(Stamoplysninger!$B$26="Der er indgået lokalaftale omkring weekendtimer.(Kræver aftale med TR/FSL) Weekendtillæg afspadseres.",I12="X",C12="ikke relevant")),K12,0)</f>
        <v>0</v>
      </c>
      <c r="FX12" s="283">
        <f>IF(AND(Stamoplysninger!$B$26="Der er indgået lokalaftale omkring weekendtimer(Kræver aftale med TR/FSL). Weekendtillæg udbetales.",I12="X"),K12,0)</f>
        <v>0</v>
      </c>
      <c r="FY12" s="674">
        <f>IF(AND(AND(Stamoplysninger!$B$26="Der er indgået lokalaftale omkring weekendtimer(Kræver aftale med TR/FSL). Weekendtillæg udbetales.",I12="X",C12="ikke relevant")),K12,0)</f>
        <v>0</v>
      </c>
      <c r="FZ12" s="283">
        <f>IF(AND(Stamoplysninger!$B$26="Der er indgået lokalaftale omkring weekendtillæg(Kræver aftale med TR/FSL). Weekendtimerne udbetales.",I12="X"),K12,0)</f>
        <v>0</v>
      </c>
      <c r="GA12" s="674">
        <f>IF(AND(AND(Stamoplysninger!$B$26="Der er indgået lokalaftale omkring weekendtillæg(Kræver aftale med TR/FSL). Weekendtimerne udbetales.",I12="X",C12="ikke relevant")),K12,0)</f>
        <v>0</v>
      </c>
      <c r="GB12" s="283">
        <f>IF(AND(Stamoplysninger!$B$26="Der er indgået lokalaftale omkring weekendtimer og weekendtillæg.(Kræver aftale med TR/FSL).",I12="X"),K12,0)</f>
        <v>0</v>
      </c>
      <c r="GC12" s="674">
        <f>IF(AND(AND(Stamoplysninger!$B$26="Der er indgået lokalaftale omkring weekendtimer og weekendtillæg.(Kræver aftale med TR/FSL).",I12="X",C12="ikke relevant")),K12,0)</f>
        <v>0</v>
      </c>
    </row>
    <row r="13" spans="1:185">
      <c r="A13" s="245">
        <f t="shared" si="18"/>
        <v>5</v>
      </c>
      <c r="B13" s="128" t="str">
        <f t="shared" si="0"/>
        <v>to</v>
      </c>
      <c r="C13" s="129" t="s">
        <v>206</v>
      </c>
      <c r="D13" s="130" t="str">
        <f t="shared" si="1"/>
        <v/>
      </c>
      <c r="E13" s="917"/>
      <c r="F13" s="918"/>
      <c r="G13" s="919"/>
      <c r="H13" s="298"/>
      <c r="I13" s="527"/>
      <c r="J13" s="413"/>
      <c r="K13" s="380"/>
      <c r="L13" s="380"/>
      <c r="M13" s="380"/>
      <c r="N13" s="318">
        <f t="shared" si="19"/>
        <v>8.5</v>
      </c>
      <c r="O13" s="318">
        <f t="shared" si="20"/>
        <v>3</v>
      </c>
      <c r="P13" s="318">
        <f>IF(Stamoplysninger!$H$29="JA",December!DG13,CX13)</f>
        <v>1.5</v>
      </c>
      <c r="Q13" s="318">
        <f t="shared" si="21"/>
        <v>4</v>
      </c>
      <c r="R13" s="319"/>
      <c r="S13" s="324"/>
      <c r="T13" s="325"/>
      <c r="U13" s="325"/>
      <c r="V13" s="435"/>
      <c r="W13" s="412"/>
      <c r="X13" s="642"/>
      <c r="Y13">
        <f t="shared" si="22"/>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1",B13="ma"),Arbejdstidsoversigt!$E$72,"")</f>
        <v/>
      </c>
      <c r="AH13" t="str">
        <f>IF(AND(C13="Skema 1",B13="ti"),Arbejdstidsoversigt!$E$73,"")</f>
        <v/>
      </c>
      <c r="AI13" t="str">
        <f>IF(AND(C13="Skema 1",B13="on"),Arbejdstidsoversigt!$E$74,"")</f>
        <v/>
      </c>
      <c r="AJ13">
        <f>IF(AND(C13="Skema 1",B13="to"),Arbejdstidsoversigt!$E$75,"")</f>
        <v>8.5</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8.5</v>
      </c>
      <c r="BB13" s="229">
        <f t="shared" si="8"/>
        <v>204</v>
      </c>
      <c r="BC13" s="1">
        <f t="shared" si="24"/>
        <v>0</v>
      </c>
      <c r="BD13" s="1">
        <f t="shared" si="9"/>
        <v>0</v>
      </c>
      <c r="BE13" s="1">
        <f t="shared" si="10"/>
        <v>0</v>
      </c>
      <c r="BF13" s="1">
        <f t="shared" si="11"/>
        <v>0</v>
      </c>
      <c r="BG13" s="210" t="str">
        <f>IF(AND(C13="Skema 1",B13="ma"),Skemaoplysninger!$E$30,"")</f>
        <v/>
      </c>
      <c r="BH13" s="210" t="str">
        <f>IF(AND(C13="Skema 1",B13="ti"),Skemaoplysninger!$G$30,"")</f>
        <v/>
      </c>
      <c r="BI13" s="210" t="str">
        <f>IF(AND(C13="Skema 1",B13="on"),Skemaoplysninger!$I$30,"")</f>
        <v/>
      </c>
      <c r="BJ13" s="210">
        <f>IF(AND(C13="Skema 1",B13="to"),Skemaoplysninger!$K$30,"")</f>
        <v>0.125</v>
      </c>
      <c r="BK13" s="210" t="str">
        <f>IF(AND(C13="Skema 1",B13="fr"),Skemaoplysninger!$M$30,"")</f>
        <v/>
      </c>
      <c r="BL13" s="210" t="str">
        <f>IF(AND(C13="Skema 2",B13="ma"),Skemaoplysninger!$S$30,"")</f>
        <v/>
      </c>
      <c r="BM13" s="210" t="str">
        <f>IF(AND(C13="Skema 2",B13="ti"),Skemaoplysninger!$U$30,"")</f>
        <v/>
      </c>
      <c r="BN13" s="210" t="str">
        <f>IF(AND(C13="Skema 2",B13="on"),Skemaoplysninger!$W$30,"")</f>
        <v/>
      </c>
      <c r="BO13" s="210" t="str">
        <f>IF(AND(C13="Skema 2",B13="to"),Skemaoplysninger!$Y$30,"")</f>
        <v/>
      </c>
      <c r="BP13" s="210" t="str">
        <f>IF(AND(C13="Skema 2",B13="fr"),Skemaoplysninger!$AA$30,"")</f>
        <v/>
      </c>
      <c r="BQ13" s="210" t="str">
        <f>IF(AND(C13="Skema 3",B13="ma"),Skemaoplysninger!$AG$30,"")</f>
        <v/>
      </c>
      <c r="BR13" s="210" t="str">
        <f>IF(AND(C13="Skema 3",B13="ti"),Skemaoplysninger!$AI$30,"")</f>
        <v/>
      </c>
      <c r="BS13" s="210" t="str">
        <f>IF(AND(C13="Skema 3",B13="on"),Skemaoplysninger!$AK$30,"")</f>
        <v/>
      </c>
      <c r="BT13" s="210" t="str">
        <f>IF(AND(C13="Skema 3",B13="to"),Skemaoplysninger!$AM$30,"")</f>
        <v/>
      </c>
      <c r="BU13" s="210" t="str">
        <f>IF(AND(C13="Skema 3",B13="fr"),Skemaoplysninger!$AO$30,"")</f>
        <v/>
      </c>
      <c r="BV13" s="210" t="str">
        <f>IF(AND(C13="Skema 4",B13="ma"),Skemaoplysninger!$AU$30,"")</f>
        <v/>
      </c>
      <c r="BW13" s="210" t="str">
        <f>IF(AND(C13="Skema 4",B13="ti"),Skemaoplysninger!$AW$30,"")</f>
        <v/>
      </c>
      <c r="BX13" s="210" t="str">
        <f>IF(AND(C13="Skema 4",B13="on"),Skemaoplysninger!$AY$30,"")</f>
        <v/>
      </c>
      <c r="BY13" s="210" t="str">
        <f>IF(AND(C13="Skema 4",B13="to"),Skemaoplysninger!$BA$30,"")</f>
        <v/>
      </c>
      <c r="BZ13" s="210" t="str">
        <f>IF(AND(C13="Skema 4",B13="fr"),Skemaoplysninger!$BC$30,"")</f>
        <v/>
      </c>
      <c r="CA13" s="1">
        <f t="shared" si="25"/>
        <v>3</v>
      </c>
      <c r="CB13" s="1">
        <f t="shared" si="12"/>
        <v>0</v>
      </c>
      <c r="CC13" s="1">
        <f t="shared" si="13"/>
        <v>0</v>
      </c>
      <c r="CD13" s="210" t="str">
        <f>IF(AND(C13="Skema 1",B13="ma"),Skemaoplysninger!$E$31,"")</f>
        <v/>
      </c>
      <c r="CE13" s="210" t="str">
        <f>IF(AND(C13="Skema 1",B13="ti"),Skemaoplysninger!$G$31,"")</f>
        <v/>
      </c>
      <c r="CF13" s="210" t="str">
        <f>IF(AND(C13="Skema 1",B13="on"),Skemaoplysninger!$I$31,"")</f>
        <v/>
      </c>
      <c r="CG13" s="210">
        <f>IF(AND(C13="Skema 1",B13="to"),Skemaoplysninger!$K$31,"")</f>
        <v>6.25E-2</v>
      </c>
      <c r="CH13" s="210" t="str">
        <f>IF(AND(C13="Skema 1",B13="fr"),Skemaoplysninger!$M$31,"")</f>
        <v/>
      </c>
      <c r="CI13" s="210" t="str">
        <f>IF(AND(C13="Skema 2",B13="ma"),Skemaoplysninger!$S$31,"")</f>
        <v/>
      </c>
      <c r="CJ13" s="210" t="str">
        <f>IF(AND(C13="Skema 2",B13="ti"),Skemaoplysninger!$U$31,"")</f>
        <v/>
      </c>
      <c r="CK13" s="210" t="str">
        <f>IF(AND(C13="Skema 2",B13="on"),Skemaoplysninger!$W$31,"")</f>
        <v/>
      </c>
      <c r="CL13" s="210" t="str">
        <f>IF(AND(C13="Skema 2",B13="to"),Skemaoplysninger!$Y$31,"")</f>
        <v/>
      </c>
      <c r="CM13" s="210" t="str">
        <f>IF(AND(C13="Skema 2",B13="fr"),Skemaoplysninger!$AA$31,"")</f>
        <v/>
      </c>
      <c r="CN13" s="210" t="str">
        <f>IF(AND(C13="Skema 3",B13="ma"),Skemaoplysninger!$AG$31,"")</f>
        <v/>
      </c>
      <c r="CO13" s="210" t="str">
        <f>IF(AND(C13="Skema 3",B13="ti"),Skemaoplysninger!$AI$31,"")</f>
        <v/>
      </c>
      <c r="CP13" s="210" t="str">
        <f>IF(AND(C13="Skema 3",B13="on"),Skemaoplysninger!$AK$31,"")</f>
        <v/>
      </c>
      <c r="CQ13" s="210" t="str">
        <f>IF(AND(C13="Skema 3",B13="to"),Skemaoplysninger!$AM$31,"")</f>
        <v/>
      </c>
      <c r="CR13" s="210" t="str">
        <f>IF(AND(C13="Skema 3",B13="fr"),Skemaoplysninger!$AO$31,"")</f>
        <v/>
      </c>
      <c r="CS13" s="210" t="str">
        <f>IF(AND(C13="Skema 4",B13="ma"),Skemaoplysninger!$AU$31,"")</f>
        <v/>
      </c>
      <c r="CT13" s="210" t="str">
        <f>IF(AND(C13="Skema 4",B13="ti"),Skemaoplysninger!$AW$31,"")</f>
        <v/>
      </c>
      <c r="CU13" s="210" t="str">
        <f>IF(AND(C13="Skema 4",B13="on"),Skemaoplysninger!$AY$31,"")</f>
        <v/>
      </c>
      <c r="CV13" s="210" t="str">
        <f>IF(AND(C13="Skema 4",B13="to"),Skemaoplysninger!$BA$31,"")</f>
        <v/>
      </c>
      <c r="CW13" s="210" t="str">
        <f>IF(AND(C13="Skema 4",B13="fr"),Skemaoplysninger!$BC$31,"")</f>
        <v/>
      </c>
      <c r="CX13" s="249">
        <f>IF(Stamoplysninger!$H$29="NEJ",SUM(CD13:CW13)*24+CB13+CC13,0)</f>
        <v>1.5</v>
      </c>
      <c r="CY13" s="249">
        <f>IF(C13="Skema 1",Stamoplysninger!$H$30/200,0)</f>
        <v>0</v>
      </c>
      <c r="CZ13" s="249">
        <f>IF(C13="Skema 2",Stamoplysninger!$H$30/200,0)</f>
        <v>0</v>
      </c>
      <c r="DA13" s="249">
        <f>IF(C13="Skema 3",Stamoplysninger!$H$30/200,0)</f>
        <v>0</v>
      </c>
      <c r="DB13" s="249">
        <f>IF(C13="Skema 4",Stamoplysninger!$H$30/200,0)</f>
        <v>0</v>
      </c>
      <c r="DC13" s="249">
        <f>IF(C13="fagdag",Stamoplysninger!$H$30/200,0)</f>
        <v>0</v>
      </c>
      <c r="DD13" s="249">
        <f>IF(C13="emnedag",Stamoplysninger!$H$30/200,0)</f>
        <v>0</v>
      </c>
      <c r="DE13" s="249">
        <f>IF(C13="lejrskole",Stamoplysninger!$H$30/200,0)</f>
        <v>0</v>
      </c>
      <c r="DF13" s="249">
        <f>IF(C13="ekskursion",Stamoplysninger!$H$30/200,0)</f>
        <v>0</v>
      </c>
      <c r="DG13" s="249">
        <f t="shared" si="26"/>
        <v>0</v>
      </c>
      <c r="DH13" t="str">
        <f t="shared" si="27"/>
        <v/>
      </c>
      <c r="DI13">
        <f t="shared" si="28"/>
        <v>0</v>
      </c>
      <c r="DJ13">
        <f t="shared" si="29"/>
        <v>0</v>
      </c>
      <c r="DK13" t="str">
        <f t="shared" si="14"/>
        <v/>
      </c>
      <c r="DL13" t="str">
        <f t="shared" si="14"/>
        <v/>
      </c>
      <c r="DM13" t="str">
        <f t="shared" si="14"/>
        <v/>
      </c>
      <c r="DN13" t="str">
        <f t="shared" si="30"/>
        <v/>
      </c>
      <c r="DO13" s="652">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71">
        <f>IF(AND(Stamoplysninger!$B$22="Ulempetillæg udbetales med 25% af nettotimelønnen.",C13="ikke relevant"),(R13)/4,0)</f>
        <v>0</v>
      </c>
      <c r="DT13" s="671">
        <f>IF(AND(AND(Stamoplysninger!$B$22="Ulempetillæg udbetales med 25% af nettotimelønnen.",I13="X",C13="Ikke relevant")),K13/4,0)</f>
        <v>0</v>
      </c>
      <c r="DU13" s="671">
        <f>IF(AND(AND(Stamoplysninger!$B$22="Ulempetillæg udbetales med 25% af nettotimelønnen.",C13="ikke relevant",U13="X")),(X13/4),0)</f>
        <v>0</v>
      </c>
      <c r="DV13" s="672">
        <f>IF(AND(AND(AND(Stamoplysninger!$B$22="Ulempetillæg udbetales med 25% af nettotimelønnen.",I13="X",C13="Ikke relevant",S13="X"))),V13/4,0)</f>
        <v>0</v>
      </c>
      <c r="DW13" s="652"/>
      <c r="DZ13" s="671"/>
      <c r="EA13" s="671"/>
      <c r="EB13" s="672"/>
      <c r="EC13" s="652">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71">
        <f>IF(AND(Stamoplysninger!$B$22="Ulempetillæg afspadseres med 25%(Kræver en aftale imellem ledelsen og den ansatte)",C13="ikke relevant"),(R13)/4,0)</f>
        <v>0</v>
      </c>
      <c r="EH13" s="671">
        <f>IF(AND(AND(Stamoplysninger!$B$22="Ulempetillæg afspadseres med 25%(Kræver en aftale imellem ledelsen og den ansatte)",I13="X",C13="Ikke relevant")),K13/4,0)</f>
        <v>0</v>
      </c>
      <c r="EI13" s="671">
        <f>IF(AND(AND(Stamoplysninger!$B$22="Ulempetillæg afspadseres med 25%(Kræver en aftale imellem ledelsen og den ansatte)",U13="X",C13="Ikke relevant")),X13/4,0)</f>
        <v>0</v>
      </c>
      <c r="EJ13" s="671">
        <f>IF(AND(AND(AND(Stamoplysninger!$B$22="Ulempetillæg afspadseres med 25%(Kræver en aftale imellem ledelsen og den ansatte)",I13="X",C13="Ikke relevant",S13="X"))),V13/4,0)</f>
        <v>0</v>
      </c>
      <c r="EK13" s="283">
        <f>IF(AND(Stamoplysninger!$B$26="Weekendtimer og weekendtillæg afspadseres.",I13="X"),K13*1.5,0)</f>
        <v>0</v>
      </c>
      <c r="EL13" s="251">
        <f>IF(AND(AND(Stamoplysninger!$B$26="Weekendtimer og weekendtillæg afspadseres.",I13="X",S13="X")),V13*1.5,0)</f>
        <v>0</v>
      </c>
      <c r="EM13" s="674">
        <f>IF(AND(AND(Stamoplysninger!$B$26="Weekendtimer og weekendtillæg afspadseres.",I13="X",C13="ikke relevant")),K13*1.5,0)</f>
        <v>0</v>
      </c>
      <c r="EN13" s="675">
        <f>IF(AND(AND(AND(Stamoplysninger!$B$26="Weekendtimer og weekendtillæg afspadseres.",I13="X",C13="ikke relevant",S13="X"))),(V13*1.5),0)</f>
        <v>0</v>
      </c>
      <c r="EO13" s="283">
        <f>IF(AND(Stamoplysninger!$B$26="Weekendtimer og weekendtillæg udbetales.",I13="X"),K13*1.5,0)</f>
        <v>0</v>
      </c>
      <c r="EP13" s="251">
        <f>IF(AND(AND(Stamoplysninger!$B$26="Weekendtimer og weekendtillæg udbetales.",I13="X",S13="X")),V13*1.5,0)</f>
        <v>0</v>
      </c>
      <c r="EQ13" s="674">
        <f>IF(AND(AND(Stamoplysninger!$B$26="Weekendtimer og weekendtillæg udbetales.",I13="X",C13="ikke relevant")),K13*1.5,0)</f>
        <v>0</v>
      </c>
      <c r="ER13" s="675">
        <f>IF(AND(AND(AND(Stamoplysninger!$B$26="Weekendtimer og weekendtillæg udbetales.",I13="X",C13="ikke relevant",S13="X"))),(V13*1.5),0)</f>
        <v>0</v>
      </c>
      <c r="ES13" s="283">
        <f>IF(AND(Stamoplysninger!$B$26="Der er indgået lokalaftale omkring weekendtimer.(Kræver aftale med TR/FSL) Weekendtillæg afspadseres.",I13="X"),K13*0.5,0)</f>
        <v>0</v>
      </c>
      <c r="ET13" s="251">
        <f>IF(AND(AND(Stamoplysninger!$B$26="Der er indgået lokalaftale omkring weekendtimer.(Kræver aftale med TR/FSL) Weekendtillæg afspadseres.",I13="X",S13="X")),V13*0.5,0)</f>
        <v>0</v>
      </c>
      <c r="EU13" s="674">
        <f>IF(AND(AND(Stamoplysninger!$B$26="Der er indgået lokalaftale omkring weekendtimer.(Kræver aftale med TR/FSL) Weekendtillæg afspadseres.",I13="X",C13="ikke relevant")),K13*0.5,0)</f>
        <v>0</v>
      </c>
      <c r="EV13" s="675">
        <f>IF(AND(AND(AND(Stamoplysninger!$B$26="Der er indgået lokalaftale omkring weekendtimer.(Kræver aftale med TR/FSL) Weekendtillæg afspadseres.",I13="X",C13="ikke relevant",S13="X"))),(V13*0.5),0)</f>
        <v>0</v>
      </c>
      <c r="EW13" s="283">
        <f>IF(AND(Stamoplysninger!$B$26="Der er indgået lokalaftale omkring weekendtimer(Kræver aftale med TR/FSL). Weekendtillæg udbetales.",I13="X"),K13*0.5,0)</f>
        <v>0</v>
      </c>
      <c r="EX13" s="251">
        <f>IF(AND(AND(Stamoplysninger!$B$26="Der er indgået lokalaftale omkring weekendtimer(Kræver aftale med TR/FSL). Weekendtillæg udbetales.",I13="X",S13="X")),V13*0.5,0)</f>
        <v>0</v>
      </c>
      <c r="EY13" s="674">
        <f>IF(AND(AND(Stamoplysninger!$B$26="Der er indgået lokalaftale omkring weekendtimer(Kræver aftale med TR/FSL). Weekendtillæg udbetales.",I13="X",C13="ikke relevant")),K13*0.5,0)</f>
        <v>0</v>
      </c>
      <c r="EZ13" s="675">
        <f>IF(AND(AND(AND(Stamoplysninger!$B$26="Der er indgået lokalaftale omkring weekendtimer(Kræver aftale med TR/FSL). Weekendtillæg udbetales.",I13="X",C13="ikke relevant",S13="X"))),(V13*0.5),0)</f>
        <v>0</v>
      </c>
      <c r="FA13" s="283">
        <f>IF(AND(Stamoplysninger!$B$26="Der er indgået lokalaftale omkring weekendtillæg(Kræver aftale med TR/FSL). Weekendtimerne afspadseres.",I13="X"),K13,0)</f>
        <v>0</v>
      </c>
      <c r="FB13" s="251">
        <f>IF(AND(AND(Stamoplysninger!$B$26="Der er indgået lokalaftale omkring weekendtillæg(Kræver aftale med TR/FSL). Weekendtimerne afspadseres.",I13="X",S13="X")),V13,0)</f>
        <v>0</v>
      </c>
      <c r="FC13" s="674">
        <f>IF(AND(AND(Stamoplysninger!$B$26="Der er indgået lokalaftale omkring weekendtillæg(Kræver aftale med TR/FSL). Weekendtimerne afspadseres..",I13="X",C13="ikke relevant")),K13,0)</f>
        <v>0</v>
      </c>
      <c r="FD13" s="675">
        <f>IF(AND(AND(AND(Stamoplysninger!$B$26="Der er indgået lokalaftale omkring weekendtillæg(Kræver aftale med TR/FSL). Weekendtimerne afspadseres.",I13="X",C13="ikke relevant",S13="X"))),(V13),0)</f>
        <v>0</v>
      </c>
      <c r="FE13" s="283">
        <f>IF(AND(Stamoplysninger!$B$26="Der er indgået lokalaftale omkring weekendtillæg(Kræver aftale med TR/FSL). Weekendtimerne udbetales.",I13="X"),K13,0)</f>
        <v>0</v>
      </c>
      <c r="FF13" s="251">
        <f>IF(AND(AND(Stamoplysninger!$B$26="Der er indgået lokalaftale omkring weekendtillæg(Kræver aftale med TR/FSL). Weekendtimerne udbetales.",I13="X",S13="X")),V13,0)</f>
        <v>0</v>
      </c>
      <c r="FG13" s="674">
        <f>IF(AND(AND(Stamoplysninger!$B$26="Der er indgået lokalaftale omkring weekendtillæg(Kræver aftale med TR/FSL). Weekendtimerne udbetales.",I13="X",C13="ikke relevant")),K13,0)</f>
        <v>0</v>
      </c>
      <c r="FH13" s="675">
        <f>IF(AND(AND(AND(Stamoplysninger!$B$26="Der er indgået lokalaftale omkring weekendtillæg(Kræver aftale med TR/FSL). Weekendtimerne udbetales.",I13="X",C13="ikke relevant",S13="X"))),(V13),0)</f>
        <v>0</v>
      </c>
      <c r="FI13" s="283">
        <f>IF(AND(Stamoplysninger!$B$26="Weekendtimer og weekendtillæg afspadseres.",I13="X"),K13,0)</f>
        <v>0</v>
      </c>
      <c r="FJ13" s="251">
        <f>IF(AND(Stamoplysninger!$B$26="Weekendtimer og weekendtillæg afspadseres.",Y13="X"),(AA13+AL13)/2,0)</f>
        <v>0</v>
      </c>
      <c r="FK13" s="674">
        <f>IF(AND(AND(Stamoplysninger!$B$26="Weekendtimer og weekendtillæg afspadseres.",I13="X",C13="ikke relevant")),K13,0)</f>
        <v>0</v>
      </c>
      <c r="FL13" s="675">
        <f>IF(AND(AND(Stamoplysninger!$B$26="Weekendtimer og weekendtillæg afspadseres.",Y13="X",S13="ikke relevant")),(AA13+AL13)/2,0)</f>
        <v>0</v>
      </c>
      <c r="FM13" s="283">
        <f>IF(AND(Stamoplysninger!$B$26="Der er indgået lokalaftale omkring weekendtillæg(Kræver aftale med TR/FSL). Weekendtimerne afspadseres.",I13="X"),K13,0)</f>
        <v>0</v>
      </c>
      <c r="FN13" s="674">
        <f>IF(AND(AND(Stamoplysninger!$B$26="Der er indgået lokalaftale omkring weekendtillæg(Kræver aftale med TR/FSL). Weekendtimerne afspadseres.",I13="X",C13="ikke relevant")),K13,0)</f>
        <v>0</v>
      </c>
      <c r="FO13" s="283">
        <f>IF(AND(Stamoplysninger!$B$26="Weekendtimer og weekendtillæg udbetales.",I13="X"),K13,0)</f>
        <v>0</v>
      </c>
      <c r="FP13" s="251">
        <f>IF(AND(Stamoplysninger!$B$26="Weekendtimer og weekendtillæg udbetales.",AA13="X"),(AC13+AN13)/2,0)</f>
        <v>0</v>
      </c>
      <c r="FQ13" s="674">
        <f>IF(AND(AND(Stamoplysninger!$B$26="Weekendtimer og weekendtillæg udbetales.",I13="X",C13="ikke relevant")),K13,0)</f>
        <v>0</v>
      </c>
      <c r="FR13" s="688">
        <f>IF(AND(AND(Stamoplysninger!$B$26="Weekendtimer og weekendtillæg udbetales.",AA13="X",U13="ikke relevant")),(AC13+AN13)/2,0)</f>
        <v>0</v>
      </c>
      <c r="FS13" s="283">
        <f t="shared" si="15"/>
        <v>0</v>
      </c>
      <c r="FT13" s="658">
        <f t="shared" si="16"/>
        <v>0</v>
      </c>
      <c r="FU13">
        <f t="shared" si="17"/>
        <v>0</v>
      </c>
      <c r="FV13" s="283">
        <f>IF(AND(Stamoplysninger!$B$26="Der er indgået lokalaftale omkring weekendtimer.(Kræver aftale med TR/FSL) Weekendtillæg afspadseres.",I13="X"),K13,0)</f>
        <v>0</v>
      </c>
      <c r="FW13" s="674">
        <f>IF(AND(AND(Stamoplysninger!$B$26="Der er indgået lokalaftale omkring weekendtimer.(Kræver aftale med TR/FSL) Weekendtillæg afspadseres.",I13="X",C13="ikke relevant")),K13,0)</f>
        <v>0</v>
      </c>
      <c r="FX13" s="283">
        <f>IF(AND(Stamoplysninger!$B$26="Der er indgået lokalaftale omkring weekendtimer(Kræver aftale med TR/FSL). Weekendtillæg udbetales.",I13="X"),K13,0)</f>
        <v>0</v>
      </c>
      <c r="FY13" s="674">
        <f>IF(AND(AND(Stamoplysninger!$B$26="Der er indgået lokalaftale omkring weekendtimer(Kræver aftale med TR/FSL). Weekendtillæg udbetales.",I13="X",C13="ikke relevant")),K13,0)</f>
        <v>0</v>
      </c>
      <c r="FZ13" s="283">
        <f>IF(AND(Stamoplysninger!$B$26="Der er indgået lokalaftale omkring weekendtillæg(Kræver aftale med TR/FSL). Weekendtimerne udbetales.",I13="X"),K13,0)</f>
        <v>0</v>
      </c>
      <c r="GA13" s="674">
        <f>IF(AND(AND(Stamoplysninger!$B$26="Der er indgået lokalaftale omkring weekendtillæg(Kræver aftale med TR/FSL). Weekendtimerne udbetales.",I13="X",C13="ikke relevant")),K13,0)</f>
        <v>0</v>
      </c>
      <c r="GB13" s="283">
        <f>IF(AND(Stamoplysninger!$B$26="Der er indgået lokalaftale omkring weekendtimer og weekendtillæg.(Kræver aftale med TR/FSL).",I13="X"),K13,0)</f>
        <v>0</v>
      </c>
      <c r="GC13" s="674">
        <f>IF(AND(AND(Stamoplysninger!$B$26="Der er indgået lokalaftale omkring weekendtimer og weekendtillæg.(Kræver aftale med TR/FSL).",I13="X",C13="ikke relevant")),K13,0)</f>
        <v>0</v>
      </c>
    </row>
    <row r="14" spans="1:185" ht="16" customHeight="1">
      <c r="A14" s="245">
        <f t="shared" si="18"/>
        <v>6</v>
      </c>
      <c r="B14" s="128" t="str">
        <f t="shared" si="0"/>
        <v>fr</v>
      </c>
      <c r="C14" s="129" t="s">
        <v>206</v>
      </c>
      <c r="D14" s="130" t="str">
        <f t="shared" si="1"/>
        <v/>
      </c>
      <c r="E14" s="917"/>
      <c r="F14" s="918"/>
      <c r="G14" s="919"/>
      <c r="H14" s="298"/>
      <c r="I14" s="527"/>
      <c r="J14" s="413"/>
      <c r="K14" s="380"/>
      <c r="L14" s="380"/>
      <c r="M14" s="380"/>
      <c r="N14" s="318">
        <f t="shared" si="19"/>
        <v>6.75</v>
      </c>
      <c r="O14" s="318">
        <f t="shared" si="20"/>
        <v>3</v>
      </c>
      <c r="P14" s="318">
        <f>IF(Stamoplysninger!$H$29="JA",December!DG14,CX14)</f>
        <v>1.5</v>
      </c>
      <c r="Q14" s="318">
        <f t="shared" si="21"/>
        <v>2.25</v>
      </c>
      <c r="R14" s="319"/>
      <c r="S14" s="324"/>
      <c r="T14" s="325"/>
      <c r="U14" s="325"/>
      <c r="V14" s="435"/>
      <c r="W14" s="412"/>
      <c r="X14" s="642"/>
      <c r="Y14">
        <f t="shared" si="22"/>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f>IF(AND(C14="Skema 1",B14="fr"),Arbejdstidsoversigt!$E$76,"")</f>
        <v>6.75</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6.75</v>
      </c>
      <c r="BB14" s="229">
        <f t="shared" si="8"/>
        <v>162</v>
      </c>
      <c r="BC14" s="1">
        <f t="shared" si="24"/>
        <v>0</v>
      </c>
      <c r="BD14" s="1">
        <f t="shared" si="9"/>
        <v>0</v>
      </c>
      <c r="BE14" s="1">
        <f t="shared" si="10"/>
        <v>0</v>
      </c>
      <c r="BF14" s="1">
        <f t="shared" si="11"/>
        <v>0</v>
      </c>
      <c r="BG14" s="210" t="str">
        <f>IF(AND(C14="Skema 1",B14="ma"),Skemaoplysninger!$E$30,"")</f>
        <v/>
      </c>
      <c r="BH14" s="210" t="str">
        <f>IF(AND(C14="Skema 1",B14="ti"),Skemaoplysninger!$G$30,"")</f>
        <v/>
      </c>
      <c r="BI14" s="210" t="str">
        <f>IF(AND(C14="Skema 1",B14="on"),Skemaoplysninger!$I$30,"")</f>
        <v/>
      </c>
      <c r="BJ14" s="210" t="str">
        <f>IF(AND(C14="Skema 1",B14="to"),Skemaoplysninger!$K$30,"")</f>
        <v/>
      </c>
      <c r="BK14" s="210">
        <f>IF(AND(C14="Skema 1",B14="fr"),Skemaoplysninger!$M$30,"")</f>
        <v>0.125</v>
      </c>
      <c r="BL14" s="210" t="str">
        <f>IF(AND(C14="Skema 2",B14="ma"),Skemaoplysninger!$S$30,"")</f>
        <v/>
      </c>
      <c r="BM14" s="210" t="str">
        <f>IF(AND(C14="Skema 2",B14="ti"),Skemaoplysninger!$U$30,"")</f>
        <v/>
      </c>
      <c r="BN14" s="210" t="str">
        <f>IF(AND(C14="Skema 2",B14="on"),Skemaoplysninger!$W$30,"")</f>
        <v/>
      </c>
      <c r="BO14" s="210" t="str">
        <f>IF(AND(C14="Skema 2",B14="to"),Skemaoplysninger!$Y$30,"")</f>
        <v/>
      </c>
      <c r="BP14" s="210" t="str">
        <f>IF(AND(C14="Skema 2",B14="fr"),Skemaoplysninger!$AA$30,"")</f>
        <v/>
      </c>
      <c r="BQ14" s="210" t="str">
        <f>IF(AND(C14="Skema 3",B14="ma"),Skemaoplysninger!$AG$30,"")</f>
        <v/>
      </c>
      <c r="BR14" s="210" t="str">
        <f>IF(AND(C14="Skema 3",B14="ti"),Skemaoplysninger!$AI$30,"")</f>
        <v/>
      </c>
      <c r="BS14" s="210" t="str">
        <f>IF(AND(C14="Skema 3",B14="on"),Skemaoplysninger!$AK$30,"")</f>
        <v/>
      </c>
      <c r="BT14" s="210" t="str">
        <f>IF(AND(C14="Skema 3",B14="to"),Skemaoplysninger!$AM$30,"")</f>
        <v/>
      </c>
      <c r="BU14" s="210" t="str">
        <f>IF(AND(C14="Skema 3",B14="fr"),Skemaoplysninger!$AO$30,"")</f>
        <v/>
      </c>
      <c r="BV14" s="210" t="str">
        <f>IF(AND(C14="Skema 4",B14="ma"),Skemaoplysninger!$AU$30,"")</f>
        <v/>
      </c>
      <c r="BW14" s="210" t="str">
        <f>IF(AND(C14="Skema 4",B14="ti"),Skemaoplysninger!$AW$30,"")</f>
        <v/>
      </c>
      <c r="BX14" s="210" t="str">
        <f>IF(AND(C14="Skema 4",B14="on"),Skemaoplysninger!$AY$30,"")</f>
        <v/>
      </c>
      <c r="BY14" s="210" t="str">
        <f>IF(AND(C14="Skema 4",B14="to"),Skemaoplysninger!$BA$30,"")</f>
        <v/>
      </c>
      <c r="BZ14" s="210" t="str">
        <f>IF(AND(C14="Skema 4",B14="fr"),Skemaoplysninger!$BC$30,"")</f>
        <v/>
      </c>
      <c r="CA14" s="1">
        <f t="shared" si="25"/>
        <v>3</v>
      </c>
      <c r="CB14" s="1">
        <f t="shared" si="12"/>
        <v>0</v>
      </c>
      <c r="CC14" s="1">
        <f t="shared" si="13"/>
        <v>0</v>
      </c>
      <c r="CD14" s="210" t="str">
        <f>IF(AND(C14="Skema 1",B14="ma"),Skemaoplysninger!$E$31,"")</f>
        <v/>
      </c>
      <c r="CE14" s="210" t="str">
        <f>IF(AND(C14="Skema 1",B14="ti"),Skemaoplysninger!$G$31,"")</f>
        <v/>
      </c>
      <c r="CF14" s="210" t="str">
        <f>IF(AND(C14="Skema 1",B14="on"),Skemaoplysninger!$I$31,"")</f>
        <v/>
      </c>
      <c r="CG14" s="210" t="str">
        <f>IF(AND(C14="Skema 1",B14="to"),Skemaoplysninger!$K$31,"")</f>
        <v/>
      </c>
      <c r="CH14" s="210">
        <f>IF(AND(C14="Skema 1",B14="fr"),Skemaoplysninger!$M$31,"")</f>
        <v>6.25E-2</v>
      </c>
      <c r="CI14" s="210" t="str">
        <f>IF(AND(C14="Skema 2",B14="ma"),Skemaoplysninger!$S$31,"")</f>
        <v/>
      </c>
      <c r="CJ14" s="210" t="str">
        <f>IF(AND(C14="Skema 2",B14="ti"),Skemaoplysninger!$U$31,"")</f>
        <v/>
      </c>
      <c r="CK14" s="210" t="str">
        <f>IF(AND(C14="Skema 2",B14="on"),Skemaoplysninger!$W$31,"")</f>
        <v/>
      </c>
      <c r="CL14" s="210" t="str">
        <f>IF(AND(C14="Skema 2",B14="to"),Skemaoplysninger!$Y$31,"")</f>
        <v/>
      </c>
      <c r="CM14" s="210" t="str">
        <f>IF(AND(C14="Skema 2",B14="fr"),Skemaoplysninger!$AA$31,"")</f>
        <v/>
      </c>
      <c r="CN14" s="210" t="str">
        <f>IF(AND(C14="Skema 3",B14="ma"),Skemaoplysninger!$AG$31,"")</f>
        <v/>
      </c>
      <c r="CO14" s="210" t="str">
        <f>IF(AND(C14="Skema 3",B14="ti"),Skemaoplysninger!$AI$31,"")</f>
        <v/>
      </c>
      <c r="CP14" s="210" t="str">
        <f>IF(AND(C14="Skema 3",B14="on"),Skemaoplysninger!$AK$31,"")</f>
        <v/>
      </c>
      <c r="CQ14" s="210" t="str">
        <f>IF(AND(C14="Skema 3",B14="to"),Skemaoplysninger!$AM$31,"")</f>
        <v/>
      </c>
      <c r="CR14" s="210" t="str">
        <f>IF(AND(C14="Skema 3",B14="fr"),Skemaoplysninger!$AO$31,"")</f>
        <v/>
      </c>
      <c r="CS14" s="210" t="str">
        <f>IF(AND(C14="Skema 4",B14="ma"),Skemaoplysninger!$AU$31,"")</f>
        <v/>
      </c>
      <c r="CT14" s="210" t="str">
        <f>IF(AND(C14="Skema 4",B14="ti"),Skemaoplysninger!$AW$31,"")</f>
        <v/>
      </c>
      <c r="CU14" s="210" t="str">
        <f>IF(AND(C14="Skema 4",B14="on"),Skemaoplysninger!$AY$31,"")</f>
        <v/>
      </c>
      <c r="CV14" s="210" t="str">
        <f>IF(AND(C14="Skema 4",B14="to"),Skemaoplysninger!$BA$31,"")</f>
        <v/>
      </c>
      <c r="CW14" s="210" t="str">
        <f>IF(AND(C14="Skema 4",B14="fr"),Skemaoplysninger!$BC$31,"")</f>
        <v/>
      </c>
      <c r="CX14" s="249">
        <f>IF(Stamoplysninger!$H$29="NEJ",SUM(CD14:CW14)*24+CB14+CC14,0)</f>
        <v>1.5</v>
      </c>
      <c r="CY14" s="249">
        <f>IF(C14="Skema 1",Stamoplysninger!$H$30/200,0)</f>
        <v>0</v>
      </c>
      <c r="CZ14" s="249">
        <f>IF(C14="Skema 2",Stamoplysninger!$H$30/200,0)</f>
        <v>0</v>
      </c>
      <c r="DA14" s="249">
        <f>IF(C14="Skema 3",Stamoplysninger!$H$30/200,0)</f>
        <v>0</v>
      </c>
      <c r="DB14" s="249">
        <f>IF(C14="Skema 4",Stamoplysninger!$H$30/200,0)</f>
        <v>0</v>
      </c>
      <c r="DC14" s="249">
        <f>IF(C14="fagdag",Stamoplysninger!$H$30/200,0)</f>
        <v>0</v>
      </c>
      <c r="DD14" s="249">
        <f>IF(C14="emnedag",Stamoplysninger!$H$30/200,0)</f>
        <v>0</v>
      </c>
      <c r="DE14" s="249">
        <f>IF(C14="lejrskole",Stamoplysninger!$H$30/200,0)</f>
        <v>0</v>
      </c>
      <c r="DF14" s="249">
        <f>IF(C14="ekskursion",Stamoplysninger!$H$30/200,0)</f>
        <v>0</v>
      </c>
      <c r="DG14" s="249">
        <f t="shared" si="26"/>
        <v>0</v>
      </c>
      <c r="DH14" t="str">
        <f t="shared" si="27"/>
        <v/>
      </c>
      <c r="DI14">
        <f t="shared" si="28"/>
        <v>0</v>
      </c>
      <c r="DJ14">
        <f t="shared" si="29"/>
        <v>0</v>
      </c>
      <c r="DK14" t="str">
        <f t="shared" si="14"/>
        <v/>
      </c>
      <c r="DL14" t="str">
        <f t="shared" si="14"/>
        <v/>
      </c>
      <c r="DM14" t="str">
        <f t="shared" si="14"/>
        <v/>
      </c>
      <c r="DN14" t="str">
        <f t="shared" si="30"/>
        <v/>
      </c>
      <c r="DO14" s="652">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71">
        <f>IF(AND(Stamoplysninger!$B$22="Ulempetillæg udbetales med 25% af nettotimelønnen.",C14="ikke relevant"),(R14)/4,0)</f>
        <v>0</v>
      </c>
      <c r="DT14" s="671">
        <f>IF(AND(AND(Stamoplysninger!$B$22="Ulempetillæg udbetales med 25% af nettotimelønnen.",I14="X",C14="Ikke relevant")),K14/4,0)</f>
        <v>0</v>
      </c>
      <c r="DU14" s="671">
        <f>IF(AND(AND(Stamoplysninger!$B$22="Ulempetillæg udbetales med 25% af nettotimelønnen.",C14="ikke relevant",U14="X")),(X14/4),0)</f>
        <v>0</v>
      </c>
      <c r="DV14" s="672">
        <f>IF(AND(AND(AND(Stamoplysninger!$B$22="Ulempetillæg udbetales med 25% af nettotimelønnen.",I14="X",C14="Ikke relevant",S14="X"))),V14/4,0)</f>
        <v>0</v>
      </c>
      <c r="DW14" s="652"/>
      <c r="DZ14" s="671"/>
      <c r="EA14" s="671"/>
      <c r="EB14" s="672"/>
      <c r="EC14" s="652">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71">
        <f>IF(AND(Stamoplysninger!$B$22="Ulempetillæg afspadseres med 25%(Kræver en aftale imellem ledelsen og den ansatte)",C14="ikke relevant"),(R14)/4,0)</f>
        <v>0</v>
      </c>
      <c r="EH14" s="671">
        <f>IF(AND(AND(Stamoplysninger!$B$22="Ulempetillæg afspadseres med 25%(Kræver en aftale imellem ledelsen og den ansatte)",I14="X",C14="Ikke relevant")),K14/4,0)</f>
        <v>0</v>
      </c>
      <c r="EI14" s="671">
        <f>IF(AND(AND(Stamoplysninger!$B$22="Ulempetillæg afspadseres med 25%(Kræver en aftale imellem ledelsen og den ansatte)",U14="X",C14="Ikke relevant")),X14/4,0)</f>
        <v>0</v>
      </c>
      <c r="EJ14" s="671">
        <f>IF(AND(AND(AND(Stamoplysninger!$B$22="Ulempetillæg afspadseres med 25%(Kræver en aftale imellem ledelsen og den ansatte)",I14="X",C14="Ikke relevant",S14="X"))),V14/4,0)</f>
        <v>0</v>
      </c>
      <c r="EK14" s="283">
        <f>IF(AND(Stamoplysninger!$B$26="Weekendtimer og weekendtillæg afspadseres.",I14="X"),K14*1.5,0)</f>
        <v>0</v>
      </c>
      <c r="EL14" s="251">
        <f>IF(AND(AND(Stamoplysninger!$B$26="Weekendtimer og weekendtillæg afspadseres.",I14="X",S14="X")),V14*1.5,0)</f>
        <v>0</v>
      </c>
      <c r="EM14" s="674">
        <f>IF(AND(AND(Stamoplysninger!$B$26="Weekendtimer og weekendtillæg afspadseres.",I14="X",C14="ikke relevant")),K14*1.5,0)</f>
        <v>0</v>
      </c>
      <c r="EN14" s="675">
        <f>IF(AND(AND(AND(Stamoplysninger!$B$26="Weekendtimer og weekendtillæg afspadseres.",I14="X",C14="ikke relevant",S14="X"))),(V14*1.5),0)</f>
        <v>0</v>
      </c>
      <c r="EO14" s="283">
        <f>IF(AND(Stamoplysninger!$B$26="Weekendtimer og weekendtillæg udbetales.",I14="X"),K14*1.5,0)</f>
        <v>0</v>
      </c>
      <c r="EP14" s="251">
        <f>IF(AND(AND(Stamoplysninger!$B$26="Weekendtimer og weekendtillæg udbetales.",I14="X",S14="X")),V14*1.5,0)</f>
        <v>0</v>
      </c>
      <c r="EQ14" s="674">
        <f>IF(AND(AND(Stamoplysninger!$B$26="Weekendtimer og weekendtillæg udbetales.",I14="X",C14="ikke relevant")),K14*1.5,0)</f>
        <v>0</v>
      </c>
      <c r="ER14" s="675">
        <f>IF(AND(AND(AND(Stamoplysninger!$B$26="Weekendtimer og weekendtillæg udbetales.",I14="X",C14="ikke relevant",S14="X"))),(V14*1.5),0)</f>
        <v>0</v>
      </c>
      <c r="ES14" s="283">
        <f>IF(AND(Stamoplysninger!$B$26="Der er indgået lokalaftale omkring weekendtimer.(Kræver aftale med TR/FSL) Weekendtillæg afspadseres.",I14="X"),K14*0.5,0)</f>
        <v>0</v>
      </c>
      <c r="ET14" s="251">
        <f>IF(AND(AND(Stamoplysninger!$B$26="Der er indgået lokalaftale omkring weekendtimer.(Kræver aftale med TR/FSL) Weekendtillæg afspadseres.",I14="X",S14="X")),V14*0.5,0)</f>
        <v>0</v>
      </c>
      <c r="EU14" s="674">
        <f>IF(AND(AND(Stamoplysninger!$B$26="Der er indgået lokalaftale omkring weekendtimer.(Kræver aftale med TR/FSL) Weekendtillæg afspadseres.",I14="X",C14="ikke relevant")),K14*0.5,0)</f>
        <v>0</v>
      </c>
      <c r="EV14" s="675">
        <f>IF(AND(AND(AND(Stamoplysninger!$B$26="Der er indgået lokalaftale omkring weekendtimer.(Kræver aftale med TR/FSL) Weekendtillæg afspadseres.",I14="X",C14="ikke relevant",S14="X"))),(V14*0.5),0)</f>
        <v>0</v>
      </c>
      <c r="EW14" s="283">
        <f>IF(AND(Stamoplysninger!$B$26="Der er indgået lokalaftale omkring weekendtimer(Kræver aftale med TR/FSL). Weekendtillæg udbetales.",I14="X"),K14*0.5,0)</f>
        <v>0</v>
      </c>
      <c r="EX14" s="251">
        <f>IF(AND(AND(Stamoplysninger!$B$26="Der er indgået lokalaftale omkring weekendtimer(Kræver aftale med TR/FSL). Weekendtillæg udbetales.",I14="X",S14="X")),V14*0.5,0)</f>
        <v>0</v>
      </c>
      <c r="EY14" s="674">
        <f>IF(AND(AND(Stamoplysninger!$B$26="Der er indgået lokalaftale omkring weekendtimer(Kræver aftale med TR/FSL). Weekendtillæg udbetales.",I14="X",C14="ikke relevant")),K14*0.5,0)</f>
        <v>0</v>
      </c>
      <c r="EZ14" s="675">
        <f>IF(AND(AND(AND(Stamoplysninger!$B$26="Der er indgået lokalaftale omkring weekendtimer(Kræver aftale med TR/FSL). Weekendtillæg udbetales.",I14="X",C14="ikke relevant",S14="X"))),(V14*0.5),0)</f>
        <v>0</v>
      </c>
      <c r="FA14" s="283">
        <f>IF(AND(Stamoplysninger!$B$26="Der er indgået lokalaftale omkring weekendtillæg(Kræver aftale med TR/FSL). Weekendtimerne afspadseres.",I14="X"),K14,0)</f>
        <v>0</v>
      </c>
      <c r="FB14" s="251">
        <f>IF(AND(AND(Stamoplysninger!$B$26="Der er indgået lokalaftale omkring weekendtillæg(Kræver aftale med TR/FSL). Weekendtimerne afspadseres.",I14="X",S14="X")),V14,0)</f>
        <v>0</v>
      </c>
      <c r="FC14" s="674">
        <f>IF(AND(AND(Stamoplysninger!$B$26="Der er indgået lokalaftale omkring weekendtillæg(Kræver aftale med TR/FSL). Weekendtimerne afspadseres..",I14="X",C14="ikke relevant")),K14,0)</f>
        <v>0</v>
      </c>
      <c r="FD14" s="675">
        <f>IF(AND(AND(AND(Stamoplysninger!$B$26="Der er indgået lokalaftale omkring weekendtillæg(Kræver aftale med TR/FSL). Weekendtimerne afspadseres.",I14="X",C14="ikke relevant",S14="X"))),(V14),0)</f>
        <v>0</v>
      </c>
      <c r="FE14" s="283">
        <f>IF(AND(Stamoplysninger!$B$26="Der er indgået lokalaftale omkring weekendtillæg(Kræver aftale med TR/FSL). Weekendtimerne udbetales.",I14="X"),K14,0)</f>
        <v>0</v>
      </c>
      <c r="FF14" s="251">
        <f>IF(AND(AND(Stamoplysninger!$B$26="Der er indgået lokalaftale omkring weekendtillæg(Kræver aftale med TR/FSL). Weekendtimerne udbetales.",I14="X",S14="X")),V14,0)</f>
        <v>0</v>
      </c>
      <c r="FG14" s="674">
        <f>IF(AND(AND(Stamoplysninger!$B$26="Der er indgået lokalaftale omkring weekendtillæg(Kræver aftale med TR/FSL). Weekendtimerne udbetales.",I14="X",C14="ikke relevant")),K14,0)</f>
        <v>0</v>
      </c>
      <c r="FH14" s="675">
        <f>IF(AND(AND(AND(Stamoplysninger!$B$26="Der er indgået lokalaftale omkring weekendtillæg(Kræver aftale med TR/FSL). Weekendtimerne udbetales.",I14="X",C14="ikke relevant",S14="X"))),(V14),0)</f>
        <v>0</v>
      </c>
      <c r="FI14" s="283">
        <f>IF(AND(Stamoplysninger!$B$26="Weekendtimer og weekendtillæg afspadseres.",I14="X"),K14,0)</f>
        <v>0</v>
      </c>
      <c r="FJ14" s="251">
        <f>IF(AND(Stamoplysninger!$B$26="Weekendtimer og weekendtillæg afspadseres.",Y14="X"),(AA14+AL14)/2,0)</f>
        <v>0</v>
      </c>
      <c r="FK14" s="674">
        <f>IF(AND(AND(Stamoplysninger!$B$26="Weekendtimer og weekendtillæg afspadseres.",I14="X",C14="ikke relevant")),K14,0)</f>
        <v>0</v>
      </c>
      <c r="FL14" s="675">
        <f>IF(AND(AND(Stamoplysninger!$B$26="Weekendtimer og weekendtillæg afspadseres.",Y14="X",S14="ikke relevant")),(AA14+AL14)/2,0)</f>
        <v>0</v>
      </c>
      <c r="FM14" s="283">
        <f>IF(AND(Stamoplysninger!$B$26="Der er indgået lokalaftale omkring weekendtillæg(Kræver aftale med TR/FSL). Weekendtimerne afspadseres.",I14="X"),K14,0)</f>
        <v>0</v>
      </c>
      <c r="FN14" s="674">
        <f>IF(AND(AND(Stamoplysninger!$B$26="Der er indgået lokalaftale omkring weekendtillæg(Kræver aftale med TR/FSL). Weekendtimerne afspadseres.",I14="X",C14="ikke relevant")),K14,0)</f>
        <v>0</v>
      </c>
      <c r="FO14" s="283">
        <f>IF(AND(Stamoplysninger!$B$26="Weekendtimer og weekendtillæg udbetales.",I14="X"),K14,0)</f>
        <v>0</v>
      </c>
      <c r="FP14" s="251">
        <f>IF(AND(Stamoplysninger!$B$26="Weekendtimer og weekendtillæg udbetales.",AA14="X"),(AC14+AN14)/2,0)</f>
        <v>0</v>
      </c>
      <c r="FQ14" s="674">
        <f>IF(AND(AND(Stamoplysninger!$B$26="Weekendtimer og weekendtillæg udbetales.",I14="X",C14="ikke relevant")),K14,0)</f>
        <v>0</v>
      </c>
      <c r="FR14" s="688">
        <f>IF(AND(AND(Stamoplysninger!$B$26="Weekendtimer og weekendtillæg udbetales.",AA14="X",U14="ikke relevant")),(AC14+AN14)/2,0)</f>
        <v>0</v>
      </c>
      <c r="FS14" s="283">
        <f t="shared" si="15"/>
        <v>0</v>
      </c>
      <c r="FT14" s="658">
        <f t="shared" si="16"/>
        <v>0</v>
      </c>
      <c r="FU14">
        <f t="shared" si="17"/>
        <v>0</v>
      </c>
      <c r="FV14" s="283">
        <f>IF(AND(Stamoplysninger!$B$26="Der er indgået lokalaftale omkring weekendtimer.(Kræver aftale med TR/FSL) Weekendtillæg afspadseres.",I14="X"),K14,0)</f>
        <v>0</v>
      </c>
      <c r="FW14" s="674">
        <f>IF(AND(AND(Stamoplysninger!$B$26="Der er indgået lokalaftale omkring weekendtimer.(Kræver aftale med TR/FSL) Weekendtillæg afspadseres.",I14="X",C14="ikke relevant")),K14,0)</f>
        <v>0</v>
      </c>
      <c r="FX14" s="283">
        <f>IF(AND(Stamoplysninger!$B$26="Der er indgået lokalaftale omkring weekendtimer(Kræver aftale med TR/FSL). Weekendtillæg udbetales.",I14="X"),K14,0)</f>
        <v>0</v>
      </c>
      <c r="FY14" s="674">
        <f>IF(AND(AND(Stamoplysninger!$B$26="Der er indgået lokalaftale omkring weekendtimer(Kræver aftale med TR/FSL). Weekendtillæg udbetales.",I14="X",C14="ikke relevant")),K14,0)</f>
        <v>0</v>
      </c>
      <c r="FZ14" s="283">
        <f>IF(AND(Stamoplysninger!$B$26="Der er indgået lokalaftale omkring weekendtillæg(Kræver aftale med TR/FSL). Weekendtimerne udbetales.",I14="X"),K14,0)</f>
        <v>0</v>
      </c>
      <c r="GA14" s="674">
        <f>IF(AND(AND(Stamoplysninger!$B$26="Der er indgået lokalaftale omkring weekendtillæg(Kræver aftale med TR/FSL). Weekendtimerne udbetales.",I14="X",C14="ikke relevant")),K14,0)</f>
        <v>0</v>
      </c>
      <c r="GB14" s="283">
        <f>IF(AND(Stamoplysninger!$B$26="Der er indgået lokalaftale omkring weekendtimer og weekendtillæg.(Kræver aftale med TR/FSL).",I14="X"),K14,0)</f>
        <v>0</v>
      </c>
      <c r="GC14" s="674">
        <f>IF(AND(AND(Stamoplysninger!$B$26="Der er indgået lokalaftale omkring weekendtimer og weekendtillæg.(Kræver aftale med TR/FSL).",I14="X",C14="ikke relevant")),K14,0)</f>
        <v>0</v>
      </c>
    </row>
    <row r="15" spans="1:185" ht="16" customHeight="1">
      <c r="A15" s="245">
        <f t="shared" si="18"/>
        <v>7</v>
      </c>
      <c r="B15" s="128" t="str">
        <f t="shared" si="0"/>
        <v>lø</v>
      </c>
      <c r="C15" s="129" t="s">
        <v>120</v>
      </c>
      <c r="D15" s="130" t="str">
        <f t="shared" si="1"/>
        <v/>
      </c>
      <c r="E15" s="917"/>
      <c r="F15" s="918"/>
      <c r="G15" s="919"/>
      <c r="H15" s="298"/>
      <c r="I15" s="413"/>
      <c r="J15" s="413"/>
      <c r="K15" s="380"/>
      <c r="L15" s="380"/>
      <c r="M15" s="380"/>
      <c r="N15" s="318">
        <f t="shared" si="19"/>
        <v>0</v>
      </c>
      <c r="O15" s="318">
        <f t="shared" si="20"/>
        <v>0</v>
      </c>
      <c r="P15" s="318">
        <f>IF(Stamoplysninger!$H$29="JA",December!DG15,CX15)</f>
        <v>0</v>
      </c>
      <c r="Q15" s="318">
        <f t="shared" si="21"/>
        <v>0</v>
      </c>
      <c r="R15" s="319"/>
      <c r="S15" s="324"/>
      <c r="T15" s="325"/>
      <c r="U15" s="325"/>
      <c r="V15" s="435"/>
      <c r="W15" s="412"/>
      <c r="X15" s="642"/>
      <c r="Y15">
        <f t="shared" si="22"/>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9">
        <f t="shared" si="8"/>
        <v>0</v>
      </c>
      <c r="BC15" s="1">
        <f t="shared" si="24"/>
        <v>0</v>
      </c>
      <c r="BD15" s="1">
        <f t="shared" si="9"/>
        <v>0</v>
      </c>
      <c r="BE15" s="1">
        <f t="shared" si="10"/>
        <v>0</v>
      </c>
      <c r="BF15" s="1">
        <f t="shared" si="11"/>
        <v>0</v>
      </c>
      <c r="BG15" s="210" t="str">
        <f>IF(AND(C15="Skema 1",B15="ma"),Skemaoplysninger!$E$30,"")</f>
        <v/>
      </c>
      <c r="BH15" s="210" t="str">
        <f>IF(AND(C15="Skema 1",B15="ti"),Skemaoplysninger!$G$30,"")</f>
        <v/>
      </c>
      <c r="BI15" s="210" t="str">
        <f>IF(AND(C15="Skema 1",B15="on"),Skemaoplysninger!$I$30,"")</f>
        <v/>
      </c>
      <c r="BJ15" s="210" t="str">
        <f>IF(AND(C15="Skema 1",B15="to"),Skemaoplysninger!$K$30,"")</f>
        <v/>
      </c>
      <c r="BK15" s="210" t="str">
        <f>IF(AND(C15="Skema 1",B15="fr"),Skemaoplysninger!$M$30,"")</f>
        <v/>
      </c>
      <c r="BL15" s="210" t="str">
        <f>IF(AND(C15="Skema 2",B15="ma"),Skemaoplysninger!$S$30,"")</f>
        <v/>
      </c>
      <c r="BM15" s="210" t="str">
        <f>IF(AND(C15="Skema 2",B15="ti"),Skemaoplysninger!$U$30,"")</f>
        <v/>
      </c>
      <c r="BN15" s="210" t="str">
        <f>IF(AND(C15="Skema 2",B15="on"),Skemaoplysninger!$W$30,"")</f>
        <v/>
      </c>
      <c r="BO15" s="210" t="str">
        <f>IF(AND(C15="Skema 2",B15="to"),Skemaoplysninger!$Y$30,"")</f>
        <v/>
      </c>
      <c r="BP15" s="210" t="str">
        <f>IF(AND(C15="Skema 2",B15="fr"),Skemaoplysninger!$AA$30,"")</f>
        <v/>
      </c>
      <c r="BQ15" s="210" t="str">
        <f>IF(AND(C15="Skema 3",B15="ma"),Skemaoplysninger!$AG$30,"")</f>
        <v/>
      </c>
      <c r="BR15" s="210" t="str">
        <f>IF(AND(C15="Skema 3",B15="ti"),Skemaoplysninger!$AI$30,"")</f>
        <v/>
      </c>
      <c r="BS15" s="210" t="str">
        <f>IF(AND(C15="Skema 3",B15="on"),Skemaoplysninger!$AK$30,"")</f>
        <v/>
      </c>
      <c r="BT15" s="210" t="str">
        <f>IF(AND(C15="Skema 3",B15="to"),Skemaoplysninger!$AM$30,"")</f>
        <v/>
      </c>
      <c r="BU15" s="210" t="str">
        <f>IF(AND(C15="Skema 3",B15="fr"),Skemaoplysninger!$AO$30,"")</f>
        <v/>
      </c>
      <c r="BV15" s="210" t="str">
        <f>IF(AND(C15="Skema 4",B15="ma"),Skemaoplysninger!$AU$30,"")</f>
        <v/>
      </c>
      <c r="BW15" s="210" t="str">
        <f>IF(AND(C15="Skema 4",B15="ti"),Skemaoplysninger!$AW$30,"")</f>
        <v/>
      </c>
      <c r="BX15" s="210" t="str">
        <f>IF(AND(C15="Skema 4",B15="on"),Skemaoplysninger!$AY$30,"")</f>
        <v/>
      </c>
      <c r="BY15" s="210" t="str">
        <f>IF(AND(C15="Skema 4",B15="to"),Skemaoplysninger!$BA$30,"")</f>
        <v/>
      </c>
      <c r="BZ15" s="210" t="str">
        <f>IF(AND(C15="Skema 4",B15="fr"),Skemaoplysninger!$BC$30,"")</f>
        <v/>
      </c>
      <c r="CA15" s="1">
        <f t="shared" si="25"/>
        <v>0</v>
      </c>
      <c r="CB15" s="1">
        <f t="shared" si="12"/>
        <v>0</v>
      </c>
      <c r="CC15" s="1">
        <f t="shared" si="13"/>
        <v>0</v>
      </c>
      <c r="CD15" s="210" t="str">
        <f>IF(AND(C15="Skema 1",B15="ma"),Skemaoplysninger!$E$31,"")</f>
        <v/>
      </c>
      <c r="CE15" s="210" t="str">
        <f>IF(AND(C15="Skema 1",B15="ti"),Skemaoplysninger!$G$31,"")</f>
        <v/>
      </c>
      <c r="CF15" s="210" t="str">
        <f>IF(AND(C15="Skema 1",B15="on"),Skemaoplysninger!$I$31,"")</f>
        <v/>
      </c>
      <c r="CG15" s="210" t="str">
        <f>IF(AND(C15="Skema 1",B15="to"),Skemaoplysninger!$K$31,"")</f>
        <v/>
      </c>
      <c r="CH15" s="210" t="str">
        <f>IF(AND(C15="Skema 1",B15="fr"),Skemaoplysninger!$M$31,"")</f>
        <v/>
      </c>
      <c r="CI15" s="210" t="str">
        <f>IF(AND(C15="Skema 2",B15="ma"),Skemaoplysninger!$S$31,"")</f>
        <v/>
      </c>
      <c r="CJ15" s="210" t="str">
        <f>IF(AND(C15="Skema 2",B15="ti"),Skemaoplysninger!$U$31,"")</f>
        <v/>
      </c>
      <c r="CK15" s="210" t="str">
        <f>IF(AND(C15="Skema 2",B15="on"),Skemaoplysninger!$W$31,"")</f>
        <v/>
      </c>
      <c r="CL15" s="210" t="str">
        <f>IF(AND(C15="Skema 2",B15="to"),Skemaoplysninger!$Y$31,"")</f>
        <v/>
      </c>
      <c r="CM15" s="210" t="str">
        <f>IF(AND(C15="Skema 2",B15="fr"),Skemaoplysninger!$AA$31,"")</f>
        <v/>
      </c>
      <c r="CN15" s="210" t="str">
        <f>IF(AND(C15="Skema 3",B15="ma"),Skemaoplysninger!$AG$31,"")</f>
        <v/>
      </c>
      <c r="CO15" s="210" t="str">
        <f>IF(AND(C15="Skema 3",B15="ti"),Skemaoplysninger!$AI$31,"")</f>
        <v/>
      </c>
      <c r="CP15" s="210" t="str">
        <f>IF(AND(C15="Skema 3",B15="on"),Skemaoplysninger!$AK$31,"")</f>
        <v/>
      </c>
      <c r="CQ15" s="210" t="str">
        <f>IF(AND(C15="Skema 3",B15="to"),Skemaoplysninger!$AM$31,"")</f>
        <v/>
      </c>
      <c r="CR15" s="210" t="str">
        <f>IF(AND(C15="Skema 3",B15="fr"),Skemaoplysninger!$AO$31,"")</f>
        <v/>
      </c>
      <c r="CS15" s="210" t="str">
        <f>IF(AND(C15="Skema 4",B15="ma"),Skemaoplysninger!$AU$31,"")</f>
        <v/>
      </c>
      <c r="CT15" s="210" t="str">
        <f>IF(AND(C15="Skema 4",B15="ti"),Skemaoplysninger!$AW$31,"")</f>
        <v/>
      </c>
      <c r="CU15" s="210" t="str">
        <f>IF(AND(C15="Skema 4",B15="on"),Skemaoplysninger!$AY$31,"")</f>
        <v/>
      </c>
      <c r="CV15" s="210" t="str">
        <f>IF(AND(C15="Skema 4",B15="to"),Skemaoplysninger!$BA$31,"")</f>
        <v/>
      </c>
      <c r="CW15" s="210" t="str">
        <f>IF(AND(C15="Skema 4",B15="fr"),Skemaoplysninger!$BC$31,"")</f>
        <v/>
      </c>
      <c r="CX15" s="249">
        <f>IF(Stamoplysninger!$H$29="NEJ",SUM(CD15:CW15)*24+CB15+CC15,0)</f>
        <v>0</v>
      </c>
      <c r="CY15" s="249">
        <f>IF(C15="Skema 1",Stamoplysninger!$H$30/200,0)</f>
        <v>0</v>
      </c>
      <c r="CZ15" s="249">
        <f>IF(C15="Skema 2",Stamoplysninger!$H$30/200,0)</f>
        <v>0</v>
      </c>
      <c r="DA15" s="249">
        <f>IF(C15="Skema 3",Stamoplysninger!$H$30/200,0)</f>
        <v>0</v>
      </c>
      <c r="DB15" s="249">
        <f>IF(C15="Skema 4",Stamoplysninger!$H$30/200,0)</f>
        <v>0</v>
      </c>
      <c r="DC15" s="249">
        <f>IF(C15="fagdag",Stamoplysninger!$H$30/200,0)</f>
        <v>0</v>
      </c>
      <c r="DD15" s="249">
        <f>IF(C15="emnedag",Stamoplysninger!$H$30/200,0)</f>
        <v>0</v>
      </c>
      <c r="DE15" s="249">
        <f>IF(C15="lejrskole",Stamoplysninger!$H$30/200,0)</f>
        <v>0</v>
      </c>
      <c r="DF15" s="249">
        <f>IF(C15="ekskursion",Stamoplysninger!$H$30/200,0)</f>
        <v>0</v>
      </c>
      <c r="DG15" s="249">
        <f t="shared" si="26"/>
        <v>0</v>
      </c>
      <c r="DH15" t="str">
        <f t="shared" si="27"/>
        <v/>
      </c>
      <c r="DI15">
        <f t="shared" si="28"/>
        <v>0</v>
      </c>
      <c r="DJ15">
        <f t="shared" si="29"/>
        <v>0</v>
      </c>
      <c r="DK15" t="str">
        <f t="shared" si="14"/>
        <v/>
      </c>
      <c r="DL15" t="str">
        <f t="shared" si="14"/>
        <v/>
      </c>
      <c r="DM15" t="str">
        <f t="shared" si="14"/>
        <v/>
      </c>
      <c r="DN15" t="str">
        <f t="shared" si="30"/>
        <v/>
      </c>
      <c r="DO15" s="652">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71">
        <f>IF(AND(Stamoplysninger!$B$22="Ulempetillæg udbetales med 25% af nettotimelønnen.",C15="ikke relevant"),(R15)/4,0)</f>
        <v>0</v>
      </c>
      <c r="DT15" s="671">
        <f>IF(AND(AND(Stamoplysninger!$B$22="Ulempetillæg udbetales med 25% af nettotimelønnen.",I15="X",C15="Ikke relevant")),K15/4,0)</f>
        <v>0</v>
      </c>
      <c r="DU15" s="671">
        <f>IF(AND(AND(Stamoplysninger!$B$22="Ulempetillæg udbetales med 25% af nettotimelønnen.",C15="ikke relevant",U15="X")),(X15/4),0)</f>
        <v>0</v>
      </c>
      <c r="DV15" s="672">
        <f>IF(AND(AND(AND(Stamoplysninger!$B$22="Ulempetillæg udbetales med 25% af nettotimelønnen.",I15="X",C15="Ikke relevant",S15="X"))),V15/4,0)</f>
        <v>0</v>
      </c>
      <c r="DW15" s="652"/>
      <c r="DZ15" s="671"/>
      <c r="EA15" s="671"/>
      <c r="EB15" s="672"/>
      <c r="EC15" s="652">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71">
        <f>IF(AND(Stamoplysninger!$B$22="Ulempetillæg afspadseres med 25%(Kræver en aftale imellem ledelsen og den ansatte)",C15="ikke relevant"),(R15)/4,0)</f>
        <v>0</v>
      </c>
      <c r="EH15" s="671">
        <f>IF(AND(AND(Stamoplysninger!$B$22="Ulempetillæg afspadseres med 25%(Kræver en aftale imellem ledelsen og den ansatte)",I15="X",C15="Ikke relevant")),K15/4,0)</f>
        <v>0</v>
      </c>
      <c r="EI15" s="671">
        <f>IF(AND(AND(Stamoplysninger!$B$22="Ulempetillæg afspadseres med 25%(Kræver en aftale imellem ledelsen og den ansatte)",U15="X",C15="Ikke relevant")),X15/4,0)</f>
        <v>0</v>
      </c>
      <c r="EJ15" s="671">
        <f>IF(AND(AND(AND(Stamoplysninger!$B$22="Ulempetillæg afspadseres med 25%(Kræver en aftale imellem ledelsen og den ansatte)",I15="X",C15="Ikke relevant",S15="X"))),V15/4,0)</f>
        <v>0</v>
      </c>
      <c r="EK15" s="283">
        <f>IF(AND(Stamoplysninger!$B$26="Weekendtimer og weekendtillæg afspadseres.",I15="X"),K15*1.5,0)</f>
        <v>0</v>
      </c>
      <c r="EL15" s="251">
        <f>IF(AND(AND(Stamoplysninger!$B$26="Weekendtimer og weekendtillæg afspadseres.",I15="X",S15="X")),V15*1.5,0)</f>
        <v>0</v>
      </c>
      <c r="EM15" s="674">
        <f>IF(AND(AND(Stamoplysninger!$B$26="Weekendtimer og weekendtillæg afspadseres.",I15="X",C15="ikke relevant")),K15*1.5,0)</f>
        <v>0</v>
      </c>
      <c r="EN15" s="675">
        <f>IF(AND(AND(AND(Stamoplysninger!$B$26="Weekendtimer og weekendtillæg afspadseres.",I15="X",C15="ikke relevant",S15="X"))),(V15*1.5),0)</f>
        <v>0</v>
      </c>
      <c r="EO15" s="283">
        <f>IF(AND(Stamoplysninger!$B$26="Weekendtimer og weekendtillæg udbetales.",I15="X"),K15*1.5,0)</f>
        <v>0</v>
      </c>
      <c r="EP15" s="251">
        <f>IF(AND(AND(Stamoplysninger!$B$26="Weekendtimer og weekendtillæg udbetales.",I15="X",S15="X")),V15*1.5,0)</f>
        <v>0</v>
      </c>
      <c r="EQ15" s="674">
        <f>IF(AND(AND(Stamoplysninger!$B$26="Weekendtimer og weekendtillæg udbetales.",I15="X",C15="ikke relevant")),K15*1.5,0)</f>
        <v>0</v>
      </c>
      <c r="ER15" s="675">
        <f>IF(AND(AND(AND(Stamoplysninger!$B$26="Weekendtimer og weekendtillæg udbetales.",I15="X",C15="ikke relevant",S15="X"))),(V15*1.5),0)</f>
        <v>0</v>
      </c>
      <c r="ES15" s="283">
        <f>IF(AND(Stamoplysninger!$B$26="Der er indgået lokalaftale omkring weekendtimer.(Kræver aftale med TR/FSL) Weekendtillæg afspadseres.",I15="X"),K15*0.5,0)</f>
        <v>0</v>
      </c>
      <c r="ET15" s="251">
        <f>IF(AND(AND(Stamoplysninger!$B$26="Der er indgået lokalaftale omkring weekendtimer.(Kræver aftale med TR/FSL) Weekendtillæg afspadseres.",I15="X",S15="X")),V15*0.5,0)</f>
        <v>0</v>
      </c>
      <c r="EU15" s="674">
        <f>IF(AND(AND(Stamoplysninger!$B$26="Der er indgået lokalaftale omkring weekendtimer.(Kræver aftale med TR/FSL) Weekendtillæg afspadseres.",I15="X",C15="ikke relevant")),K15*0.5,0)</f>
        <v>0</v>
      </c>
      <c r="EV15" s="675">
        <f>IF(AND(AND(AND(Stamoplysninger!$B$26="Der er indgået lokalaftale omkring weekendtimer.(Kræver aftale med TR/FSL) Weekendtillæg afspadseres.",I15="X",C15="ikke relevant",S15="X"))),(V15*0.5),0)</f>
        <v>0</v>
      </c>
      <c r="EW15" s="283">
        <f>IF(AND(Stamoplysninger!$B$26="Der er indgået lokalaftale omkring weekendtimer(Kræver aftale med TR/FSL). Weekendtillæg udbetales.",I15="X"),K15*0.5,0)</f>
        <v>0</v>
      </c>
      <c r="EX15" s="251">
        <f>IF(AND(AND(Stamoplysninger!$B$26="Der er indgået lokalaftale omkring weekendtimer(Kræver aftale med TR/FSL). Weekendtillæg udbetales.",I15="X",S15="X")),V15*0.5,0)</f>
        <v>0</v>
      </c>
      <c r="EY15" s="674">
        <f>IF(AND(AND(Stamoplysninger!$B$26="Der er indgået lokalaftale omkring weekendtimer(Kræver aftale med TR/FSL). Weekendtillæg udbetales.",I15="X",C15="ikke relevant")),K15*0.5,0)</f>
        <v>0</v>
      </c>
      <c r="EZ15" s="675">
        <f>IF(AND(AND(AND(Stamoplysninger!$B$26="Der er indgået lokalaftale omkring weekendtimer(Kræver aftale med TR/FSL). Weekendtillæg udbetales.",I15="X",C15="ikke relevant",S15="X"))),(V15*0.5),0)</f>
        <v>0</v>
      </c>
      <c r="FA15" s="283">
        <f>IF(AND(Stamoplysninger!$B$26="Der er indgået lokalaftale omkring weekendtillæg(Kræver aftale med TR/FSL). Weekendtimerne afspadseres.",I15="X"),K15,0)</f>
        <v>0</v>
      </c>
      <c r="FB15" s="251">
        <f>IF(AND(AND(Stamoplysninger!$B$26="Der er indgået lokalaftale omkring weekendtillæg(Kræver aftale med TR/FSL). Weekendtimerne afspadseres.",I15="X",S15="X")),V15,0)</f>
        <v>0</v>
      </c>
      <c r="FC15" s="674">
        <f>IF(AND(AND(Stamoplysninger!$B$26="Der er indgået lokalaftale omkring weekendtillæg(Kræver aftale med TR/FSL). Weekendtimerne afspadseres..",I15="X",C15="ikke relevant")),K15,0)</f>
        <v>0</v>
      </c>
      <c r="FD15" s="675">
        <f>IF(AND(AND(AND(Stamoplysninger!$B$26="Der er indgået lokalaftale omkring weekendtillæg(Kræver aftale med TR/FSL). Weekendtimerne afspadseres.",I15="X",C15="ikke relevant",S15="X"))),(V15),0)</f>
        <v>0</v>
      </c>
      <c r="FE15" s="283">
        <f>IF(AND(Stamoplysninger!$B$26="Der er indgået lokalaftale omkring weekendtillæg(Kræver aftale med TR/FSL). Weekendtimerne udbetales.",I15="X"),K15,0)</f>
        <v>0</v>
      </c>
      <c r="FF15" s="251">
        <f>IF(AND(AND(Stamoplysninger!$B$26="Der er indgået lokalaftale omkring weekendtillæg(Kræver aftale med TR/FSL). Weekendtimerne udbetales.",I15="X",S15="X")),V15,0)</f>
        <v>0</v>
      </c>
      <c r="FG15" s="674">
        <f>IF(AND(AND(Stamoplysninger!$B$26="Der er indgået lokalaftale omkring weekendtillæg(Kræver aftale med TR/FSL). Weekendtimerne udbetales.",I15="X",C15="ikke relevant")),K15,0)</f>
        <v>0</v>
      </c>
      <c r="FH15" s="675">
        <f>IF(AND(AND(AND(Stamoplysninger!$B$26="Der er indgået lokalaftale omkring weekendtillæg(Kræver aftale med TR/FSL). Weekendtimerne udbetales.",I15="X",C15="ikke relevant",S15="X"))),(V15),0)</f>
        <v>0</v>
      </c>
      <c r="FI15" s="283">
        <f>IF(AND(Stamoplysninger!$B$26="Weekendtimer og weekendtillæg afspadseres.",I15="X"),K15,0)</f>
        <v>0</v>
      </c>
      <c r="FJ15" s="251">
        <f>IF(AND(Stamoplysninger!$B$26="Weekendtimer og weekendtillæg afspadseres.",Y15="X"),(AA15+AL15)/2,0)</f>
        <v>0</v>
      </c>
      <c r="FK15" s="674">
        <f>IF(AND(AND(Stamoplysninger!$B$26="Weekendtimer og weekendtillæg afspadseres.",I15="X",C15="ikke relevant")),K15,0)</f>
        <v>0</v>
      </c>
      <c r="FL15" s="675">
        <f>IF(AND(AND(Stamoplysninger!$B$26="Weekendtimer og weekendtillæg afspadseres.",Y15="X",S15="ikke relevant")),(AA15+AL15)/2,0)</f>
        <v>0</v>
      </c>
      <c r="FM15" s="283">
        <f>IF(AND(Stamoplysninger!$B$26="Der er indgået lokalaftale omkring weekendtillæg(Kræver aftale med TR/FSL). Weekendtimerne afspadseres.",I15="X"),K15,0)</f>
        <v>0</v>
      </c>
      <c r="FN15" s="674">
        <f>IF(AND(AND(Stamoplysninger!$B$26="Der er indgået lokalaftale omkring weekendtillæg(Kræver aftale med TR/FSL). Weekendtimerne afspadseres.",I15="X",C15="ikke relevant")),K15,0)</f>
        <v>0</v>
      </c>
      <c r="FO15" s="283">
        <f>IF(AND(Stamoplysninger!$B$26="Weekendtimer og weekendtillæg udbetales.",I15="X"),K15,0)</f>
        <v>0</v>
      </c>
      <c r="FP15" s="251">
        <f>IF(AND(Stamoplysninger!$B$26="Weekendtimer og weekendtillæg udbetales.",AA15="X"),(AC15+AN15)/2,0)</f>
        <v>0</v>
      </c>
      <c r="FQ15" s="674">
        <f>IF(AND(AND(Stamoplysninger!$B$26="Weekendtimer og weekendtillæg udbetales.",I15="X",C15="ikke relevant")),K15,0)</f>
        <v>0</v>
      </c>
      <c r="FR15" s="688">
        <f>IF(AND(AND(Stamoplysninger!$B$26="Weekendtimer og weekendtillæg udbetales.",AA15="X",U15="ikke relevant")),(AC15+AN15)/2,0)</f>
        <v>0</v>
      </c>
      <c r="FS15" s="283">
        <f t="shared" si="15"/>
        <v>0</v>
      </c>
      <c r="FT15" s="658">
        <f t="shared" si="16"/>
        <v>0</v>
      </c>
      <c r="FU15">
        <f t="shared" si="17"/>
        <v>0</v>
      </c>
      <c r="FV15" s="283">
        <f>IF(AND(Stamoplysninger!$B$26="Der er indgået lokalaftale omkring weekendtimer.(Kræver aftale med TR/FSL) Weekendtillæg afspadseres.",I15="X"),K15,0)</f>
        <v>0</v>
      </c>
      <c r="FW15" s="674">
        <f>IF(AND(AND(Stamoplysninger!$B$26="Der er indgået lokalaftale omkring weekendtimer.(Kræver aftale med TR/FSL) Weekendtillæg afspadseres.",I15="X",C15="ikke relevant")),K15,0)</f>
        <v>0</v>
      </c>
      <c r="FX15" s="283">
        <f>IF(AND(Stamoplysninger!$B$26="Der er indgået lokalaftale omkring weekendtimer(Kræver aftale med TR/FSL). Weekendtillæg udbetales.",I15="X"),K15,0)</f>
        <v>0</v>
      </c>
      <c r="FY15" s="674">
        <f>IF(AND(AND(Stamoplysninger!$B$26="Der er indgået lokalaftale omkring weekendtimer(Kræver aftale med TR/FSL). Weekendtillæg udbetales.",I15="X",C15="ikke relevant")),K15,0)</f>
        <v>0</v>
      </c>
      <c r="FZ15" s="283">
        <f>IF(AND(Stamoplysninger!$B$26="Der er indgået lokalaftale omkring weekendtillæg(Kræver aftale med TR/FSL). Weekendtimerne udbetales.",I15="X"),K15,0)</f>
        <v>0</v>
      </c>
      <c r="GA15" s="674">
        <f>IF(AND(AND(Stamoplysninger!$B$26="Der er indgået lokalaftale omkring weekendtillæg(Kræver aftale med TR/FSL). Weekendtimerne udbetales.",I15="X",C15="ikke relevant")),K15,0)</f>
        <v>0</v>
      </c>
      <c r="GB15" s="283">
        <f>IF(AND(Stamoplysninger!$B$26="Der er indgået lokalaftale omkring weekendtimer og weekendtillæg.(Kræver aftale med TR/FSL).",I15="X"),K15,0)</f>
        <v>0</v>
      </c>
      <c r="GC15" s="674">
        <f>IF(AND(AND(Stamoplysninger!$B$26="Der er indgået lokalaftale omkring weekendtimer og weekendtillæg.(Kræver aftale med TR/FSL).",I15="X",C15="ikke relevant")),K15,0)</f>
        <v>0</v>
      </c>
    </row>
    <row r="16" spans="1:185">
      <c r="A16" s="245">
        <f t="shared" si="18"/>
        <v>8</v>
      </c>
      <c r="B16" s="128" t="str">
        <f t="shared" si="0"/>
        <v>sø</v>
      </c>
      <c r="C16" s="129" t="s">
        <v>120</v>
      </c>
      <c r="D16" s="130" t="str">
        <f t="shared" si="1"/>
        <v/>
      </c>
      <c r="E16" s="917"/>
      <c r="F16" s="918"/>
      <c r="G16" s="919"/>
      <c r="H16" s="298"/>
      <c r="I16" s="413"/>
      <c r="J16" s="413"/>
      <c r="K16" s="380"/>
      <c r="L16" s="380"/>
      <c r="M16" s="380"/>
      <c r="N16" s="318">
        <f t="shared" si="19"/>
        <v>0</v>
      </c>
      <c r="O16" s="318">
        <f t="shared" si="20"/>
        <v>0</v>
      </c>
      <c r="P16" s="318">
        <f>IF(Stamoplysninger!$H$29="JA",December!DG16,CX16)</f>
        <v>0</v>
      </c>
      <c r="Q16" s="318">
        <f t="shared" si="21"/>
        <v>0</v>
      </c>
      <c r="R16" s="319"/>
      <c r="S16" s="324"/>
      <c r="T16" s="325"/>
      <c r="U16" s="325"/>
      <c r="V16" s="435"/>
      <c r="W16" s="412"/>
      <c r="X16" s="642"/>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9">
        <f t="shared" si="8"/>
        <v>0</v>
      </c>
      <c r="BC16" s="1">
        <f t="shared" si="24"/>
        <v>0</v>
      </c>
      <c r="BD16" s="1">
        <f t="shared" si="9"/>
        <v>0</v>
      </c>
      <c r="BE16" s="1">
        <f t="shared" si="10"/>
        <v>0</v>
      </c>
      <c r="BF16" s="1">
        <f t="shared" si="11"/>
        <v>0</v>
      </c>
      <c r="BG16" s="210" t="str">
        <f>IF(AND(C16="Skema 1",B16="ma"),Skemaoplysninger!$E$30,"")</f>
        <v/>
      </c>
      <c r="BH16" s="210" t="str">
        <f>IF(AND(C16="Skema 1",B16="ti"),Skemaoplysninger!$G$30,"")</f>
        <v/>
      </c>
      <c r="BI16" s="210" t="str">
        <f>IF(AND(C16="Skema 1",B16="on"),Skemaoplysninger!$I$30,"")</f>
        <v/>
      </c>
      <c r="BJ16" s="210" t="str">
        <f>IF(AND(C16="Skema 1",B16="to"),Skemaoplysninger!$K$30,"")</f>
        <v/>
      </c>
      <c r="BK16" s="210" t="str">
        <f>IF(AND(C16="Skema 1",B16="fr"),Skemaoplysninger!$M$30,"")</f>
        <v/>
      </c>
      <c r="BL16" s="210" t="str">
        <f>IF(AND(C16="Skema 2",B16="ma"),Skemaoplysninger!$S$30,"")</f>
        <v/>
      </c>
      <c r="BM16" s="210" t="str">
        <f>IF(AND(C16="Skema 2",B16="ti"),Skemaoplysninger!$U$30,"")</f>
        <v/>
      </c>
      <c r="BN16" s="210" t="str">
        <f>IF(AND(C16="Skema 2",B16="on"),Skemaoplysninger!$W$30,"")</f>
        <v/>
      </c>
      <c r="BO16" s="210" t="str">
        <f>IF(AND(C16="Skema 2",B16="to"),Skemaoplysninger!$Y$30,"")</f>
        <v/>
      </c>
      <c r="BP16" s="210" t="str">
        <f>IF(AND(C16="Skema 2",B16="fr"),Skemaoplysninger!$AA$30,"")</f>
        <v/>
      </c>
      <c r="BQ16" s="210" t="str">
        <f>IF(AND(C16="Skema 3",B16="ma"),Skemaoplysninger!$AG$30,"")</f>
        <v/>
      </c>
      <c r="BR16" s="210" t="str">
        <f>IF(AND(C16="Skema 3",B16="ti"),Skemaoplysninger!$AI$30,"")</f>
        <v/>
      </c>
      <c r="BS16" s="210" t="str">
        <f>IF(AND(C16="Skema 3",B16="on"),Skemaoplysninger!$AK$30,"")</f>
        <v/>
      </c>
      <c r="BT16" s="210" t="str">
        <f>IF(AND(C16="Skema 3",B16="to"),Skemaoplysninger!$AM$30,"")</f>
        <v/>
      </c>
      <c r="BU16" s="210" t="str">
        <f>IF(AND(C16="Skema 3",B16="fr"),Skemaoplysninger!$AO$30,"")</f>
        <v/>
      </c>
      <c r="BV16" s="210" t="str">
        <f>IF(AND(C16="Skema 4",B16="ma"),Skemaoplysninger!$AU$30,"")</f>
        <v/>
      </c>
      <c r="BW16" s="210" t="str">
        <f>IF(AND(C16="Skema 4",B16="ti"),Skemaoplysninger!$AW$30,"")</f>
        <v/>
      </c>
      <c r="BX16" s="210" t="str">
        <f>IF(AND(C16="Skema 4",B16="on"),Skemaoplysninger!$AY$30,"")</f>
        <v/>
      </c>
      <c r="BY16" s="210" t="str">
        <f>IF(AND(C16="Skema 4",B16="to"),Skemaoplysninger!$BA$30,"")</f>
        <v/>
      </c>
      <c r="BZ16" s="210" t="str">
        <f>IF(AND(C16="Skema 4",B16="fr"),Skemaoplysninger!$BC$30,"")</f>
        <v/>
      </c>
      <c r="CA16" s="1">
        <f t="shared" si="25"/>
        <v>0</v>
      </c>
      <c r="CB16" s="1">
        <f t="shared" si="12"/>
        <v>0</v>
      </c>
      <c r="CC16" s="1">
        <f t="shared" si="13"/>
        <v>0</v>
      </c>
      <c r="CD16" s="210" t="str">
        <f>IF(AND(C16="Skema 1",B16="ma"),Skemaoplysninger!$E$31,"")</f>
        <v/>
      </c>
      <c r="CE16" s="210" t="str">
        <f>IF(AND(C16="Skema 1",B16="ti"),Skemaoplysninger!$G$31,"")</f>
        <v/>
      </c>
      <c r="CF16" s="210" t="str">
        <f>IF(AND(C16="Skema 1",B16="on"),Skemaoplysninger!$I$31,"")</f>
        <v/>
      </c>
      <c r="CG16" s="210" t="str">
        <f>IF(AND(C16="Skema 1",B16="to"),Skemaoplysninger!$K$31,"")</f>
        <v/>
      </c>
      <c r="CH16" s="210" t="str">
        <f>IF(AND(C16="Skema 1",B16="fr"),Skemaoplysninger!$M$31,"")</f>
        <v/>
      </c>
      <c r="CI16" s="210" t="str">
        <f>IF(AND(C16="Skema 2",B16="ma"),Skemaoplysninger!$S$31,"")</f>
        <v/>
      </c>
      <c r="CJ16" s="210" t="str">
        <f>IF(AND(C16="Skema 2",B16="ti"),Skemaoplysninger!$U$31,"")</f>
        <v/>
      </c>
      <c r="CK16" s="210" t="str">
        <f>IF(AND(C16="Skema 2",B16="on"),Skemaoplysninger!$W$31,"")</f>
        <v/>
      </c>
      <c r="CL16" s="210" t="str">
        <f>IF(AND(C16="Skema 2",B16="to"),Skemaoplysninger!$Y$31,"")</f>
        <v/>
      </c>
      <c r="CM16" s="210" t="str">
        <f>IF(AND(C16="Skema 2",B16="fr"),Skemaoplysninger!$AA$31,"")</f>
        <v/>
      </c>
      <c r="CN16" s="210" t="str">
        <f>IF(AND(C16="Skema 3",B16="ma"),Skemaoplysninger!$AG$31,"")</f>
        <v/>
      </c>
      <c r="CO16" s="210" t="str">
        <f>IF(AND(C16="Skema 3",B16="ti"),Skemaoplysninger!$AI$31,"")</f>
        <v/>
      </c>
      <c r="CP16" s="210" t="str">
        <f>IF(AND(C16="Skema 3",B16="on"),Skemaoplysninger!$AK$31,"")</f>
        <v/>
      </c>
      <c r="CQ16" s="210" t="str">
        <f>IF(AND(C16="Skema 3",B16="to"),Skemaoplysninger!$AM$31,"")</f>
        <v/>
      </c>
      <c r="CR16" s="210" t="str">
        <f>IF(AND(C16="Skema 3",B16="fr"),Skemaoplysninger!$AO$31,"")</f>
        <v/>
      </c>
      <c r="CS16" s="210" t="str">
        <f>IF(AND(C16="Skema 4",B16="ma"),Skemaoplysninger!$AU$31,"")</f>
        <v/>
      </c>
      <c r="CT16" s="210" t="str">
        <f>IF(AND(C16="Skema 4",B16="ti"),Skemaoplysninger!$AW$31,"")</f>
        <v/>
      </c>
      <c r="CU16" s="210" t="str">
        <f>IF(AND(C16="Skema 4",B16="on"),Skemaoplysninger!$AY$31,"")</f>
        <v/>
      </c>
      <c r="CV16" s="210" t="str">
        <f>IF(AND(C16="Skema 4",B16="to"),Skemaoplysninger!$BA$31,"")</f>
        <v/>
      </c>
      <c r="CW16" s="210" t="str">
        <f>IF(AND(C16="Skema 4",B16="fr"),Skemaoplysninger!$BC$31,"")</f>
        <v/>
      </c>
      <c r="CX16" s="249">
        <f>IF(Stamoplysninger!$H$29="NEJ",SUM(CD16:CW16)*24+CB16+CC16,0)</f>
        <v>0</v>
      </c>
      <c r="CY16" s="249">
        <f>IF(C16="Skema 1",Stamoplysninger!$H$30/200,0)</f>
        <v>0</v>
      </c>
      <c r="CZ16" s="249">
        <f>IF(C16="Skema 2",Stamoplysninger!$H$30/200,0)</f>
        <v>0</v>
      </c>
      <c r="DA16" s="249">
        <f>IF(C16="Skema 3",Stamoplysninger!$H$30/200,0)</f>
        <v>0</v>
      </c>
      <c r="DB16" s="249">
        <f>IF(C16="Skema 4",Stamoplysninger!$H$30/200,0)</f>
        <v>0</v>
      </c>
      <c r="DC16" s="249">
        <f>IF(C16="fagdag",Stamoplysninger!$H$30/200,0)</f>
        <v>0</v>
      </c>
      <c r="DD16" s="249">
        <f>IF(C16="emnedag",Stamoplysninger!$H$30/200,0)</f>
        <v>0</v>
      </c>
      <c r="DE16" s="249">
        <f>IF(C16="lejrskole",Stamoplysninger!$H$30/200,0)</f>
        <v>0</v>
      </c>
      <c r="DF16" s="249">
        <f>IF(C16="ekskursion",Stamoplysninger!$H$30/200,0)</f>
        <v>0</v>
      </c>
      <c r="DG16" s="249">
        <f t="shared" si="26"/>
        <v>0</v>
      </c>
      <c r="DH16" t="str">
        <f t="shared" si="27"/>
        <v/>
      </c>
      <c r="DI16">
        <f t="shared" si="28"/>
        <v>0</v>
      </c>
      <c r="DJ16">
        <f t="shared" si="29"/>
        <v>0</v>
      </c>
      <c r="DK16" t="str">
        <f t="shared" si="14"/>
        <v/>
      </c>
      <c r="DL16" t="str">
        <f t="shared" si="14"/>
        <v/>
      </c>
      <c r="DM16" t="str">
        <f t="shared" si="14"/>
        <v/>
      </c>
      <c r="DN16" t="str">
        <f t="shared" si="30"/>
        <v/>
      </c>
      <c r="DO16" s="652">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71">
        <f>IF(AND(Stamoplysninger!$B$22="Ulempetillæg udbetales med 25% af nettotimelønnen.",C16="ikke relevant"),(R16)/4,0)</f>
        <v>0</v>
      </c>
      <c r="DT16" s="671">
        <f>IF(AND(AND(Stamoplysninger!$B$22="Ulempetillæg udbetales med 25% af nettotimelønnen.",I16="X",C16="Ikke relevant")),K16/4,0)</f>
        <v>0</v>
      </c>
      <c r="DU16" s="671">
        <f>IF(AND(AND(Stamoplysninger!$B$22="Ulempetillæg udbetales med 25% af nettotimelønnen.",C16="ikke relevant",U16="X")),(X16/4),0)</f>
        <v>0</v>
      </c>
      <c r="DV16" s="672">
        <f>IF(AND(AND(AND(Stamoplysninger!$B$22="Ulempetillæg udbetales med 25% af nettotimelønnen.",I16="X",C16="Ikke relevant",S16="X"))),V16/4,0)</f>
        <v>0</v>
      </c>
      <c r="DW16" s="652"/>
      <c r="DZ16" s="671"/>
      <c r="EA16" s="671"/>
      <c r="EB16" s="672"/>
      <c r="EC16" s="652">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71">
        <f>IF(AND(Stamoplysninger!$B$22="Ulempetillæg afspadseres med 25%(Kræver en aftale imellem ledelsen og den ansatte)",C16="ikke relevant"),(R16)/4,0)</f>
        <v>0</v>
      </c>
      <c r="EH16" s="671">
        <f>IF(AND(AND(Stamoplysninger!$B$22="Ulempetillæg afspadseres med 25%(Kræver en aftale imellem ledelsen og den ansatte)",I16="X",C16="Ikke relevant")),K16/4,0)</f>
        <v>0</v>
      </c>
      <c r="EI16" s="671">
        <f>IF(AND(AND(Stamoplysninger!$B$22="Ulempetillæg afspadseres med 25%(Kræver en aftale imellem ledelsen og den ansatte)",U16="X",C16="Ikke relevant")),X16/4,0)</f>
        <v>0</v>
      </c>
      <c r="EJ16" s="671">
        <f>IF(AND(AND(AND(Stamoplysninger!$B$22="Ulempetillæg afspadseres med 25%(Kræver en aftale imellem ledelsen og den ansatte)",I16="X",C16="Ikke relevant",S16="X"))),V16/4,0)</f>
        <v>0</v>
      </c>
      <c r="EK16" s="283">
        <f>IF(AND(Stamoplysninger!$B$26="Weekendtimer og weekendtillæg afspadseres.",I16="X"),K16*1.5,0)</f>
        <v>0</v>
      </c>
      <c r="EL16" s="251">
        <f>IF(AND(AND(Stamoplysninger!$B$26="Weekendtimer og weekendtillæg afspadseres.",I16="X",S16="X")),V16*1.5,0)</f>
        <v>0</v>
      </c>
      <c r="EM16" s="674">
        <f>IF(AND(AND(Stamoplysninger!$B$26="Weekendtimer og weekendtillæg afspadseres.",I16="X",C16="ikke relevant")),K16*1.5,0)</f>
        <v>0</v>
      </c>
      <c r="EN16" s="675">
        <f>IF(AND(AND(AND(Stamoplysninger!$B$26="Weekendtimer og weekendtillæg afspadseres.",I16="X",C16="ikke relevant",S16="X"))),(V16*1.5),0)</f>
        <v>0</v>
      </c>
      <c r="EO16" s="283">
        <f>IF(AND(Stamoplysninger!$B$26="Weekendtimer og weekendtillæg udbetales.",I16="X"),K16*1.5,0)</f>
        <v>0</v>
      </c>
      <c r="EP16" s="251">
        <f>IF(AND(AND(Stamoplysninger!$B$26="Weekendtimer og weekendtillæg udbetales.",I16="X",S16="X")),V16*1.5,0)</f>
        <v>0</v>
      </c>
      <c r="EQ16" s="674">
        <f>IF(AND(AND(Stamoplysninger!$B$26="Weekendtimer og weekendtillæg udbetales.",I16="X",C16="ikke relevant")),K16*1.5,0)</f>
        <v>0</v>
      </c>
      <c r="ER16" s="675">
        <f>IF(AND(AND(AND(Stamoplysninger!$B$26="Weekendtimer og weekendtillæg udbetales.",I16="X",C16="ikke relevant",S16="X"))),(V16*1.5),0)</f>
        <v>0</v>
      </c>
      <c r="ES16" s="283">
        <f>IF(AND(Stamoplysninger!$B$26="Der er indgået lokalaftale omkring weekendtimer.(Kræver aftale med TR/FSL) Weekendtillæg afspadseres.",I16="X"),K16*0.5,0)</f>
        <v>0</v>
      </c>
      <c r="ET16" s="251">
        <f>IF(AND(AND(Stamoplysninger!$B$26="Der er indgået lokalaftale omkring weekendtimer.(Kræver aftale med TR/FSL) Weekendtillæg afspadseres.",I16="X",S16="X")),V16*0.5,0)</f>
        <v>0</v>
      </c>
      <c r="EU16" s="674">
        <f>IF(AND(AND(Stamoplysninger!$B$26="Der er indgået lokalaftale omkring weekendtimer.(Kræver aftale med TR/FSL) Weekendtillæg afspadseres.",I16="X",C16="ikke relevant")),K16*0.5,0)</f>
        <v>0</v>
      </c>
      <c r="EV16" s="675">
        <f>IF(AND(AND(AND(Stamoplysninger!$B$26="Der er indgået lokalaftale omkring weekendtimer.(Kræver aftale med TR/FSL) Weekendtillæg afspadseres.",I16="X",C16="ikke relevant",S16="X"))),(V16*0.5),0)</f>
        <v>0</v>
      </c>
      <c r="EW16" s="283">
        <f>IF(AND(Stamoplysninger!$B$26="Der er indgået lokalaftale omkring weekendtimer(Kræver aftale med TR/FSL). Weekendtillæg udbetales.",I16="X"),K16*0.5,0)</f>
        <v>0</v>
      </c>
      <c r="EX16" s="251">
        <f>IF(AND(AND(Stamoplysninger!$B$26="Der er indgået lokalaftale omkring weekendtimer(Kræver aftale med TR/FSL). Weekendtillæg udbetales.",I16="X",S16="X")),V16*0.5,0)</f>
        <v>0</v>
      </c>
      <c r="EY16" s="674">
        <f>IF(AND(AND(Stamoplysninger!$B$26="Der er indgået lokalaftale omkring weekendtimer(Kræver aftale med TR/FSL). Weekendtillæg udbetales.",I16="X",C16="ikke relevant")),K16*0.5,0)</f>
        <v>0</v>
      </c>
      <c r="EZ16" s="675">
        <f>IF(AND(AND(AND(Stamoplysninger!$B$26="Der er indgået lokalaftale omkring weekendtimer(Kræver aftale med TR/FSL). Weekendtillæg udbetales.",I16="X",C16="ikke relevant",S16="X"))),(V16*0.5),0)</f>
        <v>0</v>
      </c>
      <c r="FA16" s="283">
        <f>IF(AND(Stamoplysninger!$B$26="Der er indgået lokalaftale omkring weekendtillæg(Kræver aftale med TR/FSL). Weekendtimerne afspadseres.",I16="X"),K16,0)</f>
        <v>0</v>
      </c>
      <c r="FB16" s="251">
        <f>IF(AND(AND(Stamoplysninger!$B$26="Der er indgået lokalaftale omkring weekendtillæg(Kræver aftale med TR/FSL). Weekendtimerne afspadseres.",I16="X",S16="X")),V16,0)</f>
        <v>0</v>
      </c>
      <c r="FC16" s="674">
        <f>IF(AND(AND(Stamoplysninger!$B$26="Der er indgået lokalaftale omkring weekendtillæg(Kræver aftale med TR/FSL). Weekendtimerne afspadseres..",I16="X",C16="ikke relevant")),K16,0)</f>
        <v>0</v>
      </c>
      <c r="FD16" s="675">
        <f>IF(AND(AND(AND(Stamoplysninger!$B$26="Der er indgået lokalaftale omkring weekendtillæg(Kræver aftale med TR/FSL). Weekendtimerne afspadseres.",I16="X",C16="ikke relevant",S16="X"))),(V16),0)</f>
        <v>0</v>
      </c>
      <c r="FE16" s="283">
        <f>IF(AND(Stamoplysninger!$B$26="Der er indgået lokalaftale omkring weekendtillæg(Kræver aftale med TR/FSL). Weekendtimerne udbetales.",I16="X"),K16,0)</f>
        <v>0</v>
      </c>
      <c r="FF16" s="251">
        <f>IF(AND(AND(Stamoplysninger!$B$26="Der er indgået lokalaftale omkring weekendtillæg(Kræver aftale med TR/FSL). Weekendtimerne udbetales.",I16="X",S16="X")),V16,0)</f>
        <v>0</v>
      </c>
      <c r="FG16" s="674">
        <f>IF(AND(AND(Stamoplysninger!$B$26="Der er indgået lokalaftale omkring weekendtillæg(Kræver aftale med TR/FSL). Weekendtimerne udbetales.",I16="X",C16="ikke relevant")),K16,0)</f>
        <v>0</v>
      </c>
      <c r="FH16" s="675">
        <f>IF(AND(AND(AND(Stamoplysninger!$B$26="Der er indgået lokalaftale omkring weekendtillæg(Kræver aftale med TR/FSL). Weekendtimerne udbetales.",I16="X",C16="ikke relevant",S16="X"))),(V16),0)</f>
        <v>0</v>
      </c>
      <c r="FI16" s="283">
        <f>IF(AND(Stamoplysninger!$B$26="Weekendtimer og weekendtillæg afspadseres.",I16="X"),K16,0)</f>
        <v>0</v>
      </c>
      <c r="FJ16" s="251">
        <f>IF(AND(Stamoplysninger!$B$26="Weekendtimer og weekendtillæg afspadseres.",Y16="X"),(AA16+AL16)/2,0)</f>
        <v>0</v>
      </c>
      <c r="FK16" s="674">
        <f>IF(AND(AND(Stamoplysninger!$B$26="Weekendtimer og weekendtillæg afspadseres.",I16="X",C16="ikke relevant")),K16,0)</f>
        <v>0</v>
      </c>
      <c r="FL16" s="675">
        <f>IF(AND(AND(Stamoplysninger!$B$26="Weekendtimer og weekendtillæg afspadseres.",Y16="X",S16="ikke relevant")),(AA16+AL16)/2,0)</f>
        <v>0</v>
      </c>
      <c r="FM16" s="283">
        <f>IF(AND(Stamoplysninger!$B$26="Der er indgået lokalaftale omkring weekendtillæg(Kræver aftale med TR/FSL). Weekendtimerne afspadseres.",I16="X"),K16,0)</f>
        <v>0</v>
      </c>
      <c r="FN16" s="674">
        <f>IF(AND(AND(Stamoplysninger!$B$26="Der er indgået lokalaftale omkring weekendtillæg(Kræver aftale med TR/FSL). Weekendtimerne afspadseres.",I16="X",C16="ikke relevant")),K16,0)</f>
        <v>0</v>
      </c>
      <c r="FO16" s="283">
        <f>IF(AND(Stamoplysninger!$B$26="Weekendtimer og weekendtillæg udbetales.",I16="X"),K16,0)</f>
        <v>0</v>
      </c>
      <c r="FP16" s="251">
        <f>IF(AND(Stamoplysninger!$B$26="Weekendtimer og weekendtillæg udbetales.",AA16="X"),(AC16+AN16)/2,0)</f>
        <v>0</v>
      </c>
      <c r="FQ16" s="674">
        <f>IF(AND(AND(Stamoplysninger!$B$26="Weekendtimer og weekendtillæg udbetales.",I16="X",C16="ikke relevant")),K16,0)</f>
        <v>0</v>
      </c>
      <c r="FR16" s="688">
        <f>IF(AND(AND(Stamoplysninger!$B$26="Weekendtimer og weekendtillæg udbetales.",AA16="X",U16="ikke relevant")),(AC16+AN16)/2,0)</f>
        <v>0</v>
      </c>
      <c r="FS16" s="283">
        <f t="shared" si="15"/>
        <v>0</v>
      </c>
      <c r="FT16" s="658">
        <f t="shared" si="16"/>
        <v>0</v>
      </c>
      <c r="FU16">
        <f t="shared" si="17"/>
        <v>0</v>
      </c>
      <c r="FV16" s="283">
        <f>IF(AND(Stamoplysninger!$B$26="Der er indgået lokalaftale omkring weekendtimer.(Kræver aftale med TR/FSL) Weekendtillæg afspadseres.",I16="X"),K16,0)</f>
        <v>0</v>
      </c>
      <c r="FW16" s="674">
        <f>IF(AND(AND(Stamoplysninger!$B$26="Der er indgået lokalaftale omkring weekendtimer.(Kræver aftale med TR/FSL) Weekendtillæg afspadseres.",I16="X",C16="ikke relevant")),K16,0)</f>
        <v>0</v>
      </c>
      <c r="FX16" s="283">
        <f>IF(AND(Stamoplysninger!$B$26="Der er indgået lokalaftale omkring weekendtimer(Kræver aftale med TR/FSL). Weekendtillæg udbetales.",I16="X"),K16,0)</f>
        <v>0</v>
      </c>
      <c r="FY16" s="674">
        <f>IF(AND(AND(Stamoplysninger!$B$26="Der er indgået lokalaftale omkring weekendtimer(Kræver aftale med TR/FSL). Weekendtillæg udbetales.",I16="X",C16="ikke relevant")),K16,0)</f>
        <v>0</v>
      </c>
      <c r="FZ16" s="283">
        <f>IF(AND(Stamoplysninger!$B$26="Der er indgået lokalaftale omkring weekendtillæg(Kræver aftale med TR/FSL). Weekendtimerne udbetales.",I16="X"),K16,0)</f>
        <v>0</v>
      </c>
      <c r="GA16" s="674">
        <f>IF(AND(AND(Stamoplysninger!$B$26="Der er indgået lokalaftale omkring weekendtillæg(Kræver aftale med TR/FSL). Weekendtimerne udbetales.",I16="X",C16="ikke relevant")),K16,0)</f>
        <v>0</v>
      </c>
      <c r="GB16" s="283">
        <f>IF(AND(Stamoplysninger!$B$26="Der er indgået lokalaftale omkring weekendtimer og weekendtillæg.(Kræver aftale med TR/FSL).",I16="X"),K16,0)</f>
        <v>0</v>
      </c>
      <c r="GC16" s="674">
        <f>IF(AND(AND(Stamoplysninger!$B$26="Der er indgået lokalaftale omkring weekendtimer og weekendtillæg.(Kræver aftale med TR/FSL).",I16="X",C16="ikke relevant")),K16,0)</f>
        <v>0</v>
      </c>
    </row>
    <row r="17" spans="1:185">
      <c r="A17" s="245">
        <f t="shared" si="18"/>
        <v>9</v>
      </c>
      <c r="B17" s="128" t="str">
        <f t="shared" si="0"/>
        <v>ma</v>
      </c>
      <c r="C17" s="129" t="s">
        <v>206</v>
      </c>
      <c r="D17" s="130">
        <f t="shared" si="1"/>
        <v>50</v>
      </c>
      <c r="E17" s="917"/>
      <c r="F17" s="918"/>
      <c r="G17" s="919"/>
      <c r="H17" s="298"/>
      <c r="I17" s="527"/>
      <c r="J17" s="413"/>
      <c r="K17" s="380"/>
      <c r="L17" s="380"/>
      <c r="M17" s="380"/>
      <c r="N17" s="318">
        <f t="shared" si="19"/>
        <v>7.75</v>
      </c>
      <c r="O17" s="318">
        <f t="shared" si="20"/>
        <v>3.916666666666667</v>
      </c>
      <c r="P17" s="318">
        <f>IF(Stamoplysninger!$H$29="JA",December!DG17,CX17)</f>
        <v>0.83333333333333337</v>
      </c>
      <c r="Q17" s="318">
        <f t="shared" si="21"/>
        <v>2.9999999999999996</v>
      </c>
      <c r="R17" s="319"/>
      <c r="S17" s="324"/>
      <c r="T17" s="325"/>
      <c r="U17" s="325"/>
      <c r="V17" s="435"/>
      <c r="W17" s="412"/>
      <c r="X17" s="642"/>
      <c r="Y17">
        <f t="shared" si="22"/>
        <v>0</v>
      </c>
      <c r="Z17">
        <f t="shared" si="2"/>
        <v>0</v>
      </c>
      <c r="AA17" s="1">
        <f t="shared" si="3"/>
        <v>0</v>
      </c>
      <c r="AB17" s="1">
        <f t="shared" si="4"/>
        <v>0</v>
      </c>
      <c r="AC17" s="1">
        <f t="shared" si="5"/>
        <v>0</v>
      </c>
      <c r="AD17" s="1">
        <f t="shared" si="6"/>
        <v>0</v>
      </c>
      <c r="AE17" s="1">
        <f t="shared" si="7"/>
        <v>0</v>
      </c>
      <c r="AF17" s="1">
        <f>IF(C17="Orlov",7.4*Stamoplysninger!$E$15,0)</f>
        <v>0</v>
      </c>
      <c r="AG17">
        <f>IF(AND(C17="Skema 1",B17="ma"),Arbejdstidsoversigt!$E$72,"")</f>
        <v>7.75</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7.75</v>
      </c>
      <c r="BB17" s="229">
        <f t="shared" si="8"/>
        <v>186</v>
      </c>
      <c r="BC17" s="1">
        <f t="shared" si="24"/>
        <v>0</v>
      </c>
      <c r="BD17" s="1">
        <f t="shared" si="9"/>
        <v>0</v>
      </c>
      <c r="BE17" s="1">
        <f t="shared" si="10"/>
        <v>0</v>
      </c>
      <c r="BF17" s="1">
        <f t="shared" si="11"/>
        <v>0</v>
      </c>
      <c r="BG17" s="210">
        <f>IF(AND(C17="Skema 1",B17="ma"),Skemaoplysninger!$E$30,"")</f>
        <v>0.16319444444444445</v>
      </c>
      <c r="BH17" s="210" t="str">
        <f>IF(AND(C17="Skema 1",B17="ti"),Skemaoplysninger!$G$30,"")</f>
        <v/>
      </c>
      <c r="BI17" s="210" t="str">
        <f>IF(AND(C17="Skema 1",B17="on"),Skemaoplysninger!$I$30,"")</f>
        <v/>
      </c>
      <c r="BJ17" s="210" t="str">
        <f>IF(AND(C17="Skema 1",B17="to"),Skemaoplysninger!$K$30,"")</f>
        <v/>
      </c>
      <c r="BK17" s="210" t="str">
        <f>IF(AND(C17="Skema 1",B17="fr"),Skemaoplysninger!$M$30,"")</f>
        <v/>
      </c>
      <c r="BL17" s="210" t="str">
        <f>IF(AND(C17="Skema 2",B17="ma"),Skemaoplysninger!$S$30,"")</f>
        <v/>
      </c>
      <c r="BM17" s="210" t="str">
        <f>IF(AND(C17="Skema 2",B17="ti"),Skemaoplysninger!$U$30,"")</f>
        <v/>
      </c>
      <c r="BN17" s="210" t="str">
        <f>IF(AND(C17="Skema 2",B17="on"),Skemaoplysninger!$W$30,"")</f>
        <v/>
      </c>
      <c r="BO17" s="210" t="str">
        <f>IF(AND(C17="Skema 2",B17="to"),Skemaoplysninger!$Y$30,"")</f>
        <v/>
      </c>
      <c r="BP17" s="210" t="str">
        <f>IF(AND(C17="Skema 2",B17="fr"),Skemaoplysninger!$AA$30,"")</f>
        <v/>
      </c>
      <c r="BQ17" s="210" t="str">
        <f>IF(AND(C17="Skema 3",B17="ma"),Skemaoplysninger!$AG$30,"")</f>
        <v/>
      </c>
      <c r="BR17" s="210" t="str">
        <f>IF(AND(C17="Skema 3",B17="ti"),Skemaoplysninger!$AI$30,"")</f>
        <v/>
      </c>
      <c r="BS17" s="210" t="str">
        <f>IF(AND(C17="Skema 3",B17="on"),Skemaoplysninger!$AK$30,"")</f>
        <v/>
      </c>
      <c r="BT17" s="210" t="str">
        <f>IF(AND(C17="Skema 3",B17="to"),Skemaoplysninger!$AM$30,"")</f>
        <v/>
      </c>
      <c r="BU17" s="210" t="str">
        <f>IF(AND(C17="Skema 3",B17="fr"),Skemaoplysninger!$AO$30,"")</f>
        <v/>
      </c>
      <c r="BV17" s="210" t="str">
        <f>IF(AND(C17="Skema 4",B17="ma"),Skemaoplysninger!$AU$30,"")</f>
        <v/>
      </c>
      <c r="BW17" s="210" t="str">
        <f>IF(AND(C17="Skema 4",B17="ti"),Skemaoplysninger!$AW$30,"")</f>
        <v/>
      </c>
      <c r="BX17" s="210" t="str">
        <f>IF(AND(C17="Skema 4",B17="on"),Skemaoplysninger!$AY$30,"")</f>
        <v/>
      </c>
      <c r="BY17" s="210" t="str">
        <f>IF(AND(C17="Skema 4",B17="to"),Skemaoplysninger!$BA$30,"")</f>
        <v/>
      </c>
      <c r="BZ17" s="210" t="str">
        <f>IF(AND(C17="Skema 4",B17="fr"),Skemaoplysninger!$BC$30,"")</f>
        <v/>
      </c>
      <c r="CA17" s="1">
        <f t="shared" si="25"/>
        <v>3.916666666666667</v>
      </c>
      <c r="CB17" s="1">
        <f t="shared" si="12"/>
        <v>0</v>
      </c>
      <c r="CC17" s="1">
        <f t="shared" si="13"/>
        <v>0</v>
      </c>
      <c r="CD17" s="210">
        <f>IF(AND(C17="Skema 1",B17="ma"),Skemaoplysninger!$E$31,"")</f>
        <v>3.4722222222222224E-2</v>
      </c>
      <c r="CE17" s="210" t="str">
        <f>IF(AND(C17="Skema 1",B17="ti"),Skemaoplysninger!$G$31,"")</f>
        <v/>
      </c>
      <c r="CF17" s="210" t="str">
        <f>IF(AND(C17="Skema 1",B17="on"),Skemaoplysninger!$I$31,"")</f>
        <v/>
      </c>
      <c r="CG17" s="210" t="str">
        <f>IF(AND(C17="Skema 1",B17="to"),Skemaoplysninger!$K$31,"")</f>
        <v/>
      </c>
      <c r="CH17" s="210" t="str">
        <f>IF(AND(C17="Skema 1",B17="fr"),Skemaoplysninger!$M$31,"")</f>
        <v/>
      </c>
      <c r="CI17" s="210" t="str">
        <f>IF(AND(C17="Skema 2",B17="ma"),Skemaoplysninger!$S$31,"")</f>
        <v/>
      </c>
      <c r="CJ17" s="210" t="str">
        <f>IF(AND(C17="Skema 2",B17="ti"),Skemaoplysninger!$U$31,"")</f>
        <v/>
      </c>
      <c r="CK17" s="210" t="str">
        <f>IF(AND(C17="Skema 2",B17="on"),Skemaoplysninger!$W$31,"")</f>
        <v/>
      </c>
      <c r="CL17" s="210" t="str">
        <f>IF(AND(C17="Skema 2",B17="to"),Skemaoplysninger!$Y$31,"")</f>
        <v/>
      </c>
      <c r="CM17" s="210" t="str">
        <f>IF(AND(C17="Skema 2",B17="fr"),Skemaoplysninger!$AA$31,"")</f>
        <v/>
      </c>
      <c r="CN17" s="210" t="str">
        <f>IF(AND(C17="Skema 3",B17="ma"),Skemaoplysninger!$AG$31,"")</f>
        <v/>
      </c>
      <c r="CO17" s="210" t="str">
        <f>IF(AND(C17="Skema 3",B17="ti"),Skemaoplysninger!$AI$31,"")</f>
        <v/>
      </c>
      <c r="CP17" s="210" t="str">
        <f>IF(AND(C17="Skema 3",B17="on"),Skemaoplysninger!$AK$31,"")</f>
        <v/>
      </c>
      <c r="CQ17" s="210" t="str">
        <f>IF(AND(C17="Skema 3",B17="to"),Skemaoplysninger!$AM$31,"")</f>
        <v/>
      </c>
      <c r="CR17" s="210" t="str">
        <f>IF(AND(C17="Skema 3",B17="fr"),Skemaoplysninger!$AO$31,"")</f>
        <v/>
      </c>
      <c r="CS17" s="210" t="str">
        <f>IF(AND(C17="Skema 4",B17="ma"),Skemaoplysninger!$AU$31,"")</f>
        <v/>
      </c>
      <c r="CT17" s="210" t="str">
        <f>IF(AND(C17="Skema 4",B17="ti"),Skemaoplysninger!$AW$31,"")</f>
        <v/>
      </c>
      <c r="CU17" s="210" t="str">
        <f>IF(AND(C17="Skema 4",B17="on"),Skemaoplysninger!$AY$31,"")</f>
        <v/>
      </c>
      <c r="CV17" s="210" t="str">
        <f>IF(AND(C17="Skema 4",B17="to"),Skemaoplysninger!$BA$31,"")</f>
        <v/>
      </c>
      <c r="CW17" s="210" t="str">
        <f>IF(AND(C17="Skema 4",B17="fr"),Skemaoplysninger!$BC$31,"")</f>
        <v/>
      </c>
      <c r="CX17" s="249">
        <f>IF(Stamoplysninger!$H$29="NEJ",SUM(CD17:CW17)*24+CB17+CC17,0)</f>
        <v>0.83333333333333337</v>
      </c>
      <c r="CY17" s="249">
        <f>IF(C17="Skema 1",Stamoplysninger!$H$30/200,0)</f>
        <v>0</v>
      </c>
      <c r="CZ17" s="249">
        <f>IF(C17="Skema 2",Stamoplysninger!$H$30/200,0)</f>
        <v>0</v>
      </c>
      <c r="DA17" s="249">
        <f>IF(C17="Skema 3",Stamoplysninger!$H$30/200,0)</f>
        <v>0</v>
      </c>
      <c r="DB17" s="249">
        <f>IF(C17="Skema 4",Stamoplysninger!$H$30/200,0)</f>
        <v>0</v>
      </c>
      <c r="DC17" s="249">
        <f>IF(C17="fagdag",Stamoplysninger!$H$30/200,0)</f>
        <v>0</v>
      </c>
      <c r="DD17" s="249">
        <f>IF(C17="emnedag",Stamoplysninger!$H$30/200,0)</f>
        <v>0</v>
      </c>
      <c r="DE17" s="249">
        <f>IF(C17="lejrskole",Stamoplysninger!$H$30/200,0)</f>
        <v>0</v>
      </c>
      <c r="DF17" s="249">
        <f>IF(C17="ekskursion",Stamoplysninger!$H$30/200,0)</f>
        <v>0</v>
      </c>
      <c r="DG17" s="249">
        <f t="shared" si="26"/>
        <v>0</v>
      </c>
      <c r="DH17" t="str">
        <f t="shared" si="27"/>
        <v/>
      </c>
      <c r="DI17">
        <f t="shared" si="28"/>
        <v>0</v>
      </c>
      <c r="DJ17">
        <f t="shared" si="29"/>
        <v>0</v>
      </c>
      <c r="DK17" t="str">
        <f t="shared" si="14"/>
        <v/>
      </c>
      <c r="DL17" t="str">
        <f t="shared" si="14"/>
        <v/>
      </c>
      <c r="DM17" t="str">
        <f t="shared" si="14"/>
        <v/>
      </c>
      <c r="DN17" t="str">
        <f t="shared" si="30"/>
        <v/>
      </c>
      <c r="DO17" s="652">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71">
        <f>IF(AND(Stamoplysninger!$B$22="Ulempetillæg udbetales med 25% af nettotimelønnen.",C17="ikke relevant"),(R17)/4,0)</f>
        <v>0</v>
      </c>
      <c r="DT17" s="671">
        <f>IF(AND(AND(Stamoplysninger!$B$22="Ulempetillæg udbetales med 25% af nettotimelønnen.",I17="X",C17="Ikke relevant")),K17/4,0)</f>
        <v>0</v>
      </c>
      <c r="DU17" s="671">
        <f>IF(AND(AND(Stamoplysninger!$B$22="Ulempetillæg udbetales med 25% af nettotimelønnen.",C17="ikke relevant",U17="X")),(X17/4),0)</f>
        <v>0</v>
      </c>
      <c r="DV17" s="672">
        <f>IF(AND(AND(AND(Stamoplysninger!$B$22="Ulempetillæg udbetales med 25% af nettotimelønnen.",I17="X",C17="Ikke relevant",S17="X"))),V17/4,0)</f>
        <v>0</v>
      </c>
      <c r="DW17" s="652"/>
      <c r="DZ17" s="671"/>
      <c r="EA17" s="671"/>
      <c r="EB17" s="672"/>
      <c r="EC17" s="652">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71">
        <f>IF(AND(Stamoplysninger!$B$22="Ulempetillæg afspadseres med 25%(Kræver en aftale imellem ledelsen og den ansatte)",C17="ikke relevant"),(R17)/4,0)</f>
        <v>0</v>
      </c>
      <c r="EH17" s="671">
        <f>IF(AND(AND(Stamoplysninger!$B$22="Ulempetillæg afspadseres med 25%(Kræver en aftale imellem ledelsen og den ansatte)",I17="X",C17="Ikke relevant")),K17/4,0)</f>
        <v>0</v>
      </c>
      <c r="EI17" s="671">
        <f>IF(AND(AND(Stamoplysninger!$B$22="Ulempetillæg afspadseres med 25%(Kræver en aftale imellem ledelsen og den ansatte)",U17="X",C17="Ikke relevant")),X17/4,0)</f>
        <v>0</v>
      </c>
      <c r="EJ17" s="671">
        <f>IF(AND(AND(AND(Stamoplysninger!$B$22="Ulempetillæg afspadseres med 25%(Kræver en aftale imellem ledelsen og den ansatte)",I17="X",C17="Ikke relevant",S17="X"))),V17/4,0)</f>
        <v>0</v>
      </c>
      <c r="EK17" s="283">
        <f>IF(AND(Stamoplysninger!$B$26="Weekendtimer og weekendtillæg afspadseres.",I17="X"),K17*1.5,0)</f>
        <v>0</v>
      </c>
      <c r="EL17" s="251">
        <f>IF(AND(AND(Stamoplysninger!$B$26="Weekendtimer og weekendtillæg afspadseres.",I17="X",S17="X")),V17*1.5,0)</f>
        <v>0</v>
      </c>
      <c r="EM17" s="674">
        <f>IF(AND(AND(Stamoplysninger!$B$26="Weekendtimer og weekendtillæg afspadseres.",I17="X",C17="ikke relevant")),K17*1.5,0)</f>
        <v>0</v>
      </c>
      <c r="EN17" s="675">
        <f>IF(AND(AND(AND(Stamoplysninger!$B$26="Weekendtimer og weekendtillæg afspadseres.",I17="X",C17="ikke relevant",S17="X"))),(V17*1.5),0)</f>
        <v>0</v>
      </c>
      <c r="EO17" s="283">
        <f>IF(AND(Stamoplysninger!$B$26="Weekendtimer og weekendtillæg udbetales.",I17="X"),K17*1.5,0)</f>
        <v>0</v>
      </c>
      <c r="EP17" s="251">
        <f>IF(AND(AND(Stamoplysninger!$B$26="Weekendtimer og weekendtillæg udbetales.",I17="X",S17="X")),V17*1.5,0)</f>
        <v>0</v>
      </c>
      <c r="EQ17" s="674">
        <f>IF(AND(AND(Stamoplysninger!$B$26="Weekendtimer og weekendtillæg udbetales.",I17="X",C17="ikke relevant")),K17*1.5,0)</f>
        <v>0</v>
      </c>
      <c r="ER17" s="675">
        <f>IF(AND(AND(AND(Stamoplysninger!$B$26="Weekendtimer og weekendtillæg udbetales.",I17="X",C17="ikke relevant",S17="X"))),(V17*1.5),0)</f>
        <v>0</v>
      </c>
      <c r="ES17" s="283">
        <f>IF(AND(Stamoplysninger!$B$26="Der er indgået lokalaftale omkring weekendtimer.(Kræver aftale med TR/FSL) Weekendtillæg afspadseres.",I17="X"),K17*0.5,0)</f>
        <v>0</v>
      </c>
      <c r="ET17" s="251">
        <f>IF(AND(AND(Stamoplysninger!$B$26="Der er indgået lokalaftale omkring weekendtimer.(Kræver aftale med TR/FSL) Weekendtillæg afspadseres.",I17="X",S17="X")),V17*0.5,0)</f>
        <v>0</v>
      </c>
      <c r="EU17" s="674">
        <f>IF(AND(AND(Stamoplysninger!$B$26="Der er indgået lokalaftale omkring weekendtimer.(Kræver aftale med TR/FSL) Weekendtillæg afspadseres.",I17="X",C17="ikke relevant")),K17*0.5,0)</f>
        <v>0</v>
      </c>
      <c r="EV17" s="675">
        <f>IF(AND(AND(AND(Stamoplysninger!$B$26="Der er indgået lokalaftale omkring weekendtimer.(Kræver aftale med TR/FSL) Weekendtillæg afspadseres.",I17="X",C17="ikke relevant",S17="X"))),(V17*0.5),0)</f>
        <v>0</v>
      </c>
      <c r="EW17" s="283">
        <f>IF(AND(Stamoplysninger!$B$26="Der er indgået lokalaftale omkring weekendtimer(Kræver aftale med TR/FSL). Weekendtillæg udbetales.",I17="X"),K17*0.5,0)</f>
        <v>0</v>
      </c>
      <c r="EX17" s="251">
        <f>IF(AND(AND(Stamoplysninger!$B$26="Der er indgået lokalaftale omkring weekendtimer(Kræver aftale med TR/FSL). Weekendtillæg udbetales.",I17="X",S17="X")),V17*0.5,0)</f>
        <v>0</v>
      </c>
      <c r="EY17" s="674">
        <f>IF(AND(AND(Stamoplysninger!$B$26="Der er indgået lokalaftale omkring weekendtimer(Kræver aftale med TR/FSL). Weekendtillæg udbetales.",I17="X",C17="ikke relevant")),K17*0.5,0)</f>
        <v>0</v>
      </c>
      <c r="EZ17" s="675">
        <f>IF(AND(AND(AND(Stamoplysninger!$B$26="Der er indgået lokalaftale omkring weekendtimer(Kræver aftale med TR/FSL). Weekendtillæg udbetales.",I17="X",C17="ikke relevant",S17="X"))),(V17*0.5),0)</f>
        <v>0</v>
      </c>
      <c r="FA17" s="283">
        <f>IF(AND(Stamoplysninger!$B$26="Der er indgået lokalaftale omkring weekendtillæg(Kræver aftale med TR/FSL). Weekendtimerne afspadseres.",I17="X"),K17,0)</f>
        <v>0</v>
      </c>
      <c r="FB17" s="251">
        <f>IF(AND(AND(Stamoplysninger!$B$26="Der er indgået lokalaftale omkring weekendtillæg(Kræver aftale med TR/FSL). Weekendtimerne afspadseres.",I17="X",S17="X")),V17,0)</f>
        <v>0</v>
      </c>
      <c r="FC17" s="674">
        <f>IF(AND(AND(Stamoplysninger!$B$26="Der er indgået lokalaftale omkring weekendtillæg(Kræver aftale med TR/FSL). Weekendtimerne afspadseres..",I17="X",C17="ikke relevant")),K17,0)</f>
        <v>0</v>
      </c>
      <c r="FD17" s="675">
        <f>IF(AND(AND(AND(Stamoplysninger!$B$26="Der er indgået lokalaftale omkring weekendtillæg(Kræver aftale med TR/FSL). Weekendtimerne afspadseres.",I17="X",C17="ikke relevant",S17="X"))),(V17),0)</f>
        <v>0</v>
      </c>
      <c r="FE17" s="283">
        <f>IF(AND(Stamoplysninger!$B$26="Der er indgået lokalaftale omkring weekendtillæg(Kræver aftale med TR/FSL). Weekendtimerne udbetales.",I17="X"),K17,0)</f>
        <v>0</v>
      </c>
      <c r="FF17" s="251">
        <f>IF(AND(AND(Stamoplysninger!$B$26="Der er indgået lokalaftale omkring weekendtillæg(Kræver aftale med TR/FSL). Weekendtimerne udbetales.",I17="X",S17="X")),V17,0)</f>
        <v>0</v>
      </c>
      <c r="FG17" s="674">
        <f>IF(AND(AND(Stamoplysninger!$B$26="Der er indgået lokalaftale omkring weekendtillæg(Kræver aftale med TR/FSL). Weekendtimerne udbetales.",I17="X",C17="ikke relevant")),K17,0)</f>
        <v>0</v>
      </c>
      <c r="FH17" s="675">
        <f>IF(AND(AND(AND(Stamoplysninger!$B$26="Der er indgået lokalaftale omkring weekendtillæg(Kræver aftale med TR/FSL). Weekendtimerne udbetales.",I17="X",C17="ikke relevant",S17="X"))),(V17),0)</f>
        <v>0</v>
      </c>
      <c r="FI17" s="283">
        <f>IF(AND(Stamoplysninger!$B$26="Weekendtimer og weekendtillæg afspadseres.",I17="X"),K17,0)</f>
        <v>0</v>
      </c>
      <c r="FJ17" s="251">
        <f>IF(AND(Stamoplysninger!$B$26="Weekendtimer og weekendtillæg afspadseres.",Y17="X"),(AA17+AL17)/2,0)</f>
        <v>0</v>
      </c>
      <c r="FK17" s="674">
        <f>IF(AND(AND(Stamoplysninger!$B$26="Weekendtimer og weekendtillæg afspadseres.",I17="X",C17="ikke relevant")),K17,0)</f>
        <v>0</v>
      </c>
      <c r="FL17" s="675">
        <f>IF(AND(AND(Stamoplysninger!$B$26="Weekendtimer og weekendtillæg afspadseres.",Y17="X",S17="ikke relevant")),(AA17+AL17)/2,0)</f>
        <v>0</v>
      </c>
      <c r="FM17" s="283">
        <f>IF(AND(Stamoplysninger!$B$26="Der er indgået lokalaftale omkring weekendtillæg(Kræver aftale med TR/FSL). Weekendtimerne afspadseres.",I17="X"),K17,0)</f>
        <v>0</v>
      </c>
      <c r="FN17" s="674">
        <f>IF(AND(AND(Stamoplysninger!$B$26="Der er indgået lokalaftale omkring weekendtillæg(Kræver aftale med TR/FSL). Weekendtimerne afspadseres.",I17="X",C17="ikke relevant")),K17,0)</f>
        <v>0</v>
      </c>
      <c r="FO17" s="283">
        <f>IF(AND(Stamoplysninger!$B$26="Weekendtimer og weekendtillæg udbetales.",I17="X"),K17,0)</f>
        <v>0</v>
      </c>
      <c r="FP17" s="251">
        <f>IF(AND(Stamoplysninger!$B$26="Weekendtimer og weekendtillæg udbetales.",AA17="X"),(AC17+AN17)/2,0)</f>
        <v>0</v>
      </c>
      <c r="FQ17" s="674">
        <f>IF(AND(AND(Stamoplysninger!$B$26="Weekendtimer og weekendtillæg udbetales.",I17="X",C17="ikke relevant")),K17,0)</f>
        <v>0</v>
      </c>
      <c r="FR17" s="688">
        <f>IF(AND(AND(Stamoplysninger!$B$26="Weekendtimer og weekendtillæg udbetales.",AA17="X",U17="ikke relevant")),(AC17+AN17)/2,0)</f>
        <v>0</v>
      </c>
      <c r="FS17" s="283">
        <f t="shared" si="15"/>
        <v>0</v>
      </c>
      <c r="FT17" s="658">
        <f t="shared" si="16"/>
        <v>0</v>
      </c>
      <c r="FU17">
        <f t="shared" si="17"/>
        <v>0</v>
      </c>
      <c r="FV17" s="283">
        <f>IF(AND(Stamoplysninger!$B$26="Der er indgået lokalaftale omkring weekendtimer.(Kræver aftale med TR/FSL) Weekendtillæg afspadseres.",I17="X"),K17,0)</f>
        <v>0</v>
      </c>
      <c r="FW17" s="674">
        <f>IF(AND(AND(Stamoplysninger!$B$26="Der er indgået lokalaftale omkring weekendtimer.(Kræver aftale med TR/FSL) Weekendtillæg afspadseres.",I17="X",C17="ikke relevant")),K17,0)</f>
        <v>0</v>
      </c>
      <c r="FX17" s="283">
        <f>IF(AND(Stamoplysninger!$B$26="Der er indgået lokalaftale omkring weekendtimer(Kræver aftale med TR/FSL). Weekendtillæg udbetales.",I17="X"),K17,0)</f>
        <v>0</v>
      </c>
      <c r="FY17" s="674">
        <f>IF(AND(AND(Stamoplysninger!$B$26="Der er indgået lokalaftale omkring weekendtimer(Kræver aftale med TR/FSL). Weekendtillæg udbetales.",I17="X",C17="ikke relevant")),K17,0)</f>
        <v>0</v>
      </c>
      <c r="FZ17" s="283">
        <f>IF(AND(Stamoplysninger!$B$26="Der er indgået lokalaftale omkring weekendtillæg(Kræver aftale med TR/FSL). Weekendtimerne udbetales.",I17="X"),K17,0)</f>
        <v>0</v>
      </c>
      <c r="GA17" s="674">
        <f>IF(AND(AND(Stamoplysninger!$B$26="Der er indgået lokalaftale omkring weekendtillæg(Kræver aftale med TR/FSL). Weekendtimerne udbetales.",I17="X",C17="ikke relevant")),K17,0)</f>
        <v>0</v>
      </c>
      <c r="GB17" s="283">
        <f>IF(AND(Stamoplysninger!$B$26="Der er indgået lokalaftale omkring weekendtimer og weekendtillæg.(Kræver aftale med TR/FSL).",I17="X"),K17,0)</f>
        <v>0</v>
      </c>
      <c r="GC17" s="674">
        <f>IF(AND(AND(Stamoplysninger!$B$26="Der er indgået lokalaftale omkring weekendtimer og weekendtillæg.(Kræver aftale med TR/FSL).",I17="X",C17="ikke relevant")),K17,0)</f>
        <v>0</v>
      </c>
    </row>
    <row r="18" spans="1:185">
      <c r="A18" s="245">
        <f t="shared" si="18"/>
        <v>10</v>
      </c>
      <c r="B18" s="128" t="str">
        <f t="shared" si="0"/>
        <v>ti</v>
      </c>
      <c r="C18" s="129" t="s">
        <v>206</v>
      </c>
      <c r="D18" s="130" t="str">
        <f t="shared" si="1"/>
        <v/>
      </c>
      <c r="E18" s="917"/>
      <c r="F18" s="918"/>
      <c r="G18" s="919"/>
      <c r="H18" s="298"/>
      <c r="I18" s="527"/>
      <c r="J18" s="413"/>
      <c r="K18" s="380"/>
      <c r="L18" s="380"/>
      <c r="M18" s="380"/>
      <c r="N18" s="318">
        <f t="shared" si="19"/>
        <v>7.75</v>
      </c>
      <c r="O18" s="318">
        <f t="shared" si="20"/>
        <v>4.5</v>
      </c>
      <c r="P18" s="318">
        <f>IF(Stamoplysninger!$H$29="JA",December!DG18,CX18)</f>
        <v>1</v>
      </c>
      <c r="Q18" s="318">
        <f t="shared" si="21"/>
        <v>2.25</v>
      </c>
      <c r="R18" s="319"/>
      <c r="S18" s="324"/>
      <c r="T18" s="325"/>
      <c r="U18" s="325"/>
      <c r="V18" s="435"/>
      <c r="W18" s="412"/>
      <c r="X18" s="642"/>
      <c r="Y18">
        <f t="shared" si="22"/>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1",B18="ma"),Arbejdstidsoversigt!$E$72,"")</f>
        <v/>
      </c>
      <c r="AH18">
        <f>IF(AND(C18="Skema 1",B18="ti"),Arbejdstidsoversigt!$E$73,"")</f>
        <v>7.75</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7.75</v>
      </c>
      <c r="BB18" s="229">
        <f t="shared" si="8"/>
        <v>186</v>
      </c>
      <c r="BC18" s="1">
        <f t="shared" si="24"/>
        <v>0</v>
      </c>
      <c r="BD18" s="1">
        <f t="shared" si="9"/>
        <v>0</v>
      </c>
      <c r="BE18" s="1">
        <f t="shared" si="10"/>
        <v>0</v>
      </c>
      <c r="BF18" s="1">
        <f t="shared" si="11"/>
        <v>0</v>
      </c>
      <c r="BG18" s="210" t="str">
        <f>IF(AND(C18="Skema 1",B18="ma"),Skemaoplysninger!$E$30,"")</f>
        <v/>
      </c>
      <c r="BH18" s="210">
        <f>IF(AND(C18="Skema 1",B18="ti"),Skemaoplysninger!$G$30,"")</f>
        <v>0.1875</v>
      </c>
      <c r="BI18" s="210" t="str">
        <f>IF(AND(C18="Skema 1",B18="on"),Skemaoplysninger!$I$30,"")</f>
        <v/>
      </c>
      <c r="BJ18" s="210" t="str">
        <f>IF(AND(C18="Skema 1",B18="to"),Skemaoplysninger!$K$30,"")</f>
        <v/>
      </c>
      <c r="BK18" s="210" t="str">
        <f>IF(AND(C18="Skema 1",B18="fr"),Skemaoplysninger!$M$30,"")</f>
        <v/>
      </c>
      <c r="BL18" s="210" t="str">
        <f>IF(AND(C18="Skema 2",B18="ma"),Skemaoplysninger!$S$30,"")</f>
        <v/>
      </c>
      <c r="BM18" s="210" t="str">
        <f>IF(AND(C18="Skema 2",B18="ti"),Skemaoplysninger!$U$30,"")</f>
        <v/>
      </c>
      <c r="BN18" s="210" t="str">
        <f>IF(AND(C18="Skema 2",B18="on"),Skemaoplysninger!$W$30,"")</f>
        <v/>
      </c>
      <c r="BO18" s="210" t="str">
        <f>IF(AND(C18="Skema 2",B18="to"),Skemaoplysninger!$Y$30,"")</f>
        <v/>
      </c>
      <c r="BP18" s="210" t="str">
        <f>IF(AND(C18="Skema 2",B18="fr"),Skemaoplysninger!$AA$30,"")</f>
        <v/>
      </c>
      <c r="BQ18" s="210" t="str">
        <f>IF(AND(C18="Skema 3",B18="ma"),Skemaoplysninger!$AG$30,"")</f>
        <v/>
      </c>
      <c r="BR18" s="210" t="str">
        <f>IF(AND(C18="Skema 3",B18="ti"),Skemaoplysninger!$AI$30,"")</f>
        <v/>
      </c>
      <c r="BS18" s="210" t="str">
        <f>IF(AND(C18="Skema 3",B18="on"),Skemaoplysninger!$AK$30,"")</f>
        <v/>
      </c>
      <c r="BT18" s="210" t="str">
        <f>IF(AND(C18="Skema 3",B18="to"),Skemaoplysninger!$AM$30,"")</f>
        <v/>
      </c>
      <c r="BU18" s="210" t="str">
        <f>IF(AND(C18="Skema 3",B18="fr"),Skemaoplysninger!$AO$30,"")</f>
        <v/>
      </c>
      <c r="BV18" s="210" t="str">
        <f>IF(AND(C18="Skema 4",B18="ma"),Skemaoplysninger!$AU$30,"")</f>
        <v/>
      </c>
      <c r="BW18" s="210" t="str">
        <f>IF(AND(C18="Skema 4",B18="ti"),Skemaoplysninger!$AW$30,"")</f>
        <v/>
      </c>
      <c r="BX18" s="210" t="str">
        <f>IF(AND(C18="Skema 4",B18="on"),Skemaoplysninger!$AY$30,"")</f>
        <v/>
      </c>
      <c r="BY18" s="210" t="str">
        <f>IF(AND(C18="Skema 4",B18="to"),Skemaoplysninger!$BA$30,"")</f>
        <v/>
      </c>
      <c r="BZ18" s="210" t="str">
        <f>IF(AND(C18="Skema 4",B18="fr"),Skemaoplysninger!$BC$30,"")</f>
        <v/>
      </c>
      <c r="CA18" s="1">
        <f t="shared" si="25"/>
        <v>4.5</v>
      </c>
      <c r="CB18" s="1">
        <f t="shared" si="12"/>
        <v>0</v>
      </c>
      <c r="CC18" s="1">
        <f t="shared" si="13"/>
        <v>0</v>
      </c>
      <c r="CD18" s="210" t="str">
        <f>IF(AND(C18="Skema 1",B18="ma"),Skemaoplysninger!$E$31,"")</f>
        <v/>
      </c>
      <c r="CE18" s="210">
        <f>IF(AND(C18="Skema 1",B18="ti"),Skemaoplysninger!$G$31,"")</f>
        <v>4.1666666666666671E-2</v>
      </c>
      <c r="CF18" s="210" t="str">
        <f>IF(AND(C18="Skema 1",B18="on"),Skemaoplysninger!$I$31,"")</f>
        <v/>
      </c>
      <c r="CG18" s="210" t="str">
        <f>IF(AND(C18="Skema 1",B18="to"),Skemaoplysninger!$K$31,"")</f>
        <v/>
      </c>
      <c r="CH18" s="210" t="str">
        <f>IF(AND(C18="Skema 1",B18="fr"),Skemaoplysninger!$M$31,"")</f>
        <v/>
      </c>
      <c r="CI18" s="210" t="str">
        <f>IF(AND(C18="Skema 2",B18="ma"),Skemaoplysninger!$S$31,"")</f>
        <v/>
      </c>
      <c r="CJ18" s="210" t="str">
        <f>IF(AND(C18="Skema 2",B18="ti"),Skemaoplysninger!$U$31,"")</f>
        <v/>
      </c>
      <c r="CK18" s="210" t="str">
        <f>IF(AND(C18="Skema 2",B18="on"),Skemaoplysninger!$W$31,"")</f>
        <v/>
      </c>
      <c r="CL18" s="210" t="str">
        <f>IF(AND(C18="Skema 2",B18="to"),Skemaoplysninger!$Y$31,"")</f>
        <v/>
      </c>
      <c r="CM18" s="210" t="str">
        <f>IF(AND(C18="Skema 2",B18="fr"),Skemaoplysninger!$AA$31,"")</f>
        <v/>
      </c>
      <c r="CN18" s="210" t="str">
        <f>IF(AND(C18="Skema 3",B18="ma"),Skemaoplysninger!$AG$31,"")</f>
        <v/>
      </c>
      <c r="CO18" s="210" t="str">
        <f>IF(AND(C18="Skema 3",B18="ti"),Skemaoplysninger!$AI$31,"")</f>
        <v/>
      </c>
      <c r="CP18" s="210" t="str">
        <f>IF(AND(C18="Skema 3",B18="on"),Skemaoplysninger!$AK$31,"")</f>
        <v/>
      </c>
      <c r="CQ18" s="210" t="str">
        <f>IF(AND(C18="Skema 3",B18="to"),Skemaoplysninger!$AM$31,"")</f>
        <v/>
      </c>
      <c r="CR18" s="210" t="str">
        <f>IF(AND(C18="Skema 3",B18="fr"),Skemaoplysninger!$AO$31,"")</f>
        <v/>
      </c>
      <c r="CS18" s="210" t="str">
        <f>IF(AND(C18="Skema 4",B18="ma"),Skemaoplysninger!$AU$31,"")</f>
        <v/>
      </c>
      <c r="CT18" s="210" t="str">
        <f>IF(AND(C18="Skema 4",B18="ti"),Skemaoplysninger!$AW$31,"")</f>
        <v/>
      </c>
      <c r="CU18" s="210" t="str">
        <f>IF(AND(C18="Skema 4",B18="on"),Skemaoplysninger!$AY$31,"")</f>
        <v/>
      </c>
      <c r="CV18" s="210" t="str">
        <f>IF(AND(C18="Skema 4",B18="to"),Skemaoplysninger!$BA$31,"")</f>
        <v/>
      </c>
      <c r="CW18" s="210" t="str">
        <f>IF(AND(C18="Skema 4",B18="fr"),Skemaoplysninger!$BC$31,"")</f>
        <v/>
      </c>
      <c r="CX18" s="249">
        <f>IF(Stamoplysninger!$H$29="NEJ",SUM(CD18:CW18)*24+CB18+CC18,0)</f>
        <v>1</v>
      </c>
      <c r="CY18" s="249">
        <f>IF(C18="Skema 1",Stamoplysninger!$H$30/200,0)</f>
        <v>0</v>
      </c>
      <c r="CZ18" s="249">
        <f>IF(C18="Skema 2",Stamoplysninger!$H$30/200,0)</f>
        <v>0</v>
      </c>
      <c r="DA18" s="249">
        <f>IF(C18="Skema 3",Stamoplysninger!$H$30/200,0)</f>
        <v>0</v>
      </c>
      <c r="DB18" s="249">
        <f>IF(C18="Skema 4",Stamoplysninger!$H$30/200,0)</f>
        <v>0</v>
      </c>
      <c r="DC18" s="249">
        <f>IF(C18="fagdag",Stamoplysninger!$H$30/200,0)</f>
        <v>0</v>
      </c>
      <c r="DD18" s="249">
        <f>IF(C18="emnedag",Stamoplysninger!$H$30/200,0)</f>
        <v>0</v>
      </c>
      <c r="DE18" s="249">
        <f>IF(C18="lejrskole",Stamoplysninger!$H$30/200,0)</f>
        <v>0</v>
      </c>
      <c r="DF18" s="249">
        <f>IF(C18="ekskursion",Stamoplysninger!$H$30/200,0)</f>
        <v>0</v>
      </c>
      <c r="DG18" s="249">
        <f t="shared" si="26"/>
        <v>0</v>
      </c>
      <c r="DH18" t="str">
        <f t="shared" si="27"/>
        <v/>
      </c>
      <c r="DI18">
        <f t="shared" si="28"/>
        <v>0</v>
      </c>
      <c r="DJ18">
        <f t="shared" si="29"/>
        <v>0</v>
      </c>
      <c r="DK18" t="str">
        <f t="shared" si="14"/>
        <v/>
      </c>
      <c r="DL18" t="str">
        <f t="shared" si="14"/>
        <v/>
      </c>
      <c r="DM18" t="str">
        <f t="shared" si="14"/>
        <v/>
      </c>
      <c r="DN18" t="str">
        <f t="shared" si="30"/>
        <v/>
      </c>
      <c r="DO18" s="652">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71">
        <f>IF(AND(Stamoplysninger!$B$22="Ulempetillæg udbetales med 25% af nettotimelønnen.",C18="ikke relevant"),(R18)/4,0)</f>
        <v>0</v>
      </c>
      <c r="DT18" s="671">
        <f>IF(AND(AND(Stamoplysninger!$B$22="Ulempetillæg udbetales med 25% af nettotimelønnen.",I18="X",C18="Ikke relevant")),K18/4,0)</f>
        <v>0</v>
      </c>
      <c r="DU18" s="671">
        <f>IF(AND(AND(Stamoplysninger!$B$22="Ulempetillæg udbetales med 25% af nettotimelønnen.",C18="ikke relevant",U18="X")),(X18/4),0)</f>
        <v>0</v>
      </c>
      <c r="DV18" s="672">
        <f>IF(AND(AND(AND(Stamoplysninger!$B$22="Ulempetillæg udbetales med 25% af nettotimelønnen.",I18="X",C18="Ikke relevant",S18="X"))),V18/4,0)</f>
        <v>0</v>
      </c>
      <c r="DW18" s="652"/>
      <c r="DZ18" s="671"/>
      <c r="EA18" s="671"/>
      <c r="EB18" s="672"/>
      <c r="EC18" s="652">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71">
        <f>IF(AND(Stamoplysninger!$B$22="Ulempetillæg afspadseres med 25%(Kræver en aftale imellem ledelsen og den ansatte)",C18="ikke relevant"),(R18)/4,0)</f>
        <v>0</v>
      </c>
      <c r="EH18" s="671">
        <f>IF(AND(AND(Stamoplysninger!$B$22="Ulempetillæg afspadseres med 25%(Kræver en aftale imellem ledelsen og den ansatte)",I18="X",C18="Ikke relevant")),K18/4,0)</f>
        <v>0</v>
      </c>
      <c r="EI18" s="671">
        <f>IF(AND(AND(Stamoplysninger!$B$22="Ulempetillæg afspadseres med 25%(Kræver en aftale imellem ledelsen og den ansatte)",U18="X",C18="Ikke relevant")),X18/4,0)</f>
        <v>0</v>
      </c>
      <c r="EJ18" s="671">
        <f>IF(AND(AND(AND(Stamoplysninger!$B$22="Ulempetillæg afspadseres med 25%(Kræver en aftale imellem ledelsen og den ansatte)",I18="X",C18="Ikke relevant",S18="X"))),V18/4,0)</f>
        <v>0</v>
      </c>
      <c r="EK18" s="283">
        <f>IF(AND(Stamoplysninger!$B$26="Weekendtimer og weekendtillæg afspadseres.",I18="X"),K18*1.5,0)</f>
        <v>0</v>
      </c>
      <c r="EL18" s="251">
        <f>IF(AND(AND(Stamoplysninger!$B$26="Weekendtimer og weekendtillæg afspadseres.",I18="X",S18="X")),V18*1.5,0)</f>
        <v>0</v>
      </c>
      <c r="EM18" s="674">
        <f>IF(AND(AND(Stamoplysninger!$B$26="Weekendtimer og weekendtillæg afspadseres.",I18="X",C18="ikke relevant")),K18*1.5,0)</f>
        <v>0</v>
      </c>
      <c r="EN18" s="675">
        <f>IF(AND(AND(AND(Stamoplysninger!$B$26="Weekendtimer og weekendtillæg afspadseres.",I18="X",C18="ikke relevant",S18="X"))),(V18*1.5),0)</f>
        <v>0</v>
      </c>
      <c r="EO18" s="283">
        <f>IF(AND(Stamoplysninger!$B$26="Weekendtimer og weekendtillæg udbetales.",I18="X"),K18*1.5,0)</f>
        <v>0</v>
      </c>
      <c r="EP18" s="251">
        <f>IF(AND(AND(Stamoplysninger!$B$26="Weekendtimer og weekendtillæg udbetales.",I18="X",S18="X")),V18*1.5,0)</f>
        <v>0</v>
      </c>
      <c r="EQ18" s="674">
        <f>IF(AND(AND(Stamoplysninger!$B$26="Weekendtimer og weekendtillæg udbetales.",I18="X",C18="ikke relevant")),K18*1.5,0)</f>
        <v>0</v>
      </c>
      <c r="ER18" s="675">
        <f>IF(AND(AND(AND(Stamoplysninger!$B$26="Weekendtimer og weekendtillæg udbetales.",I18="X",C18="ikke relevant",S18="X"))),(V18*1.5),0)</f>
        <v>0</v>
      </c>
      <c r="ES18" s="283">
        <f>IF(AND(Stamoplysninger!$B$26="Der er indgået lokalaftale omkring weekendtimer.(Kræver aftale med TR/FSL) Weekendtillæg afspadseres.",I18="X"),K18*0.5,0)</f>
        <v>0</v>
      </c>
      <c r="ET18" s="251">
        <f>IF(AND(AND(Stamoplysninger!$B$26="Der er indgået lokalaftale omkring weekendtimer.(Kræver aftale med TR/FSL) Weekendtillæg afspadseres.",I18="X",S18="X")),V18*0.5,0)</f>
        <v>0</v>
      </c>
      <c r="EU18" s="674">
        <f>IF(AND(AND(Stamoplysninger!$B$26="Der er indgået lokalaftale omkring weekendtimer.(Kræver aftale med TR/FSL) Weekendtillæg afspadseres.",I18="X",C18="ikke relevant")),K18*0.5,0)</f>
        <v>0</v>
      </c>
      <c r="EV18" s="675">
        <f>IF(AND(AND(AND(Stamoplysninger!$B$26="Der er indgået lokalaftale omkring weekendtimer.(Kræver aftale med TR/FSL) Weekendtillæg afspadseres.",I18="X",C18="ikke relevant",S18="X"))),(V18*0.5),0)</f>
        <v>0</v>
      </c>
      <c r="EW18" s="283">
        <f>IF(AND(Stamoplysninger!$B$26="Der er indgået lokalaftale omkring weekendtimer(Kræver aftale med TR/FSL). Weekendtillæg udbetales.",I18="X"),K18*0.5,0)</f>
        <v>0</v>
      </c>
      <c r="EX18" s="251">
        <f>IF(AND(AND(Stamoplysninger!$B$26="Der er indgået lokalaftale omkring weekendtimer(Kræver aftale med TR/FSL). Weekendtillæg udbetales.",I18="X",S18="X")),V18*0.5,0)</f>
        <v>0</v>
      </c>
      <c r="EY18" s="674">
        <f>IF(AND(AND(Stamoplysninger!$B$26="Der er indgået lokalaftale omkring weekendtimer(Kræver aftale med TR/FSL). Weekendtillæg udbetales.",I18="X",C18="ikke relevant")),K18*0.5,0)</f>
        <v>0</v>
      </c>
      <c r="EZ18" s="675">
        <f>IF(AND(AND(AND(Stamoplysninger!$B$26="Der er indgået lokalaftale omkring weekendtimer(Kræver aftale med TR/FSL). Weekendtillæg udbetales.",I18="X",C18="ikke relevant",S18="X"))),(V18*0.5),0)</f>
        <v>0</v>
      </c>
      <c r="FA18" s="283">
        <f>IF(AND(Stamoplysninger!$B$26="Der er indgået lokalaftale omkring weekendtillæg(Kræver aftale med TR/FSL). Weekendtimerne afspadseres.",I18="X"),K18,0)</f>
        <v>0</v>
      </c>
      <c r="FB18" s="251">
        <f>IF(AND(AND(Stamoplysninger!$B$26="Der er indgået lokalaftale omkring weekendtillæg(Kræver aftale med TR/FSL). Weekendtimerne afspadseres.",I18="X",S18="X")),V18,0)</f>
        <v>0</v>
      </c>
      <c r="FC18" s="674">
        <f>IF(AND(AND(Stamoplysninger!$B$26="Der er indgået lokalaftale omkring weekendtillæg(Kræver aftale med TR/FSL). Weekendtimerne afspadseres..",I18="X",C18="ikke relevant")),K18,0)</f>
        <v>0</v>
      </c>
      <c r="FD18" s="675">
        <f>IF(AND(AND(AND(Stamoplysninger!$B$26="Der er indgået lokalaftale omkring weekendtillæg(Kræver aftale med TR/FSL). Weekendtimerne afspadseres.",I18="X",C18="ikke relevant",S18="X"))),(V18),0)</f>
        <v>0</v>
      </c>
      <c r="FE18" s="283">
        <f>IF(AND(Stamoplysninger!$B$26="Der er indgået lokalaftale omkring weekendtillæg(Kræver aftale med TR/FSL). Weekendtimerne udbetales.",I18="X"),K18,0)</f>
        <v>0</v>
      </c>
      <c r="FF18" s="251">
        <f>IF(AND(AND(Stamoplysninger!$B$26="Der er indgået lokalaftale omkring weekendtillæg(Kræver aftale med TR/FSL). Weekendtimerne udbetales.",I18="X",S18="X")),V18,0)</f>
        <v>0</v>
      </c>
      <c r="FG18" s="674">
        <f>IF(AND(AND(Stamoplysninger!$B$26="Der er indgået lokalaftale omkring weekendtillæg(Kræver aftale med TR/FSL). Weekendtimerne udbetales.",I18="X",C18="ikke relevant")),K18,0)</f>
        <v>0</v>
      </c>
      <c r="FH18" s="675">
        <f>IF(AND(AND(AND(Stamoplysninger!$B$26="Der er indgået lokalaftale omkring weekendtillæg(Kræver aftale med TR/FSL). Weekendtimerne udbetales.",I18="X",C18="ikke relevant",S18="X"))),(V18),0)</f>
        <v>0</v>
      </c>
      <c r="FI18" s="283">
        <f>IF(AND(Stamoplysninger!$B$26="Weekendtimer og weekendtillæg afspadseres.",I18="X"),K18,0)</f>
        <v>0</v>
      </c>
      <c r="FJ18" s="251">
        <f>IF(AND(Stamoplysninger!$B$26="Weekendtimer og weekendtillæg afspadseres.",Y18="X"),(AA18+AL18)/2,0)</f>
        <v>0</v>
      </c>
      <c r="FK18" s="674">
        <f>IF(AND(AND(Stamoplysninger!$B$26="Weekendtimer og weekendtillæg afspadseres.",I18="X",C18="ikke relevant")),K18,0)</f>
        <v>0</v>
      </c>
      <c r="FL18" s="675">
        <f>IF(AND(AND(Stamoplysninger!$B$26="Weekendtimer og weekendtillæg afspadseres.",Y18="X",S18="ikke relevant")),(AA18+AL18)/2,0)</f>
        <v>0</v>
      </c>
      <c r="FM18" s="283">
        <f>IF(AND(Stamoplysninger!$B$26="Der er indgået lokalaftale omkring weekendtillæg(Kræver aftale med TR/FSL). Weekendtimerne afspadseres.",I18="X"),K18,0)</f>
        <v>0</v>
      </c>
      <c r="FN18" s="674">
        <f>IF(AND(AND(Stamoplysninger!$B$26="Der er indgået lokalaftale omkring weekendtillæg(Kræver aftale med TR/FSL). Weekendtimerne afspadseres.",I18="X",C18="ikke relevant")),K18,0)</f>
        <v>0</v>
      </c>
      <c r="FO18" s="283">
        <f>IF(AND(Stamoplysninger!$B$26="Weekendtimer og weekendtillæg udbetales.",I18="X"),K18,0)</f>
        <v>0</v>
      </c>
      <c r="FP18" s="251">
        <f>IF(AND(Stamoplysninger!$B$26="Weekendtimer og weekendtillæg udbetales.",AA18="X"),(AC18+AN18)/2,0)</f>
        <v>0</v>
      </c>
      <c r="FQ18" s="674">
        <f>IF(AND(AND(Stamoplysninger!$B$26="Weekendtimer og weekendtillæg udbetales.",I18="X",C18="ikke relevant")),K18,0)</f>
        <v>0</v>
      </c>
      <c r="FR18" s="688">
        <f>IF(AND(AND(Stamoplysninger!$B$26="Weekendtimer og weekendtillæg udbetales.",AA18="X",U18="ikke relevant")),(AC18+AN18)/2,0)</f>
        <v>0</v>
      </c>
      <c r="FS18" s="283">
        <f t="shared" si="15"/>
        <v>0</v>
      </c>
      <c r="FT18" s="658">
        <f t="shared" si="16"/>
        <v>0</v>
      </c>
      <c r="FU18">
        <f t="shared" si="17"/>
        <v>0</v>
      </c>
      <c r="FV18" s="283">
        <f>IF(AND(Stamoplysninger!$B$26="Der er indgået lokalaftale omkring weekendtimer.(Kræver aftale med TR/FSL) Weekendtillæg afspadseres.",I18="X"),K18,0)</f>
        <v>0</v>
      </c>
      <c r="FW18" s="674">
        <f>IF(AND(AND(Stamoplysninger!$B$26="Der er indgået lokalaftale omkring weekendtimer.(Kræver aftale med TR/FSL) Weekendtillæg afspadseres.",I18="X",C18="ikke relevant")),K18,0)</f>
        <v>0</v>
      </c>
      <c r="FX18" s="283">
        <f>IF(AND(Stamoplysninger!$B$26="Der er indgået lokalaftale omkring weekendtimer(Kræver aftale med TR/FSL). Weekendtillæg udbetales.",I18="X"),K18,0)</f>
        <v>0</v>
      </c>
      <c r="FY18" s="674">
        <f>IF(AND(AND(Stamoplysninger!$B$26="Der er indgået lokalaftale omkring weekendtimer(Kræver aftale med TR/FSL). Weekendtillæg udbetales.",I18="X",C18="ikke relevant")),K18,0)</f>
        <v>0</v>
      </c>
      <c r="FZ18" s="283">
        <f>IF(AND(Stamoplysninger!$B$26="Der er indgået lokalaftale omkring weekendtillæg(Kræver aftale med TR/FSL). Weekendtimerne udbetales.",I18="X"),K18,0)</f>
        <v>0</v>
      </c>
      <c r="GA18" s="674">
        <f>IF(AND(AND(Stamoplysninger!$B$26="Der er indgået lokalaftale omkring weekendtillæg(Kræver aftale med TR/FSL). Weekendtimerne udbetales.",I18="X",C18="ikke relevant")),K18,0)</f>
        <v>0</v>
      </c>
      <c r="GB18" s="283">
        <f>IF(AND(Stamoplysninger!$B$26="Der er indgået lokalaftale omkring weekendtimer og weekendtillæg.(Kræver aftale med TR/FSL).",I18="X"),K18,0)</f>
        <v>0</v>
      </c>
      <c r="GC18" s="674">
        <f>IF(AND(AND(Stamoplysninger!$B$26="Der er indgået lokalaftale omkring weekendtimer og weekendtillæg.(Kræver aftale med TR/FSL).",I18="X",C18="ikke relevant")),K18,0)</f>
        <v>0</v>
      </c>
    </row>
    <row r="19" spans="1:185">
      <c r="A19" s="245">
        <f t="shared" si="18"/>
        <v>11</v>
      </c>
      <c r="B19" s="128" t="str">
        <f t="shared" si="0"/>
        <v>on</v>
      </c>
      <c r="C19" s="129" t="s">
        <v>206</v>
      </c>
      <c r="D19" s="130" t="str">
        <f t="shared" si="1"/>
        <v/>
      </c>
      <c r="E19" s="917"/>
      <c r="F19" s="918"/>
      <c r="G19" s="919"/>
      <c r="H19" s="298"/>
      <c r="I19" s="527"/>
      <c r="J19" s="413"/>
      <c r="K19" s="380"/>
      <c r="L19" s="380"/>
      <c r="M19" s="380"/>
      <c r="N19" s="318">
        <f t="shared" si="19"/>
        <v>7.75</v>
      </c>
      <c r="O19" s="318">
        <f t="shared" si="20"/>
        <v>5</v>
      </c>
      <c r="P19" s="318">
        <f>IF(Stamoplysninger!$H$29="JA",December!DG19,CX19)</f>
        <v>1.1666666666666665</v>
      </c>
      <c r="Q19" s="318">
        <f t="shared" si="21"/>
        <v>1.5833333333333335</v>
      </c>
      <c r="R19" s="319"/>
      <c r="S19" s="324"/>
      <c r="T19" s="325"/>
      <c r="U19" s="325"/>
      <c r="V19" s="435"/>
      <c r="W19" s="412"/>
      <c r="X19" s="642"/>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t="str">
        <f>IF(AND(C19="Skema 1",B19="ti"),Arbejdstidsoversigt!$E$73,"")</f>
        <v/>
      </c>
      <c r="AI19">
        <f>IF(AND(C19="Skema 1",B19="on"),Arbejdstidsoversigt!$E$74,"")</f>
        <v>7.75</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7.75</v>
      </c>
      <c r="BB19" s="229">
        <f t="shared" si="8"/>
        <v>186</v>
      </c>
      <c r="BC19" s="1">
        <f t="shared" si="24"/>
        <v>0</v>
      </c>
      <c r="BD19" s="1">
        <f t="shared" si="9"/>
        <v>0</v>
      </c>
      <c r="BE19" s="1">
        <f t="shared" si="10"/>
        <v>0</v>
      </c>
      <c r="BF19" s="1">
        <f t="shared" si="11"/>
        <v>0</v>
      </c>
      <c r="BG19" s="210" t="str">
        <f>IF(AND(C19="Skema 1",B19="ma"),Skemaoplysninger!$E$30,"")</f>
        <v/>
      </c>
      <c r="BH19" s="210" t="str">
        <f>IF(AND(C19="Skema 1",B19="ti"),Skemaoplysninger!$G$30,"")</f>
        <v/>
      </c>
      <c r="BI19" s="210">
        <f>IF(AND(C19="Skema 1",B19="on"),Skemaoplysninger!$I$30,"")</f>
        <v>0.20833333333333331</v>
      </c>
      <c r="BJ19" s="210" t="str">
        <f>IF(AND(C19="Skema 1",B19="to"),Skemaoplysninger!$K$30,"")</f>
        <v/>
      </c>
      <c r="BK19" s="210" t="str">
        <f>IF(AND(C19="Skema 1",B19="fr"),Skemaoplysninger!$M$30,"")</f>
        <v/>
      </c>
      <c r="BL19" s="210" t="str">
        <f>IF(AND(C19="Skema 2",B19="ma"),Skemaoplysninger!$S$30,"")</f>
        <v/>
      </c>
      <c r="BM19" s="210" t="str">
        <f>IF(AND(C19="Skema 2",B19="ti"),Skemaoplysninger!$U$30,"")</f>
        <v/>
      </c>
      <c r="BN19" s="210" t="str">
        <f>IF(AND(C19="Skema 2",B19="on"),Skemaoplysninger!$W$30,"")</f>
        <v/>
      </c>
      <c r="BO19" s="210" t="str">
        <f>IF(AND(C19="Skema 2",B19="to"),Skemaoplysninger!$Y$30,"")</f>
        <v/>
      </c>
      <c r="BP19" s="210" t="str">
        <f>IF(AND(C19="Skema 2",B19="fr"),Skemaoplysninger!$AA$30,"")</f>
        <v/>
      </c>
      <c r="BQ19" s="210" t="str">
        <f>IF(AND(C19="Skema 3",B19="ma"),Skemaoplysninger!$AG$30,"")</f>
        <v/>
      </c>
      <c r="BR19" s="210" t="str">
        <f>IF(AND(C19="Skema 3",B19="ti"),Skemaoplysninger!$AI$30,"")</f>
        <v/>
      </c>
      <c r="BS19" s="210" t="str">
        <f>IF(AND(C19="Skema 3",B19="on"),Skemaoplysninger!$AK$30,"")</f>
        <v/>
      </c>
      <c r="BT19" s="210" t="str">
        <f>IF(AND(C19="Skema 3",B19="to"),Skemaoplysninger!$AM$30,"")</f>
        <v/>
      </c>
      <c r="BU19" s="210" t="str">
        <f>IF(AND(C19="Skema 3",B19="fr"),Skemaoplysninger!$AO$30,"")</f>
        <v/>
      </c>
      <c r="BV19" s="210" t="str">
        <f>IF(AND(C19="Skema 4",B19="ma"),Skemaoplysninger!$AU$30,"")</f>
        <v/>
      </c>
      <c r="BW19" s="210" t="str">
        <f>IF(AND(C19="Skema 4",B19="ti"),Skemaoplysninger!$AW$30,"")</f>
        <v/>
      </c>
      <c r="BX19" s="210" t="str">
        <f>IF(AND(C19="Skema 4",B19="on"),Skemaoplysninger!$AY$30,"")</f>
        <v/>
      </c>
      <c r="BY19" s="210" t="str">
        <f>IF(AND(C19="Skema 4",B19="to"),Skemaoplysninger!$BA$30,"")</f>
        <v/>
      </c>
      <c r="BZ19" s="210" t="str">
        <f>IF(AND(C19="Skema 4",B19="fr"),Skemaoplysninger!$BC$30,"")</f>
        <v/>
      </c>
      <c r="CA19" s="1">
        <f t="shared" si="25"/>
        <v>5</v>
      </c>
      <c r="CB19" s="1">
        <f t="shared" si="12"/>
        <v>0</v>
      </c>
      <c r="CC19" s="1">
        <f t="shared" si="13"/>
        <v>0</v>
      </c>
      <c r="CD19" s="210" t="str">
        <f>IF(AND(C19="Skema 1",B19="ma"),Skemaoplysninger!$E$31,"")</f>
        <v/>
      </c>
      <c r="CE19" s="210" t="str">
        <f>IF(AND(C19="Skema 1",B19="ti"),Skemaoplysninger!$G$31,"")</f>
        <v/>
      </c>
      <c r="CF19" s="210">
        <f>IF(AND(C19="Skema 1",B19="on"),Skemaoplysninger!$I$31,"")</f>
        <v>4.8611111111111105E-2</v>
      </c>
      <c r="CG19" s="210" t="str">
        <f>IF(AND(C19="Skema 1",B19="to"),Skemaoplysninger!$K$31,"")</f>
        <v/>
      </c>
      <c r="CH19" s="210" t="str">
        <f>IF(AND(C19="Skema 1",B19="fr"),Skemaoplysninger!$M$31,"")</f>
        <v/>
      </c>
      <c r="CI19" s="210" t="str">
        <f>IF(AND(C19="Skema 2",B19="ma"),Skemaoplysninger!$S$31,"")</f>
        <v/>
      </c>
      <c r="CJ19" s="210" t="str">
        <f>IF(AND(C19="Skema 2",B19="ti"),Skemaoplysninger!$U$31,"")</f>
        <v/>
      </c>
      <c r="CK19" s="210" t="str">
        <f>IF(AND(C19="Skema 2",B19="on"),Skemaoplysninger!$W$31,"")</f>
        <v/>
      </c>
      <c r="CL19" s="210" t="str">
        <f>IF(AND(C19="Skema 2",B19="to"),Skemaoplysninger!$Y$31,"")</f>
        <v/>
      </c>
      <c r="CM19" s="210" t="str">
        <f>IF(AND(C19="Skema 2",B19="fr"),Skemaoplysninger!$AA$31,"")</f>
        <v/>
      </c>
      <c r="CN19" s="210" t="str">
        <f>IF(AND(C19="Skema 3",B19="ma"),Skemaoplysninger!$AG$31,"")</f>
        <v/>
      </c>
      <c r="CO19" s="210" t="str">
        <f>IF(AND(C19="Skema 3",B19="ti"),Skemaoplysninger!$AI$31,"")</f>
        <v/>
      </c>
      <c r="CP19" s="210" t="str">
        <f>IF(AND(C19="Skema 3",B19="on"),Skemaoplysninger!$AK$31,"")</f>
        <v/>
      </c>
      <c r="CQ19" s="210" t="str">
        <f>IF(AND(C19="Skema 3",B19="to"),Skemaoplysninger!$AM$31,"")</f>
        <v/>
      </c>
      <c r="CR19" s="210" t="str">
        <f>IF(AND(C19="Skema 3",B19="fr"),Skemaoplysninger!$AO$31,"")</f>
        <v/>
      </c>
      <c r="CS19" s="210" t="str">
        <f>IF(AND(C19="Skema 4",B19="ma"),Skemaoplysninger!$AU$31,"")</f>
        <v/>
      </c>
      <c r="CT19" s="210" t="str">
        <f>IF(AND(C19="Skema 4",B19="ti"),Skemaoplysninger!$AW$31,"")</f>
        <v/>
      </c>
      <c r="CU19" s="210" t="str">
        <f>IF(AND(C19="Skema 4",B19="on"),Skemaoplysninger!$AY$31,"")</f>
        <v/>
      </c>
      <c r="CV19" s="210" t="str">
        <f>IF(AND(C19="Skema 4",B19="to"),Skemaoplysninger!$BA$31,"")</f>
        <v/>
      </c>
      <c r="CW19" s="210" t="str">
        <f>IF(AND(C19="Skema 4",B19="fr"),Skemaoplysninger!$BC$31,"")</f>
        <v/>
      </c>
      <c r="CX19" s="249">
        <f>IF(Stamoplysninger!$H$29="NEJ",SUM(CD19:CW19)*24+CB19+CC19,0)</f>
        <v>1.1666666666666665</v>
      </c>
      <c r="CY19" s="249">
        <f>IF(C19="Skema 1",Stamoplysninger!$H$30/200,0)</f>
        <v>0</v>
      </c>
      <c r="CZ19" s="249">
        <f>IF(C19="Skema 2",Stamoplysninger!$H$30/200,0)</f>
        <v>0</v>
      </c>
      <c r="DA19" s="249">
        <f>IF(C19="Skema 3",Stamoplysninger!$H$30/200,0)</f>
        <v>0</v>
      </c>
      <c r="DB19" s="249">
        <f>IF(C19="Skema 4",Stamoplysninger!$H$30/200,0)</f>
        <v>0</v>
      </c>
      <c r="DC19" s="249">
        <f>IF(C19="fagdag",Stamoplysninger!$H$30/200,0)</f>
        <v>0</v>
      </c>
      <c r="DD19" s="249">
        <f>IF(C19="emnedag",Stamoplysninger!$H$30/200,0)</f>
        <v>0</v>
      </c>
      <c r="DE19" s="249">
        <f>IF(C19="lejrskole",Stamoplysninger!$H$30/200,0)</f>
        <v>0</v>
      </c>
      <c r="DF19" s="249">
        <f>IF(C19="ekskursion",Stamoplysninger!$H$30/200,0)</f>
        <v>0</v>
      </c>
      <c r="DG19" s="249">
        <f t="shared" si="26"/>
        <v>0</v>
      </c>
      <c r="DH19" t="str">
        <f t="shared" si="27"/>
        <v/>
      </c>
      <c r="DI19">
        <f t="shared" si="28"/>
        <v>0</v>
      </c>
      <c r="DJ19">
        <f t="shared" si="29"/>
        <v>0</v>
      </c>
      <c r="DK19" t="str">
        <f t="shared" si="14"/>
        <v/>
      </c>
      <c r="DL19" t="str">
        <f t="shared" si="14"/>
        <v/>
      </c>
      <c r="DM19" t="str">
        <f t="shared" si="14"/>
        <v/>
      </c>
      <c r="DN19" t="str">
        <f t="shared" si="30"/>
        <v/>
      </c>
      <c r="DO19" s="652">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71">
        <f>IF(AND(Stamoplysninger!$B$22="Ulempetillæg udbetales med 25% af nettotimelønnen.",C19="ikke relevant"),(R19)/4,0)</f>
        <v>0</v>
      </c>
      <c r="DT19" s="671">
        <f>IF(AND(AND(Stamoplysninger!$B$22="Ulempetillæg udbetales med 25% af nettotimelønnen.",I19="X",C19="Ikke relevant")),K19/4,0)</f>
        <v>0</v>
      </c>
      <c r="DU19" s="671">
        <f>IF(AND(AND(Stamoplysninger!$B$22="Ulempetillæg udbetales med 25% af nettotimelønnen.",C19="ikke relevant",U19="X")),(X19/4),0)</f>
        <v>0</v>
      </c>
      <c r="DV19" s="672">
        <f>IF(AND(AND(AND(Stamoplysninger!$B$22="Ulempetillæg udbetales med 25% af nettotimelønnen.",I19="X",C19="Ikke relevant",S19="X"))),V19/4,0)</f>
        <v>0</v>
      </c>
      <c r="DW19" s="652"/>
      <c r="DZ19" s="671"/>
      <c r="EA19" s="671"/>
      <c r="EB19" s="672"/>
      <c r="EC19" s="652">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71">
        <f>IF(AND(Stamoplysninger!$B$22="Ulempetillæg afspadseres med 25%(Kræver en aftale imellem ledelsen og den ansatte)",C19="ikke relevant"),(R19)/4,0)</f>
        <v>0</v>
      </c>
      <c r="EH19" s="671">
        <f>IF(AND(AND(Stamoplysninger!$B$22="Ulempetillæg afspadseres med 25%(Kræver en aftale imellem ledelsen og den ansatte)",I19="X",C19="Ikke relevant")),K19/4,0)</f>
        <v>0</v>
      </c>
      <c r="EI19" s="671">
        <f>IF(AND(AND(Stamoplysninger!$B$22="Ulempetillæg afspadseres med 25%(Kræver en aftale imellem ledelsen og den ansatte)",U19="X",C19="Ikke relevant")),X19/4,0)</f>
        <v>0</v>
      </c>
      <c r="EJ19" s="671">
        <f>IF(AND(AND(AND(Stamoplysninger!$B$22="Ulempetillæg afspadseres med 25%(Kræver en aftale imellem ledelsen og den ansatte)",I19="X",C19="Ikke relevant",S19="X"))),V19/4,0)</f>
        <v>0</v>
      </c>
      <c r="EK19" s="283">
        <f>IF(AND(Stamoplysninger!$B$26="Weekendtimer og weekendtillæg afspadseres.",I19="X"),K19*1.5,0)</f>
        <v>0</v>
      </c>
      <c r="EL19" s="251">
        <f>IF(AND(AND(Stamoplysninger!$B$26="Weekendtimer og weekendtillæg afspadseres.",I19="X",S19="X")),V19*1.5,0)</f>
        <v>0</v>
      </c>
      <c r="EM19" s="674">
        <f>IF(AND(AND(Stamoplysninger!$B$26="Weekendtimer og weekendtillæg afspadseres.",I19="X",C19="ikke relevant")),K19*1.5,0)</f>
        <v>0</v>
      </c>
      <c r="EN19" s="675">
        <f>IF(AND(AND(AND(Stamoplysninger!$B$26="Weekendtimer og weekendtillæg afspadseres.",I19="X",C19="ikke relevant",S19="X"))),(V19*1.5),0)</f>
        <v>0</v>
      </c>
      <c r="EO19" s="283">
        <f>IF(AND(Stamoplysninger!$B$26="Weekendtimer og weekendtillæg udbetales.",I19="X"),K19*1.5,0)</f>
        <v>0</v>
      </c>
      <c r="EP19" s="251">
        <f>IF(AND(AND(Stamoplysninger!$B$26="Weekendtimer og weekendtillæg udbetales.",I19="X",S19="X")),V19*1.5,0)</f>
        <v>0</v>
      </c>
      <c r="EQ19" s="674">
        <f>IF(AND(AND(Stamoplysninger!$B$26="Weekendtimer og weekendtillæg udbetales.",I19="X",C19="ikke relevant")),K19*1.5,0)</f>
        <v>0</v>
      </c>
      <c r="ER19" s="675">
        <f>IF(AND(AND(AND(Stamoplysninger!$B$26="Weekendtimer og weekendtillæg udbetales.",I19="X",C19="ikke relevant",S19="X"))),(V19*1.5),0)</f>
        <v>0</v>
      </c>
      <c r="ES19" s="283">
        <f>IF(AND(Stamoplysninger!$B$26="Der er indgået lokalaftale omkring weekendtimer.(Kræver aftale med TR/FSL) Weekendtillæg afspadseres.",I19="X"),K19*0.5,0)</f>
        <v>0</v>
      </c>
      <c r="ET19" s="251">
        <f>IF(AND(AND(Stamoplysninger!$B$26="Der er indgået lokalaftale omkring weekendtimer.(Kræver aftale med TR/FSL) Weekendtillæg afspadseres.",I19="X",S19="X")),V19*0.5,0)</f>
        <v>0</v>
      </c>
      <c r="EU19" s="674">
        <f>IF(AND(AND(Stamoplysninger!$B$26="Der er indgået lokalaftale omkring weekendtimer.(Kræver aftale med TR/FSL) Weekendtillæg afspadseres.",I19="X",C19="ikke relevant")),K19*0.5,0)</f>
        <v>0</v>
      </c>
      <c r="EV19" s="675">
        <f>IF(AND(AND(AND(Stamoplysninger!$B$26="Der er indgået lokalaftale omkring weekendtimer.(Kræver aftale med TR/FSL) Weekendtillæg afspadseres.",I19="X",C19="ikke relevant",S19="X"))),(V19*0.5),0)</f>
        <v>0</v>
      </c>
      <c r="EW19" s="283">
        <f>IF(AND(Stamoplysninger!$B$26="Der er indgået lokalaftale omkring weekendtimer(Kræver aftale med TR/FSL). Weekendtillæg udbetales.",I19="X"),K19*0.5,0)</f>
        <v>0</v>
      </c>
      <c r="EX19" s="251">
        <f>IF(AND(AND(Stamoplysninger!$B$26="Der er indgået lokalaftale omkring weekendtimer(Kræver aftale med TR/FSL). Weekendtillæg udbetales.",I19="X",S19="X")),V19*0.5,0)</f>
        <v>0</v>
      </c>
      <c r="EY19" s="674">
        <f>IF(AND(AND(Stamoplysninger!$B$26="Der er indgået lokalaftale omkring weekendtimer(Kræver aftale med TR/FSL). Weekendtillæg udbetales.",I19="X",C19="ikke relevant")),K19*0.5,0)</f>
        <v>0</v>
      </c>
      <c r="EZ19" s="675">
        <f>IF(AND(AND(AND(Stamoplysninger!$B$26="Der er indgået lokalaftale omkring weekendtimer(Kræver aftale med TR/FSL). Weekendtillæg udbetales.",I19="X",C19="ikke relevant",S19="X"))),(V19*0.5),0)</f>
        <v>0</v>
      </c>
      <c r="FA19" s="283">
        <f>IF(AND(Stamoplysninger!$B$26="Der er indgået lokalaftale omkring weekendtillæg(Kræver aftale med TR/FSL). Weekendtimerne afspadseres.",I19="X"),K19,0)</f>
        <v>0</v>
      </c>
      <c r="FB19" s="251">
        <f>IF(AND(AND(Stamoplysninger!$B$26="Der er indgået lokalaftale omkring weekendtillæg(Kræver aftale med TR/FSL). Weekendtimerne afspadseres.",I19="X",S19="X")),V19,0)</f>
        <v>0</v>
      </c>
      <c r="FC19" s="674">
        <f>IF(AND(AND(Stamoplysninger!$B$26="Der er indgået lokalaftale omkring weekendtillæg(Kræver aftale med TR/FSL). Weekendtimerne afspadseres..",I19="X",C19="ikke relevant")),K19,0)</f>
        <v>0</v>
      </c>
      <c r="FD19" s="675">
        <f>IF(AND(AND(AND(Stamoplysninger!$B$26="Der er indgået lokalaftale omkring weekendtillæg(Kræver aftale med TR/FSL). Weekendtimerne afspadseres.",I19="X",C19="ikke relevant",S19="X"))),(V19),0)</f>
        <v>0</v>
      </c>
      <c r="FE19" s="283">
        <f>IF(AND(Stamoplysninger!$B$26="Der er indgået lokalaftale omkring weekendtillæg(Kræver aftale med TR/FSL). Weekendtimerne udbetales.",I19="X"),K19,0)</f>
        <v>0</v>
      </c>
      <c r="FF19" s="251">
        <f>IF(AND(AND(Stamoplysninger!$B$26="Der er indgået lokalaftale omkring weekendtillæg(Kræver aftale med TR/FSL). Weekendtimerne udbetales.",I19="X",S19="X")),V19,0)</f>
        <v>0</v>
      </c>
      <c r="FG19" s="674">
        <f>IF(AND(AND(Stamoplysninger!$B$26="Der er indgået lokalaftale omkring weekendtillæg(Kræver aftale med TR/FSL). Weekendtimerne udbetales.",I19="X",C19="ikke relevant")),K19,0)</f>
        <v>0</v>
      </c>
      <c r="FH19" s="675">
        <f>IF(AND(AND(AND(Stamoplysninger!$B$26="Der er indgået lokalaftale omkring weekendtillæg(Kræver aftale med TR/FSL). Weekendtimerne udbetales.",I19="X",C19="ikke relevant",S19="X"))),(V19),0)</f>
        <v>0</v>
      </c>
      <c r="FI19" s="283">
        <f>IF(AND(Stamoplysninger!$B$26="Weekendtimer og weekendtillæg afspadseres.",I19="X"),K19,0)</f>
        <v>0</v>
      </c>
      <c r="FJ19" s="251">
        <f>IF(AND(Stamoplysninger!$B$26="Weekendtimer og weekendtillæg afspadseres.",Y19="X"),(AA19+AL19)/2,0)</f>
        <v>0</v>
      </c>
      <c r="FK19" s="674">
        <f>IF(AND(AND(Stamoplysninger!$B$26="Weekendtimer og weekendtillæg afspadseres.",I19="X",C19="ikke relevant")),K19,0)</f>
        <v>0</v>
      </c>
      <c r="FL19" s="675">
        <f>IF(AND(AND(Stamoplysninger!$B$26="Weekendtimer og weekendtillæg afspadseres.",Y19="X",S19="ikke relevant")),(AA19+AL19)/2,0)</f>
        <v>0</v>
      </c>
      <c r="FM19" s="283">
        <f>IF(AND(Stamoplysninger!$B$26="Der er indgået lokalaftale omkring weekendtillæg(Kræver aftale med TR/FSL). Weekendtimerne afspadseres.",I19="X"),K19,0)</f>
        <v>0</v>
      </c>
      <c r="FN19" s="674">
        <f>IF(AND(AND(Stamoplysninger!$B$26="Der er indgået lokalaftale omkring weekendtillæg(Kræver aftale med TR/FSL). Weekendtimerne afspadseres.",I19="X",C19="ikke relevant")),K19,0)</f>
        <v>0</v>
      </c>
      <c r="FO19" s="283">
        <f>IF(AND(Stamoplysninger!$B$26="Weekendtimer og weekendtillæg udbetales.",I19="X"),K19,0)</f>
        <v>0</v>
      </c>
      <c r="FP19" s="251">
        <f>IF(AND(Stamoplysninger!$B$26="Weekendtimer og weekendtillæg udbetales.",AA19="X"),(AC19+AN19)/2,0)</f>
        <v>0</v>
      </c>
      <c r="FQ19" s="674">
        <f>IF(AND(AND(Stamoplysninger!$B$26="Weekendtimer og weekendtillæg udbetales.",I19="X",C19="ikke relevant")),K19,0)</f>
        <v>0</v>
      </c>
      <c r="FR19" s="688">
        <f>IF(AND(AND(Stamoplysninger!$B$26="Weekendtimer og weekendtillæg udbetales.",AA19="X",U19="ikke relevant")),(AC19+AN19)/2,0)</f>
        <v>0</v>
      </c>
      <c r="FS19" s="283">
        <f t="shared" si="15"/>
        <v>0</v>
      </c>
      <c r="FT19" s="658">
        <f t="shared" si="16"/>
        <v>0</v>
      </c>
      <c r="FU19">
        <f t="shared" si="17"/>
        <v>0</v>
      </c>
      <c r="FV19" s="283">
        <f>IF(AND(Stamoplysninger!$B$26="Der er indgået lokalaftale omkring weekendtimer.(Kræver aftale med TR/FSL) Weekendtillæg afspadseres.",I19="X"),K19,0)</f>
        <v>0</v>
      </c>
      <c r="FW19" s="674">
        <f>IF(AND(AND(Stamoplysninger!$B$26="Der er indgået lokalaftale omkring weekendtimer.(Kræver aftale med TR/FSL) Weekendtillæg afspadseres.",I19="X",C19="ikke relevant")),K19,0)</f>
        <v>0</v>
      </c>
      <c r="FX19" s="283">
        <f>IF(AND(Stamoplysninger!$B$26="Der er indgået lokalaftale omkring weekendtimer(Kræver aftale med TR/FSL). Weekendtillæg udbetales.",I19="X"),K19,0)</f>
        <v>0</v>
      </c>
      <c r="FY19" s="674">
        <f>IF(AND(AND(Stamoplysninger!$B$26="Der er indgået lokalaftale omkring weekendtimer(Kræver aftale med TR/FSL). Weekendtillæg udbetales.",I19="X",C19="ikke relevant")),K19,0)</f>
        <v>0</v>
      </c>
      <c r="FZ19" s="283">
        <f>IF(AND(Stamoplysninger!$B$26="Der er indgået lokalaftale omkring weekendtillæg(Kræver aftale med TR/FSL). Weekendtimerne udbetales.",I19="X"),K19,0)</f>
        <v>0</v>
      </c>
      <c r="GA19" s="674">
        <f>IF(AND(AND(Stamoplysninger!$B$26="Der er indgået lokalaftale omkring weekendtillæg(Kræver aftale med TR/FSL). Weekendtimerne udbetales.",I19="X",C19="ikke relevant")),K19,0)</f>
        <v>0</v>
      </c>
      <c r="GB19" s="283">
        <f>IF(AND(Stamoplysninger!$B$26="Der er indgået lokalaftale omkring weekendtimer og weekendtillæg.(Kræver aftale med TR/FSL).",I19="X"),K19,0)</f>
        <v>0</v>
      </c>
      <c r="GC19" s="674">
        <f>IF(AND(AND(Stamoplysninger!$B$26="Der er indgået lokalaftale omkring weekendtimer og weekendtillæg.(Kræver aftale med TR/FSL).",I19="X",C19="ikke relevant")),K19,0)</f>
        <v>0</v>
      </c>
    </row>
    <row r="20" spans="1:185">
      <c r="A20" s="245">
        <f>IF(ISNUMBER(A19),A19+1,1)</f>
        <v>12</v>
      </c>
      <c r="B20" s="128" t="str">
        <f t="shared" si="0"/>
        <v>to</v>
      </c>
      <c r="C20" s="129" t="s">
        <v>206</v>
      </c>
      <c r="D20" s="130" t="str">
        <f t="shared" si="1"/>
        <v/>
      </c>
      <c r="E20" s="917"/>
      <c r="F20" s="918"/>
      <c r="G20" s="919"/>
      <c r="H20" s="298" t="s">
        <v>704</v>
      </c>
      <c r="I20" s="527"/>
      <c r="J20" s="413"/>
      <c r="K20" s="380"/>
      <c r="L20" s="380"/>
      <c r="M20" s="380"/>
      <c r="N20" s="318">
        <f t="shared" si="19"/>
        <v>8.5</v>
      </c>
      <c r="O20" s="318">
        <f t="shared" si="20"/>
        <v>3</v>
      </c>
      <c r="P20" s="318">
        <f>IF(Stamoplysninger!$H$29="JA",December!DG20,CX20)</f>
        <v>1.5</v>
      </c>
      <c r="Q20" s="318">
        <f t="shared" si="21"/>
        <v>4</v>
      </c>
      <c r="R20" s="319">
        <v>4</v>
      </c>
      <c r="S20" s="324"/>
      <c r="T20" s="325"/>
      <c r="U20" s="325"/>
      <c r="V20" s="435"/>
      <c r="W20" s="412"/>
      <c r="X20" s="642"/>
      <c r="Y20">
        <f t="shared" si="22"/>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1",B20="ma"),Arbejdstidsoversigt!$E$72,"")</f>
        <v/>
      </c>
      <c r="AH20" t="str">
        <f>IF(AND(C20="Skema 1",B20="ti"),Arbejdstidsoversigt!$E$73,"")</f>
        <v/>
      </c>
      <c r="AI20" t="str">
        <f>IF(AND(C20="Skema 1",B20="on"),Arbejdstidsoversigt!$E$74,"")</f>
        <v/>
      </c>
      <c r="AJ20">
        <f>IF(AND(C20="Skema 1",B20="to"),Arbejdstidsoversigt!$E$75,"")</f>
        <v>8.5</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8.5</v>
      </c>
      <c r="BB20" s="229">
        <f t="shared" si="8"/>
        <v>204</v>
      </c>
      <c r="BC20" s="1">
        <f t="shared" si="24"/>
        <v>0</v>
      </c>
      <c r="BD20" s="1">
        <f t="shared" si="9"/>
        <v>0</v>
      </c>
      <c r="BE20" s="1">
        <f t="shared" si="10"/>
        <v>0</v>
      </c>
      <c r="BF20" s="1">
        <f t="shared" si="11"/>
        <v>0</v>
      </c>
      <c r="BG20" s="210" t="str">
        <f>IF(AND(C20="Skema 1",B20="ma"),Skemaoplysninger!$E$30,"")</f>
        <v/>
      </c>
      <c r="BH20" s="210" t="str">
        <f>IF(AND(C20="Skema 1",B20="ti"),Skemaoplysninger!$G$30,"")</f>
        <v/>
      </c>
      <c r="BI20" s="210" t="str">
        <f>IF(AND(C20="Skema 1",B20="on"),Skemaoplysninger!$I$30,"")</f>
        <v/>
      </c>
      <c r="BJ20" s="210">
        <f>IF(AND(C20="Skema 1",B20="to"),Skemaoplysninger!$K$30,"")</f>
        <v>0.125</v>
      </c>
      <c r="BK20" s="210" t="str">
        <f>IF(AND(C20="Skema 1",B20="fr"),Skemaoplysninger!$M$30,"")</f>
        <v/>
      </c>
      <c r="BL20" s="210" t="str">
        <f>IF(AND(C20="Skema 2",B20="ma"),Skemaoplysninger!$S$30,"")</f>
        <v/>
      </c>
      <c r="BM20" s="210" t="str">
        <f>IF(AND(C20="Skema 2",B20="ti"),Skemaoplysninger!$U$30,"")</f>
        <v/>
      </c>
      <c r="BN20" s="210" t="str">
        <f>IF(AND(C20="Skema 2",B20="on"),Skemaoplysninger!$W$30,"")</f>
        <v/>
      </c>
      <c r="BO20" s="210" t="str">
        <f>IF(AND(C20="Skema 2",B20="to"),Skemaoplysninger!$Y$30,"")</f>
        <v/>
      </c>
      <c r="BP20" s="210" t="str">
        <f>IF(AND(C20="Skema 2",B20="fr"),Skemaoplysninger!$AA$30,"")</f>
        <v/>
      </c>
      <c r="BQ20" s="210" t="str">
        <f>IF(AND(C20="Skema 3",B20="ma"),Skemaoplysninger!$AG$30,"")</f>
        <v/>
      </c>
      <c r="BR20" s="210" t="str">
        <f>IF(AND(C20="Skema 3",B20="ti"),Skemaoplysninger!$AI$30,"")</f>
        <v/>
      </c>
      <c r="BS20" s="210" t="str">
        <f>IF(AND(C20="Skema 3",B20="on"),Skemaoplysninger!$AK$30,"")</f>
        <v/>
      </c>
      <c r="BT20" s="210" t="str">
        <f>IF(AND(C20="Skema 3",B20="to"),Skemaoplysninger!$AM$30,"")</f>
        <v/>
      </c>
      <c r="BU20" s="210" t="str">
        <f>IF(AND(C20="Skema 3",B20="fr"),Skemaoplysninger!$AO$30,"")</f>
        <v/>
      </c>
      <c r="BV20" s="210" t="str">
        <f>IF(AND(C20="Skema 4",B20="ma"),Skemaoplysninger!$AU$30,"")</f>
        <v/>
      </c>
      <c r="BW20" s="210" t="str">
        <f>IF(AND(C20="Skema 4",B20="ti"),Skemaoplysninger!$AW$30,"")</f>
        <v/>
      </c>
      <c r="BX20" s="210" t="str">
        <f>IF(AND(C20="Skema 4",B20="on"),Skemaoplysninger!$AY$30,"")</f>
        <v/>
      </c>
      <c r="BY20" s="210" t="str">
        <f>IF(AND(C20="Skema 4",B20="to"),Skemaoplysninger!$BA$30,"")</f>
        <v/>
      </c>
      <c r="BZ20" s="210" t="str">
        <f>IF(AND(C20="Skema 4",B20="fr"),Skemaoplysninger!$BC$30,"")</f>
        <v/>
      </c>
      <c r="CA20" s="1">
        <f t="shared" si="25"/>
        <v>3</v>
      </c>
      <c r="CB20" s="1">
        <f t="shared" si="12"/>
        <v>0</v>
      </c>
      <c r="CC20" s="1">
        <f t="shared" si="13"/>
        <v>0</v>
      </c>
      <c r="CD20" s="210" t="str">
        <f>IF(AND(C20="Skema 1",B20="ma"),Skemaoplysninger!$E$31,"")</f>
        <v/>
      </c>
      <c r="CE20" s="210" t="str">
        <f>IF(AND(C20="Skema 1",B20="ti"),Skemaoplysninger!$G$31,"")</f>
        <v/>
      </c>
      <c r="CF20" s="210" t="str">
        <f>IF(AND(C20="Skema 1",B20="on"),Skemaoplysninger!$I$31,"")</f>
        <v/>
      </c>
      <c r="CG20" s="210">
        <f>IF(AND(C20="Skema 1",B20="to"),Skemaoplysninger!$K$31,"")</f>
        <v>6.25E-2</v>
      </c>
      <c r="CH20" s="210" t="str">
        <f>IF(AND(C20="Skema 1",B20="fr"),Skemaoplysninger!$M$31,"")</f>
        <v/>
      </c>
      <c r="CI20" s="210" t="str">
        <f>IF(AND(C20="Skema 2",B20="ma"),Skemaoplysninger!$S$31,"")</f>
        <v/>
      </c>
      <c r="CJ20" s="210" t="str">
        <f>IF(AND(C20="Skema 2",B20="ti"),Skemaoplysninger!$U$31,"")</f>
        <v/>
      </c>
      <c r="CK20" s="210" t="str">
        <f>IF(AND(C20="Skema 2",B20="on"),Skemaoplysninger!$W$31,"")</f>
        <v/>
      </c>
      <c r="CL20" s="210" t="str">
        <f>IF(AND(C20="Skema 2",B20="to"),Skemaoplysninger!$Y$31,"")</f>
        <v/>
      </c>
      <c r="CM20" s="210" t="str">
        <f>IF(AND(C20="Skema 2",B20="fr"),Skemaoplysninger!$AA$31,"")</f>
        <v/>
      </c>
      <c r="CN20" s="210" t="str">
        <f>IF(AND(C20="Skema 3",B20="ma"),Skemaoplysninger!$AG$31,"")</f>
        <v/>
      </c>
      <c r="CO20" s="210" t="str">
        <f>IF(AND(C20="Skema 3",B20="ti"),Skemaoplysninger!$AI$31,"")</f>
        <v/>
      </c>
      <c r="CP20" s="210" t="str">
        <f>IF(AND(C20="Skema 3",B20="on"),Skemaoplysninger!$AK$31,"")</f>
        <v/>
      </c>
      <c r="CQ20" s="210" t="str">
        <f>IF(AND(C20="Skema 3",B20="to"),Skemaoplysninger!$AM$31,"")</f>
        <v/>
      </c>
      <c r="CR20" s="210" t="str">
        <f>IF(AND(C20="Skema 3",B20="fr"),Skemaoplysninger!$AO$31,"")</f>
        <v/>
      </c>
      <c r="CS20" s="210" t="str">
        <f>IF(AND(C20="Skema 4",B20="ma"),Skemaoplysninger!$AU$31,"")</f>
        <v/>
      </c>
      <c r="CT20" s="210" t="str">
        <f>IF(AND(C20="Skema 4",B20="ti"),Skemaoplysninger!$AW$31,"")</f>
        <v/>
      </c>
      <c r="CU20" s="210" t="str">
        <f>IF(AND(C20="Skema 4",B20="on"),Skemaoplysninger!$AY$31,"")</f>
        <v/>
      </c>
      <c r="CV20" s="210" t="str">
        <f>IF(AND(C20="Skema 4",B20="to"),Skemaoplysninger!$BA$31,"")</f>
        <v/>
      </c>
      <c r="CW20" s="210" t="str">
        <f>IF(AND(C20="Skema 4",B20="fr"),Skemaoplysninger!$BC$31,"")</f>
        <v/>
      </c>
      <c r="CX20" s="249">
        <f>IF(Stamoplysninger!$H$29="NEJ",SUM(CD20:CW20)*24+CB20+CC20,0)</f>
        <v>1.5</v>
      </c>
      <c r="CY20" s="249">
        <f>IF(C20="Skema 1",Stamoplysninger!$H$30/200,0)</f>
        <v>0</v>
      </c>
      <c r="CZ20" s="249">
        <f>IF(C20="Skema 2",Stamoplysninger!$H$30/200,0)</f>
        <v>0</v>
      </c>
      <c r="DA20" s="249">
        <f>IF(C20="Skema 3",Stamoplysninger!$H$30/200,0)</f>
        <v>0</v>
      </c>
      <c r="DB20" s="249">
        <f>IF(C20="Skema 4",Stamoplysninger!$H$30/200,0)</f>
        <v>0</v>
      </c>
      <c r="DC20" s="249">
        <f>IF(C20="fagdag",Stamoplysninger!$H$30/200,0)</f>
        <v>0</v>
      </c>
      <c r="DD20" s="249">
        <f>IF(C20="emnedag",Stamoplysninger!$H$30/200,0)</f>
        <v>0</v>
      </c>
      <c r="DE20" s="249">
        <f>IF(C20="lejrskole",Stamoplysninger!$H$30/200,0)</f>
        <v>0</v>
      </c>
      <c r="DF20" s="249">
        <f>IF(C20="ekskursion",Stamoplysninger!$H$30/200,0)</f>
        <v>0</v>
      </c>
      <c r="DG20" s="249">
        <f t="shared" si="26"/>
        <v>0</v>
      </c>
      <c r="DH20" t="str">
        <f t="shared" si="27"/>
        <v/>
      </c>
      <c r="DI20" t="str">
        <f t="shared" si="28"/>
        <v/>
      </c>
      <c r="DJ20" t="str">
        <f t="shared" si="29"/>
        <v>Luciaaften</v>
      </c>
      <c r="DK20" t="str">
        <f t="shared" si="14"/>
        <v/>
      </c>
      <c r="DL20" t="str">
        <f t="shared" si="14"/>
        <v/>
      </c>
      <c r="DM20" t="str">
        <f t="shared" si="14"/>
        <v>Luciaaften</v>
      </c>
      <c r="DN20" t="str">
        <f t="shared" si="30"/>
        <v>Luciaaften</v>
      </c>
      <c r="DO20" s="652">
        <f>IF(AND(Stamoplysninger!$B$22="Ulempetillæg udbetales med 25% af nettotimelønnen.",H20&gt;0),(R20/4),0)</f>
        <v>1</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71">
        <f>IF(AND(Stamoplysninger!$B$22="Ulempetillæg udbetales med 25% af nettotimelønnen.",C20="ikke relevant"),(R20)/4,0)</f>
        <v>0</v>
      </c>
      <c r="DT20" s="671">
        <f>IF(AND(AND(Stamoplysninger!$B$22="Ulempetillæg udbetales med 25% af nettotimelønnen.",I20="X",C20="Ikke relevant")),K20/4,0)</f>
        <v>0</v>
      </c>
      <c r="DU20" s="671">
        <f>IF(AND(AND(Stamoplysninger!$B$22="Ulempetillæg udbetales med 25% af nettotimelønnen.",C20="ikke relevant",U20="X")),(X20/4),0)</f>
        <v>0</v>
      </c>
      <c r="DV20" s="672">
        <f>IF(AND(AND(AND(Stamoplysninger!$B$22="Ulempetillæg udbetales med 25% af nettotimelønnen.",I20="X",C20="Ikke relevant",S20="X"))),V20/4,0)</f>
        <v>0</v>
      </c>
      <c r="DW20" s="652"/>
      <c r="DZ20" s="671"/>
      <c r="EA20" s="671"/>
      <c r="EB20" s="672"/>
      <c r="EC20" s="652">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71">
        <f>IF(AND(Stamoplysninger!$B$22="Ulempetillæg afspadseres med 25%(Kræver en aftale imellem ledelsen og den ansatte)",C20="ikke relevant"),(R20)/4,0)</f>
        <v>0</v>
      </c>
      <c r="EH20" s="671">
        <f>IF(AND(AND(Stamoplysninger!$B$22="Ulempetillæg afspadseres med 25%(Kræver en aftale imellem ledelsen og den ansatte)",I20="X",C20="Ikke relevant")),K20/4,0)</f>
        <v>0</v>
      </c>
      <c r="EI20" s="671">
        <f>IF(AND(AND(Stamoplysninger!$B$22="Ulempetillæg afspadseres med 25%(Kræver en aftale imellem ledelsen og den ansatte)",U20="X",C20="Ikke relevant")),X20/4,0)</f>
        <v>0</v>
      </c>
      <c r="EJ20" s="671">
        <f>IF(AND(AND(AND(Stamoplysninger!$B$22="Ulempetillæg afspadseres med 25%(Kræver en aftale imellem ledelsen og den ansatte)",I20="X",C20="Ikke relevant",S20="X"))),V20/4,0)</f>
        <v>0</v>
      </c>
      <c r="EK20" s="283">
        <f>IF(AND(Stamoplysninger!$B$26="Weekendtimer og weekendtillæg afspadseres.",I20="X"),K20*1.5,0)</f>
        <v>0</v>
      </c>
      <c r="EL20" s="251">
        <f>IF(AND(AND(Stamoplysninger!$B$26="Weekendtimer og weekendtillæg afspadseres.",I20="X",S20="X")),V20*1.5,0)</f>
        <v>0</v>
      </c>
      <c r="EM20" s="674">
        <f>IF(AND(AND(Stamoplysninger!$B$26="Weekendtimer og weekendtillæg afspadseres.",I20="X",C20="ikke relevant")),K20*1.5,0)</f>
        <v>0</v>
      </c>
      <c r="EN20" s="675">
        <f>IF(AND(AND(AND(Stamoplysninger!$B$26="Weekendtimer og weekendtillæg afspadseres.",I20="X",C20="ikke relevant",S20="X"))),(V20*1.5),0)</f>
        <v>0</v>
      </c>
      <c r="EO20" s="283">
        <f>IF(AND(Stamoplysninger!$B$26="Weekendtimer og weekendtillæg udbetales.",I20="X"),K20*1.5,0)</f>
        <v>0</v>
      </c>
      <c r="EP20" s="251">
        <f>IF(AND(AND(Stamoplysninger!$B$26="Weekendtimer og weekendtillæg udbetales.",I20="X",S20="X")),V20*1.5,0)</f>
        <v>0</v>
      </c>
      <c r="EQ20" s="674">
        <f>IF(AND(AND(Stamoplysninger!$B$26="Weekendtimer og weekendtillæg udbetales.",I20="X",C20="ikke relevant")),K20*1.5,0)</f>
        <v>0</v>
      </c>
      <c r="ER20" s="675">
        <f>IF(AND(AND(AND(Stamoplysninger!$B$26="Weekendtimer og weekendtillæg udbetales.",I20="X",C20="ikke relevant",S20="X"))),(V20*1.5),0)</f>
        <v>0</v>
      </c>
      <c r="ES20" s="283">
        <f>IF(AND(Stamoplysninger!$B$26="Der er indgået lokalaftale omkring weekendtimer.(Kræver aftale med TR/FSL) Weekendtillæg afspadseres.",I20="X"),K20*0.5,0)</f>
        <v>0</v>
      </c>
      <c r="ET20" s="251">
        <f>IF(AND(AND(Stamoplysninger!$B$26="Der er indgået lokalaftale omkring weekendtimer.(Kræver aftale med TR/FSL) Weekendtillæg afspadseres.",I20="X",S20="X")),V20*0.5,0)</f>
        <v>0</v>
      </c>
      <c r="EU20" s="674">
        <f>IF(AND(AND(Stamoplysninger!$B$26="Der er indgået lokalaftale omkring weekendtimer.(Kræver aftale med TR/FSL) Weekendtillæg afspadseres.",I20="X",C20="ikke relevant")),K20*0.5,0)</f>
        <v>0</v>
      </c>
      <c r="EV20" s="675">
        <f>IF(AND(AND(AND(Stamoplysninger!$B$26="Der er indgået lokalaftale omkring weekendtimer.(Kræver aftale med TR/FSL) Weekendtillæg afspadseres.",I20="X",C20="ikke relevant",S20="X"))),(V20*0.5),0)</f>
        <v>0</v>
      </c>
      <c r="EW20" s="283">
        <f>IF(AND(Stamoplysninger!$B$26="Der er indgået lokalaftale omkring weekendtimer(Kræver aftale med TR/FSL). Weekendtillæg udbetales.",I20="X"),K20*0.5,0)</f>
        <v>0</v>
      </c>
      <c r="EX20" s="251">
        <f>IF(AND(AND(Stamoplysninger!$B$26="Der er indgået lokalaftale omkring weekendtimer(Kræver aftale med TR/FSL). Weekendtillæg udbetales.",I20="X",S20="X")),V20*0.5,0)</f>
        <v>0</v>
      </c>
      <c r="EY20" s="674">
        <f>IF(AND(AND(Stamoplysninger!$B$26="Der er indgået lokalaftale omkring weekendtimer(Kræver aftale med TR/FSL). Weekendtillæg udbetales.",I20="X",C20="ikke relevant")),K20*0.5,0)</f>
        <v>0</v>
      </c>
      <c r="EZ20" s="675">
        <f>IF(AND(AND(AND(Stamoplysninger!$B$26="Der er indgået lokalaftale omkring weekendtimer(Kræver aftale med TR/FSL). Weekendtillæg udbetales.",I20="X",C20="ikke relevant",S20="X"))),(V20*0.5),0)</f>
        <v>0</v>
      </c>
      <c r="FA20" s="283">
        <f>IF(AND(Stamoplysninger!$B$26="Der er indgået lokalaftale omkring weekendtillæg(Kræver aftale med TR/FSL). Weekendtimerne afspadseres.",I20="X"),K20,0)</f>
        <v>0</v>
      </c>
      <c r="FB20" s="251">
        <f>IF(AND(AND(Stamoplysninger!$B$26="Der er indgået lokalaftale omkring weekendtillæg(Kræver aftale med TR/FSL). Weekendtimerne afspadseres.",I20="X",S20="X")),V20,0)</f>
        <v>0</v>
      </c>
      <c r="FC20" s="674">
        <f>IF(AND(AND(Stamoplysninger!$B$26="Der er indgået lokalaftale omkring weekendtillæg(Kræver aftale med TR/FSL). Weekendtimerne afspadseres..",I20="X",C20="ikke relevant")),K20,0)</f>
        <v>0</v>
      </c>
      <c r="FD20" s="675">
        <f>IF(AND(AND(AND(Stamoplysninger!$B$26="Der er indgået lokalaftale omkring weekendtillæg(Kræver aftale med TR/FSL). Weekendtimerne afspadseres.",I20="X",C20="ikke relevant",S20="X"))),(V20),0)</f>
        <v>0</v>
      </c>
      <c r="FE20" s="283">
        <f>IF(AND(Stamoplysninger!$B$26="Der er indgået lokalaftale omkring weekendtillæg(Kræver aftale med TR/FSL). Weekendtimerne udbetales.",I20="X"),K20,0)</f>
        <v>0</v>
      </c>
      <c r="FF20" s="251">
        <f>IF(AND(AND(Stamoplysninger!$B$26="Der er indgået lokalaftale omkring weekendtillæg(Kræver aftale med TR/FSL). Weekendtimerne udbetales.",I20="X",S20="X")),V20,0)</f>
        <v>0</v>
      </c>
      <c r="FG20" s="674">
        <f>IF(AND(AND(Stamoplysninger!$B$26="Der er indgået lokalaftale omkring weekendtillæg(Kræver aftale med TR/FSL). Weekendtimerne udbetales.",I20="X",C20="ikke relevant")),K20,0)</f>
        <v>0</v>
      </c>
      <c r="FH20" s="675">
        <f>IF(AND(AND(AND(Stamoplysninger!$B$26="Der er indgået lokalaftale omkring weekendtillæg(Kræver aftale med TR/FSL). Weekendtimerne udbetales.",I20="X",C20="ikke relevant",S20="X"))),(V20),0)</f>
        <v>0</v>
      </c>
      <c r="FI20" s="283">
        <f>IF(AND(Stamoplysninger!$B$26="Weekendtimer og weekendtillæg afspadseres.",I20="X"),K20,0)</f>
        <v>0</v>
      </c>
      <c r="FJ20" s="251">
        <f>IF(AND(Stamoplysninger!$B$26="Weekendtimer og weekendtillæg afspadseres.",Y20="X"),(AA20+AL20)/2,0)</f>
        <v>0</v>
      </c>
      <c r="FK20" s="674">
        <f>IF(AND(AND(Stamoplysninger!$B$26="Weekendtimer og weekendtillæg afspadseres.",I20="X",C20="ikke relevant")),K20,0)</f>
        <v>0</v>
      </c>
      <c r="FL20" s="675">
        <f>IF(AND(AND(Stamoplysninger!$B$26="Weekendtimer og weekendtillæg afspadseres.",Y20="X",S20="ikke relevant")),(AA20+AL20)/2,0)</f>
        <v>0</v>
      </c>
      <c r="FM20" s="283">
        <f>IF(AND(Stamoplysninger!$B$26="Der er indgået lokalaftale omkring weekendtillæg(Kræver aftale med TR/FSL). Weekendtimerne afspadseres.",I20="X"),K20,0)</f>
        <v>0</v>
      </c>
      <c r="FN20" s="674">
        <f>IF(AND(AND(Stamoplysninger!$B$26="Der er indgået lokalaftale omkring weekendtillæg(Kræver aftale med TR/FSL). Weekendtimerne afspadseres.",I20="X",C20="ikke relevant")),K20,0)</f>
        <v>0</v>
      </c>
      <c r="FO20" s="283">
        <f>IF(AND(Stamoplysninger!$B$26="Weekendtimer og weekendtillæg udbetales.",I20="X"),K20,0)</f>
        <v>0</v>
      </c>
      <c r="FP20" s="251">
        <f>IF(AND(Stamoplysninger!$B$26="Weekendtimer og weekendtillæg udbetales.",AA20="X"),(AC20+AN20)/2,0)</f>
        <v>0</v>
      </c>
      <c r="FQ20" s="674">
        <f>IF(AND(AND(Stamoplysninger!$B$26="Weekendtimer og weekendtillæg udbetales.",I20="X",C20="ikke relevant")),K20,0)</f>
        <v>0</v>
      </c>
      <c r="FR20" s="688">
        <f>IF(AND(AND(Stamoplysninger!$B$26="Weekendtimer og weekendtillæg udbetales.",AA20="X",U20="ikke relevant")),(AC20+AN20)/2,0)</f>
        <v>0</v>
      </c>
      <c r="FS20" s="283">
        <f t="shared" si="15"/>
        <v>0</v>
      </c>
      <c r="FT20" s="658">
        <f t="shared" si="16"/>
        <v>0</v>
      </c>
      <c r="FU20">
        <f t="shared" si="17"/>
        <v>0</v>
      </c>
      <c r="FV20" s="283">
        <f>IF(AND(Stamoplysninger!$B$26="Der er indgået lokalaftale omkring weekendtimer.(Kræver aftale med TR/FSL) Weekendtillæg afspadseres.",I20="X"),K20,0)</f>
        <v>0</v>
      </c>
      <c r="FW20" s="674">
        <f>IF(AND(AND(Stamoplysninger!$B$26="Der er indgået lokalaftale omkring weekendtimer.(Kræver aftale med TR/FSL) Weekendtillæg afspadseres.",I20="X",C20="ikke relevant")),K20,0)</f>
        <v>0</v>
      </c>
      <c r="FX20" s="283">
        <f>IF(AND(Stamoplysninger!$B$26="Der er indgået lokalaftale omkring weekendtimer(Kræver aftale med TR/FSL). Weekendtillæg udbetales.",I20="X"),K20,0)</f>
        <v>0</v>
      </c>
      <c r="FY20" s="674">
        <f>IF(AND(AND(Stamoplysninger!$B$26="Der er indgået lokalaftale omkring weekendtimer(Kræver aftale med TR/FSL). Weekendtillæg udbetales.",I20="X",C20="ikke relevant")),K20,0)</f>
        <v>0</v>
      </c>
      <c r="FZ20" s="283">
        <f>IF(AND(Stamoplysninger!$B$26="Der er indgået lokalaftale omkring weekendtillæg(Kræver aftale med TR/FSL). Weekendtimerne udbetales.",I20="X"),K20,0)</f>
        <v>0</v>
      </c>
      <c r="GA20" s="674">
        <f>IF(AND(AND(Stamoplysninger!$B$26="Der er indgået lokalaftale omkring weekendtillæg(Kræver aftale med TR/FSL). Weekendtimerne udbetales.",I20="X",C20="ikke relevant")),K20,0)</f>
        <v>0</v>
      </c>
      <c r="GB20" s="283">
        <f>IF(AND(Stamoplysninger!$B$26="Der er indgået lokalaftale omkring weekendtimer og weekendtillæg.(Kræver aftale med TR/FSL).",I20="X"),K20,0)</f>
        <v>0</v>
      </c>
      <c r="GC20" s="674">
        <f>IF(AND(AND(Stamoplysninger!$B$26="Der er indgået lokalaftale omkring weekendtimer og weekendtillæg.(Kræver aftale med TR/FSL).",I20="X",C20="ikke relevant")),K20,0)</f>
        <v>0</v>
      </c>
    </row>
    <row r="21" spans="1:185">
      <c r="A21" s="245">
        <f>IF(ISNUMBER(A20),A20+1,1)</f>
        <v>13</v>
      </c>
      <c r="B21" s="128" t="str">
        <f t="shared" si="0"/>
        <v>fr</v>
      </c>
      <c r="C21" s="129" t="s">
        <v>206</v>
      </c>
      <c r="D21" s="130" t="str">
        <f t="shared" si="1"/>
        <v/>
      </c>
      <c r="E21" s="949"/>
      <c r="F21" s="950"/>
      <c r="G21" s="951"/>
      <c r="H21" s="297"/>
      <c r="I21" s="527"/>
      <c r="J21" s="413"/>
      <c r="K21" s="380"/>
      <c r="L21" s="380"/>
      <c r="M21" s="380"/>
      <c r="N21" s="318">
        <f t="shared" si="19"/>
        <v>6.75</v>
      </c>
      <c r="O21" s="318">
        <f t="shared" si="20"/>
        <v>3</v>
      </c>
      <c r="P21" s="318">
        <f>IF(Stamoplysninger!$H$29="JA",December!DG21,CX21)</f>
        <v>1.5</v>
      </c>
      <c r="Q21" s="318">
        <f t="shared" si="21"/>
        <v>2.25</v>
      </c>
      <c r="R21" s="319"/>
      <c r="S21" s="324"/>
      <c r="T21" s="325"/>
      <c r="U21" s="325"/>
      <c r="V21" s="435"/>
      <c r="W21" s="412"/>
      <c r="X21" s="642"/>
      <c r="Y21">
        <f t="shared" si="22"/>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f>IF(AND(C21="Skema 1",B21="fr"),Arbejdstidsoversigt!$E$76,"")</f>
        <v>6.75</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6.75</v>
      </c>
      <c r="BB21" s="229">
        <f t="shared" si="8"/>
        <v>162</v>
      </c>
      <c r="BC21" s="1">
        <f t="shared" si="24"/>
        <v>0</v>
      </c>
      <c r="BD21" s="1">
        <f t="shared" si="9"/>
        <v>0</v>
      </c>
      <c r="BE21" s="1">
        <f t="shared" si="10"/>
        <v>0</v>
      </c>
      <c r="BF21" s="1">
        <f t="shared" si="11"/>
        <v>0</v>
      </c>
      <c r="BG21" s="210" t="str">
        <f>IF(AND(C21="Skema 1",B21="ma"),Skemaoplysninger!$E$30,"")</f>
        <v/>
      </c>
      <c r="BH21" s="210" t="str">
        <f>IF(AND(C21="Skema 1",B21="ti"),Skemaoplysninger!$G$30,"")</f>
        <v/>
      </c>
      <c r="BI21" s="210" t="str">
        <f>IF(AND(C21="Skema 1",B21="on"),Skemaoplysninger!$I$30,"")</f>
        <v/>
      </c>
      <c r="BJ21" s="210" t="str">
        <f>IF(AND(C21="Skema 1",B21="to"),Skemaoplysninger!$K$30,"")</f>
        <v/>
      </c>
      <c r="BK21" s="210">
        <f>IF(AND(C21="Skema 1",B21="fr"),Skemaoplysninger!$M$30,"")</f>
        <v>0.125</v>
      </c>
      <c r="BL21" s="210" t="str">
        <f>IF(AND(C21="Skema 2",B21="ma"),Skemaoplysninger!$S$30,"")</f>
        <v/>
      </c>
      <c r="BM21" s="210" t="str">
        <f>IF(AND(C21="Skema 2",B21="ti"),Skemaoplysninger!$U$30,"")</f>
        <v/>
      </c>
      <c r="BN21" s="210" t="str">
        <f>IF(AND(C21="Skema 2",B21="on"),Skemaoplysninger!$W$30,"")</f>
        <v/>
      </c>
      <c r="BO21" s="210" t="str">
        <f>IF(AND(C21="Skema 2",B21="to"),Skemaoplysninger!$Y$30,"")</f>
        <v/>
      </c>
      <c r="BP21" s="210" t="str">
        <f>IF(AND(C21="Skema 2",B21="fr"),Skemaoplysninger!$AA$30,"")</f>
        <v/>
      </c>
      <c r="BQ21" s="210" t="str">
        <f>IF(AND(C21="Skema 3",B21="ma"),Skemaoplysninger!$AG$30,"")</f>
        <v/>
      </c>
      <c r="BR21" s="210" t="str">
        <f>IF(AND(C21="Skema 3",B21="ti"),Skemaoplysninger!$AI$30,"")</f>
        <v/>
      </c>
      <c r="BS21" s="210" t="str">
        <f>IF(AND(C21="Skema 3",B21="on"),Skemaoplysninger!$AK$30,"")</f>
        <v/>
      </c>
      <c r="BT21" s="210" t="str">
        <f>IF(AND(C21="Skema 3",B21="to"),Skemaoplysninger!$AM$30,"")</f>
        <v/>
      </c>
      <c r="BU21" s="210" t="str">
        <f>IF(AND(C21="Skema 3",B21="fr"),Skemaoplysninger!$AO$30,"")</f>
        <v/>
      </c>
      <c r="BV21" s="210" t="str">
        <f>IF(AND(C21="Skema 4",B21="ma"),Skemaoplysninger!$AU$30,"")</f>
        <v/>
      </c>
      <c r="BW21" s="210" t="str">
        <f>IF(AND(C21="Skema 4",B21="ti"),Skemaoplysninger!$AW$30,"")</f>
        <v/>
      </c>
      <c r="BX21" s="210" t="str">
        <f>IF(AND(C21="Skema 4",B21="on"),Skemaoplysninger!$AY$30,"")</f>
        <v/>
      </c>
      <c r="BY21" s="210" t="str">
        <f>IF(AND(C21="Skema 4",B21="to"),Skemaoplysninger!$BA$30,"")</f>
        <v/>
      </c>
      <c r="BZ21" s="210" t="str">
        <f>IF(AND(C21="Skema 4",B21="fr"),Skemaoplysninger!$BC$30,"")</f>
        <v/>
      </c>
      <c r="CA21" s="1">
        <f t="shared" si="25"/>
        <v>3</v>
      </c>
      <c r="CB21" s="1">
        <f t="shared" si="12"/>
        <v>0</v>
      </c>
      <c r="CC21" s="1">
        <f t="shared" si="13"/>
        <v>0</v>
      </c>
      <c r="CD21" s="210" t="str">
        <f>IF(AND(C21="Skema 1",B21="ma"),Skemaoplysninger!$E$31,"")</f>
        <v/>
      </c>
      <c r="CE21" s="210" t="str">
        <f>IF(AND(C21="Skema 1",B21="ti"),Skemaoplysninger!$G$31,"")</f>
        <v/>
      </c>
      <c r="CF21" s="210" t="str">
        <f>IF(AND(C21="Skema 1",B21="on"),Skemaoplysninger!$I$31,"")</f>
        <v/>
      </c>
      <c r="CG21" s="210" t="str">
        <f>IF(AND(C21="Skema 1",B21="to"),Skemaoplysninger!$K$31,"")</f>
        <v/>
      </c>
      <c r="CH21" s="210">
        <f>IF(AND(C21="Skema 1",B21="fr"),Skemaoplysninger!$M$31,"")</f>
        <v>6.25E-2</v>
      </c>
      <c r="CI21" s="210" t="str">
        <f>IF(AND(C21="Skema 2",B21="ma"),Skemaoplysninger!$S$31,"")</f>
        <v/>
      </c>
      <c r="CJ21" s="210" t="str">
        <f>IF(AND(C21="Skema 2",B21="ti"),Skemaoplysninger!$U$31,"")</f>
        <v/>
      </c>
      <c r="CK21" s="210" t="str">
        <f>IF(AND(C21="Skema 2",B21="on"),Skemaoplysninger!$W$31,"")</f>
        <v/>
      </c>
      <c r="CL21" s="210" t="str">
        <f>IF(AND(C21="Skema 2",B21="to"),Skemaoplysninger!$Y$31,"")</f>
        <v/>
      </c>
      <c r="CM21" s="210" t="str">
        <f>IF(AND(C21="Skema 2",B21="fr"),Skemaoplysninger!$AA$31,"")</f>
        <v/>
      </c>
      <c r="CN21" s="210" t="str">
        <f>IF(AND(C21="Skema 3",B21="ma"),Skemaoplysninger!$AG$31,"")</f>
        <v/>
      </c>
      <c r="CO21" s="210" t="str">
        <f>IF(AND(C21="Skema 3",B21="ti"),Skemaoplysninger!$AI$31,"")</f>
        <v/>
      </c>
      <c r="CP21" s="210" t="str">
        <f>IF(AND(C21="Skema 3",B21="on"),Skemaoplysninger!$AK$31,"")</f>
        <v/>
      </c>
      <c r="CQ21" s="210" t="str">
        <f>IF(AND(C21="Skema 3",B21="to"),Skemaoplysninger!$AM$31,"")</f>
        <v/>
      </c>
      <c r="CR21" s="210" t="str">
        <f>IF(AND(C21="Skema 3",B21="fr"),Skemaoplysninger!$AO$31,"")</f>
        <v/>
      </c>
      <c r="CS21" s="210" t="str">
        <f>IF(AND(C21="Skema 4",B21="ma"),Skemaoplysninger!$AU$31,"")</f>
        <v/>
      </c>
      <c r="CT21" s="210" t="str">
        <f>IF(AND(C21="Skema 4",B21="ti"),Skemaoplysninger!$AW$31,"")</f>
        <v/>
      </c>
      <c r="CU21" s="210" t="str">
        <f>IF(AND(C21="Skema 4",B21="on"),Skemaoplysninger!$AY$31,"")</f>
        <v/>
      </c>
      <c r="CV21" s="210" t="str">
        <f>IF(AND(C21="Skema 4",B21="to"),Skemaoplysninger!$BA$31,"")</f>
        <v/>
      </c>
      <c r="CW21" s="210" t="str">
        <f>IF(AND(C21="Skema 4",B21="fr"),Skemaoplysninger!$BC$31,"")</f>
        <v/>
      </c>
      <c r="CX21" s="249">
        <f>IF(Stamoplysninger!$H$29="NEJ",SUM(CD21:CW21)*24+CB21+CC21,0)</f>
        <v>1.5</v>
      </c>
      <c r="CY21" s="249">
        <f>IF(C21="Skema 1",Stamoplysninger!$H$30/200,0)</f>
        <v>0</v>
      </c>
      <c r="CZ21" s="249">
        <f>IF(C21="Skema 2",Stamoplysninger!$H$30/200,0)</f>
        <v>0</v>
      </c>
      <c r="DA21" s="249">
        <f>IF(C21="Skema 3",Stamoplysninger!$H$30/200,0)</f>
        <v>0</v>
      </c>
      <c r="DB21" s="249">
        <f>IF(C21="Skema 4",Stamoplysninger!$H$30/200,0)</f>
        <v>0</v>
      </c>
      <c r="DC21" s="249">
        <f>IF(C21="fagdag",Stamoplysninger!$H$30/200,0)</f>
        <v>0</v>
      </c>
      <c r="DD21" s="249">
        <f>IF(C21="emnedag",Stamoplysninger!$H$30/200,0)</f>
        <v>0</v>
      </c>
      <c r="DE21" s="249">
        <f>IF(C21="lejrskole",Stamoplysninger!$H$30/200,0)</f>
        <v>0</v>
      </c>
      <c r="DF21" s="249">
        <f>IF(C21="ekskursion",Stamoplysninger!$H$30/200,0)</f>
        <v>0</v>
      </c>
      <c r="DG21" s="249">
        <f t="shared" si="26"/>
        <v>0</v>
      </c>
      <c r="DH21" t="str">
        <f t="shared" si="27"/>
        <v/>
      </c>
      <c r="DI21">
        <f t="shared" si="28"/>
        <v>0</v>
      </c>
      <c r="DJ21">
        <f t="shared" si="29"/>
        <v>0</v>
      </c>
      <c r="DK21" t="str">
        <f t="shared" si="14"/>
        <v/>
      </c>
      <c r="DL21" t="str">
        <f t="shared" si="14"/>
        <v/>
      </c>
      <c r="DM21" t="str">
        <f t="shared" si="14"/>
        <v/>
      </c>
      <c r="DN21" t="str">
        <f t="shared" si="30"/>
        <v/>
      </c>
      <c r="DO21" s="652">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71">
        <f>IF(AND(Stamoplysninger!$B$22="Ulempetillæg udbetales med 25% af nettotimelønnen.",C21="ikke relevant"),(R21)/4,0)</f>
        <v>0</v>
      </c>
      <c r="DT21" s="671">
        <f>IF(AND(AND(Stamoplysninger!$B$22="Ulempetillæg udbetales med 25% af nettotimelønnen.",I21="X",C21="Ikke relevant")),K21/4,0)</f>
        <v>0</v>
      </c>
      <c r="DU21" s="671">
        <f>IF(AND(AND(Stamoplysninger!$B$22="Ulempetillæg udbetales med 25% af nettotimelønnen.",C21="ikke relevant",U21="X")),(X21/4),0)</f>
        <v>0</v>
      </c>
      <c r="DV21" s="672">
        <f>IF(AND(AND(AND(Stamoplysninger!$B$22="Ulempetillæg udbetales med 25% af nettotimelønnen.",I21="X",C21="Ikke relevant",S21="X"))),V21/4,0)</f>
        <v>0</v>
      </c>
      <c r="DW21" s="652"/>
      <c r="DZ21" s="671"/>
      <c r="EA21" s="671"/>
      <c r="EB21" s="672"/>
      <c r="EC21" s="652">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71">
        <f>IF(AND(Stamoplysninger!$B$22="Ulempetillæg afspadseres med 25%(Kræver en aftale imellem ledelsen og den ansatte)",C21="ikke relevant"),(R21)/4,0)</f>
        <v>0</v>
      </c>
      <c r="EH21" s="671">
        <f>IF(AND(AND(Stamoplysninger!$B$22="Ulempetillæg afspadseres med 25%(Kræver en aftale imellem ledelsen og den ansatte)",I21="X",C21="Ikke relevant")),K21/4,0)</f>
        <v>0</v>
      </c>
      <c r="EI21" s="671">
        <f>IF(AND(AND(Stamoplysninger!$B$22="Ulempetillæg afspadseres med 25%(Kræver en aftale imellem ledelsen og den ansatte)",U21="X",C21="Ikke relevant")),X21/4,0)</f>
        <v>0</v>
      </c>
      <c r="EJ21" s="671">
        <f>IF(AND(AND(AND(Stamoplysninger!$B$22="Ulempetillæg afspadseres med 25%(Kræver en aftale imellem ledelsen og den ansatte)",I21="X",C21="Ikke relevant",S21="X"))),V21/4,0)</f>
        <v>0</v>
      </c>
      <c r="EK21" s="283">
        <f>IF(AND(Stamoplysninger!$B$26="Weekendtimer og weekendtillæg afspadseres.",I21="X"),K21*1.5,0)</f>
        <v>0</v>
      </c>
      <c r="EL21" s="251">
        <f>IF(AND(AND(Stamoplysninger!$B$26="Weekendtimer og weekendtillæg afspadseres.",I21="X",S21="X")),V21*1.5,0)</f>
        <v>0</v>
      </c>
      <c r="EM21" s="674">
        <f>IF(AND(AND(Stamoplysninger!$B$26="Weekendtimer og weekendtillæg afspadseres.",I21="X",C21="ikke relevant")),K21*1.5,0)</f>
        <v>0</v>
      </c>
      <c r="EN21" s="675">
        <f>IF(AND(AND(AND(Stamoplysninger!$B$26="Weekendtimer og weekendtillæg afspadseres.",I21="X",C21="ikke relevant",S21="X"))),(V21*1.5),0)</f>
        <v>0</v>
      </c>
      <c r="EO21" s="283">
        <f>IF(AND(Stamoplysninger!$B$26="Weekendtimer og weekendtillæg udbetales.",I21="X"),K21*1.5,0)</f>
        <v>0</v>
      </c>
      <c r="EP21" s="251">
        <f>IF(AND(AND(Stamoplysninger!$B$26="Weekendtimer og weekendtillæg udbetales.",I21="X",S21="X")),V21*1.5,0)</f>
        <v>0</v>
      </c>
      <c r="EQ21" s="674">
        <f>IF(AND(AND(Stamoplysninger!$B$26="Weekendtimer og weekendtillæg udbetales.",I21="X",C21="ikke relevant")),K21*1.5,0)</f>
        <v>0</v>
      </c>
      <c r="ER21" s="675">
        <f>IF(AND(AND(AND(Stamoplysninger!$B$26="Weekendtimer og weekendtillæg udbetales.",I21="X",C21="ikke relevant",S21="X"))),(V21*1.5),0)</f>
        <v>0</v>
      </c>
      <c r="ES21" s="283">
        <f>IF(AND(Stamoplysninger!$B$26="Der er indgået lokalaftale omkring weekendtimer.(Kræver aftale med TR/FSL) Weekendtillæg afspadseres.",I21="X"),K21*0.5,0)</f>
        <v>0</v>
      </c>
      <c r="ET21" s="251">
        <f>IF(AND(AND(Stamoplysninger!$B$26="Der er indgået lokalaftale omkring weekendtimer.(Kræver aftale med TR/FSL) Weekendtillæg afspadseres.",I21="X",S21="X")),V21*0.5,0)</f>
        <v>0</v>
      </c>
      <c r="EU21" s="674">
        <f>IF(AND(AND(Stamoplysninger!$B$26="Der er indgået lokalaftale omkring weekendtimer.(Kræver aftale med TR/FSL) Weekendtillæg afspadseres.",I21="X",C21="ikke relevant")),K21*0.5,0)</f>
        <v>0</v>
      </c>
      <c r="EV21" s="675">
        <f>IF(AND(AND(AND(Stamoplysninger!$B$26="Der er indgået lokalaftale omkring weekendtimer.(Kræver aftale med TR/FSL) Weekendtillæg afspadseres.",I21="X",C21="ikke relevant",S21="X"))),(V21*0.5),0)</f>
        <v>0</v>
      </c>
      <c r="EW21" s="283">
        <f>IF(AND(Stamoplysninger!$B$26="Der er indgået lokalaftale omkring weekendtimer(Kræver aftale med TR/FSL). Weekendtillæg udbetales.",I21="X"),K21*0.5,0)</f>
        <v>0</v>
      </c>
      <c r="EX21" s="251">
        <f>IF(AND(AND(Stamoplysninger!$B$26="Der er indgået lokalaftale omkring weekendtimer(Kræver aftale med TR/FSL). Weekendtillæg udbetales.",I21="X",S21="X")),V21*0.5,0)</f>
        <v>0</v>
      </c>
      <c r="EY21" s="674">
        <f>IF(AND(AND(Stamoplysninger!$B$26="Der er indgået lokalaftale omkring weekendtimer(Kræver aftale med TR/FSL). Weekendtillæg udbetales.",I21="X",C21="ikke relevant")),K21*0.5,0)</f>
        <v>0</v>
      </c>
      <c r="EZ21" s="675">
        <f>IF(AND(AND(AND(Stamoplysninger!$B$26="Der er indgået lokalaftale omkring weekendtimer(Kræver aftale med TR/FSL). Weekendtillæg udbetales.",I21="X",C21="ikke relevant",S21="X"))),(V21*0.5),0)</f>
        <v>0</v>
      </c>
      <c r="FA21" s="283">
        <f>IF(AND(Stamoplysninger!$B$26="Der er indgået lokalaftale omkring weekendtillæg(Kræver aftale med TR/FSL). Weekendtimerne afspadseres.",I21="X"),K21,0)</f>
        <v>0</v>
      </c>
      <c r="FB21" s="251">
        <f>IF(AND(AND(Stamoplysninger!$B$26="Der er indgået lokalaftale omkring weekendtillæg(Kræver aftale med TR/FSL). Weekendtimerne afspadseres.",I21="X",S21="X")),V21,0)</f>
        <v>0</v>
      </c>
      <c r="FC21" s="674">
        <f>IF(AND(AND(Stamoplysninger!$B$26="Der er indgået lokalaftale omkring weekendtillæg(Kræver aftale med TR/FSL). Weekendtimerne afspadseres..",I21="X",C21="ikke relevant")),K21,0)</f>
        <v>0</v>
      </c>
      <c r="FD21" s="675">
        <f>IF(AND(AND(AND(Stamoplysninger!$B$26="Der er indgået lokalaftale omkring weekendtillæg(Kræver aftale med TR/FSL). Weekendtimerne afspadseres.",I21="X",C21="ikke relevant",S21="X"))),(V21),0)</f>
        <v>0</v>
      </c>
      <c r="FE21" s="283">
        <f>IF(AND(Stamoplysninger!$B$26="Der er indgået lokalaftale omkring weekendtillæg(Kræver aftale med TR/FSL). Weekendtimerne udbetales.",I21="X"),K21,0)</f>
        <v>0</v>
      </c>
      <c r="FF21" s="251">
        <f>IF(AND(AND(Stamoplysninger!$B$26="Der er indgået lokalaftale omkring weekendtillæg(Kræver aftale med TR/FSL). Weekendtimerne udbetales.",I21="X",S21="X")),V21,0)</f>
        <v>0</v>
      </c>
      <c r="FG21" s="674">
        <f>IF(AND(AND(Stamoplysninger!$B$26="Der er indgået lokalaftale omkring weekendtillæg(Kræver aftale med TR/FSL). Weekendtimerne udbetales.",I21="X",C21="ikke relevant")),K21,0)</f>
        <v>0</v>
      </c>
      <c r="FH21" s="675">
        <f>IF(AND(AND(AND(Stamoplysninger!$B$26="Der er indgået lokalaftale omkring weekendtillæg(Kræver aftale med TR/FSL). Weekendtimerne udbetales.",I21="X",C21="ikke relevant",S21="X"))),(V21),0)</f>
        <v>0</v>
      </c>
      <c r="FI21" s="283">
        <f>IF(AND(Stamoplysninger!$B$26="Weekendtimer og weekendtillæg afspadseres.",I21="X"),K21,0)</f>
        <v>0</v>
      </c>
      <c r="FJ21" s="251">
        <f>IF(AND(Stamoplysninger!$B$26="Weekendtimer og weekendtillæg afspadseres.",Y21="X"),(AA21+AL21)/2,0)</f>
        <v>0</v>
      </c>
      <c r="FK21" s="674">
        <f>IF(AND(AND(Stamoplysninger!$B$26="Weekendtimer og weekendtillæg afspadseres.",I21="X",C21="ikke relevant")),K21,0)</f>
        <v>0</v>
      </c>
      <c r="FL21" s="675">
        <f>IF(AND(AND(Stamoplysninger!$B$26="Weekendtimer og weekendtillæg afspadseres.",Y21="X",S21="ikke relevant")),(AA21+AL21)/2,0)</f>
        <v>0</v>
      </c>
      <c r="FM21" s="283">
        <f>IF(AND(Stamoplysninger!$B$26="Der er indgået lokalaftale omkring weekendtillæg(Kræver aftale med TR/FSL). Weekendtimerne afspadseres.",I21="X"),K21,0)</f>
        <v>0</v>
      </c>
      <c r="FN21" s="674">
        <f>IF(AND(AND(Stamoplysninger!$B$26="Der er indgået lokalaftale omkring weekendtillæg(Kræver aftale med TR/FSL). Weekendtimerne afspadseres.",I21="X",C21="ikke relevant")),K21,0)</f>
        <v>0</v>
      </c>
      <c r="FO21" s="283">
        <f>IF(AND(Stamoplysninger!$B$26="Weekendtimer og weekendtillæg udbetales.",I21="X"),K21,0)</f>
        <v>0</v>
      </c>
      <c r="FP21" s="251">
        <f>IF(AND(Stamoplysninger!$B$26="Weekendtimer og weekendtillæg udbetales.",AA21="X"),(AC21+AN21)/2,0)</f>
        <v>0</v>
      </c>
      <c r="FQ21" s="674">
        <f>IF(AND(AND(Stamoplysninger!$B$26="Weekendtimer og weekendtillæg udbetales.",I21="X",C21="ikke relevant")),K21,0)</f>
        <v>0</v>
      </c>
      <c r="FR21" s="688">
        <f>IF(AND(AND(Stamoplysninger!$B$26="Weekendtimer og weekendtillæg udbetales.",AA21="X",U21="ikke relevant")),(AC21+AN21)/2,0)</f>
        <v>0</v>
      </c>
      <c r="FS21" s="283">
        <f t="shared" si="15"/>
        <v>0</v>
      </c>
      <c r="FT21" s="658">
        <f t="shared" si="16"/>
        <v>0</v>
      </c>
      <c r="FU21">
        <f t="shared" si="17"/>
        <v>0</v>
      </c>
      <c r="FV21" s="283">
        <f>IF(AND(Stamoplysninger!$B$26="Der er indgået lokalaftale omkring weekendtimer.(Kræver aftale med TR/FSL) Weekendtillæg afspadseres.",I21="X"),K21,0)</f>
        <v>0</v>
      </c>
      <c r="FW21" s="674">
        <f>IF(AND(AND(Stamoplysninger!$B$26="Der er indgået lokalaftale omkring weekendtimer.(Kræver aftale med TR/FSL) Weekendtillæg afspadseres.",I21="X",C21="ikke relevant")),K21,0)</f>
        <v>0</v>
      </c>
      <c r="FX21" s="283">
        <f>IF(AND(Stamoplysninger!$B$26="Der er indgået lokalaftale omkring weekendtimer(Kræver aftale med TR/FSL). Weekendtillæg udbetales.",I21="X"),K21,0)</f>
        <v>0</v>
      </c>
      <c r="FY21" s="674">
        <f>IF(AND(AND(Stamoplysninger!$B$26="Der er indgået lokalaftale omkring weekendtimer(Kræver aftale med TR/FSL). Weekendtillæg udbetales.",I21="X",C21="ikke relevant")),K21,0)</f>
        <v>0</v>
      </c>
      <c r="FZ21" s="283">
        <f>IF(AND(Stamoplysninger!$B$26="Der er indgået lokalaftale omkring weekendtillæg(Kræver aftale med TR/FSL). Weekendtimerne udbetales.",I21="X"),K21,0)</f>
        <v>0</v>
      </c>
      <c r="GA21" s="674">
        <f>IF(AND(AND(Stamoplysninger!$B$26="Der er indgået lokalaftale omkring weekendtillæg(Kræver aftale med TR/FSL). Weekendtimerne udbetales.",I21="X",C21="ikke relevant")),K21,0)</f>
        <v>0</v>
      </c>
      <c r="GB21" s="283">
        <f>IF(AND(Stamoplysninger!$B$26="Der er indgået lokalaftale omkring weekendtimer og weekendtillæg.(Kræver aftale med TR/FSL).",I21="X"),K21,0)</f>
        <v>0</v>
      </c>
      <c r="GC21" s="674">
        <f>IF(AND(AND(Stamoplysninger!$B$26="Der er indgået lokalaftale omkring weekendtimer og weekendtillæg.(Kræver aftale med TR/FSL).",I21="X",C21="ikke relevant")),K21,0)</f>
        <v>0</v>
      </c>
    </row>
    <row r="22" spans="1:185">
      <c r="A22" s="245">
        <f t="shared" si="18"/>
        <v>14</v>
      </c>
      <c r="B22" s="128" t="str">
        <f t="shared" si="0"/>
        <v>lø</v>
      </c>
      <c r="C22" s="129" t="s">
        <v>120</v>
      </c>
      <c r="D22" s="130" t="str">
        <f t="shared" si="1"/>
        <v/>
      </c>
      <c r="E22" s="949"/>
      <c r="F22" s="950"/>
      <c r="G22" s="951"/>
      <c r="H22" s="297"/>
      <c r="I22" s="413"/>
      <c r="J22" s="413"/>
      <c r="K22" s="380"/>
      <c r="L22" s="380"/>
      <c r="M22" s="380"/>
      <c r="N22" s="318">
        <f t="shared" si="19"/>
        <v>0</v>
      </c>
      <c r="O22" s="318">
        <f t="shared" si="20"/>
        <v>0</v>
      </c>
      <c r="P22" s="318">
        <f>IF(Stamoplysninger!$H$29="JA",December!DG22,CX22)</f>
        <v>0</v>
      </c>
      <c r="Q22" s="318">
        <f t="shared" si="21"/>
        <v>0</v>
      </c>
      <c r="R22" s="319"/>
      <c r="S22" s="324"/>
      <c r="T22" s="325"/>
      <c r="U22" s="325"/>
      <c r="V22" s="435"/>
      <c r="W22" s="412"/>
      <c r="X22" s="642"/>
      <c r="Y22">
        <f t="shared" si="22"/>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9">
        <f t="shared" si="8"/>
        <v>0</v>
      </c>
      <c r="BC22" s="1">
        <f t="shared" si="24"/>
        <v>0</v>
      </c>
      <c r="BD22" s="1">
        <f t="shared" si="9"/>
        <v>0</v>
      </c>
      <c r="BE22" s="1">
        <f t="shared" si="10"/>
        <v>0</v>
      </c>
      <c r="BF22" s="1">
        <f t="shared" si="11"/>
        <v>0</v>
      </c>
      <c r="BG22" s="210" t="str">
        <f>IF(AND(C22="Skema 1",B22="ma"),Skemaoplysninger!$E$30,"")</f>
        <v/>
      </c>
      <c r="BH22" s="210" t="str">
        <f>IF(AND(C22="Skema 1",B22="ti"),Skemaoplysninger!$G$30,"")</f>
        <v/>
      </c>
      <c r="BI22" s="210" t="str">
        <f>IF(AND(C22="Skema 1",B22="on"),Skemaoplysninger!$I$30,"")</f>
        <v/>
      </c>
      <c r="BJ22" s="210" t="str">
        <f>IF(AND(C22="Skema 1",B22="to"),Skemaoplysninger!$K$30,"")</f>
        <v/>
      </c>
      <c r="BK22" s="210" t="str">
        <f>IF(AND(C22="Skema 1",B22="fr"),Skemaoplysninger!$M$30,"")</f>
        <v/>
      </c>
      <c r="BL22" s="210" t="str">
        <f>IF(AND(C22="Skema 2",B22="ma"),Skemaoplysninger!$S$30,"")</f>
        <v/>
      </c>
      <c r="BM22" s="210" t="str">
        <f>IF(AND(C22="Skema 2",B22="ti"),Skemaoplysninger!$U$30,"")</f>
        <v/>
      </c>
      <c r="BN22" s="210" t="str">
        <f>IF(AND(C22="Skema 2",B22="on"),Skemaoplysninger!$W$30,"")</f>
        <v/>
      </c>
      <c r="BO22" s="210" t="str">
        <f>IF(AND(C22="Skema 2",B22="to"),Skemaoplysninger!$Y$30,"")</f>
        <v/>
      </c>
      <c r="BP22" s="210" t="str">
        <f>IF(AND(C22="Skema 2",B22="fr"),Skemaoplysninger!$AA$30,"")</f>
        <v/>
      </c>
      <c r="BQ22" s="210" t="str">
        <f>IF(AND(C22="Skema 3",B22="ma"),Skemaoplysninger!$AG$30,"")</f>
        <v/>
      </c>
      <c r="BR22" s="210" t="str">
        <f>IF(AND(C22="Skema 3",B22="ti"),Skemaoplysninger!$AI$30,"")</f>
        <v/>
      </c>
      <c r="BS22" s="210" t="str">
        <f>IF(AND(C22="Skema 3",B22="on"),Skemaoplysninger!$AK$30,"")</f>
        <v/>
      </c>
      <c r="BT22" s="210" t="str">
        <f>IF(AND(C22="Skema 3",B22="to"),Skemaoplysninger!$AM$30,"")</f>
        <v/>
      </c>
      <c r="BU22" s="210" t="str">
        <f>IF(AND(C22="Skema 3",B22="fr"),Skemaoplysninger!$AO$30,"")</f>
        <v/>
      </c>
      <c r="BV22" s="210" t="str">
        <f>IF(AND(C22="Skema 4",B22="ma"),Skemaoplysninger!$AU$30,"")</f>
        <v/>
      </c>
      <c r="BW22" s="210" t="str">
        <f>IF(AND(C22="Skema 4",B22="ti"),Skemaoplysninger!$AW$30,"")</f>
        <v/>
      </c>
      <c r="BX22" s="210" t="str">
        <f>IF(AND(C22="Skema 4",B22="on"),Skemaoplysninger!$AY$30,"")</f>
        <v/>
      </c>
      <c r="BY22" s="210" t="str">
        <f>IF(AND(C22="Skema 4",B22="to"),Skemaoplysninger!$BA$30,"")</f>
        <v/>
      </c>
      <c r="BZ22" s="210" t="str">
        <f>IF(AND(C22="Skema 4",B22="fr"),Skemaoplysninger!$BC$30,"")</f>
        <v/>
      </c>
      <c r="CA22" s="1">
        <f t="shared" si="25"/>
        <v>0</v>
      </c>
      <c r="CB22" s="1">
        <f t="shared" si="12"/>
        <v>0</v>
      </c>
      <c r="CC22" s="1">
        <f t="shared" si="13"/>
        <v>0</v>
      </c>
      <c r="CD22" s="210" t="str">
        <f>IF(AND(C22="Skema 1",B22="ma"),Skemaoplysninger!$E$31,"")</f>
        <v/>
      </c>
      <c r="CE22" s="210" t="str">
        <f>IF(AND(C22="Skema 1",B22="ti"),Skemaoplysninger!$G$31,"")</f>
        <v/>
      </c>
      <c r="CF22" s="210" t="str">
        <f>IF(AND(C22="Skema 1",B22="on"),Skemaoplysninger!$I$31,"")</f>
        <v/>
      </c>
      <c r="CG22" s="210" t="str">
        <f>IF(AND(C22="Skema 1",B22="to"),Skemaoplysninger!$K$31,"")</f>
        <v/>
      </c>
      <c r="CH22" s="210" t="str">
        <f>IF(AND(C22="Skema 1",B22="fr"),Skemaoplysninger!$M$31,"")</f>
        <v/>
      </c>
      <c r="CI22" s="210" t="str">
        <f>IF(AND(C22="Skema 2",B22="ma"),Skemaoplysninger!$S$31,"")</f>
        <v/>
      </c>
      <c r="CJ22" s="210" t="str">
        <f>IF(AND(C22="Skema 2",B22="ti"),Skemaoplysninger!$U$31,"")</f>
        <v/>
      </c>
      <c r="CK22" s="210" t="str">
        <f>IF(AND(C22="Skema 2",B22="on"),Skemaoplysninger!$W$31,"")</f>
        <v/>
      </c>
      <c r="CL22" s="210" t="str">
        <f>IF(AND(C22="Skema 2",B22="to"),Skemaoplysninger!$Y$31,"")</f>
        <v/>
      </c>
      <c r="CM22" s="210" t="str">
        <f>IF(AND(C22="Skema 2",B22="fr"),Skemaoplysninger!$AA$31,"")</f>
        <v/>
      </c>
      <c r="CN22" s="210" t="str">
        <f>IF(AND(C22="Skema 3",B22="ma"),Skemaoplysninger!$AG$31,"")</f>
        <v/>
      </c>
      <c r="CO22" s="210" t="str">
        <f>IF(AND(C22="Skema 3",B22="ti"),Skemaoplysninger!$AI$31,"")</f>
        <v/>
      </c>
      <c r="CP22" s="210" t="str">
        <f>IF(AND(C22="Skema 3",B22="on"),Skemaoplysninger!$AK$31,"")</f>
        <v/>
      </c>
      <c r="CQ22" s="210" t="str">
        <f>IF(AND(C22="Skema 3",B22="to"),Skemaoplysninger!$AM$31,"")</f>
        <v/>
      </c>
      <c r="CR22" s="210" t="str">
        <f>IF(AND(C22="Skema 3",B22="fr"),Skemaoplysninger!$AO$31,"")</f>
        <v/>
      </c>
      <c r="CS22" s="210" t="str">
        <f>IF(AND(C22="Skema 4",B22="ma"),Skemaoplysninger!$AU$31,"")</f>
        <v/>
      </c>
      <c r="CT22" s="210" t="str">
        <f>IF(AND(C22="Skema 4",B22="ti"),Skemaoplysninger!$AW$31,"")</f>
        <v/>
      </c>
      <c r="CU22" s="210" t="str">
        <f>IF(AND(C22="Skema 4",B22="on"),Skemaoplysninger!$AY$31,"")</f>
        <v/>
      </c>
      <c r="CV22" s="210" t="str">
        <f>IF(AND(C22="Skema 4",B22="to"),Skemaoplysninger!$BA$31,"")</f>
        <v/>
      </c>
      <c r="CW22" s="210" t="str">
        <f>IF(AND(C22="Skema 4",B22="fr"),Skemaoplysninger!$BC$31,"")</f>
        <v/>
      </c>
      <c r="CX22" s="249">
        <f>IF(Stamoplysninger!$H$29="NEJ",SUM(CD22:CW22)*24+CB22+CC22,0)</f>
        <v>0</v>
      </c>
      <c r="CY22" s="249">
        <f>IF(C22="Skema 1",Stamoplysninger!$H$30/200,0)</f>
        <v>0</v>
      </c>
      <c r="CZ22" s="249">
        <f>IF(C22="Skema 2",Stamoplysninger!$H$30/200,0)</f>
        <v>0</v>
      </c>
      <c r="DA22" s="249">
        <f>IF(C22="Skema 3",Stamoplysninger!$H$30/200,0)</f>
        <v>0</v>
      </c>
      <c r="DB22" s="249">
        <f>IF(C22="Skema 4",Stamoplysninger!$H$30/200,0)</f>
        <v>0</v>
      </c>
      <c r="DC22" s="249">
        <f>IF(C22="fagdag",Stamoplysninger!$H$30/200,0)</f>
        <v>0</v>
      </c>
      <c r="DD22" s="249">
        <f>IF(C22="emnedag",Stamoplysninger!$H$30/200,0)</f>
        <v>0</v>
      </c>
      <c r="DE22" s="249">
        <f>IF(C22="lejrskole",Stamoplysninger!$H$30/200,0)</f>
        <v>0</v>
      </c>
      <c r="DF22" s="249">
        <f>IF(C22="ekskursion",Stamoplysninger!$H$30/200,0)</f>
        <v>0</v>
      </c>
      <c r="DG22" s="249">
        <f t="shared" si="26"/>
        <v>0</v>
      </c>
      <c r="DH22" t="str">
        <f t="shared" si="27"/>
        <v/>
      </c>
      <c r="DI22">
        <f t="shared" si="28"/>
        <v>0</v>
      </c>
      <c r="DJ22">
        <f t="shared" si="29"/>
        <v>0</v>
      </c>
      <c r="DK22" t="str">
        <f t="shared" si="14"/>
        <v/>
      </c>
      <c r="DL22" t="str">
        <f t="shared" si="14"/>
        <v/>
      </c>
      <c r="DM22" t="str">
        <f t="shared" si="14"/>
        <v/>
      </c>
      <c r="DN22" t="str">
        <f t="shared" si="30"/>
        <v/>
      </c>
      <c r="DO22" s="652">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71">
        <f>IF(AND(Stamoplysninger!$B$22="Ulempetillæg udbetales med 25% af nettotimelønnen.",C22="ikke relevant"),(R22)/4,0)</f>
        <v>0</v>
      </c>
      <c r="DT22" s="671">
        <f>IF(AND(AND(Stamoplysninger!$B$22="Ulempetillæg udbetales med 25% af nettotimelønnen.",I22="X",C22="Ikke relevant")),K22/4,0)</f>
        <v>0</v>
      </c>
      <c r="DU22" s="671">
        <f>IF(AND(AND(Stamoplysninger!$B$22="Ulempetillæg udbetales med 25% af nettotimelønnen.",C22="ikke relevant",U22="X")),(X22/4),0)</f>
        <v>0</v>
      </c>
      <c r="DV22" s="672">
        <f>IF(AND(AND(AND(Stamoplysninger!$B$22="Ulempetillæg udbetales med 25% af nettotimelønnen.",I22="X",C22="Ikke relevant",S22="X"))),V22/4,0)</f>
        <v>0</v>
      </c>
      <c r="DW22" s="652"/>
      <c r="DZ22" s="671"/>
      <c r="EA22" s="671"/>
      <c r="EB22" s="672"/>
      <c r="EC22" s="652">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71">
        <f>IF(AND(Stamoplysninger!$B$22="Ulempetillæg afspadseres med 25%(Kræver en aftale imellem ledelsen og den ansatte)",C22="ikke relevant"),(R22)/4,0)</f>
        <v>0</v>
      </c>
      <c r="EH22" s="671">
        <f>IF(AND(AND(Stamoplysninger!$B$22="Ulempetillæg afspadseres med 25%(Kræver en aftale imellem ledelsen og den ansatte)",I22="X",C22="Ikke relevant")),K22/4,0)</f>
        <v>0</v>
      </c>
      <c r="EI22" s="671">
        <f>IF(AND(AND(Stamoplysninger!$B$22="Ulempetillæg afspadseres med 25%(Kræver en aftale imellem ledelsen og den ansatte)",U22="X",C22="Ikke relevant")),X22/4,0)</f>
        <v>0</v>
      </c>
      <c r="EJ22" s="671">
        <f>IF(AND(AND(AND(Stamoplysninger!$B$22="Ulempetillæg afspadseres med 25%(Kræver en aftale imellem ledelsen og den ansatte)",I22="X",C22="Ikke relevant",S22="X"))),V22/4,0)</f>
        <v>0</v>
      </c>
      <c r="EK22" s="283">
        <f>IF(AND(Stamoplysninger!$B$26="Weekendtimer og weekendtillæg afspadseres.",I22="X"),K22*1.5,0)</f>
        <v>0</v>
      </c>
      <c r="EL22" s="251">
        <f>IF(AND(AND(Stamoplysninger!$B$26="Weekendtimer og weekendtillæg afspadseres.",I22="X",S22="X")),V22*1.5,0)</f>
        <v>0</v>
      </c>
      <c r="EM22" s="674">
        <f>IF(AND(AND(Stamoplysninger!$B$26="Weekendtimer og weekendtillæg afspadseres.",I22="X",C22="ikke relevant")),K22*1.5,0)</f>
        <v>0</v>
      </c>
      <c r="EN22" s="675">
        <f>IF(AND(AND(AND(Stamoplysninger!$B$26="Weekendtimer og weekendtillæg afspadseres.",I22="X",C22="ikke relevant",S22="X"))),(V22*1.5),0)</f>
        <v>0</v>
      </c>
      <c r="EO22" s="283">
        <f>IF(AND(Stamoplysninger!$B$26="Weekendtimer og weekendtillæg udbetales.",I22="X"),K22*1.5,0)</f>
        <v>0</v>
      </c>
      <c r="EP22" s="251">
        <f>IF(AND(AND(Stamoplysninger!$B$26="Weekendtimer og weekendtillæg udbetales.",I22="X",S22="X")),V22*1.5,0)</f>
        <v>0</v>
      </c>
      <c r="EQ22" s="674">
        <f>IF(AND(AND(Stamoplysninger!$B$26="Weekendtimer og weekendtillæg udbetales.",I22="X",C22="ikke relevant")),K22*1.5,0)</f>
        <v>0</v>
      </c>
      <c r="ER22" s="675">
        <f>IF(AND(AND(AND(Stamoplysninger!$B$26="Weekendtimer og weekendtillæg udbetales.",I22="X",C22="ikke relevant",S22="X"))),(V22*1.5),0)</f>
        <v>0</v>
      </c>
      <c r="ES22" s="283">
        <f>IF(AND(Stamoplysninger!$B$26="Der er indgået lokalaftale omkring weekendtimer.(Kræver aftale med TR/FSL) Weekendtillæg afspadseres.",I22="X"),K22*0.5,0)</f>
        <v>0</v>
      </c>
      <c r="ET22" s="251">
        <f>IF(AND(AND(Stamoplysninger!$B$26="Der er indgået lokalaftale omkring weekendtimer.(Kræver aftale med TR/FSL) Weekendtillæg afspadseres.",I22="X",S22="X")),V22*0.5,0)</f>
        <v>0</v>
      </c>
      <c r="EU22" s="674">
        <f>IF(AND(AND(Stamoplysninger!$B$26="Der er indgået lokalaftale omkring weekendtimer.(Kræver aftale med TR/FSL) Weekendtillæg afspadseres.",I22="X",C22="ikke relevant")),K22*0.5,0)</f>
        <v>0</v>
      </c>
      <c r="EV22" s="675">
        <f>IF(AND(AND(AND(Stamoplysninger!$B$26="Der er indgået lokalaftale omkring weekendtimer.(Kræver aftale med TR/FSL) Weekendtillæg afspadseres.",I22="X",C22="ikke relevant",S22="X"))),(V22*0.5),0)</f>
        <v>0</v>
      </c>
      <c r="EW22" s="283">
        <f>IF(AND(Stamoplysninger!$B$26="Der er indgået lokalaftale omkring weekendtimer(Kræver aftale med TR/FSL). Weekendtillæg udbetales.",I22="X"),K22*0.5,0)</f>
        <v>0</v>
      </c>
      <c r="EX22" s="251">
        <f>IF(AND(AND(Stamoplysninger!$B$26="Der er indgået lokalaftale omkring weekendtimer(Kræver aftale med TR/FSL). Weekendtillæg udbetales.",I22="X",S22="X")),V22*0.5,0)</f>
        <v>0</v>
      </c>
      <c r="EY22" s="674">
        <f>IF(AND(AND(Stamoplysninger!$B$26="Der er indgået lokalaftale omkring weekendtimer(Kræver aftale med TR/FSL). Weekendtillæg udbetales.",I22="X",C22="ikke relevant")),K22*0.5,0)</f>
        <v>0</v>
      </c>
      <c r="EZ22" s="675">
        <f>IF(AND(AND(AND(Stamoplysninger!$B$26="Der er indgået lokalaftale omkring weekendtimer(Kræver aftale med TR/FSL). Weekendtillæg udbetales.",I22="X",C22="ikke relevant",S22="X"))),(V22*0.5),0)</f>
        <v>0</v>
      </c>
      <c r="FA22" s="283">
        <f>IF(AND(Stamoplysninger!$B$26="Der er indgået lokalaftale omkring weekendtillæg(Kræver aftale med TR/FSL). Weekendtimerne afspadseres.",I22="X"),K22,0)</f>
        <v>0</v>
      </c>
      <c r="FB22" s="251">
        <f>IF(AND(AND(Stamoplysninger!$B$26="Der er indgået lokalaftale omkring weekendtillæg(Kræver aftale med TR/FSL). Weekendtimerne afspadseres.",I22="X",S22="X")),V22,0)</f>
        <v>0</v>
      </c>
      <c r="FC22" s="674">
        <f>IF(AND(AND(Stamoplysninger!$B$26="Der er indgået lokalaftale omkring weekendtillæg(Kræver aftale med TR/FSL). Weekendtimerne afspadseres..",I22="X",C22="ikke relevant")),K22,0)</f>
        <v>0</v>
      </c>
      <c r="FD22" s="675">
        <f>IF(AND(AND(AND(Stamoplysninger!$B$26="Der er indgået lokalaftale omkring weekendtillæg(Kræver aftale med TR/FSL). Weekendtimerne afspadseres.",I22="X",C22="ikke relevant",S22="X"))),(V22),0)</f>
        <v>0</v>
      </c>
      <c r="FE22" s="283">
        <f>IF(AND(Stamoplysninger!$B$26="Der er indgået lokalaftale omkring weekendtillæg(Kræver aftale med TR/FSL). Weekendtimerne udbetales.",I22="X"),K22,0)</f>
        <v>0</v>
      </c>
      <c r="FF22" s="251">
        <f>IF(AND(AND(Stamoplysninger!$B$26="Der er indgået lokalaftale omkring weekendtillæg(Kræver aftale med TR/FSL). Weekendtimerne udbetales.",I22="X",S22="X")),V22,0)</f>
        <v>0</v>
      </c>
      <c r="FG22" s="674">
        <f>IF(AND(AND(Stamoplysninger!$B$26="Der er indgået lokalaftale omkring weekendtillæg(Kræver aftale med TR/FSL). Weekendtimerne udbetales.",I22="X",C22="ikke relevant")),K22,0)</f>
        <v>0</v>
      </c>
      <c r="FH22" s="675">
        <f>IF(AND(AND(AND(Stamoplysninger!$B$26="Der er indgået lokalaftale omkring weekendtillæg(Kræver aftale med TR/FSL). Weekendtimerne udbetales.",I22="X",C22="ikke relevant",S22="X"))),(V22),0)</f>
        <v>0</v>
      </c>
      <c r="FI22" s="283">
        <f>IF(AND(Stamoplysninger!$B$26="Weekendtimer og weekendtillæg afspadseres.",I22="X"),K22,0)</f>
        <v>0</v>
      </c>
      <c r="FJ22" s="251">
        <f>IF(AND(Stamoplysninger!$B$26="Weekendtimer og weekendtillæg afspadseres.",Y22="X"),(AA22+AL22)/2,0)</f>
        <v>0</v>
      </c>
      <c r="FK22" s="674">
        <f>IF(AND(AND(Stamoplysninger!$B$26="Weekendtimer og weekendtillæg afspadseres.",I22="X",C22="ikke relevant")),K22,0)</f>
        <v>0</v>
      </c>
      <c r="FL22" s="675">
        <f>IF(AND(AND(Stamoplysninger!$B$26="Weekendtimer og weekendtillæg afspadseres.",Y22="X",S22="ikke relevant")),(AA22+AL22)/2,0)</f>
        <v>0</v>
      </c>
      <c r="FM22" s="283">
        <f>IF(AND(Stamoplysninger!$B$26="Der er indgået lokalaftale omkring weekendtillæg(Kræver aftale med TR/FSL). Weekendtimerne afspadseres.",I22="X"),K22,0)</f>
        <v>0</v>
      </c>
      <c r="FN22" s="674">
        <f>IF(AND(AND(Stamoplysninger!$B$26="Der er indgået lokalaftale omkring weekendtillæg(Kræver aftale med TR/FSL). Weekendtimerne afspadseres.",I22="X",C22="ikke relevant")),K22,0)</f>
        <v>0</v>
      </c>
      <c r="FO22" s="283">
        <f>IF(AND(Stamoplysninger!$B$26="Weekendtimer og weekendtillæg udbetales.",I22="X"),K22,0)</f>
        <v>0</v>
      </c>
      <c r="FP22" s="251">
        <f>IF(AND(Stamoplysninger!$B$26="Weekendtimer og weekendtillæg udbetales.",AA22="X"),(AC22+AN22)/2,0)</f>
        <v>0</v>
      </c>
      <c r="FQ22" s="674">
        <f>IF(AND(AND(Stamoplysninger!$B$26="Weekendtimer og weekendtillæg udbetales.",I22="X",C22="ikke relevant")),K22,0)</f>
        <v>0</v>
      </c>
      <c r="FR22" s="688">
        <f>IF(AND(AND(Stamoplysninger!$B$26="Weekendtimer og weekendtillæg udbetales.",AA22="X",U22="ikke relevant")),(AC22+AN22)/2,0)</f>
        <v>0</v>
      </c>
      <c r="FS22" s="283">
        <f t="shared" si="15"/>
        <v>0</v>
      </c>
      <c r="FT22" s="658">
        <f t="shared" si="16"/>
        <v>0</v>
      </c>
      <c r="FU22">
        <f t="shared" si="17"/>
        <v>0</v>
      </c>
      <c r="FV22" s="283">
        <f>IF(AND(Stamoplysninger!$B$26="Der er indgået lokalaftale omkring weekendtimer.(Kræver aftale med TR/FSL) Weekendtillæg afspadseres.",I22="X"),K22,0)</f>
        <v>0</v>
      </c>
      <c r="FW22" s="674">
        <f>IF(AND(AND(Stamoplysninger!$B$26="Der er indgået lokalaftale omkring weekendtimer.(Kræver aftale med TR/FSL) Weekendtillæg afspadseres.",I22="X",C22="ikke relevant")),K22,0)</f>
        <v>0</v>
      </c>
      <c r="FX22" s="283">
        <f>IF(AND(Stamoplysninger!$B$26="Der er indgået lokalaftale omkring weekendtimer(Kræver aftale med TR/FSL). Weekendtillæg udbetales.",I22="X"),K22,0)</f>
        <v>0</v>
      </c>
      <c r="FY22" s="674">
        <f>IF(AND(AND(Stamoplysninger!$B$26="Der er indgået lokalaftale omkring weekendtimer(Kræver aftale med TR/FSL). Weekendtillæg udbetales.",I22="X",C22="ikke relevant")),K22,0)</f>
        <v>0</v>
      </c>
      <c r="FZ22" s="283">
        <f>IF(AND(Stamoplysninger!$B$26="Der er indgået lokalaftale omkring weekendtillæg(Kræver aftale med TR/FSL). Weekendtimerne udbetales.",I22="X"),K22,0)</f>
        <v>0</v>
      </c>
      <c r="GA22" s="674">
        <f>IF(AND(AND(Stamoplysninger!$B$26="Der er indgået lokalaftale omkring weekendtillæg(Kræver aftale med TR/FSL). Weekendtimerne udbetales.",I22="X",C22="ikke relevant")),K22,0)</f>
        <v>0</v>
      </c>
      <c r="GB22" s="283">
        <f>IF(AND(Stamoplysninger!$B$26="Der er indgået lokalaftale omkring weekendtimer og weekendtillæg.(Kræver aftale med TR/FSL).",I22="X"),K22,0)</f>
        <v>0</v>
      </c>
      <c r="GC22" s="674">
        <f>IF(AND(AND(Stamoplysninger!$B$26="Der er indgået lokalaftale omkring weekendtimer og weekendtillæg.(Kræver aftale med TR/FSL).",I22="X",C22="ikke relevant")),K22,0)</f>
        <v>0</v>
      </c>
    </row>
    <row r="23" spans="1:185">
      <c r="A23" s="245">
        <f t="shared" si="18"/>
        <v>15</v>
      </c>
      <c r="B23" s="128" t="str">
        <f t="shared" si="0"/>
        <v>sø</v>
      </c>
      <c r="C23" s="129" t="s">
        <v>120</v>
      </c>
      <c r="D23" s="130" t="str">
        <f t="shared" si="1"/>
        <v/>
      </c>
      <c r="E23" s="949"/>
      <c r="F23" s="950"/>
      <c r="G23" s="951"/>
      <c r="H23" s="297"/>
      <c r="I23" s="413"/>
      <c r="J23" s="413"/>
      <c r="K23" s="380"/>
      <c r="L23" s="380"/>
      <c r="M23" s="380"/>
      <c r="N23" s="318">
        <f t="shared" si="19"/>
        <v>0</v>
      </c>
      <c r="O23" s="318">
        <f t="shared" si="20"/>
        <v>0</v>
      </c>
      <c r="P23" s="318">
        <f>IF(Stamoplysninger!$H$29="JA",December!DG23,CX23)</f>
        <v>0</v>
      </c>
      <c r="Q23" s="318">
        <f t="shared" si="21"/>
        <v>0</v>
      </c>
      <c r="R23" s="319"/>
      <c r="S23" s="324"/>
      <c r="T23" s="325"/>
      <c r="U23" s="325"/>
      <c r="V23" s="435"/>
      <c r="W23" s="412"/>
      <c r="X23" s="642"/>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9">
        <f t="shared" si="8"/>
        <v>0</v>
      </c>
      <c r="BC23" s="1">
        <f t="shared" si="24"/>
        <v>0</v>
      </c>
      <c r="BD23" s="1">
        <f t="shared" si="9"/>
        <v>0</v>
      </c>
      <c r="BE23" s="1">
        <f t="shared" si="10"/>
        <v>0</v>
      </c>
      <c r="BF23" s="1">
        <f t="shared" si="11"/>
        <v>0</v>
      </c>
      <c r="BG23" s="210" t="str">
        <f>IF(AND(C23="Skema 1",B23="ma"),Skemaoplysninger!$E$30,"")</f>
        <v/>
      </c>
      <c r="BH23" s="210" t="str">
        <f>IF(AND(C23="Skema 1",B23="ti"),Skemaoplysninger!$G$30,"")</f>
        <v/>
      </c>
      <c r="BI23" s="210" t="str">
        <f>IF(AND(C23="Skema 1",B23="on"),Skemaoplysninger!$I$30,"")</f>
        <v/>
      </c>
      <c r="BJ23" s="210" t="str">
        <f>IF(AND(C23="Skema 1",B23="to"),Skemaoplysninger!$K$30,"")</f>
        <v/>
      </c>
      <c r="BK23" s="210" t="str">
        <f>IF(AND(C23="Skema 1",B23="fr"),Skemaoplysninger!$M$30,"")</f>
        <v/>
      </c>
      <c r="BL23" s="210" t="str">
        <f>IF(AND(C23="Skema 2",B23="ma"),Skemaoplysninger!$S$30,"")</f>
        <v/>
      </c>
      <c r="BM23" s="210" t="str">
        <f>IF(AND(C23="Skema 2",B23="ti"),Skemaoplysninger!$U$30,"")</f>
        <v/>
      </c>
      <c r="BN23" s="210" t="str">
        <f>IF(AND(C23="Skema 2",B23="on"),Skemaoplysninger!$W$30,"")</f>
        <v/>
      </c>
      <c r="BO23" s="210" t="str">
        <f>IF(AND(C23="Skema 2",B23="to"),Skemaoplysninger!$Y$30,"")</f>
        <v/>
      </c>
      <c r="BP23" s="210" t="str">
        <f>IF(AND(C23="Skema 2",B23="fr"),Skemaoplysninger!$AA$30,"")</f>
        <v/>
      </c>
      <c r="BQ23" s="210" t="str">
        <f>IF(AND(C23="Skema 3",B23="ma"),Skemaoplysninger!$AG$30,"")</f>
        <v/>
      </c>
      <c r="BR23" s="210" t="str">
        <f>IF(AND(C23="Skema 3",B23="ti"),Skemaoplysninger!$AI$30,"")</f>
        <v/>
      </c>
      <c r="BS23" s="210" t="str">
        <f>IF(AND(C23="Skema 3",B23="on"),Skemaoplysninger!$AK$30,"")</f>
        <v/>
      </c>
      <c r="BT23" s="210" t="str">
        <f>IF(AND(C23="Skema 3",B23="to"),Skemaoplysninger!$AM$30,"")</f>
        <v/>
      </c>
      <c r="BU23" s="210" t="str">
        <f>IF(AND(C23="Skema 3",B23="fr"),Skemaoplysninger!$AO$30,"")</f>
        <v/>
      </c>
      <c r="BV23" s="210" t="str">
        <f>IF(AND(C23="Skema 4",B23="ma"),Skemaoplysninger!$AU$30,"")</f>
        <v/>
      </c>
      <c r="BW23" s="210" t="str">
        <f>IF(AND(C23="Skema 4",B23="ti"),Skemaoplysninger!$AW$30,"")</f>
        <v/>
      </c>
      <c r="BX23" s="210" t="str">
        <f>IF(AND(C23="Skema 4",B23="on"),Skemaoplysninger!$AY$30,"")</f>
        <v/>
      </c>
      <c r="BY23" s="210" t="str">
        <f>IF(AND(C23="Skema 4",B23="to"),Skemaoplysninger!$BA$30,"")</f>
        <v/>
      </c>
      <c r="BZ23" s="210" t="str">
        <f>IF(AND(C23="Skema 4",B23="fr"),Skemaoplysninger!$BC$30,"")</f>
        <v/>
      </c>
      <c r="CA23" s="1">
        <f t="shared" si="25"/>
        <v>0</v>
      </c>
      <c r="CB23" s="1">
        <f t="shared" si="12"/>
        <v>0</v>
      </c>
      <c r="CC23" s="1">
        <f t="shared" si="13"/>
        <v>0</v>
      </c>
      <c r="CD23" s="210" t="str">
        <f>IF(AND(C23="Skema 1",B23="ma"),Skemaoplysninger!$E$31,"")</f>
        <v/>
      </c>
      <c r="CE23" s="210" t="str">
        <f>IF(AND(C23="Skema 1",B23="ti"),Skemaoplysninger!$G$31,"")</f>
        <v/>
      </c>
      <c r="CF23" s="210" t="str">
        <f>IF(AND(C23="Skema 1",B23="on"),Skemaoplysninger!$I$31,"")</f>
        <v/>
      </c>
      <c r="CG23" s="210" t="str">
        <f>IF(AND(C23="Skema 1",B23="to"),Skemaoplysninger!$K$31,"")</f>
        <v/>
      </c>
      <c r="CH23" s="210" t="str">
        <f>IF(AND(C23="Skema 1",B23="fr"),Skemaoplysninger!$M$31,"")</f>
        <v/>
      </c>
      <c r="CI23" s="210" t="str">
        <f>IF(AND(C23="Skema 2",B23="ma"),Skemaoplysninger!$S$31,"")</f>
        <v/>
      </c>
      <c r="CJ23" s="210" t="str">
        <f>IF(AND(C23="Skema 2",B23="ti"),Skemaoplysninger!$U$31,"")</f>
        <v/>
      </c>
      <c r="CK23" s="210" t="str">
        <f>IF(AND(C23="Skema 2",B23="on"),Skemaoplysninger!$W$31,"")</f>
        <v/>
      </c>
      <c r="CL23" s="210" t="str">
        <f>IF(AND(C23="Skema 2",B23="to"),Skemaoplysninger!$Y$31,"")</f>
        <v/>
      </c>
      <c r="CM23" s="210" t="str">
        <f>IF(AND(C23="Skema 2",B23="fr"),Skemaoplysninger!$AA$31,"")</f>
        <v/>
      </c>
      <c r="CN23" s="210" t="str">
        <f>IF(AND(C23="Skema 3",B23="ma"),Skemaoplysninger!$AG$31,"")</f>
        <v/>
      </c>
      <c r="CO23" s="210" t="str">
        <f>IF(AND(C23="Skema 3",B23="ti"),Skemaoplysninger!$AI$31,"")</f>
        <v/>
      </c>
      <c r="CP23" s="210" t="str">
        <f>IF(AND(C23="Skema 3",B23="on"),Skemaoplysninger!$AK$31,"")</f>
        <v/>
      </c>
      <c r="CQ23" s="210" t="str">
        <f>IF(AND(C23="Skema 3",B23="to"),Skemaoplysninger!$AM$31,"")</f>
        <v/>
      </c>
      <c r="CR23" s="210" t="str">
        <f>IF(AND(C23="Skema 3",B23="fr"),Skemaoplysninger!$AO$31,"")</f>
        <v/>
      </c>
      <c r="CS23" s="210" t="str">
        <f>IF(AND(C23="Skema 4",B23="ma"),Skemaoplysninger!$AU$31,"")</f>
        <v/>
      </c>
      <c r="CT23" s="210" t="str">
        <f>IF(AND(C23="Skema 4",B23="ti"),Skemaoplysninger!$AW$31,"")</f>
        <v/>
      </c>
      <c r="CU23" s="210" t="str">
        <f>IF(AND(C23="Skema 4",B23="on"),Skemaoplysninger!$AY$31,"")</f>
        <v/>
      </c>
      <c r="CV23" s="210" t="str">
        <f>IF(AND(C23="Skema 4",B23="to"),Skemaoplysninger!$BA$31,"")</f>
        <v/>
      </c>
      <c r="CW23" s="210" t="str">
        <f>IF(AND(C23="Skema 4",B23="fr"),Skemaoplysninger!$BC$31,"")</f>
        <v/>
      </c>
      <c r="CX23" s="249">
        <f>IF(Stamoplysninger!$H$29="NEJ",SUM(CD23:CW23)*24+CB23+CC23,0)</f>
        <v>0</v>
      </c>
      <c r="CY23" s="249">
        <f>IF(C23="Skema 1",Stamoplysninger!$H$30/200,0)</f>
        <v>0</v>
      </c>
      <c r="CZ23" s="249">
        <f>IF(C23="Skema 2",Stamoplysninger!$H$30/200,0)</f>
        <v>0</v>
      </c>
      <c r="DA23" s="249">
        <f>IF(C23="Skema 3",Stamoplysninger!$H$30/200,0)</f>
        <v>0</v>
      </c>
      <c r="DB23" s="249">
        <f>IF(C23="Skema 4",Stamoplysninger!$H$30/200,0)</f>
        <v>0</v>
      </c>
      <c r="DC23" s="249">
        <f>IF(C23="fagdag",Stamoplysninger!$H$30/200,0)</f>
        <v>0</v>
      </c>
      <c r="DD23" s="249">
        <f>IF(C23="emnedag",Stamoplysninger!$H$30/200,0)</f>
        <v>0</v>
      </c>
      <c r="DE23" s="249">
        <f>IF(C23="lejrskole",Stamoplysninger!$H$30/200,0)</f>
        <v>0</v>
      </c>
      <c r="DF23" s="249">
        <f>IF(C23="ekskursion",Stamoplysninger!$H$30/200,0)</f>
        <v>0</v>
      </c>
      <c r="DG23" s="249">
        <f t="shared" si="26"/>
        <v>0</v>
      </c>
      <c r="DH23" t="str">
        <f t="shared" si="27"/>
        <v/>
      </c>
      <c r="DI23">
        <f t="shared" si="28"/>
        <v>0</v>
      </c>
      <c r="DJ23">
        <f t="shared" si="29"/>
        <v>0</v>
      </c>
      <c r="DK23" t="str">
        <f t="shared" si="14"/>
        <v/>
      </c>
      <c r="DL23" t="str">
        <f t="shared" si="14"/>
        <v/>
      </c>
      <c r="DM23" t="str">
        <f t="shared" si="14"/>
        <v/>
      </c>
      <c r="DN23" t="str">
        <f t="shared" si="30"/>
        <v/>
      </c>
      <c r="DO23" s="652">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71">
        <f>IF(AND(Stamoplysninger!$B$22="Ulempetillæg udbetales med 25% af nettotimelønnen.",C23="ikke relevant"),(R23)/4,0)</f>
        <v>0</v>
      </c>
      <c r="DT23" s="671">
        <f>IF(AND(AND(Stamoplysninger!$B$22="Ulempetillæg udbetales med 25% af nettotimelønnen.",I23="X",C23="Ikke relevant")),K23/4,0)</f>
        <v>0</v>
      </c>
      <c r="DU23" s="671">
        <f>IF(AND(AND(Stamoplysninger!$B$22="Ulempetillæg udbetales med 25% af nettotimelønnen.",C23="ikke relevant",U23="X")),(X23/4),0)</f>
        <v>0</v>
      </c>
      <c r="DV23" s="672">
        <f>IF(AND(AND(AND(Stamoplysninger!$B$22="Ulempetillæg udbetales med 25% af nettotimelønnen.",I23="X",C23="Ikke relevant",S23="X"))),V23/4,0)</f>
        <v>0</v>
      </c>
      <c r="DW23" s="652"/>
      <c r="DZ23" s="671"/>
      <c r="EA23" s="671"/>
      <c r="EB23" s="672"/>
      <c r="EC23" s="652">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71">
        <f>IF(AND(Stamoplysninger!$B$22="Ulempetillæg afspadseres med 25%(Kræver en aftale imellem ledelsen og den ansatte)",C23="ikke relevant"),(R23)/4,0)</f>
        <v>0</v>
      </c>
      <c r="EH23" s="671">
        <f>IF(AND(AND(Stamoplysninger!$B$22="Ulempetillæg afspadseres med 25%(Kræver en aftale imellem ledelsen og den ansatte)",I23="X",C23="Ikke relevant")),K23/4,0)</f>
        <v>0</v>
      </c>
      <c r="EI23" s="671">
        <f>IF(AND(AND(Stamoplysninger!$B$22="Ulempetillæg afspadseres med 25%(Kræver en aftale imellem ledelsen og den ansatte)",U23="X",C23="Ikke relevant")),X23/4,0)</f>
        <v>0</v>
      </c>
      <c r="EJ23" s="671">
        <f>IF(AND(AND(AND(Stamoplysninger!$B$22="Ulempetillæg afspadseres med 25%(Kræver en aftale imellem ledelsen og den ansatte)",I23="X",C23="Ikke relevant",S23="X"))),V23/4,0)</f>
        <v>0</v>
      </c>
      <c r="EK23" s="283">
        <f>IF(AND(Stamoplysninger!$B$26="Weekendtimer og weekendtillæg afspadseres.",I23="X"),K23*1.5,0)</f>
        <v>0</v>
      </c>
      <c r="EL23" s="251">
        <f>IF(AND(AND(Stamoplysninger!$B$26="Weekendtimer og weekendtillæg afspadseres.",I23="X",S23="X")),V23*1.5,0)</f>
        <v>0</v>
      </c>
      <c r="EM23" s="674">
        <f>IF(AND(AND(Stamoplysninger!$B$26="Weekendtimer og weekendtillæg afspadseres.",I23="X",C23="ikke relevant")),K23*1.5,0)</f>
        <v>0</v>
      </c>
      <c r="EN23" s="675">
        <f>IF(AND(AND(AND(Stamoplysninger!$B$26="Weekendtimer og weekendtillæg afspadseres.",I23="X",C23="ikke relevant",S23="X"))),(V23*1.5),0)</f>
        <v>0</v>
      </c>
      <c r="EO23" s="283">
        <f>IF(AND(Stamoplysninger!$B$26="Weekendtimer og weekendtillæg udbetales.",I23="X"),K23*1.5,0)</f>
        <v>0</v>
      </c>
      <c r="EP23" s="251">
        <f>IF(AND(AND(Stamoplysninger!$B$26="Weekendtimer og weekendtillæg udbetales.",I23="X",S23="X")),V23*1.5,0)</f>
        <v>0</v>
      </c>
      <c r="EQ23" s="674">
        <f>IF(AND(AND(Stamoplysninger!$B$26="Weekendtimer og weekendtillæg udbetales.",I23="X",C23="ikke relevant")),K23*1.5,0)</f>
        <v>0</v>
      </c>
      <c r="ER23" s="675">
        <f>IF(AND(AND(AND(Stamoplysninger!$B$26="Weekendtimer og weekendtillæg udbetales.",I23="X",C23="ikke relevant",S23="X"))),(V23*1.5),0)</f>
        <v>0</v>
      </c>
      <c r="ES23" s="283">
        <f>IF(AND(Stamoplysninger!$B$26="Der er indgået lokalaftale omkring weekendtimer.(Kræver aftale med TR/FSL) Weekendtillæg afspadseres.",I23="X"),K23*0.5,0)</f>
        <v>0</v>
      </c>
      <c r="ET23" s="251">
        <f>IF(AND(AND(Stamoplysninger!$B$26="Der er indgået lokalaftale omkring weekendtimer.(Kræver aftale med TR/FSL) Weekendtillæg afspadseres.",I23="X",S23="X")),V23*0.5,0)</f>
        <v>0</v>
      </c>
      <c r="EU23" s="674">
        <f>IF(AND(AND(Stamoplysninger!$B$26="Der er indgået lokalaftale omkring weekendtimer.(Kræver aftale med TR/FSL) Weekendtillæg afspadseres.",I23="X",C23="ikke relevant")),K23*0.5,0)</f>
        <v>0</v>
      </c>
      <c r="EV23" s="675">
        <f>IF(AND(AND(AND(Stamoplysninger!$B$26="Der er indgået lokalaftale omkring weekendtimer.(Kræver aftale med TR/FSL) Weekendtillæg afspadseres.",I23="X",C23="ikke relevant",S23="X"))),(V23*0.5),0)</f>
        <v>0</v>
      </c>
      <c r="EW23" s="283">
        <f>IF(AND(Stamoplysninger!$B$26="Der er indgået lokalaftale omkring weekendtimer(Kræver aftale med TR/FSL). Weekendtillæg udbetales.",I23="X"),K23*0.5,0)</f>
        <v>0</v>
      </c>
      <c r="EX23" s="251">
        <f>IF(AND(AND(Stamoplysninger!$B$26="Der er indgået lokalaftale omkring weekendtimer(Kræver aftale med TR/FSL). Weekendtillæg udbetales.",I23="X",S23="X")),V23*0.5,0)</f>
        <v>0</v>
      </c>
      <c r="EY23" s="674">
        <f>IF(AND(AND(Stamoplysninger!$B$26="Der er indgået lokalaftale omkring weekendtimer(Kræver aftale med TR/FSL). Weekendtillæg udbetales.",I23="X",C23="ikke relevant")),K23*0.5,0)</f>
        <v>0</v>
      </c>
      <c r="EZ23" s="675">
        <f>IF(AND(AND(AND(Stamoplysninger!$B$26="Der er indgået lokalaftale omkring weekendtimer(Kræver aftale med TR/FSL). Weekendtillæg udbetales.",I23="X",C23="ikke relevant",S23="X"))),(V23*0.5),0)</f>
        <v>0</v>
      </c>
      <c r="FA23" s="283">
        <f>IF(AND(Stamoplysninger!$B$26="Der er indgået lokalaftale omkring weekendtillæg(Kræver aftale med TR/FSL). Weekendtimerne afspadseres.",I23="X"),K23,0)</f>
        <v>0</v>
      </c>
      <c r="FB23" s="251">
        <f>IF(AND(AND(Stamoplysninger!$B$26="Der er indgået lokalaftale omkring weekendtillæg(Kræver aftale med TR/FSL). Weekendtimerne afspadseres.",I23="X",S23="X")),V23,0)</f>
        <v>0</v>
      </c>
      <c r="FC23" s="674">
        <f>IF(AND(AND(Stamoplysninger!$B$26="Der er indgået lokalaftale omkring weekendtillæg(Kræver aftale med TR/FSL). Weekendtimerne afspadseres..",I23="X",C23="ikke relevant")),K23,0)</f>
        <v>0</v>
      </c>
      <c r="FD23" s="675">
        <f>IF(AND(AND(AND(Stamoplysninger!$B$26="Der er indgået lokalaftale omkring weekendtillæg(Kræver aftale med TR/FSL). Weekendtimerne afspadseres.",I23="X",C23="ikke relevant",S23="X"))),(V23),0)</f>
        <v>0</v>
      </c>
      <c r="FE23" s="283">
        <f>IF(AND(Stamoplysninger!$B$26="Der er indgået lokalaftale omkring weekendtillæg(Kræver aftale med TR/FSL). Weekendtimerne udbetales.",I23="X"),K23,0)</f>
        <v>0</v>
      </c>
      <c r="FF23" s="251">
        <f>IF(AND(AND(Stamoplysninger!$B$26="Der er indgået lokalaftale omkring weekendtillæg(Kræver aftale med TR/FSL). Weekendtimerne udbetales.",I23="X",S23="X")),V23,0)</f>
        <v>0</v>
      </c>
      <c r="FG23" s="674">
        <f>IF(AND(AND(Stamoplysninger!$B$26="Der er indgået lokalaftale omkring weekendtillæg(Kræver aftale med TR/FSL). Weekendtimerne udbetales.",I23="X",C23="ikke relevant")),K23,0)</f>
        <v>0</v>
      </c>
      <c r="FH23" s="675">
        <f>IF(AND(AND(AND(Stamoplysninger!$B$26="Der er indgået lokalaftale omkring weekendtillæg(Kræver aftale med TR/FSL). Weekendtimerne udbetales.",I23="X",C23="ikke relevant",S23="X"))),(V23),0)</f>
        <v>0</v>
      </c>
      <c r="FI23" s="283">
        <f>IF(AND(Stamoplysninger!$B$26="Weekendtimer og weekendtillæg afspadseres.",I23="X"),K23,0)</f>
        <v>0</v>
      </c>
      <c r="FJ23" s="251">
        <f>IF(AND(Stamoplysninger!$B$26="Weekendtimer og weekendtillæg afspadseres.",Y23="X"),(AA23+AL23)/2,0)</f>
        <v>0</v>
      </c>
      <c r="FK23" s="674">
        <f>IF(AND(AND(Stamoplysninger!$B$26="Weekendtimer og weekendtillæg afspadseres.",I23="X",C23="ikke relevant")),K23,0)</f>
        <v>0</v>
      </c>
      <c r="FL23" s="675">
        <f>IF(AND(AND(Stamoplysninger!$B$26="Weekendtimer og weekendtillæg afspadseres.",Y23="X",S23="ikke relevant")),(AA23+AL23)/2,0)</f>
        <v>0</v>
      </c>
      <c r="FM23" s="283">
        <f>IF(AND(Stamoplysninger!$B$26="Der er indgået lokalaftale omkring weekendtillæg(Kræver aftale med TR/FSL). Weekendtimerne afspadseres.",I23="X"),K23,0)</f>
        <v>0</v>
      </c>
      <c r="FN23" s="674">
        <f>IF(AND(AND(Stamoplysninger!$B$26="Der er indgået lokalaftale omkring weekendtillæg(Kræver aftale med TR/FSL). Weekendtimerne afspadseres.",I23="X",C23="ikke relevant")),K23,0)</f>
        <v>0</v>
      </c>
      <c r="FO23" s="283">
        <f>IF(AND(Stamoplysninger!$B$26="Weekendtimer og weekendtillæg udbetales.",I23="X"),K23,0)</f>
        <v>0</v>
      </c>
      <c r="FP23" s="251">
        <f>IF(AND(Stamoplysninger!$B$26="Weekendtimer og weekendtillæg udbetales.",AA23="X"),(AC23+AN23)/2,0)</f>
        <v>0</v>
      </c>
      <c r="FQ23" s="674">
        <f>IF(AND(AND(Stamoplysninger!$B$26="Weekendtimer og weekendtillæg udbetales.",I23="X",C23="ikke relevant")),K23,0)</f>
        <v>0</v>
      </c>
      <c r="FR23" s="688">
        <f>IF(AND(AND(Stamoplysninger!$B$26="Weekendtimer og weekendtillæg udbetales.",AA23="X",U23="ikke relevant")),(AC23+AN23)/2,0)</f>
        <v>0</v>
      </c>
      <c r="FS23" s="283">
        <f t="shared" si="15"/>
        <v>0</v>
      </c>
      <c r="FT23" s="658">
        <f t="shared" si="16"/>
        <v>0</v>
      </c>
      <c r="FU23">
        <f t="shared" si="17"/>
        <v>0</v>
      </c>
      <c r="FV23" s="283">
        <f>IF(AND(Stamoplysninger!$B$26="Der er indgået lokalaftale omkring weekendtimer.(Kræver aftale med TR/FSL) Weekendtillæg afspadseres.",I23="X"),K23,0)</f>
        <v>0</v>
      </c>
      <c r="FW23" s="674">
        <f>IF(AND(AND(Stamoplysninger!$B$26="Der er indgået lokalaftale omkring weekendtimer.(Kræver aftale med TR/FSL) Weekendtillæg afspadseres.",I23="X",C23="ikke relevant")),K23,0)</f>
        <v>0</v>
      </c>
      <c r="FX23" s="283">
        <f>IF(AND(Stamoplysninger!$B$26="Der er indgået lokalaftale omkring weekendtimer(Kræver aftale med TR/FSL). Weekendtillæg udbetales.",I23="X"),K23,0)</f>
        <v>0</v>
      </c>
      <c r="FY23" s="674">
        <f>IF(AND(AND(Stamoplysninger!$B$26="Der er indgået lokalaftale omkring weekendtimer(Kræver aftale med TR/FSL). Weekendtillæg udbetales.",I23="X",C23="ikke relevant")),K23,0)</f>
        <v>0</v>
      </c>
      <c r="FZ23" s="283">
        <f>IF(AND(Stamoplysninger!$B$26="Der er indgået lokalaftale omkring weekendtillæg(Kræver aftale med TR/FSL). Weekendtimerne udbetales.",I23="X"),K23,0)</f>
        <v>0</v>
      </c>
      <c r="GA23" s="674">
        <f>IF(AND(AND(Stamoplysninger!$B$26="Der er indgået lokalaftale omkring weekendtillæg(Kræver aftale med TR/FSL). Weekendtimerne udbetales.",I23="X",C23="ikke relevant")),K23,0)</f>
        <v>0</v>
      </c>
      <c r="GB23" s="283">
        <f>IF(AND(Stamoplysninger!$B$26="Der er indgået lokalaftale omkring weekendtimer og weekendtillæg.(Kræver aftale med TR/FSL).",I23="X"),K23,0)</f>
        <v>0</v>
      </c>
      <c r="GC23" s="674">
        <f>IF(AND(AND(Stamoplysninger!$B$26="Der er indgået lokalaftale omkring weekendtimer og weekendtillæg.(Kræver aftale med TR/FSL).",I23="X",C23="ikke relevant")),K23,0)</f>
        <v>0</v>
      </c>
    </row>
    <row r="24" spans="1:185">
      <c r="A24" s="245">
        <f>IF(ISNUMBER(A23),A23+1,1)</f>
        <v>16</v>
      </c>
      <c r="B24" s="128" t="str">
        <f t="shared" si="0"/>
        <v>ma</v>
      </c>
      <c r="C24" s="129" t="s">
        <v>206</v>
      </c>
      <c r="D24" s="130">
        <f t="shared" si="1"/>
        <v>51</v>
      </c>
      <c r="E24" s="917"/>
      <c r="F24" s="918"/>
      <c r="G24" s="919"/>
      <c r="H24" s="298"/>
      <c r="I24" s="527"/>
      <c r="J24" s="413"/>
      <c r="K24" s="380"/>
      <c r="L24" s="380"/>
      <c r="M24" s="380"/>
      <c r="N24" s="318">
        <f t="shared" si="19"/>
        <v>7.75</v>
      </c>
      <c r="O24" s="318">
        <f t="shared" si="20"/>
        <v>3.916666666666667</v>
      </c>
      <c r="P24" s="318">
        <f>IF(Stamoplysninger!$H$29="JA",December!DG24,CX24)</f>
        <v>0.83333333333333337</v>
      </c>
      <c r="Q24" s="318">
        <f t="shared" si="21"/>
        <v>2.9999999999999996</v>
      </c>
      <c r="R24" s="319"/>
      <c r="S24" s="324"/>
      <c r="T24" s="325"/>
      <c r="U24" s="325"/>
      <c r="V24" s="435"/>
      <c r="W24" s="412"/>
      <c r="X24" s="642"/>
      <c r="Y24">
        <f t="shared" si="22"/>
        <v>0</v>
      </c>
      <c r="Z24">
        <f t="shared" si="2"/>
        <v>0</v>
      </c>
      <c r="AA24" s="1">
        <f t="shared" si="3"/>
        <v>0</v>
      </c>
      <c r="AB24" s="1">
        <f t="shared" si="4"/>
        <v>0</v>
      </c>
      <c r="AC24" s="1">
        <f t="shared" si="5"/>
        <v>0</v>
      </c>
      <c r="AD24" s="1">
        <f t="shared" si="6"/>
        <v>0</v>
      </c>
      <c r="AE24" s="1">
        <f t="shared" si="7"/>
        <v>0</v>
      </c>
      <c r="AF24" s="1">
        <f>IF(C24="Orlov",7.4*Stamoplysninger!$E$15,0)</f>
        <v>0</v>
      </c>
      <c r="AG24">
        <f>IF(AND(C24="Skema 1",B24="ma"),Arbejdstidsoversigt!$E$72,"")</f>
        <v>7.75</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7.75</v>
      </c>
      <c r="BB24" s="229">
        <f t="shared" si="8"/>
        <v>186</v>
      </c>
      <c r="BC24" s="1">
        <f t="shared" si="24"/>
        <v>0</v>
      </c>
      <c r="BD24" s="1">
        <f t="shared" si="9"/>
        <v>0</v>
      </c>
      <c r="BE24" s="1">
        <f t="shared" si="10"/>
        <v>0</v>
      </c>
      <c r="BF24" s="1">
        <f t="shared" si="11"/>
        <v>0</v>
      </c>
      <c r="BG24" s="210">
        <f>IF(AND(C24="Skema 1",B24="ma"),Skemaoplysninger!$E$30,"")</f>
        <v>0.16319444444444445</v>
      </c>
      <c r="BH24" s="210" t="str">
        <f>IF(AND(C24="Skema 1",B24="ti"),Skemaoplysninger!$G$30,"")</f>
        <v/>
      </c>
      <c r="BI24" s="210" t="str">
        <f>IF(AND(C24="Skema 1",B24="on"),Skemaoplysninger!$I$30,"")</f>
        <v/>
      </c>
      <c r="BJ24" s="210" t="str">
        <f>IF(AND(C24="Skema 1",B24="to"),Skemaoplysninger!$K$30,"")</f>
        <v/>
      </c>
      <c r="BK24" s="210" t="str">
        <f>IF(AND(C24="Skema 1",B24="fr"),Skemaoplysninger!$M$30,"")</f>
        <v/>
      </c>
      <c r="BL24" s="210" t="str">
        <f>IF(AND(C24="Skema 2",B24="ma"),Skemaoplysninger!$S$30,"")</f>
        <v/>
      </c>
      <c r="BM24" s="210" t="str">
        <f>IF(AND(C24="Skema 2",B24="ti"),Skemaoplysninger!$U$30,"")</f>
        <v/>
      </c>
      <c r="BN24" s="210" t="str">
        <f>IF(AND(C24="Skema 2",B24="on"),Skemaoplysninger!$W$30,"")</f>
        <v/>
      </c>
      <c r="BO24" s="210" t="str">
        <f>IF(AND(C24="Skema 2",B24="to"),Skemaoplysninger!$Y$30,"")</f>
        <v/>
      </c>
      <c r="BP24" s="210" t="str">
        <f>IF(AND(C24="Skema 2",B24="fr"),Skemaoplysninger!$AA$30,"")</f>
        <v/>
      </c>
      <c r="BQ24" s="210" t="str">
        <f>IF(AND(C24="Skema 3",B24="ma"),Skemaoplysninger!$AG$30,"")</f>
        <v/>
      </c>
      <c r="BR24" s="210" t="str">
        <f>IF(AND(C24="Skema 3",B24="ti"),Skemaoplysninger!$AI$30,"")</f>
        <v/>
      </c>
      <c r="BS24" s="210" t="str">
        <f>IF(AND(C24="Skema 3",B24="on"),Skemaoplysninger!$AK$30,"")</f>
        <v/>
      </c>
      <c r="BT24" s="210" t="str">
        <f>IF(AND(C24="Skema 3",B24="to"),Skemaoplysninger!$AM$30,"")</f>
        <v/>
      </c>
      <c r="BU24" s="210" t="str">
        <f>IF(AND(C24="Skema 3",B24="fr"),Skemaoplysninger!$AO$30,"")</f>
        <v/>
      </c>
      <c r="BV24" s="210" t="str">
        <f>IF(AND(C24="Skema 4",B24="ma"),Skemaoplysninger!$AU$30,"")</f>
        <v/>
      </c>
      <c r="BW24" s="210" t="str">
        <f>IF(AND(C24="Skema 4",B24="ti"),Skemaoplysninger!$AW$30,"")</f>
        <v/>
      </c>
      <c r="BX24" s="210" t="str">
        <f>IF(AND(C24="Skema 4",B24="on"),Skemaoplysninger!$AY$30,"")</f>
        <v/>
      </c>
      <c r="BY24" s="210" t="str">
        <f>IF(AND(C24="Skema 4",B24="to"),Skemaoplysninger!$BA$30,"")</f>
        <v/>
      </c>
      <c r="BZ24" s="210" t="str">
        <f>IF(AND(C24="Skema 4",B24="fr"),Skemaoplysninger!$BC$30,"")</f>
        <v/>
      </c>
      <c r="CA24" s="1">
        <f t="shared" si="25"/>
        <v>3.916666666666667</v>
      </c>
      <c r="CB24" s="1">
        <f t="shared" si="12"/>
        <v>0</v>
      </c>
      <c r="CC24" s="1">
        <f t="shared" si="13"/>
        <v>0</v>
      </c>
      <c r="CD24" s="210">
        <f>IF(AND(C24="Skema 1",B24="ma"),Skemaoplysninger!$E$31,"")</f>
        <v>3.4722222222222224E-2</v>
      </c>
      <c r="CE24" s="210" t="str">
        <f>IF(AND(C24="Skema 1",B24="ti"),Skemaoplysninger!$G$31,"")</f>
        <v/>
      </c>
      <c r="CF24" s="210" t="str">
        <f>IF(AND(C24="Skema 1",B24="on"),Skemaoplysninger!$I$31,"")</f>
        <v/>
      </c>
      <c r="CG24" s="210" t="str">
        <f>IF(AND(C24="Skema 1",B24="to"),Skemaoplysninger!$K$31,"")</f>
        <v/>
      </c>
      <c r="CH24" s="210" t="str">
        <f>IF(AND(C24="Skema 1",B24="fr"),Skemaoplysninger!$M$31,"")</f>
        <v/>
      </c>
      <c r="CI24" s="210" t="str">
        <f>IF(AND(C24="Skema 2",B24="ma"),Skemaoplysninger!$S$31,"")</f>
        <v/>
      </c>
      <c r="CJ24" s="210" t="str">
        <f>IF(AND(C24="Skema 2",B24="ti"),Skemaoplysninger!$U$31,"")</f>
        <v/>
      </c>
      <c r="CK24" s="210" t="str">
        <f>IF(AND(C24="Skema 2",B24="on"),Skemaoplysninger!$W$31,"")</f>
        <v/>
      </c>
      <c r="CL24" s="210" t="str">
        <f>IF(AND(C24="Skema 2",B24="to"),Skemaoplysninger!$Y$31,"")</f>
        <v/>
      </c>
      <c r="CM24" s="210" t="str">
        <f>IF(AND(C24="Skema 2",B24="fr"),Skemaoplysninger!$AA$31,"")</f>
        <v/>
      </c>
      <c r="CN24" s="210" t="str">
        <f>IF(AND(C24="Skema 3",B24="ma"),Skemaoplysninger!$AG$31,"")</f>
        <v/>
      </c>
      <c r="CO24" s="210" t="str">
        <f>IF(AND(C24="Skema 3",B24="ti"),Skemaoplysninger!$AI$31,"")</f>
        <v/>
      </c>
      <c r="CP24" s="210" t="str">
        <f>IF(AND(C24="Skema 3",B24="on"),Skemaoplysninger!$AK$31,"")</f>
        <v/>
      </c>
      <c r="CQ24" s="210" t="str">
        <f>IF(AND(C24="Skema 3",B24="to"),Skemaoplysninger!$AM$31,"")</f>
        <v/>
      </c>
      <c r="CR24" s="210" t="str">
        <f>IF(AND(C24="Skema 3",B24="fr"),Skemaoplysninger!$AO$31,"")</f>
        <v/>
      </c>
      <c r="CS24" s="210" t="str">
        <f>IF(AND(C24="Skema 4",B24="ma"),Skemaoplysninger!$AU$31,"")</f>
        <v/>
      </c>
      <c r="CT24" s="210" t="str">
        <f>IF(AND(C24="Skema 4",B24="ti"),Skemaoplysninger!$AW$31,"")</f>
        <v/>
      </c>
      <c r="CU24" s="210" t="str">
        <f>IF(AND(C24="Skema 4",B24="on"),Skemaoplysninger!$AY$31,"")</f>
        <v/>
      </c>
      <c r="CV24" s="210" t="str">
        <f>IF(AND(C24="Skema 4",B24="to"),Skemaoplysninger!$BA$31,"")</f>
        <v/>
      </c>
      <c r="CW24" s="210" t="str">
        <f>IF(AND(C24="Skema 4",B24="fr"),Skemaoplysninger!$BC$31,"")</f>
        <v/>
      </c>
      <c r="CX24" s="249">
        <f>IF(Stamoplysninger!$H$29="NEJ",SUM(CD24:CW24)*24+CB24+CC24,0)</f>
        <v>0.83333333333333337</v>
      </c>
      <c r="CY24" s="249">
        <f>IF(C24="Skema 1",Stamoplysninger!$H$30/200,0)</f>
        <v>0</v>
      </c>
      <c r="CZ24" s="249">
        <f>IF(C24="Skema 2",Stamoplysninger!$H$30/200,0)</f>
        <v>0</v>
      </c>
      <c r="DA24" s="249">
        <f>IF(C24="Skema 3",Stamoplysninger!$H$30/200,0)</f>
        <v>0</v>
      </c>
      <c r="DB24" s="249">
        <f>IF(C24="Skema 4",Stamoplysninger!$H$30/200,0)</f>
        <v>0</v>
      </c>
      <c r="DC24" s="249">
        <f>IF(C24="fagdag",Stamoplysninger!$H$30/200,0)</f>
        <v>0</v>
      </c>
      <c r="DD24" s="249">
        <f>IF(C24="emnedag",Stamoplysninger!$H$30/200,0)</f>
        <v>0</v>
      </c>
      <c r="DE24" s="249">
        <f>IF(C24="lejrskole",Stamoplysninger!$H$30/200,0)</f>
        <v>0</v>
      </c>
      <c r="DF24" s="249">
        <f>IF(C24="ekskursion",Stamoplysninger!$H$30/200,0)</f>
        <v>0</v>
      </c>
      <c r="DG24" s="249">
        <f t="shared" si="26"/>
        <v>0</v>
      </c>
      <c r="DH24" t="str">
        <f t="shared" si="27"/>
        <v/>
      </c>
      <c r="DI24">
        <f t="shared" si="28"/>
        <v>0</v>
      </c>
      <c r="DJ24">
        <f t="shared" si="29"/>
        <v>0</v>
      </c>
      <c r="DK24" t="str">
        <f t="shared" si="14"/>
        <v/>
      </c>
      <c r="DL24" t="str">
        <f t="shared" si="14"/>
        <v/>
      </c>
      <c r="DM24" t="str">
        <f t="shared" si="14"/>
        <v/>
      </c>
      <c r="DN24" t="str">
        <f t="shared" si="30"/>
        <v/>
      </c>
      <c r="DO24" s="652">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71">
        <f>IF(AND(Stamoplysninger!$B$22="Ulempetillæg udbetales med 25% af nettotimelønnen.",C24="ikke relevant"),(R24)/4,0)</f>
        <v>0</v>
      </c>
      <c r="DT24" s="671">
        <f>IF(AND(AND(Stamoplysninger!$B$22="Ulempetillæg udbetales med 25% af nettotimelønnen.",I24="X",C24="Ikke relevant")),K24/4,0)</f>
        <v>0</v>
      </c>
      <c r="DU24" s="671">
        <f>IF(AND(AND(Stamoplysninger!$B$22="Ulempetillæg udbetales med 25% af nettotimelønnen.",C24="ikke relevant",U24="X")),(X24/4),0)</f>
        <v>0</v>
      </c>
      <c r="DV24" s="672">
        <f>IF(AND(AND(AND(Stamoplysninger!$B$22="Ulempetillæg udbetales med 25% af nettotimelønnen.",I24="X",C24="Ikke relevant",S24="X"))),V24/4,0)</f>
        <v>0</v>
      </c>
      <c r="DW24" s="652"/>
      <c r="DZ24" s="671"/>
      <c r="EA24" s="671"/>
      <c r="EB24" s="672"/>
      <c r="EC24" s="652">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71">
        <f>IF(AND(Stamoplysninger!$B$22="Ulempetillæg afspadseres med 25%(Kræver en aftale imellem ledelsen og den ansatte)",C24="ikke relevant"),(R24)/4,0)</f>
        <v>0</v>
      </c>
      <c r="EH24" s="671">
        <f>IF(AND(AND(Stamoplysninger!$B$22="Ulempetillæg afspadseres med 25%(Kræver en aftale imellem ledelsen og den ansatte)",I24="X",C24="Ikke relevant")),K24/4,0)</f>
        <v>0</v>
      </c>
      <c r="EI24" s="671">
        <f>IF(AND(AND(Stamoplysninger!$B$22="Ulempetillæg afspadseres med 25%(Kræver en aftale imellem ledelsen og den ansatte)",U24="X",C24="Ikke relevant")),X24/4,0)</f>
        <v>0</v>
      </c>
      <c r="EJ24" s="671">
        <f>IF(AND(AND(AND(Stamoplysninger!$B$22="Ulempetillæg afspadseres med 25%(Kræver en aftale imellem ledelsen og den ansatte)",I24="X",C24="Ikke relevant",S24="X"))),V24/4,0)</f>
        <v>0</v>
      </c>
      <c r="EK24" s="283">
        <f>IF(AND(Stamoplysninger!$B$26="Weekendtimer og weekendtillæg afspadseres.",I24="X"),K24*1.5,0)</f>
        <v>0</v>
      </c>
      <c r="EL24" s="251">
        <f>IF(AND(AND(Stamoplysninger!$B$26="Weekendtimer og weekendtillæg afspadseres.",I24="X",S24="X")),V24*1.5,0)</f>
        <v>0</v>
      </c>
      <c r="EM24" s="674">
        <f>IF(AND(AND(Stamoplysninger!$B$26="Weekendtimer og weekendtillæg afspadseres.",I24="X",C24="ikke relevant")),K24*1.5,0)</f>
        <v>0</v>
      </c>
      <c r="EN24" s="675">
        <f>IF(AND(AND(AND(Stamoplysninger!$B$26="Weekendtimer og weekendtillæg afspadseres.",I24="X",C24="ikke relevant",S24="X"))),(V24*1.5),0)</f>
        <v>0</v>
      </c>
      <c r="EO24" s="283">
        <f>IF(AND(Stamoplysninger!$B$26="Weekendtimer og weekendtillæg udbetales.",I24="X"),K24*1.5,0)</f>
        <v>0</v>
      </c>
      <c r="EP24" s="251">
        <f>IF(AND(AND(Stamoplysninger!$B$26="Weekendtimer og weekendtillæg udbetales.",I24="X",S24="X")),V24*1.5,0)</f>
        <v>0</v>
      </c>
      <c r="EQ24" s="674">
        <f>IF(AND(AND(Stamoplysninger!$B$26="Weekendtimer og weekendtillæg udbetales.",I24="X",C24="ikke relevant")),K24*1.5,0)</f>
        <v>0</v>
      </c>
      <c r="ER24" s="675">
        <f>IF(AND(AND(AND(Stamoplysninger!$B$26="Weekendtimer og weekendtillæg udbetales.",I24="X",C24="ikke relevant",S24="X"))),(V24*1.5),0)</f>
        <v>0</v>
      </c>
      <c r="ES24" s="283">
        <f>IF(AND(Stamoplysninger!$B$26="Der er indgået lokalaftale omkring weekendtimer.(Kræver aftale med TR/FSL) Weekendtillæg afspadseres.",I24="X"),K24*0.5,0)</f>
        <v>0</v>
      </c>
      <c r="ET24" s="251">
        <f>IF(AND(AND(Stamoplysninger!$B$26="Der er indgået lokalaftale omkring weekendtimer.(Kræver aftale med TR/FSL) Weekendtillæg afspadseres.",I24="X",S24="X")),V24*0.5,0)</f>
        <v>0</v>
      </c>
      <c r="EU24" s="674">
        <f>IF(AND(AND(Stamoplysninger!$B$26="Der er indgået lokalaftale omkring weekendtimer.(Kræver aftale med TR/FSL) Weekendtillæg afspadseres.",I24="X",C24="ikke relevant")),K24*0.5,0)</f>
        <v>0</v>
      </c>
      <c r="EV24" s="675">
        <f>IF(AND(AND(AND(Stamoplysninger!$B$26="Der er indgået lokalaftale omkring weekendtimer.(Kræver aftale med TR/FSL) Weekendtillæg afspadseres.",I24="X",C24="ikke relevant",S24="X"))),(V24*0.5),0)</f>
        <v>0</v>
      </c>
      <c r="EW24" s="283">
        <f>IF(AND(Stamoplysninger!$B$26="Der er indgået lokalaftale omkring weekendtimer(Kræver aftale med TR/FSL). Weekendtillæg udbetales.",I24="X"),K24*0.5,0)</f>
        <v>0</v>
      </c>
      <c r="EX24" s="251">
        <f>IF(AND(AND(Stamoplysninger!$B$26="Der er indgået lokalaftale omkring weekendtimer(Kræver aftale med TR/FSL). Weekendtillæg udbetales.",I24="X",S24="X")),V24*0.5,0)</f>
        <v>0</v>
      </c>
      <c r="EY24" s="674">
        <f>IF(AND(AND(Stamoplysninger!$B$26="Der er indgået lokalaftale omkring weekendtimer(Kræver aftale med TR/FSL). Weekendtillæg udbetales.",I24="X",C24="ikke relevant")),K24*0.5,0)</f>
        <v>0</v>
      </c>
      <c r="EZ24" s="675">
        <f>IF(AND(AND(AND(Stamoplysninger!$B$26="Der er indgået lokalaftale omkring weekendtimer(Kræver aftale med TR/FSL). Weekendtillæg udbetales.",I24="X",C24="ikke relevant",S24="X"))),(V24*0.5),0)</f>
        <v>0</v>
      </c>
      <c r="FA24" s="283">
        <f>IF(AND(Stamoplysninger!$B$26="Der er indgået lokalaftale omkring weekendtillæg(Kræver aftale med TR/FSL). Weekendtimerne afspadseres.",I24="X"),K24,0)</f>
        <v>0</v>
      </c>
      <c r="FB24" s="251">
        <f>IF(AND(AND(Stamoplysninger!$B$26="Der er indgået lokalaftale omkring weekendtillæg(Kræver aftale med TR/FSL). Weekendtimerne afspadseres.",I24="X",S24="X")),V24,0)</f>
        <v>0</v>
      </c>
      <c r="FC24" s="674">
        <f>IF(AND(AND(Stamoplysninger!$B$26="Der er indgået lokalaftale omkring weekendtillæg(Kræver aftale med TR/FSL). Weekendtimerne afspadseres..",I24="X",C24="ikke relevant")),K24,0)</f>
        <v>0</v>
      </c>
      <c r="FD24" s="675">
        <f>IF(AND(AND(AND(Stamoplysninger!$B$26="Der er indgået lokalaftale omkring weekendtillæg(Kræver aftale med TR/FSL). Weekendtimerne afspadseres.",I24="X",C24="ikke relevant",S24="X"))),(V24),0)</f>
        <v>0</v>
      </c>
      <c r="FE24" s="283">
        <f>IF(AND(Stamoplysninger!$B$26="Der er indgået lokalaftale omkring weekendtillæg(Kræver aftale med TR/FSL). Weekendtimerne udbetales.",I24="X"),K24,0)</f>
        <v>0</v>
      </c>
      <c r="FF24" s="251">
        <f>IF(AND(AND(Stamoplysninger!$B$26="Der er indgået lokalaftale omkring weekendtillæg(Kræver aftale med TR/FSL). Weekendtimerne udbetales.",I24="X",S24="X")),V24,0)</f>
        <v>0</v>
      </c>
      <c r="FG24" s="674">
        <f>IF(AND(AND(Stamoplysninger!$B$26="Der er indgået lokalaftale omkring weekendtillæg(Kræver aftale med TR/FSL). Weekendtimerne udbetales.",I24="X",C24="ikke relevant")),K24,0)</f>
        <v>0</v>
      </c>
      <c r="FH24" s="675">
        <f>IF(AND(AND(AND(Stamoplysninger!$B$26="Der er indgået lokalaftale omkring weekendtillæg(Kræver aftale med TR/FSL). Weekendtimerne udbetales.",I24="X",C24="ikke relevant",S24="X"))),(V24),0)</f>
        <v>0</v>
      </c>
      <c r="FI24" s="283">
        <f>IF(AND(Stamoplysninger!$B$26="Weekendtimer og weekendtillæg afspadseres.",I24="X"),K24,0)</f>
        <v>0</v>
      </c>
      <c r="FJ24" s="251">
        <f>IF(AND(Stamoplysninger!$B$26="Weekendtimer og weekendtillæg afspadseres.",Y24="X"),(AA24+AL24)/2,0)</f>
        <v>0</v>
      </c>
      <c r="FK24" s="674">
        <f>IF(AND(AND(Stamoplysninger!$B$26="Weekendtimer og weekendtillæg afspadseres.",I24="X",C24="ikke relevant")),K24,0)</f>
        <v>0</v>
      </c>
      <c r="FL24" s="675">
        <f>IF(AND(AND(Stamoplysninger!$B$26="Weekendtimer og weekendtillæg afspadseres.",Y24="X",S24="ikke relevant")),(AA24+AL24)/2,0)</f>
        <v>0</v>
      </c>
      <c r="FM24" s="283">
        <f>IF(AND(Stamoplysninger!$B$26="Der er indgået lokalaftale omkring weekendtillæg(Kræver aftale med TR/FSL). Weekendtimerne afspadseres.",I24="X"),K24,0)</f>
        <v>0</v>
      </c>
      <c r="FN24" s="674">
        <f>IF(AND(AND(Stamoplysninger!$B$26="Der er indgået lokalaftale omkring weekendtillæg(Kræver aftale med TR/FSL). Weekendtimerne afspadseres.",I24="X",C24="ikke relevant")),K24,0)</f>
        <v>0</v>
      </c>
      <c r="FO24" s="283">
        <f>IF(AND(Stamoplysninger!$B$26="Weekendtimer og weekendtillæg udbetales.",I24="X"),K24,0)</f>
        <v>0</v>
      </c>
      <c r="FP24" s="251">
        <f>IF(AND(Stamoplysninger!$B$26="Weekendtimer og weekendtillæg udbetales.",AA24="X"),(AC24+AN24)/2,0)</f>
        <v>0</v>
      </c>
      <c r="FQ24" s="674">
        <f>IF(AND(AND(Stamoplysninger!$B$26="Weekendtimer og weekendtillæg udbetales.",I24="X",C24="ikke relevant")),K24,0)</f>
        <v>0</v>
      </c>
      <c r="FR24" s="688">
        <f>IF(AND(AND(Stamoplysninger!$B$26="Weekendtimer og weekendtillæg udbetales.",AA24="X",U24="ikke relevant")),(AC24+AN24)/2,0)</f>
        <v>0</v>
      </c>
      <c r="FS24" s="283">
        <f t="shared" si="15"/>
        <v>0</v>
      </c>
      <c r="FT24" s="658">
        <f t="shared" si="16"/>
        <v>0</v>
      </c>
      <c r="FU24">
        <f t="shared" si="17"/>
        <v>0</v>
      </c>
      <c r="FV24" s="283">
        <f>IF(AND(Stamoplysninger!$B$26="Der er indgået lokalaftale omkring weekendtimer.(Kræver aftale med TR/FSL) Weekendtillæg afspadseres.",I24="X"),K24,0)</f>
        <v>0</v>
      </c>
      <c r="FW24" s="674">
        <f>IF(AND(AND(Stamoplysninger!$B$26="Der er indgået lokalaftale omkring weekendtimer.(Kræver aftale med TR/FSL) Weekendtillæg afspadseres.",I24="X",C24="ikke relevant")),K24,0)</f>
        <v>0</v>
      </c>
      <c r="FX24" s="283">
        <f>IF(AND(Stamoplysninger!$B$26="Der er indgået lokalaftale omkring weekendtimer(Kræver aftale med TR/FSL). Weekendtillæg udbetales.",I24="X"),K24,0)</f>
        <v>0</v>
      </c>
      <c r="FY24" s="674">
        <f>IF(AND(AND(Stamoplysninger!$B$26="Der er indgået lokalaftale omkring weekendtimer(Kræver aftale med TR/FSL). Weekendtillæg udbetales.",I24="X",C24="ikke relevant")),K24,0)</f>
        <v>0</v>
      </c>
      <c r="FZ24" s="283">
        <f>IF(AND(Stamoplysninger!$B$26="Der er indgået lokalaftale omkring weekendtillæg(Kræver aftale med TR/FSL). Weekendtimerne udbetales.",I24="X"),K24,0)</f>
        <v>0</v>
      </c>
      <c r="GA24" s="674">
        <f>IF(AND(AND(Stamoplysninger!$B$26="Der er indgået lokalaftale omkring weekendtillæg(Kræver aftale med TR/FSL). Weekendtimerne udbetales.",I24="X",C24="ikke relevant")),K24,0)</f>
        <v>0</v>
      </c>
      <c r="GB24" s="283">
        <f>IF(AND(Stamoplysninger!$B$26="Der er indgået lokalaftale omkring weekendtimer og weekendtillæg.(Kræver aftale med TR/FSL).",I24="X"),K24,0)</f>
        <v>0</v>
      </c>
      <c r="GC24" s="674">
        <f>IF(AND(AND(Stamoplysninger!$B$26="Der er indgået lokalaftale omkring weekendtimer og weekendtillæg.(Kræver aftale med TR/FSL).",I24="X",C24="ikke relevant")),K24,0)</f>
        <v>0</v>
      </c>
    </row>
    <row r="25" spans="1:185">
      <c r="A25" s="245">
        <f t="shared" si="18"/>
        <v>17</v>
      </c>
      <c r="B25" s="128" t="str">
        <f t="shared" si="0"/>
        <v>ti</v>
      </c>
      <c r="C25" s="129" t="s">
        <v>206</v>
      </c>
      <c r="D25" s="130" t="str">
        <f t="shared" si="1"/>
        <v/>
      </c>
      <c r="E25" s="917"/>
      <c r="F25" s="918"/>
      <c r="G25" s="919"/>
      <c r="H25" s="298"/>
      <c r="I25" s="527"/>
      <c r="J25" s="413"/>
      <c r="K25" s="380"/>
      <c r="L25" s="380"/>
      <c r="M25" s="380"/>
      <c r="N25" s="318">
        <f t="shared" si="19"/>
        <v>7.75</v>
      </c>
      <c r="O25" s="318">
        <f t="shared" si="20"/>
        <v>4.5</v>
      </c>
      <c r="P25" s="318">
        <f>IF(Stamoplysninger!$H$29="JA",December!DG25,CX25)</f>
        <v>1</v>
      </c>
      <c r="Q25" s="318">
        <f t="shared" si="21"/>
        <v>2.25</v>
      </c>
      <c r="R25" s="319"/>
      <c r="S25" s="324"/>
      <c r="T25" s="325"/>
      <c r="U25" s="325"/>
      <c r="V25" s="435"/>
      <c r="W25" s="412"/>
      <c r="X25" s="642"/>
      <c r="Y25">
        <f t="shared" si="22"/>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1",B25="ma"),Arbejdstidsoversigt!$E$72,"")</f>
        <v/>
      </c>
      <c r="AH25">
        <f>IF(AND(C25="Skema 1",B25="ti"),Arbejdstidsoversigt!$E$73,"")</f>
        <v>7.75</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7.75</v>
      </c>
      <c r="BB25" s="229">
        <f t="shared" si="8"/>
        <v>186</v>
      </c>
      <c r="BC25" s="1">
        <f t="shared" si="24"/>
        <v>0</v>
      </c>
      <c r="BD25" s="1">
        <f t="shared" si="9"/>
        <v>0</v>
      </c>
      <c r="BE25" s="1">
        <f t="shared" si="10"/>
        <v>0</v>
      </c>
      <c r="BF25" s="1">
        <f t="shared" si="11"/>
        <v>0</v>
      </c>
      <c r="BG25" s="210" t="str">
        <f>IF(AND(C25="Skema 1",B25="ma"),Skemaoplysninger!$E$30,"")</f>
        <v/>
      </c>
      <c r="BH25" s="210">
        <f>IF(AND(C25="Skema 1",B25="ti"),Skemaoplysninger!$G$30,"")</f>
        <v>0.1875</v>
      </c>
      <c r="BI25" s="210" t="str">
        <f>IF(AND(C25="Skema 1",B25="on"),Skemaoplysninger!$I$30,"")</f>
        <v/>
      </c>
      <c r="BJ25" s="210" t="str">
        <f>IF(AND(C25="Skema 1",B25="to"),Skemaoplysninger!$K$30,"")</f>
        <v/>
      </c>
      <c r="BK25" s="210" t="str">
        <f>IF(AND(C25="Skema 1",B25="fr"),Skemaoplysninger!$M$30,"")</f>
        <v/>
      </c>
      <c r="BL25" s="210" t="str">
        <f>IF(AND(C25="Skema 2",B25="ma"),Skemaoplysninger!$S$30,"")</f>
        <v/>
      </c>
      <c r="BM25" s="210" t="str">
        <f>IF(AND(C25="Skema 2",B25="ti"),Skemaoplysninger!$U$30,"")</f>
        <v/>
      </c>
      <c r="BN25" s="210" t="str">
        <f>IF(AND(C25="Skema 2",B25="on"),Skemaoplysninger!$W$30,"")</f>
        <v/>
      </c>
      <c r="BO25" s="210" t="str">
        <f>IF(AND(C25="Skema 2",B25="to"),Skemaoplysninger!$Y$30,"")</f>
        <v/>
      </c>
      <c r="BP25" s="210" t="str">
        <f>IF(AND(C25="Skema 2",B25="fr"),Skemaoplysninger!$AA$30,"")</f>
        <v/>
      </c>
      <c r="BQ25" s="210" t="str">
        <f>IF(AND(C25="Skema 3",B25="ma"),Skemaoplysninger!$AG$30,"")</f>
        <v/>
      </c>
      <c r="BR25" s="210" t="str">
        <f>IF(AND(C25="Skema 3",B25="ti"),Skemaoplysninger!$AI$30,"")</f>
        <v/>
      </c>
      <c r="BS25" s="210" t="str">
        <f>IF(AND(C25="Skema 3",B25="on"),Skemaoplysninger!$AK$30,"")</f>
        <v/>
      </c>
      <c r="BT25" s="210" t="str">
        <f>IF(AND(C25="Skema 3",B25="to"),Skemaoplysninger!$AM$30,"")</f>
        <v/>
      </c>
      <c r="BU25" s="210" t="str">
        <f>IF(AND(C25="Skema 3",B25="fr"),Skemaoplysninger!$AO$30,"")</f>
        <v/>
      </c>
      <c r="BV25" s="210" t="str">
        <f>IF(AND(C25="Skema 4",B25="ma"),Skemaoplysninger!$AU$30,"")</f>
        <v/>
      </c>
      <c r="BW25" s="210" t="str">
        <f>IF(AND(C25="Skema 4",B25="ti"),Skemaoplysninger!$AW$30,"")</f>
        <v/>
      </c>
      <c r="BX25" s="210" t="str">
        <f>IF(AND(C25="Skema 4",B25="on"),Skemaoplysninger!$AY$30,"")</f>
        <v/>
      </c>
      <c r="BY25" s="210" t="str">
        <f>IF(AND(C25="Skema 4",B25="to"),Skemaoplysninger!$BA$30,"")</f>
        <v/>
      </c>
      <c r="BZ25" s="210" t="str">
        <f>IF(AND(C25="Skema 4",B25="fr"),Skemaoplysninger!$BC$30,"")</f>
        <v/>
      </c>
      <c r="CA25" s="1">
        <f t="shared" si="25"/>
        <v>4.5</v>
      </c>
      <c r="CB25" s="1">
        <f t="shared" si="12"/>
        <v>0</v>
      </c>
      <c r="CC25" s="1">
        <f t="shared" si="13"/>
        <v>0</v>
      </c>
      <c r="CD25" s="210" t="str">
        <f>IF(AND(C25="Skema 1",B25="ma"),Skemaoplysninger!$E$31,"")</f>
        <v/>
      </c>
      <c r="CE25" s="210">
        <f>IF(AND(C25="Skema 1",B25="ti"),Skemaoplysninger!$G$31,"")</f>
        <v>4.1666666666666671E-2</v>
      </c>
      <c r="CF25" s="210" t="str">
        <f>IF(AND(C25="Skema 1",B25="on"),Skemaoplysninger!$I$31,"")</f>
        <v/>
      </c>
      <c r="CG25" s="210" t="str">
        <f>IF(AND(C25="Skema 1",B25="to"),Skemaoplysninger!$K$31,"")</f>
        <v/>
      </c>
      <c r="CH25" s="210" t="str">
        <f>IF(AND(C25="Skema 1",B25="fr"),Skemaoplysninger!$M$31,"")</f>
        <v/>
      </c>
      <c r="CI25" s="210" t="str">
        <f>IF(AND(C25="Skema 2",B25="ma"),Skemaoplysninger!$S$31,"")</f>
        <v/>
      </c>
      <c r="CJ25" s="210" t="str">
        <f>IF(AND(C25="Skema 2",B25="ti"),Skemaoplysninger!$U$31,"")</f>
        <v/>
      </c>
      <c r="CK25" s="210" t="str">
        <f>IF(AND(C25="Skema 2",B25="on"),Skemaoplysninger!$W$31,"")</f>
        <v/>
      </c>
      <c r="CL25" s="210" t="str">
        <f>IF(AND(C25="Skema 2",B25="to"),Skemaoplysninger!$Y$31,"")</f>
        <v/>
      </c>
      <c r="CM25" s="210" t="str">
        <f>IF(AND(C25="Skema 2",B25="fr"),Skemaoplysninger!$AA$31,"")</f>
        <v/>
      </c>
      <c r="CN25" s="210" t="str">
        <f>IF(AND(C25="Skema 3",B25="ma"),Skemaoplysninger!$AG$31,"")</f>
        <v/>
      </c>
      <c r="CO25" s="210" t="str">
        <f>IF(AND(C25="Skema 3",B25="ti"),Skemaoplysninger!$AI$31,"")</f>
        <v/>
      </c>
      <c r="CP25" s="210" t="str">
        <f>IF(AND(C25="Skema 3",B25="on"),Skemaoplysninger!$AK$31,"")</f>
        <v/>
      </c>
      <c r="CQ25" s="210" t="str">
        <f>IF(AND(C25="Skema 3",B25="to"),Skemaoplysninger!$AM$31,"")</f>
        <v/>
      </c>
      <c r="CR25" s="210" t="str">
        <f>IF(AND(C25="Skema 3",B25="fr"),Skemaoplysninger!$AO$31,"")</f>
        <v/>
      </c>
      <c r="CS25" s="210" t="str">
        <f>IF(AND(C25="Skema 4",B25="ma"),Skemaoplysninger!$AU$31,"")</f>
        <v/>
      </c>
      <c r="CT25" s="210" t="str">
        <f>IF(AND(C25="Skema 4",B25="ti"),Skemaoplysninger!$AW$31,"")</f>
        <v/>
      </c>
      <c r="CU25" s="210" t="str">
        <f>IF(AND(C25="Skema 4",B25="on"),Skemaoplysninger!$AY$31,"")</f>
        <v/>
      </c>
      <c r="CV25" s="210" t="str">
        <f>IF(AND(C25="Skema 4",B25="to"),Skemaoplysninger!$BA$31,"")</f>
        <v/>
      </c>
      <c r="CW25" s="210" t="str">
        <f>IF(AND(C25="Skema 4",B25="fr"),Skemaoplysninger!$BC$31,"")</f>
        <v/>
      </c>
      <c r="CX25" s="249">
        <f>IF(Stamoplysninger!$H$29="NEJ",SUM(CD25:CW25)*24+CB25+CC25,0)</f>
        <v>1</v>
      </c>
      <c r="CY25" s="249">
        <f>IF(C25="Skema 1",Stamoplysninger!$H$30/200,0)</f>
        <v>0</v>
      </c>
      <c r="CZ25" s="249">
        <f>IF(C25="Skema 2",Stamoplysninger!$H$30/200,0)</f>
        <v>0</v>
      </c>
      <c r="DA25" s="249">
        <f>IF(C25="Skema 3",Stamoplysninger!$H$30/200,0)</f>
        <v>0</v>
      </c>
      <c r="DB25" s="249">
        <f>IF(C25="Skema 4",Stamoplysninger!$H$30/200,0)</f>
        <v>0</v>
      </c>
      <c r="DC25" s="249">
        <f>IF(C25="fagdag",Stamoplysninger!$H$30/200,0)</f>
        <v>0</v>
      </c>
      <c r="DD25" s="249">
        <f>IF(C25="emnedag",Stamoplysninger!$H$30/200,0)</f>
        <v>0</v>
      </c>
      <c r="DE25" s="249">
        <f>IF(C25="lejrskole",Stamoplysninger!$H$30/200,0)</f>
        <v>0</v>
      </c>
      <c r="DF25" s="249">
        <f>IF(C25="ekskursion",Stamoplysninger!$H$30/200,0)</f>
        <v>0</v>
      </c>
      <c r="DG25" s="249">
        <f t="shared" si="26"/>
        <v>0</v>
      </c>
      <c r="DH25" t="str">
        <f t="shared" si="27"/>
        <v/>
      </c>
      <c r="DI25">
        <f t="shared" si="28"/>
        <v>0</v>
      </c>
      <c r="DJ25">
        <f t="shared" si="29"/>
        <v>0</v>
      </c>
      <c r="DK25" t="str">
        <f t="shared" si="14"/>
        <v/>
      </c>
      <c r="DL25" t="str">
        <f t="shared" si="14"/>
        <v/>
      </c>
      <c r="DM25" t="str">
        <f t="shared" si="14"/>
        <v/>
      </c>
      <c r="DN25" t="str">
        <f t="shared" si="30"/>
        <v/>
      </c>
      <c r="DO25" s="652">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71">
        <f>IF(AND(Stamoplysninger!$B$22="Ulempetillæg udbetales med 25% af nettotimelønnen.",C25="ikke relevant"),(R25)/4,0)</f>
        <v>0</v>
      </c>
      <c r="DT25" s="671">
        <f>IF(AND(AND(Stamoplysninger!$B$22="Ulempetillæg udbetales med 25% af nettotimelønnen.",I25="X",C25="Ikke relevant")),K25/4,0)</f>
        <v>0</v>
      </c>
      <c r="DU25" s="671">
        <f>IF(AND(AND(Stamoplysninger!$B$22="Ulempetillæg udbetales med 25% af nettotimelønnen.",C25="ikke relevant",U25="X")),(X25/4),0)</f>
        <v>0</v>
      </c>
      <c r="DV25" s="672">
        <f>IF(AND(AND(AND(Stamoplysninger!$B$22="Ulempetillæg udbetales med 25% af nettotimelønnen.",I25="X",C25="Ikke relevant",S25="X"))),V25/4,0)</f>
        <v>0</v>
      </c>
      <c r="DW25" s="652"/>
      <c r="DZ25" s="671"/>
      <c r="EA25" s="671"/>
      <c r="EB25" s="672"/>
      <c r="EC25" s="652">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71">
        <f>IF(AND(Stamoplysninger!$B$22="Ulempetillæg afspadseres med 25%(Kræver en aftale imellem ledelsen og den ansatte)",C25="ikke relevant"),(R25)/4,0)</f>
        <v>0</v>
      </c>
      <c r="EH25" s="671">
        <f>IF(AND(AND(Stamoplysninger!$B$22="Ulempetillæg afspadseres med 25%(Kræver en aftale imellem ledelsen og den ansatte)",I25="X",C25="Ikke relevant")),K25/4,0)</f>
        <v>0</v>
      </c>
      <c r="EI25" s="671">
        <f>IF(AND(AND(Stamoplysninger!$B$22="Ulempetillæg afspadseres med 25%(Kræver en aftale imellem ledelsen og den ansatte)",U25="X",C25="Ikke relevant")),X25/4,0)</f>
        <v>0</v>
      </c>
      <c r="EJ25" s="671">
        <f>IF(AND(AND(AND(Stamoplysninger!$B$22="Ulempetillæg afspadseres med 25%(Kræver en aftale imellem ledelsen og den ansatte)",I25="X",C25="Ikke relevant",S25="X"))),V25/4,0)</f>
        <v>0</v>
      </c>
      <c r="EK25" s="283">
        <f>IF(AND(Stamoplysninger!$B$26="Weekendtimer og weekendtillæg afspadseres.",I25="X"),K25*1.5,0)</f>
        <v>0</v>
      </c>
      <c r="EL25" s="251">
        <f>IF(AND(AND(Stamoplysninger!$B$26="Weekendtimer og weekendtillæg afspadseres.",I25="X",S25="X")),V25*1.5,0)</f>
        <v>0</v>
      </c>
      <c r="EM25" s="674">
        <f>IF(AND(AND(Stamoplysninger!$B$26="Weekendtimer og weekendtillæg afspadseres.",I25="X",C25="ikke relevant")),K25*1.5,0)</f>
        <v>0</v>
      </c>
      <c r="EN25" s="675">
        <f>IF(AND(AND(AND(Stamoplysninger!$B$26="Weekendtimer og weekendtillæg afspadseres.",I25="X",C25="ikke relevant",S25="X"))),(V25*1.5),0)</f>
        <v>0</v>
      </c>
      <c r="EO25" s="283">
        <f>IF(AND(Stamoplysninger!$B$26="Weekendtimer og weekendtillæg udbetales.",I25="X"),K25*1.5,0)</f>
        <v>0</v>
      </c>
      <c r="EP25" s="251">
        <f>IF(AND(AND(Stamoplysninger!$B$26="Weekendtimer og weekendtillæg udbetales.",I25="X",S25="X")),V25*1.5,0)</f>
        <v>0</v>
      </c>
      <c r="EQ25" s="674">
        <f>IF(AND(AND(Stamoplysninger!$B$26="Weekendtimer og weekendtillæg udbetales.",I25="X",C25="ikke relevant")),K25*1.5,0)</f>
        <v>0</v>
      </c>
      <c r="ER25" s="675">
        <f>IF(AND(AND(AND(Stamoplysninger!$B$26="Weekendtimer og weekendtillæg udbetales.",I25="X",C25="ikke relevant",S25="X"))),(V25*1.5),0)</f>
        <v>0</v>
      </c>
      <c r="ES25" s="283">
        <f>IF(AND(Stamoplysninger!$B$26="Der er indgået lokalaftale omkring weekendtimer.(Kræver aftale med TR/FSL) Weekendtillæg afspadseres.",I25="X"),K25*0.5,0)</f>
        <v>0</v>
      </c>
      <c r="ET25" s="251">
        <f>IF(AND(AND(Stamoplysninger!$B$26="Der er indgået lokalaftale omkring weekendtimer.(Kræver aftale med TR/FSL) Weekendtillæg afspadseres.",I25="X",S25="X")),V25*0.5,0)</f>
        <v>0</v>
      </c>
      <c r="EU25" s="674">
        <f>IF(AND(AND(Stamoplysninger!$B$26="Der er indgået lokalaftale omkring weekendtimer.(Kræver aftale med TR/FSL) Weekendtillæg afspadseres.",I25="X",C25="ikke relevant")),K25*0.5,0)</f>
        <v>0</v>
      </c>
      <c r="EV25" s="675">
        <f>IF(AND(AND(AND(Stamoplysninger!$B$26="Der er indgået lokalaftale omkring weekendtimer.(Kræver aftale med TR/FSL) Weekendtillæg afspadseres.",I25="X",C25="ikke relevant",S25="X"))),(V25*0.5),0)</f>
        <v>0</v>
      </c>
      <c r="EW25" s="283">
        <f>IF(AND(Stamoplysninger!$B$26="Der er indgået lokalaftale omkring weekendtimer(Kræver aftale med TR/FSL). Weekendtillæg udbetales.",I25="X"),K25*0.5,0)</f>
        <v>0</v>
      </c>
      <c r="EX25" s="251">
        <f>IF(AND(AND(Stamoplysninger!$B$26="Der er indgået lokalaftale omkring weekendtimer(Kræver aftale med TR/FSL). Weekendtillæg udbetales.",I25="X",S25="X")),V25*0.5,0)</f>
        <v>0</v>
      </c>
      <c r="EY25" s="674">
        <f>IF(AND(AND(Stamoplysninger!$B$26="Der er indgået lokalaftale omkring weekendtimer(Kræver aftale med TR/FSL). Weekendtillæg udbetales.",I25="X",C25="ikke relevant")),K25*0.5,0)</f>
        <v>0</v>
      </c>
      <c r="EZ25" s="675">
        <f>IF(AND(AND(AND(Stamoplysninger!$B$26="Der er indgået lokalaftale omkring weekendtimer(Kræver aftale med TR/FSL). Weekendtillæg udbetales.",I25="X",C25="ikke relevant",S25="X"))),(V25*0.5),0)</f>
        <v>0</v>
      </c>
      <c r="FA25" s="283">
        <f>IF(AND(Stamoplysninger!$B$26="Der er indgået lokalaftale omkring weekendtillæg(Kræver aftale med TR/FSL). Weekendtimerne afspadseres.",I25="X"),K25,0)</f>
        <v>0</v>
      </c>
      <c r="FB25" s="251">
        <f>IF(AND(AND(Stamoplysninger!$B$26="Der er indgået lokalaftale omkring weekendtillæg(Kræver aftale med TR/FSL). Weekendtimerne afspadseres.",I25="X",S25="X")),V25,0)</f>
        <v>0</v>
      </c>
      <c r="FC25" s="674">
        <f>IF(AND(AND(Stamoplysninger!$B$26="Der er indgået lokalaftale omkring weekendtillæg(Kræver aftale med TR/FSL). Weekendtimerne afspadseres..",I25="X",C25="ikke relevant")),K25,0)</f>
        <v>0</v>
      </c>
      <c r="FD25" s="675">
        <f>IF(AND(AND(AND(Stamoplysninger!$B$26="Der er indgået lokalaftale omkring weekendtillæg(Kræver aftale med TR/FSL). Weekendtimerne afspadseres.",I25="X",C25="ikke relevant",S25="X"))),(V25),0)</f>
        <v>0</v>
      </c>
      <c r="FE25" s="283">
        <f>IF(AND(Stamoplysninger!$B$26="Der er indgået lokalaftale omkring weekendtillæg(Kræver aftale med TR/FSL). Weekendtimerne udbetales.",I25="X"),K25,0)</f>
        <v>0</v>
      </c>
      <c r="FF25" s="251">
        <f>IF(AND(AND(Stamoplysninger!$B$26="Der er indgået lokalaftale omkring weekendtillæg(Kræver aftale med TR/FSL). Weekendtimerne udbetales.",I25="X",S25="X")),V25,0)</f>
        <v>0</v>
      </c>
      <c r="FG25" s="674">
        <f>IF(AND(AND(Stamoplysninger!$B$26="Der er indgået lokalaftale omkring weekendtillæg(Kræver aftale med TR/FSL). Weekendtimerne udbetales.",I25="X",C25="ikke relevant")),K25,0)</f>
        <v>0</v>
      </c>
      <c r="FH25" s="675">
        <f>IF(AND(AND(AND(Stamoplysninger!$B$26="Der er indgået lokalaftale omkring weekendtillæg(Kræver aftale med TR/FSL). Weekendtimerne udbetales.",I25="X",C25="ikke relevant",S25="X"))),(V25),0)</f>
        <v>0</v>
      </c>
      <c r="FI25" s="283">
        <f>IF(AND(Stamoplysninger!$B$26="Weekendtimer og weekendtillæg afspadseres.",I25="X"),K25,0)</f>
        <v>0</v>
      </c>
      <c r="FJ25" s="251">
        <f>IF(AND(Stamoplysninger!$B$26="Weekendtimer og weekendtillæg afspadseres.",Y25="X"),(AA25+AL25)/2,0)</f>
        <v>0</v>
      </c>
      <c r="FK25" s="674">
        <f>IF(AND(AND(Stamoplysninger!$B$26="Weekendtimer og weekendtillæg afspadseres.",I25="X",C25="ikke relevant")),K25,0)</f>
        <v>0</v>
      </c>
      <c r="FL25" s="675">
        <f>IF(AND(AND(Stamoplysninger!$B$26="Weekendtimer og weekendtillæg afspadseres.",Y25="X",S25="ikke relevant")),(AA25+AL25)/2,0)</f>
        <v>0</v>
      </c>
      <c r="FM25" s="283">
        <f>IF(AND(Stamoplysninger!$B$26="Der er indgået lokalaftale omkring weekendtillæg(Kræver aftale med TR/FSL). Weekendtimerne afspadseres.",I25="X"),K25,0)</f>
        <v>0</v>
      </c>
      <c r="FN25" s="674">
        <f>IF(AND(AND(Stamoplysninger!$B$26="Der er indgået lokalaftale omkring weekendtillæg(Kræver aftale med TR/FSL). Weekendtimerne afspadseres.",I25="X",C25="ikke relevant")),K25,0)</f>
        <v>0</v>
      </c>
      <c r="FO25" s="283">
        <f>IF(AND(Stamoplysninger!$B$26="Weekendtimer og weekendtillæg udbetales.",I25="X"),K25,0)</f>
        <v>0</v>
      </c>
      <c r="FP25" s="251">
        <f>IF(AND(Stamoplysninger!$B$26="Weekendtimer og weekendtillæg udbetales.",AA25="X"),(AC25+AN25)/2,0)</f>
        <v>0</v>
      </c>
      <c r="FQ25" s="674">
        <f>IF(AND(AND(Stamoplysninger!$B$26="Weekendtimer og weekendtillæg udbetales.",I25="X",C25="ikke relevant")),K25,0)</f>
        <v>0</v>
      </c>
      <c r="FR25" s="688">
        <f>IF(AND(AND(Stamoplysninger!$B$26="Weekendtimer og weekendtillæg udbetales.",AA25="X",U25="ikke relevant")),(AC25+AN25)/2,0)</f>
        <v>0</v>
      </c>
      <c r="FS25" s="283">
        <f t="shared" si="15"/>
        <v>0</v>
      </c>
      <c r="FT25" s="658">
        <f t="shared" si="16"/>
        <v>0</v>
      </c>
      <c r="FU25">
        <f t="shared" si="17"/>
        <v>0</v>
      </c>
      <c r="FV25" s="283">
        <f>IF(AND(Stamoplysninger!$B$26="Der er indgået lokalaftale omkring weekendtimer.(Kræver aftale med TR/FSL) Weekendtillæg afspadseres.",I25="X"),K25,0)</f>
        <v>0</v>
      </c>
      <c r="FW25" s="674">
        <f>IF(AND(AND(Stamoplysninger!$B$26="Der er indgået lokalaftale omkring weekendtimer.(Kræver aftale med TR/FSL) Weekendtillæg afspadseres.",I25="X",C25="ikke relevant")),K25,0)</f>
        <v>0</v>
      </c>
      <c r="FX25" s="283">
        <f>IF(AND(Stamoplysninger!$B$26="Der er indgået lokalaftale omkring weekendtimer(Kræver aftale med TR/FSL). Weekendtillæg udbetales.",I25="X"),K25,0)</f>
        <v>0</v>
      </c>
      <c r="FY25" s="674">
        <f>IF(AND(AND(Stamoplysninger!$B$26="Der er indgået lokalaftale omkring weekendtimer(Kræver aftale med TR/FSL). Weekendtillæg udbetales.",I25="X",C25="ikke relevant")),K25,0)</f>
        <v>0</v>
      </c>
      <c r="FZ25" s="283">
        <f>IF(AND(Stamoplysninger!$B$26="Der er indgået lokalaftale omkring weekendtillæg(Kræver aftale med TR/FSL). Weekendtimerne udbetales.",I25="X"),K25,0)</f>
        <v>0</v>
      </c>
      <c r="GA25" s="674">
        <f>IF(AND(AND(Stamoplysninger!$B$26="Der er indgået lokalaftale omkring weekendtillæg(Kræver aftale med TR/FSL). Weekendtimerne udbetales.",I25="X",C25="ikke relevant")),K25,0)</f>
        <v>0</v>
      </c>
      <c r="GB25" s="283">
        <f>IF(AND(Stamoplysninger!$B$26="Der er indgået lokalaftale omkring weekendtimer og weekendtillæg.(Kræver aftale med TR/FSL).",I25="X"),K25,0)</f>
        <v>0</v>
      </c>
      <c r="GC25" s="674">
        <f>IF(AND(AND(Stamoplysninger!$B$26="Der er indgået lokalaftale omkring weekendtimer og weekendtillæg.(Kræver aftale med TR/FSL).",I25="X",C25="ikke relevant")),K25,0)</f>
        <v>0</v>
      </c>
    </row>
    <row r="26" spans="1:185">
      <c r="A26" s="245">
        <f t="shared" si="18"/>
        <v>18</v>
      </c>
      <c r="B26" s="128" t="str">
        <f t="shared" si="0"/>
        <v>on</v>
      </c>
      <c r="C26" s="129" t="s">
        <v>206</v>
      </c>
      <c r="D26" s="130" t="str">
        <f t="shared" si="1"/>
        <v/>
      </c>
      <c r="E26" s="917"/>
      <c r="F26" s="918"/>
      <c r="G26" s="919"/>
      <c r="H26" s="298"/>
      <c r="I26" s="527"/>
      <c r="J26" s="413"/>
      <c r="K26" s="380"/>
      <c r="L26" s="380"/>
      <c r="M26" s="380"/>
      <c r="N26" s="318">
        <f t="shared" si="19"/>
        <v>7.75</v>
      </c>
      <c r="O26" s="318">
        <f t="shared" si="20"/>
        <v>5</v>
      </c>
      <c r="P26" s="318">
        <f>IF(Stamoplysninger!$H$29="JA",December!DG26,CX26)</f>
        <v>1.1666666666666665</v>
      </c>
      <c r="Q26" s="318">
        <f t="shared" si="21"/>
        <v>1.5833333333333335</v>
      </c>
      <c r="R26" s="319"/>
      <c r="S26" s="324"/>
      <c r="T26" s="325"/>
      <c r="U26" s="325"/>
      <c r="V26" s="435"/>
      <c r="W26" s="412"/>
      <c r="X26" s="642"/>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t="str">
        <f>IF(AND(C26="Skema 1",B26="ti"),Arbejdstidsoversigt!$E$73,"")</f>
        <v/>
      </c>
      <c r="AI26">
        <f>IF(AND(C26="Skema 1",B26="on"),Arbejdstidsoversigt!$E$74,"")</f>
        <v>7.75</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7.75</v>
      </c>
      <c r="BB26" s="229">
        <f t="shared" si="8"/>
        <v>186</v>
      </c>
      <c r="BC26" s="1">
        <f t="shared" si="24"/>
        <v>0</v>
      </c>
      <c r="BD26" s="1">
        <f t="shared" si="9"/>
        <v>0</v>
      </c>
      <c r="BE26" s="1">
        <f t="shared" si="10"/>
        <v>0</v>
      </c>
      <c r="BF26" s="1">
        <f t="shared" si="11"/>
        <v>0</v>
      </c>
      <c r="BG26" s="210" t="str">
        <f>IF(AND(C26="Skema 1",B26="ma"),Skemaoplysninger!$E$30,"")</f>
        <v/>
      </c>
      <c r="BH26" s="210" t="str">
        <f>IF(AND(C26="Skema 1",B26="ti"),Skemaoplysninger!$G$30,"")</f>
        <v/>
      </c>
      <c r="BI26" s="210">
        <f>IF(AND(C26="Skema 1",B26="on"),Skemaoplysninger!$I$30,"")</f>
        <v>0.20833333333333331</v>
      </c>
      <c r="BJ26" s="210" t="str">
        <f>IF(AND(C26="Skema 1",B26="to"),Skemaoplysninger!$K$30,"")</f>
        <v/>
      </c>
      <c r="BK26" s="210" t="str">
        <f>IF(AND(C26="Skema 1",B26="fr"),Skemaoplysninger!$M$30,"")</f>
        <v/>
      </c>
      <c r="BL26" s="210" t="str">
        <f>IF(AND(C26="Skema 2",B26="ma"),Skemaoplysninger!$S$30,"")</f>
        <v/>
      </c>
      <c r="BM26" s="210" t="str">
        <f>IF(AND(C26="Skema 2",B26="ti"),Skemaoplysninger!$U$30,"")</f>
        <v/>
      </c>
      <c r="BN26" s="210" t="str">
        <f>IF(AND(C26="Skema 2",B26="on"),Skemaoplysninger!$W$30,"")</f>
        <v/>
      </c>
      <c r="BO26" s="210" t="str">
        <f>IF(AND(C26="Skema 2",B26="to"),Skemaoplysninger!$Y$30,"")</f>
        <v/>
      </c>
      <c r="BP26" s="210" t="str">
        <f>IF(AND(C26="Skema 2",B26="fr"),Skemaoplysninger!$AA$30,"")</f>
        <v/>
      </c>
      <c r="BQ26" s="210" t="str">
        <f>IF(AND(C26="Skema 3",B26="ma"),Skemaoplysninger!$AG$30,"")</f>
        <v/>
      </c>
      <c r="BR26" s="210" t="str">
        <f>IF(AND(C26="Skema 3",B26="ti"),Skemaoplysninger!$AI$30,"")</f>
        <v/>
      </c>
      <c r="BS26" s="210" t="str">
        <f>IF(AND(C26="Skema 3",B26="on"),Skemaoplysninger!$AK$30,"")</f>
        <v/>
      </c>
      <c r="BT26" s="210" t="str">
        <f>IF(AND(C26="Skema 3",B26="to"),Skemaoplysninger!$AM$30,"")</f>
        <v/>
      </c>
      <c r="BU26" s="210" t="str">
        <f>IF(AND(C26="Skema 3",B26="fr"),Skemaoplysninger!$AO$30,"")</f>
        <v/>
      </c>
      <c r="BV26" s="210" t="str">
        <f>IF(AND(C26="Skema 4",B26="ma"),Skemaoplysninger!$AU$30,"")</f>
        <v/>
      </c>
      <c r="BW26" s="210" t="str">
        <f>IF(AND(C26="Skema 4",B26="ti"),Skemaoplysninger!$AW$30,"")</f>
        <v/>
      </c>
      <c r="BX26" s="210" t="str">
        <f>IF(AND(C26="Skema 4",B26="on"),Skemaoplysninger!$AY$30,"")</f>
        <v/>
      </c>
      <c r="BY26" s="210" t="str">
        <f>IF(AND(C26="Skema 4",B26="to"),Skemaoplysninger!$BA$30,"")</f>
        <v/>
      </c>
      <c r="BZ26" s="210" t="str">
        <f>IF(AND(C26="Skema 4",B26="fr"),Skemaoplysninger!$BC$30,"")</f>
        <v/>
      </c>
      <c r="CA26" s="1">
        <f t="shared" si="25"/>
        <v>5</v>
      </c>
      <c r="CB26" s="1">
        <f t="shared" si="12"/>
        <v>0</v>
      </c>
      <c r="CC26" s="1">
        <f t="shared" si="13"/>
        <v>0</v>
      </c>
      <c r="CD26" s="210" t="str">
        <f>IF(AND(C26="Skema 1",B26="ma"),Skemaoplysninger!$E$31,"")</f>
        <v/>
      </c>
      <c r="CE26" s="210" t="str">
        <f>IF(AND(C26="Skema 1",B26="ti"),Skemaoplysninger!$G$31,"")</f>
        <v/>
      </c>
      <c r="CF26" s="210">
        <f>IF(AND(C26="Skema 1",B26="on"),Skemaoplysninger!$I$31,"")</f>
        <v>4.8611111111111105E-2</v>
      </c>
      <c r="CG26" s="210" t="str">
        <f>IF(AND(C26="Skema 1",B26="to"),Skemaoplysninger!$K$31,"")</f>
        <v/>
      </c>
      <c r="CH26" s="210" t="str">
        <f>IF(AND(C26="Skema 1",B26="fr"),Skemaoplysninger!$M$31,"")</f>
        <v/>
      </c>
      <c r="CI26" s="210" t="str">
        <f>IF(AND(C26="Skema 2",B26="ma"),Skemaoplysninger!$S$31,"")</f>
        <v/>
      </c>
      <c r="CJ26" s="210" t="str">
        <f>IF(AND(C26="Skema 2",B26="ti"),Skemaoplysninger!$U$31,"")</f>
        <v/>
      </c>
      <c r="CK26" s="210" t="str">
        <f>IF(AND(C26="Skema 2",B26="on"),Skemaoplysninger!$W$31,"")</f>
        <v/>
      </c>
      <c r="CL26" s="210" t="str">
        <f>IF(AND(C26="Skema 2",B26="to"),Skemaoplysninger!$Y$31,"")</f>
        <v/>
      </c>
      <c r="CM26" s="210" t="str">
        <f>IF(AND(C26="Skema 2",B26="fr"),Skemaoplysninger!$AA$31,"")</f>
        <v/>
      </c>
      <c r="CN26" s="210" t="str">
        <f>IF(AND(C26="Skema 3",B26="ma"),Skemaoplysninger!$AG$31,"")</f>
        <v/>
      </c>
      <c r="CO26" s="210" t="str">
        <f>IF(AND(C26="Skema 3",B26="ti"),Skemaoplysninger!$AI$31,"")</f>
        <v/>
      </c>
      <c r="CP26" s="210" t="str">
        <f>IF(AND(C26="Skema 3",B26="on"),Skemaoplysninger!$AK$31,"")</f>
        <v/>
      </c>
      <c r="CQ26" s="210" t="str">
        <f>IF(AND(C26="Skema 3",B26="to"),Skemaoplysninger!$AM$31,"")</f>
        <v/>
      </c>
      <c r="CR26" s="210" t="str">
        <f>IF(AND(C26="Skema 3",B26="fr"),Skemaoplysninger!$AO$31,"")</f>
        <v/>
      </c>
      <c r="CS26" s="210" t="str">
        <f>IF(AND(C26="Skema 4",B26="ma"),Skemaoplysninger!$AU$31,"")</f>
        <v/>
      </c>
      <c r="CT26" s="210" t="str">
        <f>IF(AND(C26="Skema 4",B26="ti"),Skemaoplysninger!$AW$31,"")</f>
        <v/>
      </c>
      <c r="CU26" s="210" t="str">
        <f>IF(AND(C26="Skema 4",B26="on"),Skemaoplysninger!$AY$31,"")</f>
        <v/>
      </c>
      <c r="CV26" s="210" t="str">
        <f>IF(AND(C26="Skema 4",B26="to"),Skemaoplysninger!$BA$31,"")</f>
        <v/>
      </c>
      <c r="CW26" s="210" t="str">
        <f>IF(AND(C26="Skema 4",B26="fr"),Skemaoplysninger!$BC$31,"")</f>
        <v/>
      </c>
      <c r="CX26" s="249">
        <f>IF(Stamoplysninger!$H$29="NEJ",SUM(CD26:CW26)*24+CB26+CC26,0)</f>
        <v>1.1666666666666665</v>
      </c>
      <c r="CY26" s="249">
        <f>IF(C26="Skema 1",Stamoplysninger!$H$30/200,0)</f>
        <v>0</v>
      </c>
      <c r="CZ26" s="249">
        <f>IF(C26="Skema 2",Stamoplysninger!$H$30/200,0)</f>
        <v>0</v>
      </c>
      <c r="DA26" s="249">
        <f>IF(C26="Skema 3",Stamoplysninger!$H$30/200,0)</f>
        <v>0</v>
      </c>
      <c r="DB26" s="249">
        <f>IF(C26="Skema 4",Stamoplysninger!$H$30/200,0)</f>
        <v>0</v>
      </c>
      <c r="DC26" s="249">
        <f>IF(C26="fagdag",Stamoplysninger!$H$30/200,0)</f>
        <v>0</v>
      </c>
      <c r="DD26" s="249">
        <f>IF(C26="emnedag",Stamoplysninger!$H$30/200,0)</f>
        <v>0</v>
      </c>
      <c r="DE26" s="249">
        <f>IF(C26="lejrskole",Stamoplysninger!$H$30/200,0)</f>
        <v>0</v>
      </c>
      <c r="DF26" s="249">
        <f>IF(C26="ekskursion",Stamoplysninger!$H$30/200,0)</f>
        <v>0</v>
      </c>
      <c r="DG26" s="249">
        <f t="shared" si="26"/>
        <v>0</v>
      </c>
      <c r="DH26" t="str">
        <f t="shared" si="27"/>
        <v/>
      </c>
      <c r="DI26">
        <f t="shared" si="28"/>
        <v>0</v>
      </c>
      <c r="DJ26">
        <f t="shared" si="29"/>
        <v>0</v>
      </c>
      <c r="DK26" t="str">
        <f t="shared" si="14"/>
        <v/>
      </c>
      <c r="DL26" t="str">
        <f t="shared" si="14"/>
        <v/>
      </c>
      <c r="DM26" t="str">
        <f t="shared" si="14"/>
        <v/>
      </c>
      <c r="DN26" t="str">
        <f t="shared" si="30"/>
        <v/>
      </c>
      <c r="DO26" s="652">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71">
        <f>IF(AND(Stamoplysninger!$B$22="Ulempetillæg udbetales med 25% af nettotimelønnen.",C26="ikke relevant"),(R26)/4,0)</f>
        <v>0</v>
      </c>
      <c r="DT26" s="671">
        <f>IF(AND(AND(Stamoplysninger!$B$22="Ulempetillæg udbetales med 25% af nettotimelønnen.",I26="X",C26="Ikke relevant")),K26/4,0)</f>
        <v>0</v>
      </c>
      <c r="DU26" s="671">
        <f>IF(AND(AND(Stamoplysninger!$B$22="Ulempetillæg udbetales med 25% af nettotimelønnen.",C26="ikke relevant",U26="X")),(X26/4),0)</f>
        <v>0</v>
      </c>
      <c r="DV26" s="672">
        <f>IF(AND(AND(AND(Stamoplysninger!$B$22="Ulempetillæg udbetales med 25% af nettotimelønnen.",I26="X",C26="Ikke relevant",S26="X"))),V26/4,0)</f>
        <v>0</v>
      </c>
      <c r="DW26" s="652"/>
      <c r="DZ26" s="671"/>
      <c r="EA26" s="671"/>
      <c r="EB26" s="672"/>
      <c r="EC26" s="652">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71">
        <f>IF(AND(Stamoplysninger!$B$22="Ulempetillæg afspadseres med 25%(Kræver en aftale imellem ledelsen og den ansatte)",C26="ikke relevant"),(R26)/4,0)</f>
        <v>0</v>
      </c>
      <c r="EH26" s="671">
        <f>IF(AND(AND(Stamoplysninger!$B$22="Ulempetillæg afspadseres med 25%(Kræver en aftale imellem ledelsen og den ansatte)",I26="X",C26="Ikke relevant")),K26/4,0)</f>
        <v>0</v>
      </c>
      <c r="EI26" s="671">
        <f>IF(AND(AND(Stamoplysninger!$B$22="Ulempetillæg afspadseres med 25%(Kræver en aftale imellem ledelsen og den ansatte)",U26="X",C26="Ikke relevant")),X26/4,0)</f>
        <v>0</v>
      </c>
      <c r="EJ26" s="671">
        <f>IF(AND(AND(AND(Stamoplysninger!$B$22="Ulempetillæg afspadseres med 25%(Kræver en aftale imellem ledelsen og den ansatte)",I26="X",C26="Ikke relevant",S26="X"))),V26/4,0)</f>
        <v>0</v>
      </c>
      <c r="EK26" s="283">
        <f>IF(AND(Stamoplysninger!$B$26="Weekendtimer og weekendtillæg afspadseres.",I26="X"),K26*1.5,0)</f>
        <v>0</v>
      </c>
      <c r="EL26" s="251">
        <f>IF(AND(AND(Stamoplysninger!$B$26="Weekendtimer og weekendtillæg afspadseres.",I26="X",S26="X")),V26*1.5,0)</f>
        <v>0</v>
      </c>
      <c r="EM26" s="674">
        <f>IF(AND(AND(Stamoplysninger!$B$26="Weekendtimer og weekendtillæg afspadseres.",I26="X",C26="ikke relevant")),K26*1.5,0)</f>
        <v>0</v>
      </c>
      <c r="EN26" s="675">
        <f>IF(AND(AND(AND(Stamoplysninger!$B$26="Weekendtimer og weekendtillæg afspadseres.",I26="X",C26="ikke relevant",S26="X"))),(V26*1.5),0)</f>
        <v>0</v>
      </c>
      <c r="EO26" s="283">
        <f>IF(AND(Stamoplysninger!$B$26="Weekendtimer og weekendtillæg udbetales.",I26="X"),K26*1.5,0)</f>
        <v>0</v>
      </c>
      <c r="EP26" s="251">
        <f>IF(AND(AND(Stamoplysninger!$B$26="Weekendtimer og weekendtillæg udbetales.",I26="X",S26="X")),V26*1.5,0)</f>
        <v>0</v>
      </c>
      <c r="EQ26" s="674">
        <f>IF(AND(AND(Stamoplysninger!$B$26="Weekendtimer og weekendtillæg udbetales.",I26="X",C26="ikke relevant")),K26*1.5,0)</f>
        <v>0</v>
      </c>
      <c r="ER26" s="675">
        <f>IF(AND(AND(AND(Stamoplysninger!$B$26="Weekendtimer og weekendtillæg udbetales.",I26="X",C26="ikke relevant",S26="X"))),(V26*1.5),0)</f>
        <v>0</v>
      </c>
      <c r="ES26" s="283">
        <f>IF(AND(Stamoplysninger!$B$26="Der er indgået lokalaftale omkring weekendtimer.(Kræver aftale med TR/FSL) Weekendtillæg afspadseres.",I26="X"),K26*0.5,0)</f>
        <v>0</v>
      </c>
      <c r="ET26" s="251">
        <f>IF(AND(AND(Stamoplysninger!$B$26="Der er indgået lokalaftale omkring weekendtimer.(Kræver aftale med TR/FSL) Weekendtillæg afspadseres.",I26="X",S26="X")),V26*0.5,0)</f>
        <v>0</v>
      </c>
      <c r="EU26" s="674">
        <f>IF(AND(AND(Stamoplysninger!$B$26="Der er indgået lokalaftale omkring weekendtimer.(Kræver aftale med TR/FSL) Weekendtillæg afspadseres.",I26="X",C26="ikke relevant")),K26*0.5,0)</f>
        <v>0</v>
      </c>
      <c r="EV26" s="675">
        <f>IF(AND(AND(AND(Stamoplysninger!$B$26="Der er indgået lokalaftale omkring weekendtimer.(Kræver aftale med TR/FSL) Weekendtillæg afspadseres.",I26="X",C26="ikke relevant",S26="X"))),(V26*0.5),0)</f>
        <v>0</v>
      </c>
      <c r="EW26" s="283">
        <f>IF(AND(Stamoplysninger!$B$26="Der er indgået lokalaftale omkring weekendtimer(Kræver aftale med TR/FSL). Weekendtillæg udbetales.",I26="X"),K26*0.5,0)</f>
        <v>0</v>
      </c>
      <c r="EX26" s="251">
        <f>IF(AND(AND(Stamoplysninger!$B$26="Der er indgået lokalaftale omkring weekendtimer(Kræver aftale med TR/FSL). Weekendtillæg udbetales.",I26="X",S26="X")),V26*0.5,0)</f>
        <v>0</v>
      </c>
      <c r="EY26" s="674">
        <f>IF(AND(AND(Stamoplysninger!$B$26="Der er indgået lokalaftale omkring weekendtimer(Kræver aftale med TR/FSL). Weekendtillæg udbetales.",I26="X",C26="ikke relevant")),K26*0.5,0)</f>
        <v>0</v>
      </c>
      <c r="EZ26" s="675">
        <f>IF(AND(AND(AND(Stamoplysninger!$B$26="Der er indgået lokalaftale omkring weekendtimer(Kræver aftale med TR/FSL). Weekendtillæg udbetales.",I26="X",C26="ikke relevant",S26="X"))),(V26*0.5),0)</f>
        <v>0</v>
      </c>
      <c r="FA26" s="283">
        <f>IF(AND(Stamoplysninger!$B$26="Der er indgået lokalaftale omkring weekendtillæg(Kræver aftale med TR/FSL). Weekendtimerne afspadseres.",I26="X"),K26,0)</f>
        <v>0</v>
      </c>
      <c r="FB26" s="251">
        <f>IF(AND(AND(Stamoplysninger!$B$26="Der er indgået lokalaftale omkring weekendtillæg(Kræver aftale med TR/FSL). Weekendtimerne afspadseres.",I26="X",S26="X")),V26,0)</f>
        <v>0</v>
      </c>
      <c r="FC26" s="674">
        <f>IF(AND(AND(Stamoplysninger!$B$26="Der er indgået lokalaftale omkring weekendtillæg(Kræver aftale med TR/FSL). Weekendtimerne afspadseres..",I26="X",C26="ikke relevant")),K26,0)</f>
        <v>0</v>
      </c>
      <c r="FD26" s="675">
        <f>IF(AND(AND(AND(Stamoplysninger!$B$26="Der er indgået lokalaftale omkring weekendtillæg(Kræver aftale med TR/FSL). Weekendtimerne afspadseres.",I26="X",C26="ikke relevant",S26="X"))),(V26),0)</f>
        <v>0</v>
      </c>
      <c r="FE26" s="283">
        <f>IF(AND(Stamoplysninger!$B$26="Der er indgået lokalaftale omkring weekendtillæg(Kræver aftale med TR/FSL). Weekendtimerne udbetales.",I26="X"),K26,0)</f>
        <v>0</v>
      </c>
      <c r="FF26" s="251">
        <f>IF(AND(AND(Stamoplysninger!$B$26="Der er indgået lokalaftale omkring weekendtillæg(Kræver aftale med TR/FSL). Weekendtimerne udbetales.",I26="X",S26="X")),V26,0)</f>
        <v>0</v>
      </c>
      <c r="FG26" s="674">
        <f>IF(AND(AND(Stamoplysninger!$B$26="Der er indgået lokalaftale omkring weekendtillæg(Kræver aftale med TR/FSL). Weekendtimerne udbetales.",I26="X",C26="ikke relevant")),K26,0)</f>
        <v>0</v>
      </c>
      <c r="FH26" s="675">
        <f>IF(AND(AND(AND(Stamoplysninger!$B$26="Der er indgået lokalaftale omkring weekendtillæg(Kræver aftale med TR/FSL). Weekendtimerne udbetales.",I26="X",C26="ikke relevant",S26="X"))),(V26),0)</f>
        <v>0</v>
      </c>
      <c r="FI26" s="283">
        <f>IF(AND(Stamoplysninger!$B$26="Weekendtimer og weekendtillæg afspadseres.",I26="X"),K26,0)</f>
        <v>0</v>
      </c>
      <c r="FJ26" s="251">
        <f>IF(AND(Stamoplysninger!$B$26="Weekendtimer og weekendtillæg afspadseres.",Y26="X"),(AA26+AL26)/2,0)</f>
        <v>0</v>
      </c>
      <c r="FK26" s="674">
        <f>IF(AND(AND(Stamoplysninger!$B$26="Weekendtimer og weekendtillæg afspadseres.",I26="X",C26="ikke relevant")),K26,0)</f>
        <v>0</v>
      </c>
      <c r="FL26" s="675">
        <f>IF(AND(AND(Stamoplysninger!$B$26="Weekendtimer og weekendtillæg afspadseres.",Y26="X",S26="ikke relevant")),(AA26+AL26)/2,0)</f>
        <v>0</v>
      </c>
      <c r="FM26" s="283">
        <f>IF(AND(Stamoplysninger!$B$26="Der er indgået lokalaftale omkring weekendtillæg(Kræver aftale med TR/FSL). Weekendtimerne afspadseres.",I26="X"),K26,0)</f>
        <v>0</v>
      </c>
      <c r="FN26" s="674">
        <f>IF(AND(AND(Stamoplysninger!$B$26="Der er indgået lokalaftale omkring weekendtillæg(Kræver aftale med TR/FSL). Weekendtimerne afspadseres.",I26="X",C26="ikke relevant")),K26,0)</f>
        <v>0</v>
      </c>
      <c r="FO26" s="283">
        <f>IF(AND(Stamoplysninger!$B$26="Weekendtimer og weekendtillæg udbetales.",I26="X"),K26,0)</f>
        <v>0</v>
      </c>
      <c r="FP26" s="251">
        <f>IF(AND(Stamoplysninger!$B$26="Weekendtimer og weekendtillæg udbetales.",AA26="X"),(AC26+AN26)/2,0)</f>
        <v>0</v>
      </c>
      <c r="FQ26" s="674">
        <f>IF(AND(AND(Stamoplysninger!$B$26="Weekendtimer og weekendtillæg udbetales.",I26="X",C26="ikke relevant")),K26,0)</f>
        <v>0</v>
      </c>
      <c r="FR26" s="688">
        <f>IF(AND(AND(Stamoplysninger!$B$26="Weekendtimer og weekendtillæg udbetales.",AA26="X",U26="ikke relevant")),(AC26+AN26)/2,0)</f>
        <v>0</v>
      </c>
      <c r="FS26" s="283">
        <f t="shared" si="15"/>
        <v>0</v>
      </c>
      <c r="FT26" s="658">
        <f t="shared" si="16"/>
        <v>0</v>
      </c>
      <c r="FU26">
        <f t="shared" si="17"/>
        <v>0</v>
      </c>
      <c r="FV26" s="283">
        <f>IF(AND(Stamoplysninger!$B$26="Der er indgået lokalaftale omkring weekendtimer.(Kræver aftale med TR/FSL) Weekendtillæg afspadseres.",I26="X"),K26,0)</f>
        <v>0</v>
      </c>
      <c r="FW26" s="674">
        <f>IF(AND(AND(Stamoplysninger!$B$26="Der er indgået lokalaftale omkring weekendtimer.(Kræver aftale med TR/FSL) Weekendtillæg afspadseres.",I26="X",C26="ikke relevant")),K26,0)</f>
        <v>0</v>
      </c>
      <c r="FX26" s="283">
        <f>IF(AND(Stamoplysninger!$B$26="Der er indgået lokalaftale omkring weekendtimer(Kræver aftale med TR/FSL). Weekendtillæg udbetales.",I26="X"),K26,0)</f>
        <v>0</v>
      </c>
      <c r="FY26" s="674">
        <f>IF(AND(AND(Stamoplysninger!$B$26="Der er indgået lokalaftale omkring weekendtimer(Kræver aftale med TR/FSL). Weekendtillæg udbetales.",I26="X",C26="ikke relevant")),K26,0)</f>
        <v>0</v>
      </c>
      <c r="FZ26" s="283">
        <f>IF(AND(Stamoplysninger!$B$26="Der er indgået lokalaftale omkring weekendtillæg(Kræver aftale med TR/FSL). Weekendtimerne udbetales.",I26="X"),K26,0)</f>
        <v>0</v>
      </c>
      <c r="GA26" s="674">
        <f>IF(AND(AND(Stamoplysninger!$B$26="Der er indgået lokalaftale omkring weekendtillæg(Kræver aftale med TR/FSL). Weekendtimerne udbetales.",I26="X",C26="ikke relevant")),K26,0)</f>
        <v>0</v>
      </c>
      <c r="GB26" s="283">
        <f>IF(AND(Stamoplysninger!$B$26="Der er indgået lokalaftale omkring weekendtimer og weekendtillæg.(Kræver aftale med TR/FSL).",I26="X"),K26,0)</f>
        <v>0</v>
      </c>
      <c r="GC26" s="674">
        <f>IF(AND(AND(Stamoplysninger!$B$26="Der er indgået lokalaftale omkring weekendtimer og weekendtillæg.(Kræver aftale med TR/FSL).",I26="X",C26="ikke relevant")),K26,0)</f>
        <v>0</v>
      </c>
    </row>
    <row r="27" spans="1:185">
      <c r="A27" s="245">
        <f t="shared" si="18"/>
        <v>19</v>
      </c>
      <c r="B27" s="128" t="str">
        <f t="shared" si="0"/>
        <v>to</v>
      </c>
      <c r="C27" s="129" t="s">
        <v>206</v>
      </c>
      <c r="D27" s="130" t="str">
        <f t="shared" si="1"/>
        <v/>
      </c>
      <c r="E27" s="917"/>
      <c r="F27" s="918"/>
      <c r="G27" s="919"/>
      <c r="H27" s="298"/>
      <c r="I27" s="527"/>
      <c r="J27" s="413"/>
      <c r="K27" s="380"/>
      <c r="L27" s="380"/>
      <c r="M27" s="380"/>
      <c r="N27" s="318">
        <f t="shared" si="19"/>
        <v>8.5</v>
      </c>
      <c r="O27" s="318">
        <f t="shared" si="20"/>
        <v>3</v>
      </c>
      <c r="P27" s="318">
        <f>IF(Stamoplysninger!$H$29="JA",December!DG27,CX27)</f>
        <v>1.5</v>
      </c>
      <c r="Q27" s="318">
        <f t="shared" si="21"/>
        <v>4</v>
      </c>
      <c r="R27" s="319"/>
      <c r="S27" s="324"/>
      <c r="T27" s="325"/>
      <c r="U27" s="325"/>
      <c r="V27" s="435"/>
      <c r="W27" s="412"/>
      <c r="X27" s="642"/>
      <c r="Y27">
        <f t="shared" si="22"/>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1",B27="ma"),Arbejdstidsoversigt!$E$72,"")</f>
        <v/>
      </c>
      <c r="AH27" t="str">
        <f>IF(AND(C27="Skema 1",B27="ti"),Arbejdstidsoversigt!$E$73,"")</f>
        <v/>
      </c>
      <c r="AI27" t="str">
        <f>IF(AND(C27="Skema 1",B27="on"),Arbejdstidsoversigt!$E$74,"")</f>
        <v/>
      </c>
      <c r="AJ27">
        <f>IF(AND(C27="Skema 1",B27="to"),Arbejdstidsoversigt!$E$75,"")</f>
        <v>8.5</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8.5</v>
      </c>
      <c r="BB27" s="229">
        <f t="shared" si="8"/>
        <v>204</v>
      </c>
      <c r="BC27" s="1">
        <f t="shared" si="24"/>
        <v>0</v>
      </c>
      <c r="BD27" s="1">
        <f t="shared" si="9"/>
        <v>0</v>
      </c>
      <c r="BE27" s="1">
        <f t="shared" si="10"/>
        <v>0</v>
      </c>
      <c r="BF27" s="1">
        <f t="shared" si="11"/>
        <v>0</v>
      </c>
      <c r="BG27" s="210" t="str">
        <f>IF(AND(C27="Skema 1",B27="ma"),Skemaoplysninger!$E$30,"")</f>
        <v/>
      </c>
      <c r="BH27" s="210" t="str">
        <f>IF(AND(C27="Skema 1",B27="ti"),Skemaoplysninger!$G$30,"")</f>
        <v/>
      </c>
      <c r="BI27" s="210" t="str">
        <f>IF(AND(C27="Skema 1",B27="on"),Skemaoplysninger!$I$30,"")</f>
        <v/>
      </c>
      <c r="BJ27" s="210">
        <f>IF(AND(C27="Skema 1",B27="to"),Skemaoplysninger!$K$30,"")</f>
        <v>0.125</v>
      </c>
      <c r="BK27" s="210" t="str">
        <f>IF(AND(C27="Skema 1",B27="fr"),Skemaoplysninger!$M$30,"")</f>
        <v/>
      </c>
      <c r="BL27" s="210" t="str">
        <f>IF(AND(C27="Skema 2",B27="ma"),Skemaoplysninger!$S$30,"")</f>
        <v/>
      </c>
      <c r="BM27" s="210" t="str">
        <f>IF(AND(C27="Skema 2",B27="ti"),Skemaoplysninger!$U$30,"")</f>
        <v/>
      </c>
      <c r="BN27" s="210" t="str">
        <f>IF(AND(C27="Skema 2",B27="on"),Skemaoplysninger!$W$30,"")</f>
        <v/>
      </c>
      <c r="BO27" s="210" t="str">
        <f>IF(AND(C27="Skema 2",B27="to"),Skemaoplysninger!$Y$30,"")</f>
        <v/>
      </c>
      <c r="BP27" s="210" t="str">
        <f>IF(AND(C27="Skema 2",B27="fr"),Skemaoplysninger!$AA$30,"")</f>
        <v/>
      </c>
      <c r="BQ27" s="210" t="str">
        <f>IF(AND(C27="Skema 3",B27="ma"),Skemaoplysninger!$AG$30,"")</f>
        <v/>
      </c>
      <c r="BR27" s="210" t="str">
        <f>IF(AND(C27="Skema 3",B27="ti"),Skemaoplysninger!$AI$30,"")</f>
        <v/>
      </c>
      <c r="BS27" s="210" t="str">
        <f>IF(AND(C27="Skema 3",B27="on"),Skemaoplysninger!$AK$30,"")</f>
        <v/>
      </c>
      <c r="BT27" s="210" t="str">
        <f>IF(AND(C27="Skema 3",B27="to"),Skemaoplysninger!$AM$30,"")</f>
        <v/>
      </c>
      <c r="BU27" s="210" t="str">
        <f>IF(AND(C27="Skema 3",B27="fr"),Skemaoplysninger!$AO$30,"")</f>
        <v/>
      </c>
      <c r="BV27" s="210" t="str">
        <f>IF(AND(C27="Skema 4",B27="ma"),Skemaoplysninger!$AU$30,"")</f>
        <v/>
      </c>
      <c r="BW27" s="210" t="str">
        <f>IF(AND(C27="Skema 4",B27="ti"),Skemaoplysninger!$AW$30,"")</f>
        <v/>
      </c>
      <c r="BX27" s="210" t="str">
        <f>IF(AND(C27="Skema 4",B27="on"),Skemaoplysninger!$AY$30,"")</f>
        <v/>
      </c>
      <c r="BY27" s="210" t="str">
        <f>IF(AND(C27="Skema 4",B27="to"),Skemaoplysninger!$BA$30,"")</f>
        <v/>
      </c>
      <c r="BZ27" s="210" t="str">
        <f>IF(AND(C27="Skema 4",B27="fr"),Skemaoplysninger!$BC$30,"")</f>
        <v/>
      </c>
      <c r="CA27" s="1">
        <f t="shared" si="25"/>
        <v>3</v>
      </c>
      <c r="CB27" s="1">
        <f t="shared" si="12"/>
        <v>0</v>
      </c>
      <c r="CC27" s="1">
        <f t="shared" si="13"/>
        <v>0</v>
      </c>
      <c r="CD27" s="210" t="str">
        <f>IF(AND(C27="Skema 1",B27="ma"),Skemaoplysninger!$E$31,"")</f>
        <v/>
      </c>
      <c r="CE27" s="210" t="str">
        <f>IF(AND(C27="Skema 1",B27="ti"),Skemaoplysninger!$G$31,"")</f>
        <v/>
      </c>
      <c r="CF27" s="210" t="str">
        <f>IF(AND(C27="Skema 1",B27="on"),Skemaoplysninger!$I$31,"")</f>
        <v/>
      </c>
      <c r="CG27" s="210">
        <f>IF(AND(C27="Skema 1",B27="to"),Skemaoplysninger!$K$31,"")</f>
        <v>6.25E-2</v>
      </c>
      <c r="CH27" s="210" t="str">
        <f>IF(AND(C27="Skema 1",B27="fr"),Skemaoplysninger!$M$31,"")</f>
        <v/>
      </c>
      <c r="CI27" s="210" t="str">
        <f>IF(AND(C27="Skema 2",B27="ma"),Skemaoplysninger!$S$31,"")</f>
        <v/>
      </c>
      <c r="CJ27" s="210" t="str">
        <f>IF(AND(C27="Skema 2",B27="ti"),Skemaoplysninger!$U$31,"")</f>
        <v/>
      </c>
      <c r="CK27" s="210" t="str">
        <f>IF(AND(C27="Skema 2",B27="on"),Skemaoplysninger!$W$31,"")</f>
        <v/>
      </c>
      <c r="CL27" s="210" t="str">
        <f>IF(AND(C27="Skema 2",B27="to"),Skemaoplysninger!$Y$31,"")</f>
        <v/>
      </c>
      <c r="CM27" s="210" t="str">
        <f>IF(AND(C27="Skema 2",B27="fr"),Skemaoplysninger!$AA$31,"")</f>
        <v/>
      </c>
      <c r="CN27" s="210" t="str">
        <f>IF(AND(C27="Skema 3",B27="ma"),Skemaoplysninger!$AG$31,"")</f>
        <v/>
      </c>
      <c r="CO27" s="210" t="str">
        <f>IF(AND(C27="Skema 3",B27="ti"),Skemaoplysninger!$AI$31,"")</f>
        <v/>
      </c>
      <c r="CP27" s="210" t="str">
        <f>IF(AND(C27="Skema 3",B27="on"),Skemaoplysninger!$AK$31,"")</f>
        <v/>
      </c>
      <c r="CQ27" s="210" t="str">
        <f>IF(AND(C27="Skema 3",B27="to"),Skemaoplysninger!$AM$31,"")</f>
        <v/>
      </c>
      <c r="CR27" s="210" t="str">
        <f>IF(AND(C27="Skema 3",B27="fr"),Skemaoplysninger!$AO$31,"")</f>
        <v/>
      </c>
      <c r="CS27" s="210" t="str">
        <f>IF(AND(C27="Skema 4",B27="ma"),Skemaoplysninger!$AU$31,"")</f>
        <v/>
      </c>
      <c r="CT27" s="210" t="str">
        <f>IF(AND(C27="Skema 4",B27="ti"),Skemaoplysninger!$AW$31,"")</f>
        <v/>
      </c>
      <c r="CU27" s="210" t="str">
        <f>IF(AND(C27="Skema 4",B27="on"),Skemaoplysninger!$AY$31,"")</f>
        <v/>
      </c>
      <c r="CV27" s="210" t="str">
        <f>IF(AND(C27="Skema 4",B27="to"),Skemaoplysninger!$BA$31,"")</f>
        <v/>
      </c>
      <c r="CW27" s="210" t="str">
        <f>IF(AND(C27="Skema 4",B27="fr"),Skemaoplysninger!$BC$31,"")</f>
        <v/>
      </c>
      <c r="CX27" s="249">
        <f>IF(Stamoplysninger!$H$29="NEJ",SUM(CD27:CW27)*24+CB27+CC27,0)</f>
        <v>1.5</v>
      </c>
      <c r="CY27" s="249">
        <f>IF(C27="Skema 1",Stamoplysninger!$H$30/200,0)</f>
        <v>0</v>
      </c>
      <c r="CZ27" s="249">
        <f>IF(C27="Skema 2",Stamoplysninger!$H$30/200,0)</f>
        <v>0</v>
      </c>
      <c r="DA27" s="249">
        <f>IF(C27="Skema 3",Stamoplysninger!$H$30/200,0)</f>
        <v>0</v>
      </c>
      <c r="DB27" s="249">
        <f>IF(C27="Skema 4",Stamoplysninger!$H$30/200,0)</f>
        <v>0</v>
      </c>
      <c r="DC27" s="249">
        <f>IF(C27="fagdag",Stamoplysninger!$H$30/200,0)</f>
        <v>0</v>
      </c>
      <c r="DD27" s="249">
        <f>IF(C27="emnedag",Stamoplysninger!$H$30/200,0)</f>
        <v>0</v>
      </c>
      <c r="DE27" s="249">
        <f>IF(C27="lejrskole",Stamoplysninger!$H$30/200,0)</f>
        <v>0</v>
      </c>
      <c r="DF27" s="249">
        <f>IF(C27="ekskursion",Stamoplysninger!$H$30/200,0)</f>
        <v>0</v>
      </c>
      <c r="DG27" s="249">
        <f t="shared" si="26"/>
        <v>0</v>
      </c>
      <c r="DH27" t="str">
        <f t="shared" si="27"/>
        <v/>
      </c>
      <c r="DI27">
        <f t="shared" si="28"/>
        <v>0</v>
      </c>
      <c r="DJ27">
        <f t="shared" si="29"/>
        <v>0</v>
      </c>
      <c r="DK27" t="str">
        <f t="shared" si="14"/>
        <v/>
      </c>
      <c r="DL27" t="str">
        <f t="shared" si="14"/>
        <v/>
      </c>
      <c r="DM27" t="str">
        <f t="shared" si="14"/>
        <v/>
      </c>
      <c r="DN27" t="str">
        <f t="shared" si="30"/>
        <v/>
      </c>
      <c r="DO27" s="652">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71">
        <f>IF(AND(Stamoplysninger!$B$22="Ulempetillæg udbetales med 25% af nettotimelønnen.",C27="ikke relevant"),(R27)/4,0)</f>
        <v>0</v>
      </c>
      <c r="DT27" s="671">
        <f>IF(AND(AND(Stamoplysninger!$B$22="Ulempetillæg udbetales med 25% af nettotimelønnen.",I27="X",C27="Ikke relevant")),K27/4,0)</f>
        <v>0</v>
      </c>
      <c r="DU27" s="671">
        <f>IF(AND(AND(Stamoplysninger!$B$22="Ulempetillæg udbetales med 25% af nettotimelønnen.",C27="ikke relevant",U27="X")),(X27/4),0)</f>
        <v>0</v>
      </c>
      <c r="DV27" s="672">
        <f>IF(AND(AND(AND(Stamoplysninger!$B$22="Ulempetillæg udbetales med 25% af nettotimelønnen.",I27="X",C27="Ikke relevant",S27="X"))),V27/4,0)</f>
        <v>0</v>
      </c>
      <c r="DW27" s="652"/>
      <c r="DZ27" s="671"/>
      <c r="EA27" s="671"/>
      <c r="EB27" s="672"/>
      <c r="EC27" s="652">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71">
        <f>IF(AND(Stamoplysninger!$B$22="Ulempetillæg afspadseres med 25%(Kræver en aftale imellem ledelsen og den ansatte)",C27="ikke relevant"),(R27)/4,0)</f>
        <v>0</v>
      </c>
      <c r="EH27" s="671">
        <f>IF(AND(AND(Stamoplysninger!$B$22="Ulempetillæg afspadseres med 25%(Kræver en aftale imellem ledelsen og den ansatte)",I27="X",C27="Ikke relevant")),K27/4,0)</f>
        <v>0</v>
      </c>
      <c r="EI27" s="671">
        <f>IF(AND(AND(Stamoplysninger!$B$22="Ulempetillæg afspadseres med 25%(Kræver en aftale imellem ledelsen og den ansatte)",U27="X",C27="Ikke relevant")),X27/4,0)</f>
        <v>0</v>
      </c>
      <c r="EJ27" s="671">
        <f>IF(AND(AND(AND(Stamoplysninger!$B$22="Ulempetillæg afspadseres med 25%(Kræver en aftale imellem ledelsen og den ansatte)",I27="X",C27="Ikke relevant",S27="X"))),V27/4,0)</f>
        <v>0</v>
      </c>
      <c r="EK27" s="283">
        <f>IF(AND(Stamoplysninger!$B$26="Weekendtimer og weekendtillæg afspadseres.",I27="X"),K27*1.5,0)</f>
        <v>0</v>
      </c>
      <c r="EL27" s="251">
        <f>IF(AND(AND(Stamoplysninger!$B$26="Weekendtimer og weekendtillæg afspadseres.",I27="X",S27="X")),V27*1.5,0)</f>
        <v>0</v>
      </c>
      <c r="EM27" s="674">
        <f>IF(AND(AND(Stamoplysninger!$B$26="Weekendtimer og weekendtillæg afspadseres.",I27="X",C27="ikke relevant")),K27*1.5,0)</f>
        <v>0</v>
      </c>
      <c r="EN27" s="675">
        <f>IF(AND(AND(AND(Stamoplysninger!$B$26="Weekendtimer og weekendtillæg afspadseres.",I27="X",C27="ikke relevant",S27="X"))),(V27*1.5),0)</f>
        <v>0</v>
      </c>
      <c r="EO27" s="283">
        <f>IF(AND(Stamoplysninger!$B$26="Weekendtimer og weekendtillæg udbetales.",I27="X"),K27*1.5,0)</f>
        <v>0</v>
      </c>
      <c r="EP27" s="251">
        <f>IF(AND(AND(Stamoplysninger!$B$26="Weekendtimer og weekendtillæg udbetales.",I27="X",S27="X")),V27*1.5,0)</f>
        <v>0</v>
      </c>
      <c r="EQ27" s="674">
        <f>IF(AND(AND(Stamoplysninger!$B$26="Weekendtimer og weekendtillæg udbetales.",I27="X",C27="ikke relevant")),K27*1.5,0)</f>
        <v>0</v>
      </c>
      <c r="ER27" s="675">
        <f>IF(AND(AND(AND(Stamoplysninger!$B$26="Weekendtimer og weekendtillæg udbetales.",I27="X",C27="ikke relevant",S27="X"))),(V27*1.5),0)</f>
        <v>0</v>
      </c>
      <c r="ES27" s="283">
        <f>IF(AND(Stamoplysninger!$B$26="Der er indgået lokalaftale omkring weekendtimer.(Kræver aftale med TR/FSL) Weekendtillæg afspadseres.",I27="X"),K27*0.5,0)</f>
        <v>0</v>
      </c>
      <c r="ET27" s="251">
        <f>IF(AND(AND(Stamoplysninger!$B$26="Der er indgået lokalaftale omkring weekendtimer.(Kræver aftale med TR/FSL) Weekendtillæg afspadseres.",I27="X",S27="X")),V27*0.5,0)</f>
        <v>0</v>
      </c>
      <c r="EU27" s="674">
        <f>IF(AND(AND(Stamoplysninger!$B$26="Der er indgået lokalaftale omkring weekendtimer.(Kræver aftale med TR/FSL) Weekendtillæg afspadseres.",I27="X",C27="ikke relevant")),K27*0.5,0)</f>
        <v>0</v>
      </c>
      <c r="EV27" s="675">
        <f>IF(AND(AND(AND(Stamoplysninger!$B$26="Der er indgået lokalaftale omkring weekendtimer.(Kræver aftale med TR/FSL) Weekendtillæg afspadseres.",I27="X",C27="ikke relevant",S27="X"))),(V27*0.5),0)</f>
        <v>0</v>
      </c>
      <c r="EW27" s="283">
        <f>IF(AND(Stamoplysninger!$B$26="Der er indgået lokalaftale omkring weekendtimer(Kræver aftale med TR/FSL). Weekendtillæg udbetales.",I27="X"),K27*0.5,0)</f>
        <v>0</v>
      </c>
      <c r="EX27" s="251">
        <f>IF(AND(AND(Stamoplysninger!$B$26="Der er indgået lokalaftale omkring weekendtimer(Kræver aftale med TR/FSL). Weekendtillæg udbetales.",I27="X",S27="X")),V27*0.5,0)</f>
        <v>0</v>
      </c>
      <c r="EY27" s="674">
        <f>IF(AND(AND(Stamoplysninger!$B$26="Der er indgået lokalaftale omkring weekendtimer(Kræver aftale med TR/FSL). Weekendtillæg udbetales.",I27="X",C27="ikke relevant")),K27*0.5,0)</f>
        <v>0</v>
      </c>
      <c r="EZ27" s="675">
        <f>IF(AND(AND(AND(Stamoplysninger!$B$26="Der er indgået lokalaftale omkring weekendtimer(Kræver aftale med TR/FSL). Weekendtillæg udbetales.",I27="X",C27="ikke relevant",S27="X"))),(V27*0.5),0)</f>
        <v>0</v>
      </c>
      <c r="FA27" s="283">
        <f>IF(AND(Stamoplysninger!$B$26="Der er indgået lokalaftale omkring weekendtillæg(Kræver aftale med TR/FSL). Weekendtimerne afspadseres.",I27="X"),K27,0)</f>
        <v>0</v>
      </c>
      <c r="FB27" s="251">
        <f>IF(AND(AND(Stamoplysninger!$B$26="Der er indgået lokalaftale omkring weekendtillæg(Kræver aftale med TR/FSL). Weekendtimerne afspadseres.",I27="X",S27="X")),V27,0)</f>
        <v>0</v>
      </c>
      <c r="FC27" s="674">
        <f>IF(AND(AND(Stamoplysninger!$B$26="Der er indgået lokalaftale omkring weekendtillæg(Kræver aftale med TR/FSL). Weekendtimerne afspadseres..",I27="X",C27="ikke relevant")),K27,0)</f>
        <v>0</v>
      </c>
      <c r="FD27" s="675">
        <f>IF(AND(AND(AND(Stamoplysninger!$B$26="Der er indgået lokalaftale omkring weekendtillæg(Kræver aftale med TR/FSL). Weekendtimerne afspadseres.",I27="X",C27="ikke relevant",S27="X"))),(V27),0)</f>
        <v>0</v>
      </c>
      <c r="FE27" s="283">
        <f>IF(AND(Stamoplysninger!$B$26="Der er indgået lokalaftale omkring weekendtillæg(Kræver aftale med TR/FSL). Weekendtimerne udbetales.",I27="X"),K27,0)</f>
        <v>0</v>
      </c>
      <c r="FF27" s="251">
        <f>IF(AND(AND(Stamoplysninger!$B$26="Der er indgået lokalaftale omkring weekendtillæg(Kræver aftale med TR/FSL). Weekendtimerne udbetales.",I27="X",S27="X")),V27,0)</f>
        <v>0</v>
      </c>
      <c r="FG27" s="674">
        <f>IF(AND(AND(Stamoplysninger!$B$26="Der er indgået lokalaftale omkring weekendtillæg(Kræver aftale med TR/FSL). Weekendtimerne udbetales.",I27="X",C27="ikke relevant")),K27,0)</f>
        <v>0</v>
      </c>
      <c r="FH27" s="675">
        <f>IF(AND(AND(AND(Stamoplysninger!$B$26="Der er indgået lokalaftale omkring weekendtillæg(Kræver aftale med TR/FSL). Weekendtimerne udbetales.",I27="X",C27="ikke relevant",S27="X"))),(V27),0)</f>
        <v>0</v>
      </c>
      <c r="FI27" s="283">
        <f>IF(AND(Stamoplysninger!$B$26="Weekendtimer og weekendtillæg afspadseres.",I27="X"),K27,0)</f>
        <v>0</v>
      </c>
      <c r="FJ27" s="251">
        <f>IF(AND(Stamoplysninger!$B$26="Weekendtimer og weekendtillæg afspadseres.",Y27="X"),(AA27+AL27)/2,0)</f>
        <v>0</v>
      </c>
      <c r="FK27" s="674">
        <f>IF(AND(AND(Stamoplysninger!$B$26="Weekendtimer og weekendtillæg afspadseres.",I27="X",C27="ikke relevant")),K27,0)</f>
        <v>0</v>
      </c>
      <c r="FL27" s="675">
        <f>IF(AND(AND(Stamoplysninger!$B$26="Weekendtimer og weekendtillæg afspadseres.",Y27="X",S27="ikke relevant")),(AA27+AL27)/2,0)</f>
        <v>0</v>
      </c>
      <c r="FM27" s="283">
        <f>IF(AND(Stamoplysninger!$B$26="Der er indgået lokalaftale omkring weekendtillæg(Kræver aftale med TR/FSL). Weekendtimerne afspadseres.",I27="X"),K27,0)</f>
        <v>0</v>
      </c>
      <c r="FN27" s="674">
        <f>IF(AND(AND(Stamoplysninger!$B$26="Der er indgået lokalaftale omkring weekendtillæg(Kræver aftale med TR/FSL). Weekendtimerne afspadseres.",I27="X",C27="ikke relevant")),K27,0)</f>
        <v>0</v>
      </c>
      <c r="FO27" s="283">
        <f>IF(AND(Stamoplysninger!$B$26="Weekendtimer og weekendtillæg udbetales.",I27="X"),K27,0)</f>
        <v>0</v>
      </c>
      <c r="FP27" s="251">
        <f>IF(AND(Stamoplysninger!$B$26="Weekendtimer og weekendtillæg udbetales.",AA27="X"),(AC27+AN27)/2,0)</f>
        <v>0</v>
      </c>
      <c r="FQ27" s="674">
        <f>IF(AND(AND(Stamoplysninger!$B$26="Weekendtimer og weekendtillæg udbetales.",I27="X",C27="ikke relevant")),K27,0)</f>
        <v>0</v>
      </c>
      <c r="FR27" s="688">
        <f>IF(AND(AND(Stamoplysninger!$B$26="Weekendtimer og weekendtillæg udbetales.",AA27="X",U27="ikke relevant")),(AC27+AN27)/2,0)</f>
        <v>0</v>
      </c>
      <c r="FS27" s="283">
        <f t="shared" si="15"/>
        <v>0</v>
      </c>
      <c r="FT27" s="658">
        <f t="shared" si="16"/>
        <v>0</v>
      </c>
      <c r="FU27">
        <f t="shared" si="17"/>
        <v>0</v>
      </c>
      <c r="FV27" s="283">
        <f>IF(AND(Stamoplysninger!$B$26="Der er indgået lokalaftale omkring weekendtimer.(Kræver aftale med TR/FSL) Weekendtillæg afspadseres.",I27="X"),K27,0)</f>
        <v>0</v>
      </c>
      <c r="FW27" s="674">
        <f>IF(AND(AND(Stamoplysninger!$B$26="Der er indgået lokalaftale omkring weekendtimer.(Kræver aftale med TR/FSL) Weekendtillæg afspadseres.",I27="X",C27="ikke relevant")),K27,0)</f>
        <v>0</v>
      </c>
      <c r="FX27" s="283">
        <f>IF(AND(Stamoplysninger!$B$26="Der er indgået lokalaftale omkring weekendtimer(Kræver aftale med TR/FSL). Weekendtillæg udbetales.",I27="X"),K27,0)</f>
        <v>0</v>
      </c>
      <c r="FY27" s="674">
        <f>IF(AND(AND(Stamoplysninger!$B$26="Der er indgået lokalaftale omkring weekendtimer(Kræver aftale med TR/FSL). Weekendtillæg udbetales.",I27="X",C27="ikke relevant")),K27,0)</f>
        <v>0</v>
      </c>
      <c r="FZ27" s="283">
        <f>IF(AND(Stamoplysninger!$B$26="Der er indgået lokalaftale omkring weekendtillæg(Kræver aftale med TR/FSL). Weekendtimerne udbetales.",I27="X"),K27,0)</f>
        <v>0</v>
      </c>
      <c r="GA27" s="674">
        <f>IF(AND(AND(Stamoplysninger!$B$26="Der er indgået lokalaftale omkring weekendtillæg(Kræver aftale med TR/FSL). Weekendtimerne udbetales.",I27="X",C27="ikke relevant")),K27,0)</f>
        <v>0</v>
      </c>
      <c r="GB27" s="283">
        <f>IF(AND(Stamoplysninger!$B$26="Der er indgået lokalaftale omkring weekendtimer og weekendtillæg.(Kræver aftale med TR/FSL).",I27="X"),K27,0)</f>
        <v>0</v>
      </c>
      <c r="GC27" s="674">
        <f>IF(AND(AND(Stamoplysninger!$B$26="Der er indgået lokalaftale omkring weekendtimer og weekendtillæg.(Kræver aftale med TR/FSL).",I27="X",C27="ikke relevant")),K27,0)</f>
        <v>0</v>
      </c>
    </row>
    <row r="28" spans="1:185">
      <c r="A28" s="245">
        <f t="shared" si="18"/>
        <v>20</v>
      </c>
      <c r="B28" s="128" t="str">
        <f t="shared" si="0"/>
        <v>fr</v>
      </c>
      <c r="C28" s="129" t="s">
        <v>211</v>
      </c>
      <c r="D28" s="130" t="str">
        <f t="shared" si="1"/>
        <v/>
      </c>
      <c r="E28" s="917" t="s">
        <v>705</v>
      </c>
      <c r="F28" s="918"/>
      <c r="G28" s="919"/>
      <c r="H28" s="298"/>
      <c r="I28" s="527"/>
      <c r="J28" s="413"/>
      <c r="K28" s="380">
        <v>4.5</v>
      </c>
      <c r="L28" s="380">
        <v>2</v>
      </c>
      <c r="M28" s="380">
        <v>2.5</v>
      </c>
      <c r="N28" s="318">
        <f t="shared" si="19"/>
        <v>4.5</v>
      </c>
      <c r="O28" s="318">
        <f t="shared" si="20"/>
        <v>2</v>
      </c>
      <c r="P28" s="318">
        <f>IF(Stamoplysninger!$H$29="JA",December!DG28,CX28)</f>
        <v>2.5</v>
      </c>
      <c r="Q28" s="318">
        <f t="shared" si="21"/>
        <v>0</v>
      </c>
      <c r="R28" s="319"/>
      <c r="S28" s="324"/>
      <c r="T28" s="325"/>
      <c r="U28" s="325"/>
      <c r="V28" s="435"/>
      <c r="W28" s="412"/>
      <c r="X28" s="642"/>
      <c r="Y28">
        <f t="shared" si="22"/>
        <v>0</v>
      </c>
      <c r="Z28">
        <f t="shared" si="2"/>
        <v>0</v>
      </c>
      <c r="AA28" s="1">
        <f t="shared" si="3"/>
        <v>4.5</v>
      </c>
      <c r="AB28" s="1">
        <f t="shared" si="4"/>
        <v>0</v>
      </c>
      <c r="AC28" s="1">
        <f t="shared" si="5"/>
        <v>0</v>
      </c>
      <c r="AD28" s="1">
        <f t="shared" si="6"/>
        <v>0</v>
      </c>
      <c r="AE28" s="1">
        <f t="shared" si="7"/>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4.5</v>
      </c>
      <c r="BB28" s="229">
        <f t="shared" si="8"/>
        <v>0</v>
      </c>
      <c r="BC28" s="1">
        <f t="shared" si="24"/>
        <v>0</v>
      </c>
      <c r="BD28" s="1">
        <f t="shared" si="9"/>
        <v>0</v>
      </c>
      <c r="BE28" s="1">
        <f t="shared" si="10"/>
        <v>0</v>
      </c>
      <c r="BF28" s="1">
        <f t="shared" si="11"/>
        <v>2</v>
      </c>
      <c r="BG28" s="210" t="str">
        <f>IF(AND(C28="Skema 1",B28="ma"),Skemaoplysninger!$E$30,"")</f>
        <v/>
      </c>
      <c r="BH28" s="210" t="str">
        <f>IF(AND(C28="Skema 1",B28="ti"),Skemaoplysninger!$G$30,"")</f>
        <v/>
      </c>
      <c r="BI28" s="210" t="str">
        <f>IF(AND(C28="Skema 1",B28="on"),Skemaoplysninger!$I$30,"")</f>
        <v/>
      </c>
      <c r="BJ28" s="210" t="str">
        <f>IF(AND(C28="Skema 1",B28="to"),Skemaoplysninger!$K$30,"")</f>
        <v/>
      </c>
      <c r="BK28" s="210" t="str">
        <f>IF(AND(C28="Skema 1",B28="fr"),Skemaoplysninger!$M$30,"")</f>
        <v/>
      </c>
      <c r="BL28" s="210" t="str">
        <f>IF(AND(C28="Skema 2",B28="ma"),Skemaoplysninger!$S$30,"")</f>
        <v/>
      </c>
      <c r="BM28" s="210" t="str">
        <f>IF(AND(C28="Skema 2",B28="ti"),Skemaoplysninger!$U$30,"")</f>
        <v/>
      </c>
      <c r="BN28" s="210" t="str">
        <f>IF(AND(C28="Skema 2",B28="on"),Skemaoplysninger!$W$30,"")</f>
        <v/>
      </c>
      <c r="BO28" s="210" t="str">
        <f>IF(AND(C28="Skema 2",B28="to"),Skemaoplysninger!$Y$30,"")</f>
        <v/>
      </c>
      <c r="BP28" s="210" t="str">
        <f>IF(AND(C28="Skema 2",B28="fr"),Skemaoplysninger!$AA$30,"")</f>
        <v/>
      </c>
      <c r="BQ28" s="210" t="str">
        <f>IF(AND(C28="Skema 3",B28="ma"),Skemaoplysninger!$AG$30,"")</f>
        <v/>
      </c>
      <c r="BR28" s="210" t="str">
        <f>IF(AND(C28="Skema 3",B28="ti"),Skemaoplysninger!$AI$30,"")</f>
        <v/>
      </c>
      <c r="BS28" s="210" t="str">
        <f>IF(AND(C28="Skema 3",B28="on"),Skemaoplysninger!$AK$30,"")</f>
        <v/>
      </c>
      <c r="BT28" s="210" t="str">
        <f>IF(AND(C28="Skema 3",B28="to"),Skemaoplysninger!$AM$30,"")</f>
        <v/>
      </c>
      <c r="BU28" s="210" t="str">
        <f>IF(AND(C28="Skema 3",B28="fr"),Skemaoplysninger!$AO$30,"")</f>
        <v/>
      </c>
      <c r="BV28" s="210" t="str">
        <f>IF(AND(C28="Skema 4",B28="ma"),Skemaoplysninger!$AU$30,"")</f>
        <v/>
      </c>
      <c r="BW28" s="210" t="str">
        <f>IF(AND(C28="Skema 4",B28="ti"),Skemaoplysninger!$AW$30,"")</f>
        <v/>
      </c>
      <c r="BX28" s="210" t="str">
        <f>IF(AND(C28="Skema 4",B28="on"),Skemaoplysninger!$AY$30,"")</f>
        <v/>
      </c>
      <c r="BY28" s="210" t="str">
        <f>IF(AND(C28="Skema 4",B28="to"),Skemaoplysninger!$BA$30,"")</f>
        <v/>
      </c>
      <c r="BZ28" s="210" t="str">
        <f>IF(AND(C28="Skema 4",B28="fr"),Skemaoplysninger!$BC$30,"")</f>
        <v/>
      </c>
      <c r="CA28" s="1">
        <f t="shared" si="25"/>
        <v>2</v>
      </c>
      <c r="CB28" s="1">
        <f t="shared" si="12"/>
        <v>0</v>
      </c>
      <c r="CC28" s="1">
        <f t="shared" si="13"/>
        <v>2.5</v>
      </c>
      <c r="CD28" s="210" t="str">
        <f>IF(AND(C28="Skema 1",B28="ma"),Skemaoplysninger!$E$31,"")</f>
        <v/>
      </c>
      <c r="CE28" s="210" t="str">
        <f>IF(AND(C28="Skema 1",B28="ti"),Skemaoplysninger!$G$31,"")</f>
        <v/>
      </c>
      <c r="CF28" s="210" t="str">
        <f>IF(AND(C28="Skema 1",B28="on"),Skemaoplysninger!$I$31,"")</f>
        <v/>
      </c>
      <c r="CG28" s="210" t="str">
        <f>IF(AND(C28="Skema 1",B28="to"),Skemaoplysninger!$K$31,"")</f>
        <v/>
      </c>
      <c r="CH28" s="210" t="str">
        <f>IF(AND(C28="Skema 1",B28="fr"),Skemaoplysninger!$M$31,"")</f>
        <v/>
      </c>
      <c r="CI28" s="210" t="str">
        <f>IF(AND(C28="Skema 2",B28="ma"),Skemaoplysninger!$S$31,"")</f>
        <v/>
      </c>
      <c r="CJ28" s="210" t="str">
        <f>IF(AND(C28="Skema 2",B28="ti"),Skemaoplysninger!$U$31,"")</f>
        <v/>
      </c>
      <c r="CK28" s="210" t="str">
        <f>IF(AND(C28="Skema 2",B28="on"),Skemaoplysninger!$W$31,"")</f>
        <v/>
      </c>
      <c r="CL28" s="210" t="str">
        <f>IF(AND(C28="Skema 2",B28="to"),Skemaoplysninger!$Y$31,"")</f>
        <v/>
      </c>
      <c r="CM28" s="210" t="str">
        <f>IF(AND(C28="Skema 2",B28="fr"),Skemaoplysninger!$AA$31,"")</f>
        <v/>
      </c>
      <c r="CN28" s="210" t="str">
        <f>IF(AND(C28="Skema 3",B28="ma"),Skemaoplysninger!$AG$31,"")</f>
        <v/>
      </c>
      <c r="CO28" s="210" t="str">
        <f>IF(AND(C28="Skema 3",B28="ti"),Skemaoplysninger!$AI$31,"")</f>
        <v/>
      </c>
      <c r="CP28" s="210" t="str">
        <f>IF(AND(C28="Skema 3",B28="on"),Skemaoplysninger!$AK$31,"")</f>
        <v/>
      </c>
      <c r="CQ28" s="210" t="str">
        <f>IF(AND(C28="Skema 3",B28="to"),Skemaoplysninger!$AM$31,"")</f>
        <v/>
      </c>
      <c r="CR28" s="210" t="str">
        <f>IF(AND(C28="Skema 3",B28="fr"),Skemaoplysninger!$AO$31,"")</f>
        <v/>
      </c>
      <c r="CS28" s="210" t="str">
        <f>IF(AND(C28="Skema 4",B28="ma"),Skemaoplysninger!$AU$31,"")</f>
        <v/>
      </c>
      <c r="CT28" s="210" t="str">
        <f>IF(AND(C28="Skema 4",B28="ti"),Skemaoplysninger!$AW$31,"")</f>
        <v/>
      </c>
      <c r="CU28" s="210" t="str">
        <f>IF(AND(C28="Skema 4",B28="on"),Skemaoplysninger!$AY$31,"")</f>
        <v/>
      </c>
      <c r="CV28" s="210" t="str">
        <f>IF(AND(C28="Skema 4",B28="to"),Skemaoplysninger!$BA$31,"")</f>
        <v/>
      </c>
      <c r="CW28" s="210" t="str">
        <f>IF(AND(C28="Skema 4",B28="fr"),Skemaoplysninger!$BC$31,"")</f>
        <v/>
      </c>
      <c r="CX28" s="249">
        <f>IF(Stamoplysninger!$H$29="NEJ",SUM(CD28:CW28)*24+CB28+CC28,0)</f>
        <v>2.5</v>
      </c>
      <c r="CY28" s="249">
        <f>IF(C28="Skema 1",Stamoplysninger!$H$30/200,0)</f>
        <v>0</v>
      </c>
      <c r="CZ28" s="249">
        <f>IF(C28="Skema 2",Stamoplysninger!$H$30/200,0)</f>
        <v>0</v>
      </c>
      <c r="DA28" s="249">
        <f>IF(C28="Skema 3",Stamoplysninger!$H$30/200,0)</f>
        <v>0</v>
      </c>
      <c r="DB28" s="249">
        <f>IF(C28="Skema 4",Stamoplysninger!$H$30/200,0)</f>
        <v>0</v>
      </c>
      <c r="DC28" s="249">
        <f>IF(C28="fagdag",Stamoplysninger!$H$30/200,0)</f>
        <v>0</v>
      </c>
      <c r="DD28" s="249">
        <f>IF(C28="emnedag",Stamoplysninger!$H$30/200,0)</f>
        <v>0</v>
      </c>
      <c r="DE28" s="249">
        <f>IF(C28="lejrskole",Stamoplysninger!$H$30/200,0)</f>
        <v>0</v>
      </c>
      <c r="DF28" s="249">
        <f>IF(C28="ekskursion",Stamoplysninger!$H$30/200,0)</f>
        <v>0</v>
      </c>
      <c r="DG28" s="249">
        <f t="shared" si="26"/>
        <v>0</v>
      </c>
      <c r="DH28" t="str">
        <f t="shared" si="27"/>
        <v/>
      </c>
      <c r="DI28" t="str">
        <f t="shared" si="28"/>
        <v>Juleafslutning 8-12:30</v>
      </c>
      <c r="DJ28" t="str">
        <f t="shared" si="29"/>
        <v/>
      </c>
      <c r="DK28" t="str">
        <f t="shared" si="14"/>
        <v/>
      </c>
      <c r="DL28" t="str">
        <f t="shared" si="14"/>
        <v>Juleafslutning 8-12:30</v>
      </c>
      <c r="DM28" t="str">
        <f t="shared" si="14"/>
        <v/>
      </c>
      <c r="DN28" t="str">
        <f t="shared" si="30"/>
        <v>Juleafslutning 8-12:30</v>
      </c>
      <c r="DO28" s="652">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71">
        <f>IF(AND(Stamoplysninger!$B$22="Ulempetillæg udbetales med 25% af nettotimelønnen.",C28="ikke relevant"),(R28)/4,0)</f>
        <v>0</v>
      </c>
      <c r="DT28" s="671">
        <f>IF(AND(AND(Stamoplysninger!$B$22="Ulempetillæg udbetales med 25% af nettotimelønnen.",I28="X",C28="Ikke relevant")),K28/4,0)</f>
        <v>0</v>
      </c>
      <c r="DU28" s="671">
        <f>IF(AND(AND(Stamoplysninger!$B$22="Ulempetillæg udbetales med 25% af nettotimelønnen.",C28="ikke relevant",U28="X")),(X28/4),0)</f>
        <v>0</v>
      </c>
      <c r="DV28" s="672">
        <f>IF(AND(AND(AND(Stamoplysninger!$B$22="Ulempetillæg udbetales med 25% af nettotimelønnen.",I28="X",C28="Ikke relevant",S28="X"))),V28/4,0)</f>
        <v>0</v>
      </c>
      <c r="DW28" s="652"/>
      <c r="DZ28" s="671"/>
      <c r="EA28" s="671"/>
      <c r="EB28" s="672"/>
      <c r="EC28" s="652">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71">
        <f>IF(AND(Stamoplysninger!$B$22="Ulempetillæg afspadseres med 25%(Kræver en aftale imellem ledelsen og den ansatte)",C28="ikke relevant"),(R28)/4,0)</f>
        <v>0</v>
      </c>
      <c r="EH28" s="671">
        <f>IF(AND(AND(Stamoplysninger!$B$22="Ulempetillæg afspadseres med 25%(Kræver en aftale imellem ledelsen og den ansatte)",I28="X",C28="Ikke relevant")),K28/4,0)</f>
        <v>0</v>
      </c>
      <c r="EI28" s="671">
        <f>IF(AND(AND(Stamoplysninger!$B$22="Ulempetillæg afspadseres med 25%(Kræver en aftale imellem ledelsen og den ansatte)",U28="X",C28="Ikke relevant")),X28/4,0)</f>
        <v>0</v>
      </c>
      <c r="EJ28" s="671">
        <f>IF(AND(AND(AND(Stamoplysninger!$B$22="Ulempetillæg afspadseres med 25%(Kræver en aftale imellem ledelsen og den ansatte)",I28="X",C28="Ikke relevant",S28="X"))),V28/4,0)</f>
        <v>0</v>
      </c>
      <c r="EK28" s="283">
        <f>IF(AND(Stamoplysninger!$B$26="Weekendtimer og weekendtillæg afspadseres.",I28="X"),K28*1.5,0)</f>
        <v>0</v>
      </c>
      <c r="EL28" s="251">
        <f>IF(AND(AND(Stamoplysninger!$B$26="Weekendtimer og weekendtillæg afspadseres.",I28="X",S28="X")),V28*1.5,0)</f>
        <v>0</v>
      </c>
      <c r="EM28" s="674">
        <f>IF(AND(AND(Stamoplysninger!$B$26="Weekendtimer og weekendtillæg afspadseres.",I28="X",C28="ikke relevant")),K28*1.5,0)</f>
        <v>0</v>
      </c>
      <c r="EN28" s="675">
        <f>IF(AND(AND(AND(Stamoplysninger!$B$26="Weekendtimer og weekendtillæg afspadseres.",I28="X",C28="ikke relevant",S28="X"))),(V28*1.5),0)</f>
        <v>0</v>
      </c>
      <c r="EO28" s="283">
        <f>IF(AND(Stamoplysninger!$B$26="Weekendtimer og weekendtillæg udbetales.",I28="X"),K28*1.5,0)</f>
        <v>0</v>
      </c>
      <c r="EP28" s="251">
        <f>IF(AND(AND(Stamoplysninger!$B$26="Weekendtimer og weekendtillæg udbetales.",I28="X",S28="X")),V28*1.5,0)</f>
        <v>0</v>
      </c>
      <c r="EQ28" s="674">
        <f>IF(AND(AND(Stamoplysninger!$B$26="Weekendtimer og weekendtillæg udbetales.",I28="X",C28="ikke relevant")),K28*1.5,0)</f>
        <v>0</v>
      </c>
      <c r="ER28" s="675">
        <f>IF(AND(AND(AND(Stamoplysninger!$B$26="Weekendtimer og weekendtillæg udbetales.",I28="X",C28="ikke relevant",S28="X"))),(V28*1.5),0)</f>
        <v>0</v>
      </c>
      <c r="ES28" s="283">
        <f>IF(AND(Stamoplysninger!$B$26="Der er indgået lokalaftale omkring weekendtimer.(Kræver aftale med TR/FSL) Weekendtillæg afspadseres.",I28="X"),K28*0.5,0)</f>
        <v>0</v>
      </c>
      <c r="ET28" s="251">
        <f>IF(AND(AND(Stamoplysninger!$B$26="Der er indgået lokalaftale omkring weekendtimer.(Kræver aftale med TR/FSL) Weekendtillæg afspadseres.",I28="X",S28="X")),V28*0.5,0)</f>
        <v>0</v>
      </c>
      <c r="EU28" s="674">
        <f>IF(AND(AND(Stamoplysninger!$B$26="Der er indgået lokalaftale omkring weekendtimer.(Kræver aftale med TR/FSL) Weekendtillæg afspadseres.",I28="X",C28="ikke relevant")),K28*0.5,0)</f>
        <v>0</v>
      </c>
      <c r="EV28" s="675">
        <f>IF(AND(AND(AND(Stamoplysninger!$B$26="Der er indgået lokalaftale omkring weekendtimer.(Kræver aftale med TR/FSL) Weekendtillæg afspadseres.",I28="X",C28="ikke relevant",S28="X"))),(V28*0.5),0)</f>
        <v>0</v>
      </c>
      <c r="EW28" s="283">
        <f>IF(AND(Stamoplysninger!$B$26="Der er indgået lokalaftale omkring weekendtimer(Kræver aftale med TR/FSL). Weekendtillæg udbetales.",I28="X"),K28*0.5,0)</f>
        <v>0</v>
      </c>
      <c r="EX28" s="251">
        <f>IF(AND(AND(Stamoplysninger!$B$26="Der er indgået lokalaftale omkring weekendtimer(Kræver aftale med TR/FSL). Weekendtillæg udbetales.",I28="X",S28="X")),V28*0.5,0)</f>
        <v>0</v>
      </c>
      <c r="EY28" s="674">
        <f>IF(AND(AND(Stamoplysninger!$B$26="Der er indgået lokalaftale omkring weekendtimer(Kræver aftale med TR/FSL). Weekendtillæg udbetales.",I28="X",C28="ikke relevant")),K28*0.5,0)</f>
        <v>0</v>
      </c>
      <c r="EZ28" s="675">
        <f>IF(AND(AND(AND(Stamoplysninger!$B$26="Der er indgået lokalaftale omkring weekendtimer(Kræver aftale med TR/FSL). Weekendtillæg udbetales.",I28="X",C28="ikke relevant",S28="X"))),(V28*0.5),0)</f>
        <v>0</v>
      </c>
      <c r="FA28" s="283">
        <f>IF(AND(Stamoplysninger!$B$26="Der er indgået lokalaftale omkring weekendtillæg(Kræver aftale med TR/FSL). Weekendtimerne afspadseres.",I28="X"),K28,0)</f>
        <v>0</v>
      </c>
      <c r="FB28" s="251">
        <f>IF(AND(AND(Stamoplysninger!$B$26="Der er indgået lokalaftale omkring weekendtillæg(Kræver aftale med TR/FSL). Weekendtimerne afspadseres.",I28="X",S28="X")),V28,0)</f>
        <v>0</v>
      </c>
      <c r="FC28" s="674">
        <f>IF(AND(AND(Stamoplysninger!$B$26="Der er indgået lokalaftale omkring weekendtillæg(Kræver aftale med TR/FSL). Weekendtimerne afspadseres..",I28="X",C28="ikke relevant")),K28,0)</f>
        <v>0</v>
      </c>
      <c r="FD28" s="675">
        <f>IF(AND(AND(AND(Stamoplysninger!$B$26="Der er indgået lokalaftale omkring weekendtillæg(Kræver aftale med TR/FSL). Weekendtimerne afspadseres.",I28="X",C28="ikke relevant",S28="X"))),(V28),0)</f>
        <v>0</v>
      </c>
      <c r="FE28" s="283">
        <f>IF(AND(Stamoplysninger!$B$26="Der er indgået lokalaftale omkring weekendtillæg(Kræver aftale med TR/FSL). Weekendtimerne udbetales.",I28="X"),K28,0)</f>
        <v>0</v>
      </c>
      <c r="FF28" s="251">
        <f>IF(AND(AND(Stamoplysninger!$B$26="Der er indgået lokalaftale omkring weekendtillæg(Kræver aftale med TR/FSL). Weekendtimerne udbetales.",I28="X",S28="X")),V28,0)</f>
        <v>0</v>
      </c>
      <c r="FG28" s="674">
        <f>IF(AND(AND(Stamoplysninger!$B$26="Der er indgået lokalaftale omkring weekendtillæg(Kræver aftale med TR/FSL). Weekendtimerne udbetales.",I28="X",C28="ikke relevant")),K28,0)</f>
        <v>0</v>
      </c>
      <c r="FH28" s="675">
        <f>IF(AND(AND(AND(Stamoplysninger!$B$26="Der er indgået lokalaftale omkring weekendtillæg(Kræver aftale med TR/FSL). Weekendtimerne udbetales.",I28="X",C28="ikke relevant",S28="X"))),(V28),0)</f>
        <v>0</v>
      </c>
      <c r="FI28" s="283">
        <f>IF(AND(Stamoplysninger!$B$26="Weekendtimer og weekendtillæg afspadseres.",I28="X"),K28,0)</f>
        <v>0</v>
      </c>
      <c r="FJ28" s="251">
        <f>IF(AND(Stamoplysninger!$B$26="Weekendtimer og weekendtillæg afspadseres.",Y28="X"),(AA28+AL28)/2,0)</f>
        <v>0</v>
      </c>
      <c r="FK28" s="674">
        <f>IF(AND(AND(Stamoplysninger!$B$26="Weekendtimer og weekendtillæg afspadseres.",I28="X",C28="ikke relevant")),K28,0)</f>
        <v>0</v>
      </c>
      <c r="FL28" s="675">
        <f>IF(AND(AND(Stamoplysninger!$B$26="Weekendtimer og weekendtillæg afspadseres.",Y28="X",S28="ikke relevant")),(AA28+AL28)/2,0)</f>
        <v>0</v>
      </c>
      <c r="FM28" s="283">
        <f>IF(AND(Stamoplysninger!$B$26="Der er indgået lokalaftale omkring weekendtillæg(Kræver aftale med TR/FSL). Weekendtimerne afspadseres.",I28="X"),K28,0)</f>
        <v>0</v>
      </c>
      <c r="FN28" s="674">
        <f>IF(AND(AND(Stamoplysninger!$B$26="Der er indgået lokalaftale omkring weekendtillæg(Kræver aftale med TR/FSL). Weekendtimerne afspadseres.",I28="X",C28="ikke relevant")),K28,0)</f>
        <v>0</v>
      </c>
      <c r="FO28" s="283">
        <f>IF(AND(Stamoplysninger!$B$26="Weekendtimer og weekendtillæg udbetales.",I28="X"),K28,0)</f>
        <v>0</v>
      </c>
      <c r="FP28" s="251">
        <f>IF(AND(Stamoplysninger!$B$26="Weekendtimer og weekendtillæg udbetales.",AA28="X"),(AC28+AN28)/2,0)</f>
        <v>0</v>
      </c>
      <c r="FQ28" s="674">
        <f>IF(AND(AND(Stamoplysninger!$B$26="Weekendtimer og weekendtillæg udbetales.",I28="X",C28="ikke relevant")),K28,0)</f>
        <v>0</v>
      </c>
      <c r="FR28" s="688">
        <f>IF(AND(AND(Stamoplysninger!$B$26="Weekendtimer og weekendtillæg udbetales.",AA28="X",U28="ikke relevant")),(AC28+AN28)/2,0)</f>
        <v>0</v>
      </c>
      <c r="FS28" s="283">
        <f t="shared" si="15"/>
        <v>0</v>
      </c>
      <c r="FT28" s="658">
        <f t="shared" si="16"/>
        <v>0</v>
      </c>
      <c r="FU28">
        <f t="shared" si="17"/>
        <v>0</v>
      </c>
      <c r="FV28" s="283">
        <f>IF(AND(Stamoplysninger!$B$26="Der er indgået lokalaftale omkring weekendtimer.(Kræver aftale med TR/FSL) Weekendtillæg afspadseres.",I28="X"),K28,0)</f>
        <v>0</v>
      </c>
      <c r="FW28" s="674">
        <f>IF(AND(AND(Stamoplysninger!$B$26="Der er indgået lokalaftale omkring weekendtimer.(Kræver aftale med TR/FSL) Weekendtillæg afspadseres.",I28="X",C28="ikke relevant")),K28,0)</f>
        <v>0</v>
      </c>
      <c r="FX28" s="283">
        <f>IF(AND(Stamoplysninger!$B$26="Der er indgået lokalaftale omkring weekendtimer(Kræver aftale med TR/FSL). Weekendtillæg udbetales.",I28="X"),K28,0)</f>
        <v>0</v>
      </c>
      <c r="FY28" s="674">
        <f>IF(AND(AND(Stamoplysninger!$B$26="Der er indgået lokalaftale omkring weekendtimer(Kræver aftale med TR/FSL). Weekendtillæg udbetales.",I28="X",C28="ikke relevant")),K28,0)</f>
        <v>0</v>
      </c>
      <c r="FZ28" s="283">
        <f>IF(AND(Stamoplysninger!$B$26="Der er indgået lokalaftale omkring weekendtillæg(Kræver aftale med TR/FSL). Weekendtimerne udbetales.",I28="X"),K28,0)</f>
        <v>0</v>
      </c>
      <c r="GA28" s="674">
        <f>IF(AND(AND(Stamoplysninger!$B$26="Der er indgået lokalaftale omkring weekendtillæg(Kræver aftale med TR/FSL). Weekendtimerne udbetales.",I28="X",C28="ikke relevant")),K28,0)</f>
        <v>0</v>
      </c>
      <c r="GB28" s="283">
        <f>IF(AND(Stamoplysninger!$B$26="Der er indgået lokalaftale omkring weekendtimer og weekendtillæg.(Kræver aftale med TR/FSL).",I28="X"),K28,0)</f>
        <v>0</v>
      </c>
      <c r="GC28" s="674">
        <f>IF(AND(AND(Stamoplysninger!$B$26="Der er indgået lokalaftale omkring weekendtimer og weekendtillæg.(Kræver aftale med TR/FSL).",I28="X",C28="ikke relevant")),K28,0)</f>
        <v>0</v>
      </c>
    </row>
    <row r="29" spans="1:185">
      <c r="A29" s="245">
        <f t="shared" si="18"/>
        <v>21</v>
      </c>
      <c r="B29" s="128" t="str">
        <f t="shared" si="0"/>
        <v>lø</v>
      </c>
      <c r="C29" s="129" t="s">
        <v>120</v>
      </c>
      <c r="D29" s="130" t="str">
        <f t="shared" si="1"/>
        <v/>
      </c>
      <c r="E29" s="917"/>
      <c r="F29" s="918"/>
      <c r="G29" s="919"/>
      <c r="H29" s="298"/>
      <c r="I29" s="413"/>
      <c r="J29" s="413"/>
      <c r="K29" s="380"/>
      <c r="L29" s="380"/>
      <c r="M29" s="380"/>
      <c r="N29" s="318">
        <f t="shared" si="19"/>
        <v>0</v>
      </c>
      <c r="O29" s="318">
        <f t="shared" si="20"/>
        <v>0</v>
      </c>
      <c r="P29" s="318">
        <f>IF(Stamoplysninger!$H$29="JA",December!DG29,CX29)</f>
        <v>0</v>
      </c>
      <c r="Q29" s="318">
        <f t="shared" si="21"/>
        <v>0</v>
      </c>
      <c r="R29" s="319"/>
      <c r="S29" s="324"/>
      <c r="T29" s="325"/>
      <c r="U29" s="325"/>
      <c r="V29" s="435"/>
      <c r="W29" s="412"/>
      <c r="X29" s="642"/>
      <c r="Y29">
        <f t="shared" si="22"/>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9">
        <f t="shared" si="8"/>
        <v>0</v>
      </c>
      <c r="BC29" s="1">
        <f t="shared" si="24"/>
        <v>0</v>
      </c>
      <c r="BD29" s="1">
        <f t="shared" si="9"/>
        <v>0</v>
      </c>
      <c r="BE29" s="1">
        <f t="shared" si="10"/>
        <v>0</v>
      </c>
      <c r="BF29" s="1">
        <f t="shared" si="11"/>
        <v>0</v>
      </c>
      <c r="BG29" s="210" t="str">
        <f>IF(AND(C29="Skema 1",B29="ma"),Skemaoplysninger!$E$30,"")</f>
        <v/>
      </c>
      <c r="BH29" s="210" t="str">
        <f>IF(AND(C29="Skema 1",B29="ti"),Skemaoplysninger!$G$30,"")</f>
        <v/>
      </c>
      <c r="BI29" s="210" t="str">
        <f>IF(AND(C29="Skema 1",B29="on"),Skemaoplysninger!$I$30,"")</f>
        <v/>
      </c>
      <c r="BJ29" s="210" t="str">
        <f>IF(AND(C29="Skema 1",B29="to"),Skemaoplysninger!$K$30,"")</f>
        <v/>
      </c>
      <c r="BK29" s="210" t="str">
        <f>IF(AND(C29="Skema 1",B29="fr"),Skemaoplysninger!$M$30,"")</f>
        <v/>
      </c>
      <c r="BL29" s="210" t="str">
        <f>IF(AND(C29="Skema 2",B29="ma"),Skemaoplysninger!$S$30,"")</f>
        <v/>
      </c>
      <c r="BM29" s="210" t="str">
        <f>IF(AND(C29="Skema 2",B29="ti"),Skemaoplysninger!$U$30,"")</f>
        <v/>
      </c>
      <c r="BN29" s="210" t="str">
        <f>IF(AND(C29="Skema 2",B29="on"),Skemaoplysninger!$W$30,"")</f>
        <v/>
      </c>
      <c r="BO29" s="210" t="str">
        <f>IF(AND(C29="Skema 2",B29="to"),Skemaoplysninger!$Y$30,"")</f>
        <v/>
      </c>
      <c r="BP29" s="210" t="str">
        <f>IF(AND(C29="Skema 2",B29="fr"),Skemaoplysninger!$AA$30,"")</f>
        <v/>
      </c>
      <c r="BQ29" s="210" t="str">
        <f>IF(AND(C29="Skema 3",B29="ma"),Skemaoplysninger!$AG$30,"")</f>
        <v/>
      </c>
      <c r="BR29" s="210" t="str">
        <f>IF(AND(C29="Skema 3",B29="ti"),Skemaoplysninger!$AI$30,"")</f>
        <v/>
      </c>
      <c r="BS29" s="210" t="str">
        <f>IF(AND(C29="Skema 3",B29="on"),Skemaoplysninger!$AK$30,"")</f>
        <v/>
      </c>
      <c r="BT29" s="210" t="str">
        <f>IF(AND(C29="Skema 3",B29="to"),Skemaoplysninger!$AM$30,"")</f>
        <v/>
      </c>
      <c r="BU29" s="210" t="str">
        <f>IF(AND(C29="Skema 3",B29="fr"),Skemaoplysninger!$AO$30,"")</f>
        <v/>
      </c>
      <c r="BV29" s="210" t="str">
        <f>IF(AND(C29="Skema 4",B29="ma"),Skemaoplysninger!$AU$30,"")</f>
        <v/>
      </c>
      <c r="BW29" s="210" t="str">
        <f>IF(AND(C29="Skema 4",B29="ti"),Skemaoplysninger!$AW$30,"")</f>
        <v/>
      </c>
      <c r="BX29" s="210" t="str">
        <f>IF(AND(C29="Skema 4",B29="on"),Skemaoplysninger!$AY$30,"")</f>
        <v/>
      </c>
      <c r="BY29" s="210" t="str">
        <f>IF(AND(C29="Skema 4",B29="to"),Skemaoplysninger!$BA$30,"")</f>
        <v/>
      </c>
      <c r="BZ29" s="210" t="str">
        <f>IF(AND(C29="Skema 4",B29="fr"),Skemaoplysninger!$BC$30,"")</f>
        <v/>
      </c>
      <c r="CA29" s="1">
        <f t="shared" si="25"/>
        <v>0</v>
      </c>
      <c r="CB29" s="1">
        <f t="shared" si="12"/>
        <v>0</v>
      </c>
      <c r="CC29" s="1">
        <f t="shared" si="13"/>
        <v>0</v>
      </c>
      <c r="CD29" s="210" t="str">
        <f>IF(AND(C29="Skema 1",B29="ma"),Skemaoplysninger!$E$31,"")</f>
        <v/>
      </c>
      <c r="CE29" s="210" t="str">
        <f>IF(AND(C29="Skema 1",B29="ti"),Skemaoplysninger!$G$31,"")</f>
        <v/>
      </c>
      <c r="CF29" s="210" t="str">
        <f>IF(AND(C29="Skema 1",B29="on"),Skemaoplysninger!$I$31,"")</f>
        <v/>
      </c>
      <c r="CG29" s="210" t="str">
        <f>IF(AND(C29="Skema 1",B29="to"),Skemaoplysninger!$K$31,"")</f>
        <v/>
      </c>
      <c r="CH29" s="210" t="str">
        <f>IF(AND(C29="Skema 1",B29="fr"),Skemaoplysninger!$M$31,"")</f>
        <v/>
      </c>
      <c r="CI29" s="210" t="str">
        <f>IF(AND(C29="Skema 2",B29="ma"),Skemaoplysninger!$S$31,"")</f>
        <v/>
      </c>
      <c r="CJ29" s="210" t="str">
        <f>IF(AND(C29="Skema 2",B29="ti"),Skemaoplysninger!$U$31,"")</f>
        <v/>
      </c>
      <c r="CK29" s="210" t="str">
        <f>IF(AND(C29="Skema 2",B29="on"),Skemaoplysninger!$W$31,"")</f>
        <v/>
      </c>
      <c r="CL29" s="210" t="str">
        <f>IF(AND(C29="Skema 2",B29="to"),Skemaoplysninger!$Y$31,"")</f>
        <v/>
      </c>
      <c r="CM29" s="210" t="str">
        <f>IF(AND(C29="Skema 2",B29="fr"),Skemaoplysninger!$AA$31,"")</f>
        <v/>
      </c>
      <c r="CN29" s="210" t="str">
        <f>IF(AND(C29="Skema 3",B29="ma"),Skemaoplysninger!$AG$31,"")</f>
        <v/>
      </c>
      <c r="CO29" s="210" t="str">
        <f>IF(AND(C29="Skema 3",B29="ti"),Skemaoplysninger!$AI$31,"")</f>
        <v/>
      </c>
      <c r="CP29" s="210" t="str">
        <f>IF(AND(C29="Skema 3",B29="on"),Skemaoplysninger!$AK$31,"")</f>
        <v/>
      </c>
      <c r="CQ29" s="210" t="str">
        <f>IF(AND(C29="Skema 3",B29="to"),Skemaoplysninger!$AM$31,"")</f>
        <v/>
      </c>
      <c r="CR29" s="210" t="str">
        <f>IF(AND(C29="Skema 3",B29="fr"),Skemaoplysninger!$AO$31,"")</f>
        <v/>
      </c>
      <c r="CS29" s="210" t="str">
        <f>IF(AND(C29="Skema 4",B29="ma"),Skemaoplysninger!$AU$31,"")</f>
        <v/>
      </c>
      <c r="CT29" s="210" t="str">
        <f>IF(AND(C29="Skema 4",B29="ti"),Skemaoplysninger!$AW$31,"")</f>
        <v/>
      </c>
      <c r="CU29" s="210" t="str">
        <f>IF(AND(C29="Skema 4",B29="on"),Skemaoplysninger!$AY$31,"")</f>
        <v/>
      </c>
      <c r="CV29" s="210" t="str">
        <f>IF(AND(C29="Skema 4",B29="to"),Skemaoplysninger!$BA$31,"")</f>
        <v/>
      </c>
      <c r="CW29" s="210" t="str">
        <f>IF(AND(C29="Skema 4",B29="fr"),Skemaoplysninger!$BC$31,"")</f>
        <v/>
      </c>
      <c r="CX29" s="249">
        <f>IF(Stamoplysninger!$H$29="NEJ",SUM(CD29:CW29)*24+CB29+CC29,0)</f>
        <v>0</v>
      </c>
      <c r="CY29" s="249">
        <f>IF(C29="Skema 1",Stamoplysninger!$H$30/200,0)</f>
        <v>0</v>
      </c>
      <c r="CZ29" s="249">
        <f>IF(C29="Skema 2",Stamoplysninger!$H$30/200,0)</f>
        <v>0</v>
      </c>
      <c r="DA29" s="249">
        <f>IF(C29="Skema 3",Stamoplysninger!$H$30/200,0)</f>
        <v>0</v>
      </c>
      <c r="DB29" s="249">
        <f>IF(C29="Skema 4",Stamoplysninger!$H$30/200,0)</f>
        <v>0</v>
      </c>
      <c r="DC29" s="249">
        <f>IF(C29="fagdag",Stamoplysninger!$H$30/200,0)</f>
        <v>0</v>
      </c>
      <c r="DD29" s="249">
        <f>IF(C29="emnedag",Stamoplysninger!$H$30/200,0)</f>
        <v>0</v>
      </c>
      <c r="DE29" s="249">
        <f>IF(C29="lejrskole",Stamoplysninger!$H$30/200,0)</f>
        <v>0</v>
      </c>
      <c r="DF29" s="249">
        <f>IF(C29="ekskursion",Stamoplysninger!$H$30/200,0)</f>
        <v>0</v>
      </c>
      <c r="DG29" s="249">
        <f t="shared" si="26"/>
        <v>0</v>
      </c>
      <c r="DH29" t="str">
        <f t="shared" si="27"/>
        <v/>
      </c>
      <c r="DI29">
        <f t="shared" si="28"/>
        <v>0</v>
      </c>
      <c r="DJ29">
        <f t="shared" si="29"/>
        <v>0</v>
      </c>
      <c r="DK29" t="str">
        <f t="shared" si="14"/>
        <v/>
      </c>
      <c r="DL29" t="str">
        <f t="shared" si="14"/>
        <v/>
      </c>
      <c r="DM29" t="str">
        <f t="shared" si="14"/>
        <v/>
      </c>
      <c r="DN29" t="str">
        <f t="shared" si="30"/>
        <v/>
      </c>
      <c r="DO29" s="652">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71">
        <f>IF(AND(Stamoplysninger!$B$22="Ulempetillæg udbetales med 25% af nettotimelønnen.",C29="ikke relevant"),(R29)/4,0)</f>
        <v>0</v>
      </c>
      <c r="DT29" s="671">
        <f>IF(AND(AND(Stamoplysninger!$B$22="Ulempetillæg udbetales med 25% af nettotimelønnen.",I29="X",C29="Ikke relevant")),K29/4,0)</f>
        <v>0</v>
      </c>
      <c r="DU29" s="671">
        <f>IF(AND(AND(Stamoplysninger!$B$22="Ulempetillæg udbetales med 25% af nettotimelønnen.",C29="ikke relevant",U29="X")),(X29/4),0)</f>
        <v>0</v>
      </c>
      <c r="DV29" s="672">
        <f>IF(AND(AND(AND(Stamoplysninger!$B$22="Ulempetillæg udbetales med 25% af nettotimelønnen.",I29="X",C29="Ikke relevant",S29="X"))),V29/4,0)</f>
        <v>0</v>
      </c>
      <c r="DW29" s="652"/>
      <c r="DZ29" s="671"/>
      <c r="EA29" s="671"/>
      <c r="EB29" s="672"/>
      <c r="EC29" s="652">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71">
        <f>IF(AND(Stamoplysninger!$B$22="Ulempetillæg afspadseres med 25%(Kræver en aftale imellem ledelsen og den ansatte)",C29="ikke relevant"),(R29)/4,0)</f>
        <v>0</v>
      </c>
      <c r="EH29" s="671">
        <f>IF(AND(AND(Stamoplysninger!$B$22="Ulempetillæg afspadseres med 25%(Kræver en aftale imellem ledelsen og den ansatte)",I29="X",C29="Ikke relevant")),K29/4,0)</f>
        <v>0</v>
      </c>
      <c r="EI29" s="671">
        <f>IF(AND(AND(Stamoplysninger!$B$22="Ulempetillæg afspadseres med 25%(Kræver en aftale imellem ledelsen og den ansatte)",U29="X",C29="Ikke relevant")),X29/4,0)</f>
        <v>0</v>
      </c>
      <c r="EJ29" s="671">
        <f>IF(AND(AND(AND(Stamoplysninger!$B$22="Ulempetillæg afspadseres med 25%(Kræver en aftale imellem ledelsen og den ansatte)",I29="X",C29="Ikke relevant",S29="X"))),V29/4,0)</f>
        <v>0</v>
      </c>
      <c r="EK29" s="283">
        <f>IF(AND(Stamoplysninger!$B$26="Weekendtimer og weekendtillæg afspadseres.",I29="X"),K29*1.5,0)</f>
        <v>0</v>
      </c>
      <c r="EL29" s="251">
        <f>IF(AND(AND(Stamoplysninger!$B$26="Weekendtimer og weekendtillæg afspadseres.",I29="X",S29="X")),V29*1.5,0)</f>
        <v>0</v>
      </c>
      <c r="EM29" s="674">
        <f>IF(AND(AND(Stamoplysninger!$B$26="Weekendtimer og weekendtillæg afspadseres.",I29="X",C29="ikke relevant")),K29*1.5,0)</f>
        <v>0</v>
      </c>
      <c r="EN29" s="675">
        <f>IF(AND(AND(AND(Stamoplysninger!$B$26="Weekendtimer og weekendtillæg afspadseres.",I29="X",C29="ikke relevant",S29="X"))),(V29*1.5),0)</f>
        <v>0</v>
      </c>
      <c r="EO29" s="283">
        <f>IF(AND(Stamoplysninger!$B$26="Weekendtimer og weekendtillæg udbetales.",I29="X"),K29*1.5,0)</f>
        <v>0</v>
      </c>
      <c r="EP29" s="251">
        <f>IF(AND(AND(Stamoplysninger!$B$26="Weekendtimer og weekendtillæg udbetales.",I29="X",S29="X")),V29*1.5,0)</f>
        <v>0</v>
      </c>
      <c r="EQ29" s="674">
        <f>IF(AND(AND(Stamoplysninger!$B$26="Weekendtimer og weekendtillæg udbetales.",I29="X",C29="ikke relevant")),K29*1.5,0)</f>
        <v>0</v>
      </c>
      <c r="ER29" s="675">
        <f>IF(AND(AND(AND(Stamoplysninger!$B$26="Weekendtimer og weekendtillæg udbetales.",I29="X",C29="ikke relevant",S29="X"))),(V29*1.5),0)</f>
        <v>0</v>
      </c>
      <c r="ES29" s="283">
        <f>IF(AND(Stamoplysninger!$B$26="Der er indgået lokalaftale omkring weekendtimer.(Kræver aftale med TR/FSL) Weekendtillæg afspadseres.",I29="X"),K29*0.5,0)</f>
        <v>0</v>
      </c>
      <c r="ET29" s="251">
        <f>IF(AND(AND(Stamoplysninger!$B$26="Der er indgået lokalaftale omkring weekendtimer.(Kræver aftale med TR/FSL) Weekendtillæg afspadseres.",I29="X",S29="X")),V29*0.5,0)</f>
        <v>0</v>
      </c>
      <c r="EU29" s="674">
        <f>IF(AND(AND(Stamoplysninger!$B$26="Der er indgået lokalaftale omkring weekendtimer.(Kræver aftale med TR/FSL) Weekendtillæg afspadseres.",I29="X",C29="ikke relevant")),K29*0.5,0)</f>
        <v>0</v>
      </c>
      <c r="EV29" s="675">
        <f>IF(AND(AND(AND(Stamoplysninger!$B$26="Der er indgået lokalaftale omkring weekendtimer.(Kræver aftale med TR/FSL) Weekendtillæg afspadseres.",I29="X",C29="ikke relevant",S29="X"))),(V29*0.5),0)</f>
        <v>0</v>
      </c>
      <c r="EW29" s="283">
        <f>IF(AND(Stamoplysninger!$B$26="Der er indgået lokalaftale omkring weekendtimer(Kræver aftale med TR/FSL). Weekendtillæg udbetales.",I29="X"),K29*0.5,0)</f>
        <v>0</v>
      </c>
      <c r="EX29" s="251">
        <f>IF(AND(AND(Stamoplysninger!$B$26="Der er indgået lokalaftale omkring weekendtimer(Kræver aftale med TR/FSL). Weekendtillæg udbetales.",I29="X",S29="X")),V29*0.5,0)</f>
        <v>0</v>
      </c>
      <c r="EY29" s="674">
        <f>IF(AND(AND(Stamoplysninger!$B$26="Der er indgået lokalaftale omkring weekendtimer(Kræver aftale med TR/FSL). Weekendtillæg udbetales.",I29="X",C29="ikke relevant")),K29*0.5,0)</f>
        <v>0</v>
      </c>
      <c r="EZ29" s="675">
        <f>IF(AND(AND(AND(Stamoplysninger!$B$26="Der er indgået lokalaftale omkring weekendtimer(Kræver aftale med TR/FSL). Weekendtillæg udbetales.",I29="X",C29="ikke relevant",S29="X"))),(V29*0.5),0)</f>
        <v>0</v>
      </c>
      <c r="FA29" s="283">
        <f>IF(AND(Stamoplysninger!$B$26="Der er indgået lokalaftale omkring weekendtillæg(Kræver aftale med TR/FSL). Weekendtimerne afspadseres.",I29="X"),K29,0)</f>
        <v>0</v>
      </c>
      <c r="FB29" s="251">
        <f>IF(AND(AND(Stamoplysninger!$B$26="Der er indgået lokalaftale omkring weekendtillæg(Kræver aftale med TR/FSL). Weekendtimerne afspadseres.",I29="X",S29="X")),V29,0)</f>
        <v>0</v>
      </c>
      <c r="FC29" s="674">
        <f>IF(AND(AND(Stamoplysninger!$B$26="Der er indgået lokalaftale omkring weekendtillæg(Kræver aftale med TR/FSL). Weekendtimerne afspadseres..",I29="X",C29="ikke relevant")),K29,0)</f>
        <v>0</v>
      </c>
      <c r="FD29" s="675">
        <f>IF(AND(AND(AND(Stamoplysninger!$B$26="Der er indgået lokalaftale omkring weekendtillæg(Kræver aftale med TR/FSL). Weekendtimerne afspadseres.",I29="X",C29="ikke relevant",S29="X"))),(V29),0)</f>
        <v>0</v>
      </c>
      <c r="FE29" s="283">
        <f>IF(AND(Stamoplysninger!$B$26="Der er indgået lokalaftale omkring weekendtillæg(Kræver aftale med TR/FSL). Weekendtimerne udbetales.",I29="X"),K29,0)</f>
        <v>0</v>
      </c>
      <c r="FF29" s="251">
        <f>IF(AND(AND(Stamoplysninger!$B$26="Der er indgået lokalaftale omkring weekendtillæg(Kræver aftale med TR/FSL). Weekendtimerne udbetales.",I29="X",S29="X")),V29,0)</f>
        <v>0</v>
      </c>
      <c r="FG29" s="674">
        <f>IF(AND(AND(Stamoplysninger!$B$26="Der er indgået lokalaftale omkring weekendtillæg(Kræver aftale med TR/FSL). Weekendtimerne udbetales.",I29="X",C29="ikke relevant")),K29,0)</f>
        <v>0</v>
      </c>
      <c r="FH29" s="675">
        <f>IF(AND(AND(AND(Stamoplysninger!$B$26="Der er indgået lokalaftale omkring weekendtillæg(Kræver aftale med TR/FSL). Weekendtimerne udbetales.",I29="X",C29="ikke relevant",S29="X"))),(V29),0)</f>
        <v>0</v>
      </c>
      <c r="FI29" s="283">
        <f>IF(AND(Stamoplysninger!$B$26="Weekendtimer og weekendtillæg afspadseres.",I29="X"),K29,0)</f>
        <v>0</v>
      </c>
      <c r="FJ29" s="251">
        <f>IF(AND(Stamoplysninger!$B$26="Weekendtimer og weekendtillæg afspadseres.",Y29="X"),(AA29+AL29)/2,0)</f>
        <v>0</v>
      </c>
      <c r="FK29" s="674">
        <f>IF(AND(AND(Stamoplysninger!$B$26="Weekendtimer og weekendtillæg afspadseres.",I29="X",C29="ikke relevant")),K29,0)</f>
        <v>0</v>
      </c>
      <c r="FL29" s="675">
        <f>IF(AND(AND(Stamoplysninger!$B$26="Weekendtimer og weekendtillæg afspadseres.",Y29="X",S29="ikke relevant")),(AA29+AL29)/2,0)</f>
        <v>0</v>
      </c>
      <c r="FM29" s="283">
        <f>IF(AND(Stamoplysninger!$B$26="Der er indgået lokalaftale omkring weekendtillæg(Kræver aftale med TR/FSL). Weekendtimerne afspadseres.",I29="X"),K29,0)</f>
        <v>0</v>
      </c>
      <c r="FN29" s="674">
        <f>IF(AND(AND(Stamoplysninger!$B$26="Der er indgået lokalaftale omkring weekendtillæg(Kræver aftale med TR/FSL). Weekendtimerne afspadseres.",I29="X",C29="ikke relevant")),K29,0)</f>
        <v>0</v>
      </c>
      <c r="FO29" s="283">
        <f>IF(AND(Stamoplysninger!$B$26="Weekendtimer og weekendtillæg udbetales.",I29="X"),K29,0)</f>
        <v>0</v>
      </c>
      <c r="FP29" s="251">
        <f>IF(AND(Stamoplysninger!$B$26="Weekendtimer og weekendtillæg udbetales.",AA29="X"),(AC29+AN29)/2,0)</f>
        <v>0</v>
      </c>
      <c r="FQ29" s="674">
        <f>IF(AND(AND(Stamoplysninger!$B$26="Weekendtimer og weekendtillæg udbetales.",I29="X",C29="ikke relevant")),K29,0)</f>
        <v>0</v>
      </c>
      <c r="FR29" s="688">
        <f>IF(AND(AND(Stamoplysninger!$B$26="Weekendtimer og weekendtillæg udbetales.",AA29="X",U29="ikke relevant")),(AC29+AN29)/2,0)</f>
        <v>0</v>
      </c>
      <c r="FS29" s="283">
        <f t="shared" si="15"/>
        <v>0</v>
      </c>
      <c r="FT29" s="658">
        <f t="shared" si="16"/>
        <v>0</v>
      </c>
      <c r="FU29">
        <f>IF(AND(C29="weekend",I29="X"),K29,0)</f>
        <v>0</v>
      </c>
      <c r="FV29" s="283">
        <f>IF(AND(Stamoplysninger!$B$26="Der er indgået lokalaftale omkring weekendtimer.(Kræver aftale med TR/FSL) Weekendtillæg afspadseres.",I29="X"),K29,0)</f>
        <v>0</v>
      </c>
      <c r="FW29" s="674">
        <f>IF(AND(AND(Stamoplysninger!$B$26="Der er indgået lokalaftale omkring weekendtimer.(Kræver aftale med TR/FSL) Weekendtillæg afspadseres.",I29="X",C29="ikke relevant")),K29,0)</f>
        <v>0</v>
      </c>
      <c r="FX29" s="283">
        <f>IF(AND(Stamoplysninger!$B$26="Der er indgået lokalaftale omkring weekendtimer(Kræver aftale med TR/FSL). Weekendtillæg udbetales.",I29="X"),K29,0)</f>
        <v>0</v>
      </c>
      <c r="FY29" s="674">
        <f>IF(AND(AND(Stamoplysninger!$B$26="Der er indgået lokalaftale omkring weekendtimer(Kræver aftale med TR/FSL). Weekendtillæg udbetales.",I29="X",C29="ikke relevant")),K29,0)</f>
        <v>0</v>
      </c>
      <c r="FZ29" s="283">
        <f>IF(AND(Stamoplysninger!$B$26="Der er indgået lokalaftale omkring weekendtillæg(Kræver aftale med TR/FSL). Weekendtimerne udbetales.",I29="X"),K29,0)</f>
        <v>0</v>
      </c>
      <c r="GA29" s="674">
        <f>IF(AND(AND(Stamoplysninger!$B$26="Der er indgået lokalaftale omkring weekendtillæg(Kræver aftale med TR/FSL). Weekendtimerne udbetales.",I29="X",C29="ikke relevant")),K29,0)</f>
        <v>0</v>
      </c>
      <c r="GB29" s="283">
        <f>IF(AND(Stamoplysninger!$B$26="Der er indgået lokalaftale omkring weekendtimer og weekendtillæg.(Kræver aftale med TR/FSL).",I29="X"),K29,0)</f>
        <v>0</v>
      </c>
      <c r="GC29" s="674">
        <f>IF(AND(AND(Stamoplysninger!$B$26="Der er indgået lokalaftale omkring weekendtimer og weekendtillæg.(Kræver aftale med TR/FSL).",I29="X",C29="ikke relevant")),K29,0)</f>
        <v>0</v>
      </c>
    </row>
    <row r="30" spans="1:185">
      <c r="A30" s="245">
        <f t="shared" si="18"/>
        <v>22</v>
      </c>
      <c r="B30" s="128" t="str">
        <f t="shared" si="0"/>
        <v>sø</v>
      </c>
      <c r="C30" s="129" t="s">
        <v>120</v>
      </c>
      <c r="D30" s="130" t="str">
        <f t="shared" si="1"/>
        <v/>
      </c>
      <c r="E30" s="917"/>
      <c r="F30" s="918"/>
      <c r="G30" s="919"/>
      <c r="H30" s="298"/>
      <c r="I30" s="413"/>
      <c r="J30" s="413"/>
      <c r="K30" s="380"/>
      <c r="L30" s="380"/>
      <c r="M30" s="380"/>
      <c r="N30" s="318">
        <f t="shared" si="19"/>
        <v>0</v>
      </c>
      <c r="O30" s="318">
        <f t="shared" si="20"/>
        <v>0</v>
      </c>
      <c r="P30" s="318">
        <f>IF(Stamoplysninger!$H$29="JA",December!DG30,CX30)</f>
        <v>0</v>
      </c>
      <c r="Q30" s="318">
        <f t="shared" si="21"/>
        <v>0</v>
      </c>
      <c r="R30" s="319"/>
      <c r="S30" s="324"/>
      <c r="T30" s="325"/>
      <c r="U30" s="325"/>
      <c r="V30" s="435"/>
      <c r="W30" s="412"/>
      <c r="X30" s="642"/>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9">
        <f t="shared" si="8"/>
        <v>0</v>
      </c>
      <c r="BC30" s="1">
        <f t="shared" si="24"/>
        <v>0</v>
      </c>
      <c r="BD30" s="1">
        <f t="shared" si="9"/>
        <v>0</v>
      </c>
      <c r="BE30" s="1">
        <f t="shared" si="10"/>
        <v>0</v>
      </c>
      <c r="BF30" s="1">
        <f t="shared" si="11"/>
        <v>0</v>
      </c>
      <c r="BG30" s="210" t="str">
        <f>IF(AND(C30="Skema 1",B30="ma"),Skemaoplysninger!$E$30,"")</f>
        <v/>
      </c>
      <c r="BH30" s="210" t="str">
        <f>IF(AND(C30="Skema 1",B30="ti"),Skemaoplysninger!$G$30,"")</f>
        <v/>
      </c>
      <c r="BI30" s="210" t="str">
        <f>IF(AND(C30="Skema 1",B30="on"),Skemaoplysninger!$I$30,"")</f>
        <v/>
      </c>
      <c r="BJ30" s="210" t="str">
        <f>IF(AND(C30="Skema 1",B30="to"),Skemaoplysninger!$K$30,"")</f>
        <v/>
      </c>
      <c r="BK30" s="210" t="str">
        <f>IF(AND(C30="Skema 1",B30="fr"),Skemaoplysninger!$M$30,"")</f>
        <v/>
      </c>
      <c r="BL30" s="210" t="str">
        <f>IF(AND(C30="Skema 2",B30="ma"),Skemaoplysninger!$S$30,"")</f>
        <v/>
      </c>
      <c r="BM30" s="210" t="str">
        <f>IF(AND(C30="Skema 2",B30="ti"),Skemaoplysninger!$U$30,"")</f>
        <v/>
      </c>
      <c r="BN30" s="210" t="str">
        <f>IF(AND(C30="Skema 2",B30="on"),Skemaoplysninger!$W$30,"")</f>
        <v/>
      </c>
      <c r="BO30" s="210" t="str">
        <f>IF(AND(C30="Skema 2",B30="to"),Skemaoplysninger!$Y$30,"")</f>
        <v/>
      </c>
      <c r="BP30" s="210" t="str">
        <f>IF(AND(C30="Skema 2",B30="fr"),Skemaoplysninger!$AA$30,"")</f>
        <v/>
      </c>
      <c r="BQ30" s="210" t="str">
        <f>IF(AND(C30="Skema 3",B30="ma"),Skemaoplysninger!$AG$30,"")</f>
        <v/>
      </c>
      <c r="BR30" s="210" t="str">
        <f>IF(AND(C30="Skema 3",B30="ti"),Skemaoplysninger!$AI$30,"")</f>
        <v/>
      </c>
      <c r="BS30" s="210" t="str">
        <f>IF(AND(C30="Skema 3",B30="on"),Skemaoplysninger!$AK$30,"")</f>
        <v/>
      </c>
      <c r="BT30" s="210" t="str">
        <f>IF(AND(C30="Skema 3",B30="to"),Skemaoplysninger!$AM$30,"")</f>
        <v/>
      </c>
      <c r="BU30" s="210" t="str">
        <f>IF(AND(C30="Skema 3",B30="fr"),Skemaoplysninger!$AO$30,"")</f>
        <v/>
      </c>
      <c r="BV30" s="210" t="str">
        <f>IF(AND(C30="Skema 4",B30="ma"),Skemaoplysninger!$AU$30,"")</f>
        <v/>
      </c>
      <c r="BW30" s="210" t="str">
        <f>IF(AND(C30="Skema 4",B30="ti"),Skemaoplysninger!$AW$30,"")</f>
        <v/>
      </c>
      <c r="BX30" s="210" t="str">
        <f>IF(AND(C30="Skema 4",B30="on"),Skemaoplysninger!$AY$30,"")</f>
        <v/>
      </c>
      <c r="BY30" s="210" t="str">
        <f>IF(AND(C30="Skema 4",B30="to"),Skemaoplysninger!$BA$30,"")</f>
        <v/>
      </c>
      <c r="BZ30" s="210" t="str">
        <f>IF(AND(C30="Skema 4",B30="fr"),Skemaoplysninger!$BC$30,"")</f>
        <v/>
      </c>
      <c r="CA30" s="1">
        <f t="shared" si="25"/>
        <v>0</v>
      </c>
      <c r="CB30" s="1">
        <f t="shared" si="12"/>
        <v>0</v>
      </c>
      <c r="CC30" s="1">
        <f t="shared" si="13"/>
        <v>0</v>
      </c>
      <c r="CD30" s="210" t="str">
        <f>IF(AND(C30="Skema 1",B30="ma"),Skemaoplysninger!$E$31,"")</f>
        <v/>
      </c>
      <c r="CE30" s="210" t="str">
        <f>IF(AND(C30="Skema 1",B30="ti"),Skemaoplysninger!$G$31,"")</f>
        <v/>
      </c>
      <c r="CF30" s="210" t="str">
        <f>IF(AND(C30="Skema 1",B30="on"),Skemaoplysninger!$I$31,"")</f>
        <v/>
      </c>
      <c r="CG30" s="210" t="str">
        <f>IF(AND(C30="Skema 1",B30="to"),Skemaoplysninger!$K$31,"")</f>
        <v/>
      </c>
      <c r="CH30" s="210" t="str">
        <f>IF(AND(C30="Skema 1",B30="fr"),Skemaoplysninger!$M$31,"")</f>
        <v/>
      </c>
      <c r="CI30" s="210" t="str">
        <f>IF(AND(C30="Skema 2",B30="ma"),Skemaoplysninger!$S$31,"")</f>
        <v/>
      </c>
      <c r="CJ30" s="210" t="str">
        <f>IF(AND(C30="Skema 2",B30="ti"),Skemaoplysninger!$U$31,"")</f>
        <v/>
      </c>
      <c r="CK30" s="210" t="str">
        <f>IF(AND(C30="Skema 2",B30="on"),Skemaoplysninger!$W$31,"")</f>
        <v/>
      </c>
      <c r="CL30" s="210" t="str">
        <f>IF(AND(C30="Skema 2",B30="to"),Skemaoplysninger!$Y$31,"")</f>
        <v/>
      </c>
      <c r="CM30" s="210" t="str">
        <f>IF(AND(C30="Skema 2",B30="fr"),Skemaoplysninger!$AA$31,"")</f>
        <v/>
      </c>
      <c r="CN30" s="210" t="str">
        <f>IF(AND(C30="Skema 3",B30="ma"),Skemaoplysninger!$AG$31,"")</f>
        <v/>
      </c>
      <c r="CO30" s="210" t="str">
        <f>IF(AND(C30="Skema 3",B30="ti"),Skemaoplysninger!$AI$31,"")</f>
        <v/>
      </c>
      <c r="CP30" s="210" t="str">
        <f>IF(AND(C30="Skema 3",B30="on"),Skemaoplysninger!$AK$31,"")</f>
        <v/>
      </c>
      <c r="CQ30" s="210" t="str">
        <f>IF(AND(C30="Skema 3",B30="to"),Skemaoplysninger!$AM$31,"")</f>
        <v/>
      </c>
      <c r="CR30" s="210" t="str">
        <f>IF(AND(C30="Skema 3",B30="fr"),Skemaoplysninger!$AO$31,"")</f>
        <v/>
      </c>
      <c r="CS30" s="210" t="str">
        <f>IF(AND(C30="Skema 4",B30="ma"),Skemaoplysninger!$AU$31,"")</f>
        <v/>
      </c>
      <c r="CT30" s="210" t="str">
        <f>IF(AND(C30="Skema 4",B30="ti"),Skemaoplysninger!$AW$31,"")</f>
        <v/>
      </c>
      <c r="CU30" s="210" t="str">
        <f>IF(AND(C30="Skema 4",B30="on"),Skemaoplysninger!$AY$31,"")</f>
        <v/>
      </c>
      <c r="CV30" s="210" t="str">
        <f>IF(AND(C30="Skema 4",B30="to"),Skemaoplysninger!$BA$31,"")</f>
        <v/>
      </c>
      <c r="CW30" s="210" t="str">
        <f>IF(AND(C30="Skema 4",B30="fr"),Skemaoplysninger!$BC$31,"")</f>
        <v/>
      </c>
      <c r="CX30" s="249">
        <f>IF(Stamoplysninger!$H$29="NEJ",SUM(CD30:CW30)*24+CB30+CC30,0)</f>
        <v>0</v>
      </c>
      <c r="CY30" s="249">
        <f>IF(C30="Skema 1",Stamoplysninger!$H$30/200,0)</f>
        <v>0</v>
      </c>
      <c r="CZ30" s="249">
        <f>IF(C30="Skema 2",Stamoplysninger!$H$30/200,0)</f>
        <v>0</v>
      </c>
      <c r="DA30" s="249">
        <f>IF(C30="Skema 3",Stamoplysninger!$H$30/200,0)</f>
        <v>0</v>
      </c>
      <c r="DB30" s="249">
        <f>IF(C30="Skema 4",Stamoplysninger!$H$30/200,0)</f>
        <v>0</v>
      </c>
      <c r="DC30" s="249">
        <f>IF(C30="fagdag",Stamoplysninger!$H$30/200,0)</f>
        <v>0</v>
      </c>
      <c r="DD30" s="249">
        <f>IF(C30="emnedag",Stamoplysninger!$H$30/200,0)</f>
        <v>0</v>
      </c>
      <c r="DE30" s="249">
        <f>IF(C30="lejrskole",Stamoplysninger!$H$30/200,0)</f>
        <v>0</v>
      </c>
      <c r="DF30" s="249">
        <f>IF(C30="ekskursion",Stamoplysninger!$H$30/200,0)</f>
        <v>0</v>
      </c>
      <c r="DG30" s="249">
        <f t="shared" si="26"/>
        <v>0</v>
      </c>
      <c r="DH30" t="str">
        <f t="shared" si="27"/>
        <v/>
      </c>
      <c r="DI30">
        <f t="shared" si="28"/>
        <v>0</v>
      </c>
      <c r="DJ30">
        <f t="shared" si="29"/>
        <v>0</v>
      </c>
      <c r="DK30" t="str">
        <f t="shared" si="14"/>
        <v/>
      </c>
      <c r="DL30" t="str">
        <f t="shared" si="14"/>
        <v/>
      </c>
      <c r="DM30" t="str">
        <f t="shared" si="14"/>
        <v/>
      </c>
      <c r="DN30" t="str">
        <f t="shared" si="30"/>
        <v/>
      </c>
      <c r="DO30" s="652">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71">
        <f>IF(AND(Stamoplysninger!$B$22="Ulempetillæg udbetales med 25% af nettotimelønnen.",C30="ikke relevant"),(R30)/4,0)</f>
        <v>0</v>
      </c>
      <c r="DT30" s="671">
        <f>IF(AND(AND(Stamoplysninger!$B$22="Ulempetillæg udbetales med 25% af nettotimelønnen.",I30="X",C30="Ikke relevant")),K30/4,0)</f>
        <v>0</v>
      </c>
      <c r="DU30" s="671">
        <f>IF(AND(AND(Stamoplysninger!$B$22="Ulempetillæg udbetales med 25% af nettotimelønnen.",C30="ikke relevant",U30="X")),(X30/4),0)</f>
        <v>0</v>
      </c>
      <c r="DV30" s="672">
        <f>IF(AND(AND(AND(Stamoplysninger!$B$22="Ulempetillæg udbetales med 25% af nettotimelønnen.",I30="X",C30="Ikke relevant",S30="X"))),V30/4,0)</f>
        <v>0</v>
      </c>
      <c r="DW30" s="652"/>
      <c r="DZ30" s="671"/>
      <c r="EA30" s="671"/>
      <c r="EB30" s="672"/>
      <c r="EC30" s="652">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71">
        <f>IF(AND(Stamoplysninger!$B$22="Ulempetillæg afspadseres med 25%(Kræver en aftale imellem ledelsen og den ansatte)",C30="ikke relevant"),(R30)/4,0)</f>
        <v>0</v>
      </c>
      <c r="EH30" s="671">
        <f>IF(AND(AND(Stamoplysninger!$B$22="Ulempetillæg afspadseres med 25%(Kræver en aftale imellem ledelsen og den ansatte)",I30="X",C30="Ikke relevant")),K30/4,0)</f>
        <v>0</v>
      </c>
      <c r="EI30" s="671">
        <f>IF(AND(AND(Stamoplysninger!$B$22="Ulempetillæg afspadseres med 25%(Kræver en aftale imellem ledelsen og den ansatte)",U30="X",C30="Ikke relevant")),X30/4,0)</f>
        <v>0</v>
      </c>
      <c r="EJ30" s="671">
        <f>IF(AND(AND(AND(Stamoplysninger!$B$22="Ulempetillæg afspadseres med 25%(Kræver en aftale imellem ledelsen og den ansatte)",I30="X",C30="Ikke relevant",S30="X"))),V30/4,0)</f>
        <v>0</v>
      </c>
      <c r="EK30" s="283">
        <f>IF(AND(Stamoplysninger!$B$26="Weekendtimer og weekendtillæg afspadseres.",I30="X"),K30*1.5,0)</f>
        <v>0</v>
      </c>
      <c r="EL30" s="251">
        <f>IF(AND(AND(Stamoplysninger!$B$26="Weekendtimer og weekendtillæg afspadseres.",I30="X",S30="X")),V30*1.5,0)</f>
        <v>0</v>
      </c>
      <c r="EM30" s="674">
        <f>IF(AND(AND(Stamoplysninger!$B$26="Weekendtimer og weekendtillæg afspadseres.",I30="X",C30="ikke relevant")),K30*1.5,0)</f>
        <v>0</v>
      </c>
      <c r="EN30" s="675">
        <f>IF(AND(AND(AND(Stamoplysninger!$B$26="Weekendtimer og weekendtillæg afspadseres.",I30="X",C30="ikke relevant",S30="X"))),(V30*1.5),0)</f>
        <v>0</v>
      </c>
      <c r="EO30" s="283">
        <f>IF(AND(Stamoplysninger!$B$26="Weekendtimer og weekendtillæg udbetales.",I30="X"),K30*1.5,0)</f>
        <v>0</v>
      </c>
      <c r="EP30" s="251">
        <f>IF(AND(AND(Stamoplysninger!$B$26="Weekendtimer og weekendtillæg udbetales.",I30="X",S30="X")),V30*1.5,0)</f>
        <v>0</v>
      </c>
      <c r="EQ30" s="674">
        <f>IF(AND(AND(Stamoplysninger!$B$26="Weekendtimer og weekendtillæg udbetales.",I30="X",C30="ikke relevant")),K30*1.5,0)</f>
        <v>0</v>
      </c>
      <c r="ER30" s="675">
        <f>IF(AND(AND(AND(Stamoplysninger!$B$26="Weekendtimer og weekendtillæg udbetales.",I30="X",C30="ikke relevant",S30="X"))),(V30*1.5),0)</f>
        <v>0</v>
      </c>
      <c r="ES30" s="283">
        <f>IF(AND(Stamoplysninger!$B$26="Der er indgået lokalaftale omkring weekendtimer.(Kræver aftale med TR/FSL) Weekendtillæg afspadseres.",I30="X"),K30*0.5,0)</f>
        <v>0</v>
      </c>
      <c r="ET30" s="251">
        <f>IF(AND(AND(Stamoplysninger!$B$26="Der er indgået lokalaftale omkring weekendtimer.(Kræver aftale med TR/FSL) Weekendtillæg afspadseres.",I30="X",S30="X")),V30*0.5,0)</f>
        <v>0</v>
      </c>
      <c r="EU30" s="674">
        <f>IF(AND(AND(Stamoplysninger!$B$26="Der er indgået lokalaftale omkring weekendtimer.(Kræver aftale med TR/FSL) Weekendtillæg afspadseres.",I30="X",C30="ikke relevant")),K30*0.5,0)</f>
        <v>0</v>
      </c>
      <c r="EV30" s="675">
        <f>IF(AND(AND(AND(Stamoplysninger!$B$26="Der er indgået lokalaftale omkring weekendtimer.(Kræver aftale med TR/FSL) Weekendtillæg afspadseres.",I30="X",C30="ikke relevant",S30="X"))),(V30*0.5),0)</f>
        <v>0</v>
      </c>
      <c r="EW30" s="283">
        <f>IF(AND(Stamoplysninger!$B$26="Der er indgået lokalaftale omkring weekendtimer(Kræver aftale med TR/FSL). Weekendtillæg udbetales.",I30="X"),K30*0.5,0)</f>
        <v>0</v>
      </c>
      <c r="EX30" s="251">
        <f>IF(AND(AND(Stamoplysninger!$B$26="Der er indgået lokalaftale omkring weekendtimer(Kræver aftale med TR/FSL). Weekendtillæg udbetales.",I30="X",S30="X")),V30*0.5,0)</f>
        <v>0</v>
      </c>
      <c r="EY30" s="674">
        <f>IF(AND(AND(Stamoplysninger!$B$26="Der er indgået lokalaftale omkring weekendtimer(Kræver aftale med TR/FSL). Weekendtillæg udbetales.",I30="X",C30="ikke relevant")),K30*0.5,0)</f>
        <v>0</v>
      </c>
      <c r="EZ30" s="675">
        <f>IF(AND(AND(AND(Stamoplysninger!$B$26="Der er indgået lokalaftale omkring weekendtimer(Kræver aftale med TR/FSL). Weekendtillæg udbetales.",I30="X",C30="ikke relevant",S30="X"))),(V30*0.5),0)</f>
        <v>0</v>
      </c>
      <c r="FA30" s="283">
        <f>IF(AND(Stamoplysninger!$B$26="Der er indgået lokalaftale omkring weekendtillæg(Kræver aftale med TR/FSL). Weekendtimerne afspadseres.",I30="X"),K30,0)</f>
        <v>0</v>
      </c>
      <c r="FB30" s="251">
        <f>IF(AND(AND(Stamoplysninger!$B$26="Der er indgået lokalaftale omkring weekendtillæg(Kræver aftale med TR/FSL). Weekendtimerne afspadseres.",I30="X",S30="X")),V30,0)</f>
        <v>0</v>
      </c>
      <c r="FC30" s="674">
        <f>IF(AND(AND(Stamoplysninger!$B$26="Der er indgået lokalaftale omkring weekendtillæg(Kræver aftale med TR/FSL). Weekendtimerne afspadseres..",I30="X",C30="ikke relevant")),K30,0)</f>
        <v>0</v>
      </c>
      <c r="FD30" s="675">
        <f>IF(AND(AND(AND(Stamoplysninger!$B$26="Der er indgået lokalaftale omkring weekendtillæg(Kræver aftale med TR/FSL). Weekendtimerne afspadseres.",I30="X",C30="ikke relevant",S30="X"))),(V30),0)</f>
        <v>0</v>
      </c>
      <c r="FE30" s="283">
        <f>IF(AND(Stamoplysninger!$B$26="Der er indgået lokalaftale omkring weekendtillæg(Kræver aftale med TR/FSL). Weekendtimerne udbetales.",I30="X"),K30,0)</f>
        <v>0</v>
      </c>
      <c r="FF30" s="251">
        <f>IF(AND(AND(Stamoplysninger!$B$26="Der er indgået lokalaftale omkring weekendtillæg(Kræver aftale med TR/FSL). Weekendtimerne udbetales.",I30="X",S30="X")),V30,0)</f>
        <v>0</v>
      </c>
      <c r="FG30" s="674">
        <f>IF(AND(AND(Stamoplysninger!$B$26="Der er indgået lokalaftale omkring weekendtillæg(Kræver aftale med TR/FSL). Weekendtimerne udbetales.",I30="X",C30="ikke relevant")),K30,0)</f>
        <v>0</v>
      </c>
      <c r="FH30" s="675">
        <f>IF(AND(AND(AND(Stamoplysninger!$B$26="Der er indgået lokalaftale omkring weekendtillæg(Kræver aftale med TR/FSL). Weekendtimerne udbetales.",I30="X",C30="ikke relevant",S30="X"))),(V30),0)</f>
        <v>0</v>
      </c>
      <c r="FI30" s="283">
        <f>IF(AND(Stamoplysninger!$B$26="Weekendtimer og weekendtillæg afspadseres.",I30="X"),K30,0)</f>
        <v>0</v>
      </c>
      <c r="FJ30" s="251">
        <f>IF(AND(Stamoplysninger!$B$26="Weekendtimer og weekendtillæg afspadseres.",Y30="X"),(AA30+AL30)/2,0)</f>
        <v>0</v>
      </c>
      <c r="FK30" s="674">
        <f>IF(AND(AND(Stamoplysninger!$B$26="Weekendtimer og weekendtillæg afspadseres.",I30="X",C30="ikke relevant")),K30,0)</f>
        <v>0</v>
      </c>
      <c r="FL30" s="675">
        <f>IF(AND(AND(Stamoplysninger!$B$26="Weekendtimer og weekendtillæg afspadseres.",Y30="X",S30="ikke relevant")),(AA30+AL30)/2,0)</f>
        <v>0</v>
      </c>
      <c r="FM30" s="283">
        <f>IF(AND(Stamoplysninger!$B$26="Der er indgået lokalaftale omkring weekendtillæg(Kræver aftale med TR/FSL). Weekendtimerne afspadseres.",I30="X"),K30,0)</f>
        <v>0</v>
      </c>
      <c r="FN30" s="674">
        <f>IF(AND(AND(Stamoplysninger!$B$26="Der er indgået lokalaftale omkring weekendtillæg(Kræver aftale med TR/FSL). Weekendtimerne afspadseres.",I30="X",C30="ikke relevant")),K30,0)</f>
        <v>0</v>
      </c>
      <c r="FO30" s="283">
        <f>IF(AND(Stamoplysninger!$B$26="Weekendtimer og weekendtillæg udbetales.",I30="X"),K30,0)</f>
        <v>0</v>
      </c>
      <c r="FP30" s="251">
        <f>IF(AND(Stamoplysninger!$B$26="Weekendtimer og weekendtillæg udbetales.",AA30="X"),(AC30+AN30)/2,0)</f>
        <v>0</v>
      </c>
      <c r="FQ30" s="674">
        <f>IF(AND(AND(Stamoplysninger!$B$26="Weekendtimer og weekendtillæg udbetales.",I30="X",C30="ikke relevant")),K30,0)</f>
        <v>0</v>
      </c>
      <c r="FR30" s="688">
        <f>IF(AND(AND(Stamoplysninger!$B$26="Weekendtimer og weekendtillæg udbetales.",AA30="X",U30="ikke relevant")),(AC30+AN30)/2,0)</f>
        <v>0</v>
      </c>
      <c r="FS30" s="283">
        <f t="shared" si="15"/>
        <v>0</v>
      </c>
      <c r="FT30" s="658">
        <f t="shared" si="16"/>
        <v>0</v>
      </c>
      <c r="FU30">
        <f t="shared" ref="FU30:FU39" si="31">IF(AND(C30="weekend",I30="X"),K30,0)</f>
        <v>0</v>
      </c>
      <c r="FV30" s="283">
        <f>IF(AND(Stamoplysninger!$B$26="Der er indgået lokalaftale omkring weekendtimer.(Kræver aftale med TR/FSL) Weekendtillæg afspadseres.",I30="X"),K30,0)</f>
        <v>0</v>
      </c>
      <c r="FW30" s="674">
        <f>IF(AND(AND(Stamoplysninger!$B$26="Der er indgået lokalaftale omkring weekendtimer.(Kræver aftale med TR/FSL) Weekendtillæg afspadseres.",I30="X",C30="ikke relevant")),K30,0)</f>
        <v>0</v>
      </c>
      <c r="FX30" s="283">
        <f>IF(AND(Stamoplysninger!$B$26="Der er indgået lokalaftale omkring weekendtimer(Kræver aftale med TR/FSL). Weekendtillæg udbetales.",I30="X"),K30,0)</f>
        <v>0</v>
      </c>
      <c r="FY30" s="674">
        <f>IF(AND(AND(Stamoplysninger!$B$26="Der er indgået lokalaftale omkring weekendtimer(Kræver aftale med TR/FSL). Weekendtillæg udbetales.",I30="X",C30="ikke relevant")),K30,0)</f>
        <v>0</v>
      </c>
      <c r="FZ30" s="283">
        <f>IF(AND(Stamoplysninger!$B$26="Der er indgået lokalaftale omkring weekendtillæg(Kræver aftale med TR/FSL). Weekendtimerne udbetales.",I30="X"),K30,0)</f>
        <v>0</v>
      </c>
      <c r="GA30" s="674">
        <f>IF(AND(AND(Stamoplysninger!$B$26="Der er indgået lokalaftale omkring weekendtillæg(Kræver aftale med TR/FSL). Weekendtimerne udbetales.",I30="X",C30="ikke relevant")),K30,0)</f>
        <v>0</v>
      </c>
      <c r="GB30" s="283">
        <f>IF(AND(Stamoplysninger!$B$26="Der er indgået lokalaftale omkring weekendtimer og weekendtillæg.(Kræver aftale med TR/FSL).",I30="X"),K30,0)</f>
        <v>0</v>
      </c>
      <c r="GC30" s="674">
        <f>IF(AND(AND(Stamoplysninger!$B$26="Der er indgået lokalaftale omkring weekendtimer og weekendtillæg.(Kræver aftale med TR/FSL).",I30="X",C30="ikke relevant")),K30,0)</f>
        <v>0</v>
      </c>
    </row>
    <row r="31" spans="1:185">
      <c r="A31" s="245">
        <f t="shared" si="18"/>
        <v>23</v>
      </c>
      <c r="B31" s="128" t="str">
        <f t="shared" si="0"/>
        <v>ma</v>
      </c>
      <c r="C31" s="129" t="s">
        <v>128</v>
      </c>
      <c r="D31" s="130">
        <f t="shared" si="1"/>
        <v>52</v>
      </c>
      <c r="E31" s="917"/>
      <c r="F31" s="918"/>
      <c r="G31" s="919"/>
      <c r="H31" s="298"/>
      <c r="I31" s="527"/>
      <c r="J31" s="413"/>
      <c r="K31" s="380"/>
      <c r="L31" s="380"/>
      <c r="M31" s="380"/>
      <c r="N31" s="318">
        <f t="shared" si="19"/>
        <v>0</v>
      </c>
      <c r="O31" s="318">
        <f t="shared" si="20"/>
        <v>0</v>
      </c>
      <c r="P31" s="318">
        <f>IF(Stamoplysninger!$H$29="JA",December!DG31,CX31)</f>
        <v>0</v>
      </c>
      <c r="Q31" s="318">
        <f t="shared" si="21"/>
        <v>0</v>
      </c>
      <c r="R31" s="319"/>
      <c r="S31" s="324"/>
      <c r="T31" s="325"/>
      <c r="U31" s="325"/>
      <c r="V31" s="435"/>
      <c r="W31" s="412"/>
      <c r="X31" s="642"/>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9">
        <f t="shared" si="8"/>
        <v>0</v>
      </c>
      <c r="BC31" s="1">
        <f t="shared" si="24"/>
        <v>0</v>
      </c>
      <c r="BD31" s="1">
        <f t="shared" si="9"/>
        <v>0</v>
      </c>
      <c r="BE31" s="1">
        <f t="shared" si="10"/>
        <v>0</v>
      </c>
      <c r="BF31" s="1">
        <f t="shared" si="11"/>
        <v>0</v>
      </c>
      <c r="BG31" s="210" t="str">
        <f>IF(AND(C31="Skema 1",B31="ma"),Skemaoplysninger!$E$30,"")</f>
        <v/>
      </c>
      <c r="BH31" s="210" t="str">
        <f>IF(AND(C31="Skema 1",B31="ti"),Skemaoplysninger!$G$30,"")</f>
        <v/>
      </c>
      <c r="BI31" s="210" t="str">
        <f>IF(AND(C31="Skema 1",B31="on"),Skemaoplysninger!$I$30,"")</f>
        <v/>
      </c>
      <c r="BJ31" s="210" t="str">
        <f>IF(AND(C31="Skema 1",B31="to"),Skemaoplysninger!$K$30,"")</f>
        <v/>
      </c>
      <c r="BK31" s="210" t="str">
        <f>IF(AND(C31="Skema 1",B31="fr"),Skemaoplysninger!$M$30,"")</f>
        <v/>
      </c>
      <c r="BL31" s="210" t="str">
        <f>IF(AND(C31="Skema 2",B31="ma"),Skemaoplysninger!$S$30,"")</f>
        <v/>
      </c>
      <c r="BM31" s="210" t="str">
        <f>IF(AND(C31="Skema 2",B31="ti"),Skemaoplysninger!$U$30,"")</f>
        <v/>
      </c>
      <c r="BN31" s="210" t="str">
        <f>IF(AND(C31="Skema 2",B31="on"),Skemaoplysninger!$W$30,"")</f>
        <v/>
      </c>
      <c r="BO31" s="210" t="str">
        <f>IF(AND(C31="Skema 2",B31="to"),Skemaoplysninger!$Y$30,"")</f>
        <v/>
      </c>
      <c r="BP31" s="210" t="str">
        <f>IF(AND(C31="Skema 2",B31="fr"),Skemaoplysninger!$AA$30,"")</f>
        <v/>
      </c>
      <c r="BQ31" s="210" t="str">
        <f>IF(AND(C31="Skema 3",B31="ma"),Skemaoplysninger!$AG$30,"")</f>
        <v/>
      </c>
      <c r="BR31" s="210" t="str">
        <f>IF(AND(C31="Skema 3",B31="ti"),Skemaoplysninger!$AI$30,"")</f>
        <v/>
      </c>
      <c r="BS31" s="210" t="str">
        <f>IF(AND(C31="Skema 3",B31="on"),Skemaoplysninger!$AK$30,"")</f>
        <v/>
      </c>
      <c r="BT31" s="210" t="str">
        <f>IF(AND(C31="Skema 3",B31="to"),Skemaoplysninger!$AM$30,"")</f>
        <v/>
      </c>
      <c r="BU31" s="210" t="str">
        <f>IF(AND(C31="Skema 3",B31="fr"),Skemaoplysninger!$AO$30,"")</f>
        <v/>
      </c>
      <c r="BV31" s="210" t="str">
        <f>IF(AND(C31="Skema 4",B31="ma"),Skemaoplysninger!$AU$30,"")</f>
        <v/>
      </c>
      <c r="BW31" s="210" t="str">
        <f>IF(AND(C31="Skema 4",B31="ti"),Skemaoplysninger!$AW$30,"")</f>
        <v/>
      </c>
      <c r="BX31" s="210" t="str">
        <f>IF(AND(C31="Skema 4",B31="on"),Skemaoplysninger!$AY$30,"")</f>
        <v/>
      </c>
      <c r="BY31" s="210" t="str">
        <f>IF(AND(C31="Skema 4",B31="to"),Skemaoplysninger!$BA$30,"")</f>
        <v/>
      </c>
      <c r="BZ31" s="210" t="str">
        <f>IF(AND(C31="Skema 4",B31="fr"),Skemaoplysninger!$BC$30,"")</f>
        <v/>
      </c>
      <c r="CA31" s="1">
        <f t="shared" si="25"/>
        <v>0</v>
      </c>
      <c r="CB31" s="1">
        <f t="shared" si="12"/>
        <v>0</v>
      </c>
      <c r="CC31" s="1">
        <f t="shared" si="13"/>
        <v>0</v>
      </c>
      <c r="CD31" s="210" t="str">
        <f>IF(AND(C31="Skema 1",B31="ma"),Skemaoplysninger!$E$31,"")</f>
        <v/>
      </c>
      <c r="CE31" s="210" t="str">
        <f>IF(AND(C31="Skema 1",B31="ti"),Skemaoplysninger!$G$31,"")</f>
        <v/>
      </c>
      <c r="CF31" s="210" t="str">
        <f>IF(AND(C31="Skema 1",B31="on"),Skemaoplysninger!$I$31,"")</f>
        <v/>
      </c>
      <c r="CG31" s="210" t="str">
        <f>IF(AND(C31="Skema 1",B31="to"),Skemaoplysninger!$K$31,"")</f>
        <v/>
      </c>
      <c r="CH31" s="210" t="str">
        <f>IF(AND(C31="Skema 1",B31="fr"),Skemaoplysninger!$M$31,"")</f>
        <v/>
      </c>
      <c r="CI31" s="210" t="str">
        <f>IF(AND(C31="Skema 2",B31="ma"),Skemaoplysninger!$S$31,"")</f>
        <v/>
      </c>
      <c r="CJ31" s="210" t="str">
        <f>IF(AND(C31="Skema 2",B31="ti"),Skemaoplysninger!$U$31,"")</f>
        <v/>
      </c>
      <c r="CK31" s="210" t="str">
        <f>IF(AND(C31="Skema 2",B31="on"),Skemaoplysninger!$W$31,"")</f>
        <v/>
      </c>
      <c r="CL31" s="210" t="str">
        <f>IF(AND(C31="Skema 2",B31="to"),Skemaoplysninger!$Y$31,"")</f>
        <v/>
      </c>
      <c r="CM31" s="210" t="str">
        <f>IF(AND(C31="Skema 2",B31="fr"),Skemaoplysninger!$AA$31,"")</f>
        <v/>
      </c>
      <c r="CN31" s="210" t="str">
        <f>IF(AND(C31="Skema 3",B31="ma"),Skemaoplysninger!$AG$31,"")</f>
        <v/>
      </c>
      <c r="CO31" s="210" t="str">
        <f>IF(AND(C31="Skema 3",B31="ti"),Skemaoplysninger!$AI$31,"")</f>
        <v/>
      </c>
      <c r="CP31" s="210" t="str">
        <f>IF(AND(C31="Skema 3",B31="on"),Skemaoplysninger!$AK$31,"")</f>
        <v/>
      </c>
      <c r="CQ31" s="210" t="str">
        <f>IF(AND(C31="Skema 3",B31="to"),Skemaoplysninger!$AM$31,"")</f>
        <v/>
      </c>
      <c r="CR31" s="210" t="str">
        <f>IF(AND(C31="Skema 3",B31="fr"),Skemaoplysninger!$AO$31,"")</f>
        <v/>
      </c>
      <c r="CS31" s="210" t="str">
        <f>IF(AND(C31="Skema 4",B31="ma"),Skemaoplysninger!$AU$31,"")</f>
        <v/>
      </c>
      <c r="CT31" s="210" t="str">
        <f>IF(AND(C31="Skema 4",B31="ti"),Skemaoplysninger!$AW$31,"")</f>
        <v/>
      </c>
      <c r="CU31" s="210" t="str">
        <f>IF(AND(C31="Skema 4",B31="on"),Skemaoplysninger!$AY$31,"")</f>
        <v/>
      </c>
      <c r="CV31" s="210" t="str">
        <f>IF(AND(C31="Skema 4",B31="to"),Skemaoplysninger!$BA$31,"")</f>
        <v/>
      </c>
      <c r="CW31" s="210" t="str">
        <f>IF(AND(C31="Skema 4",B31="fr"),Skemaoplysninger!$BC$31,"")</f>
        <v/>
      </c>
      <c r="CX31" s="249">
        <f>IF(Stamoplysninger!$H$29="NEJ",SUM(CD31:CW31)*24+CB31+CC31,0)</f>
        <v>0</v>
      </c>
      <c r="CY31" s="249">
        <f>IF(C31="Skema 1",Stamoplysninger!$H$30/200,0)</f>
        <v>0</v>
      </c>
      <c r="CZ31" s="249">
        <f>IF(C31="Skema 2",Stamoplysninger!$H$30/200,0)</f>
        <v>0</v>
      </c>
      <c r="DA31" s="249">
        <f>IF(C31="Skema 3",Stamoplysninger!$H$30/200,0)</f>
        <v>0</v>
      </c>
      <c r="DB31" s="249">
        <f>IF(C31="Skema 4",Stamoplysninger!$H$30/200,0)</f>
        <v>0</v>
      </c>
      <c r="DC31" s="249">
        <f>IF(C31="fagdag",Stamoplysninger!$H$30/200,0)</f>
        <v>0</v>
      </c>
      <c r="DD31" s="249">
        <f>IF(C31="emnedag",Stamoplysninger!$H$30/200,0)</f>
        <v>0</v>
      </c>
      <c r="DE31" s="249">
        <f>IF(C31="lejrskole",Stamoplysninger!$H$30/200,0)</f>
        <v>0</v>
      </c>
      <c r="DF31" s="249">
        <f>IF(C31="ekskursion",Stamoplysninger!$H$30/200,0)</f>
        <v>0</v>
      </c>
      <c r="DG31" s="249">
        <f t="shared" si="26"/>
        <v>0</v>
      </c>
      <c r="DH31" t="str">
        <f t="shared" si="27"/>
        <v/>
      </c>
      <c r="DI31">
        <f t="shared" si="28"/>
        <v>0</v>
      </c>
      <c r="DJ31">
        <f t="shared" si="29"/>
        <v>0</v>
      </c>
      <c r="DK31" t="str">
        <f t="shared" si="14"/>
        <v/>
      </c>
      <c r="DL31" t="str">
        <f t="shared" si="14"/>
        <v/>
      </c>
      <c r="DM31" t="str">
        <f t="shared" si="14"/>
        <v/>
      </c>
      <c r="DN31" t="str">
        <f t="shared" si="30"/>
        <v/>
      </c>
      <c r="DO31" s="652">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71">
        <f>IF(AND(Stamoplysninger!$B$22="Ulempetillæg udbetales med 25% af nettotimelønnen.",C31="ikke relevant"),(R31)/4,0)</f>
        <v>0</v>
      </c>
      <c r="DT31" s="671">
        <f>IF(AND(AND(Stamoplysninger!$B$22="Ulempetillæg udbetales med 25% af nettotimelønnen.",I31="X",C31="Ikke relevant")),K31/4,0)</f>
        <v>0</v>
      </c>
      <c r="DU31" s="671">
        <f>IF(AND(AND(Stamoplysninger!$B$22="Ulempetillæg udbetales med 25% af nettotimelønnen.",C31="ikke relevant",U31="X")),(X31/4),0)</f>
        <v>0</v>
      </c>
      <c r="DV31" s="672">
        <f>IF(AND(AND(AND(Stamoplysninger!$B$22="Ulempetillæg udbetales med 25% af nettotimelønnen.",I31="X",C31="Ikke relevant",S31="X"))),V31/4,0)</f>
        <v>0</v>
      </c>
      <c r="DW31" s="652"/>
      <c r="DZ31" s="671"/>
      <c r="EA31" s="671"/>
      <c r="EB31" s="672"/>
      <c r="EC31" s="652">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71">
        <f>IF(AND(Stamoplysninger!$B$22="Ulempetillæg afspadseres med 25%(Kræver en aftale imellem ledelsen og den ansatte)",C31="ikke relevant"),(R31)/4,0)</f>
        <v>0</v>
      </c>
      <c r="EH31" s="671">
        <f>IF(AND(AND(Stamoplysninger!$B$22="Ulempetillæg afspadseres med 25%(Kræver en aftale imellem ledelsen og den ansatte)",I31="X",C31="Ikke relevant")),K31/4,0)</f>
        <v>0</v>
      </c>
      <c r="EI31" s="671">
        <f>IF(AND(AND(Stamoplysninger!$B$22="Ulempetillæg afspadseres med 25%(Kræver en aftale imellem ledelsen og den ansatte)",U31="X",C31="Ikke relevant")),X31/4,0)</f>
        <v>0</v>
      </c>
      <c r="EJ31" s="671">
        <f>IF(AND(AND(AND(Stamoplysninger!$B$22="Ulempetillæg afspadseres med 25%(Kræver en aftale imellem ledelsen og den ansatte)",I31="X",C31="Ikke relevant",S31="X"))),V31/4,0)</f>
        <v>0</v>
      </c>
      <c r="EK31" s="283">
        <f>IF(AND(Stamoplysninger!$B$26="Weekendtimer og weekendtillæg afspadseres.",I31="X"),K31*1.5,0)</f>
        <v>0</v>
      </c>
      <c r="EL31" s="251">
        <f>IF(AND(AND(Stamoplysninger!$B$26="Weekendtimer og weekendtillæg afspadseres.",I31="X",S31="X")),V31*1.5,0)</f>
        <v>0</v>
      </c>
      <c r="EM31" s="674">
        <f>IF(AND(AND(Stamoplysninger!$B$26="Weekendtimer og weekendtillæg afspadseres.",I31="X",C31="ikke relevant")),K31*1.5,0)</f>
        <v>0</v>
      </c>
      <c r="EN31" s="675">
        <f>IF(AND(AND(AND(Stamoplysninger!$B$26="Weekendtimer og weekendtillæg afspadseres.",I31="X",C31="ikke relevant",S31="X"))),(V31*1.5),0)</f>
        <v>0</v>
      </c>
      <c r="EO31" s="283">
        <f>IF(AND(Stamoplysninger!$B$26="Weekendtimer og weekendtillæg udbetales.",I31="X"),K31*1.5,0)</f>
        <v>0</v>
      </c>
      <c r="EP31" s="251">
        <f>IF(AND(AND(Stamoplysninger!$B$26="Weekendtimer og weekendtillæg udbetales.",I31="X",S31="X")),V31*1.5,0)</f>
        <v>0</v>
      </c>
      <c r="EQ31" s="674">
        <f>IF(AND(AND(Stamoplysninger!$B$26="Weekendtimer og weekendtillæg udbetales.",I31="X",C31="ikke relevant")),K31*1.5,0)</f>
        <v>0</v>
      </c>
      <c r="ER31" s="675">
        <f>IF(AND(AND(AND(Stamoplysninger!$B$26="Weekendtimer og weekendtillæg udbetales.",I31="X",C31="ikke relevant",S31="X"))),(V31*1.5),0)</f>
        <v>0</v>
      </c>
      <c r="ES31" s="283">
        <f>IF(AND(Stamoplysninger!$B$26="Der er indgået lokalaftale omkring weekendtimer.(Kræver aftale med TR/FSL) Weekendtillæg afspadseres.",I31="X"),K31*0.5,0)</f>
        <v>0</v>
      </c>
      <c r="ET31" s="251">
        <f>IF(AND(AND(Stamoplysninger!$B$26="Der er indgået lokalaftale omkring weekendtimer.(Kræver aftale med TR/FSL) Weekendtillæg afspadseres.",I31="X",S31="X")),V31*0.5,0)</f>
        <v>0</v>
      </c>
      <c r="EU31" s="674">
        <f>IF(AND(AND(Stamoplysninger!$B$26="Der er indgået lokalaftale omkring weekendtimer.(Kræver aftale med TR/FSL) Weekendtillæg afspadseres.",I31="X",C31="ikke relevant")),K31*0.5,0)</f>
        <v>0</v>
      </c>
      <c r="EV31" s="675">
        <f>IF(AND(AND(AND(Stamoplysninger!$B$26="Der er indgået lokalaftale omkring weekendtimer.(Kræver aftale med TR/FSL) Weekendtillæg afspadseres.",I31="X",C31="ikke relevant",S31="X"))),(V31*0.5),0)</f>
        <v>0</v>
      </c>
      <c r="EW31" s="283">
        <f>IF(AND(Stamoplysninger!$B$26="Der er indgået lokalaftale omkring weekendtimer(Kræver aftale med TR/FSL). Weekendtillæg udbetales.",I31="X"),K31*0.5,0)</f>
        <v>0</v>
      </c>
      <c r="EX31" s="251">
        <f>IF(AND(AND(Stamoplysninger!$B$26="Der er indgået lokalaftale omkring weekendtimer(Kræver aftale med TR/FSL). Weekendtillæg udbetales.",I31="X",S31="X")),V31*0.5,0)</f>
        <v>0</v>
      </c>
      <c r="EY31" s="674">
        <f>IF(AND(AND(Stamoplysninger!$B$26="Der er indgået lokalaftale omkring weekendtimer(Kræver aftale med TR/FSL). Weekendtillæg udbetales.",I31="X",C31="ikke relevant")),K31*0.5,0)</f>
        <v>0</v>
      </c>
      <c r="EZ31" s="675">
        <f>IF(AND(AND(AND(Stamoplysninger!$B$26="Der er indgået lokalaftale omkring weekendtimer(Kræver aftale med TR/FSL). Weekendtillæg udbetales.",I31="X",C31="ikke relevant",S31="X"))),(V31*0.5),0)</f>
        <v>0</v>
      </c>
      <c r="FA31" s="283">
        <f>IF(AND(Stamoplysninger!$B$26="Der er indgået lokalaftale omkring weekendtillæg(Kræver aftale med TR/FSL). Weekendtimerne afspadseres.",I31="X"),K31,0)</f>
        <v>0</v>
      </c>
      <c r="FB31" s="251">
        <f>IF(AND(AND(Stamoplysninger!$B$26="Der er indgået lokalaftale omkring weekendtillæg(Kræver aftale med TR/FSL). Weekendtimerne afspadseres.",I31="X",S31="X")),V31,0)</f>
        <v>0</v>
      </c>
      <c r="FC31" s="674">
        <f>IF(AND(AND(Stamoplysninger!$B$26="Der er indgået lokalaftale omkring weekendtillæg(Kræver aftale med TR/FSL). Weekendtimerne afspadseres..",I31="X",C31="ikke relevant")),K31,0)</f>
        <v>0</v>
      </c>
      <c r="FD31" s="675">
        <f>IF(AND(AND(AND(Stamoplysninger!$B$26="Der er indgået lokalaftale omkring weekendtillæg(Kræver aftale med TR/FSL). Weekendtimerne afspadseres.",I31="X",C31="ikke relevant",S31="X"))),(V31),0)</f>
        <v>0</v>
      </c>
      <c r="FE31" s="283">
        <f>IF(AND(Stamoplysninger!$B$26="Der er indgået lokalaftale omkring weekendtillæg(Kræver aftale med TR/FSL). Weekendtimerne udbetales.",I31="X"),K31,0)</f>
        <v>0</v>
      </c>
      <c r="FF31" s="251">
        <f>IF(AND(AND(Stamoplysninger!$B$26="Der er indgået lokalaftale omkring weekendtillæg(Kræver aftale med TR/FSL). Weekendtimerne udbetales.",I31="X",S31="X")),V31,0)</f>
        <v>0</v>
      </c>
      <c r="FG31" s="674">
        <f>IF(AND(AND(Stamoplysninger!$B$26="Der er indgået lokalaftale omkring weekendtillæg(Kræver aftale med TR/FSL). Weekendtimerne udbetales.",I31="X",C31="ikke relevant")),K31,0)</f>
        <v>0</v>
      </c>
      <c r="FH31" s="675">
        <f>IF(AND(AND(AND(Stamoplysninger!$B$26="Der er indgået lokalaftale omkring weekendtillæg(Kræver aftale med TR/FSL). Weekendtimerne udbetales.",I31="X",C31="ikke relevant",S31="X"))),(V31),0)</f>
        <v>0</v>
      </c>
      <c r="FI31" s="283">
        <f>IF(AND(Stamoplysninger!$B$26="Weekendtimer og weekendtillæg afspadseres.",I31="X"),K31,0)</f>
        <v>0</v>
      </c>
      <c r="FJ31" s="251">
        <f>IF(AND(Stamoplysninger!$B$26="Weekendtimer og weekendtillæg afspadseres.",Y31="X"),(AA31+AL31)/2,0)</f>
        <v>0</v>
      </c>
      <c r="FK31" s="674">
        <f>IF(AND(AND(Stamoplysninger!$B$26="Weekendtimer og weekendtillæg afspadseres.",I31="X",C31="ikke relevant")),K31,0)</f>
        <v>0</v>
      </c>
      <c r="FL31" s="675">
        <f>IF(AND(AND(Stamoplysninger!$B$26="Weekendtimer og weekendtillæg afspadseres.",Y31="X",S31="ikke relevant")),(AA31+AL31)/2,0)</f>
        <v>0</v>
      </c>
      <c r="FM31" s="283">
        <f>IF(AND(Stamoplysninger!$B$26="Der er indgået lokalaftale omkring weekendtillæg(Kræver aftale med TR/FSL). Weekendtimerne afspadseres.",I31="X"),K31,0)</f>
        <v>0</v>
      </c>
      <c r="FN31" s="674">
        <f>IF(AND(AND(Stamoplysninger!$B$26="Der er indgået lokalaftale omkring weekendtillæg(Kræver aftale med TR/FSL). Weekendtimerne afspadseres.",I31="X",C31="ikke relevant")),K31,0)</f>
        <v>0</v>
      </c>
      <c r="FO31" s="283">
        <f>IF(AND(Stamoplysninger!$B$26="Weekendtimer og weekendtillæg udbetales.",I31="X"),K31,0)</f>
        <v>0</v>
      </c>
      <c r="FP31" s="251">
        <f>IF(AND(Stamoplysninger!$B$26="Weekendtimer og weekendtillæg udbetales.",AA31="X"),(AC31+AN31)/2,0)</f>
        <v>0</v>
      </c>
      <c r="FQ31" s="674">
        <f>IF(AND(AND(Stamoplysninger!$B$26="Weekendtimer og weekendtillæg udbetales.",I31="X",C31="ikke relevant")),K31,0)</f>
        <v>0</v>
      </c>
      <c r="FR31" s="688">
        <f>IF(AND(AND(Stamoplysninger!$B$26="Weekendtimer og weekendtillæg udbetales.",AA31="X",U31="ikke relevant")),(AC31+AN31)/2,0)</f>
        <v>0</v>
      </c>
      <c r="FS31" s="283">
        <f t="shared" si="15"/>
        <v>0</v>
      </c>
      <c r="FT31" s="658">
        <f t="shared" si="16"/>
        <v>0</v>
      </c>
      <c r="FU31">
        <f t="shared" si="31"/>
        <v>0</v>
      </c>
      <c r="FV31" s="283">
        <f>IF(AND(Stamoplysninger!$B$26="Der er indgået lokalaftale omkring weekendtimer.(Kræver aftale med TR/FSL) Weekendtillæg afspadseres.",I31="X"),K31,0)</f>
        <v>0</v>
      </c>
      <c r="FW31" s="674">
        <f>IF(AND(AND(Stamoplysninger!$B$26="Der er indgået lokalaftale omkring weekendtimer.(Kræver aftale med TR/FSL) Weekendtillæg afspadseres.",I31="X",C31="ikke relevant")),K31,0)</f>
        <v>0</v>
      </c>
      <c r="FX31" s="283">
        <f>IF(AND(Stamoplysninger!$B$26="Der er indgået lokalaftale omkring weekendtimer(Kræver aftale med TR/FSL). Weekendtillæg udbetales.",I31="X"),K31,0)</f>
        <v>0</v>
      </c>
      <c r="FY31" s="674">
        <f>IF(AND(AND(Stamoplysninger!$B$26="Der er indgået lokalaftale omkring weekendtimer(Kræver aftale med TR/FSL). Weekendtillæg udbetales.",I31="X",C31="ikke relevant")),K31,0)</f>
        <v>0</v>
      </c>
      <c r="FZ31" s="283">
        <f>IF(AND(Stamoplysninger!$B$26="Der er indgået lokalaftale omkring weekendtillæg(Kræver aftale med TR/FSL). Weekendtimerne udbetales.",I31="X"),K31,0)</f>
        <v>0</v>
      </c>
      <c r="GA31" s="674">
        <f>IF(AND(AND(Stamoplysninger!$B$26="Der er indgået lokalaftale omkring weekendtillæg(Kræver aftale med TR/FSL). Weekendtimerne udbetales.",I31="X",C31="ikke relevant")),K31,0)</f>
        <v>0</v>
      </c>
      <c r="GB31" s="283">
        <f>IF(AND(Stamoplysninger!$B$26="Der er indgået lokalaftale omkring weekendtimer og weekendtillæg.(Kræver aftale med TR/FSL).",I31="X"),K31,0)</f>
        <v>0</v>
      </c>
      <c r="GC31" s="674">
        <f>IF(AND(AND(Stamoplysninger!$B$26="Der er indgået lokalaftale omkring weekendtimer og weekendtillæg.(Kræver aftale med TR/FSL).",I31="X",C31="ikke relevant")),K31,0)</f>
        <v>0</v>
      </c>
    </row>
    <row r="32" spans="1:185">
      <c r="A32" s="245">
        <f t="shared" si="18"/>
        <v>24</v>
      </c>
      <c r="B32" s="128" t="str">
        <f t="shared" si="0"/>
        <v>ti</v>
      </c>
      <c r="C32" s="129" t="s">
        <v>128</v>
      </c>
      <c r="D32" s="130" t="str">
        <f t="shared" si="1"/>
        <v/>
      </c>
      <c r="E32" s="949" t="s">
        <v>130</v>
      </c>
      <c r="F32" s="950"/>
      <c r="G32" s="951"/>
      <c r="H32" s="298"/>
      <c r="I32" s="527"/>
      <c r="J32" s="413"/>
      <c r="K32" s="380"/>
      <c r="L32" s="380"/>
      <c r="M32" s="380"/>
      <c r="N32" s="318">
        <f t="shared" si="19"/>
        <v>0</v>
      </c>
      <c r="O32" s="318">
        <f t="shared" si="20"/>
        <v>0</v>
      </c>
      <c r="P32" s="318">
        <f>IF(Stamoplysninger!$H$29="JA",December!DG32,CX32)</f>
        <v>0</v>
      </c>
      <c r="Q32" s="318">
        <f t="shared" si="21"/>
        <v>0</v>
      </c>
      <c r="R32" s="319"/>
      <c r="S32" s="324"/>
      <c r="T32" s="325"/>
      <c r="U32" s="325"/>
      <c r="V32" s="435"/>
      <c r="W32" s="412"/>
      <c r="X32" s="642"/>
      <c r="Y32">
        <f t="shared" si="22"/>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9">
        <f t="shared" si="8"/>
        <v>0</v>
      </c>
      <c r="BC32" s="1">
        <f t="shared" si="24"/>
        <v>0</v>
      </c>
      <c r="BD32" s="1">
        <f t="shared" si="9"/>
        <v>0</v>
      </c>
      <c r="BE32" s="1">
        <f t="shared" si="10"/>
        <v>0</v>
      </c>
      <c r="BF32" s="1">
        <f t="shared" si="11"/>
        <v>0</v>
      </c>
      <c r="BG32" s="210" t="str">
        <f>IF(AND(C32="Skema 1",B32="ma"),Skemaoplysninger!$E$30,"")</f>
        <v/>
      </c>
      <c r="BH32" s="210" t="str">
        <f>IF(AND(C32="Skema 1",B32="ti"),Skemaoplysninger!$G$30,"")</f>
        <v/>
      </c>
      <c r="BI32" s="210" t="str">
        <f>IF(AND(C32="Skema 1",B32="on"),Skemaoplysninger!$I$30,"")</f>
        <v/>
      </c>
      <c r="BJ32" s="210" t="str">
        <f>IF(AND(C32="Skema 1",B32="to"),Skemaoplysninger!$K$30,"")</f>
        <v/>
      </c>
      <c r="BK32" s="210" t="str">
        <f>IF(AND(C32="Skema 1",B32="fr"),Skemaoplysninger!$M$30,"")</f>
        <v/>
      </c>
      <c r="BL32" s="210" t="str">
        <f>IF(AND(C32="Skema 2",B32="ma"),Skemaoplysninger!$S$30,"")</f>
        <v/>
      </c>
      <c r="BM32" s="210" t="str">
        <f>IF(AND(C32="Skema 2",B32="ti"),Skemaoplysninger!$U$30,"")</f>
        <v/>
      </c>
      <c r="BN32" s="210" t="str">
        <f>IF(AND(C32="Skema 2",B32="on"),Skemaoplysninger!$W$30,"")</f>
        <v/>
      </c>
      <c r="BO32" s="210" t="str">
        <f>IF(AND(C32="Skema 2",B32="to"),Skemaoplysninger!$Y$30,"")</f>
        <v/>
      </c>
      <c r="BP32" s="210" t="str">
        <f>IF(AND(C32="Skema 2",B32="fr"),Skemaoplysninger!$AA$30,"")</f>
        <v/>
      </c>
      <c r="BQ32" s="210" t="str">
        <f>IF(AND(C32="Skema 3",B32="ma"),Skemaoplysninger!$AG$30,"")</f>
        <v/>
      </c>
      <c r="BR32" s="210" t="str">
        <f>IF(AND(C32="Skema 3",B32="ti"),Skemaoplysninger!$AI$30,"")</f>
        <v/>
      </c>
      <c r="BS32" s="210" t="str">
        <f>IF(AND(C32="Skema 3",B32="on"),Skemaoplysninger!$AK$30,"")</f>
        <v/>
      </c>
      <c r="BT32" s="210" t="str">
        <f>IF(AND(C32="Skema 3",B32="to"),Skemaoplysninger!$AM$30,"")</f>
        <v/>
      </c>
      <c r="BU32" s="210" t="str">
        <f>IF(AND(C32="Skema 3",B32="fr"),Skemaoplysninger!$AO$30,"")</f>
        <v/>
      </c>
      <c r="BV32" s="210" t="str">
        <f>IF(AND(C32="Skema 4",B32="ma"),Skemaoplysninger!$AU$30,"")</f>
        <v/>
      </c>
      <c r="BW32" s="210" t="str">
        <f>IF(AND(C32="Skema 4",B32="ti"),Skemaoplysninger!$AW$30,"")</f>
        <v/>
      </c>
      <c r="BX32" s="210" t="str">
        <f>IF(AND(C32="Skema 4",B32="on"),Skemaoplysninger!$AY$30,"")</f>
        <v/>
      </c>
      <c r="BY32" s="210" t="str">
        <f>IF(AND(C32="Skema 4",B32="to"),Skemaoplysninger!$BA$30,"")</f>
        <v/>
      </c>
      <c r="BZ32" s="210" t="str">
        <f>IF(AND(C32="Skema 4",B32="fr"),Skemaoplysninger!$BC$30,"")</f>
        <v/>
      </c>
      <c r="CA32" s="1">
        <f t="shared" si="25"/>
        <v>0</v>
      </c>
      <c r="CB32" s="1">
        <f t="shared" si="12"/>
        <v>0</v>
      </c>
      <c r="CC32" s="1">
        <f t="shared" si="13"/>
        <v>0</v>
      </c>
      <c r="CD32" s="210" t="str">
        <f>IF(AND(C32="Skema 1",B32="ma"),Skemaoplysninger!$E$31,"")</f>
        <v/>
      </c>
      <c r="CE32" s="210" t="str">
        <f>IF(AND(C32="Skema 1",B32="ti"),Skemaoplysninger!$G$31,"")</f>
        <v/>
      </c>
      <c r="CF32" s="210" t="str">
        <f>IF(AND(C32="Skema 1",B32="on"),Skemaoplysninger!$I$31,"")</f>
        <v/>
      </c>
      <c r="CG32" s="210" t="str">
        <f>IF(AND(C32="Skema 1",B32="to"),Skemaoplysninger!$K$31,"")</f>
        <v/>
      </c>
      <c r="CH32" s="210" t="str">
        <f>IF(AND(C32="Skema 1",B32="fr"),Skemaoplysninger!$M$31,"")</f>
        <v/>
      </c>
      <c r="CI32" s="210" t="str">
        <f>IF(AND(C32="Skema 2",B32="ma"),Skemaoplysninger!$S$31,"")</f>
        <v/>
      </c>
      <c r="CJ32" s="210" t="str">
        <f>IF(AND(C32="Skema 2",B32="ti"),Skemaoplysninger!$U$31,"")</f>
        <v/>
      </c>
      <c r="CK32" s="210" t="str">
        <f>IF(AND(C32="Skema 2",B32="on"),Skemaoplysninger!$W$31,"")</f>
        <v/>
      </c>
      <c r="CL32" s="210" t="str">
        <f>IF(AND(C32="Skema 2",B32="to"),Skemaoplysninger!$Y$31,"")</f>
        <v/>
      </c>
      <c r="CM32" s="210" t="str">
        <f>IF(AND(C32="Skema 2",B32="fr"),Skemaoplysninger!$AA$31,"")</f>
        <v/>
      </c>
      <c r="CN32" s="210" t="str">
        <f>IF(AND(C32="Skema 3",B32="ma"),Skemaoplysninger!$AG$31,"")</f>
        <v/>
      </c>
      <c r="CO32" s="210" t="str">
        <f>IF(AND(C32="Skema 3",B32="ti"),Skemaoplysninger!$AI$31,"")</f>
        <v/>
      </c>
      <c r="CP32" s="210" t="str">
        <f>IF(AND(C32="Skema 3",B32="on"),Skemaoplysninger!$AK$31,"")</f>
        <v/>
      </c>
      <c r="CQ32" s="210" t="str">
        <f>IF(AND(C32="Skema 3",B32="to"),Skemaoplysninger!$AM$31,"")</f>
        <v/>
      </c>
      <c r="CR32" s="210" t="str">
        <f>IF(AND(C32="Skema 3",B32="fr"),Skemaoplysninger!$AO$31,"")</f>
        <v/>
      </c>
      <c r="CS32" s="210" t="str">
        <f>IF(AND(C32="Skema 4",B32="ma"),Skemaoplysninger!$AU$31,"")</f>
        <v/>
      </c>
      <c r="CT32" s="210" t="str">
        <f>IF(AND(C32="Skema 4",B32="ti"),Skemaoplysninger!$AW$31,"")</f>
        <v/>
      </c>
      <c r="CU32" s="210" t="str">
        <f>IF(AND(C32="Skema 4",B32="on"),Skemaoplysninger!$AY$31,"")</f>
        <v/>
      </c>
      <c r="CV32" s="210" t="str">
        <f>IF(AND(C32="Skema 4",B32="to"),Skemaoplysninger!$BA$31,"")</f>
        <v/>
      </c>
      <c r="CW32" s="210" t="str">
        <f>IF(AND(C32="Skema 4",B32="fr"),Skemaoplysninger!$BC$31,"")</f>
        <v/>
      </c>
      <c r="CX32" s="249">
        <f>IF(Stamoplysninger!$H$29="NEJ",SUM(CD32:CW32)*24+CB32+CC32,0)</f>
        <v>0</v>
      </c>
      <c r="CY32" s="249">
        <f>IF(C32="Skema 1",Stamoplysninger!$H$30/200,0)</f>
        <v>0</v>
      </c>
      <c r="CZ32" s="249">
        <f>IF(C32="Skema 2",Stamoplysninger!$H$30/200,0)</f>
        <v>0</v>
      </c>
      <c r="DA32" s="249">
        <f>IF(C32="Skema 3",Stamoplysninger!$H$30/200,0)</f>
        <v>0</v>
      </c>
      <c r="DB32" s="249">
        <f>IF(C32="Skema 4",Stamoplysninger!$H$30/200,0)</f>
        <v>0</v>
      </c>
      <c r="DC32" s="249">
        <f>IF(C32="fagdag",Stamoplysninger!$H$30/200,0)</f>
        <v>0</v>
      </c>
      <c r="DD32" s="249">
        <f>IF(C32="emnedag",Stamoplysninger!$H$30/200,0)</f>
        <v>0</v>
      </c>
      <c r="DE32" s="249">
        <f>IF(C32="lejrskole",Stamoplysninger!$H$30/200,0)</f>
        <v>0</v>
      </c>
      <c r="DF32" s="249">
        <f>IF(C32="ekskursion",Stamoplysninger!$H$30/200,0)</f>
        <v>0</v>
      </c>
      <c r="DG32" s="249">
        <f t="shared" si="26"/>
        <v>0</v>
      </c>
      <c r="DH32" t="str">
        <f t="shared" si="27"/>
        <v/>
      </c>
      <c r="DI32" t="str">
        <f t="shared" si="28"/>
        <v>Juleaftensdag</v>
      </c>
      <c r="DJ32" t="str">
        <f t="shared" si="29"/>
        <v/>
      </c>
      <c r="DK32" t="str">
        <f t="shared" si="14"/>
        <v/>
      </c>
      <c r="DL32" t="str">
        <f t="shared" si="14"/>
        <v>Juleaftensdag</v>
      </c>
      <c r="DM32" t="str">
        <f t="shared" si="14"/>
        <v/>
      </c>
      <c r="DN32" t="str">
        <f t="shared" si="30"/>
        <v>Juleaftensdag</v>
      </c>
      <c r="DO32" s="652">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71">
        <f>IF(AND(Stamoplysninger!$B$22="Ulempetillæg udbetales med 25% af nettotimelønnen.",C32="ikke relevant"),(R32)/4,0)</f>
        <v>0</v>
      </c>
      <c r="DT32" s="671">
        <f>IF(AND(AND(Stamoplysninger!$B$22="Ulempetillæg udbetales med 25% af nettotimelønnen.",I32="X",C32="Ikke relevant")),K32/4,0)</f>
        <v>0</v>
      </c>
      <c r="DU32" s="671">
        <f>IF(AND(AND(Stamoplysninger!$B$22="Ulempetillæg udbetales med 25% af nettotimelønnen.",C32="ikke relevant",U32="X")),(X32/4),0)</f>
        <v>0</v>
      </c>
      <c r="DV32" s="672">
        <f>IF(AND(AND(AND(Stamoplysninger!$B$22="Ulempetillæg udbetales med 25% af nettotimelønnen.",I32="X",C32="Ikke relevant",S32="X"))),V32/4,0)</f>
        <v>0</v>
      </c>
      <c r="DW32" s="652"/>
      <c r="DZ32" s="671"/>
      <c r="EA32" s="671"/>
      <c r="EB32" s="672"/>
      <c r="EC32" s="652">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71">
        <f>IF(AND(Stamoplysninger!$B$22="Ulempetillæg afspadseres med 25%(Kræver en aftale imellem ledelsen og den ansatte)",C32="ikke relevant"),(R32)/4,0)</f>
        <v>0</v>
      </c>
      <c r="EH32" s="671">
        <f>IF(AND(AND(Stamoplysninger!$B$22="Ulempetillæg afspadseres med 25%(Kræver en aftale imellem ledelsen og den ansatte)",I32="X",C32="Ikke relevant")),K32/4,0)</f>
        <v>0</v>
      </c>
      <c r="EI32" s="671">
        <f>IF(AND(AND(Stamoplysninger!$B$22="Ulempetillæg afspadseres med 25%(Kræver en aftale imellem ledelsen og den ansatte)",U32="X",C32="Ikke relevant")),X32/4,0)</f>
        <v>0</v>
      </c>
      <c r="EJ32" s="671">
        <f>IF(AND(AND(AND(Stamoplysninger!$B$22="Ulempetillæg afspadseres med 25%(Kræver en aftale imellem ledelsen og den ansatte)",I32="X",C32="Ikke relevant",S32="X"))),V32/4,0)</f>
        <v>0</v>
      </c>
      <c r="EK32" s="283">
        <f>IF(AND(Stamoplysninger!$B$26="Weekendtimer og weekendtillæg afspadseres.",I32="X"),K32*1.5,0)</f>
        <v>0</v>
      </c>
      <c r="EL32" s="251">
        <f>IF(AND(AND(Stamoplysninger!$B$26="Weekendtimer og weekendtillæg afspadseres.",I32="X",S32="X")),V32*1.5,0)</f>
        <v>0</v>
      </c>
      <c r="EM32" s="674">
        <f>IF(AND(AND(Stamoplysninger!$B$26="Weekendtimer og weekendtillæg afspadseres.",I32="X",C32="ikke relevant")),K32*1.5,0)</f>
        <v>0</v>
      </c>
      <c r="EN32" s="675">
        <f>IF(AND(AND(AND(Stamoplysninger!$B$26="Weekendtimer og weekendtillæg afspadseres.",I32="X",C32="ikke relevant",S32="X"))),(V32*1.5),0)</f>
        <v>0</v>
      </c>
      <c r="EO32" s="283">
        <f>IF(AND(Stamoplysninger!$B$26="Weekendtimer og weekendtillæg udbetales.",I32="X"),K32*1.5,0)</f>
        <v>0</v>
      </c>
      <c r="EP32" s="251">
        <f>IF(AND(AND(Stamoplysninger!$B$26="Weekendtimer og weekendtillæg udbetales.",I32="X",S32="X")),V32*1.5,0)</f>
        <v>0</v>
      </c>
      <c r="EQ32" s="674">
        <f>IF(AND(AND(Stamoplysninger!$B$26="Weekendtimer og weekendtillæg udbetales.",I32="X",C32="ikke relevant")),K32*1.5,0)</f>
        <v>0</v>
      </c>
      <c r="ER32" s="675">
        <f>IF(AND(AND(AND(Stamoplysninger!$B$26="Weekendtimer og weekendtillæg udbetales.",I32="X",C32="ikke relevant",S32="X"))),(V32*1.5),0)</f>
        <v>0</v>
      </c>
      <c r="ES32" s="283">
        <f>IF(AND(Stamoplysninger!$B$26="Der er indgået lokalaftale omkring weekendtimer.(Kræver aftale med TR/FSL) Weekendtillæg afspadseres.",I32="X"),K32*0.5,0)</f>
        <v>0</v>
      </c>
      <c r="ET32" s="251">
        <f>IF(AND(AND(Stamoplysninger!$B$26="Der er indgået lokalaftale omkring weekendtimer.(Kræver aftale med TR/FSL) Weekendtillæg afspadseres.",I32="X",S32="X")),V32*0.5,0)</f>
        <v>0</v>
      </c>
      <c r="EU32" s="674">
        <f>IF(AND(AND(Stamoplysninger!$B$26="Der er indgået lokalaftale omkring weekendtimer.(Kræver aftale med TR/FSL) Weekendtillæg afspadseres.",I32="X",C32="ikke relevant")),K32*0.5,0)</f>
        <v>0</v>
      </c>
      <c r="EV32" s="675">
        <f>IF(AND(AND(AND(Stamoplysninger!$B$26="Der er indgået lokalaftale omkring weekendtimer.(Kræver aftale med TR/FSL) Weekendtillæg afspadseres.",I32="X",C32="ikke relevant",S32="X"))),(V32*0.5),0)</f>
        <v>0</v>
      </c>
      <c r="EW32" s="283">
        <f>IF(AND(Stamoplysninger!$B$26="Der er indgået lokalaftale omkring weekendtimer(Kræver aftale med TR/FSL). Weekendtillæg udbetales.",I32="X"),K32*0.5,0)</f>
        <v>0</v>
      </c>
      <c r="EX32" s="251">
        <f>IF(AND(AND(Stamoplysninger!$B$26="Der er indgået lokalaftale omkring weekendtimer(Kræver aftale med TR/FSL). Weekendtillæg udbetales.",I32="X",S32="X")),V32*0.5,0)</f>
        <v>0</v>
      </c>
      <c r="EY32" s="674">
        <f>IF(AND(AND(Stamoplysninger!$B$26="Der er indgået lokalaftale omkring weekendtimer(Kræver aftale med TR/FSL). Weekendtillæg udbetales.",I32="X",C32="ikke relevant")),K32*0.5,0)</f>
        <v>0</v>
      </c>
      <c r="EZ32" s="675">
        <f>IF(AND(AND(AND(Stamoplysninger!$B$26="Der er indgået lokalaftale omkring weekendtimer(Kræver aftale med TR/FSL). Weekendtillæg udbetales.",I32="X",C32="ikke relevant",S32="X"))),(V32*0.5),0)</f>
        <v>0</v>
      </c>
      <c r="FA32" s="283">
        <f>IF(AND(Stamoplysninger!$B$26="Der er indgået lokalaftale omkring weekendtillæg(Kræver aftale med TR/FSL). Weekendtimerne afspadseres.",I32="X"),K32,0)</f>
        <v>0</v>
      </c>
      <c r="FB32" s="251">
        <f>IF(AND(AND(Stamoplysninger!$B$26="Der er indgået lokalaftale omkring weekendtillæg(Kræver aftale med TR/FSL). Weekendtimerne afspadseres.",I32="X",S32="X")),V32,0)</f>
        <v>0</v>
      </c>
      <c r="FC32" s="674">
        <f>IF(AND(AND(Stamoplysninger!$B$26="Der er indgået lokalaftale omkring weekendtillæg(Kræver aftale med TR/FSL). Weekendtimerne afspadseres..",I32="X",C32="ikke relevant")),K32,0)</f>
        <v>0</v>
      </c>
      <c r="FD32" s="675">
        <f>IF(AND(AND(AND(Stamoplysninger!$B$26="Der er indgået lokalaftale omkring weekendtillæg(Kræver aftale med TR/FSL). Weekendtimerne afspadseres.",I32="X",C32="ikke relevant",S32="X"))),(V32),0)</f>
        <v>0</v>
      </c>
      <c r="FE32" s="283">
        <f>IF(AND(Stamoplysninger!$B$26="Der er indgået lokalaftale omkring weekendtillæg(Kræver aftale med TR/FSL). Weekendtimerne udbetales.",I32="X"),K32,0)</f>
        <v>0</v>
      </c>
      <c r="FF32" s="251">
        <f>IF(AND(AND(Stamoplysninger!$B$26="Der er indgået lokalaftale omkring weekendtillæg(Kræver aftale med TR/FSL). Weekendtimerne udbetales.",I32="X",S32="X")),V32,0)</f>
        <v>0</v>
      </c>
      <c r="FG32" s="674">
        <f>IF(AND(AND(Stamoplysninger!$B$26="Der er indgået lokalaftale omkring weekendtillæg(Kræver aftale med TR/FSL). Weekendtimerne udbetales.",I32="X",C32="ikke relevant")),K32,0)</f>
        <v>0</v>
      </c>
      <c r="FH32" s="675">
        <f>IF(AND(AND(AND(Stamoplysninger!$B$26="Der er indgået lokalaftale omkring weekendtillæg(Kræver aftale med TR/FSL). Weekendtimerne udbetales.",I32="X",C32="ikke relevant",S32="X"))),(V32),0)</f>
        <v>0</v>
      </c>
      <c r="FI32" s="283">
        <f>IF(AND(Stamoplysninger!$B$26="Weekendtimer og weekendtillæg afspadseres.",I32="X"),K32,0)</f>
        <v>0</v>
      </c>
      <c r="FJ32" s="251">
        <f>IF(AND(Stamoplysninger!$B$26="Weekendtimer og weekendtillæg afspadseres.",Y32="X"),(AA32+AL32)/2,0)</f>
        <v>0</v>
      </c>
      <c r="FK32" s="674">
        <f>IF(AND(AND(Stamoplysninger!$B$26="Weekendtimer og weekendtillæg afspadseres.",I32="X",C32="ikke relevant")),K32,0)</f>
        <v>0</v>
      </c>
      <c r="FL32" s="675">
        <f>IF(AND(AND(Stamoplysninger!$B$26="Weekendtimer og weekendtillæg afspadseres.",Y32="X",S32="ikke relevant")),(AA32+AL32)/2,0)</f>
        <v>0</v>
      </c>
      <c r="FM32" s="283">
        <f>IF(AND(Stamoplysninger!$B$26="Der er indgået lokalaftale omkring weekendtillæg(Kræver aftale med TR/FSL). Weekendtimerne afspadseres.",I32="X"),K32,0)</f>
        <v>0</v>
      </c>
      <c r="FN32" s="674">
        <f>IF(AND(AND(Stamoplysninger!$B$26="Der er indgået lokalaftale omkring weekendtillæg(Kræver aftale med TR/FSL). Weekendtimerne afspadseres.",I32="X",C32="ikke relevant")),K32,0)</f>
        <v>0</v>
      </c>
      <c r="FO32" s="283">
        <f>IF(AND(Stamoplysninger!$B$26="Weekendtimer og weekendtillæg udbetales.",I32="X"),K32,0)</f>
        <v>0</v>
      </c>
      <c r="FP32" s="251">
        <f>IF(AND(Stamoplysninger!$B$26="Weekendtimer og weekendtillæg udbetales.",AA32="X"),(AC32+AN32)/2,0)</f>
        <v>0</v>
      </c>
      <c r="FQ32" s="674">
        <f>IF(AND(AND(Stamoplysninger!$B$26="Weekendtimer og weekendtillæg udbetales.",I32="X",C32="ikke relevant")),K32,0)</f>
        <v>0</v>
      </c>
      <c r="FR32" s="688">
        <f>IF(AND(AND(Stamoplysninger!$B$26="Weekendtimer og weekendtillæg udbetales.",AA32="X",U32="ikke relevant")),(AC32+AN32)/2,0)</f>
        <v>0</v>
      </c>
      <c r="FS32" s="283">
        <f t="shared" si="15"/>
        <v>0</v>
      </c>
      <c r="FT32" s="658">
        <f t="shared" si="16"/>
        <v>0</v>
      </c>
      <c r="FU32">
        <f t="shared" si="31"/>
        <v>0</v>
      </c>
      <c r="FV32" s="283">
        <f>IF(AND(Stamoplysninger!$B$26="Der er indgået lokalaftale omkring weekendtimer.(Kræver aftale med TR/FSL) Weekendtillæg afspadseres.",I32="X"),K32,0)</f>
        <v>0</v>
      </c>
      <c r="FW32" s="674">
        <f>IF(AND(AND(Stamoplysninger!$B$26="Der er indgået lokalaftale omkring weekendtimer.(Kræver aftale med TR/FSL) Weekendtillæg afspadseres.",I32="X",C32="ikke relevant")),K32,0)</f>
        <v>0</v>
      </c>
      <c r="FX32" s="283">
        <f>IF(AND(Stamoplysninger!$B$26="Der er indgået lokalaftale omkring weekendtimer(Kræver aftale med TR/FSL). Weekendtillæg udbetales.",I32="X"),K32,0)</f>
        <v>0</v>
      </c>
      <c r="FY32" s="674">
        <f>IF(AND(AND(Stamoplysninger!$B$26="Der er indgået lokalaftale omkring weekendtimer(Kræver aftale med TR/FSL). Weekendtillæg udbetales.",I32="X",C32="ikke relevant")),K32,0)</f>
        <v>0</v>
      </c>
      <c r="FZ32" s="283">
        <f>IF(AND(Stamoplysninger!$B$26="Der er indgået lokalaftale omkring weekendtillæg(Kræver aftale med TR/FSL). Weekendtimerne udbetales.",I32="X"),K32,0)</f>
        <v>0</v>
      </c>
      <c r="GA32" s="674">
        <f>IF(AND(AND(Stamoplysninger!$B$26="Der er indgået lokalaftale omkring weekendtillæg(Kræver aftale med TR/FSL). Weekendtimerne udbetales.",I32="X",C32="ikke relevant")),K32,0)</f>
        <v>0</v>
      </c>
      <c r="GB32" s="283">
        <f>IF(AND(Stamoplysninger!$B$26="Der er indgået lokalaftale omkring weekendtimer og weekendtillæg.(Kræver aftale med TR/FSL).",I32="X"),K32,0)</f>
        <v>0</v>
      </c>
      <c r="GC32" s="674">
        <f>IF(AND(AND(Stamoplysninger!$B$26="Der er indgået lokalaftale omkring weekendtimer og weekendtillæg.(Kræver aftale med TR/FSL).",I32="X",C32="ikke relevant")),K32,0)</f>
        <v>0</v>
      </c>
    </row>
    <row r="33" spans="1:185">
      <c r="A33" s="245">
        <f t="shared" si="18"/>
        <v>25</v>
      </c>
      <c r="B33" s="128" t="str">
        <f t="shared" si="0"/>
        <v>on</v>
      </c>
      <c r="C33" s="129" t="s">
        <v>119</v>
      </c>
      <c r="D33" s="130" t="str">
        <f t="shared" si="1"/>
        <v/>
      </c>
      <c r="E33" s="917" t="s">
        <v>318</v>
      </c>
      <c r="F33" s="918"/>
      <c r="G33" s="919"/>
      <c r="H33" s="298"/>
      <c r="I33" s="413"/>
      <c r="J33" s="413"/>
      <c r="K33" s="380"/>
      <c r="L33" s="380"/>
      <c r="M33" s="380"/>
      <c r="N33" s="318">
        <f t="shared" si="19"/>
        <v>0</v>
      </c>
      <c r="O33" s="318">
        <f t="shared" si="20"/>
        <v>0</v>
      </c>
      <c r="P33" s="318">
        <f>IF(Stamoplysninger!$H$29="JA",December!DG33,CX33)</f>
        <v>0</v>
      </c>
      <c r="Q33" s="318">
        <f t="shared" si="21"/>
        <v>0</v>
      </c>
      <c r="R33" s="319"/>
      <c r="S33" s="324"/>
      <c r="T33" s="325"/>
      <c r="U33" s="325"/>
      <c r="V33" s="435"/>
      <c r="W33" s="412"/>
      <c r="X33" s="642"/>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9">
        <f t="shared" si="8"/>
        <v>0</v>
      </c>
      <c r="BC33" s="1">
        <f t="shared" si="24"/>
        <v>0</v>
      </c>
      <c r="BD33" s="1">
        <f t="shared" si="9"/>
        <v>0</v>
      </c>
      <c r="BE33" s="1">
        <f t="shared" si="10"/>
        <v>0</v>
      </c>
      <c r="BF33" s="1">
        <f t="shared" si="11"/>
        <v>0</v>
      </c>
      <c r="BG33" s="210" t="str">
        <f>IF(AND(C33="Skema 1",B33="ma"),Skemaoplysninger!$E$30,"")</f>
        <v/>
      </c>
      <c r="BH33" s="210" t="str">
        <f>IF(AND(C33="Skema 1",B33="ti"),Skemaoplysninger!$G$30,"")</f>
        <v/>
      </c>
      <c r="BI33" s="210" t="str">
        <f>IF(AND(C33="Skema 1",B33="on"),Skemaoplysninger!$I$30,"")</f>
        <v/>
      </c>
      <c r="BJ33" s="210" t="str">
        <f>IF(AND(C33="Skema 1",B33="to"),Skemaoplysninger!$K$30,"")</f>
        <v/>
      </c>
      <c r="BK33" s="210" t="str">
        <f>IF(AND(C33="Skema 1",B33="fr"),Skemaoplysninger!$M$30,"")</f>
        <v/>
      </c>
      <c r="BL33" s="210" t="str">
        <f>IF(AND(C33="Skema 2",B33="ma"),Skemaoplysninger!$S$30,"")</f>
        <v/>
      </c>
      <c r="BM33" s="210" t="str">
        <f>IF(AND(C33="Skema 2",B33="ti"),Skemaoplysninger!$U$30,"")</f>
        <v/>
      </c>
      <c r="BN33" s="210" t="str">
        <f>IF(AND(C33="Skema 2",B33="on"),Skemaoplysninger!$W$30,"")</f>
        <v/>
      </c>
      <c r="BO33" s="210" t="str">
        <f>IF(AND(C33="Skema 2",B33="to"),Skemaoplysninger!$Y$30,"")</f>
        <v/>
      </c>
      <c r="BP33" s="210" t="str">
        <f>IF(AND(C33="Skema 2",B33="fr"),Skemaoplysninger!$AA$30,"")</f>
        <v/>
      </c>
      <c r="BQ33" s="210" t="str">
        <f>IF(AND(C33="Skema 3",B33="ma"),Skemaoplysninger!$AG$30,"")</f>
        <v/>
      </c>
      <c r="BR33" s="210" t="str">
        <f>IF(AND(C33="Skema 3",B33="ti"),Skemaoplysninger!$AI$30,"")</f>
        <v/>
      </c>
      <c r="BS33" s="210" t="str">
        <f>IF(AND(C33="Skema 3",B33="on"),Skemaoplysninger!$AK$30,"")</f>
        <v/>
      </c>
      <c r="BT33" s="210" t="str">
        <f>IF(AND(C33="Skema 3",B33="to"),Skemaoplysninger!$AM$30,"")</f>
        <v/>
      </c>
      <c r="BU33" s="210" t="str">
        <f>IF(AND(C33="Skema 3",B33="fr"),Skemaoplysninger!$AO$30,"")</f>
        <v/>
      </c>
      <c r="BV33" s="210" t="str">
        <f>IF(AND(C33="Skema 4",B33="ma"),Skemaoplysninger!$AU$30,"")</f>
        <v/>
      </c>
      <c r="BW33" s="210" t="str">
        <f>IF(AND(C33="Skema 4",B33="ti"),Skemaoplysninger!$AW$30,"")</f>
        <v/>
      </c>
      <c r="BX33" s="210" t="str">
        <f>IF(AND(C33="Skema 4",B33="on"),Skemaoplysninger!$AY$30,"")</f>
        <v/>
      </c>
      <c r="BY33" s="210" t="str">
        <f>IF(AND(C33="Skema 4",B33="to"),Skemaoplysninger!$BA$30,"")</f>
        <v/>
      </c>
      <c r="BZ33" s="210" t="str">
        <f>IF(AND(C33="Skema 4",B33="fr"),Skemaoplysninger!$BC$30,"")</f>
        <v/>
      </c>
      <c r="CA33" s="1">
        <f t="shared" si="25"/>
        <v>0</v>
      </c>
      <c r="CB33" s="1">
        <f t="shared" si="12"/>
        <v>0</v>
      </c>
      <c r="CC33" s="1">
        <f t="shared" si="13"/>
        <v>0</v>
      </c>
      <c r="CD33" s="210" t="str">
        <f>IF(AND(C33="Skema 1",B33="ma"),Skemaoplysninger!$E$31,"")</f>
        <v/>
      </c>
      <c r="CE33" s="210" t="str">
        <f>IF(AND(C33="Skema 1",B33="ti"),Skemaoplysninger!$G$31,"")</f>
        <v/>
      </c>
      <c r="CF33" s="210" t="str">
        <f>IF(AND(C33="Skema 1",B33="on"),Skemaoplysninger!$I$31,"")</f>
        <v/>
      </c>
      <c r="CG33" s="210" t="str">
        <f>IF(AND(C33="Skema 1",B33="to"),Skemaoplysninger!$K$31,"")</f>
        <v/>
      </c>
      <c r="CH33" s="210" t="str">
        <f>IF(AND(C33="Skema 1",B33="fr"),Skemaoplysninger!$M$31,"")</f>
        <v/>
      </c>
      <c r="CI33" s="210" t="str">
        <f>IF(AND(C33="Skema 2",B33="ma"),Skemaoplysninger!$S$31,"")</f>
        <v/>
      </c>
      <c r="CJ33" s="210" t="str">
        <f>IF(AND(C33="Skema 2",B33="ti"),Skemaoplysninger!$U$31,"")</f>
        <v/>
      </c>
      <c r="CK33" s="210" t="str">
        <f>IF(AND(C33="Skema 2",B33="on"),Skemaoplysninger!$W$31,"")</f>
        <v/>
      </c>
      <c r="CL33" s="210" t="str">
        <f>IF(AND(C33="Skema 2",B33="to"),Skemaoplysninger!$Y$31,"")</f>
        <v/>
      </c>
      <c r="CM33" s="210" t="str">
        <f>IF(AND(C33="Skema 2",B33="fr"),Skemaoplysninger!$AA$31,"")</f>
        <v/>
      </c>
      <c r="CN33" s="210" t="str">
        <f>IF(AND(C33="Skema 3",B33="ma"),Skemaoplysninger!$AG$31,"")</f>
        <v/>
      </c>
      <c r="CO33" s="210" t="str">
        <f>IF(AND(C33="Skema 3",B33="ti"),Skemaoplysninger!$AI$31,"")</f>
        <v/>
      </c>
      <c r="CP33" s="210" t="str">
        <f>IF(AND(C33="Skema 3",B33="on"),Skemaoplysninger!$AK$31,"")</f>
        <v/>
      </c>
      <c r="CQ33" s="210" t="str">
        <f>IF(AND(C33="Skema 3",B33="to"),Skemaoplysninger!$AM$31,"")</f>
        <v/>
      </c>
      <c r="CR33" s="210" t="str">
        <f>IF(AND(C33="Skema 3",B33="fr"),Skemaoplysninger!$AO$31,"")</f>
        <v/>
      </c>
      <c r="CS33" s="210" t="str">
        <f>IF(AND(C33="Skema 4",B33="ma"),Skemaoplysninger!$AU$31,"")</f>
        <v/>
      </c>
      <c r="CT33" s="210" t="str">
        <f>IF(AND(C33="Skema 4",B33="ti"),Skemaoplysninger!$AW$31,"")</f>
        <v/>
      </c>
      <c r="CU33" s="210" t="str">
        <f>IF(AND(C33="Skema 4",B33="on"),Skemaoplysninger!$AY$31,"")</f>
        <v/>
      </c>
      <c r="CV33" s="210" t="str">
        <f>IF(AND(C33="Skema 4",B33="to"),Skemaoplysninger!$BA$31,"")</f>
        <v/>
      </c>
      <c r="CW33" s="210" t="str">
        <f>IF(AND(C33="Skema 4",B33="fr"),Skemaoplysninger!$BC$31,"")</f>
        <v/>
      </c>
      <c r="CX33" s="249">
        <f>IF(Stamoplysninger!$H$29="NEJ",SUM(CD33:CW33)*24+CB33+CC33,0)</f>
        <v>0</v>
      </c>
      <c r="CY33" s="249">
        <f>IF(C33="Skema 1",Stamoplysninger!$H$30/200,0)</f>
        <v>0</v>
      </c>
      <c r="CZ33" s="249">
        <f>IF(C33="Skema 2",Stamoplysninger!$H$30/200,0)</f>
        <v>0</v>
      </c>
      <c r="DA33" s="249">
        <f>IF(C33="Skema 3",Stamoplysninger!$H$30/200,0)</f>
        <v>0</v>
      </c>
      <c r="DB33" s="249">
        <f>IF(C33="Skema 4",Stamoplysninger!$H$30/200,0)</f>
        <v>0</v>
      </c>
      <c r="DC33" s="249">
        <f>IF(C33="fagdag",Stamoplysninger!$H$30/200,0)</f>
        <v>0</v>
      </c>
      <c r="DD33" s="249">
        <f>IF(C33="emnedag",Stamoplysninger!$H$30/200,0)</f>
        <v>0</v>
      </c>
      <c r="DE33" s="249">
        <f>IF(C33="lejrskole",Stamoplysninger!$H$30/200,0)</f>
        <v>0</v>
      </c>
      <c r="DF33" s="249">
        <f>IF(C33="ekskursion",Stamoplysninger!$H$30/200,0)</f>
        <v>0</v>
      </c>
      <c r="DG33" s="249">
        <f t="shared" si="26"/>
        <v>0</v>
      </c>
      <c r="DH33" t="str">
        <f t="shared" si="27"/>
        <v/>
      </c>
      <c r="DI33" t="str">
        <f t="shared" si="28"/>
        <v>Juledag</v>
      </c>
      <c r="DJ33" t="str">
        <f t="shared" si="29"/>
        <v/>
      </c>
      <c r="DK33" t="str">
        <f t="shared" si="14"/>
        <v/>
      </c>
      <c r="DL33" t="str">
        <f t="shared" si="14"/>
        <v>Juledag</v>
      </c>
      <c r="DM33" t="str">
        <f t="shared" si="14"/>
        <v/>
      </c>
      <c r="DN33" t="str">
        <f t="shared" si="30"/>
        <v>Juledag</v>
      </c>
      <c r="DO33" s="652">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71">
        <f>IF(AND(Stamoplysninger!$B$22="Ulempetillæg udbetales med 25% af nettotimelønnen.",C33="ikke relevant"),(R33)/4,0)</f>
        <v>0</v>
      </c>
      <c r="DT33" s="671">
        <f>IF(AND(AND(Stamoplysninger!$B$22="Ulempetillæg udbetales med 25% af nettotimelønnen.",I33="X",C33="Ikke relevant")),K33/4,0)</f>
        <v>0</v>
      </c>
      <c r="DU33" s="671">
        <f>IF(AND(AND(Stamoplysninger!$B$22="Ulempetillæg udbetales med 25% af nettotimelønnen.",C33="ikke relevant",U33="X")),(X33/4),0)</f>
        <v>0</v>
      </c>
      <c r="DV33" s="672">
        <f>IF(AND(AND(AND(Stamoplysninger!$B$22="Ulempetillæg udbetales med 25% af nettotimelønnen.",I33="X",C33="Ikke relevant",S33="X"))),V33/4,0)</f>
        <v>0</v>
      </c>
      <c r="DW33" s="652"/>
      <c r="DZ33" s="671"/>
      <c r="EA33" s="671"/>
      <c r="EB33" s="672"/>
      <c r="EC33" s="652">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71">
        <f>IF(AND(Stamoplysninger!$B$22="Ulempetillæg afspadseres med 25%(Kræver en aftale imellem ledelsen og den ansatte)",C33="ikke relevant"),(R33)/4,0)</f>
        <v>0</v>
      </c>
      <c r="EH33" s="671">
        <f>IF(AND(AND(Stamoplysninger!$B$22="Ulempetillæg afspadseres med 25%(Kræver en aftale imellem ledelsen og den ansatte)",I33="X",C33="Ikke relevant")),K33/4,0)</f>
        <v>0</v>
      </c>
      <c r="EI33" s="671">
        <f>IF(AND(AND(Stamoplysninger!$B$22="Ulempetillæg afspadseres med 25%(Kræver en aftale imellem ledelsen og den ansatte)",U33="X",C33="Ikke relevant")),X33/4,0)</f>
        <v>0</v>
      </c>
      <c r="EJ33" s="671">
        <f>IF(AND(AND(AND(Stamoplysninger!$B$22="Ulempetillæg afspadseres med 25%(Kræver en aftale imellem ledelsen og den ansatte)",I33="X",C33="Ikke relevant",S33="X"))),V33/4,0)</f>
        <v>0</v>
      </c>
      <c r="EK33" s="283">
        <f>IF(AND(Stamoplysninger!$B$26="Weekendtimer og weekendtillæg afspadseres.",I33="X"),K33*1.5,0)</f>
        <v>0</v>
      </c>
      <c r="EL33" s="251">
        <f>IF(AND(AND(Stamoplysninger!$B$26="Weekendtimer og weekendtillæg afspadseres.",I33="X",S33="X")),V33*1.5,0)</f>
        <v>0</v>
      </c>
      <c r="EM33" s="674">
        <f>IF(AND(AND(Stamoplysninger!$B$26="Weekendtimer og weekendtillæg afspadseres.",I33="X",C33="ikke relevant")),K33*1.5,0)</f>
        <v>0</v>
      </c>
      <c r="EN33" s="675">
        <f>IF(AND(AND(AND(Stamoplysninger!$B$26="Weekendtimer og weekendtillæg afspadseres.",I33="X",C33="ikke relevant",S33="X"))),(V33*1.5),0)</f>
        <v>0</v>
      </c>
      <c r="EO33" s="283">
        <f>IF(AND(Stamoplysninger!$B$26="Weekendtimer og weekendtillæg udbetales.",I33="X"),K33*1.5,0)</f>
        <v>0</v>
      </c>
      <c r="EP33" s="251">
        <f>IF(AND(AND(Stamoplysninger!$B$26="Weekendtimer og weekendtillæg udbetales.",I33="X",S33="X")),V33*1.5,0)</f>
        <v>0</v>
      </c>
      <c r="EQ33" s="674">
        <f>IF(AND(AND(Stamoplysninger!$B$26="Weekendtimer og weekendtillæg udbetales.",I33="X",C33="ikke relevant")),K33*1.5,0)</f>
        <v>0</v>
      </c>
      <c r="ER33" s="675">
        <f>IF(AND(AND(AND(Stamoplysninger!$B$26="Weekendtimer og weekendtillæg udbetales.",I33="X",C33="ikke relevant",S33="X"))),(V33*1.5),0)</f>
        <v>0</v>
      </c>
      <c r="ES33" s="283">
        <f>IF(AND(Stamoplysninger!$B$26="Der er indgået lokalaftale omkring weekendtimer.(Kræver aftale med TR/FSL) Weekendtillæg afspadseres.",I33="X"),K33*0.5,0)</f>
        <v>0</v>
      </c>
      <c r="ET33" s="251">
        <f>IF(AND(AND(Stamoplysninger!$B$26="Der er indgået lokalaftale omkring weekendtimer.(Kræver aftale med TR/FSL) Weekendtillæg afspadseres.",I33="X",S33="X")),V33*0.5,0)</f>
        <v>0</v>
      </c>
      <c r="EU33" s="674">
        <f>IF(AND(AND(Stamoplysninger!$B$26="Der er indgået lokalaftale omkring weekendtimer.(Kræver aftale med TR/FSL) Weekendtillæg afspadseres.",I33="X",C33="ikke relevant")),K33*0.5,0)</f>
        <v>0</v>
      </c>
      <c r="EV33" s="675">
        <f>IF(AND(AND(AND(Stamoplysninger!$B$26="Der er indgået lokalaftale omkring weekendtimer.(Kræver aftale med TR/FSL) Weekendtillæg afspadseres.",I33="X",C33="ikke relevant",S33="X"))),(V33*0.5),0)</f>
        <v>0</v>
      </c>
      <c r="EW33" s="283">
        <f>IF(AND(Stamoplysninger!$B$26="Der er indgået lokalaftale omkring weekendtimer(Kræver aftale med TR/FSL). Weekendtillæg udbetales.",I33="X"),K33*0.5,0)</f>
        <v>0</v>
      </c>
      <c r="EX33" s="251">
        <f>IF(AND(AND(Stamoplysninger!$B$26="Der er indgået lokalaftale omkring weekendtimer(Kræver aftale med TR/FSL). Weekendtillæg udbetales.",I33="X",S33="X")),V33*0.5,0)</f>
        <v>0</v>
      </c>
      <c r="EY33" s="674">
        <f>IF(AND(AND(Stamoplysninger!$B$26="Der er indgået lokalaftale omkring weekendtimer(Kræver aftale med TR/FSL). Weekendtillæg udbetales.",I33="X",C33="ikke relevant")),K33*0.5,0)</f>
        <v>0</v>
      </c>
      <c r="EZ33" s="675">
        <f>IF(AND(AND(AND(Stamoplysninger!$B$26="Der er indgået lokalaftale omkring weekendtimer(Kræver aftale med TR/FSL). Weekendtillæg udbetales.",I33="X",C33="ikke relevant",S33="X"))),(V33*0.5),0)</f>
        <v>0</v>
      </c>
      <c r="FA33" s="283">
        <f>IF(AND(Stamoplysninger!$B$26="Der er indgået lokalaftale omkring weekendtillæg(Kræver aftale med TR/FSL). Weekendtimerne afspadseres.",I33="X"),K33,0)</f>
        <v>0</v>
      </c>
      <c r="FB33" s="251">
        <f>IF(AND(AND(Stamoplysninger!$B$26="Der er indgået lokalaftale omkring weekendtillæg(Kræver aftale med TR/FSL). Weekendtimerne afspadseres.",I33="X",S33="X")),V33,0)</f>
        <v>0</v>
      </c>
      <c r="FC33" s="674">
        <f>IF(AND(AND(Stamoplysninger!$B$26="Der er indgået lokalaftale omkring weekendtillæg(Kræver aftale med TR/FSL). Weekendtimerne afspadseres..",I33="X",C33="ikke relevant")),K33,0)</f>
        <v>0</v>
      </c>
      <c r="FD33" s="675">
        <f>IF(AND(AND(AND(Stamoplysninger!$B$26="Der er indgået lokalaftale omkring weekendtillæg(Kræver aftale med TR/FSL). Weekendtimerne afspadseres.",I33="X",C33="ikke relevant",S33="X"))),(V33),0)</f>
        <v>0</v>
      </c>
      <c r="FE33" s="283">
        <f>IF(AND(Stamoplysninger!$B$26="Der er indgået lokalaftale omkring weekendtillæg(Kræver aftale med TR/FSL). Weekendtimerne udbetales.",I33="X"),K33,0)</f>
        <v>0</v>
      </c>
      <c r="FF33" s="251">
        <f>IF(AND(AND(Stamoplysninger!$B$26="Der er indgået lokalaftale omkring weekendtillæg(Kræver aftale med TR/FSL). Weekendtimerne udbetales.",I33="X",S33="X")),V33,0)</f>
        <v>0</v>
      </c>
      <c r="FG33" s="674">
        <f>IF(AND(AND(Stamoplysninger!$B$26="Der er indgået lokalaftale omkring weekendtillæg(Kræver aftale med TR/FSL). Weekendtimerne udbetales.",I33="X",C33="ikke relevant")),K33,0)</f>
        <v>0</v>
      </c>
      <c r="FH33" s="675">
        <f>IF(AND(AND(AND(Stamoplysninger!$B$26="Der er indgået lokalaftale omkring weekendtillæg(Kræver aftale med TR/FSL). Weekendtimerne udbetales.",I33="X",C33="ikke relevant",S33="X"))),(V33),0)</f>
        <v>0</v>
      </c>
      <c r="FI33" s="283">
        <f>IF(AND(Stamoplysninger!$B$26="Weekendtimer og weekendtillæg afspadseres.",I33="X"),K33,0)</f>
        <v>0</v>
      </c>
      <c r="FJ33" s="251">
        <f>IF(AND(Stamoplysninger!$B$26="Weekendtimer og weekendtillæg afspadseres.",Y33="X"),(AA33+AL33)/2,0)</f>
        <v>0</v>
      </c>
      <c r="FK33" s="674">
        <f>IF(AND(AND(Stamoplysninger!$B$26="Weekendtimer og weekendtillæg afspadseres.",I33="X",C33="ikke relevant")),K33,0)</f>
        <v>0</v>
      </c>
      <c r="FL33" s="675">
        <f>IF(AND(AND(Stamoplysninger!$B$26="Weekendtimer og weekendtillæg afspadseres.",Y33="X",S33="ikke relevant")),(AA33+AL33)/2,0)</f>
        <v>0</v>
      </c>
      <c r="FM33" s="283">
        <f>IF(AND(Stamoplysninger!$B$26="Der er indgået lokalaftale omkring weekendtillæg(Kræver aftale med TR/FSL). Weekendtimerne afspadseres.",I33="X"),K33,0)</f>
        <v>0</v>
      </c>
      <c r="FN33" s="674">
        <f>IF(AND(AND(Stamoplysninger!$B$26="Der er indgået lokalaftale omkring weekendtillæg(Kræver aftale med TR/FSL). Weekendtimerne afspadseres.",I33="X",C33="ikke relevant")),K33,0)</f>
        <v>0</v>
      </c>
      <c r="FO33" s="283">
        <f>IF(AND(Stamoplysninger!$B$26="Weekendtimer og weekendtillæg udbetales.",I33="X"),K33,0)</f>
        <v>0</v>
      </c>
      <c r="FP33" s="251">
        <f>IF(AND(Stamoplysninger!$B$26="Weekendtimer og weekendtillæg udbetales.",AA33="X"),(AC33+AN33)/2,0)</f>
        <v>0</v>
      </c>
      <c r="FQ33" s="674">
        <f>IF(AND(AND(Stamoplysninger!$B$26="Weekendtimer og weekendtillæg udbetales.",I33="X",C33="ikke relevant")),K33,0)</f>
        <v>0</v>
      </c>
      <c r="FR33" s="688">
        <f>IF(AND(AND(Stamoplysninger!$B$26="Weekendtimer og weekendtillæg udbetales.",AA33="X",U33="ikke relevant")),(AC33+AN33)/2,0)</f>
        <v>0</v>
      </c>
      <c r="FS33" s="283">
        <f t="shared" si="15"/>
        <v>0</v>
      </c>
      <c r="FT33" s="658">
        <f t="shared" si="16"/>
        <v>0</v>
      </c>
      <c r="FU33">
        <f t="shared" si="31"/>
        <v>0</v>
      </c>
      <c r="FV33" s="283">
        <f>IF(AND(Stamoplysninger!$B$26="Der er indgået lokalaftale omkring weekendtimer.(Kræver aftale med TR/FSL) Weekendtillæg afspadseres.",I33="X"),K33,0)</f>
        <v>0</v>
      </c>
      <c r="FW33" s="674">
        <f>IF(AND(AND(Stamoplysninger!$B$26="Der er indgået lokalaftale omkring weekendtimer.(Kræver aftale med TR/FSL) Weekendtillæg afspadseres.",I33="X",C33="ikke relevant")),K33,0)</f>
        <v>0</v>
      </c>
      <c r="FX33" s="283">
        <f>IF(AND(Stamoplysninger!$B$26="Der er indgået lokalaftale omkring weekendtimer(Kræver aftale med TR/FSL). Weekendtillæg udbetales.",I33="X"),K33,0)</f>
        <v>0</v>
      </c>
      <c r="FY33" s="674">
        <f>IF(AND(AND(Stamoplysninger!$B$26="Der er indgået lokalaftale omkring weekendtimer(Kræver aftale med TR/FSL). Weekendtillæg udbetales.",I33="X",C33="ikke relevant")),K33,0)</f>
        <v>0</v>
      </c>
      <c r="FZ33" s="283">
        <f>IF(AND(Stamoplysninger!$B$26="Der er indgået lokalaftale omkring weekendtillæg(Kræver aftale med TR/FSL). Weekendtimerne udbetales.",I33="X"),K33,0)</f>
        <v>0</v>
      </c>
      <c r="GA33" s="674">
        <f>IF(AND(AND(Stamoplysninger!$B$26="Der er indgået lokalaftale omkring weekendtillæg(Kræver aftale med TR/FSL). Weekendtimerne udbetales.",I33="X",C33="ikke relevant")),K33,0)</f>
        <v>0</v>
      </c>
      <c r="GB33" s="283">
        <f>IF(AND(Stamoplysninger!$B$26="Der er indgået lokalaftale omkring weekendtimer og weekendtillæg.(Kræver aftale med TR/FSL).",I33="X"),K33,0)</f>
        <v>0</v>
      </c>
      <c r="GC33" s="674">
        <f>IF(AND(AND(Stamoplysninger!$B$26="Der er indgået lokalaftale omkring weekendtimer og weekendtillæg.(Kræver aftale med TR/FSL).",I33="X",C33="ikke relevant")),K33,0)</f>
        <v>0</v>
      </c>
    </row>
    <row r="34" spans="1:185">
      <c r="A34" s="245">
        <f t="shared" si="18"/>
        <v>26</v>
      </c>
      <c r="B34" s="128" t="str">
        <f t="shared" si="0"/>
        <v>to</v>
      </c>
      <c r="C34" s="129" t="s">
        <v>119</v>
      </c>
      <c r="D34" s="130" t="str">
        <f t="shared" si="1"/>
        <v/>
      </c>
      <c r="E34" s="917" t="s">
        <v>97</v>
      </c>
      <c r="F34" s="918"/>
      <c r="G34" s="919"/>
      <c r="H34" s="298"/>
      <c r="I34" s="413"/>
      <c r="J34" s="413"/>
      <c r="K34" s="380"/>
      <c r="L34" s="380"/>
      <c r="M34" s="380"/>
      <c r="N34" s="318">
        <f t="shared" si="19"/>
        <v>0</v>
      </c>
      <c r="O34" s="318">
        <f t="shared" si="20"/>
        <v>0</v>
      </c>
      <c r="P34" s="318">
        <f>IF(Stamoplysninger!$H$29="JA",December!DG34,CX34)</f>
        <v>0</v>
      </c>
      <c r="Q34" s="318">
        <f t="shared" si="21"/>
        <v>0</v>
      </c>
      <c r="R34" s="319"/>
      <c r="S34" s="324"/>
      <c r="T34" s="325"/>
      <c r="U34" s="325"/>
      <c r="V34" s="435"/>
      <c r="W34" s="412"/>
      <c r="X34" s="642"/>
      <c r="Y34">
        <f t="shared" si="22"/>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9">
        <f t="shared" si="8"/>
        <v>0</v>
      </c>
      <c r="BC34" s="1">
        <f t="shared" si="24"/>
        <v>0</v>
      </c>
      <c r="BD34" s="1">
        <f t="shared" si="9"/>
        <v>0</v>
      </c>
      <c r="BE34" s="1">
        <f t="shared" si="10"/>
        <v>0</v>
      </c>
      <c r="BF34" s="1">
        <f t="shared" si="11"/>
        <v>0</v>
      </c>
      <c r="BG34" s="210" t="str">
        <f>IF(AND(C34="Skema 1",B34="ma"),Skemaoplysninger!$E$30,"")</f>
        <v/>
      </c>
      <c r="BH34" s="210" t="str">
        <f>IF(AND(C34="Skema 1",B34="ti"),Skemaoplysninger!$G$30,"")</f>
        <v/>
      </c>
      <c r="BI34" s="210" t="str">
        <f>IF(AND(C34="Skema 1",B34="on"),Skemaoplysninger!$I$30,"")</f>
        <v/>
      </c>
      <c r="BJ34" s="210" t="str">
        <f>IF(AND(C34="Skema 1",B34="to"),Skemaoplysninger!$K$30,"")</f>
        <v/>
      </c>
      <c r="BK34" s="210" t="str">
        <f>IF(AND(C34="Skema 1",B34="fr"),Skemaoplysninger!$M$30,"")</f>
        <v/>
      </c>
      <c r="BL34" s="210" t="str">
        <f>IF(AND(C34="Skema 2",B34="ma"),Skemaoplysninger!$S$30,"")</f>
        <v/>
      </c>
      <c r="BM34" s="210" t="str">
        <f>IF(AND(C34="Skema 2",B34="ti"),Skemaoplysninger!$U$30,"")</f>
        <v/>
      </c>
      <c r="BN34" s="210" t="str">
        <f>IF(AND(C34="Skema 2",B34="on"),Skemaoplysninger!$W$30,"")</f>
        <v/>
      </c>
      <c r="BO34" s="210" t="str">
        <f>IF(AND(C34="Skema 2",B34="to"),Skemaoplysninger!$Y$30,"")</f>
        <v/>
      </c>
      <c r="BP34" s="210" t="str">
        <f>IF(AND(C34="Skema 2",B34="fr"),Skemaoplysninger!$AA$30,"")</f>
        <v/>
      </c>
      <c r="BQ34" s="210" t="str">
        <f>IF(AND(C34="Skema 3",B34="ma"),Skemaoplysninger!$AG$30,"")</f>
        <v/>
      </c>
      <c r="BR34" s="210" t="str">
        <f>IF(AND(C34="Skema 3",B34="ti"),Skemaoplysninger!$AI$30,"")</f>
        <v/>
      </c>
      <c r="BS34" s="210" t="str">
        <f>IF(AND(C34="Skema 3",B34="on"),Skemaoplysninger!$AK$30,"")</f>
        <v/>
      </c>
      <c r="BT34" s="210" t="str">
        <f>IF(AND(C34="Skema 3",B34="to"),Skemaoplysninger!$AM$30,"")</f>
        <v/>
      </c>
      <c r="BU34" s="210" t="str">
        <f>IF(AND(C34="Skema 3",B34="fr"),Skemaoplysninger!$AO$30,"")</f>
        <v/>
      </c>
      <c r="BV34" s="210" t="str">
        <f>IF(AND(C34="Skema 4",B34="ma"),Skemaoplysninger!$AU$30,"")</f>
        <v/>
      </c>
      <c r="BW34" s="210" t="str">
        <f>IF(AND(C34="Skema 4",B34="ti"),Skemaoplysninger!$AW$30,"")</f>
        <v/>
      </c>
      <c r="BX34" s="210" t="str">
        <f>IF(AND(C34="Skema 4",B34="on"),Skemaoplysninger!$AY$30,"")</f>
        <v/>
      </c>
      <c r="BY34" s="210" t="str">
        <f>IF(AND(C34="Skema 4",B34="to"),Skemaoplysninger!$BA$30,"")</f>
        <v/>
      </c>
      <c r="BZ34" s="210" t="str">
        <f>IF(AND(C34="Skema 4",B34="fr"),Skemaoplysninger!$BC$30,"")</f>
        <v/>
      </c>
      <c r="CA34" s="1">
        <f t="shared" si="25"/>
        <v>0</v>
      </c>
      <c r="CB34" s="1">
        <f t="shared" si="12"/>
        <v>0</v>
      </c>
      <c r="CC34" s="1">
        <f t="shared" si="13"/>
        <v>0</v>
      </c>
      <c r="CD34" s="210" t="str">
        <f>IF(AND(C34="Skema 1",B34="ma"),Skemaoplysninger!$E$31,"")</f>
        <v/>
      </c>
      <c r="CE34" s="210" t="str">
        <f>IF(AND(C34="Skema 1",B34="ti"),Skemaoplysninger!$G$31,"")</f>
        <v/>
      </c>
      <c r="CF34" s="210" t="str">
        <f>IF(AND(C34="Skema 1",B34="on"),Skemaoplysninger!$I$31,"")</f>
        <v/>
      </c>
      <c r="CG34" s="210" t="str">
        <f>IF(AND(C34="Skema 1",B34="to"),Skemaoplysninger!$K$31,"")</f>
        <v/>
      </c>
      <c r="CH34" s="210" t="str">
        <f>IF(AND(C34="Skema 1",B34="fr"),Skemaoplysninger!$M$31,"")</f>
        <v/>
      </c>
      <c r="CI34" s="210" t="str">
        <f>IF(AND(C34="Skema 2",B34="ma"),Skemaoplysninger!$S$31,"")</f>
        <v/>
      </c>
      <c r="CJ34" s="210" t="str">
        <f>IF(AND(C34="Skema 2",B34="ti"),Skemaoplysninger!$U$31,"")</f>
        <v/>
      </c>
      <c r="CK34" s="210" t="str">
        <f>IF(AND(C34="Skema 2",B34="on"),Skemaoplysninger!$W$31,"")</f>
        <v/>
      </c>
      <c r="CL34" s="210" t="str">
        <f>IF(AND(C34="Skema 2",B34="to"),Skemaoplysninger!$Y$31,"")</f>
        <v/>
      </c>
      <c r="CM34" s="210" t="str">
        <f>IF(AND(C34="Skema 2",B34="fr"),Skemaoplysninger!$AA$31,"")</f>
        <v/>
      </c>
      <c r="CN34" s="210" t="str">
        <f>IF(AND(C34="Skema 3",B34="ma"),Skemaoplysninger!$AG$31,"")</f>
        <v/>
      </c>
      <c r="CO34" s="210" t="str">
        <f>IF(AND(C34="Skema 3",B34="ti"),Skemaoplysninger!$AI$31,"")</f>
        <v/>
      </c>
      <c r="CP34" s="210" t="str">
        <f>IF(AND(C34="Skema 3",B34="on"),Skemaoplysninger!$AK$31,"")</f>
        <v/>
      </c>
      <c r="CQ34" s="210" t="str">
        <f>IF(AND(C34="Skema 3",B34="to"),Skemaoplysninger!$AM$31,"")</f>
        <v/>
      </c>
      <c r="CR34" s="210" t="str">
        <f>IF(AND(C34="Skema 3",B34="fr"),Skemaoplysninger!$AO$31,"")</f>
        <v/>
      </c>
      <c r="CS34" s="210" t="str">
        <f>IF(AND(C34="Skema 4",B34="ma"),Skemaoplysninger!$AU$31,"")</f>
        <v/>
      </c>
      <c r="CT34" s="210" t="str">
        <f>IF(AND(C34="Skema 4",B34="ti"),Skemaoplysninger!$AW$31,"")</f>
        <v/>
      </c>
      <c r="CU34" s="210" t="str">
        <f>IF(AND(C34="Skema 4",B34="on"),Skemaoplysninger!$AY$31,"")</f>
        <v/>
      </c>
      <c r="CV34" s="210" t="str">
        <f>IF(AND(C34="Skema 4",B34="to"),Skemaoplysninger!$BA$31,"")</f>
        <v/>
      </c>
      <c r="CW34" s="210" t="str">
        <f>IF(AND(C34="Skema 4",B34="fr"),Skemaoplysninger!$BC$31,"")</f>
        <v/>
      </c>
      <c r="CX34" s="249">
        <f>IF(Stamoplysninger!$H$29="NEJ",SUM(CD34:CW34)*24+CB34+CC34,0)</f>
        <v>0</v>
      </c>
      <c r="CY34" s="249">
        <f>IF(C34="Skema 1",Stamoplysninger!$H$30/200,0)</f>
        <v>0</v>
      </c>
      <c r="CZ34" s="249">
        <f>IF(C34="Skema 2",Stamoplysninger!$H$30/200,0)</f>
        <v>0</v>
      </c>
      <c r="DA34" s="249">
        <f>IF(C34="Skema 3",Stamoplysninger!$H$30/200,0)</f>
        <v>0</v>
      </c>
      <c r="DB34" s="249">
        <f>IF(C34="Skema 4",Stamoplysninger!$H$30/200,0)</f>
        <v>0</v>
      </c>
      <c r="DC34" s="249">
        <f>IF(C34="fagdag",Stamoplysninger!$H$30/200,0)</f>
        <v>0</v>
      </c>
      <c r="DD34" s="249">
        <f>IF(C34="emnedag",Stamoplysninger!$H$30/200,0)</f>
        <v>0</v>
      </c>
      <c r="DE34" s="249">
        <f>IF(C34="lejrskole",Stamoplysninger!$H$30/200,0)</f>
        <v>0</v>
      </c>
      <c r="DF34" s="249">
        <f>IF(C34="ekskursion",Stamoplysninger!$H$30/200,0)</f>
        <v>0</v>
      </c>
      <c r="DG34" s="249">
        <f t="shared" si="26"/>
        <v>0</v>
      </c>
      <c r="DH34" t="str">
        <f t="shared" si="27"/>
        <v/>
      </c>
      <c r="DI34" t="str">
        <f t="shared" si="28"/>
        <v>2. juledag</v>
      </c>
      <c r="DJ34" t="str">
        <f t="shared" si="29"/>
        <v/>
      </c>
      <c r="DK34" t="str">
        <f t="shared" si="14"/>
        <v/>
      </c>
      <c r="DL34" t="str">
        <f t="shared" si="14"/>
        <v>2. juledag</v>
      </c>
      <c r="DM34" t="str">
        <f t="shared" si="14"/>
        <v/>
      </c>
      <c r="DN34" t="str">
        <f t="shared" si="30"/>
        <v>2. juledag</v>
      </c>
      <c r="DO34" s="652">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71">
        <f>IF(AND(Stamoplysninger!$B$22="Ulempetillæg udbetales med 25% af nettotimelønnen.",C34="ikke relevant"),(R34)/4,0)</f>
        <v>0</v>
      </c>
      <c r="DT34" s="671">
        <f>IF(AND(AND(Stamoplysninger!$B$22="Ulempetillæg udbetales med 25% af nettotimelønnen.",I34="X",C34="Ikke relevant")),K34/4,0)</f>
        <v>0</v>
      </c>
      <c r="DU34" s="671">
        <f>IF(AND(AND(Stamoplysninger!$B$22="Ulempetillæg udbetales med 25% af nettotimelønnen.",C34="ikke relevant",U34="X")),(X34/4),0)</f>
        <v>0</v>
      </c>
      <c r="DV34" s="672">
        <f>IF(AND(AND(AND(Stamoplysninger!$B$22="Ulempetillæg udbetales med 25% af nettotimelønnen.",I34="X",C34="Ikke relevant",S34="X"))),V34/4,0)</f>
        <v>0</v>
      </c>
      <c r="DW34" s="652"/>
      <c r="DZ34" s="671"/>
      <c r="EA34" s="671"/>
      <c r="EB34" s="672"/>
      <c r="EC34" s="652">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71">
        <f>IF(AND(Stamoplysninger!$B$22="Ulempetillæg afspadseres med 25%(Kræver en aftale imellem ledelsen og den ansatte)",C34="ikke relevant"),(R34)/4,0)</f>
        <v>0</v>
      </c>
      <c r="EH34" s="671">
        <f>IF(AND(AND(Stamoplysninger!$B$22="Ulempetillæg afspadseres med 25%(Kræver en aftale imellem ledelsen og den ansatte)",I34="X",C34="Ikke relevant")),K34/4,0)</f>
        <v>0</v>
      </c>
      <c r="EI34" s="671">
        <f>IF(AND(AND(Stamoplysninger!$B$22="Ulempetillæg afspadseres med 25%(Kræver en aftale imellem ledelsen og den ansatte)",U34="X",C34="Ikke relevant")),X34/4,0)</f>
        <v>0</v>
      </c>
      <c r="EJ34" s="671">
        <f>IF(AND(AND(AND(Stamoplysninger!$B$22="Ulempetillæg afspadseres med 25%(Kræver en aftale imellem ledelsen og den ansatte)",I34="X",C34="Ikke relevant",S34="X"))),V34/4,0)</f>
        <v>0</v>
      </c>
      <c r="EK34" s="283">
        <f>IF(AND(Stamoplysninger!$B$26="Weekendtimer og weekendtillæg afspadseres.",I34="X"),K34*1.5,0)</f>
        <v>0</v>
      </c>
      <c r="EL34" s="251">
        <f>IF(AND(AND(Stamoplysninger!$B$26="Weekendtimer og weekendtillæg afspadseres.",I34="X",S34="X")),V34*1.5,0)</f>
        <v>0</v>
      </c>
      <c r="EM34" s="674">
        <f>IF(AND(AND(Stamoplysninger!$B$26="Weekendtimer og weekendtillæg afspadseres.",I34="X",C34="ikke relevant")),K34*1.5,0)</f>
        <v>0</v>
      </c>
      <c r="EN34" s="675">
        <f>IF(AND(AND(AND(Stamoplysninger!$B$26="Weekendtimer og weekendtillæg afspadseres.",I34="X",C34="ikke relevant",S34="X"))),(V34*1.5),0)</f>
        <v>0</v>
      </c>
      <c r="EO34" s="283">
        <f>IF(AND(Stamoplysninger!$B$26="Weekendtimer og weekendtillæg udbetales.",I34="X"),K34*1.5,0)</f>
        <v>0</v>
      </c>
      <c r="EP34" s="251">
        <f>IF(AND(AND(Stamoplysninger!$B$26="Weekendtimer og weekendtillæg udbetales.",I34="X",S34="X")),V34*1.5,0)</f>
        <v>0</v>
      </c>
      <c r="EQ34" s="674">
        <f>IF(AND(AND(Stamoplysninger!$B$26="Weekendtimer og weekendtillæg udbetales.",I34="X",C34="ikke relevant")),K34*1.5,0)</f>
        <v>0</v>
      </c>
      <c r="ER34" s="675">
        <f>IF(AND(AND(AND(Stamoplysninger!$B$26="Weekendtimer og weekendtillæg udbetales.",I34="X",C34="ikke relevant",S34="X"))),(V34*1.5),0)</f>
        <v>0</v>
      </c>
      <c r="ES34" s="283">
        <f>IF(AND(Stamoplysninger!$B$26="Der er indgået lokalaftale omkring weekendtimer.(Kræver aftale med TR/FSL) Weekendtillæg afspadseres.",I34="X"),K34*0.5,0)</f>
        <v>0</v>
      </c>
      <c r="ET34" s="251">
        <f>IF(AND(AND(Stamoplysninger!$B$26="Der er indgået lokalaftale omkring weekendtimer.(Kræver aftale med TR/FSL) Weekendtillæg afspadseres.",I34="X",S34="X")),V34*0.5,0)</f>
        <v>0</v>
      </c>
      <c r="EU34" s="674">
        <f>IF(AND(AND(Stamoplysninger!$B$26="Der er indgået lokalaftale omkring weekendtimer.(Kræver aftale med TR/FSL) Weekendtillæg afspadseres.",I34="X",C34="ikke relevant")),K34*0.5,0)</f>
        <v>0</v>
      </c>
      <c r="EV34" s="675">
        <f>IF(AND(AND(AND(Stamoplysninger!$B$26="Der er indgået lokalaftale omkring weekendtimer.(Kræver aftale med TR/FSL) Weekendtillæg afspadseres.",I34="X",C34="ikke relevant",S34="X"))),(V34*0.5),0)</f>
        <v>0</v>
      </c>
      <c r="EW34" s="283">
        <f>IF(AND(Stamoplysninger!$B$26="Der er indgået lokalaftale omkring weekendtimer(Kræver aftale med TR/FSL). Weekendtillæg udbetales.",I34="X"),K34*0.5,0)</f>
        <v>0</v>
      </c>
      <c r="EX34" s="251">
        <f>IF(AND(AND(Stamoplysninger!$B$26="Der er indgået lokalaftale omkring weekendtimer(Kræver aftale med TR/FSL). Weekendtillæg udbetales.",I34="X",S34="X")),V34*0.5,0)</f>
        <v>0</v>
      </c>
      <c r="EY34" s="674">
        <f>IF(AND(AND(Stamoplysninger!$B$26="Der er indgået lokalaftale omkring weekendtimer(Kræver aftale med TR/FSL). Weekendtillæg udbetales.",I34="X",C34="ikke relevant")),K34*0.5,0)</f>
        <v>0</v>
      </c>
      <c r="EZ34" s="675">
        <f>IF(AND(AND(AND(Stamoplysninger!$B$26="Der er indgået lokalaftale omkring weekendtimer(Kræver aftale med TR/FSL). Weekendtillæg udbetales.",I34="X",C34="ikke relevant",S34="X"))),(V34*0.5),0)</f>
        <v>0</v>
      </c>
      <c r="FA34" s="283">
        <f>IF(AND(Stamoplysninger!$B$26="Der er indgået lokalaftale omkring weekendtillæg(Kræver aftale med TR/FSL). Weekendtimerne afspadseres.",I34="X"),K34,0)</f>
        <v>0</v>
      </c>
      <c r="FB34" s="251">
        <f>IF(AND(AND(Stamoplysninger!$B$26="Der er indgået lokalaftale omkring weekendtillæg(Kræver aftale med TR/FSL). Weekendtimerne afspadseres.",I34="X",S34="X")),V34,0)</f>
        <v>0</v>
      </c>
      <c r="FC34" s="674">
        <f>IF(AND(AND(Stamoplysninger!$B$26="Der er indgået lokalaftale omkring weekendtillæg(Kræver aftale med TR/FSL). Weekendtimerne afspadseres..",I34="X",C34="ikke relevant")),K34,0)</f>
        <v>0</v>
      </c>
      <c r="FD34" s="675">
        <f>IF(AND(AND(AND(Stamoplysninger!$B$26="Der er indgået lokalaftale omkring weekendtillæg(Kræver aftale med TR/FSL). Weekendtimerne afspadseres.",I34="X",C34="ikke relevant",S34="X"))),(V34),0)</f>
        <v>0</v>
      </c>
      <c r="FE34" s="283">
        <f>IF(AND(Stamoplysninger!$B$26="Der er indgået lokalaftale omkring weekendtillæg(Kræver aftale med TR/FSL). Weekendtimerne udbetales.",I34="X"),K34,0)</f>
        <v>0</v>
      </c>
      <c r="FF34" s="251">
        <f>IF(AND(AND(Stamoplysninger!$B$26="Der er indgået lokalaftale omkring weekendtillæg(Kræver aftale med TR/FSL). Weekendtimerne udbetales.",I34="X",S34="X")),V34,0)</f>
        <v>0</v>
      </c>
      <c r="FG34" s="674">
        <f>IF(AND(AND(Stamoplysninger!$B$26="Der er indgået lokalaftale omkring weekendtillæg(Kræver aftale med TR/FSL). Weekendtimerne udbetales.",I34="X",C34="ikke relevant")),K34,0)</f>
        <v>0</v>
      </c>
      <c r="FH34" s="675">
        <f>IF(AND(AND(AND(Stamoplysninger!$B$26="Der er indgået lokalaftale omkring weekendtillæg(Kræver aftale med TR/FSL). Weekendtimerne udbetales.",I34="X",C34="ikke relevant",S34="X"))),(V34),0)</f>
        <v>0</v>
      </c>
      <c r="FI34" s="283">
        <f>IF(AND(Stamoplysninger!$B$26="Weekendtimer og weekendtillæg afspadseres.",I34="X"),K34,0)</f>
        <v>0</v>
      </c>
      <c r="FJ34" s="251">
        <f>IF(AND(Stamoplysninger!$B$26="Weekendtimer og weekendtillæg afspadseres.",Y34="X"),(AA34+AL34)/2,0)</f>
        <v>0</v>
      </c>
      <c r="FK34" s="674">
        <f>IF(AND(AND(Stamoplysninger!$B$26="Weekendtimer og weekendtillæg afspadseres.",I34="X",C34="ikke relevant")),K34,0)</f>
        <v>0</v>
      </c>
      <c r="FL34" s="675">
        <f>IF(AND(AND(Stamoplysninger!$B$26="Weekendtimer og weekendtillæg afspadseres.",Y34="X",S34="ikke relevant")),(AA34+AL34)/2,0)</f>
        <v>0</v>
      </c>
      <c r="FM34" s="283">
        <f>IF(AND(Stamoplysninger!$B$26="Der er indgået lokalaftale omkring weekendtillæg(Kræver aftale med TR/FSL). Weekendtimerne afspadseres.",I34="X"),K34,0)</f>
        <v>0</v>
      </c>
      <c r="FN34" s="674">
        <f>IF(AND(AND(Stamoplysninger!$B$26="Der er indgået lokalaftale omkring weekendtillæg(Kræver aftale med TR/FSL). Weekendtimerne afspadseres.",I34="X",C34="ikke relevant")),K34,0)</f>
        <v>0</v>
      </c>
      <c r="FO34" s="283">
        <f>IF(AND(Stamoplysninger!$B$26="Weekendtimer og weekendtillæg udbetales.",I34="X"),K34,0)</f>
        <v>0</v>
      </c>
      <c r="FP34" s="251">
        <f>IF(AND(Stamoplysninger!$B$26="Weekendtimer og weekendtillæg udbetales.",AA34="X"),(AC34+AN34)/2,0)</f>
        <v>0</v>
      </c>
      <c r="FQ34" s="674">
        <f>IF(AND(AND(Stamoplysninger!$B$26="Weekendtimer og weekendtillæg udbetales.",I34="X",C34="ikke relevant")),K34,0)</f>
        <v>0</v>
      </c>
      <c r="FR34" s="688">
        <f>IF(AND(AND(Stamoplysninger!$B$26="Weekendtimer og weekendtillæg udbetales.",AA34="X",U34="ikke relevant")),(AC34+AN34)/2,0)</f>
        <v>0</v>
      </c>
      <c r="FS34" s="283">
        <f t="shared" si="15"/>
        <v>0</v>
      </c>
      <c r="FT34" s="658">
        <f t="shared" si="16"/>
        <v>0</v>
      </c>
      <c r="FU34">
        <f t="shared" si="31"/>
        <v>0</v>
      </c>
      <c r="FV34" s="283">
        <f>IF(AND(Stamoplysninger!$B$26="Der er indgået lokalaftale omkring weekendtimer.(Kræver aftale med TR/FSL) Weekendtillæg afspadseres.",I34="X"),K34,0)</f>
        <v>0</v>
      </c>
      <c r="FW34" s="674">
        <f>IF(AND(AND(Stamoplysninger!$B$26="Der er indgået lokalaftale omkring weekendtimer.(Kræver aftale med TR/FSL) Weekendtillæg afspadseres.",I34="X",C34="ikke relevant")),K34,0)</f>
        <v>0</v>
      </c>
      <c r="FX34" s="283">
        <f>IF(AND(Stamoplysninger!$B$26="Der er indgået lokalaftale omkring weekendtimer(Kræver aftale med TR/FSL). Weekendtillæg udbetales.",I34="X"),K34,0)</f>
        <v>0</v>
      </c>
      <c r="FY34" s="674">
        <f>IF(AND(AND(Stamoplysninger!$B$26="Der er indgået lokalaftale omkring weekendtimer(Kræver aftale med TR/FSL). Weekendtillæg udbetales.",I34="X",C34="ikke relevant")),K34,0)</f>
        <v>0</v>
      </c>
      <c r="FZ34" s="283">
        <f>IF(AND(Stamoplysninger!$B$26="Der er indgået lokalaftale omkring weekendtillæg(Kræver aftale med TR/FSL). Weekendtimerne udbetales.",I34="X"),K34,0)</f>
        <v>0</v>
      </c>
      <c r="GA34" s="674">
        <f>IF(AND(AND(Stamoplysninger!$B$26="Der er indgået lokalaftale omkring weekendtillæg(Kræver aftale med TR/FSL). Weekendtimerne udbetales.",I34="X",C34="ikke relevant")),K34,0)</f>
        <v>0</v>
      </c>
      <c r="GB34" s="283">
        <f>IF(AND(Stamoplysninger!$B$26="Der er indgået lokalaftale omkring weekendtimer og weekendtillæg.(Kræver aftale med TR/FSL).",I34="X"),K34,0)</f>
        <v>0</v>
      </c>
      <c r="GC34" s="674">
        <f>IF(AND(AND(Stamoplysninger!$B$26="Der er indgået lokalaftale omkring weekendtimer og weekendtillæg.(Kræver aftale med TR/FSL).",I34="X",C34="ikke relevant")),K34,0)</f>
        <v>0</v>
      </c>
    </row>
    <row r="35" spans="1:185">
      <c r="A35" s="245">
        <f t="shared" si="18"/>
        <v>27</v>
      </c>
      <c r="B35" s="128" t="str">
        <f t="shared" si="0"/>
        <v>fr</v>
      </c>
      <c r="C35" s="129" t="s">
        <v>128</v>
      </c>
      <c r="D35" s="130" t="str">
        <f t="shared" si="1"/>
        <v/>
      </c>
      <c r="E35" s="917"/>
      <c r="F35" s="918"/>
      <c r="G35" s="919"/>
      <c r="H35" s="298"/>
      <c r="I35" s="527"/>
      <c r="J35" s="413"/>
      <c r="K35" s="380"/>
      <c r="L35" s="380"/>
      <c r="M35" s="380"/>
      <c r="N35" s="318">
        <f t="shared" si="19"/>
        <v>0</v>
      </c>
      <c r="O35" s="318">
        <f t="shared" si="20"/>
        <v>0</v>
      </c>
      <c r="P35" s="318">
        <f>IF(Stamoplysninger!$H$29="JA",December!DG35,CX35)</f>
        <v>0</v>
      </c>
      <c r="Q35" s="318">
        <f t="shared" si="21"/>
        <v>0</v>
      </c>
      <c r="R35" s="319"/>
      <c r="S35" s="324"/>
      <c r="T35" s="325"/>
      <c r="U35" s="325"/>
      <c r="V35" s="435"/>
      <c r="W35" s="412"/>
      <c r="X35" s="642"/>
      <c r="Y35">
        <f t="shared" si="22"/>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9">
        <f t="shared" si="8"/>
        <v>0</v>
      </c>
      <c r="BC35" s="1">
        <f t="shared" si="24"/>
        <v>0</v>
      </c>
      <c r="BD35" s="1">
        <f t="shared" si="9"/>
        <v>0</v>
      </c>
      <c r="BE35" s="1">
        <f t="shared" si="10"/>
        <v>0</v>
      </c>
      <c r="BF35" s="1">
        <f t="shared" si="11"/>
        <v>0</v>
      </c>
      <c r="BG35" s="210" t="str">
        <f>IF(AND(C35="Skema 1",B35="ma"),Skemaoplysninger!$E$30,"")</f>
        <v/>
      </c>
      <c r="BH35" s="210" t="str">
        <f>IF(AND(C35="Skema 1",B35="ti"),Skemaoplysninger!$G$30,"")</f>
        <v/>
      </c>
      <c r="BI35" s="210" t="str">
        <f>IF(AND(C35="Skema 1",B35="on"),Skemaoplysninger!$I$30,"")</f>
        <v/>
      </c>
      <c r="BJ35" s="210" t="str">
        <f>IF(AND(C35="Skema 1",B35="to"),Skemaoplysninger!$K$30,"")</f>
        <v/>
      </c>
      <c r="BK35" s="210" t="str">
        <f>IF(AND(C35="Skema 1",B35="fr"),Skemaoplysninger!$M$30,"")</f>
        <v/>
      </c>
      <c r="BL35" s="210" t="str">
        <f>IF(AND(C35="Skema 2",B35="ma"),Skemaoplysninger!$S$30,"")</f>
        <v/>
      </c>
      <c r="BM35" s="210" t="str">
        <f>IF(AND(C35="Skema 2",B35="ti"),Skemaoplysninger!$U$30,"")</f>
        <v/>
      </c>
      <c r="BN35" s="210" t="str">
        <f>IF(AND(C35="Skema 2",B35="on"),Skemaoplysninger!$W$30,"")</f>
        <v/>
      </c>
      <c r="BO35" s="210" t="str">
        <f>IF(AND(C35="Skema 2",B35="to"),Skemaoplysninger!$Y$30,"")</f>
        <v/>
      </c>
      <c r="BP35" s="210" t="str">
        <f>IF(AND(C35="Skema 2",B35="fr"),Skemaoplysninger!$AA$30,"")</f>
        <v/>
      </c>
      <c r="BQ35" s="210" t="str">
        <f>IF(AND(C35="Skema 3",B35="ma"),Skemaoplysninger!$AG$30,"")</f>
        <v/>
      </c>
      <c r="BR35" s="210" t="str">
        <f>IF(AND(C35="Skema 3",B35="ti"),Skemaoplysninger!$AI$30,"")</f>
        <v/>
      </c>
      <c r="BS35" s="210" t="str">
        <f>IF(AND(C35="Skema 3",B35="on"),Skemaoplysninger!$AK$30,"")</f>
        <v/>
      </c>
      <c r="BT35" s="210" t="str">
        <f>IF(AND(C35="Skema 3",B35="to"),Skemaoplysninger!$AM$30,"")</f>
        <v/>
      </c>
      <c r="BU35" s="210" t="str">
        <f>IF(AND(C35="Skema 3",B35="fr"),Skemaoplysninger!$AO$30,"")</f>
        <v/>
      </c>
      <c r="BV35" s="210" t="str">
        <f>IF(AND(C35="Skema 4",B35="ma"),Skemaoplysninger!$AU$30,"")</f>
        <v/>
      </c>
      <c r="BW35" s="210" t="str">
        <f>IF(AND(C35="Skema 4",B35="ti"),Skemaoplysninger!$AW$30,"")</f>
        <v/>
      </c>
      <c r="BX35" s="210" t="str">
        <f>IF(AND(C35="Skema 4",B35="on"),Skemaoplysninger!$AY$30,"")</f>
        <v/>
      </c>
      <c r="BY35" s="210" t="str">
        <f>IF(AND(C35="Skema 4",B35="to"),Skemaoplysninger!$BA$30,"")</f>
        <v/>
      </c>
      <c r="BZ35" s="210" t="str">
        <f>IF(AND(C35="Skema 4",B35="fr"),Skemaoplysninger!$BC$30,"")</f>
        <v/>
      </c>
      <c r="CA35" s="1">
        <f t="shared" si="25"/>
        <v>0</v>
      </c>
      <c r="CB35" s="1">
        <f t="shared" si="12"/>
        <v>0</v>
      </c>
      <c r="CC35" s="1">
        <f t="shared" si="13"/>
        <v>0</v>
      </c>
      <c r="CD35" s="210" t="str">
        <f>IF(AND(C35="Skema 1",B35="ma"),Skemaoplysninger!$E$31,"")</f>
        <v/>
      </c>
      <c r="CE35" s="210" t="str">
        <f>IF(AND(C35="Skema 1",B35="ti"),Skemaoplysninger!$G$31,"")</f>
        <v/>
      </c>
      <c r="CF35" s="210" t="str">
        <f>IF(AND(C35="Skema 1",B35="on"),Skemaoplysninger!$I$31,"")</f>
        <v/>
      </c>
      <c r="CG35" s="210" t="str">
        <f>IF(AND(C35="Skema 1",B35="to"),Skemaoplysninger!$K$31,"")</f>
        <v/>
      </c>
      <c r="CH35" s="210" t="str">
        <f>IF(AND(C35="Skema 1",B35="fr"),Skemaoplysninger!$M$31,"")</f>
        <v/>
      </c>
      <c r="CI35" s="210" t="str">
        <f>IF(AND(C35="Skema 2",B35="ma"),Skemaoplysninger!$S$31,"")</f>
        <v/>
      </c>
      <c r="CJ35" s="210" t="str">
        <f>IF(AND(C35="Skema 2",B35="ti"),Skemaoplysninger!$U$31,"")</f>
        <v/>
      </c>
      <c r="CK35" s="210" t="str">
        <f>IF(AND(C35="Skema 2",B35="on"),Skemaoplysninger!$W$31,"")</f>
        <v/>
      </c>
      <c r="CL35" s="210" t="str">
        <f>IF(AND(C35="Skema 2",B35="to"),Skemaoplysninger!$Y$31,"")</f>
        <v/>
      </c>
      <c r="CM35" s="210" t="str">
        <f>IF(AND(C35="Skema 2",B35="fr"),Skemaoplysninger!$AA$31,"")</f>
        <v/>
      </c>
      <c r="CN35" s="210" t="str">
        <f>IF(AND(C35="Skema 3",B35="ma"),Skemaoplysninger!$AG$31,"")</f>
        <v/>
      </c>
      <c r="CO35" s="210" t="str">
        <f>IF(AND(C35="Skema 3",B35="ti"),Skemaoplysninger!$AI$31,"")</f>
        <v/>
      </c>
      <c r="CP35" s="210" t="str">
        <f>IF(AND(C35="Skema 3",B35="on"),Skemaoplysninger!$AK$31,"")</f>
        <v/>
      </c>
      <c r="CQ35" s="210" t="str">
        <f>IF(AND(C35="Skema 3",B35="to"),Skemaoplysninger!$AM$31,"")</f>
        <v/>
      </c>
      <c r="CR35" s="210" t="str">
        <f>IF(AND(C35="Skema 3",B35="fr"),Skemaoplysninger!$AO$31,"")</f>
        <v/>
      </c>
      <c r="CS35" s="210" t="str">
        <f>IF(AND(C35="Skema 4",B35="ma"),Skemaoplysninger!$AU$31,"")</f>
        <v/>
      </c>
      <c r="CT35" s="210" t="str">
        <f>IF(AND(C35="Skema 4",B35="ti"),Skemaoplysninger!$AW$31,"")</f>
        <v/>
      </c>
      <c r="CU35" s="210" t="str">
        <f>IF(AND(C35="Skema 4",B35="on"),Skemaoplysninger!$AY$31,"")</f>
        <v/>
      </c>
      <c r="CV35" s="210" t="str">
        <f>IF(AND(C35="Skema 4",B35="to"),Skemaoplysninger!$BA$31,"")</f>
        <v/>
      </c>
      <c r="CW35" s="210" t="str">
        <f>IF(AND(C35="Skema 4",B35="fr"),Skemaoplysninger!$BC$31,"")</f>
        <v/>
      </c>
      <c r="CX35" s="249">
        <f>IF(Stamoplysninger!$H$29="NEJ",SUM(CD35:CW35)*24+CB35+CC35,0)</f>
        <v>0</v>
      </c>
      <c r="CY35" s="249">
        <f>IF(C35="Skema 1",Stamoplysninger!$H$30/200,0)</f>
        <v>0</v>
      </c>
      <c r="CZ35" s="249">
        <f>IF(C35="Skema 2",Stamoplysninger!$H$30/200,0)</f>
        <v>0</v>
      </c>
      <c r="DA35" s="249">
        <f>IF(C35="Skema 3",Stamoplysninger!$H$30/200,0)</f>
        <v>0</v>
      </c>
      <c r="DB35" s="249">
        <f>IF(C35="Skema 4",Stamoplysninger!$H$30/200,0)</f>
        <v>0</v>
      </c>
      <c r="DC35" s="249">
        <f>IF(C35="fagdag",Stamoplysninger!$H$30/200,0)</f>
        <v>0</v>
      </c>
      <c r="DD35" s="249">
        <f>IF(C35="emnedag",Stamoplysninger!$H$30/200,0)</f>
        <v>0</v>
      </c>
      <c r="DE35" s="249">
        <f>IF(C35="lejrskole",Stamoplysninger!$H$30/200,0)</f>
        <v>0</v>
      </c>
      <c r="DF35" s="249">
        <f>IF(C35="ekskursion",Stamoplysninger!$H$30/200,0)</f>
        <v>0</v>
      </c>
      <c r="DG35" s="249">
        <f t="shared" si="26"/>
        <v>0</v>
      </c>
      <c r="DH35" t="str">
        <f t="shared" si="27"/>
        <v/>
      </c>
      <c r="DI35">
        <f t="shared" si="28"/>
        <v>0</v>
      </c>
      <c r="DJ35">
        <f t="shared" si="29"/>
        <v>0</v>
      </c>
      <c r="DK35" t="str">
        <f t="shared" si="14"/>
        <v/>
      </c>
      <c r="DL35" t="str">
        <f t="shared" si="14"/>
        <v/>
      </c>
      <c r="DM35" t="str">
        <f t="shared" si="14"/>
        <v/>
      </c>
      <c r="DN35" t="str">
        <f t="shared" si="30"/>
        <v/>
      </c>
      <c r="DO35" s="652">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71">
        <f>IF(AND(Stamoplysninger!$B$22="Ulempetillæg udbetales med 25% af nettotimelønnen.",C35="ikke relevant"),(R35)/4,0)</f>
        <v>0</v>
      </c>
      <c r="DT35" s="671">
        <f>IF(AND(AND(Stamoplysninger!$B$22="Ulempetillæg udbetales med 25% af nettotimelønnen.",I35="X",C35="Ikke relevant")),K35/4,0)</f>
        <v>0</v>
      </c>
      <c r="DU35" s="671">
        <f>IF(AND(AND(Stamoplysninger!$B$22="Ulempetillæg udbetales med 25% af nettotimelønnen.",C35="ikke relevant",U35="X")),(X35/4),0)</f>
        <v>0</v>
      </c>
      <c r="DV35" s="672">
        <f>IF(AND(AND(AND(Stamoplysninger!$B$22="Ulempetillæg udbetales med 25% af nettotimelønnen.",I35="X",C35="Ikke relevant",S35="X"))),V35/4,0)</f>
        <v>0</v>
      </c>
      <c r="DW35" s="652"/>
      <c r="DZ35" s="671"/>
      <c r="EA35" s="671"/>
      <c r="EB35" s="672"/>
      <c r="EC35" s="652">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71">
        <f>IF(AND(Stamoplysninger!$B$22="Ulempetillæg afspadseres med 25%(Kræver en aftale imellem ledelsen og den ansatte)",C35="ikke relevant"),(R35)/4,0)</f>
        <v>0</v>
      </c>
      <c r="EH35" s="671">
        <f>IF(AND(AND(Stamoplysninger!$B$22="Ulempetillæg afspadseres med 25%(Kræver en aftale imellem ledelsen og den ansatte)",I35="X",C35="Ikke relevant")),K35/4,0)</f>
        <v>0</v>
      </c>
      <c r="EI35" s="671">
        <f>IF(AND(AND(Stamoplysninger!$B$22="Ulempetillæg afspadseres med 25%(Kræver en aftale imellem ledelsen og den ansatte)",U35="X",C35="Ikke relevant")),X35/4,0)</f>
        <v>0</v>
      </c>
      <c r="EJ35" s="671">
        <f>IF(AND(AND(AND(Stamoplysninger!$B$22="Ulempetillæg afspadseres med 25%(Kræver en aftale imellem ledelsen og den ansatte)",I35="X",C35="Ikke relevant",S35="X"))),V35/4,0)</f>
        <v>0</v>
      </c>
      <c r="EK35" s="283">
        <f>IF(AND(Stamoplysninger!$B$26="Weekendtimer og weekendtillæg afspadseres.",I35="X"),K35*1.5,0)</f>
        <v>0</v>
      </c>
      <c r="EL35" s="251">
        <f>IF(AND(AND(Stamoplysninger!$B$26="Weekendtimer og weekendtillæg afspadseres.",I35="X",S35="X")),V35*1.5,0)</f>
        <v>0</v>
      </c>
      <c r="EM35" s="674">
        <f>IF(AND(AND(Stamoplysninger!$B$26="Weekendtimer og weekendtillæg afspadseres.",I35="X",C35="ikke relevant")),K35*1.5,0)</f>
        <v>0</v>
      </c>
      <c r="EN35" s="675">
        <f>IF(AND(AND(AND(Stamoplysninger!$B$26="Weekendtimer og weekendtillæg afspadseres.",I35="X",C35="ikke relevant",S35="X"))),(V35*1.5),0)</f>
        <v>0</v>
      </c>
      <c r="EO35" s="283">
        <f>IF(AND(Stamoplysninger!$B$26="Weekendtimer og weekendtillæg udbetales.",I35="X"),K35*1.5,0)</f>
        <v>0</v>
      </c>
      <c r="EP35" s="251">
        <f>IF(AND(AND(Stamoplysninger!$B$26="Weekendtimer og weekendtillæg udbetales.",I35="X",S35="X")),V35*1.5,0)</f>
        <v>0</v>
      </c>
      <c r="EQ35" s="674">
        <f>IF(AND(AND(Stamoplysninger!$B$26="Weekendtimer og weekendtillæg udbetales.",I35="X",C35="ikke relevant")),K35*1.5,0)</f>
        <v>0</v>
      </c>
      <c r="ER35" s="675">
        <f>IF(AND(AND(AND(Stamoplysninger!$B$26="Weekendtimer og weekendtillæg udbetales.",I35="X",C35="ikke relevant",S35="X"))),(V35*1.5),0)</f>
        <v>0</v>
      </c>
      <c r="ES35" s="283">
        <f>IF(AND(Stamoplysninger!$B$26="Der er indgået lokalaftale omkring weekendtimer.(Kræver aftale med TR/FSL) Weekendtillæg afspadseres.",I35="X"),K35*0.5,0)</f>
        <v>0</v>
      </c>
      <c r="ET35" s="251">
        <f>IF(AND(AND(Stamoplysninger!$B$26="Der er indgået lokalaftale omkring weekendtimer.(Kræver aftale med TR/FSL) Weekendtillæg afspadseres.",I35="X",S35="X")),V35*0.5,0)</f>
        <v>0</v>
      </c>
      <c r="EU35" s="674">
        <f>IF(AND(AND(Stamoplysninger!$B$26="Der er indgået lokalaftale omkring weekendtimer.(Kræver aftale med TR/FSL) Weekendtillæg afspadseres.",I35="X",C35="ikke relevant")),K35*0.5,0)</f>
        <v>0</v>
      </c>
      <c r="EV35" s="675">
        <f>IF(AND(AND(AND(Stamoplysninger!$B$26="Der er indgået lokalaftale omkring weekendtimer.(Kræver aftale med TR/FSL) Weekendtillæg afspadseres.",I35="X",C35="ikke relevant",S35="X"))),(V35*0.5),0)</f>
        <v>0</v>
      </c>
      <c r="EW35" s="283">
        <f>IF(AND(Stamoplysninger!$B$26="Der er indgået lokalaftale omkring weekendtimer(Kræver aftale med TR/FSL). Weekendtillæg udbetales.",I35="X"),K35*0.5,0)</f>
        <v>0</v>
      </c>
      <c r="EX35" s="251">
        <f>IF(AND(AND(Stamoplysninger!$B$26="Der er indgået lokalaftale omkring weekendtimer(Kræver aftale med TR/FSL). Weekendtillæg udbetales.",I35="X",S35="X")),V35*0.5,0)</f>
        <v>0</v>
      </c>
      <c r="EY35" s="674">
        <f>IF(AND(AND(Stamoplysninger!$B$26="Der er indgået lokalaftale omkring weekendtimer(Kræver aftale med TR/FSL). Weekendtillæg udbetales.",I35="X",C35="ikke relevant")),K35*0.5,0)</f>
        <v>0</v>
      </c>
      <c r="EZ35" s="675">
        <f>IF(AND(AND(AND(Stamoplysninger!$B$26="Der er indgået lokalaftale omkring weekendtimer(Kræver aftale med TR/FSL). Weekendtillæg udbetales.",I35="X",C35="ikke relevant",S35="X"))),(V35*0.5),0)</f>
        <v>0</v>
      </c>
      <c r="FA35" s="283">
        <f>IF(AND(Stamoplysninger!$B$26="Der er indgået lokalaftale omkring weekendtillæg(Kræver aftale med TR/FSL). Weekendtimerne afspadseres.",I35="X"),K35,0)</f>
        <v>0</v>
      </c>
      <c r="FB35" s="251">
        <f>IF(AND(AND(Stamoplysninger!$B$26="Der er indgået lokalaftale omkring weekendtillæg(Kræver aftale med TR/FSL). Weekendtimerne afspadseres.",I35="X",S35="X")),V35,0)</f>
        <v>0</v>
      </c>
      <c r="FC35" s="674">
        <f>IF(AND(AND(Stamoplysninger!$B$26="Der er indgået lokalaftale omkring weekendtillæg(Kræver aftale med TR/FSL). Weekendtimerne afspadseres..",I35="X",C35="ikke relevant")),K35,0)</f>
        <v>0</v>
      </c>
      <c r="FD35" s="675">
        <f>IF(AND(AND(AND(Stamoplysninger!$B$26="Der er indgået lokalaftale omkring weekendtillæg(Kræver aftale med TR/FSL). Weekendtimerne afspadseres.",I35="X",C35="ikke relevant",S35="X"))),(V35),0)</f>
        <v>0</v>
      </c>
      <c r="FE35" s="283">
        <f>IF(AND(Stamoplysninger!$B$26="Der er indgået lokalaftale omkring weekendtillæg(Kræver aftale med TR/FSL). Weekendtimerne udbetales.",I35="X"),K35,0)</f>
        <v>0</v>
      </c>
      <c r="FF35" s="251">
        <f>IF(AND(AND(Stamoplysninger!$B$26="Der er indgået lokalaftale omkring weekendtillæg(Kræver aftale med TR/FSL). Weekendtimerne udbetales.",I35="X",S35="X")),V35,0)</f>
        <v>0</v>
      </c>
      <c r="FG35" s="674">
        <f>IF(AND(AND(Stamoplysninger!$B$26="Der er indgået lokalaftale omkring weekendtillæg(Kræver aftale med TR/FSL). Weekendtimerne udbetales.",I35="X",C35="ikke relevant")),K35,0)</f>
        <v>0</v>
      </c>
      <c r="FH35" s="675">
        <f>IF(AND(AND(AND(Stamoplysninger!$B$26="Der er indgået lokalaftale omkring weekendtillæg(Kræver aftale med TR/FSL). Weekendtimerne udbetales.",I35="X",C35="ikke relevant",S35="X"))),(V35),0)</f>
        <v>0</v>
      </c>
      <c r="FI35" s="283">
        <f>IF(AND(Stamoplysninger!$B$26="Weekendtimer og weekendtillæg afspadseres.",I35="X"),K35,0)</f>
        <v>0</v>
      </c>
      <c r="FJ35" s="251">
        <f>IF(AND(Stamoplysninger!$B$26="Weekendtimer og weekendtillæg afspadseres.",Y35="X"),(AA35+AL35)/2,0)</f>
        <v>0</v>
      </c>
      <c r="FK35" s="674">
        <f>IF(AND(AND(Stamoplysninger!$B$26="Weekendtimer og weekendtillæg afspadseres.",I35="X",C35="ikke relevant")),K35,0)</f>
        <v>0</v>
      </c>
      <c r="FL35" s="675">
        <f>IF(AND(AND(Stamoplysninger!$B$26="Weekendtimer og weekendtillæg afspadseres.",Y35="X",S35="ikke relevant")),(AA35+AL35)/2,0)</f>
        <v>0</v>
      </c>
      <c r="FM35" s="283">
        <f>IF(AND(Stamoplysninger!$B$26="Der er indgået lokalaftale omkring weekendtillæg(Kræver aftale med TR/FSL). Weekendtimerne afspadseres.",I35="X"),K35,0)</f>
        <v>0</v>
      </c>
      <c r="FN35" s="674">
        <f>IF(AND(AND(Stamoplysninger!$B$26="Der er indgået lokalaftale omkring weekendtillæg(Kræver aftale med TR/FSL). Weekendtimerne afspadseres.",I35="X",C35="ikke relevant")),K35,0)</f>
        <v>0</v>
      </c>
      <c r="FO35" s="283">
        <f>IF(AND(Stamoplysninger!$B$26="Weekendtimer og weekendtillæg udbetales.",I35="X"),K35,0)</f>
        <v>0</v>
      </c>
      <c r="FP35" s="251">
        <f>IF(AND(Stamoplysninger!$B$26="Weekendtimer og weekendtillæg udbetales.",AA35="X"),(AC35+AN35)/2,0)</f>
        <v>0</v>
      </c>
      <c r="FQ35" s="674">
        <f>IF(AND(AND(Stamoplysninger!$B$26="Weekendtimer og weekendtillæg udbetales.",I35="X",C35="ikke relevant")),K35,0)</f>
        <v>0</v>
      </c>
      <c r="FR35" s="688">
        <f>IF(AND(AND(Stamoplysninger!$B$26="Weekendtimer og weekendtillæg udbetales.",AA35="X",U35="ikke relevant")),(AC35+AN35)/2,0)</f>
        <v>0</v>
      </c>
      <c r="FS35" s="283">
        <f t="shared" si="15"/>
        <v>0</v>
      </c>
      <c r="FT35" s="658">
        <f t="shared" si="16"/>
        <v>0</v>
      </c>
      <c r="FU35">
        <f t="shared" si="31"/>
        <v>0</v>
      </c>
      <c r="FV35" s="283">
        <f>IF(AND(Stamoplysninger!$B$26="Der er indgået lokalaftale omkring weekendtimer.(Kræver aftale med TR/FSL) Weekendtillæg afspadseres.",I35="X"),K35,0)</f>
        <v>0</v>
      </c>
      <c r="FW35" s="674">
        <f>IF(AND(AND(Stamoplysninger!$B$26="Der er indgået lokalaftale omkring weekendtimer.(Kræver aftale med TR/FSL) Weekendtillæg afspadseres.",I35="X",C35="ikke relevant")),K35,0)</f>
        <v>0</v>
      </c>
      <c r="FX35" s="283">
        <f>IF(AND(Stamoplysninger!$B$26="Der er indgået lokalaftale omkring weekendtimer(Kræver aftale med TR/FSL). Weekendtillæg udbetales.",I35="X"),K35,0)</f>
        <v>0</v>
      </c>
      <c r="FY35" s="674">
        <f>IF(AND(AND(Stamoplysninger!$B$26="Der er indgået lokalaftale omkring weekendtimer(Kræver aftale med TR/FSL). Weekendtillæg udbetales.",I35="X",C35="ikke relevant")),K35,0)</f>
        <v>0</v>
      </c>
      <c r="FZ35" s="283">
        <f>IF(AND(Stamoplysninger!$B$26="Der er indgået lokalaftale omkring weekendtillæg(Kræver aftale med TR/FSL). Weekendtimerne udbetales.",I35="X"),K35,0)</f>
        <v>0</v>
      </c>
      <c r="GA35" s="674">
        <f>IF(AND(AND(Stamoplysninger!$B$26="Der er indgået lokalaftale omkring weekendtillæg(Kræver aftale med TR/FSL). Weekendtimerne udbetales.",I35="X",C35="ikke relevant")),K35,0)</f>
        <v>0</v>
      </c>
      <c r="GB35" s="283">
        <f>IF(AND(Stamoplysninger!$B$26="Der er indgået lokalaftale omkring weekendtimer og weekendtillæg.(Kræver aftale med TR/FSL).",I35="X"),K35,0)</f>
        <v>0</v>
      </c>
      <c r="GC35" s="674">
        <f>IF(AND(AND(Stamoplysninger!$B$26="Der er indgået lokalaftale omkring weekendtimer og weekendtillæg.(Kræver aftale med TR/FSL).",I35="X",C35="ikke relevant")),K35,0)</f>
        <v>0</v>
      </c>
    </row>
    <row r="36" spans="1:185">
      <c r="A36" s="245">
        <f t="shared" si="18"/>
        <v>28</v>
      </c>
      <c r="B36" s="128" t="str">
        <f t="shared" si="0"/>
        <v>lø</v>
      </c>
      <c r="C36" s="129" t="s">
        <v>120</v>
      </c>
      <c r="D36" s="130" t="str">
        <f t="shared" si="1"/>
        <v/>
      </c>
      <c r="E36" s="917"/>
      <c r="F36" s="918"/>
      <c r="G36" s="919"/>
      <c r="H36" s="298"/>
      <c r="I36" s="413"/>
      <c r="J36" s="413"/>
      <c r="K36" s="380"/>
      <c r="L36" s="380"/>
      <c r="M36" s="380"/>
      <c r="N36" s="318">
        <f t="shared" si="19"/>
        <v>0</v>
      </c>
      <c r="O36" s="318">
        <f t="shared" si="20"/>
        <v>0</v>
      </c>
      <c r="P36" s="318">
        <f>IF(Stamoplysninger!$H$29="JA",December!DG36,CX36)</f>
        <v>0</v>
      </c>
      <c r="Q36" s="318">
        <f t="shared" si="21"/>
        <v>0</v>
      </c>
      <c r="R36" s="319"/>
      <c r="S36" s="324"/>
      <c r="T36" s="325"/>
      <c r="U36" s="325"/>
      <c r="V36" s="435"/>
      <c r="W36" s="412"/>
      <c r="X36" s="642"/>
      <c r="Y36">
        <f t="shared" si="22"/>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9">
        <f t="shared" si="8"/>
        <v>0</v>
      </c>
      <c r="BC36" s="1">
        <f t="shared" si="24"/>
        <v>0</v>
      </c>
      <c r="BD36" s="1">
        <f t="shared" si="9"/>
        <v>0</v>
      </c>
      <c r="BE36" s="1">
        <f t="shared" si="10"/>
        <v>0</v>
      </c>
      <c r="BF36" s="1">
        <f t="shared" si="11"/>
        <v>0</v>
      </c>
      <c r="BG36" s="210" t="str">
        <f>IF(AND(C36="Skema 1",B36="ma"),Skemaoplysninger!$E$30,"")</f>
        <v/>
      </c>
      <c r="BH36" s="210" t="str">
        <f>IF(AND(C36="Skema 1",B36="ti"),Skemaoplysninger!$G$30,"")</f>
        <v/>
      </c>
      <c r="BI36" s="210" t="str">
        <f>IF(AND(C36="Skema 1",B36="on"),Skemaoplysninger!$I$30,"")</f>
        <v/>
      </c>
      <c r="BJ36" s="210" t="str">
        <f>IF(AND(C36="Skema 1",B36="to"),Skemaoplysninger!$K$30,"")</f>
        <v/>
      </c>
      <c r="BK36" s="210" t="str">
        <f>IF(AND(C36="Skema 1",B36="fr"),Skemaoplysninger!$M$30,"")</f>
        <v/>
      </c>
      <c r="BL36" s="210" t="str">
        <f>IF(AND(C36="Skema 2",B36="ma"),Skemaoplysninger!$S$30,"")</f>
        <v/>
      </c>
      <c r="BM36" s="210" t="str">
        <f>IF(AND(C36="Skema 2",B36="ti"),Skemaoplysninger!$U$30,"")</f>
        <v/>
      </c>
      <c r="BN36" s="210" t="str">
        <f>IF(AND(C36="Skema 2",B36="on"),Skemaoplysninger!$W$30,"")</f>
        <v/>
      </c>
      <c r="BO36" s="210" t="str">
        <f>IF(AND(C36="Skema 2",B36="to"),Skemaoplysninger!$Y$30,"")</f>
        <v/>
      </c>
      <c r="BP36" s="210" t="str">
        <f>IF(AND(C36="Skema 2",B36="fr"),Skemaoplysninger!$AA$30,"")</f>
        <v/>
      </c>
      <c r="BQ36" s="210" t="str">
        <f>IF(AND(C36="Skema 3",B36="ma"),Skemaoplysninger!$AG$30,"")</f>
        <v/>
      </c>
      <c r="BR36" s="210" t="str">
        <f>IF(AND(C36="Skema 3",B36="ti"),Skemaoplysninger!$AI$30,"")</f>
        <v/>
      </c>
      <c r="BS36" s="210" t="str">
        <f>IF(AND(C36="Skema 3",B36="on"),Skemaoplysninger!$AK$30,"")</f>
        <v/>
      </c>
      <c r="BT36" s="210" t="str">
        <f>IF(AND(C36="Skema 3",B36="to"),Skemaoplysninger!$AM$30,"")</f>
        <v/>
      </c>
      <c r="BU36" s="210" t="str">
        <f>IF(AND(C36="Skema 3",B36="fr"),Skemaoplysninger!$AO$30,"")</f>
        <v/>
      </c>
      <c r="BV36" s="210" t="str">
        <f>IF(AND(C36="Skema 4",B36="ma"),Skemaoplysninger!$AU$30,"")</f>
        <v/>
      </c>
      <c r="BW36" s="210" t="str">
        <f>IF(AND(C36="Skema 4",B36="ti"),Skemaoplysninger!$AW$30,"")</f>
        <v/>
      </c>
      <c r="BX36" s="210" t="str">
        <f>IF(AND(C36="Skema 4",B36="on"),Skemaoplysninger!$AY$30,"")</f>
        <v/>
      </c>
      <c r="BY36" s="210" t="str">
        <f>IF(AND(C36="Skema 4",B36="to"),Skemaoplysninger!$BA$30,"")</f>
        <v/>
      </c>
      <c r="BZ36" s="210" t="str">
        <f>IF(AND(C36="Skema 4",B36="fr"),Skemaoplysninger!$BC$30,"")</f>
        <v/>
      </c>
      <c r="CA36" s="1">
        <f t="shared" si="25"/>
        <v>0</v>
      </c>
      <c r="CB36" s="1">
        <f t="shared" si="12"/>
        <v>0</v>
      </c>
      <c r="CC36" s="1">
        <f t="shared" si="13"/>
        <v>0</v>
      </c>
      <c r="CD36" s="210" t="str">
        <f>IF(AND(C36="Skema 1",B36="ma"),Skemaoplysninger!$E$31,"")</f>
        <v/>
      </c>
      <c r="CE36" s="210" t="str">
        <f>IF(AND(C36="Skema 1",B36="ti"),Skemaoplysninger!$G$31,"")</f>
        <v/>
      </c>
      <c r="CF36" s="210" t="str">
        <f>IF(AND(C36="Skema 1",B36="on"),Skemaoplysninger!$I$31,"")</f>
        <v/>
      </c>
      <c r="CG36" s="210" t="str">
        <f>IF(AND(C36="Skema 1",B36="to"),Skemaoplysninger!$K$31,"")</f>
        <v/>
      </c>
      <c r="CH36" s="210" t="str">
        <f>IF(AND(C36="Skema 1",B36="fr"),Skemaoplysninger!$M$31,"")</f>
        <v/>
      </c>
      <c r="CI36" s="210" t="str">
        <f>IF(AND(C36="Skema 2",B36="ma"),Skemaoplysninger!$S$31,"")</f>
        <v/>
      </c>
      <c r="CJ36" s="210" t="str">
        <f>IF(AND(C36="Skema 2",B36="ti"),Skemaoplysninger!$U$31,"")</f>
        <v/>
      </c>
      <c r="CK36" s="210" t="str">
        <f>IF(AND(C36="Skema 2",B36="on"),Skemaoplysninger!$W$31,"")</f>
        <v/>
      </c>
      <c r="CL36" s="210" t="str">
        <f>IF(AND(C36="Skema 2",B36="to"),Skemaoplysninger!$Y$31,"")</f>
        <v/>
      </c>
      <c r="CM36" s="210" t="str">
        <f>IF(AND(C36="Skema 2",B36="fr"),Skemaoplysninger!$AA$31,"")</f>
        <v/>
      </c>
      <c r="CN36" s="210" t="str">
        <f>IF(AND(C36="Skema 3",B36="ma"),Skemaoplysninger!$AG$31,"")</f>
        <v/>
      </c>
      <c r="CO36" s="210" t="str">
        <f>IF(AND(C36="Skema 3",B36="ti"),Skemaoplysninger!$AI$31,"")</f>
        <v/>
      </c>
      <c r="CP36" s="210" t="str">
        <f>IF(AND(C36="Skema 3",B36="on"),Skemaoplysninger!$AK$31,"")</f>
        <v/>
      </c>
      <c r="CQ36" s="210" t="str">
        <f>IF(AND(C36="Skema 3",B36="to"),Skemaoplysninger!$AM$31,"")</f>
        <v/>
      </c>
      <c r="CR36" s="210" t="str">
        <f>IF(AND(C36="Skema 3",B36="fr"),Skemaoplysninger!$AO$31,"")</f>
        <v/>
      </c>
      <c r="CS36" s="210" t="str">
        <f>IF(AND(C36="Skema 4",B36="ma"),Skemaoplysninger!$AU$31,"")</f>
        <v/>
      </c>
      <c r="CT36" s="210" t="str">
        <f>IF(AND(C36="Skema 4",B36="ti"),Skemaoplysninger!$AW$31,"")</f>
        <v/>
      </c>
      <c r="CU36" s="210" t="str">
        <f>IF(AND(C36="Skema 4",B36="on"),Skemaoplysninger!$AY$31,"")</f>
        <v/>
      </c>
      <c r="CV36" s="210" t="str">
        <f>IF(AND(C36="Skema 4",B36="to"),Skemaoplysninger!$BA$31,"")</f>
        <v/>
      </c>
      <c r="CW36" s="210" t="str">
        <f>IF(AND(C36="Skema 4",B36="fr"),Skemaoplysninger!$BC$31,"")</f>
        <v/>
      </c>
      <c r="CX36" s="249">
        <f>IF(Stamoplysninger!$H$29="NEJ",SUM(CD36:CW36)*24+CB36+CC36,0)</f>
        <v>0</v>
      </c>
      <c r="CY36" s="249">
        <f>IF(C36="Skema 1",Stamoplysninger!$H$30/200,0)</f>
        <v>0</v>
      </c>
      <c r="CZ36" s="249">
        <f>IF(C36="Skema 2",Stamoplysninger!$H$30/200,0)</f>
        <v>0</v>
      </c>
      <c r="DA36" s="249">
        <f>IF(C36="Skema 3",Stamoplysninger!$H$30/200,0)</f>
        <v>0</v>
      </c>
      <c r="DB36" s="249">
        <f>IF(C36="Skema 4",Stamoplysninger!$H$30/200,0)</f>
        <v>0</v>
      </c>
      <c r="DC36" s="249">
        <f>IF(C36="fagdag",Stamoplysninger!$H$30/200,0)</f>
        <v>0</v>
      </c>
      <c r="DD36" s="249">
        <f>IF(C36="emnedag",Stamoplysninger!$H$30/200,0)</f>
        <v>0</v>
      </c>
      <c r="DE36" s="249">
        <f>IF(C36="lejrskole",Stamoplysninger!$H$30/200,0)</f>
        <v>0</v>
      </c>
      <c r="DF36" s="249">
        <f>IF(C36="ekskursion",Stamoplysninger!$H$30/200,0)</f>
        <v>0</v>
      </c>
      <c r="DG36" s="249">
        <f t="shared" si="26"/>
        <v>0</v>
      </c>
      <c r="DH36" t="str">
        <f t="shared" si="27"/>
        <v/>
      </c>
      <c r="DI36">
        <f t="shared" si="28"/>
        <v>0</v>
      </c>
      <c r="DJ36">
        <f t="shared" si="29"/>
        <v>0</v>
      </c>
      <c r="DK36" t="str">
        <f t="shared" si="14"/>
        <v/>
      </c>
      <c r="DL36" t="str">
        <f t="shared" si="14"/>
        <v/>
      </c>
      <c r="DM36" t="str">
        <f t="shared" si="14"/>
        <v/>
      </c>
      <c r="DN36" t="str">
        <f t="shared" si="30"/>
        <v/>
      </c>
      <c r="DO36" s="652">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71">
        <f>IF(AND(Stamoplysninger!$B$22="Ulempetillæg udbetales med 25% af nettotimelønnen.",C36="ikke relevant"),(R36)/4,0)</f>
        <v>0</v>
      </c>
      <c r="DT36" s="671">
        <f>IF(AND(AND(Stamoplysninger!$B$22="Ulempetillæg udbetales med 25% af nettotimelønnen.",I36="X",C36="Ikke relevant")),K36/4,0)</f>
        <v>0</v>
      </c>
      <c r="DU36" s="671">
        <f>IF(AND(AND(Stamoplysninger!$B$22="Ulempetillæg udbetales med 25% af nettotimelønnen.",C36="ikke relevant",U36="X")),(X36/4),0)</f>
        <v>0</v>
      </c>
      <c r="DV36" s="672">
        <f>IF(AND(AND(AND(Stamoplysninger!$B$22="Ulempetillæg udbetales med 25% af nettotimelønnen.",I36="X",C36="Ikke relevant",S36="X"))),V36/4,0)</f>
        <v>0</v>
      </c>
      <c r="DW36" s="652"/>
      <c r="DZ36" s="671"/>
      <c r="EA36" s="671"/>
      <c r="EB36" s="672"/>
      <c r="EC36" s="652">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71">
        <f>IF(AND(Stamoplysninger!$B$22="Ulempetillæg afspadseres med 25%(Kræver en aftale imellem ledelsen og den ansatte)",C36="ikke relevant"),(R36)/4,0)</f>
        <v>0</v>
      </c>
      <c r="EH36" s="671">
        <f>IF(AND(AND(Stamoplysninger!$B$22="Ulempetillæg afspadseres med 25%(Kræver en aftale imellem ledelsen og den ansatte)",I36="X",C36="Ikke relevant")),K36/4,0)</f>
        <v>0</v>
      </c>
      <c r="EI36" s="671">
        <f>IF(AND(AND(Stamoplysninger!$B$22="Ulempetillæg afspadseres med 25%(Kræver en aftale imellem ledelsen og den ansatte)",U36="X",C36="Ikke relevant")),X36/4,0)</f>
        <v>0</v>
      </c>
      <c r="EJ36" s="671">
        <f>IF(AND(AND(AND(Stamoplysninger!$B$22="Ulempetillæg afspadseres med 25%(Kræver en aftale imellem ledelsen og den ansatte)",I36="X",C36="Ikke relevant",S36="X"))),V36/4,0)</f>
        <v>0</v>
      </c>
      <c r="EK36" s="283">
        <f>IF(AND(Stamoplysninger!$B$26="Weekendtimer og weekendtillæg afspadseres.",I36="X"),K36*1.5,0)</f>
        <v>0</v>
      </c>
      <c r="EL36" s="251">
        <f>IF(AND(AND(Stamoplysninger!$B$26="Weekendtimer og weekendtillæg afspadseres.",I36="X",S36="X")),V36*1.5,0)</f>
        <v>0</v>
      </c>
      <c r="EM36" s="674">
        <f>IF(AND(AND(Stamoplysninger!$B$26="Weekendtimer og weekendtillæg afspadseres.",I36="X",C36="ikke relevant")),K36*1.5,0)</f>
        <v>0</v>
      </c>
      <c r="EN36" s="675">
        <f>IF(AND(AND(AND(Stamoplysninger!$B$26="Weekendtimer og weekendtillæg afspadseres.",I36="X",C36="ikke relevant",S36="X"))),(V36*1.5),0)</f>
        <v>0</v>
      </c>
      <c r="EO36" s="283">
        <f>IF(AND(Stamoplysninger!$B$26="Weekendtimer og weekendtillæg udbetales.",I36="X"),K36*1.5,0)</f>
        <v>0</v>
      </c>
      <c r="EP36" s="251">
        <f>IF(AND(AND(Stamoplysninger!$B$26="Weekendtimer og weekendtillæg udbetales.",I36="X",S36="X")),V36*1.5,0)</f>
        <v>0</v>
      </c>
      <c r="EQ36" s="674">
        <f>IF(AND(AND(Stamoplysninger!$B$26="Weekendtimer og weekendtillæg udbetales.",I36="X",C36="ikke relevant")),K36*1.5,0)</f>
        <v>0</v>
      </c>
      <c r="ER36" s="675">
        <f>IF(AND(AND(AND(Stamoplysninger!$B$26="Weekendtimer og weekendtillæg udbetales.",I36="X",C36="ikke relevant",S36="X"))),(V36*1.5),0)</f>
        <v>0</v>
      </c>
      <c r="ES36" s="283">
        <f>IF(AND(Stamoplysninger!$B$26="Der er indgået lokalaftale omkring weekendtimer.(Kræver aftale med TR/FSL) Weekendtillæg afspadseres.",I36="X"),K36*0.5,0)</f>
        <v>0</v>
      </c>
      <c r="ET36" s="251">
        <f>IF(AND(AND(Stamoplysninger!$B$26="Der er indgået lokalaftale omkring weekendtimer.(Kræver aftale med TR/FSL) Weekendtillæg afspadseres.",I36="X",S36="X")),V36*0.5,0)</f>
        <v>0</v>
      </c>
      <c r="EU36" s="674">
        <f>IF(AND(AND(Stamoplysninger!$B$26="Der er indgået lokalaftale omkring weekendtimer.(Kræver aftale med TR/FSL) Weekendtillæg afspadseres.",I36="X",C36="ikke relevant")),K36*0.5,0)</f>
        <v>0</v>
      </c>
      <c r="EV36" s="675">
        <f>IF(AND(AND(AND(Stamoplysninger!$B$26="Der er indgået lokalaftale omkring weekendtimer.(Kræver aftale med TR/FSL) Weekendtillæg afspadseres.",I36="X",C36="ikke relevant",S36="X"))),(V36*0.5),0)</f>
        <v>0</v>
      </c>
      <c r="EW36" s="283">
        <f>IF(AND(Stamoplysninger!$B$26="Der er indgået lokalaftale omkring weekendtimer(Kræver aftale med TR/FSL). Weekendtillæg udbetales.",I36="X"),K36*0.5,0)</f>
        <v>0</v>
      </c>
      <c r="EX36" s="251">
        <f>IF(AND(AND(Stamoplysninger!$B$26="Der er indgået lokalaftale omkring weekendtimer(Kræver aftale med TR/FSL). Weekendtillæg udbetales.",I36="X",S36="X")),V36*0.5,0)</f>
        <v>0</v>
      </c>
      <c r="EY36" s="674">
        <f>IF(AND(AND(Stamoplysninger!$B$26="Der er indgået lokalaftale omkring weekendtimer(Kræver aftale med TR/FSL). Weekendtillæg udbetales.",I36="X",C36="ikke relevant")),K36*0.5,0)</f>
        <v>0</v>
      </c>
      <c r="EZ36" s="675">
        <f>IF(AND(AND(AND(Stamoplysninger!$B$26="Der er indgået lokalaftale omkring weekendtimer(Kræver aftale med TR/FSL). Weekendtillæg udbetales.",I36="X",C36="ikke relevant",S36="X"))),(V36*0.5),0)</f>
        <v>0</v>
      </c>
      <c r="FA36" s="283">
        <f>IF(AND(Stamoplysninger!$B$26="Der er indgået lokalaftale omkring weekendtillæg(Kræver aftale med TR/FSL). Weekendtimerne afspadseres.",I36="X"),K36,0)</f>
        <v>0</v>
      </c>
      <c r="FB36" s="251">
        <f>IF(AND(AND(Stamoplysninger!$B$26="Der er indgået lokalaftale omkring weekendtillæg(Kræver aftale med TR/FSL). Weekendtimerne afspadseres.",I36="X",S36="X")),V36,0)</f>
        <v>0</v>
      </c>
      <c r="FC36" s="674">
        <f>IF(AND(AND(Stamoplysninger!$B$26="Der er indgået lokalaftale omkring weekendtillæg(Kræver aftale med TR/FSL). Weekendtimerne afspadseres..",I36="X",C36="ikke relevant")),K36,0)</f>
        <v>0</v>
      </c>
      <c r="FD36" s="675">
        <f>IF(AND(AND(AND(Stamoplysninger!$B$26="Der er indgået lokalaftale omkring weekendtillæg(Kræver aftale med TR/FSL). Weekendtimerne afspadseres.",I36="X",C36="ikke relevant",S36="X"))),(V36),0)</f>
        <v>0</v>
      </c>
      <c r="FE36" s="283">
        <f>IF(AND(Stamoplysninger!$B$26="Der er indgået lokalaftale omkring weekendtillæg(Kræver aftale med TR/FSL). Weekendtimerne udbetales.",I36="X"),K36,0)</f>
        <v>0</v>
      </c>
      <c r="FF36" s="251">
        <f>IF(AND(AND(Stamoplysninger!$B$26="Der er indgået lokalaftale omkring weekendtillæg(Kræver aftale med TR/FSL). Weekendtimerne udbetales.",I36="X",S36="X")),V36,0)</f>
        <v>0</v>
      </c>
      <c r="FG36" s="674">
        <f>IF(AND(AND(Stamoplysninger!$B$26="Der er indgået lokalaftale omkring weekendtillæg(Kræver aftale med TR/FSL). Weekendtimerne udbetales.",I36="X",C36="ikke relevant")),K36,0)</f>
        <v>0</v>
      </c>
      <c r="FH36" s="675">
        <f>IF(AND(AND(AND(Stamoplysninger!$B$26="Der er indgået lokalaftale omkring weekendtillæg(Kræver aftale med TR/FSL). Weekendtimerne udbetales.",I36="X",C36="ikke relevant",S36="X"))),(V36),0)</f>
        <v>0</v>
      </c>
      <c r="FI36" s="283">
        <f>IF(AND(Stamoplysninger!$B$26="Weekendtimer og weekendtillæg afspadseres.",I36="X"),K36,0)</f>
        <v>0</v>
      </c>
      <c r="FJ36" s="251">
        <f>IF(AND(Stamoplysninger!$B$26="Weekendtimer og weekendtillæg afspadseres.",Y36="X"),(AA36+AL36)/2,0)</f>
        <v>0</v>
      </c>
      <c r="FK36" s="674">
        <f>IF(AND(AND(Stamoplysninger!$B$26="Weekendtimer og weekendtillæg afspadseres.",I36="X",C36="ikke relevant")),K36,0)</f>
        <v>0</v>
      </c>
      <c r="FL36" s="675">
        <f>IF(AND(AND(Stamoplysninger!$B$26="Weekendtimer og weekendtillæg afspadseres.",Y36="X",S36="ikke relevant")),(AA36+AL36)/2,0)</f>
        <v>0</v>
      </c>
      <c r="FM36" s="283">
        <f>IF(AND(Stamoplysninger!$B$26="Der er indgået lokalaftale omkring weekendtillæg(Kræver aftale med TR/FSL). Weekendtimerne afspadseres.",I36="X"),K36,0)</f>
        <v>0</v>
      </c>
      <c r="FN36" s="674">
        <f>IF(AND(AND(Stamoplysninger!$B$26="Der er indgået lokalaftale omkring weekendtillæg(Kræver aftale med TR/FSL). Weekendtimerne afspadseres.",I36="X",C36="ikke relevant")),K36,0)</f>
        <v>0</v>
      </c>
      <c r="FO36" s="283">
        <f>IF(AND(Stamoplysninger!$B$26="Weekendtimer og weekendtillæg udbetales.",I36="X"),K36,0)</f>
        <v>0</v>
      </c>
      <c r="FP36" s="251">
        <f>IF(AND(Stamoplysninger!$B$26="Weekendtimer og weekendtillæg udbetales.",AA36="X"),(AC36+AN36)/2,0)</f>
        <v>0</v>
      </c>
      <c r="FQ36" s="674">
        <f>IF(AND(AND(Stamoplysninger!$B$26="Weekendtimer og weekendtillæg udbetales.",I36="X",C36="ikke relevant")),K36,0)</f>
        <v>0</v>
      </c>
      <c r="FR36" s="688">
        <f>IF(AND(AND(Stamoplysninger!$B$26="Weekendtimer og weekendtillæg udbetales.",AA36="X",U36="ikke relevant")),(AC36+AN36)/2,0)</f>
        <v>0</v>
      </c>
      <c r="FS36" s="283">
        <f t="shared" si="15"/>
        <v>0</v>
      </c>
      <c r="FT36" s="658">
        <f t="shared" si="16"/>
        <v>0</v>
      </c>
      <c r="FU36">
        <f t="shared" si="31"/>
        <v>0</v>
      </c>
      <c r="FV36" s="283">
        <f>IF(AND(Stamoplysninger!$B$26="Der er indgået lokalaftale omkring weekendtimer.(Kræver aftale med TR/FSL) Weekendtillæg afspadseres.",I36="X"),K36,0)</f>
        <v>0</v>
      </c>
      <c r="FW36" s="674">
        <f>IF(AND(AND(Stamoplysninger!$B$26="Der er indgået lokalaftale omkring weekendtimer.(Kræver aftale med TR/FSL) Weekendtillæg afspadseres.",I36="X",C36="ikke relevant")),K36,0)</f>
        <v>0</v>
      </c>
      <c r="FX36" s="283">
        <f>IF(AND(Stamoplysninger!$B$26="Der er indgået lokalaftale omkring weekendtimer(Kræver aftale med TR/FSL). Weekendtillæg udbetales.",I36="X"),K36,0)</f>
        <v>0</v>
      </c>
      <c r="FY36" s="674">
        <f>IF(AND(AND(Stamoplysninger!$B$26="Der er indgået lokalaftale omkring weekendtimer(Kræver aftale med TR/FSL). Weekendtillæg udbetales.",I36="X",C36="ikke relevant")),K36,0)</f>
        <v>0</v>
      </c>
      <c r="FZ36" s="283">
        <f>IF(AND(Stamoplysninger!$B$26="Der er indgået lokalaftale omkring weekendtillæg(Kræver aftale med TR/FSL). Weekendtimerne udbetales.",I36="X"),K36,0)</f>
        <v>0</v>
      </c>
      <c r="GA36" s="674">
        <f>IF(AND(AND(Stamoplysninger!$B$26="Der er indgået lokalaftale omkring weekendtillæg(Kræver aftale med TR/FSL). Weekendtimerne udbetales.",I36="X",C36="ikke relevant")),K36,0)</f>
        <v>0</v>
      </c>
      <c r="GB36" s="283">
        <f>IF(AND(Stamoplysninger!$B$26="Der er indgået lokalaftale omkring weekendtimer og weekendtillæg.(Kræver aftale med TR/FSL).",I36="X"),K36,0)</f>
        <v>0</v>
      </c>
      <c r="GC36" s="674">
        <f>IF(AND(AND(Stamoplysninger!$B$26="Der er indgået lokalaftale omkring weekendtimer og weekendtillæg.(Kræver aftale med TR/FSL).",I36="X",C36="ikke relevant")),K36,0)</f>
        <v>0</v>
      </c>
    </row>
    <row r="37" spans="1:185">
      <c r="A37" s="245">
        <f>IF(ISNUMBER(A36),A36+1,1)</f>
        <v>29</v>
      </c>
      <c r="B37" s="128" t="str">
        <f t="shared" si="0"/>
        <v>sø</v>
      </c>
      <c r="C37" s="129" t="s">
        <v>120</v>
      </c>
      <c r="D37" s="130" t="str">
        <f t="shared" si="1"/>
        <v/>
      </c>
      <c r="E37" s="917"/>
      <c r="F37" s="918"/>
      <c r="G37" s="919"/>
      <c r="H37" s="298"/>
      <c r="I37" s="413"/>
      <c r="J37" s="413"/>
      <c r="K37" s="380"/>
      <c r="L37" s="380"/>
      <c r="M37" s="380"/>
      <c r="N37" s="318">
        <f t="shared" si="19"/>
        <v>0</v>
      </c>
      <c r="O37" s="318">
        <f t="shared" si="20"/>
        <v>0</v>
      </c>
      <c r="P37" s="318">
        <f>IF(Stamoplysninger!$H$29="JA",December!DG37,CX37)</f>
        <v>0</v>
      </c>
      <c r="Q37" s="318">
        <f t="shared" si="21"/>
        <v>0</v>
      </c>
      <c r="R37" s="319"/>
      <c r="S37" s="324"/>
      <c r="T37" s="325"/>
      <c r="U37" s="325"/>
      <c r="V37" s="435"/>
      <c r="W37" s="412"/>
      <c r="X37" s="642"/>
      <c r="Y37">
        <f t="shared" si="22"/>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9">
        <f t="shared" si="8"/>
        <v>0</v>
      </c>
      <c r="BC37" s="1">
        <f t="shared" si="24"/>
        <v>0</v>
      </c>
      <c r="BD37" s="1">
        <f t="shared" si="9"/>
        <v>0</v>
      </c>
      <c r="BE37" s="1">
        <f t="shared" si="10"/>
        <v>0</v>
      </c>
      <c r="BF37" s="1">
        <f t="shared" si="11"/>
        <v>0</v>
      </c>
      <c r="BG37" s="210" t="str">
        <f>IF(AND(C37="Skema 1",B37="ma"),Skemaoplysninger!$E$30,"")</f>
        <v/>
      </c>
      <c r="BH37" s="210" t="str">
        <f>IF(AND(C37="Skema 1",B37="ti"),Skemaoplysninger!$G$30,"")</f>
        <v/>
      </c>
      <c r="BI37" s="210" t="str">
        <f>IF(AND(C37="Skema 1",B37="on"),Skemaoplysninger!$I$30,"")</f>
        <v/>
      </c>
      <c r="BJ37" s="210" t="str">
        <f>IF(AND(C37="Skema 1",B37="to"),Skemaoplysninger!$K$30,"")</f>
        <v/>
      </c>
      <c r="BK37" s="210" t="str">
        <f>IF(AND(C37="Skema 1",B37="fr"),Skemaoplysninger!$M$30,"")</f>
        <v/>
      </c>
      <c r="BL37" s="210" t="str">
        <f>IF(AND(C37="Skema 2",B37="ma"),Skemaoplysninger!$S$30,"")</f>
        <v/>
      </c>
      <c r="BM37" s="210" t="str">
        <f>IF(AND(C37="Skema 2",B37="ti"),Skemaoplysninger!$U$30,"")</f>
        <v/>
      </c>
      <c r="BN37" s="210" t="str">
        <f>IF(AND(C37="Skema 2",B37="on"),Skemaoplysninger!$W$30,"")</f>
        <v/>
      </c>
      <c r="BO37" s="210" t="str">
        <f>IF(AND(C37="Skema 2",B37="to"),Skemaoplysninger!$Y$30,"")</f>
        <v/>
      </c>
      <c r="BP37" s="210" t="str">
        <f>IF(AND(C37="Skema 2",B37="fr"),Skemaoplysninger!$AA$30,"")</f>
        <v/>
      </c>
      <c r="BQ37" s="210" t="str">
        <f>IF(AND(C37="Skema 3",B37="ma"),Skemaoplysninger!$AG$30,"")</f>
        <v/>
      </c>
      <c r="BR37" s="210" t="str">
        <f>IF(AND(C37="Skema 3",B37="ti"),Skemaoplysninger!$AI$30,"")</f>
        <v/>
      </c>
      <c r="BS37" s="210" t="str">
        <f>IF(AND(C37="Skema 3",B37="on"),Skemaoplysninger!$AK$30,"")</f>
        <v/>
      </c>
      <c r="BT37" s="210" t="str">
        <f>IF(AND(C37="Skema 3",B37="to"),Skemaoplysninger!$AM$30,"")</f>
        <v/>
      </c>
      <c r="BU37" s="210" t="str">
        <f>IF(AND(C37="Skema 3",B37="fr"),Skemaoplysninger!$AO$30,"")</f>
        <v/>
      </c>
      <c r="BV37" s="210" t="str">
        <f>IF(AND(C37="Skema 4",B37="ma"),Skemaoplysninger!$AU$30,"")</f>
        <v/>
      </c>
      <c r="BW37" s="210" t="str">
        <f>IF(AND(C37="Skema 4",B37="ti"),Skemaoplysninger!$AW$30,"")</f>
        <v/>
      </c>
      <c r="BX37" s="210" t="str">
        <f>IF(AND(C37="Skema 4",B37="on"),Skemaoplysninger!$AY$30,"")</f>
        <v/>
      </c>
      <c r="BY37" s="210" t="str">
        <f>IF(AND(C37="Skema 4",B37="to"),Skemaoplysninger!$BA$30,"")</f>
        <v/>
      </c>
      <c r="BZ37" s="210" t="str">
        <f>IF(AND(C37="Skema 4",B37="fr"),Skemaoplysninger!$BC$30,"")</f>
        <v/>
      </c>
      <c r="CA37" s="1">
        <f t="shared" si="25"/>
        <v>0</v>
      </c>
      <c r="CB37" s="1">
        <f t="shared" si="12"/>
        <v>0</v>
      </c>
      <c r="CC37" s="1">
        <f t="shared" si="13"/>
        <v>0</v>
      </c>
      <c r="CD37" s="210" t="str">
        <f>IF(AND(C37="Skema 1",B37="ma"),Skemaoplysninger!$E$31,"")</f>
        <v/>
      </c>
      <c r="CE37" s="210" t="str">
        <f>IF(AND(C37="Skema 1",B37="ti"),Skemaoplysninger!$G$31,"")</f>
        <v/>
      </c>
      <c r="CF37" s="210" t="str">
        <f>IF(AND(C37="Skema 1",B37="on"),Skemaoplysninger!$I$31,"")</f>
        <v/>
      </c>
      <c r="CG37" s="210" t="str">
        <f>IF(AND(C37="Skema 1",B37="to"),Skemaoplysninger!$K$31,"")</f>
        <v/>
      </c>
      <c r="CH37" s="210" t="str">
        <f>IF(AND(C37="Skema 1",B37="fr"),Skemaoplysninger!$M$31,"")</f>
        <v/>
      </c>
      <c r="CI37" s="210" t="str">
        <f>IF(AND(C37="Skema 2",B37="ma"),Skemaoplysninger!$S$31,"")</f>
        <v/>
      </c>
      <c r="CJ37" s="210" t="str">
        <f>IF(AND(C37="Skema 2",B37="ti"),Skemaoplysninger!$U$31,"")</f>
        <v/>
      </c>
      <c r="CK37" s="210" t="str">
        <f>IF(AND(C37="Skema 2",B37="on"),Skemaoplysninger!$W$31,"")</f>
        <v/>
      </c>
      <c r="CL37" s="210" t="str">
        <f>IF(AND(C37="Skema 2",B37="to"),Skemaoplysninger!$Y$31,"")</f>
        <v/>
      </c>
      <c r="CM37" s="210" t="str">
        <f>IF(AND(C37="Skema 2",B37="fr"),Skemaoplysninger!$AA$31,"")</f>
        <v/>
      </c>
      <c r="CN37" s="210" t="str">
        <f>IF(AND(C37="Skema 3",B37="ma"),Skemaoplysninger!$AG$31,"")</f>
        <v/>
      </c>
      <c r="CO37" s="210" t="str">
        <f>IF(AND(C37="Skema 3",B37="ti"),Skemaoplysninger!$AI$31,"")</f>
        <v/>
      </c>
      <c r="CP37" s="210" t="str">
        <f>IF(AND(C37="Skema 3",B37="on"),Skemaoplysninger!$AK$31,"")</f>
        <v/>
      </c>
      <c r="CQ37" s="210" t="str">
        <f>IF(AND(C37="Skema 3",B37="to"),Skemaoplysninger!$AM$31,"")</f>
        <v/>
      </c>
      <c r="CR37" s="210" t="str">
        <f>IF(AND(C37="Skema 3",B37="fr"),Skemaoplysninger!$AO$31,"")</f>
        <v/>
      </c>
      <c r="CS37" s="210" t="str">
        <f>IF(AND(C37="Skema 4",B37="ma"),Skemaoplysninger!$AU$31,"")</f>
        <v/>
      </c>
      <c r="CT37" s="210" t="str">
        <f>IF(AND(C37="Skema 4",B37="ti"),Skemaoplysninger!$AW$31,"")</f>
        <v/>
      </c>
      <c r="CU37" s="210" t="str">
        <f>IF(AND(C37="Skema 4",B37="on"),Skemaoplysninger!$AY$31,"")</f>
        <v/>
      </c>
      <c r="CV37" s="210" t="str">
        <f>IF(AND(C37="Skema 4",B37="to"),Skemaoplysninger!$BA$31,"")</f>
        <v/>
      </c>
      <c r="CW37" s="210" t="str">
        <f>IF(AND(C37="Skema 4",B37="fr"),Skemaoplysninger!$BC$31,"")</f>
        <v/>
      </c>
      <c r="CX37" s="249">
        <f>IF(Stamoplysninger!$H$29="NEJ",SUM(CD37:CW37)*24+CB37+CC37,0)</f>
        <v>0</v>
      </c>
      <c r="CY37" s="249">
        <f>IF(C37="Skema 1",Stamoplysninger!$H$30/200,0)</f>
        <v>0</v>
      </c>
      <c r="CZ37" s="249">
        <f>IF(C37="Skema 2",Stamoplysninger!$H$30/200,0)</f>
        <v>0</v>
      </c>
      <c r="DA37" s="249">
        <f>IF(C37="Skema 3",Stamoplysninger!$H$30/200,0)</f>
        <v>0</v>
      </c>
      <c r="DB37" s="249">
        <f>IF(C37="Skema 4",Stamoplysninger!$H$30/200,0)</f>
        <v>0</v>
      </c>
      <c r="DC37" s="249">
        <f>IF(C37="fagdag",Stamoplysninger!$H$30/200,0)</f>
        <v>0</v>
      </c>
      <c r="DD37" s="249">
        <f>IF(C37="emnedag",Stamoplysninger!$H$30/200,0)</f>
        <v>0</v>
      </c>
      <c r="DE37" s="249">
        <f>IF(C37="lejrskole",Stamoplysninger!$H$30/200,0)</f>
        <v>0</v>
      </c>
      <c r="DF37" s="249">
        <f>IF(C37="ekskursion",Stamoplysninger!$H$30/200,0)</f>
        <v>0</v>
      </c>
      <c r="DG37" s="249">
        <f t="shared" si="26"/>
        <v>0</v>
      </c>
      <c r="DH37" t="str">
        <f t="shared" si="27"/>
        <v/>
      </c>
      <c r="DI37">
        <f t="shared" si="28"/>
        <v>0</v>
      </c>
      <c r="DJ37">
        <f t="shared" si="29"/>
        <v>0</v>
      </c>
      <c r="DK37" t="str">
        <f t="shared" si="14"/>
        <v/>
      </c>
      <c r="DL37" t="str">
        <f t="shared" si="14"/>
        <v/>
      </c>
      <c r="DM37" t="str">
        <f t="shared" si="14"/>
        <v/>
      </c>
      <c r="DN37" t="str">
        <f t="shared" si="30"/>
        <v/>
      </c>
      <c r="DO37" s="652">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71">
        <f>IF(AND(Stamoplysninger!$B$22="Ulempetillæg udbetales med 25% af nettotimelønnen.",C37="ikke relevant"),(R37)/4,0)</f>
        <v>0</v>
      </c>
      <c r="DT37" s="671">
        <f>IF(AND(AND(Stamoplysninger!$B$22="Ulempetillæg udbetales med 25% af nettotimelønnen.",I37="X",C37="Ikke relevant")),K37/4,0)</f>
        <v>0</v>
      </c>
      <c r="DU37" s="671">
        <f>IF(AND(AND(Stamoplysninger!$B$22="Ulempetillæg udbetales med 25% af nettotimelønnen.",C37="ikke relevant",U37="X")),(X37/4),0)</f>
        <v>0</v>
      </c>
      <c r="DV37" s="672">
        <f>IF(AND(AND(AND(Stamoplysninger!$B$22="Ulempetillæg udbetales med 25% af nettotimelønnen.",I37="X",C37="Ikke relevant",U37="X"))),X37/4,0)</f>
        <v>0</v>
      </c>
      <c r="DW37" s="652"/>
      <c r="DZ37" s="671"/>
      <c r="EA37" s="671"/>
      <c r="EB37" s="672"/>
      <c r="EC37" s="652">
        <f>IF(Stamoplysninger!$B$22="Ulempetillæg afspadseres med 25%(Kræver en aftale imellem ledelsen og den ansatte)",(R37+X37)/4,0)</f>
        <v>0</v>
      </c>
      <c r="ED37">
        <f>IF(AND(Stamoplysninger!$B$22="Ulempetillæg afspadseres med 25%(Kræver en aftale imellem ledelsen og den ansatte)",I37="X"),K37/4,0)</f>
        <v>0</v>
      </c>
      <c r="EE37">
        <f>IF(AND(Stamoplysninger!$B$22="Ulempetillæg afspadseres med 25%(Kræver en aftale imellem ledelsen og den ansatte)",I37="X"),V37/4,0)</f>
        <v>0</v>
      </c>
      <c r="EF37">
        <f>IF(AND(AND(Stamoplysninger!$B$22="Ulempetillæg udbetales med 25% af nettotimelønnen.",AG37="X",W37="X")),AJ37/4,0)</f>
        <v>0</v>
      </c>
      <c r="EG37" s="671">
        <f>IF(AND(Stamoplysninger!$B$22="Ulempetillæg afspadseres med 25%(Kræver en aftale imellem ledelsen og den ansatte)",C37="ikke relevant"),(R37+X37)/4,0)</f>
        <v>0</v>
      </c>
      <c r="EH37" s="671">
        <f>IF(AND(AND(Stamoplysninger!$B$22="Ulempetillæg afspadseres med 25%(Kræver en aftale imellem ledelsen og den ansatte)",I37="X",C37="Ikke relevant")),K37/4,0)</f>
        <v>0</v>
      </c>
      <c r="EI37" s="671">
        <f>IF(AND(AND(Stamoplysninger!$B$22="Ulempetillæg afspadseres med 25%(Kræver en aftale imellem ledelsen og den ansatte)",I37="X",C37="Ikke relevant")),V37/4,0)</f>
        <v>0</v>
      </c>
      <c r="EJ37" s="671">
        <f>IF(AND(AND(Stamoplysninger!$B$22="Ulempetillæg afspadseres med 25%(Kræver en aftale imellem ledelsen og den ansatte)",J37="X",D37="Ikke relevant")),W37/4,0)</f>
        <v>0</v>
      </c>
      <c r="EK37" s="283">
        <f>IF(AND(Stamoplysninger!$B$26="Weekendtimer og weekendtillæg afspadseres.",I37="X"),K37+V37,0)</f>
        <v>0</v>
      </c>
      <c r="EL37" s="251">
        <f>IF(AND(Stamoplysninger!$B$26="Weekendtimer og weekendtillæg afspadseres.",J37="X"),(L37+W37)/2,0)</f>
        <v>0</v>
      </c>
      <c r="EM37" s="674">
        <f>IF(AND(AND(Stamoplysninger!$B$26="Weekendtimer og weekendtillæg afspadseres.",I37="X",C37="ikke relevant")),K37+V37,0)</f>
        <v>0</v>
      </c>
      <c r="EN37" s="675">
        <f>IF(AND(AND(Stamoplysninger!$B$26="Weekendtimer og weekendtillæg afspadseres.",I37="X",C37="ikke relevant")),(K37+V37)/2,0)</f>
        <v>0</v>
      </c>
      <c r="EO37" s="283">
        <f>IF(AND(Stamoplysninger!$B$26="Weekendtimer og weekendtillæg udbetales.",I37="X"),K37+V37,0)</f>
        <v>0</v>
      </c>
      <c r="EP37" s="251">
        <f>IF(AND(Stamoplysninger!$B$26="Weekendtimer og weekendtillæg udbetales.",I37="X"),(K37+V37)/2,0)</f>
        <v>0</v>
      </c>
      <c r="EQ37" s="674">
        <f>IF(AND(AND(Stamoplysninger!$B$26="Weekendtimer og weekendtillæg udbetales.",I37="X",C37="ikke relevant")),K37+V37,0)</f>
        <v>0</v>
      </c>
      <c r="ER37" s="675">
        <f>IF(AND(AND(Stamoplysninger!$B$26="Weekendtimer og weekendtillæg udbetales.",I37="X",C37="ikke relevant")),(K37+V37)/2,0)</f>
        <v>0</v>
      </c>
      <c r="ES37" s="283">
        <f>IF(AND(Stamoplysninger!$B$26="Weekendtimer og weekendtillæg udbetales.",M37="X"),O37+Z37,0)</f>
        <v>0</v>
      </c>
      <c r="ET37" s="251">
        <f>IF(AND(Stamoplysninger!$B$26="Weekendtimer og weekendtillæg udbetales.",M37="X"),(O37+Z37)/2,0)</f>
        <v>0</v>
      </c>
      <c r="EU37" s="674">
        <f>IF(AND(AND(Stamoplysninger!$B$26="Weekendtimer og weekendtillæg udbetales.",M37="X",G37="ikke relevant")),O37+Z37,0)</f>
        <v>0</v>
      </c>
      <c r="EV37" s="675">
        <f>IF(AND(AND(Stamoplysninger!$B$26="Weekendtimer og weekendtillæg udbetales.",M37="X",G37="ikke relevant")),(O37+Z37)/2,0)</f>
        <v>0</v>
      </c>
      <c r="EW37" s="283">
        <f>IF(AND(Stamoplysninger!$B$26="Der er indgået lokalaftale omkring weekendtimer(Kræver aftale med TR/FSL). Weekendtillæg udbetales.",I37="X"),K37*0.5,0)</f>
        <v>0</v>
      </c>
      <c r="EX37" s="251">
        <f>IF(AND(AND(Stamoplysninger!$B$26="Der er indgået lokalaftale omkring weekendtimer(Kræver aftale med TR/FSL). Weekendtillæg udbetales.",I37="X",S37="X")),V37*0.5,0)</f>
        <v>0</v>
      </c>
      <c r="EY37" s="674">
        <f>IF(AND(AND(Stamoplysninger!$B$26="Der er indgået lokalaftale omkring weekendtimer(Kræver aftale med TR/FSL). Weekendtillæg udbetales.",I37="X",C37="ikke relevant")),K37*0.5,0)</f>
        <v>0</v>
      </c>
      <c r="EZ37" s="675">
        <f>IF(AND(AND(AND(Stamoplysninger!$B$26="Der er indgået lokalaftale omkring weekendtimer(Kræver aftale med TR/FSL). Weekendtillæg udbetales.",I37="X",C37="ikke relevant",S37="X"))),(V37*0.5),0)</f>
        <v>0</v>
      </c>
      <c r="FA37" s="283">
        <f>IF(AND(Stamoplysninger!$B$26="Der er indgået lokalaftale omkring weekendtimer(Kræver aftale med TR/FSL). Weekendtillæg udbetales.",M37="X"),O37*0.5,0)</f>
        <v>0</v>
      </c>
      <c r="FB37" s="251">
        <f>IF(AND(AND(Stamoplysninger!$B$26="Der er indgået lokalaftale omkring weekendtimer(Kræver aftale med TR/FSL). Weekendtillæg udbetales.",M37="X",W37="X")),Z37*0.5,0)</f>
        <v>0</v>
      </c>
      <c r="FC37" s="674">
        <f>IF(AND(AND(Stamoplysninger!$B$26="Der er indgået lokalaftale omkring weekendtimer(Kræver aftale med TR/FSL). Weekendtillæg udbetales.",M37="X",G37="ikke relevant")),O37*0.5,0)</f>
        <v>0</v>
      </c>
      <c r="FD37" s="675">
        <f>IF(AND(AND(AND(Stamoplysninger!$B$26="Der er indgået lokalaftale omkring weekendtimer(Kræver aftale med TR/FSL). Weekendtillæg udbetales.",M37="X",G37="ikke relevant",W37="X"))),(Z37*0.5),0)</f>
        <v>0</v>
      </c>
      <c r="FE37" s="283">
        <f>IF(AND(Stamoplysninger!$B$26="Der er indgået lokalaftale omkring weekendtimer(Kræver aftale med TR/FSL). Weekendtillæg udbetales.",Q37="X"),S37*0.5,0)</f>
        <v>0</v>
      </c>
      <c r="FF37" s="251">
        <f>IF(AND(AND(Stamoplysninger!$B$26="Der er indgået lokalaftale omkring weekendtimer(Kræver aftale med TR/FSL). Weekendtillæg udbetales.",Q37="X",AA37="X")),AD37*0.5,0)</f>
        <v>0</v>
      </c>
      <c r="FG37" s="674">
        <f>IF(AND(AND(Stamoplysninger!$B$26="Der er indgået lokalaftale omkring weekendtimer(Kræver aftale med TR/FSL). Weekendtillæg udbetales.",Q37="X",K37="ikke relevant")),S37*0.5,0)</f>
        <v>0</v>
      </c>
      <c r="FH37" s="675">
        <f>IF(AND(AND(AND(Stamoplysninger!$B$26="Der er indgået lokalaftale omkring weekendtimer(Kræver aftale med TR/FSL). Weekendtillæg udbetales.",Q37="X",K37="ikke relevant",AA37="X"))),(AD37*0.5),0)</f>
        <v>0</v>
      </c>
      <c r="FI37" s="283">
        <f>IF(AND(Stamoplysninger!$B$26="Weekendtimer og weekendtillæg afspadseres.",I37="X"),K37,0)</f>
        <v>0</v>
      </c>
      <c r="FJ37" s="251">
        <f>IF(AND(Stamoplysninger!$B$26="Weekendtimer og weekendtillæg afspadseres.",Y37="X"),(AA37+AL37)/2,0)</f>
        <v>0</v>
      </c>
      <c r="FK37" s="674">
        <f>IF(AND(AND(Stamoplysninger!$B$26="Weekendtimer og weekendtillæg afspadseres.",I37="X",C37="ikke relevant")),K37,0)</f>
        <v>0</v>
      </c>
      <c r="FL37" s="675">
        <f>IF(AND(AND(Stamoplysninger!$B$26="Weekendtimer og weekendtillæg afspadseres.",Y37="X",S37="ikke relevant")),(AA37+AL37)/2,0)</f>
        <v>0</v>
      </c>
      <c r="FM37" s="283">
        <f>IF(AND(Stamoplysninger!$B$26="Der er indgået lokalaftale omkring weekendtillæg(Kræver aftale med TR/FSL). Weekendtimerne afspadseres.",I37="X"),K37,0)</f>
        <v>0</v>
      </c>
      <c r="FN37" s="674">
        <f>IF(AND(AND(Stamoplysninger!$B$26="Der er indgået lokalaftale omkring weekendtillæg(Kræver aftale med TR/FSL). Weekendtimerne afspadseres.",I37="X",C37="ikke relevant")),K37,0)</f>
        <v>0</v>
      </c>
      <c r="FO37" s="283">
        <f>IF(AND(Stamoplysninger!$B$26="Weekendtimer og weekendtillæg udbetales.",I37="X"),K37,0)</f>
        <v>0</v>
      </c>
      <c r="FP37" s="251">
        <f>IF(AND(Stamoplysninger!$B$26="Weekendtimer og weekendtillæg udbetales.",AA37="X"),(AC37+AN37)/2,0)</f>
        <v>0</v>
      </c>
      <c r="FQ37" s="674">
        <f>IF(AND(AND(Stamoplysninger!$B$26="Weekendtimer og weekendtillæg udbetales.",I37="X",C37="ikke relevant")),K37,0)</f>
        <v>0</v>
      </c>
      <c r="FR37" s="688">
        <f>IF(AND(AND(Stamoplysninger!$B$26="Weekendtimer og weekendtillæg udbetales.",AA37="X",U37="ikke relevant")),(AC37+AN37)/2,0)</f>
        <v>0</v>
      </c>
      <c r="FS37" s="283">
        <f t="shared" si="15"/>
        <v>0</v>
      </c>
      <c r="FT37" s="658">
        <f t="shared" si="16"/>
        <v>0</v>
      </c>
      <c r="FU37">
        <f t="shared" si="31"/>
        <v>0</v>
      </c>
      <c r="FV37" s="283">
        <f>IF(AND(Stamoplysninger!$B$26="Der er indgået lokalaftale omkring weekendtimer.(Kræver aftale med TR/FSL) Weekendtillæg afspadseres.",I37="X"),K37,0)</f>
        <v>0</v>
      </c>
      <c r="FW37" s="674">
        <f>IF(AND(AND(Stamoplysninger!$B$26="Der er indgået lokalaftale omkring weekendtimer.(Kræver aftale med TR/FSL) Weekendtillæg afspadseres.",I37="X",C37="ikke relevant")),K37,0)</f>
        <v>0</v>
      </c>
      <c r="FX37" s="283">
        <f>IF(AND(Stamoplysninger!$B$26="Der er indgået lokalaftale omkring weekendtimer(Kræver aftale med TR/FSL). Weekendtillæg udbetales.",I37="X"),K37,0)</f>
        <v>0</v>
      </c>
      <c r="FY37" s="674">
        <f>IF(AND(AND(Stamoplysninger!$B$26="Der er indgået lokalaftale omkring weekendtimer(Kræver aftale med TR/FSL). Weekendtillæg udbetales.",I37="X",C37="ikke relevant")),K37,0)</f>
        <v>0</v>
      </c>
      <c r="FZ37" s="283">
        <f>IF(AND(Stamoplysninger!$B$26="Der er indgået lokalaftale omkring weekendtillæg(Kræver aftale med TR/FSL). Weekendtimerne udbetales.",I37="X"),K37,0)</f>
        <v>0</v>
      </c>
      <c r="GA37" s="674">
        <f>IF(AND(AND(Stamoplysninger!$B$26="Der er indgået lokalaftale omkring weekendtillæg(Kræver aftale med TR/FSL). Weekendtimerne udbetales.",I37="X",C37="ikke relevant")),K37,0)</f>
        <v>0</v>
      </c>
      <c r="GB37" s="283">
        <f>IF(AND(Stamoplysninger!$B$26="Der er indgået lokalaftale omkring weekendtimer og weekendtillæg.(Kræver aftale med TR/FSL).",I37="X"),K37,0)</f>
        <v>0</v>
      </c>
      <c r="GC37" s="674">
        <f>IF(AND(AND(Stamoplysninger!$B$26="Der er indgået lokalaftale omkring weekendtimer og weekendtillæg.(Kræver aftale med TR/FSL).",I37="X",C37="ikke relevant")),K37,0)</f>
        <v>0</v>
      </c>
    </row>
    <row r="38" spans="1:185">
      <c r="A38" s="245">
        <f t="shared" si="18"/>
        <v>30</v>
      </c>
      <c r="B38" s="128" t="str">
        <f t="shared" si="0"/>
        <v>ma</v>
      </c>
      <c r="C38" s="129" t="s">
        <v>128</v>
      </c>
      <c r="D38" s="130">
        <v>1</v>
      </c>
      <c r="E38" s="917"/>
      <c r="F38" s="918"/>
      <c r="G38" s="919"/>
      <c r="H38" s="298"/>
      <c r="I38" s="527"/>
      <c r="J38" s="413"/>
      <c r="K38" s="380"/>
      <c r="L38" s="380"/>
      <c r="M38" s="380"/>
      <c r="N38" s="318">
        <f t="shared" si="19"/>
        <v>0</v>
      </c>
      <c r="O38" s="318">
        <f t="shared" si="20"/>
        <v>0</v>
      </c>
      <c r="P38" s="318">
        <f>IF(Stamoplysninger!$H$29="JA",December!DG38,CX38)</f>
        <v>0</v>
      </c>
      <c r="Q38" s="318">
        <f t="shared" si="21"/>
        <v>0</v>
      </c>
      <c r="R38" s="319"/>
      <c r="S38" s="324"/>
      <c r="T38" s="325"/>
      <c r="U38" s="441"/>
      <c r="V38" s="435"/>
      <c r="W38" s="412"/>
      <c r="X38" s="642"/>
      <c r="Y38">
        <f t="shared" si="22"/>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9">
        <f t="shared" si="8"/>
        <v>0</v>
      </c>
      <c r="BC38" s="1">
        <f t="shared" si="24"/>
        <v>0</v>
      </c>
      <c r="BD38" s="1">
        <f t="shared" si="9"/>
        <v>0</v>
      </c>
      <c r="BE38" s="1">
        <f t="shared" si="10"/>
        <v>0</v>
      </c>
      <c r="BF38" s="1">
        <f t="shared" si="11"/>
        <v>0</v>
      </c>
      <c r="BG38" s="210" t="str">
        <f>IF(AND(C38="Skema 1",B38="ma"),Skemaoplysninger!$E$30,"")</f>
        <v/>
      </c>
      <c r="BH38" s="210" t="str">
        <f>IF(AND(C38="Skema 1",B38="ti"),Skemaoplysninger!$G$30,"")</f>
        <v/>
      </c>
      <c r="BI38" s="210" t="str">
        <f>IF(AND(C38="Skema 1",B38="on"),Skemaoplysninger!$I$30,"")</f>
        <v/>
      </c>
      <c r="BJ38" s="210" t="str">
        <f>IF(AND(C38="Skema 1",B38="to"),Skemaoplysninger!$K$30,"")</f>
        <v/>
      </c>
      <c r="BK38" s="210" t="str">
        <f>IF(AND(C38="Skema 1",B38="fr"),Skemaoplysninger!$M$30,"")</f>
        <v/>
      </c>
      <c r="BL38" s="210" t="str">
        <f>IF(AND(C38="Skema 2",B38="ma"),Skemaoplysninger!$S$30,"")</f>
        <v/>
      </c>
      <c r="BM38" s="210" t="str">
        <f>IF(AND(C38="Skema 2",B38="ti"),Skemaoplysninger!$U$30,"")</f>
        <v/>
      </c>
      <c r="BN38" s="210" t="str">
        <f>IF(AND(C38="Skema 2",B38="on"),Skemaoplysninger!$W$30,"")</f>
        <v/>
      </c>
      <c r="BO38" s="210" t="str">
        <f>IF(AND(C38="Skema 2",B38="to"),Skemaoplysninger!$Y$30,"")</f>
        <v/>
      </c>
      <c r="BP38" s="210" t="str">
        <f>IF(AND(C38="Skema 2",B38="fr"),Skemaoplysninger!$AA$30,"")</f>
        <v/>
      </c>
      <c r="BQ38" s="210" t="str">
        <f>IF(AND(C38="Skema 3",B38="ma"),Skemaoplysninger!$AG$30,"")</f>
        <v/>
      </c>
      <c r="BR38" s="210" t="str">
        <f>IF(AND(C38="Skema 3",B38="ti"),Skemaoplysninger!$AI$30,"")</f>
        <v/>
      </c>
      <c r="BS38" s="210" t="str">
        <f>IF(AND(C38="Skema 3",B38="on"),Skemaoplysninger!$AK$30,"")</f>
        <v/>
      </c>
      <c r="BT38" s="210" t="str">
        <f>IF(AND(C38="Skema 3",B38="to"),Skemaoplysninger!$AM$30,"")</f>
        <v/>
      </c>
      <c r="BU38" s="210" t="str">
        <f>IF(AND(C38="Skema 3",B38="fr"),Skemaoplysninger!$AO$30,"")</f>
        <v/>
      </c>
      <c r="BV38" s="210" t="str">
        <f>IF(AND(C38="Skema 4",B38="ma"),Skemaoplysninger!$AU$30,"")</f>
        <v/>
      </c>
      <c r="BW38" s="210" t="str">
        <f>IF(AND(C38="Skema 4",B38="ti"),Skemaoplysninger!$AW$30,"")</f>
        <v/>
      </c>
      <c r="BX38" s="210" t="str">
        <f>IF(AND(C38="Skema 4",B38="on"),Skemaoplysninger!$AY$30,"")</f>
        <v/>
      </c>
      <c r="BY38" s="210" t="str">
        <f>IF(AND(C38="Skema 4",B38="to"),Skemaoplysninger!$BA$30,"")</f>
        <v/>
      </c>
      <c r="BZ38" s="210" t="str">
        <f>IF(AND(C38="Skema 4",B38="fr"),Skemaoplysninger!$BC$30,"")</f>
        <v/>
      </c>
      <c r="CA38" s="1">
        <f t="shared" si="25"/>
        <v>0</v>
      </c>
      <c r="CB38" s="1">
        <f t="shared" si="12"/>
        <v>0</v>
      </c>
      <c r="CC38" s="1">
        <f t="shared" si="13"/>
        <v>0</v>
      </c>
      <c r="CD38" s="210" t="str">
        <f>IF(AND(C38="Skema 1",B38="ma"),Skemaoplysninger!$E$31,"")</f>
        <v/>
      </c>
      <c r="CE38" s="210" t="str">
        <f>IF(AND(C38="Skema 1",B38="ti"),Skemaoplysninger!$G$31,"")</f>
        <v/>
      </c>
      <c r="CF38" s="210" t="str">
        <f>IF(AND(C38="Skema 1",B38="on"),Skemaoplysninger!$I$31,"")</f>
        <v/>
      </c>
      <c r="CG38" s="210" t="str">
        <f>IF(AND(C38="Skema 1",B38="to"),Skemaoplysninger!$K$31,"")</f>
        <v/>
      </c>
      <c r="CH38" s="210" t="str">
        <f>IF(AND(C38="Skema 1",B38="fr"),Skemaoplysninger!$M$31,"")</f>
        <v/>
      </c>
      <c r="CI38" s="210" t="str">
        <f>IF(AND(C38="Skema 2",B38="ma"),Skemaoplysninger!$S$31,"")</f>
        <v/>
      </c>
      <c r="CJ38" s="210" t="str">
        <f>IF(AND(C38="Skema 2",B38="ti"),Skemaoplysninger!$U$31,"")</f>
        <v/>
      </c>
      <c r="CK38" s="210" t="str">
        <f>IF(AND(C38="Skema 2",B38="on"),Skemaoplysninger!$W$31,"")</f>
        <v/>
      </c>
      <c r="CL38" s="210" t="str">
        <f>IF(AND(C38="Skema 2",B38="to"),Skemaoplysninger!$Y$31,"")</f>
        <v/>
      </c>
      <c r="CM38" s="210" t="str">
        <f>IF(AND(C38="Skema 2",B38="fr"),Skemaoplysninger!$AA$31,"")</f>
        <v/>
      </c>
      <c r="CN38" s="210" t="str">
        <f>IF(AND(C38="Skema 3",B38="ma"),Skemaoplysninger!$AG$31,"")</f>
        <v/>
      </c>
      <c r="CO38" s="210" t="str">
        <f>IF(AND(C38="Skema 3",B38="ti"),Skemaoplysninger!$AI$31,"")</f>
        <v/>
      </c>
      <c r="CP38" s="210" t="str">
        <f>IF(AND(C38="Skema 3",B38="on"),Skemaoplysninger!$AK$31,"")</f>
        <v/>
      </c>
      <c r="CQ38" s="210" t="str">
        <f>IF(AND(C38="Skema 3",B38="to"),Skemaoplysninger!$AM$31,"")</f>
        <v/>
      </c>
      <c r="CR38" s="210" t="str">
        <f>IF(AND(C38="Skema 3",B38="fr"),Skemaoplysninger!$AO$31,"")</f>
        <v/>
      </c>
      <c r="CS38" s="210" t="str">
        <f>IF(AND(C38="Skema 4",B38="ma"),Skemaoplysninger!$AU$31,"")</f>
        <v/>
      </c>
      <c r="CT38" s="210" t="str">
        <f>IF(AND(C38="Skema 4",B38="ti"),Skemaoplysninger!$AW$31,"")</f>
        <v/>
      </c>
      <c r="CU38" s="210" t="str">
        <f>IF(AND(C38="Skema 4",B38="on"),Skemaoplysninger!$AY$31,"")</f>
        <v/>
      </c>
      <c r="CV38" s="210" t="str">
        <f>IF(AND(C38="Skema 4",B38="to"),Skemaoplysninger!$BA$31,"")</f>
        <v/>
      </c>
      <c r="CW38" s="210" t="str">
        <f>IF(AND(C38="Skema 4",B38="fr"),Skemaoplysninger!$BC$31,"")</f>
        <v/>
      </c>
      <c r="CX38" s="249">
        <f>IF(Stamoplysninger!$H$29="NEJ",SUM(CD38:CW38)*24+CB38+CC38,0)</f>
        <v>0</v>
      </c>
      <c r="CY38" s="249">
        <f>IF(C38="Skema 1",Stamoplysninger!$H$30/200,0)</f>
        <v>0</v>
      </c>
      <c r="CZ38" s="249">
        <f>IF(C38="Skema 2",Stamoplysninger!$H$30/200,0)</f>
        <v>0</v>
      </c>
      <c r="DA38" s="249">
        <f>IF(C38="Skema 3",Stamoplysninger!$H$30/200,0)</f>
        <v>0</v>
      </c>
      <c r="DB38" s="249">
        <f>IF(C38="Skema 4",Stamoplysninger!$H$30/200,0)</f>
        <v>0</v>
      </c>
      <c r="DC38" s="249">
        <f>IF(C38="fagdag",Stamoplysninger!$H$30/200,0)</f>
        <v>0</v>
      </c>
      <c r="DD38" s="249">
        <f>IF(C38="emnedag",Stamoplysninger!$H$30/200,0)</f>
        <v>0</v>
      </c>
      <c r="DE38" s="249">
        <f>IF(C38="lejrskole",Stamoplysninger!$H$30/200,0)</f>
        <v>0</v>
      </c>
      <c r="DF38" s="249">
        <f>IF(C38="ekskursion",Stamoplysninger!$H$30/200,0)</f>
        <v>0</v>
      </c>
      <c r="DG38" s="249">
        <f t="shared" si="26"/>
        <v>0</v>
      </c>
      <c r="DH38" t="str">
        <f t="shared" si="27"/>
        <v/>
      </c>
      <c r="DI38">
        <f t="shared" si="28"/>
        <v>0</v>
      </c>
      <c r="DJ38">
        <f t="shared" si="29"/>
        <v>0</v>
      </c>
      <c r="DK38" t="str">
        <f t="shared" si="14"/>
        <v/>
      </c>
      <c r="DL38" t="str">
        <f t="shared" si="14"/>
        <v/>
      </c>
      <c r="DM38" t="str">
        <f t="shared" si="14"/>
        <v/>
      </c>
      <c r="DN38" t="str">
        <f t="shared" si="30"/>
        <v/>
      </c>
      <c r="DO38" s="652">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71">
        <f>IF(AND(Stamoplysninger!$B$22="Ulempetillæg udbetales med 25% af nettotimelønnen.",C38="ikke relevant"),(R38)/4,0)</f>
        <v>0</v>
      </c>
      <c r="DT38" s="671">
        <f>IF(AND(AND(Stamoplysninger!$B$22="Ulempetillæg udbetales med 25% af nettotimelønnen.",I38="X",C38="Ikke relevant")),K38/4,0)</f>
        <v>0</v>
      </c>
      <c r="DU38" s="671">
        <f>IF(AND(AND(Stamoplysninger!$B$22="Ulempetillæg udbetales med 25% af nettotimelønnen.",C38="ikke relevant",U38="X")),(X38/4),0)</f>
        <v>0</v>
      </c>
      <c r="DV38" s="672">
        <f>IF(AND(AND(AND(Stamoplysninger!$B$22="Ulempetillæg udbetales med 25% af nettotimelønnen.",I38="X",C38="Ikke relevant",U38="X"))),X38/4,0)</f>
        <v>0</v>
      </c>
      <c r="DW38" s="652"/>
      <c r="DZ38" s="671"/>
      <c r="EA38" s="671"/>
      <c r="EB38" s="672"/>
      <c r="EC38" s="652">
        <f>IF(Stamoplysninger!$B$22="Ulempetillæg afspadseres med 25%(Kræver en aftale imellem ledelsen og den ansatte)",(R38+X38)/4,0)</f>
        <v>0</v>
      </c>
      <c r="ED38">
        <f>IF(AND(Stamoplysninger!$B$22="Ulempetillæg afspadseres med 25%(Kræver en aftale imellem ledelsen og den ansatte)",I38="X"),K38/4,0)</f>
        <v>0</v>
      </c>
      <c r="EE38">
        <f>IF(AND(Stamoplysninger!$B$22="Ulempetillæg afspadseres med 25%(Kræver en aftale imellem ledelsen og den ansatte)",I38="X"),V38/4,0)</f>
        <v>0</v>
      </c>
      <c r="EF38">
        <f>IF(AND(AND(Stamoplysninger!$B$22="Ulempetillæg udbetales med 25% af nettotimelønnen.",AG38="X",W38="X")),AJ38/4,0)</f>
        <v>0</v>
      </c>
      <c r="EG38" s="671">
        <f>IF(AND(Stamoplysninger!$B$22="Ulempetillæg afspadseres med 25%(Kræver en aftale imellem ledelsen og den ansatte)",C38="ikke relevant"),(R38+X38)/4,0)</f>
        <v>0</v>
      </c>
      <c r="EH38" s="671">
        <f>IF(AND(AND(Stamoplysninger!$B$22="Ulempetillæg afspadseres med 25%(Kræver en aftale imellem ledelsen og den ansatte)",I38="X",C38="Ikke relevant")),K38/4,0)</f>
        <v>0</v>
      </c>
      <c r="EI38" s="671">
        <f>IF(AND(AND(Stamoplysninger!$B$22="Ulempetillæg afspadseres med 25%(Kræver en aftale imellem ledelsen og den ansatte)",I38="X",C38="Ikke relevant")),V38/4,0)</f>
        <v>0</v>
      </c>
      <c r="EJ38" s="671">
        <f>IF(AND(AND(Stamoplysninger!$B$22="Ulempetillæg afspadseres med 25%(Kræver en aftale imellem ledelsen og den ansatte)",J38="X",D38="Ikke relevant")),W38/4,0)</f>
        <v>0</v>
      </c>
      <c r="EK38" s="283">
        <f>IF(AND(Stamoplysninger!$B$26="Weekendtimer og weekendtillæg afspadseres.",I38="X"),K38+V38,0)</f>
        <v>0</v>
      </c>
      <c r="EL38" s="251">
        <f>IF(AND(Stamoplysninger!$B$26="Weekendtimer og weekendtillæg afspadseres.",J38="X"),(L38+W38)/2,0)</f>
        <v>0</v>
      </c>
      <c r="EM38" s="674">
        <f>IF(AND(AND(Stamoplysninger!$B$26="Weekendtimer og weekendtillæg afspadseres.",I38="X",C38="ikke relevant")),K38+V38,0)</f>
        <v>0</v>
      </c>
      <c r="EN38" s="675">
        <f>IF(AND(AND(Stamoplysninger!$B$26="Weekendtimer og weekendtillæg afspadseres.",I38="X",C38="ikke relevant")),(K38+V38)/2,0)</f>
        <v>0</v>
      </c>
      <c r="EO38" s="283">
        <f>IF(AND(Stamoplysninger!$B$26="Weekendtimer og weekendtillæg udbetales.",I38="X"),K38+V38,0)</f>
        <v>0</v>
      </c>
      <c r="EP38" s="251">
        <f>IF(AND(Stamoplysninger!$B$26="Weekendtimer og weekendtillæg udbetales.",I38="X"),(K38+V38)/2,0)</f>
        <v>0</v>
      </c>
      <c r="EQ38" s="674">
        <f>IF(AND(AND(Stamoplysninger!$B$26="Weekendtimer og weekendtillæg udbetales.",I38="X",C38="ikke relevant")),K38+V38,0)</f>
        <v>0</v>
      </c>
      <c r="ER38" s="675">
        <f>IF(AND(AND(Stamoplysninger!$B$26="Weekendtimer og weekendtillæg udbetales.",I38="X",C38="ikke relevant")),(K38+V38)/2,0)</f>
        <v>0</v>
      </c>
      <c r="ES38" s="283">
        <f>IF(AND(Stamoplysninger!$B$26="Weekendtimer og weekendtillæg udbetales.",M38="X"),O38+Z38,0)</f>
        <v>0</v>
      </c>
      <c r="ET38" s="251">
        <f>IF(AND(Stamoplysninger!$B$26="Weekendtimer og weekendtillæg udbetales.",M38="X"),(O38+Z38)/2,0)</f>
        <v>0</v>
      </c>
      <c r="EU38" s="674">
        <f>IF(AND(AND(Stamoplysninger!$B$26="Weekendtimer og weekendtillæg udbetales.",M38="X",G38="ikke relevant")),O38+Z38,0)</f>
        <v>0</v>
      </c>
      <c r="EV38" s="675">
        <f>IF(AND(AND(Stamoplysninger!$B$26="Weekendtimer og weekendtillæg udbetales.",M38="X",G38="ikke relevant")),(O38+Z38)/2,0)</f>
        <v>0</v>
      </c>
      <c r="EW38" s="283">
        <f>IF(AND(Stamoplysninger!$B$26="Der er indgået lokalaftale omkring weekendtimer(Kræver aftale med TR/FSL). Weekendtillæg udbetales.",I38="X"),K38*0.5,0)</f>
        <v>0</v>
      </c>
      <c r="EX38" s="251">
        <f>IF(AND(AND(Stamoplysninger!$B$26="Der er indgået lokalaftale omkring weekendtimer(Kræver aftale med TR/FSL). Weekendtillæg udbetales.",I38="X",S38="X")),V38*0.5,0)</f>
        <v>0</v>
      </c>
      <c r="EY38" s="674">
        <f>IF(AND(AND(Stamoplysninger!$B$26="Der er indgået lokalaftale omkring weekendtimer(Kræver aftale med TR/FSL). Weekendtillæg udbetales.",I38="X",C38="ikke relevant")),K38*0.5,0)</f>
        <v>0</v>
      </c>
      <c r="EZ38" s="675">
        <f>IF(AND(AND(AND(Stamoplysninger!$B$26="Der er indgået lokalaftale omkring weekendtimer(Kræver aftale med TR/FSL). Weekendtillæg udbetales.",I38="X",C38="ikke relevant",S38="X"))),(V38*0.5),0)</f>
        <v>0</v>
      </c>
      <c r="FA38" s="283">
        <f>IF(AND(Stamoplysninger!$B$26="Der er indgået lokalaftale omkring weekendtimer(Kræver aftale med TR/FSL). Weekendtillæg udbetales.",M38="X"),O38*0.5,0)</f>
        <v>0</v>
      </c>
      <c r="FB38" s="251">
        <f>IF(AND(AND(Stamoplysninger!$B$26="Der er indgået lokalaftale omkring weekendtimer(Kræver aftale med TR/FSL). Weekendtillæg udbetales.",M38="X",W38="X")),Z38*0.5,0)</f>
        <v>0</v>
      </c>
      <c r="FC38" s="674">
        <f>IF(AND(AND(Stamoplysninger!$B$26="Der er indgået lokalaftale omkring weekendtimer(Kræver aftale med TR/FSL). Weekendtillæg udbetales.",M38="X",G38="ikke relevant")),O38*0.5,0)</f>
        <v>0</v>
      </c>
      <c r="FD38" s="675">
        <f>IF(AND(AND(AND(Stamoplysninger!$B$26="Der er indgået lokalaftale omkring weekendtimer(Kræver aftale med TR/FSL). Weekendtillæg udbetales.",M38="X",G38="ikke relevant",W38="X"))),(Z38*0.5),0)</f>
        <v>0</v>
      </c>
      <c r="FE38" s="283">
        <f>IF(AND(Stamoplysninger!$B$26="Der er indgået lokalaftale omkring weekendtimer(Kræver aftale med TR/FSL). Weekendtillæg udbetales.",Q38="X"),S38*0.5,0)</f>
        <v>0</v>
      </c>
      <c r="FF38" s="251">
        <f>IF(AND(AND(Stamoplysninger!$B$26="Der er indgået lokalaftale omkring weekendtimer(Kræver aftale med TR/FSL). Weekendtillæg udbetales.",Q38="X",AA38="X")),AD38*0.5,0)</f>
        <v>0</v>
      </c>
      <c r="FG38" s="674">
        <f>IF(AND(AND(Stamoplysninger!$B$26="Der er indgået lokalaftale omkring weekendtimer(Kræver aftale med TR/FSL). Weekendtillæg udbetales.",Q38="X",K38="ikke relevant")),S38*0.5,0)</f>
        <v>0</v>
      </c>
      <c r="FH38" s="675">
        <f>IF(AND(AND(AND(Stamoplysninger!$B$26="Der er indgået lokalaftale omkring weekendtimer(Kræver aftale med TR/FSL). Weekendtillæg udbetales.",Q38="X",K38="ikke relevant",AA38="X"))),(AD38*0.5),0)</f>
        <v>0</v>
      </c>
      <c r="FI38" s="283">
        <f>IF(AND(Stamoplysninger!$B$26="Weekendtimer og weekendtillæg afspadseres.",I38="X"),K38,0)</f>
        <v>0</v>
      </c>
      <c r="FJ38" s="251">
        <f>IF(AND(Stamoplysninger!$B$26="Weekendtimer og weekendtillæg afspadseres.",Y38="X"),(AA38+AL38)/2,0)</f>
        <v>0</v>
      </c>
      <c r="FK38" s="674">
        <f>IF(AND(AND(Stamoplysninger!$B$26="Weekendtimer og weekendtillæg afspadseres.",I38="X",C38="ikke relevant")),K38,0)</f>
        <v>0</v>
      </c>
      <c r="FL38" s="675">
        <f>IF(AND(AND(Stamoplysninger!$B$26="Weekendtimer og weekendtillæg afspadseres.",Y38="X",S38="ikke relevant")),(AA38+AL38)/2,0)</f>
        <v>0</v>
      </c>
      <c r="FM38" s="283">
        <f>IF(AND(Stamoplysninger!$B$26="Der er indgået lokalaftale omkring weekendtillæg(Kræver aftale med TR/FSL). Weekendtimerne afspadseres.",I38="X"),K38,0)</f>
        <v>0</v>
      </c>
      <c r="FN38" s="674">
        <f>IF(AND(AND(Stamoplysninger!$B$26="Der er indgået lokalaftale omkring weekendtillæg(Kræver aftale med TR/FSL). Weekendtimerne afspadseres.",I38="X",C38="ikke relevant")),K38,0)</f>
        <v>0</v>
      </c>
      <c r="FO38" s="283">
        <f>IF(AND(Stamoplysninger!$B$26="Weekendtimer og weekendtillæg udbetales.",I38="X"),K38,0)</f>
        <v>0</v>
      </c>
      <c r="FP38" s="251">
        <f>IF(AND(Stamoplysninger!$B$26="Weekendtimer og weekendtillæg udbetales.",AA38="X"),(AC38+AN38)/2,0)</f>
        <v>0</v>
      </c>
      <c r="FQ38" s="674">
        <f>IF(AND(AND(Stamoplysninger!$B$26="Weekendtimer og weekendtillæg udbetales.",I38="X",C38="ikke relevant")),K38,0)</f>
        <v>0</v>
      </c>
      <c r="FR38" s="688">
        <f>IF(AND(AND(Stamoplysninger!$B$26="Weekendtimer og weekendtillæg udbetales.",AA38="X",U38="ikke relevant")),(AC38+AN38)/2,0)</f>
        <v>0</v>
      </c>
      <c r="FS38" s="283">
        <f>IF(AND(I38="X",S38="X"),V38,0)</f>
        <v>0</v>
      </c>
      <c r="FT38" s="658">
        <f>IF(AND(AND(C38="ikke relevant",I38="X",S38="X")),V38,0)</f>
        <v>0</v>
      </c>
      <c r="FU38">
        <f t="shared" si="31"/>
        <v>0</v>
      </c>
      <c r="FV38" s="283">
        <f>IF(AND(Stamoplysninger!$B$26="Der er indgået lokalaftale omkring weekendtimer.(Kræver aftale med TR/FSL) Weekendtillæg afspadseres.",I38="X"),K38,0)</f>
        <v>0</v>
      </c>
      <c r="FW38" s="674">
        <f>IF(AND(AND(Stamoplysninger!$B$26="Der er indgået lokalaftale omkring weekendtimer.(Kræver aftale med TR/FSL) Weekendtillæg afspadseres.",I38="X",C38="ikke relevant")),K38,0)</f>
        <v>0</v>
      </c>
      <c r="FX38" s="283">
        <f>IF(AND(Stamoplysninger!$B$26="Der er indgået lokalaftale omkring weekendtimer(Kræver aftale med TR/FSL). Weekendtillæg udbetales.",I38="X"),K38,0)</f>
        <v>0</v>
      </c>
      <c r="FY38" s="674">
        <f>IF(AND(AND(Stamoplysninger!$B$26="Der er indgået lokalaftale omkring weekendtimer(Kræver aftale med TR/FSL). Weekendtillæg udbetales.",I38="X",C38="ikke relevant")),K38,0)</f>
        <v>0</v>
      </c>
      <c r="FZ38" s="283">
        <f>IF(AND(Stamoplysninger!$B$26="Der er indgået lokalaftale omkring weekendtillæg(Kræver aftale med TR/FSL). Weekendtimerne udbetales.",I38="X"),K38,0)</f>
        <v>0</v>
      </c>
      <c r="GA38" s="674">
        <f>IF(AND(AND(Stamoplysninger!$B$26="Der er indgået lokalaftale omkring weekendtillæg(Kræver aftale med TR/FSL). Weekendtimerne udbetales.",I38="X",C38="ikke relevant")),K38,0)</f>
        <v>0</v>
      </c>
      <c r="GB38" s="283">
        <f>IF(AND(Stamoplysninger!$B$26="Der er indgået lokalaftale omkring weekendtimer og weekendtillæg.(Kræver aftale med TR/FSL).",I38="X"),K38,0)</f>
        <v>0</v>
      </c>
      <c r="GC38" s="674">
        <f>IF(AND(AND(Stamoplysninger!$B$26="Der er indgået lokalaftale omkring weekendtimer og weekendtillæg.(Kræver aftale med TR/FSL).",I38="X",C38="ikke relevant")),K38,0)</f>
        <v>0</v>
      </c>
    </row>
    <row r="39" spans="1:185" ht="17" thickBot="1">
      <c r="A39" s="245">
        <f>IF(ISNUMBER(A38),A38+1,1)</f>
        <v>31</v>
      </c>
      <c r="B39" s="128" t="str">
        <f t="shared" si="0"/>
        <v>ti</v>
      </c>
      <c r="C39" s="129" t="s">
        <v>128</v>
      </c>
      <c r="D39" s="130" t="str">
        <f t="shared" si="1"/>
        <v/>
      </c>
      <c r="E39" s="949" t="s">
        <v>129</v>
      </c>
      <c r="F39" s="950"/>
      <c r="G39" s="951"/>
      <c r="H39" s="297"/>
      <c r="I39" s="527"/>
      <c r="J39" s="413"/>
      <c r="K39" s="380"/>
      <c r="L39" s="380"/>
      <c r="M39" s="380"/>
      <c r="N39" s="318">
        <f t="shared" si="19"/>
        <v>0</v>
      </c>
      <c r="O39" s="318">
        <f t="shared" si="20"/>
        <v>0</v>
      </c>
      <c r="P39" s="318">
        <f>IF(Stamoplysninger!$H$29="JA",December!DG39,CX39)</f>
        <v>0</v>
      </c>
      <c r="Q39" s="318">
        <f t="shared" si="21"/>
        <v>0</v>
      </c>
      <c r="R39" s="319"/>
      <c r="S39" s="324"/>
      <c r="T39" s="325"/>
      <c r="U39" s="214"/>
      <c r="V39" s="435"/>
      <c r="W39" s="412"/>
      <c r="X39" s="643"/>
      <c r="Y39">
        <f t="shared" si="22"/>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1",B39="ma"),Arbejdstidsoversigt!$E$72,"")</f>
        <v/>
      </c>
      <c r="AH39" t="str">
        <f>IF(AND(C39="Skema 1",B39="ti"),Arbejdstidsoversigt!$E$73,"")</f>
        <v/>
      </c>
      <c r="AI39" t="str">
        <f>IF(AND(C39="Skema 1",B39="on"),Arbejdstidsoversigt!$E$74,"")</f>
        <v/>
      </c>
      <c r="AJ39" t="str">
        <f>IF(AND(C39="Skema 1",B39="to"),Arbejdstidsoversigt!$E$75,"")</f>
        <v/>
      </c>
      <c r="AK39" t="str">
        <f>IF(AND(C39="Skema 1",B39="fr"),Arbejdstidsoversigt!$E$76,"")</f>
        <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23"/>
        <v>0</v>
      </c>
      <c r="BB39" s="229">
        <f t="shared" si="8"/>
        <v>0</v>
      </c>
      <c r="BC39" s="1">
        <f t="shared" si="24"/>
        <v>0</v>
      </c>
      <c r="BD39" s="1">
        <f t="shared" si="9"/>
        <v>0</v>
      </c>
      <c r="BE39" s="1">
        <f t="shared" si="10"/>
        <v>0</v>
      </c>
      <c r="BF39" s="1">
        <f t="shared" si="11"/>
        <v>0</v>
      </c>
      <c r="BG39" s="210" t="str">
        <f>IF(AND(C39="Skema 1",B39="ma"),Skemaoplysninger!$E$30,"")</f>
        <v/>
      </c>
      <c r="BH39" s="210" t="str">
        <f>IF(AND(C39="Skema 1",B39="ti"),Skemaoplysninger!$G$30,"")</f>
        <v/>
      </c>
      <c r="BI39" s="210" t="str">
        <f>IF(AND(C39="Skema 1",B39="on"),Skemaoplysninger!$I$30,"")</f>
        <v/>
      </c>
      <c r="BJ39" s="210" t="str">
        <f>IF(AND(C39="Skema 1",B39="to"),Skemaoplysninger!$K$30,"")</f>
        <v/>
      </c>
      <c r="BK39" s="210" t="str">
        <f>IF(AND(C39="Skema 1",B39="fr"),Skemaoplysninger!$M$30,"")</f>
        <v/>
      </c>
      <c r="BL39" s="210" t="str">
        <f>IF(AND(C39="Skema 2",B39="ma"),Skemaoplysninger!$S$30,"")</f>
        <v/>
      </c>
      <c r="BM39" s="210" t="str">
        <f>IF(AND(C39="Skema 2",B39="ti"),Skemaoplysninger!$U$30,"")</f>
        <v/>
      </c>
      <c r="BN39" s="210" t="str">
        <f>IF(AND(C39="Skema 2",B39="on"),Skemaoplysninger!$W$30,"")</f>
        <v/>
      </c>
      <c r="BO39" s="210" t="str">
        <f>IF(AND(C39="Skema 2",B39="to"),Skemaoplysninger!$Y$30,"")</f>
        <v/>
      </c>
      <c r="BP39" s="210" t="str">
        <f>IF(AND(C39="Skema 2",B39="fr"),Skemaoplysninger!$AA$30,"")</f>
        <v/>
      </c>
      <c r="BQ39" s="210" t="str">
        <f>IF(AND(C39="Skema 3",B39="ma"),Skemaoplysninger!$AG$30,"")</f>
        <v/>
      </c>
      <c r="BR39" s="210" t="str">
        <f>IF(AND(C39="Skema 3",B39="ti"),Skemaoplysninger!$AI$30,"")</f>
        <v/>
      </c>
      <c r="BS39" s="210" t="str">
        <f>IF(AND(C39="Skema 3",B39="on"),Skemaoplysninger!$AK$30,"")</f>
        <v/>
      </c>
      <c r="BT39" s="210" t="str">
        <f>IF(AND(C39="Skema 3",B39="to"),Skemaoplysninger!$AM$30,"")</f>
        <v/>
      </c>
      <c r="BU39" s="210" t="str">
        <f>IF(AND(C39="Skema 3",B39="fr"),Skemaoplysninger!$AO$30,"")</f>
        <v/>
      </c>
      <c r="BV39" s="210" t="str">
        <f>IF(AND(C39="Skema 4",B39="ma"),Skemaoplysninger!$AU$30,"")</f>
        <v/>
      </c>
      <c r="BW39" s="210" t="str">
        <f>IF(AND(C39="Skema 4",B39="ti"),Skemaoplysninger!$AW$30,"")</f>
        <v/>
      </c>
      <c r="BX39" s="210" t="str">
        <f>IF(AND(C39="Skema 4",B39="on"),Skemaoplysninger!$AY$30,"")</f>
        <v/>
      </c>
      <c r="BY39" s="210" t="str">
        <f>IF(AND(C39="Skema 4",B39="to"),Skemaoplysninger!$BA$30,"")</f>
        <v/>
      </c>
      <c r="BZ39" s="210" t="str">
        <f>IF(AND(C39="Skema 4",B39="fr"),Skemaoplysninger!$BC$30,"")</f>
        <v/>
      </c>
      <c r="CA39" s="1">
        <f t="shared" si="25"/>
        <v>0</v>
      </c>
      <c r="CB39" s="1">
        <f t="shared" si="12"/>
        <v>0</v>
      </c>
      <c r="CC39" s="1">
        <f t="shared" si="13"/>
        <v>0</v>
      </c>
      <c r="CD39" s="210" t="str">
        <f>IF(AND(C39="Skema 1",B39="ma"),Skemaoplysninger!$E$31,"")</f>
        <v/>
      </c>
      <c r="CE39" s="210" t="str">
        <f>IF(AND(C39="Skema 1",B39="ti"),Skemaoplysninger!$G$31,"")</f>
        <v/>
      </c>
      <c r="CF39" s="210" t="str">
        <f>IF(AND(C39="Skema 1",B39="on"),Skemaoplysninger!$I$31,"")</f>
        <v/>
      </c>
      <c r="CG39" s="210" t="str">
        <f>IF(AND(C39="Skema 1",B39="to"),Skemaoplysninger!$K$31,"")</f>
        <v/>
      </c>
      <c r="CH39" s="210" t="str">
        <f>IF(AND(C39="Skema 1",B39="fr"),Skemaoplysninger!$M$31,"")</f>
        <v/>
      </c>
      <c r="CI39" s="210" t="str">
        <f>IF(AND(C39="Skema 2",B39="ma"),Skemaoplysninger!$S$31,"")</f>
        <v/>
      </c>
      <c r="CJ39" s="210" t="str">
        <f>IF(AND(C39="Skema 2",B39="ti"),Skemaoplysninger!$U$31,"")</f>
        <v/>
      </c>
      <c r="CK39" s="210" t="str">
        <f>IF(AND(C39="Skema 2",B39="on"),Skemaoplysninger!$W$31,"")</f>
        <v/>
      </c>
      <c r="CL39" s="210" t="str">
        <f>IF(AND(C39="Skema 2",B39="to"),Skemaoplysninger!$Y$31,"")</f>
        <v/>
      </c>
      <c r="CM39" s="210" t="str">
        <f>IF(AND(C39="Skema 2",B39="fr"),Skemaoplysninger!$AA$31,"")</f>
        <v/>
      </c>
      <c r="CN39" s="210" t="str">
        <f>IF(AND(C39="Skema 3",B39="ma"),Skemaoplysninger!$AG$31,"")</f>
        <v/>
      </c>
      <c r="CO39" s="210" t="str">
        <f>IF(AND(C39="Skema 3",B39="ti"),Skemaoplysninger!$AI$31,"")</f>
        <v/>
      </c>
      <c r="CP39" s="210" t="str">
        <f>IF(AND(C39="Skema 3",B39="on"),Skemaoplysninger!$AK$31,"")</f>
        <v/>
      </c>
      <c r="CQ39" s="210" t="str">
        <f>IF(AND(C39="Skema 3",B39="to"),Skemaoplysninger!$AM$31,"")</f>
        <v/>
      </c>
      <c r="CR39" s="210" t="str">
        <f>IF(AND(C39="Skema 3",B39="fr"),Skemaoplysninger!$AO$31,"")</f>
        <v/>
      </c>
      <c r="CS39" s="210" t="str">
        <f>IF(AND(C39="Skema 4",B39="ma"),Skemaoplysninger!$AU$31,"")</f>
        <v/>
      </c>
      <c r="CT39" s="210" t="str">
        <f>IF(AND(C39="Skema 4",B39="ti"),Skemaoplysninger!$AW$31,"")</f>
        <v/>
      </c>
      <c r="CU39" s="210" t="str">
        <f>IF(AND(C39="Skema 4",B39="on"),Skemaoplysninger!$AY$31,"")</f>
        <v/>
      </c>
      <c r="CV39" s="210" t="str">
        <f>IF(AND(C39="Skema 4",B39="to"),Skemaoplysninger!$BA$31,"")</f>
        <v/>
      </c>
      <c r="CW39" s="210" t="str">
        <f>IF(AND(C39="Skema 4",B39="fr"),Skemaoplysninger!$BC$31,"")</f>
        <v/>
      </c>
      <c r="CX39" s="249">
        <f>IF(Stamoplysninger!$H$29="NEJ",SUM(CD39:CW39)*24+CB39+CC39,0)</f>
        <v>0</v>
      </c>
      <c r="CY39" s="249">
        <f>IF(C39="Skema 1",Stamoplysninger!$H$30/200,0)</f>
        <v>0</v>
      </c>
      <c r="CZ39" s="249">
        <f>IF(C39="Skema 2",Stamoplysninger!$H$30/200,0)</f>
        <v>0</v>
      </c>
      <c r="DA39" s="249">
        <f>IF(C39="Skema 3",Stamoplysninger!$H$30/200,0)</f>
        <v>0</v>
      </c>
      <c r="DB39" s="249">
        <f>IF(C39="Skema 4",Stamoplysninger!$H$30/200,0)</f>
        <v>0</v>
      </c>
      <c r="DC39" s="249">
        <f>IF(C39="fagdag",Stamoplysninger!$H$30/200,0)</f>
        <v>0</v>
      </c>
      <c r="DD39" s="249">
        <f>IF(C39="emnedag",Stamoplysninger!$H$30/200,0)</f>
        <v>0</v>
      </c>
      <c r="DE39" s="249">
        <f>IF(C39="lejrskole",Stamoplysninger!$H$30/200,0)</f>
        <v>0</v>
      </c>
      <c r="DF39" s="249">
        <f>IF(C39="ekskursion",Stamoplysninger!$H$30/200,0)</f>
        <v>0</v>
      </c>
      <c r="DG39" s="249">
        <f t="shared" si="26"/>
        <v>0</v>
      </c>
      <c r="DH39" t="str">
        <f>IF(AND(E39&gt;0,H39&gt;0),""&amp;E39&amp;" og "&amp;H39&amp;"","")</f>
        <v/>
      </c>
      <c r="DI39" t="str">
        <f>IF(H39="",E39,"")</f>
        <v>Nytårsaftensdag</v>
      </c>
      <c r="DJ39" t="str">
        <f>IF(E39="",H39,"")</f>
        <v/>
      </c>
      <c r="DK39" t="str">
        <f>IF(DH39=0,"",DH39)</f>
        <v/>
      </c>
      <c r="DL39" t="str">
        <f>IF(DI39=0,"",DI39)</f>
        <v>Nytårsaftensdag</v>
      </c>
      <c r="DM39" t="str">
        <f>IF(DJ39=0,"",DJ39)</f>
        <v/>
      </c>
      <c r="DN39" t="str">
        <f>DK39&amp;""&amp;DL39&amp;""&amp;DM39</f>
        <v>Nytårsaftensdag</v>
      </c>
      <c r="DO39" s="652">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71">
        <f>IF(AND(Stamoplysninger!$B$22="Ulempetillæg udbetales med 25% af nettotimelønnen.",C39="ikke relevant"),(R39)/4,0)</f>
        <v>0</v>
      </c>
      <c r="DT39" s="671">
        <f>IF(AND(AND(Stamoplysninger!$B$22="Ulempetillæg udbetales med 25% af nettotimelønnen.",I39="X",C39="Ikke relevant")),K39/4,0)</f>
        <v>0</v>
      </c>
      <c r="DU39" s="671">
        <f>IF(AND(AND(Stamoplysninger!$B$22="Ulempetillæg udbetales med 25% af nettotimelønnen.",C39="ikke relevant",U39="X")),(X39/4),0)</f>
        <v>0</v>
      </c>
      <c r="DV39" s="672">
        <f>IF(AND(AND(AND(Stamoplysninger!$B$22="Ulempetillæg udbetales med 25% af nettotimelønnen.",I39="X",C39="Ikke relevant",U39="X"))),X39/4,0)</f>
        <v>0</v>
      </c>
      <c r="DW39" s="652"/>
      <c r="DZ39" s="671"/>
      <c r="EA39" s="671"/>
      <c r="EB39" s="672"/>
      <c r="EC39" s="652">
        <f>IF(Stamoplysninger!$B$22="Ulempetillæg afspadseres med 25%(Kræver en aftale imellem ledelsen og den ansatte)",(R39+X39)/4,0)</f>
        <v>0</v>
      </c>
      <c r="ED39">
        <f>IF(AND(Stamoplysninger!$B$22="Ulempetillæg afspadseres med 25%(Kræver en aftale imellem ledelsen og den ansatte)",I39="X"),K39/4,0)</f>
        <v>0</v>
      </c>
      <c r="EE39">
        <f>IF(AND(Stamoplysninger!$B$22="Ulempetillæg afspadseres med 25%(Kræver en aftale imellem ledelsen og den ansatte)",I39="X"),V39/4,0)</f>
        <v>0</v>
      </c>
      <c r="EF39">
        <f>IF(AND(AND(Stamoplysninger!$B$22="Ulempetillæg udbetales med 25% af nettotimelønnen.",AG39="X",W39="X")),AJ39/4,0)</f>
        <v>0</v>
      </c>
      <c r="EG39" s="671">
        <f>IF(AND(Stamoplysninger!$B$22="Ulempetillæg afspadseres med 25%(Kræver en aftale imellem ledelsen og den ansatte)",C39="ikke relevant"),(R39+X39)/4,0)</f>
        <v>0</v>
      </c>
      <c r="EH39" s="671">
        <f>IF(AND(AND(Stamoplysninger!$B$22="Ulempetillæg afspadseres med 25%(Kræver en aftale imellem ledelsen og den ansatte)",I39="X",C39="Ikke relevant")),K39/4,0)</f>
        <v>0</v>
      </c>
      <c r="EI39" s="671">
        <f>IF(AND(AND(Stamoplysninger!$B$22="Ulempetillæg afspadseres med 25%(Kræver en aftale imellem ledelsen og den ansatte)",I39="X",C39="Ikke relevant")),V39/4,0)</f>
        <v>0</v>
      </c>
      <c r="EJ39" s="671">
        <f>IF(AND(AND(Stamoplysninger!$B$22="Ulempetillæg afspadseres med 25%(Kræver en aftale imellem ledelsen og den ansatte)",J39="X",D39="Ikke relevant")),W39/4,0)</f>
        <v>0</v>
      </c>
      <c r="EK39" s="283">
        <f>IF(AND(Stamoplysninger!$B$26="Weekendtimer og weekendtillæg afspadseres.",I39="X"),K39+V39,0)</f>
        <v>0</v>
      </c>
      <c r="EL39" s="251">
        <f>IF(AND(Stamoplysninger!$B$26="Weekendtimer og weekendtillæg afspadseres.",J39="X"),(L39+W39)/2,0)</f>
        <v>0</v>
      </c>
      <c r="EM39" s="674">
        <f>IF(AND(AND(Stamoplysninger!$B$26="Weekendtimer og weekendtillæg afspadseres.",I39="X",C39="ikke relevant")),K39+V39,0)</f>
        <v>0</v>
      </c>
      <c r="EN39" s="675">
        <f>IF(AND(AND(Stamoplysninger!$B$26="Weekendtimer og weekendtillæg afspadseres.",I39="X",C39="ikke relevant")),(K39+V39)/2,0)</f>
        <v>0</v>
      </c>
      <c r="EO39" s="283">
        <f>IF(AND(Stamoplysninger!$B$26="Weekendtimer og weekendtillæg udbetales.",I39="X"),K39+V39,0)</f>
        <v>0</v>
      </c>
      <c r="EP39" s="251">
        <f>IF(AND(Stamoplysninger!$B$26="Weekendtimer og weekendtillæg udbetales.",I39="X"),(K39+V39)/2,0)</f>
        <v>0</v>
      </c>
      <c r="EQ39" s="674">
        <f>IF(AND(AND(Stamoplysninger!$B$26="Weekendtimer og weekendtillæg udbetales.",I39="X",C39="ikke relevant")),K39+V39,0)</f>
        <v>0</v>
      </c>
      <c r="ER39" s="675">
        <f>IF(AND(AND(Stamoplysninger!$B$26="Weekendtimer og weekendtillæg udbetales.",I39="X",C39="ikke relevant")),(K39+V39)/2,0)</f>
        <v>0</v>
      </c>
      <c r="ES39" s="283">
        <f>IF(AND(Stamoplysninger!$B$26="Weekendtimer og weekendtillæg udbetales.",M39="X"),O39+Z39,0)</f>
        <v>0</v>
      </c>
      <c r="ET39" s="251">
        <f>IF(AND(Stamoplysninger!$B$26="Weekendtimer og weekendtillæg udbetales.",M39="X"),(O39+Z39)/2,0)</f>
        <v>0</v>
      </c>
      <c r="EU39" s="674">
        <f>IF(AND(AND(Stamoplysninger!$B$26="Weekendtimer og weekendtillæg udbetales.",M39="X",G39="ikke relevant")),O39+Z39,0)</f>
        <v>0</v>
      </c>
      <c r="EV39" s="675">
        <f>IF(AND(AND(Stamoplysninger!$B$26="Weekendtimer og weekendtillæg udbetales.",M39="X",G39="ikke relevant")),(O39+Z39)/2,0)</f>
        <v>0</v>
      </c>
      <c r="EW39" s="283">
        <f>IF(AND(Stamoplysninger!$B$26="Der er indgået lokalaftale omkring weekendtimer(Kræver aftale med TR/FSL). Weekendtillæg udbetales.",I39="X"),K39*0.5,0)</f>
        <v>0</v>
      </c>
      <c r="EX39" s="251">
        <f>IF(AND(AND(Stamoplysninger!$B$26="Der er indgået lokalaftale omkring weekendtimer(Kræver aftale med TR/FSL). Weekendtillæg udbetales.",I39="X",S39="X")),V39*0.5,0)</f>
        <v>0</v>
      </c>
      <c r="EY39" s="674">
        <f>IF(AND(AND(Stamoplysninger!$B$26="Der er indgået lokalaftale omkring weekendtimer(Kræver aftale med TR/FSL). Weekendtillæg udbetales.",I39="X",C39="ikke relevant")),K39*0.5,0)</f>
        <v>0</v>
      </c>
      <c r="EZ39" s="675">
        <f>IF(AND(AND(AND(Stamoplysninger!$B$26="Der er indgået lokalaftale omkring weekendtimer(Kræver aftale med TR/FSL). Weekendtillæg udbetales.",I39="X",C39="ikke relevant",S39="X"))),(V39*0.5),0)</f>
        <v>0</v>
      </c>
      <c r="FA39" s="283">
        <f>IF(AND(Stamoplysninger!$B$26="Der er indgået lokalaftale omkring weekendtimer(Kræver aftale med TR/FSL). Weekendtillæg udbetales.",M39="X"),O39*0.5,0)</f>
        <v>0</v>
      </c>
      <c r="FB39" s="251">
        <f>IF(AND(AND(Stamoplysninger!$B$26="Der er indgået lokalaftale omkring weekendtimer(Kræver aftale med TR/FSL). Weekendtillæg udbetales.",M39="X",W39="X")),Z39*0.5,0)</f>
        <v>0</v>
      </c>
      <c r="FC39" s="674">
        <f>IF(AND(AND(Stamoplysninger!$B$26="Der er indgået lokalaftale omkring weekendtimer(Kræver aftale med TR/FSL). Weekendtillæg udbetales.",M39="X",G39="ikke relevant")),O39*0.5,0)</f>
        <v>0</v>
      </c>
      <c r="FD39" s="675">
        <f>IF(AND(AND(AND(Stamoplysninger!$B$26="Der er indgået lokalaftale omkring weekendtimer(Kræver aftale med TR/FSL). Weekendtillæg udbetales.",M39="X",G39="ikke relevant",W39="X"))),(Z39*0.5),0)</f>
        <v>0</v>
      </c>
      <c r="FE39" s="283">
        <f>IF(AND(Stamoplysninger!$B$26="Der er indgået lokalaftale omkring weekendtimer(Kræver aftale med TR/FSL). Weekendtillæg udbetales.",Q39="X"),S39*0.5,0)</f>
        <v>0</v>
      </c>
      <c r="FF39" s="251">
        <f>IF(AND(AND(Stamoplysninger!$B$26="Der er indgået lokalaftale omkring weekendtimer(Kræver aftale med TR/FSL). Weekendtillæg udbetales.",Q39="X",AA39="X")),AD39*0.5,0)</f>
        <v>0</v>
      </c>
      <c r="FG39" s="674">
        <f>IF(AND(AND(Stamoplysninger!$B$26="Der er indgået lokalaftale omkring weekendtimer(Kræver aftale med TR/FSL). Weekendtillæg udbetales.",Q39="X",K39="ikke relevant")),S39*0.5,0)</f>
        <v>0</v>
      </c>
      <c r="FH39" s="675">
        <f>IF(AND(AND(AND(Stamoplysninger!$B$26="Der er indgået lokalaftale omkring weekendtimer(Kræver aftale med TR/FSL). Weekendtillæg udbetales.",Q39="X",K39="ikke relevant",AA39="X"))),(AD39*0.5),0)</f>
        <v>0</v>
      </c>
      <c r="FI39" s="283">
        <f>IF(AND(Stamoplysninger!$B$26="Weekendtimer og weekendtillæg afspadseres.",I39="X"),K39,0)</f>
        <v>0</v>
      </c>
      <c r="FJ39" s="251">
        <f>IF(AND(Stamoplysninger!$B$26="Weekendtimer og weekendtillæg afspadseres.",Y39="X"),(AA39+AL39)/2,0)</f>
        <v>0</v>
      </c>
      <c r="FK39" s="674">
        <f>IF(AND(AND(Stamoplysninger!$B$26="Weekendtimer og weekendtillæg afspadseres.",I39="X",C39="ikke relevant")),K39,0)</f>
        <v>0</v>
      </c>
      <c r="FL39" s="675">
        <f>IF(AND(AND(Stamoplysninger!$B$26="Weekendtimer og weekendtillæg afspadseres.",Y39="X",S39="ikke relevant")),(AA39+AL39)/2,0)</f>
        <v>0</v>
      </c>
      <c r="FM39" s="283">
        <f>IF(AND(Stamoplysninger!$B$26="Der er indgået lokalaftale omkring weekendtillæg(Kræver aftale med TR/FSL). Weekendtimerne afspadseres.",I39="X"),K39,0)</f>
        <v>0</v>
      </c>
      <c r="FN39" s="674">
        <f>IF(AND(AND(Stamoplysninger!$B$26="Der er indgået lokalaftale omkring weekendtillæg(Kræver aftale med TR/FSL). Weekendtimerne afspadseres.",I39="X",C39="ikke relevant")),K39,0)</f>
        <v>0</v>
      </c>
      <c r="FO39" s="283">
        <f>IF(AND(Stamoplysninger!$B$26="Weekendtimer og weekendtillæg udbetales.",I39="X"),K39,0)</f>
        <v>0</v>
      </c>
      <c r="FP39" s="251">
        <f>IF(AND(Stamoplysninger!$B$26="Weekendtimer og weekendtillæg udbetales.",AA39="X"),(AC39+AN39)/2,0)</f>
        <v>0</v>
      </c>
      <c r="FQ39" s="674">
        <f>IF(AND(AND(Stamoplysninger!$B$26="Weekendtimer og weekendtillæg udbetales.",I39="X",C39="ikke relevant")),K39,0)</f>
        <v>0</v>
      </c>
      <c r="FR39" s="688">
        <f>IF(AND(AND(Stamoplysninger!$B$26="Weekendtimer og weekendtillæg udbetales.",AA39="X",U39="ikke relevant")),(AC39+AN39)/2,0)</f>
        <v>0</v>
      </c>
      <c r="FS39" s="283">
        <f>IF(AND(I39="X",S39="X"),V39,0)</f>
        <v>0</v>
      </c>
      <c r="FT39" s="658">
        <f>IF(AND(AND(C39="ikke relevant",I39="X",S39="X")),V39,0)</f>
        <v>0</v>
      </c>
      <c r="FU39">
        <f t="shared" si="31"/>
        <v>0</v>
      </c>
      <c r="FV39" s="283">
        <f>IF(AND(Stamoplysninger!$B$26="Der er indgået lokalaftale omkring weekendtimer.(Kræver aftale med TR/FSL) Weekendtillæg afspadseres.",I39="X"),K39,0)</f>
        <v>0</v>
      </c>
      <c r="FW39" s="674">
        <f>IF(AND(AND(Stamoplysninger!$B$26="Der er indgået lokalaftale omkring weekendtimer.(Kræver aftale med TR/FSL) Weekendtillæg afspadseres.",I39="X",C39="ikke relevant")),K39,0)</f>
        <v>0</v>
      </c>
      <c r="FX39" s="283">
        <f>IF(AND(Stamoplysninger!$B$26="Der er indgået lokalaftale omkring weekendtimer(Kræver aftale med TR/FSL). Weekendtillæg udbetales.",I39="X"),K39,0)</f>
        <v>0</v>
      </c>
      <c r="FY39" s="674">
        <f>IF(AND(AND(Stamoplysninger!$B$26="Der er indgået lokalaftale omkring weekendtimer(Kræver aftale med TR/FSL). Weekendtillæg udbetales.",I39="X",C39="ikke relevant")),K39,0)</f>
        <v>0</v>
      </c>
      <c r="FZ39" s="283">
        <f>IF(AND(Stamoplysninger!$B$26="Der er indgået lokalaftale omkring weekendtillæg(Kræver aftale med TR/FSL). Weekendtimerne udbetales.",I39="X"),K39,0)</f>
        <v>0</v>
      </c>
      <c r="GA39" s="674">
        <f>IF(AND(AND(Stamoplysninger!$B$26="Der er indgået lokalaftale omkring weekendtillæg(Kræver aftale med TR/FSL). Weekendtimerne udbetales.",I39="X",C39="ikke relevant")),K39,0)</f>
        <v>0</v>
      </c>
      <c r="GB39" s="283">
        <f>IF(AND(Stamoplysninger!$B$26="Der er indgået lokalaftale omkring weekendtimer og weekendtillæg.(Kræver aftale med TR/FSL).",I39="X"),K39,0)</f>
        <v>0</v>
      </c>
      <c r="GC39" s="674">
        <f>IF(AND(AND(Stamoplysninger!$B$26="Der er indgået lokalaftale omkring weekendtimer og weekendtillæg.(Kræver aftale med TR/FSL).",I39="X",C39="ikke relevant")),K39,0)</f>
        <v>0</v>
      </c>
    </row>
    <row r="40" spans="1:185" ht="17" thickBot="1">
      <c r="A40" s="972" t="s">
        <v>260</v>
      </c>
      <c r="B40" s="973"/>
      <c r="C40" s="973"/>
      <c r="D40" s="973"/>
      <c r="E40" s="973"/>
      <c r="F40" s="973"/>
      <c r="G40" s="973"/>
      <c r="H40" s="973"/>
      <c r="I40" s="974"/>
      <c r="J40" s="313"/>
      <c r="K40" s="321"/>
      <c r="L40" s="321"/>
      <c r="M40" s="321"/>
      <c r="N40" s="322">
        <f>SUM(N9:N39)</f>
        <v>112</v>
      </c>
      <c r="O40" s="322">
        <f>SUM(O9:O39)</f>
        <v>57.333333333333336</v>
      </c>
      <c r="P40" s="322">
        <f>SUM(P9:P39)</f>
        <v>19.166666666666664</v>
      </c>
      <c r="Q40" s="322">
        <f>SUM(Q9:Q39)</f>
        <v>35.5</v>
      </c>
      <c r="R40" s="32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4</v>
      </c>
      <c r="S40" s="432"/>
      <c r="T40" s="433"/>
      <c r="U40" s="433"/>
      <c r="V40" s="43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3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3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1">
        <f>SUM(Y9:Y39)</f>
        <v>0</v>
      </c>
      <c r="Z40" s="398">
        <f>Z9+Z10+Z11+Z12+Z13+Z14+Z15+Z16+Z17+Z18+Z19+Z20+Z21+Z22+Z23+Z24+Z25+Z26+Z27+Z28+Z29+Z30+Z31+Z32+Z33+Z34+Z35+Z36+Z37+Z38+Z39</f>
        <v>0</v>
      </c>
      <c r="AA40" s="235">
        <f t="shared" ref="AA40:AF40" si="32">SUM(AA9:AA39)</f>
        <v>11</v>
      </c>
      <c r="AB40" s="235">
        <f t="shared" si="32"/>
        <v>0</v>
      </c>
      <c r="AC40" s="235">
        <f t="shared" si="32"/>
        <v>0</v>
      </c>
      <c r="AD40" s="235">
        <f t="shared" si="32"/>
        <v>0</v>
      </c>
      <c r="AE40" s="235">
        <f t="shared" si="32"/>
        <v>0</v>
      </c>
      <c r="AF40" s="235">
        <f t="shared" si="32"/>
        <v>0</v>
      </c>
      <c r="BA40" s="1">
        <f>SUM(BA9:BA39)</f>
        <v>112</v>
      </c>
      <c r="BB40" s="112"/>
      <c r="BC40" s="235">
        <f>SUM(BC9:BC39)</f>
        <v>0</v>
      </c>
      <c r="BD40" s="235">
        <f>SUM(BD9:BD39)</f>
        <v>0</v>
      </c>
      <c r="BE40" s="235">
        <f>SUM(BE9:BE39)</f>
        <v>0</v>
      </c>
      <c r="BF40" s="235">
        <f>SUM(BF9:BF39)</f>
        <v>6</v>
      </c>
      <c r="CA40" s="235">
        <f>SUM(CA9:CA39)</f>
        <v>57.333333333333336</v>
      </c>
      <c r="CB40" s="235">
        <f>SUM(CB9:CB39)</f>
        <v>0</v>
      </c>
      <c r="CC40" s="235">
        <f>SUM(CC9:CC39)</f>
        <v>3.5</v>
      </c>
      <c r="CX40" s="249"/>
      <c r="CY40" s="249">
        <f t="shared" ref="CY40:DG40" si="33">SUM(CY9:CY39)</f>
        <v>0</v>
      </c>
      <c r="CZ40" s="249">
        <f t="shared" si="33"/>
        <v>0</v>
      </c>
      <c r="DA40" s="249">
        <f t="shared" si="33"/>
        <v>0</v>
      </c>
      <c r="DB40" s="249">
        <f t="shared" si="33"/>
        <v>0</v>
      </c>
      <c r="DC40" s="249">
        <f t="shared" si="33"/>
        <v>0</v>
      </c>
      <c r="DD40" s="249">
        <f t="shared" si="33"/>
        <v>0</v>
      </c>
      <c r="DE40" s="249">
        <f t="shared" si="33"/>
        <v>0</v>
      </c>
      <c r="DF40" s="249">
        <f t="shared" si="33"/>
        <v>0</v>
      </c>
      <c r="DG40" s="249">
        <f t="shared" si="33"/>
        <v>0</v>
      </c>
      <c r="DO40" s="669">
        <f>SUM(DO9:DO39)</f>
        <v>1</v>
      </c>
      <c r="DP40" s="670">
        <f t="shared" ref="DP40:GC40" si="34">SUM(DP9:DP39)</f>
        <v>0</v>
      </c>
      <c r="DQ40" s="670">
        <f t="shared" si="34"/>
        <v>0</v>
      </c>
      <c r="DR40" s="670">
        <f t="shared" si="34"/>
        <v>0</v>
      </c>
      <c r="DS40" s="673">
        <f t="shared" si="34"/>
        <v>0</v>
      </c>
      <c r="DT40" s="673">
        <f t="shared" si="34"/>
        <v>0</v>
      </c>
      <c r="DU40" s="670">
        <f t="shared" si="34"/>
        <v>0</v>
      </c>
      <c r="DV40" s="673">
        <f t="shared" si="34"/>
        <v>0</v>
      </c>
      <c r="DW40" s="669">
        <f t="shared" ref="DW40:EB40" si="35">SUM(DW9:DW39)</f>
        <v>0</v>
      </c>
      <c r="DX40" s="670">
        <f t="shared" si="35"/>
        <v>0</v>
      </c>
      <c r="DY40" s="670">
        <f t="shared" si="35"/>
        <v>0</v>
      </c>
      <c r="DZ40" s="673">
        <f t="shared" si="35"/>
        <v>0</v>
      </c>
      <c r="EA40" s="673">
        <f t="shared" si="35"/>
        <v>0</v>
      </c>
      <c r="EB40" s="673">
        <f t="shared" si="35"/>
        <v>0</v>
      </c>
      <c r="EC40" s="670">
        <f t="shared" si="34"/>
        <v>0</v>
      </c>
      <c r="ED40" s="670">
        <f t="shared" si="34"/>
        <v>0</v>
      </c>
      <c r="EE40" s="670">
        <f t="shared" si="34"/>
        <v>0</v>
      </c>
      <c r="EF40" s="670">
        <f t="shared" si="34"/>
        <v>0</v>
      </c>
      <c r="EG40" s="673">
        <f t="shared" si="34"/>
        <v>0</v>
      </c>
      <c r="EH40" s="673">
        <f t="shared" si="34"/>
        <v>0</v>
      </c>
      <c r="EI40" s="673">
        <f t="shared" si="34"/>
        <v>0</v>
      </c>
      <c r="EJ40" s="673">
        <f t="shared" si="34"/>
        <v>0</v>
      </c>
      <c r="EK40" s="670">
        <f t="shared" si="34"/>
        <v>0</v>
      </c>
      <c r="EL40" s="670">
        <f t="shared" si="34"/>
        <v>0</v>
      </c>
      <c r="EM40" s="673">
        <f t="shared" si="34"/>
        <v>0</v>
      </c>
      <c r="EN40" s="673">
        <f t="shared" si="34"/>
        <v>0</v>
      </c>
      <c r="EO40" s="670">
        <f t="shared" si="34"/>
        <v>0</v>
      </c>
      <c r="EP40" s="670">
        <f t="shared" si="34"/>
        <v>0</v>
      </c>
      <c r="EQ40" s="673">
        <f t="shared" si="34"/>
        <v>0</v>
      </c>
      <c r="ER40" s="676">
        <f t="shared" si="34"/>
        <v>0</v>
      </c>
      <c r="ES40" s="670">
        <f t="shared" si="34"/>
        <v>0</v>
      </c>
      <c r="ET40" s="670">
        <f t="shared" si="34"/>
        <v>0</v>
      </c>
      <c r="EU40" s="673">
        <f t="shared" si="34"/>
        <v>0</v>
      </c>
      <c r="EV40" s="676">
        <f t="shared" si="34"/>
        <v>0</v>
      </c>
      <c r="EW40" s="670">
        <f t="shared" si="34"/>
        <v>0</v>
      </c>
      <c r="EX40" s="670">
        <f t="shared" si="34"/>
        <v>0</v>
      </c>
      <c r="EY40" s="673">
        <f t="shared" si="34"/>
        <v>0</v>
      </c>
      <c r="EZ40" s="676">
        <f t="shared" si="34"/>
        <v>0</v>
      </c>
      <c r="FA40" s="670">
        <f t="shared" si="34"/>
        <v>0</v>
      </c>
      <c r="FB40" s="670">
        <f t="shared" si="34"/>
        <v>0</v>
      </c>
      <c r="FC40" s="673">
        <f t="shared" si="34"/>
        <v>0</v>
      </c>
      <c r="FD40" s="676">
        <f t="shared" si="34"/>
        <v>0</v>
      </c>
      <c r="FE40" s="670">
        <f t="shared" si="34"/>
        <v>0</v>
      </c>
      <c r="FF40" s="670">
        <f t="shared" si="34"/>
        <v>0</v>
      </c>
      <c r="FG40" s="673">
        <f t="shared" si="34"/>
        <v>0</v>
      </c>
      <c r="FH40" s="676">
        <f t="shared" si="34"/>
        <v>0</v>
      </c>
      <c r="FI40" s="685">
        <f t="shared" si="34"/>
        <v>0</v>
      </c>
      <c r="FJ40" s="670">
        <f t="shared" si="34"/>
        <v>0</v>
      </c>
      <c r="FK40" s="685">
        <f t="shared" si="34"/>
        <v>0</v>
      </c>
      <c r="FL40" s="673">
        <f t="shared" si="34"/>
        <v>0</v>
      </c>
      <c r="FM40" s="685">
        <f t="shared" si="34"/>
        <v>0</v>
      </c>
      <c r="FN40" s="685">
        <f t="shared" si="34"/>
        <v>0</v>
      </c>
      <c r="FO40" s="685">
        <f t="shared" si="34"/>
        <v>0</v>
      </c>
      <c r="FP40" s="670">
        <f t="shared" si="34"/>
        <v>0</v>
      </c>
      <c r="FQ40" s="685">
        <f t="shared" si="34"/>
        <v>0</v>
      </c>
      <c r="FR40" s="676">
        <f t="shared" si="34"/>
        <v>0</v>
      </c>
      <c r="FS40" s="689">
        <f t="shared" si="34"/>
        <v>0</v>
      </c>
      <c r="FT40" s="690">
        <f t="shared" si="34"/>
        <v>0</v>
      </c>
      <c r="FU40" s="690">
        <f t="shared" si="34"/>
        <v>0</v>
      </c>
      <c r="FV40" s="689">
        <f>SUM(FV9:FV39)</f>
        <v>0</v>
      </c>
      <c r="FW40" s="690">
        <f t="shared" si="34"/>
        <v>0</v>
      </c>
      <c r="FX40" s="689">
        <f t="shared" si="34"/>
        <v>0</v>
      </c>
      <c r="FY40" s="690">
        <f t="shared" si="34"/>
        <v>0</v>
      </c>
      <c r="FZ40" s="685">
        <f t="shared" si="34"/>
        <v>0</v>
      </c>
      <c r="GA40" s="685">
        <f t="shared" si="34"/>
        <v>0</v>
      </c>
      <c r="GB40" s="685">
        <f t="shared" si="34"/>
        <v>0</v>
      </c>
      <c r="GC40" s="685">
        <f t="shared" si="34"/>
        <v>0</v>
      </c>
    </row>
    <row r="41" spans="1:185" ht="26" thickBot="1">
      <c r="A41" s="232"/>
      <c r="B41" s="232"/>
      <c r="C41" s="232"/>
      <c r="D41" s="232"/>
      <c r="E41" s="232"/>
      <c r="F41" s="232"/>
      <c r="G41" s="232"/>
      <c r="H41" s="232"/>
      <c r="I41" s="232"/>
      <c r="J41" s="232"/>
      <c r="K41" s="239"/>
      <c r="L41" s="239"/>
      <c r="M41" s="239"/>
      <c r="N41" s="239"/>
      <c r="O41" s="239"/>
      <c r="P41" s="239"/>
      <c r="Q41" s="239"/>
      <c r="R41" s="239"/>
      <c r="S41" s="446"/>
      <c r="T41" s="446"/>
      <c r="U41" s="446"/>
      <c r="V41" s="446"/>
      <c r="W41" s="446"/>
      <c r="X41" s="446"/>
      <c r="Y41" s="235"/>
      <c r="Z41" s="211"/>
      <c r="AA41" s="235"/>
      <c r="AB41" s="211"/>
      <c r="AC41" s="211"/>
      <c r="AD41" s="235"/>
      <c r="AE41" s="235"/>
      <c r="AG41" s="235"/>
      <c r="BC41" s="235"/>
      <c r="BD41" s="235"/>
      <c r="BE41" s="235"/>
      <c r="BF41" s="235"/>
      <c r="BG41" s="112"/>
      <c r="CB41" s="235"/>
      <c r="CC41" s="235"/>
      <c r="CD41" s="112"/>
      <c r="CX41" s="248"/>
      <c r="CZ41"/>
    </row>
    <row r="42" spans="1:185" ht="70" customHeight="1">
      <c r="A42" s="958" t="str">
        <f>"Arbejdstid for "&amp;A7&amp;" måned:"</f>
        <v>Arbejdstid for December måned:</v>
      </c>
      <c r="B42" s="959"/>
      <c r="C42" s="959"/>
      <c r="D42" s="959"/>
      <c r="E42" s="959"/>
      <c r="F42" s="959"/>
      <c r="G42" s="959"/>
      <c r="H42" s="330" t="s">
        <v>255</v>
      </c>
      <c r="I42" s="959" t="s">
        <v>221</v>
      </c>
      <c r="J42" s="960"/>
      <c r="K42" s="961"/>
      <c r="L42" s="262"/>
      <c r="M42" s="1011" t="str">
        <f>"Ulempetimer og weekendtimer i "&amp;A5&amp;""</f>
        <v>Ulempetimer og weekendtimer i December måneds kalender for: Beate Simonsen. Måneden vedr. normperioden: 01.08.2024 - 31.07.2025.</v>
      </c>
      <c r="N42" s="989"/>
      <c r="O42" s="989"/>
      <c r="P42" s="989"/>
      <c r="Q42" s="989"/>
      <c r="R42" s="989"/>
      <c r="S42" s="989"/>
      <c r="T42" s="989"/>
      <c r="U42" s="989"/>
      <c r="V42" s="989"/>
      <c r="W42" s="989"/>
      <c r="X42" s="990"/>
      <c r="Y42" s="239"/>
      <c r="Z42" s="239"/>
      <c r="AD42" s="90"/>
      <c r="AE42" s="90"/>
      <c r="BM42" s="1"/>
      <c r="CJ42" s="1"/>
      <c r="CU42" s="248"/>
      <c r="CV42" s="248"/>
      <c r="CY42"/>
      <c r="CZ42"/>
    </row>
    <row r="43" spans="1:185">
      <c r="A43" s="962" t="s">
        <v>534</v>
      </c>
      <c r="B43" s="963"/>
      <c r="C43" s="963"/>
      <c r="D43" s="963"/>
      <c r="E43" s="963"/>
      <c r="F43" s="963"/>
      <c r="G43" s="963"/>
      <c r="H43" s="256">
        <f>D78</f>
        <v>22</v>
      </c>
      <c r="I43" s="975">
        <f>IF(Stamoplysninger!$E$12="Ja",1924/Arbejdstidsoversigt!$K$9*Stamoplysninger!$E$15*H43,H43*7.4*Stamoplysninger!$E$15)</f>
        <v>162.17624521072798</v>
      </c>
      <c r="J43" s="976"/>
      <c r="K43" s="977"/>
      <c r="L43" s="258"/>
      <c r="M43" s="1012" t="s">
        <v>497</v>
      </c>
      <c r="N43" s="1013"/>
      <c r="O43" s="1013"/>
      <c r="P43" s="1013"/>
      <c r="Q43" s="1013"/>
      <c r="R43" s="1013"/>
      <c r="S43" s="1013"/>
      <c r="T43" s="1013"/>
      <c r="U43" s="1014"/>
      <c r="V43" s="1093">
        <f>P65+P69+P72+P74</f>
        <v>1</v>
      </c>
      <c r="W43" s="1093"/>
      <c r="X43" s="1094"/>
      <c r="Y43" s="239"/>
      <c r="Z43" s="239"/>
      <c r="AD43" s="90"/>
      <c r="AE43" s="90"/>
      <c r="BM43" s="1"/>
      <c r="CJ43" s="1"/>
      <c r="CU43" s="248"/>
      <c r="CV43" s="248"/>
      <c r="CY43"/>
      <c r="CZ43"/>
    </row>
    <row r="44" spans="1:185">
      <c r="A44" s="962" t="str">
        <f>"Ferie "&amp;A7&amp;" måned"</f>
        <v>Ferie December måned</v>
      </c>
      <c r="B44" s="963"/>
      <c r="C44" s="963"/>
      <c r="D44" s="963"/>
      <c r="E44" s="963"/>
      <c r="F44" s="963"/>
      <c r="G44" s="963"/>
      <c r="H44" s="257" t="str">
        <f>IF(D73&gt;0,$D$73,"0")</f>
        <v>0</v>
      </c>
      <c r="I44" s="964">
        <f>H44*7.4*Stamoplysninger!$E$15</f>
        <v>0</v>
      </c>
      <c r="J44" s="965"/>
      <c r="K44" s="966"/>
      <c r="L44" s="258"/>
      <c r="M44" s="1018" t="s">
        <v>259</v>
      </c>
      <c r="N44" s="1019"/>
      <c r="O44" s="1019"/>
      <c r="P44" s="1019"/>
      <c r="Q44" s="1019"/>
      <c r="R44" s="1019"/>
      <c r="S44" s="1019"/>
      <c r="T44" s="1019"/>
      <c r="U44" s="1020"/>
      <c r="V44" s="1095">
        <f>Q66+Q68+Q71+Q73</f>
        <v>0</v>
      </c>
      <c r="W44" s="1095"/>
      <c r="X44" s="1096"/>
      <c r="Y44" s="239"/>
      <c r="Z44" s="239"/>
      <c r="AD44" s="90"/>
      <c r="AE44" s="90"/>
      <c r="BM44" s="1"/>
      <c r="CJ44" s="1"/>
      <c r="CU44" s="248"/>
      <c r="CV44" s="248"/>
      <c r="CY44"/>
      <c r="CZ44"/>
    </row>
    <row r="45" spans="1:185">
      <c r="A45" s="962" t="str">
        <f>"Søgnehelligdage i "&amp;A7&amp;" måned"</f>
        <v>Søgnehelligdage i December måned</v>
      </c>
      <c r="B45" s="963"/>
      <c r="C45" s="963"/>
      <c r="D45" s="963"/>
      <c r="E45" s="963"/>
      <c r="F45" s="963"/>
      <c r="G45" s="963"/>
      <c r="H45" s="257">
        <f>IF(D72&gt;0,D72,0)</f>
        <v>2</v>
      </c>
      <c r="I45" s="964">
        <f>H45*7.4*Stamoplysninger!$E$15</f>
        <v>14.8</v>
      </c>
      <c r="J45" s="965"/>
      <c r="K45" s="966"/>
      <c r="L45" s="387"/>
      <c r="M45" s="1128" t="s">
        <v>295</v>
      </c>
      <c r="N45" s="1129"/>
      <c r="O45" s="1129"/>
      <c r="P45" s="1129"/>
      <c r="Q45" s="1129"/>
      <c r="R45" s="1129"/>
      <c r="S45" s="1129"/>
      <c r="T45" s="1129"/>
      <c r="U45" s="1130"/>
      <c r="V45" s="1097">
        <f>November!V52</f>
        <v>0</v>
      </c>
      <c r="W45" s="1097"/>
      <c r="X45" s="1098"/>
      <c r="Y45" s="239"/>
      <c r="Z45" s="239"/>
      <c r="AD45" s="90"/>
      <c r="AE45" s="90"/>
      <c r="BM45" s="1"/>
      <c r="CJ45" s="1"/>
      <c r="CU45" s="248"/>
      <c r="CV45" s="248"/>
      <c r="CY45"/>
      <c r="CZ45"/>
    </row>
    <row r="46" spans="1:185">
      <c r="A46" s="962" t="str">
        <f>"Nettoarbejdstid ialt i "&amp;A7&amp;" måned"</f>
        <v>Nettoarbejdstid ialt i December måned</v>
      </c>
      <c r="B46" s="963"/>
      <c r="C46" s="963"/>
      <c r="D46" s="963"/>
      <c r="E46" s="963"/>
      <c r="F46" s="963"/>
      <c r="G46" s="963"/>
      <c r="H46" s="260">
        <f>H43-H44-H45</f>
        <v>20</v>
      </c>
      <c r="I46" s="964">
        <f>I43-I44-I45</f>
        <v>147.37624521072797</v>
      </c>
      <c r="J46" s="965"/>
      <c r="K46" s="966"/>
      <c r="L46" s="387"/>
      <c r="M46" s="1026" t="s">
        <v>302</v>
      </c>
      <c r="N46" s="1027"/>
      <c r="O46" s="1027"/>
      <c r="P46" s="1027"/>
      <c r="Q46" s="1027"/>
      <c r="R46" s="1027"/>
      <c r="S46" s="1027"/>
      <c r="T46" s="1027"/>
      <c r="U46" s="1028"/>
      <c r="V46" s="1101">
        <f>V44+V45</f>
        <v>0</v>
      </c>
      <c r="W46" s="1101"/>
      <c r="X46" s="1102"/>
      <c r="Y46" s="239"/>
      <c r="Z46" s="239"/>
      <c r="AD46" s="90"/>
      <c r="AE46" s="90"/>
      <c r="BM46" s="1"/>
      <c r="CJ46" s="1"/>
      <c r="CU46" s="248"/>
      <c r="CV46" s="248"/>
      <c r="CY46"/>
      <c r="CZ46"/>
    </row>
    <row r="47" spans="1:185">
      <c r="A47" s="978" t="str">
        <f>"Planlagt arbejdstid efter ovennstående "&amp;A7&amp;" måned kalender"</f>
        <v>Planlagt arbejdstid efter ovennstående December måned kalender</v>
      </c>
      <c r="B47" s="979"/>
      <c r="C47" s="979"/>
      <c r="D47" s="979"/>
      <c r="E47" s="979"/>
      <c r="F47" s="979"/>
      <c r="G47" s="979"/>
      <c r="H47" s="475">
        <f>D64+D65+D66+D67+D68+D69+D70</f>
        <v>15</v>
      </c>
      <c r="I47" s="980">
        <f>N40+R40+V106</f>
        <v>116</v>
      </c>
      <c r="J47" s="981"/>
      <c r="K47" s="982"/>
      <c r="L47" s="387"/>
      <c r="M47" s="1038" t="s">
        <v>293</v>
      </c>
      <c r="N47" s="1039"/>
      <c r="O47" s="1039"/>
      <c r="P47" s="1039"/>
      <c r="Q47" s="1039"/>
      <c r="R47" s="1039"/>
      <c r="S47" s="1039"/>
      <c r="T47" s="1039"/>
      <c r="U47" s="1039"/>
      <c r="V47" s="1039"/>
      <c r="W47" s="1039"/>
      <c r="X47" s="1131"/>
      <c r="Y47" s="239"/>
      <c r="Z47" s="239"/>
      <c r="AD47" s="90"/>
      <c r="AE47" s="90"/>
      <c r="BM47" s="1"/>
      <c r="CJ47" s="1"/>
      <c r="CU47" s="248"/>
      <c r="CV47" s="248"/>
      <c r="CY47"/>
      <c r="CZ47"/>
    </row>
    <row r="48" spans="1:185">
      <c r="A48" s="986" t="s">
        <v>452</v>
      </c>
      <c r="B48" s="987"/>
      <c r="C48" s="987"/>
      <c r="D48" s="987"/>
      <c r="E48" s="987"/>
      <c r="F48" s="987"/>
      <c r="G48" s="987"/>
      <c r="H48" s="988"/>
      <c r="I48" s="983">
        <f>(FI40+FM40+FO40+FV40+FX40+FZ40+GB40)*-1+FK40+FN40+FQ40+FW40+FY40+GA40+GC40+FU40</f>
        <v>0</v>
      </c>
      <c r="J48" s="984"/>
      <c r="K48" s="985"/>
      <c r="L48" s="388"/>
      <c r="M48" s="1041" t="s">
        <v>463</v>
      </c>
      <c r="N48" s="1042"/>
      <c r="O48" s="1042"/>
      <c r="P48" s="1042"/>
      <c r="Q48" s="1042"/>
      <c r="R48" s="1042"/>
      <c r="S48" s="1042"/>
      <c r="T48" s="1042"/>
      <c r="U48" s="1043"/>
      <c r="V48" s="1044" t="s">
        <v>221</v>
      </c>
      <c r="W48" s="1045"/>
      <c r="X48" s="1132"/>
      <c r="Y48" s="239"/>
      <c r="Z48" s="239"/>
      <c r="AD48" s="90"/>
      <c r="AE48" s="90"/>
      <c r="BM48" s="1"/>
      <c r="CJ48" s="1"/>
      <c r="CU48" s="248"/>
      <c r="CV48" s="248"/>
      <c r="CY48"/>
      <c r="CZ48"/>
    </row>
    <row r="49" spans="1:110">
      <c r="A49" s="1005" t="str">
        <f>"Arbejde særligt planlagt for "&amp;A7&amp;" måned efter fanen skemaoplysninger"</f>
        <v>Arbejde særligt planlagt for December måned efter fanen skemaoplysninger</v>
      </c>
      <c r="B49" s="1006"/>
      <c r="C49" s="1006"/>
      <c r="D49" s="1006"/>
      <c r="E49" s="1006"/>
      <c r="F49" s="1006"/>
      <c r="G49" s="1006"/>
      <c r="H49" s="1007"/>
      <c r="I49" s="981">
        <f>Skemaoplysninger!O91</f>
        <v>2</v>
      </c>
      <c r="J49" s="1003"/>
      <c r="K49" s="1004"/>
      <c r="L49" s="389"/>
      <c r="M49" s="867"/>
      <c r="N49" s="868"/>
      <c r="O49" s="868"/>
      <c r="P49" s="868"/>
      <c r="Q49" s="868"/>
      <c r="R49" s="868"/>
      <c r="S49" s="868"/>
      <c r="T49" s="868"/>
      <c r="U49" s="869"/>
      <c r="V49" s="1047"/>
      <c r="W49" s="1047"/>
      <c r="X49" s="1048"/>
      <c r="Y49"/>
      <c r="Z49" s="239"/>
      <c r="AA49" s="239"/>
      <c r="AG49" s="90"/>
      <c r="AH49" s="90"/>
      <c r="BA49" s="239"/>
      <c r="BO49" s="1"/>
      <c r="CL49" s="1"/>
      <c r="CV49" s="248"/>
      <c r="CW49" s="248"/>
      <c r="CY49"/>
      <c r="CZ49"/>
    </row>
    <row r="50" spans="1:110">
      <c r="A50" s="967" t="s">
        <v>291</v>
      </c>
      <c r="B50" s="968"/>
      <c r="C50" s="968"/>
      <c r="D50" s="968"/>
      <c r="E50" s="968"/>
      <c r="F50" s="968"/>
      <c r="G50" s="968"/>
      <c r="H50" s="968"/>
      <c r="I50" s="969">
        <f>V40+X40-FA40+R106</f>
        <v>0</v>
      </c>
      <c r="J50" s="970"/>
      <c r="K50" s="971"/>
      <c r="L50" s="241"/>
      <c r="M50" s="867"/>
      <c r="N50" s="868"/>
      <c r="O50" s="868"/>
      <c r="P50" s="868"/>
      <c r="Q50" s="868"/>
      <c r="R50" s="868"/>
      <c r="S50" s="868"/>
      <c r="T50" s="868"/>
      <c r="U50" s="869"/>
      <c r="V50" s="870"/>
      <c r="W50" s="871"/>
      <c r="X50" s="872"/>
      <c r="Y50"/>
      <c r="Z50" s="239"/>
      <c r="AA50" s="239"/>
      <c r="AE50" s="90"/>
      <c r="AF50" s="247"/>
      <c r="AG50" s="90"/>
      <c r="BN50" s="1"/>
      <c r="CK50" s="1"/>
      <c r="CV50" s="248"/>
      <c r="CW50" s="248"/>
      <c r="CY50"/>
      <c r="CZ50"/>
    </row>
    <row r="51" spans="1:110" ht="17" thickBot="1">
      <c r="A51" s="261" t="str">
        <f>"Faktisk arbejdstid ialt i "&amp;A7&amp;" måned"</f>
        <v>Faktisk arbejdstid ialt i December måned</v>
      </c>
      <c r="B51" s="314"/>
      <c r="C51" s="315"/>
      <c r="D51" s="315"/>
      <c r="E51" s="315"/>
      <c r="F51" s="315"/>
      <c r="G51" s="315"/>
      <c r="H51" s="316"/>
      <c r="I51" s="1008">
        <f>I47+I50+I49+I48</f>
        <v>118</v>
      </c>
      <c r="J51" s="1009"/>
      <c r="K51" s="1010"/>
      <c r="L51" s="241"/>
      <c r="M51" s="867"/>
      <c r="N51" s="868"/>
      <c r="O51" s="868"/>
      <c r="P51" s="868"/>
      <c r="Q51" s="868"/>
      <c r="R51" s="868"/>
      <c r="S51" s="868"/>
      <c r="T51" s="868"/>
      <c r="U51" s="869"/>
      <c r="V51" s="870"/>
      <c r="W51" s="871"/>
      <c r="X51" s="872"/>
      <c r="Y51" s="239"/>
      <c r="Z51" s="239"/>
      <c r="AA51" s="214"/>
      <c r="AB51" s="247"/>
      <c r="AC51" s="247"/>
      <c r="AD51" s="247"/>
      <c r="AE51" s="239"/>
      <c r="AF51" s="247"/>
      <c r="AH51" s="239"/>
      <c r="AI51" s="239"/>
      <c r="AM51" s="90"/>
      <c r="AN51" s="90"/>
      <c r="BU51" s="1"/>
      <c r="CR51" s="1"/>
      <c r="CY51"/>
      <c r="CZ51"/>
      <c r="DC51" s="248"/>
      <c r="DD51" s="248"/>
    </row>
    <row r="52" spans="1:110" ht="17" thickBot="1">
      <c r="A52" s="255"/>
      <c r="B52" s="255"/>
      <c r="C52" s="255"/>
      <c r="D52" s="255"/>
      <c r="E52" s="255"/>
      <c r="F52" s="255"/>
      <c r="G52" s="255"/>
      <c r="H52" s="255"/>
      <c r="I52" s="522"/>
      <c r="J52" s="522"/>
      <c r="K52" s="522"/>
      <c r="L52" s="500"/>
      <c r="M52" s="867"/>
      <c r="N52" s="868"/>
      <c r="O52" s="868"/>
      <c r="P52" s="868"/>
      <c r="Q52" s="868"/>
      <c r="R52" s="868"/>
      <c r="S52" s="868"/>
      <c r="T52" s="868"/>
      <c r="U52" s="869"/>
      <c r="V52" s="870"/>
      <c r="W52" s="871"/>
      <c r="X52" s="872"/>
      <c r="Y52" s="239"/>
      <c r="Z52" s="239"/>
      <c r="AA52" s="239"/>
      <c r="AB52" s="239"/>
      <c r="AC52" s="214"/>
      <c r="AD52" s="247"/>
      <c r="AE52" s="247"/>
      <c r="AF52" s="247"/>
      <c r="AG52" s="247"/>
      <c r="AH52" s="239"/>
      <c r="AJ52" s="239"/>
      <c r="AK52" s="239"/>
      <c r="AO52" s="90"/>
      <c r="AP52" s="90"/>
      <c r="BW52" s="1"/>
      <c r="CT52" s="1"/>
      <c r="CY52"/>
      <c r="CZ52"/>
      <c r="DE52" s="248"/>
      <c r="DF52" s="248"/>
    </row>
    <row r="53" spans="1:110" ht="25" thickBot="1">
      <c r="A53" s="958" t="s">
        <v>479</v>
      </c>
      <c r="B53" s="959"/>
      <c r="C53" s="959"/>
      <c r="D53" s="959"/>
      <c r="E53" s="959"/>
      <c r="F53" s="959"/>
      <c r="G53" s="959"/>
      <c r="H53" s="707" t="s">
        <v>740</v>
      </c>
      <c r="I53" s="1118" t="s">
        <v>478</v>
      </c>
      <c r="J53" s="1118"/>
      <c r="K53" s="1119"/>
      <c r="L53" s="500"/>
      <c r="M53" s="1032" t="s">
        <v>294</v>
      </c>
      <c r="N53" s="1033"/>
      <c r="O53" s="1033"/>
      <c r="P53" s="1033"/>
      <c r="Q53" s="1033"/>
      <c r="R53" s="1033"/>
      <c r="S53" s="1033"/>
      <c r="T53" s="1033"/>
      <c r="U53" s="1034"/>
      <c r="V53" s="1081">
        <f>V46-SUM(V49:X52)</f>
        <v>0</v>
      </c>
      <c r="W53" s="1082"/>
      <c r="X53" s="1083"/>
      <c r="Y53" s="239"/>
      <c r="Z53" s="239"/>
      <c r="AA53" s="239"/>
      <c r="AB53" s="239"/>
      <c r="AC53" s="214"/>
      <c r="AD53" s="247"/>
      <c r="AE53" s="247"/>
      <c r="AF53" s="247"/>
      <c r="AG53" s="247"/>
      <c r="AH53" s="239"/>
      <c r="AJ53" s="239"/>
      <c r="AK53" s="239"/>
      <c r="AO53" s="90"/>
      <c r="AP53" s="90"/>
      <c r="BW53" s="1"/>
      <c r="CT53" s="1"/>
      <c r="CY53"/>
      <c r="CZ53"/>
      <c r="DE53" s="248"/>
      <c r="DF53" s="248"/>
    </row>
    <row r="54" spans="1:110" ht="16" customHeight="1">
      <c r="A54" s="993"/>
      <c r="B54" s="994"/>
      <c r="C54" s="994"/>
      <c r="D54" s="994"/>
      <c r="E54" s="994"/>
      <c r="F54" s="994"/>
      <c r="G54" s="994"/>
      <c r="H54" s="605">
        <f>November!H61</f>
        <v>0</v>
      </c>
      <c r="I54" s="1084">
        <f>November!I61</f>
        <v>0</v>
      </c>
      <c r="J54" s="1084"/>
      <c r="K54" s="1085"/>
      <c r="L54" s="500"/>
      <c r="M54" s="523"/>
      <c r="N54" s="523"/>
      <c r="O54" s="523"/>
      <c r="P54" s="523"/>
      <c r="Q54" s="524"/>
      <c r="R54" s="525"/>
      <c r="S54" s="525"/>
      <c r="T54" s="525"/>
      <c r="U54" s="525"/>
      <c r="V54" s="523"/>
      <c r="W54" s="526"/>
      <c r="X54" s="523"/>
      <c r="Y54" s="239"/>
      <c r="Z54" s="239"/>
      <c r="AA54" s="239"/>
      <c r="AB54" s="239"/>
      <c r="AC54" s="214"/>
      <c r="AD54" s="247"/>
      <c r="AE54" s="247"/>
      <c r="AF54" s="247"/>
      <c r="AG54" s="247"/>
      <c r="AH54" s="239"/>
      <c r="AJ54" s="239"/>
      <c r="AK54" s="239"/>
      <c r="AO54" s="90"/>
      <c r="AP54" s="90"/>
      <c r="BW54" s="1"/>
      <c r="CT54" s="1"/>
      <c r="CY54"/>
      <c r="CZ54"/>
      <c r="DE54" s="248"/>
      <c r="DF54" s="248"/>
    </row>
    <row r="55" spans="1:110" ht="16" customHeight="1">
      <c r="A55" s="1069" t="s">
        <v>482</v>
      </c>
      <c r="B55" s="1070"/>
      <c r="C55" s="1070"/>
      <c r="D55" s="1070"/>
      <c r="E55" s="1070"/>
      <c r="F55" s="1070"/>
      <c r="G55" s="1071"/>
      <c r="H55" s="603"/>
      <c r="I55" s="1072"/>
      <c r="J55" s="1073"/>
      <c r="K55" s="1074"/>
      <c r="L55" s="500"/>
      <c r="M55" s="523"/>
      <c r="N55" s="523"/>
      <c r="O55" s="523"/>
      <c r="P55" s="523"/>
      <c r="Q55" s="524"/>
      <c r="R55" s="525"/>
      <c r="S55" s="525"/>
      <c r="T55" s="525"/>
      <c r="U55" s="525"/>
      <c r="V55" s="523"/>
      <c r="W55" s="526"/>
      <c r="X55" s="523"/>
      <c r="Y55" s="239"/>
      <c r="Z55" s="239"/>
      <c r="AA55" s="239"/>
      <c r="AB55" s="239"/>
      <c r="AC55" s="214"/>
      <c r="AD55" s="247"/>
      <c r="AE55" s="247"/>
      <c r="AF55" s="247"/>
      <c r="AG55" s="247"/>
      <c r="AH55" s="239"/>
      <c r="AJ55" s="239"/>
      <c r="AK55" s="239"/>
      <c r="AO55" s="90"/>
      <c r="AP55" s="90"/>
      <c r="BW55" s="1"/>
      <c r="CT55" s="1"/>
      <c r="CY55"/>
      <c r="CZ55"/>
      <c r="DE55" s="248"/>
      <c r="DF55" s="248"/>
    </row>
    <row r="56" spans="1:110" ht="37" customHeight="1">
      <c r="A56" s="864" t="s">
        <v>741</v>
      </c>
      <c r="B56" s="865"/>
      <c r="C56" s="865"/>
      <c r="D56" s="865"/>
      <c r="E56" s="865"/>
      <c r="F56" s="865"/>
      <c r="G56" s="865"/>
      <c r="H56" s="865"/>
      <c r="I56" s="865"/>
      <c r="J56" s="865"/>
      <c r="K56" s="866"/>
      <c r="L56" s="500"/>
      <c r="M56" s="523"/>
      <c r="N56" s="523"/>
      <c r="O56" s="523"/>
      <c r="P56" s="523"/>
      <c r="Q56" s="524"/>
      <c r="R56" s="525"/>
      <c r="S56" s="525"/>
      <c r="T56" s="525"/>
      <c r="U56" s="525"/>
      <c r="V56" s="523"/>
      <c r="W56" s="526"/>
      <c r="X56" s="523"/>
      <c r="Y56" s="239"/>
      <c r="Z56" s="239"/>
      <c r="AA56" s="239"/>
      <c r="AB56" s="239"/>
      <c r="AC56" s="214"/>
      <c r="AD56" s="247"/>
      <c r="AE56" s="247"/>
      <c r="AF56" s="247"/>
      <c r="AG56" s="247"/>
      <c r="AH56" s="239"/>
      <c r="AJ56" s="239"/>
      <c r="AK56" s="239"/>
      <c r="AO56" s="90"/>
      <c r="AP56" s="90"/>
      <c r="BW56" s="1"/>
      <c r="CT56" s="1"/>
      <c r="CY56"/>
      <c r="CZ56"/>
      <c r="DE56" s="248"/>
      <c r="DF56" s="248"/>
    </row>
    <row r="57" spans="1:110" ht="35" customHeight="1">
      <c r="A57" s="995" t="s">
        <v>742</v>
      </c>
      <c r="B57" s="996"/>
      <c r="C57" s="898" t="s">
        <v>510</v>
      </c>
      <c r="D57" s="899"/>
      <c r="E57" s="900" t="s">
        <v>511</v>
      </c>
      <c r="F57" s="865"/>
      <c r="G57" s="901"/>
      <c r="H57" s="910" t="s">
        <v>480</v>
      </c>
      <c r="I57" s="910"/>
      <c r="J57" s="910"/>
      <c r="K57" s="911"/>
      <c r="L57" s="500"/>
      <c r="M57" s="523"/>
      <c r="N57" s="523"/>
      <c r="O57" s="523"/>
      <c r="P57" s="523"/>
      <c r="Q57" s="524"/>
      <c r="R57" s="525"/>
      <c r="S57" s="525"/>
      <c r="T57" s="525"/>
      <c r="U57" s="525"/>
      <c r="V57" s="523"/>
      <c r="W57" s="526"/>
      <c r="X57" s="523"/>
      <c r="Y57" s="239"/>
      <c r="Z57" s="239"/>
      <c r="AA57" s="239"/>
      <c r="AB57" s="239"/>
      <c r="AC57" s="214"/>
      <c r="AD57" s="247"/>
      <c r="AE57" s="247"/>
      <c r="AF57" s="247"/>
      <c r="AG57" s="247"/>
      <c r="AH57" s="239"/>
      <c r="AJ57" s="239"/>
      <c r="AK57" s="239"/>
      <c r="AO57" s="90"/>
      <c r="AP57" s="90"/>
      <c r="BW57" s="1"/>
      <c r="CT57" s="1"/>
      <c r="CY57"/>
      <c r="CZ57"/>
      <c r="DE57" s="248"/>
      <c r="DF57" s="248"/>
    </row>
    <row r="58" spans="1:110">
      <c r="A58" s="902"/>
      <c r="B58" s="903"/>
      <c r="C58" s="906"/>
      <c r="D58" s="905"/>
      <c r="E58" s="907"/>
      <c r="F58" s="908"/>
      <c r="G58" s="909"/>
      <c r="H58" s="604"/>
      <c r="I58" s="896"/>
      <c r="J58" s="896"/>
      <c r="K58" s="897"/>
      <c r="L58" s="500"/>
      <c r="M58" s="523"/>
      <c r="N58" s="523"/>
      <c r="O58" s="523"/>
      <c r="P58" s="523"/>
      <c r="Q58" s="524"/>
      <c r="R58" s="525"/>
      <c r="S58" s="525"/>
      <c r="T58" s="525"/>
      <c r="U58" s="525"/>
      <c r="V58" s="523"/>
      <c r="W58" s="526"/>
      <c r="X58" s="523"/>
      <c r="Y58" s="239"/>
      <c r="Z58" s="239"/>
      <c r="AA58" s="239"/>
      <c r="AB58" s="239"/>
      <c r="AC58" s="214"/>
      <c r="AD58" s="247"/>
      <c r="AE58" s="247"/>
      <c r="AF58" s="247"/>
      <c r="AG58" s="247"/>
      <c r="AH58" s="239"/>
      <c r="AJ58" s="239"/>
      <c r="AK58" s="239"/>
      <c r="AO58" s="90"/>
      <c r="AP58" s="90"/>
      <c r="BW58" s="1"/>
      <c r="CT58" s="1"/>
      <c r="CY58"/>
      <c r="CZ58"/>
      <c r="DE58" s="248"/>
      <c r="DF58" s="248"/>
    </row>
    <row r="59" spans="1:110">
      <c r="A59" s="904"/>
      <c r="B59" s="905"/>
      <c r="C59" s="906"/>
      <c r="D59" s="905"/>
      <c r="E59" s="907"/>
      <c r="F59" s="908"/>
      <c r="G59" s="909"/>
      <c r="H59" s="604"/>
      <c r="I59" s="896"/>
      <c r="J59" s="896"/>
      <c r="K59" s="897"/>
      <c r="L59" s="500"/>
      <c r="M59" s="523"/>
      <c r="N59" s="523"/>
      <c r="O59" s="523"/>
      <c r="P59" s="523"/>
      <c r="Q59" s="524"/>
      <c r="R59" s="525"/>
      <c r="S59" s="525"/>
      <c r="T59" s="525"/>
      <c r="U59" s="525"/>
      <c r="V59" s="523"/>
      <c r="W59" s="526"/>
      <c r="X59" s="523"/>
      <c r="Y59" s="239"/>
      <c r="Z59" s="239"/>
      <c r="AA59" s="239"/>
      <c r="AB59" s="239"/>
      <c r="AC59" s="214"/>
      <c r="AD59" s="247"/>
      <c r="AE59" s="247"/>
      <c r="AF59" s="247"/>
      <c r="AG59" s="247"/>
      <c r="AH59" s="239"/>
      <c r="AJ59" s="239"/>
      <c r="AK59" s="239"/>
      <c r="AO59" s="90"/>
      <c r="AP59" s="90"/>
      <c r="BW59" s="1"/>
      <c r="CT59" s="1"/>
      <c r="CY59"/>
      <c r="CZ59"/>
      <c r="DE59" s="248"/>
      <c r="DF59" s="248"/>
    </row>
    <row r="60" spans="1:110">
      <c r="A60" s="904"/>
      <c r="B60" s="905"/>
      <c r="C60" s="906"/>
      <c r="D60" s="905"/>
      <c r="E60" s="907"/>
      <c r="F60" s="908"/>
      <c r="G60" s="909"/>
      <c r="H60" s="604"/>
      <c r="I60" s="896"/>
      <c r="J60" s="896"/>
      <c r="K60" s="897"/>
      <c r="L60" s="500"/>
      <c r="M60" s="523"/>
      <c r="N60" s="523"/>
      <c r="O60" s="523"/>
      <c r="P60" s="523"/>
      <c r="Q60" s="524"/>
      <c r="R60" s="525"/>
      <c r="S60" s="525"/>
      <c r="T60" s="525"/>
      <c r="U60" s="525"/>
      <c r="V60" s="523"/>
      <c r="W60" s="526"/>
      <c r="X60" s="523"/>
      <c r="Y60" s="239"/>
      <c r="Z60" s="239"/>
      <c r="AA60" s="239"/>
      <c r="AB60" s="239"/>
      <c r="AC60" s="214"/>
      <c r="AD60" s="247"/>
      <c r="AE60" s="247"/>
      <c r="AF60" s="247"/>
      <c r="AG60" s="247"/>
      <c r="AH60" s="239"/>
      <c r="AJ60" s="239"/>
      <c r="AK60" s="239"/>
      <c r="AO60" s="90"/>
      <c r="AP60" s="90"/>
      <c r="BW60" s="1"/>
      <c r="CT60" s="1"/>
      <c r="CY60"/>
      <c r="CZ60"/>
      <c r="DE60" s="248"/>
      <c r="DF60" s="248"/>
    </row>
    <row r="61" spans="1:110">
      <c r="A61" s="904"/>
      <c r="B61" s="905"/>
      <c r="C61" s="906"/>
      <c r="D61" s="905"/>
      <c r="E61" s="907"/>
      <c r="F61" s="908"/>
      <c r="G61" s="909"/>
      <c r="H61" s="604"/>
      <c r="I61" s="896"/>
      <c r="J61" s="896"/>
      <c r="K61" s="897"/>
      <c r="L61" s="500"/>
      <c r="M61" s="523"/>
      <c r="N61" s="523"/>
      <c r="O61" s="523"/>
      <c r="P61" s="523"/>
      <c r="Q61" s="524"/>
      <c r="R61" s="525"/>
      <c r="S61" s="525"/>
      <c r="T61" s="525"/>
      <c r="U61" s="525"/>
      <c r="V61" s="523"/>
      <c r="W61" s="526"/>
      <c r="X61" s="523"/>
      <c r="Y61" s="239"/>
      <c r="Z61" s="239"/>
      <c r="AA61" s="239"/>
      <c r="AB61" s="239"/>
      <c r="AC61" s="214"/>
      <c r="AD61" s="247"/>
      <c r="AE61" s="247"/>
      <c r="AF61" s="247"/>
      <c r="AG61" s="247"/>
      <c r="AH61" s="239"/>
      <c r="AJ61" s="239"/>
      <c r="AK61" s="239"/>
      <c r="AO61" s="90"/>
      <c r="AP61" s="90"/>
      <c r="BW61" s="1"/>
      <c r="CT61" s="1"/>
      <c r="CY61"/>
      <c r="CZ61"/>
      <c r="DE61" s="248"/>
      <c r="DF61" s="248"/>
    </row>
    <row r="62" spans="1:110" ht="17" thickBot="1">
      <c r="A62" s="893" t="s">
        <v>481</v>
      </c>
      <c r="B62" s="894"/>
      <c r="C62" s="895"/>
      <c r="D62" s="895"/>
      <c r="E62" s="895"/>
      <c r="F62" s="895"/>
      <c r="G62" s="895"/>
      <c r="H62" s="606">
        <f>H55+H54-SUM(H58:H61)</f>
        <v>0</v>
      </c>
      <c r="I62" s="912">
        <f>I54+I55-SUM(I58:K61)</f>
        <v>0</v>
      </c>
      <c r="J62" s="913"/>
      <c r="K62" s="914"/>
      <c r="L62" s="500"/>
      <c r="M62" s="523"/>
      <c r="N62" s="523"/>
      <c r="O62" s="523"/>
      <c r="P62" s="523"/>
      <c r="Q62" s="524"/>
      <c r="R62" s="525"/>
      <c r="S62" s="525"/>
      <c r="T62" s="525"/>
      <c r="U62" s="525"/>
      <c r="V62" s="523"/>
      <c r="W62" s="526"/>
      <c r="X62" s="523"/>
      <c r="Y62" s="239"/>
      <c r="Z62" s="239"/>
      <c r="AA62" s="239"/>
      <c r="AB62" s="239"/>
      <c r="AC62" s="214"/>
      <c r="AD62" s="247"/>
      <c r="AE62" s="247"/>
      <c r="AF62" s="247"/>
      <c r="AG62" s="247"/>
      <c r="AH62" s="239"/>
      <c r="AJ62" s="239"/>
      <c r="AK62" s="239"/>
      <c r="AO62" s="90"/>
      <c r="AP62" s="90"/>
      <c r="BW62" s="1"/>
      <c r="CT62" s="1"/>
      <c r="CY62"/>
      <c r="CZ62"/>
      <c r="DE62" s="248"/>
      <c r="DF62" s="248"/>
    </row>
    <row r="63" spans="1:110" hidden="1">
      <c r="A63" s="440"/>
      <c r="B63" s="440"/>
      <c r="C63" s="440"/>
      <c r="D63" s="440"/>
      <c r="E63" s="440"/>
      <c r="F63" s="440"/>
      <c r="G63" s="440"/>
      <c r="H63" s="450"/>
      <c r="I63" s="506"/>
      <c r="J63" s="506"/>
      <c r="K63" s="496"/>
      <c r="L63" s="659"/>
      <c r="M63" s="659"/>
      <c r="N63" s="659"/>
      <c r="O63" s="659"/>
      <c r="P63" s="659"/>
      <c r="Q63" s="524"/>
      <c r="R63" s="525"/>
      <c r="S63" s="525"/>
      <c r="T63" s="525"/>
      <c r="U63" s="525"/>
      <c r="V63" s="523" t="s">
        <v>583</v>
      </c>
      <c r="W63" s="526"/>
      <c r="X63" s="523"/>
      <c r="Y63"/>
      <c r="Z63"/>
      <c r="AA63" s="90"/>
      <c r="AB63" s="90"/>
      <c r="BI63" s="1"/>
      <c r="CF63" s="1"/>
      <c r="CQ63" s="248"/>
      <c r="CR63" s="248"/>
      <c r="CY63"/>
      <c r="CZ63"/>
    </row>
    <row r="64" spans="1:110" hidden="1">
      <c r="A64" s="123" t="s">
        <v>206</v>
      </c>
      <c r="B64" s="123"/>
      <c r="C64" s="123"/>
      <c r="D64" s="123">
        <f>COUNTIF([0]!December,"Skema 1")</f>
        <v>13</v>
      </c>
      <c r="E64" s="395"/>
      <c r="F64" s="123" t="s">
        <v>186</v>
      </c>
      <c r="G64" s="123">
        <f>COUNTIFS($B$9:$B$39,"ma",[0]!December,"Skema 1")</f>
        <v>2</v>
      </c>
      <c r="H64" s="123"/>
      <c r="I64" s="511"/>
      <c r="J64" s="659"/>
      <c r="K64" s="659"/>
      <c r="L64" s="511"/>
      <c r="M64" s="660"/>
      <c r="N64" s="659"/>
      <c r="O64" s="660"/>
      <c r="P64" s="678" t="s">
        <v>601</v>
      </c>
      <c r="Q64" s="680" t="s">
        <v>612</v>
      </c>
      <c r="R64" s="230"/>
      <c r="S64" s="230"/>
      <c r="T64" s="230"/>
      <c r="U64" s="230"/>
      <c r="V64" s="230"/>
      <c r="W64" s="118"/>
      <c r="X64" s="118"/>
      <c r="Y64"/>
      <c r="Z64"/>
      <c r="AA64" s="90"/>
      <c r="AB64" s="90"/>
      <c r="BI64" s="1"/>
      <c r="CF64" s="1"/>
      <c r="CQ64" s="248"/>
      <c r="CR64" s="248"/>
      <c r="CY64"/>
      <c r="CZ64"/>
    </row>
    <row r="65" spans="1:185" hidden="1">
      <c r="A65" s="1114" t="s">
        <v>207</v>
      </c>
      <c r="B65" s="1114"/>
      <c r="C65" s="1114"/>
      <c r="D65" s="123">
        <f>COUNTIF([0]!December,"Skema 2")</f>
        <v>0</v>
      </c>
      <c r="E65" s="395"/>
      <c r="F65" s="123" t="s">
        <v>187</v>
      </c>
      <c r="G65" s="123">
        <f>COUNTIFS($B$9:$B$39,"ti",[0]!December,"Skema 1")</f>
        <v>3</v>
      </c>
      <c r="H65" s="123"/>
      <c r="I65" s="511" t="s">
        <v>602</v>
      </c>
      <c r="J65" s="659"/>
      <c r="K65" s="511"/>
      <c r="L65" s="662"/>
      <c r="M65" s="660"/>
      <c r="N65" s="660"/>
      <c r="O65" s="663"/>
      <c r="P65" s="678">
        <f>IF(Stamoplysninger!$B$22="Ulempetillæg udbetales med 25% af nettotimelønnen.",SUM(DO40:DR40)-SUM(DS40:DV40),0)</f>
        <v>1</v>
      </c>
      <c r="Q65" s="680"/>
      <c r="R65" s="230"/>
      <c r="S65" s="230"/>
      <c r="T65" s="230"/>
      <c r="U65" s="230"/>
      <c r="V65" s="230"/>
      <c r="W65" s="118"/>
      <c r="X65" s="118"/>
      <c r="Y65"/>
      <c r="Z65"/>
      <c r="AA65" s="90"/>
      <c r="AB65" s="90"/>
      <c r="BI65" s="1"/>
      <c r="CF65" s="1"/>
      <c r="CQ65" s="248"/>
      <c r="CR65" s="248"/>
      <c r="CY65"/>
      <c r="CZ65"/>
    </row>
    <row r="66" spans="1:185" s="501" customFormat="1" hidden="1">
      <c r="A66" s="1113" t="s">
        <v>208</v>
      </c>
      <c r="B66" s="1113"/>
      <c r="C66" s="1113"/>
      <c r="D66" s="498">
        <f>COUNTIF([0]!December,"Skema 3")</f>
        <v>0</v>
      </c>
      <c r="E66" s="499"/>
      <c r="F66" s="498" t="s">
        <v>188</v>
      </c>
      <c r="G66" s="498">
        <f>COUNTIFS($B$9:$B$39,"on",[0]!December,"Skema 1")</f>
        <v>3</v>
      </c>
      <c r="H66" s="498"/>
      <c r="I66" s="677" t="s">
        <v>603</v>
      </c>
      <c r="J66" s="659"/>
      <c r="K66" s="511"/>
      <c r="L66" s="662"/>
      <c r="M66" s="660"/>
      <c r="N66" s="660"/>
      <c r="O66" s="660"/>
      <c r="P66" s="678"/>
      <c r="Q66" s="680">
        <f>IF(Stamoplysninger!$B$22="Ulempetillæg afspadseres med 25%(Kræver en aftale imellem ledelsen og den ansatte)",EC40+ED40+EE40+EF40-EG40-EH40-EI40-EJ40,0)</f>
        <v>0</v>
      </c>
      <c r="R66" s="230"/>
      <c r="S66" s="230"/>
      <c r="T66" s="230"/>
      <c r="U66" s="230"/>
      <c r="V66" s="230"/>
      <c r="W66" s="118"/>
      <c r="X66" s="118"/>
      <c r="AA66" s="498"/>
      <c r="AB66" s="498"/>
      <c r="BI66" s="517"/>
      <c r="CF66" s="517"/>
      <c r="CQ66" s="518"/>
      <c r="CR66" s="518"/>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row>
    <row r="67" spans="1:185" s="501" customFormat="1" hidden="1">
      <c r="A67" s="1113" t="s">
        <v>209</v>
      </c>
      <c r="B67" s="1113"/>
      <c r="C67" s="1113"/>
      <c r="D67" s="498">
        <f>COUNTIF([0]!December,"Skema 4")</f>
        <v>0</v>
      </c>
      <c r="E67" s="499"/>
      <c r="F67" s="498" t="s">
        <v>190</v>
      </c>
      <c r="G67" s="498">
        <f>COUNTIFS($B$9:$B$39,"to",[0]!December,"Skema 1")</f>
        <v>3</v>
      </c>
      <c r="H67" s="498"/>
      <c r="I67" s="677" t="s">
        <v>604</v>
      </c>
      <c r="J67" s="659"/>
      <c r="K67" s="511"/>
      <c r="L67" s="662"/>
      <c r="M67" s="665"/>
      <c r="N67" s="665"/>
      <c r="O67" s="4"/>
      <c r="P67" s="678"/>
      <c r="Q67" s="680"/>
      <c r="R67" s="230"/>
      <c r="S67" s="230"/>
      <c r="T67" s="230"/>
      <c r="U67" s="230"/>
      <c r="V67" s="230"/>
      <c r="W67" s="118"/>
      <c r="X67" s="118"/>
      <c r="Y67" s="515"/>
      <c r="Z67" s="515"/>
      <c r="AA67" s="515"/>
      <c r="AB67" s="516"/>
      <c r="AC67" s="516"/>
      <c r="AD67" s="516"/>
      <c r="AE67" s="516"/>
      <c r="AF67" s="516"/>
      <c r="AG67" s="515"/>
      <c r="AI67" s="515"/>
      <c r="AJ67" s="515"/>
      <c r="AN67" s="498"/>
      <c r="AO67" s="498"/>
      <c r="BV67" s="517"/>
      <c r="CS67" s="517"/>
      <c r="DD67" s="518"/>
      <c r="DE67" s="518"/>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row>
    <row r="68" spans="1:185" s="501" customFormat="1" hidden="1">
      <c r="A68" s="498" t="s">
        <v>112</v>
      </c>
      <c r="B68" s="498"/>
      <c r="C68" s="498"/>
      <c r="D68" s="498">
        <f>COUNTIF([0]!December,"Fagdag")+COUNTIF([0]!December,"emnedag")</f>
        <v>2</v>
      </c>
      <c r="E68" s="499"/>
      <c r="F68" s="498" t="s">
        <v>189</v>
      </c>
      <c r="G68" s="498">
        <f>COUNTIFS($B$9:$B$39,"fr",[0]!December,"Skema 1")</f>
        <v>2</v>
      </c>
      <c r="H68" s="498"/>
      <c r="I68" s="662" t="s">
        <v>605</v>
      </c>
      <c r="J68" s="659"/>
      <c r="K68" s="511"/>
      <c r="L68" s="662"/>
      <c r="M68" s="665"/>
      <c r="N68" s="665"/>
      <c r="O68" s="4"/>
      <c r="P68" s="678"/>
      <c r="Q68" s="680">
        <f>IF(Stamoplysninger!$B$26="Weekendtimer og weekendtillæg afspadseres.",EK40+EL40-EM40-EN40,0)</f>
        <v>0</v>
      </c>
      <c r="R68" s="230"/>
      <c r="S68" s="230"/>
      <c r="T68" s="230"/>
      <c r="U68" s="230"/>
      <c r="V68" s="230"/>
      <c r="W68" s="118"/>
      <c r="X68" s="118"/>
      <c r="Y68" s="515"/>
      <c r="Z68" s="515"/>
      <c r="AA68" s="515"/>
      <c r="AB68" s="516"/>
      <c r="AC68" s="516"/>
      <c r="AD68" s="516"/>
      <c r="AE68" s="516"/>
      <c r="AF68" s="516"/>
      <c r="AG68" s="515"/>
      <c r="AI68" s="515"/>
      <c r="AJ68" s="515"/>
      <c r="AN68" s="498"/>
      <c r="AO68" s="498"/>
      <c r="BV68" s="517"/>
      <c r="CS68" s="517"/>
      <c r="DD68" s="518"/>
      <c r="DE68" s="51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row>
    <row r="69" spans="1:185" s="501" customFormat="1" hidden="1">
      <c r="A69" s="502" t="s">
        <v>111</v>
      </c>
      <c r="B69" s="498"/>
      <c r="C69" s="498"/>
      <c r="D69" s="498">
        <f>COUNTIF([0]!December,"Lejrskole")+COUNTIF([0]!December,"Ekskursion")</f>
        <v>0</v>
      </c>
      <c r="E69" s="499"/>
      <c r="F69" s="498"/>
      <c r="G69" s="498"/>
      <c r="H69" s="498"/>
      <c r="I69" s="662" t="s">
        <v>606</v>
      </c>
      <c r="J69" s="662"/>
      <c r="K69" s="662"/>
      <c r="L69" s="662"/>
      <c r="M69" s="666"/>
      <c r="N69" s="666"/>
      <c r="O69" s="4"/>
      <c r="P69" s="679">
        <f>IF(Stamoplysninger!$B$26="Weekendtimer og weekendtillæg udbetales.",EO40+EP40-EQ40-ER40,0)</f>
        <v>0</v>
      </c>
      <c r="Q69" s="680"/>
      <c r="R69" s="230"/>
      <c r="S69" s="230"/>
      <c r="T69" s="230"/>
      <c r="U69" s="230"/>
      <c r="V69" s="230"/>
      <c r="W69" s="118"/>
      <c r="X69" s="118"/>
      <c r="Y69" s="515"/>
      <c r="Z69" s="515"/>
      <c r="AA69" s="515"/>
      <c r="AB69" s="516"/>
      <c r="AC69" s="516"/>
      <c r="AD69" s="516"/>
      <c r="AE69" s="516"/>
      <c r="AF69" s="516"/>
      <c r="AG69" s="515"/>
      <c r="AI69" s="515"/>
      <c r="AJ69" s="515"/>
      <c r="AN69" s="498"/>
      <c r="AO69" s="498"/>
      <c r="BV69" s="517"/>
      <c r="CS69" s="517"/>
      <c r="DD69" s="518"/>
      <c r="DE69" s="518"/>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row>
    <row r="70" spans="1:185" s="501" customFormat="1" hidden="1">
      <c r="A70" s="498" t="s">
        <v>110</v>
      </c>
      <c r="B70" s="498"/>
      <c r="C70" s="498"/>
      <c r="D70" s="498">
        <f>COUNTIF([0]!December,"Pæd.dag")</f>
        <v>0</v>
      </c>
      <c r="E70" s="499"/>
      <c r="F70" s="498" t="s">
        <v>191</v>
      </c>
      <c r="G70" s="498">
        <f>COUNTIFS($B$9:$B$39,"ma",[0]!December,"Skema 2")</f>
        <v>0</v>
      </c>
      <c r="H70" s="498"/>
      <c r="I70" s="662" t="s">
        <v>607</v>
      </c>
      <c r="J70" s="662"/>
      <c r="K70" s="662"/>
      <c r="L70" s="662"/>
      <c r="M70" s="666"/>
      <c r="N70" s="666"/>
      <c r="O70" s="4"/>
      <c r="P70" s="678"/>
      <c r="Q70" s="680"/>
      <c r="R70" s="230"/>
      <c r="S70" s="230"/>
      <c r="T70" s="230"/>
      <c r="U70" s="230"/>
      <c r="V70" s="230"/>
      <c r="W70" s="118"/>
      <c r="X70" s="118"/>
      <c r="Y70" s="515"/>
      <c r="Z70" s="515"/>
      <c r="AA70" s="515"/>
      <c r="AB70" s="516"/>
      <c r="AC70" s="516"/>
      <c r="AD70" s="516"/>
      <c r="AE70" s="516"/>
      <c r="AG70" s="515"/>
      <c r="AI70" s="515"/>
      <c r="AJ70" s="515"/>
      <c r="AN70" s="498"/>
      <c r="AO70" s="498"/>
      <c r="BV70" s="517"/>
      <c r="CS70" s="517"/>
      <c r="DD70" s="518"/>
      <c r="DE70" s="518"/>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row>
    <row r="71" spans="1:185" s="501" customFormat="1" hidden="1">
      <c r="A71" s="498" t="s">
        <v>120</v>
      </c>
      <c r="B71" s="498"/>
      <c r="C71" s="498"/>
      <c r="D71" s="498">
        <f>COUNTIF([0]!December,"Weekend")</f>
        <v>9</v>
      </c>
      <c r="E71" s="499"/>
      <c r="F71" s="498" t="s">
        <v>192</v>
      </c>
      <c r="G71" s="498">
        <f>COUNTIFS($B$9:$B$39,"ti",[0]!December,"Skema 2")</f>
        <v>0</v>
      </c>
      <c r="H71" s="498"/>
      <c r="I71" s="662" t="s">
        <v>608</v>
      </c>
      <c r="J71" s="662"/>
      <c r="K71" s="662"/>
      <c r="L71" s="662"/>
      <c r="M71" s="667"/>
      <c r="N71" s="667"/>
      <c r="O71" s="4"/>
      <c r="P71" s="678"/>
      <c r="Q71" s="681">
        <f>IF(Stamoplysninger!$B$26="Der er indgået lokalaftale omkring weekendtimer.(Kræver aftale med TR/FSL) Weekendtillæg afspadseres.",ES40+ET40-EU40-EV40,0)</f>
        <v>0</v>
      </c>
      <c r="R71" s="230"/>
      <c r="S71" s="230"/>
      <c r="T71" s="230"/>
      <c r="U71" s="230"/>
      <c r="V71" s="230"/>
      <c r="W71" s="118"/>
      <c r="X71" s="118"/>
      <c r="AM71" s="517"/>
      <c r="BJ71" s="517"/>
      <c r="BU71" s="518"/>
      <c r="BV71" s="518"/>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85" s="501" customFormat="1" hidden="1">
      <c r="A72" s="498" t="s">
        <v>127</v>
      </c>
      <c r="B72" s="498"/>
      <c r="C72" s="498"/>
      <c r="D72" s="498">
        <f>COUNTIF([0]!December,"SH-dag")</f>
        <v>2</v>
      </c>
      <c r="E72" s="499"/>
      <c r="F72" s="498" t="s">
        <v>193</v>
      </c>
      <c r="G72" s="498">
        <f>COUNTIFS($B$9:$B$39,"on",[0]!December,"Skema 2")</f>
        <v>0</v>
      </c>
      <c r="H72" s="498"/>
      <c r="I72" s="662" t="s">
        <v>609</v>
      </c>
      <c r="J72" s="662"/>
      <c r="K72" s="662"/>
      <c r="L72" s="662"/>
      <c r="M72" s="667"/>
      <c r="N72" s="667"/>
      <c r="O72" s="4"/>
      <c r="P72" s="678">
        <f>IF(Stamoplysninger!$B$26="Der er indgået lokalaftale omkring weekendtimer(Kræver aftale med TR/FSL). Weekendtillæg udbetales.",EW40+EX40-EY40-EZ40,0)</f>
        <v>0</v>
      </c>
      <c r="Q72" s="680"/>
      <c r="R72" s="230"/>
      <c r="S72" s="230"/>
      <c r="T72" s="230"/>
      <c r="U72" s="230"/>
      <c r="V72" s="230"/>
      <c r="W72" s="118"/>
      <c r="X72" s="118"/>
      <c r="AM72" s="517"/>
      <c r="BJ72" s="517"/>
      <c r="BU72" s="518"/>
      <c r="BV72" s="518"/>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85" s="501" customFormat="1" hidden="1">
      <c r="A73" s="498" t="s">
        <v>109</v>
      </c>
      <c r="B73" s="498"/>
      <c r="C73" s="498"/>
      <c r="D73" s="498">
        <f>COUNTIF([0]!December,"Feriedag")</f>
        <v>0</v>
      </c>
      <c r="E73" s="499"/>
      <c r="F73" s="498" t="s">
        <v>194</v>
      </c>
      <c r="G73" s="498">
        <f>COUNTIFS($B$9:$B$39,"to",[0]!December,"Skema 2")</f>
        <v>0</v>
      </c>
      <c r="H73" s="498"/>
      <c r="I73" s="662" t="s">
        <v>610</v>
      </c>
      <c r="J73" s="662"/>
      <c r="K73" s="662"/>
      <c r="L73" s="662"/>
      <c r="M73" s="667"/>
      <c r="N73" s="667"/>
      <c r="O73" s="4"/>
      <c r="P73" s="678"/>
      <c r="Q73" s="629">
        <f>IF(Stamoplysninger!$B$26="Der er indgået lokalaftale omkring weekendtillæg(Kræver aftale med TR/FSL). Weekendtimerne afspadseres.",FA40+FB40-FC40-FD40,0)</f>
        <v>0</v>
      </c>
      <c r="R73" s="41"/>
      <c r="S73" s="41"/>
      <c r="T73" s="41"/>
      <c r="U73"/>
      <c r="V73"/>
      <c r="W73"/>
      <c r="X73"/>
      <c r="AM73" s="517"/>
      <c r="BJ73" s="517"/>
      <c r="BU73" s="518"/>
      <c r="BV73" s="518"/>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85" s="501" customFormat="1" hidden="1">
      <c r="A74" s="498" t="s">
        <v>178</v>
      </c>
      <c r="B74" s="498"/>
      <c r="C74" s="498"/>
      <c r="D74" s="498">
        <f>COUNTIF([0]!December,"Nul-dag")</f>
        <v>5</v>
      </c>
      <c r="E74" s="499"/>
      <c r="F74" s="498" t="s">
        <v>195</v>
      </c>
      <c r="G74" s="498">
        <f>COUNTIFS($B$9:$B$39,"fr",[0]!December,"Skema 2")</f>
        <v>0</v>
      </c>
      <c r="H74" s="498"/>
      <c r="I74" s="662" t="s">
        <v>611</v>
      </c>
      <c r="J74" s="662"/>
      <c r="K74" s="662"/>
      <c r="L74" s="662"/>
      <c r="M74" s="667"/>
      <c r="N74" s="667"/>
      <c r="O74" s="4"/>
      <c r="P74" s="678">
        <f>IF(Stamoplysninger!$B$26="Der er indgået lokalaftale omkring weekendtillæg(Kræver aftale med TR/FSL). Weekendtimerne udbetales.",FE40+FF40-FG40-FH40,0)</f>
        <v>0</v>
      </c>
      <c r="Q74" s="629"/>
      <c r="R74"/>
      <c r="S74"/>
      <c r="T74"/>
      <c r="U74"/>
      <c r="V74" t="s">
        <v>618</v>
      </c>
      <c r="W74"/>
      <c r="X74"/>
      <c r="AM74" s="517"/>
      <c r="BJ74" s="517"/>
      <c r="BU74" s="518"/>
      <c r="BV74" s="518"/>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85" s="501" customFormat="1" hidden="1">
      <c r="A75" s="503" t="s">
        <v>416</v>
      </c>
      <c r="B75" s="498"/>
      <c r="C75" s="498"/>
      <c r="D75" s="498">
        <f>COUNTIF([0]!December,"Orlov")</f>
        <v>0</v>
      </c>
      <c r="E75" s="499"/>
      <c r="F75" s="504"/>
      <c r="G75" s="504"/>
      <c r="H75" s="504"/>
      <c r="I75" s="662" t="s">
        <v>617</v>
      </c>
      <c r="J75" s="662"/>
      <c r="K75" s="662"/>
      <c r="L75" s="662"/>
      <c r="M75" s="668"/>
      <c r="N75" s="668"/>
      <c r="O75" s="4"/>
      <c r="P75" s="661"/>
      <c r="Q75"/>
      <c r="R75">
        <f>IF(C10="ikke relevant",V10*-1+X10*-1,0)</f>
        <v>0</v>
      </c>
      <c r="S75" t="s">
        <v>623</v>
      </c>
      <c r="T75"/>
      <c r="U75"/>
      <c r="V75">
        <f>IF(C10="ikke relevant",R10*-1,0)</f>
        <v>0</v>
      </c>
      <c r="W75"/>
      <c r="X75"/>
      <c r="AM75" s="517"/>
      <c r="BJ75" s="517"/>
      <c r="BU75" s="518"/>
      <c r="BV75" s="518"/>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85" s="501" customFormat="1" hidden="1">
      <c r="A76" s="498" t="s">
        <v>160</v>
      </c>
      <c r="B76" s="498"/>
      <c r="C76" s="498"/>
      <c r="D76" s="498">
        <f>COUNTIF([0]!December,"Ikke relevant")</f>
        <v>0</v>
      </c>
      <c r="E76" s="499"/>
      <c r="F76" s="498" t="s">
        <v>196</v>
      </c>
      <c r="G76" s="498">
        <f>COUNTIFS($B$9:$B$39,"ma",[0]!December,"Skema 3")</f>
        <v>0</v>
      </c>
      <c r="H76" s="498"/>
      <c r="I76" s="662"/>
      <c r="J76" s="662"/>
      <c r="K76" s="662"/>
      <c r="L76" s="511"/>
      <c r="M76" s="668"/>
      <c r="N76" s="668"/>
      <c r="O76" s="4"/>
      <c r="P76" s="661"/>
      <c r="Q76"/>
      <c r="R76">
        <f>IF(C11="ikke relevant",V11*-1+X11*-1,0)</f>
        <v>0</v>
      </c>
      <c r="S76"/>
      <c r="T76"/>
      <c r="U76"/>
      <c r="V76">
        <f>IF(C11="ikke relevant",R11*-1,0)</f>
        <v>0</v>
      </c>
      <c r="W76"/>
      <c r="X76"/>
      <c r="AM76" s="517"/>
      <c r="BJ76" s="517"/>
      <c r="BU76" s="518"/>
      <c r="BV76" s="518"/>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85" s="501" customFormat="1" hidden="1">
      <c r="A77" s="498" t="s">
        <v>108</v>
      </c>
      <c r="B77" s="498"/>
      <c r="C77" s="498"/>
      <c r="D77" s="498">
        <f>SUM(D64:D76)</f>
        <v>31</v>
      </c>
      <c r="E77" s="498"/>
      <c r="F77" s="498" t="s">
        <v>197</v>
      </c>
      <c r="G77" s="498">
        <f>COUNTIFS($B$9:$B$39,"ti",[0]!December,"Skema 3")</f>
        <v>0</v>
      </c>
      <c r="H77" s="498"/>
      <c r="I77" s="662"/>
      <c r="J77" s="662"/>
      <c r="K77" s="662"/>
      <c r="L77" s="511"/>
      <c r="M77" s="668"/>
      <c r="N77" s="668"/>
      <c r="O77" s="4"/>
      <c r="P77" s="661"/>
      <c r="Q77"/>
      <c r="R77">
        <f t="shared" ref="R77:R105" si="36">IF(C12="ikke relevant",V12*-1+X12*-1,0)</f>
        <v>0</v>
      </c>
      <c r="S77"/>
      <c r="T77"/>
      <c r="U77"/>
      <c r="V77">
        <f t="shared" ref="V77:V105" si="37">IF(C12="ikke relevant",R12*-1,0)</f>
        <v>0</v>
      </c>
      <c r="W77"/>
      <c r="X77"/>
      <c r="Z77" s="517"/>
      <c r="AX77" s="517"/>
      <c r="BI77" s="518"/>
      <c r="BJ77" s="518"/>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85" s="501" customFormat="1" hidden="1">
      <c r="A78" s="498" t="s">
        <v>239</v>
      </c>
      <c r="B78" s="498"/>
      <c r="C78" s="498"/>
      <c r="D78" s="498">
        <f>D77-D71-A87-D76</f>
        <v>22</v>
      </c>
      <c r="E78" s="505"/>
      <c r="F78" s="498" t="s">
        <v>198</v>
      </c>
      <c r="G78" s="498">
        <f>COUNTIFS($B$9:$B$39,"on",[0]!December,"Skema 3")</f>
        <v>0</v>
      </c>
      <c r="H78" s="498"/>
      <c r="I78" s="662"/>
      <c r="J78" s="662"/>
      <c r="K78" s="662"/>
      <c r="L78" s="511"/>
      <c r="M78" s="668"/>
      <c r="N78" s="668"/>
      <c r="O78" s="4"/>
      <c r="P78" s="661"/>
      <c r="Q78"/>
      <c r="R78">
        <f t="shared" si="36"/>
        <v>0</v>
      </c>
      <c r="S78"/>
      <c r="T78"/>
      <c r="U78"/>
      <c r="V78">
        <f t="shared" si="37"/>
        <v>0</v>
      </c>
      <c r="W78"/>
      <c r="X78"/>
      <c r="Z78" s="517"/>
      <c r="AX78" s="517"/>
      <c r="BI78" s="518"/>
      <c r="BJ78" s="51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85" s="501" customFormat="1" hidden="1">
      <c r="A79" s="498"/>
      <c r="B79" s="498"/>
      <c r="C79" s="498"/>
      <c r="D79" s="498"/>
      <c r="E79" s="498"/>
      <c r="F79" s="498" t="s">
        <v>199</v>
      </c>
      <c r="G79" s="498">
        <f>COUNTIFS($B$9:$B$39,"to",[0]!December,"Skema 3")</f>
        <v>0</v>
      </c>
      <c r="H79" s="498"/>
      <c r="I79" s="664"/>
      <c r="J79" s="662"/>
      <c r="K79" s="662"/>
      <c r="L79" s="511"/>
      <c r="M79" s="660"/>
      <c r="N79" s="660"/>
      <c r="O79" s="4"/>
      <c r="P79" s="661"/>
      <c r="Q79"/>
      <c r="R79">
        <f t="shared" si="36"/>
        <v>0</v>
      </c>
      <c r="S79"/>
      <c r="T79"/>
      <c r="U79"/>
      <c r="V79">
        <f t="shared" si="37"/>
        <v>0</v>
      </c>
      <c r="W79"/>
      <c r="X79"/>
      <c r="Z79" s="517"/>
      <c r="AX79" s="517"/>
      <c r="BI79" s="518"/>
      <c r="BJ79" s="518"/>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85" s="501" customFormat="1" hidden="1">
      <c r="A80" s="498"/>
      <c r="B80" s="498"/>
      <c r="C80" s="498"/>
      <c r="D80" s="498"/>
      <c r="E80" s="498"/>
      <c r="F80" s="498" t="s">
        <v>200</v>
      </c>
      <c r="G80" s="498">
        <f>COUNTIFS($B$9:$B$39,"fr",[0]!December,"Skema 3")</f>
        <v>0</v>
      </c>
      <c r="H80" s="498"/>
      <c r="I80" s="506"/>
      <c r="J80" s="511"/>
      <c r="K80" s="511"/>
      <c r="L80" s="511"/>
      <c r="M80" s="4"/>
      <c r="N80" s="4"/>
      <c r="O80" s="4"/>
      <c r="P80" s="4"/>
      <c r="Q80"/>
      <c r="R80">
        <f t="shared" si="36"/>
        <v>0</v>
      </c>
      <c r="S80"/>
      <c r="T80"/>
      <c r="U80"/>
      <c r="V80">
        <f t="shared" si="37"/>
        <v>0</v>
      </c>
      <c r="W80"/>
      <c r="X80"/>
      <c r="Z80" s="517"/>
      <c r="AX80" s="517"/>
      <c r="BI80" s="518"/>
      <c r="BJ80" s="518"/>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85" s="501" customFormat="1" hidden="1">
      <c r="A81" s="498" t="s">
        <v>292</v>
      </c>
      <c r="B81" s="498"/>
      <c r="C81" s="498"/>
      <c r="D81" s="498"/>
      <c r="E81" s="498"/>
      <c r="F81" s="498"/>
      <c r="G81" s="498"/>
      <c r="H81" s="498"/>
      <c r="I81" s="506"/>
      <c r="J81" s="511"/>
      <c r="K81" s="511"/>
      <c r="L81" s="511"/>
      <c r="M81" s="4"/>
      <c r="N81" s="4"/>
      <c r="O81" s="4"/>
      <c r="P81" s="4"/>
      <c r="Q81"/>
      <c r="R81">
        <f t="shared" si="36"/>
        <v>0</v>
      </c>
      <c r="S81"/>
      <c r="T81"/>
      <c r="U81"/>
      <c r="V81">
        <f t="shared" si="37"/>
        <v>0</v>
      </c>
      <c r="W81"/>
      <c r="X81"/>
      <c r="Z81" s="517"/>
      <c r="AX81" s="517"/>
      <c r="BI81" s="518"/>
      <c r="BJ81" s="518"/>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85" s="501" customFormat="1" hidden="1">
      <c r="A82" s="498">
        <f>COUNTIF($C$9,"Skema 1")+COUNTIF($C$9,"Skema 2")+COUNTIF($C$9,"Skema 3")+COUNTIF($C$9,"Skema 4")+COUNTIF($C$9,"Fagdag")+COUNTIF($C$9,"Emnedag")+COUNTIF($C$9,"Lejrskole")+COUNTIF($C$9,"Ekskursion")+COUNTIF($C$9,"Pæd.dag")</f>
        <v>0</v>
      </c>
      <c r="B82" s="498"/>
      <c r="C82" s="498"/>
      <c r="D82" s="498"/>
      <c r="E82" s="498"/>
      <c r="F82" s="498" t="s">
        <v>201</v>
      </c>
      <c r="G82" s="498">
        <f>COUNTIFS($B$9:$B$39,"ma",[0]!December,"Skema 4")</f>
        <v>0</v>
      </c>
      <c r="H82" s="498"/>
      <c r="I82" s="506"/>
      <c r="J82" s="511"/>
      <c r="K82" s="511"/>
      <c r="L82" s="511"/>
      <c r="M82" s="4"/>
      <c r="N82" s="4"/>
      <c r="O82" s="4"/>
      <c r="P82" s="4"/>
      <c r="Q82"/>
      <c r="R82">
        <f t="shared" si="36"/>
        <v>0</v>
      </c>
      <c r="S82"/>
      <c r="T82"/>
      <c r="U82"/>
      <c r="V82">
        <f t="shared" si="37"/>
        <v>0</v>
      </c>
      <c r="W82"/>
      <c r="X82"/>
      <c r="Z82" s="517"/>
      <c r="AX82" s="517"/>
      <c r="BI82" s="518"/>
      <c r="BJ82" s="518"/>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85" s="501" customFormat="1" hidden="1">
      <c r="A83" s="498">
        <f>COUNTIF($C$15:$C$16,"Skema 1")+COUNTIF($C$15:$C$16,"Skema 2")+COUNTIF($C$15:$C$16,"Skema 3")+COUNTIF($C$15:$C$16,"Skema 4")+COUNTIF($C$15:$C$16,"Fagdag")+COUNTIF($C$15:$C$16,"Emnedag")+COUNTIF($C$15:$C$16,"Lejrskole")+COUNTIF($C$15:$C$16,"Ekskursion")+COUNTIF($C$15:$C$16,"Pæd.dag")</f>
        <v>0</v>
      </c>
      <c r="B83" s="498"/>
      <c r="C83" s="498"/>
      <c r="D83" s="498"/>
      <c r="E83" s="498"/>
      <c r="F83" s="498" t="s">
        <v>202</v>
      </c>
      <c r="G83" s="498">
        <f>COUNTIFS($B$9:$B$39,"ti",[0]!December,"Skema 4")</f>
        <v>0</v>
      </c>
      <c r="H83" s="498"/>
      <c r="I83" s="506"/>
      <c r="J83" s="511"/>
      <c r="K83" s="511"/>
      <c r="L83" s="511"/>
      <c r="M83" s="4"/>
      <c r="N83" s="4"/>
      <c r="O83" s="4"/>
      <c r="P83" s="4"/>
      <c r="Q83"/>
      <c r="R83">
        <f t="shared" si="36"/>
        <v>0</v>
      </c>
      <c r="S83"/>
      <c r="T83"/>
      <c r="U83"/>
      <c r="V83">
        <f t="shared" si="37"/>
        <v>0</v>
      </c>
      <c r="W83"/>
      <c r="X83"/>
      <c r="Z83" s="517"/>
      <c r="AX83" s="517"/>
      <c r="BI83" s="518"/>
      <c r="BJ83" s="518"/>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85" s="501" customFormat="1" hidden="1">
      <c r="A84" s="498">
        <f>COUNTIF($C$22:$C$23,"Skema 1")+COUNTIF($C$22:$C$23,"Skema 2")+COUNTIF($C$22:$C$23,"Skema 3")+COUNTIF($C$22:$C$23,"Skema 4")+COUNTIF($C$22:$C$23,"Fagdag")+COUNTIF($C$22:$C$23,"Emnedag")+COUNTIF($C$22:$C$23,"Lejrskole")+COUNTIF($C$22:$C$23,"Ekskursion")+COUNTIF($C$22:$C$23,"Pæd.dag")</f>
        <v>0</v>
      </c>
      <c r="B84" s="498"/>
      <c r="C84" s="498"/>
      <c r="D84" s="498"/>
      <c r="E84" s="498"/>
      <c r="F84" s="498" t="s">
        <v>203</v>
      </c>
      <c r="G84" s="498">
        <f>COUNTIFS($B$9:$B$39,"on",[0]!December,"Skema 4")</f>
        <v>0</v>
      </c>
      <c r="H84" s="498"/>
      <c r="I84" s="506"/>
      <c r="J84" s="511"/>
      <c r="K84" s="511"/>
      <c r="L84" s="511"/>
      <c r="M84" s="4"/>
      <c r="N84" s="4"/>
      <c r="O84" s="4"/>
      <c r="P84" s="4"/>
      <c r="Q84"/>
      <c r="R84">
        <f t="shared" si="36"/>
        <v>0</v>
      </c>
      <c r="S84"/>
      <c r="T84"/>
      <c r="U84"/>
      <c r="V84">
        <f t="shared" si="37"/>
        <v>0</v>
      </c>
      <c r="W84"/>
      <c r="X84"/>
      <c r="Z84" s="517"/>
      <c r="AX84" s="517"/>
      <c r="BI84" s="518"/>
      <c r="BJ84" s="518"/>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85" hidden="1">
      <c r="A85" s="498">
        <f>COUNTIF($C$29:$C$30,"Skema 1")+COUNTIF($C$29:$C$30,"Skema 2")+COUNTIF($C$29:$C$30,"Skema 3")+COUNTIF($C$29:$C$30,"Skema 4")+COUNTIF($C$29:$C$30,"Fagdag")+COUNTIF($C$29:$C$30,"Emnedag")+COUNTIF($C$29:$C$30,"Lejrskole")+COUNTIF($C$29:$C$30,"Ekskursion")+COUNTIF($C$29:$C$30,"Pæd.dag")</f>
        <v>0</v>
      </c>
      <c r="B85" s="123"/>
      <c r="C85" s="123"/>
      <c r="D85" s="123"/>
      <c r="E85" s="123"/>
      <c r="F85" s="123" t="s">
        <v>204</v>
      </c>
      <c r="G85" s="123">
        <f>COUNTIFS($B$9:$B$39,"to",[0]!December,"Skema 4")</f>
        <v>0</v>
      </c>
      <c r="H85" s="498"/>
      <c r="I85" s="506"/>
      <c r="J85" s="511"/>
      <c r="K85" s="511"/>
      <c r="L85" s="511"/>
      <c r="M85" s="4"/>
      <c r="N85" s="4"/>
      <c r="O85" s="4"/>
      <c r="P85" s="4"/>
      <c r="R85">
        <f t="shared" si="36"/>
        <v>0</v>
      </c>
      <c r="V85">
        <f t="shared" si="37"/>
        <v>0</v>
      </c>
      <c r="Y85"/>
      <c r="Z85"/>
      <c r="AO85" s="1">
        <f>SUM(N85:AN85)</f>
        <v>0</v>
      </c>
      <c r="BL85" s="1">
        <f>SUM(AI85:BK85)</f>
        <v>0</v>
      </c>
      <c r="BW85" s="248"/>
      <c r="BX85" s="248"/>
      <c r="CY85"/>
      <c r="CZ85"/>
    </row>
    <row r="86" spans="1:185" hidden="1">
      <c r="A86" s="498">
        <f>COUNTIF($C$36:$C$37,"Skema 1")+COUNTIF($C$36:$C$37,"Skema 2")+COUNTIF($C$36:$C$37,"Skema 3")+COUNTIF($C$36:$C$37,"Skema 4")+COUNTIF($C$36:$C$37,"Fagdag")+COUNTIF($C$36:$C$37,"Emnedag")+COUNTIF($C$36:$C$37,"Lejrskole")+COUNTIF($C$36:$C$37,"Ekskursion")+COUNTIF($C$36:$C$37,"Pæd.dag")</f>
        <v>0</v>
      </c>
      <c r="B86" s="123"/>
      <c r="C86" s="123"/>
      <c r="D86" s="123"/>
      <c r="E86" s="123"/>
      <c r="F86" s="123" t="s">
        <v>205</v>
      </c>
      <c r="G86" s="123">
        <f>COUNTIFS($B$9:$B$39,"fr",[0]!December,"Skema 4")</f>
        <v>0</v>
      </c>
      <c r="H86" s="498"/>
      <c r="I86" s="498"/>
      <c r="J86" s="501"/>
      <c r="K86" s="501"/>
      <c r="L86" s="41"/>
      <c r="R86">
        <f t="shared" si="36"/>
        <v>0</v>
      </c>
      <c r="V86">
        <f t="shared" si="37"/>
        <v>0</v>
      </c>
      <c r="Y86"/>
      <c r="Z86"/>
      <c r="AO86" s="1">
        <f>SUM(N86:AN86)</f>
        <v>0</v>
      </c>
      <c r="BL86" s="1">
        <f>SUM(AI86:BK86)</f>
        <v>0</v>
      </c>
      <c r="BW86" s="248"/>
      <c r="BX86" s="248"/>
      <c r="CY86"/>
      <c r="CZ86"/>
    </row>
    <row r="87" spans="1:185" hidden="1">
      <c r="A87" s="498">
        <f>SUM(A82:A86)</f>
        <v>0</v>
      </c>
      <c r="B87" s="123"/>
      <c r="C87" s="123"/>
      <c r="D87" s="123"/>
      <c r="E87" s="123"/>
      <c r="F87" s="123"/>
      <c r="G87" s="396">
        <f>SUM(G64:G86)</f>
        <v>13</v>
      </c>
      <c r="H87" s="501"/>
      <c r="I87" s="498"/>
      <c r="J87" s="501"/>
      <c r="K87" s="501"/>
      <c r="L87" s="41"/>
      <c r="R87">
        <f t="shared" si="36"/>
        <v>0</v>
      </c>
      <c r="V87">
        <f t="shared" si="37"/>
        <v>0</v>
      </c>
      <c r="Y87"/>
      <c r="Z87"/>
      <c r="AO87" s="1">
        <f>SUM(N87:AN87)</f>
        <v>0</v>
      </c>
      <c r="BL87" s="1">
        <f>SUM(AI87:BK87)</f>
        <v>0</v>
      </c>
      <c r="BW87" s="248"/>
      <c r="BX87" s="248"/>
      <c r="CY87"/>
      <c r="CZ87"/>
    </row>
    <row r="88" spans="1:185" hidden="1">
      <c r="A88" s="41"/>
      <c r="B88" s="41"/>
      <c r="C88" s="41"/>
      <c r="D88" s="41"/>
      <c r="E88" s="123"/>
      <c r="F88" s="123"/>
      <c r="G88" s="123"/>
      <c r="H88" s="41"/>
      <c r="I88" s="501"/>
      <c r="J88" s="501"/>
      <c r="K88" s="501"/>
      <c r="L88" s="41"/>
      <c r="R88">
        <f t="shared" si="36"/>
        <v>0</v>
      </c>
      <c r="V88">
        <f t="shared" si="37"/>
        <v>0</v>
      </c>
      <c r="Y88"/>
      <c r="Z88"/>
      <c r="AO88" s="1">
        <f>SUM(N88:AN88)</f>
        <v>0</v>
      </c>
      <c r="BL88" s="1">
        <f>SUM(AI88:BK88)</f>
        <v>0</v>
      </c>
      <c r="BW88" s="248"/>
      <c r="BX88" s="248"/>
      <c r="CY88"/>
      <c r="CZ88"/>
    </row>
    <row r="89" spans="1:185" hidden="1">
      <c r="A89" s="41"/>
      <c r="B89" s="41"/>
      <c r="C89" s="41"/>
      <c r="D89" s="41"/>
      <c r="E89" s="123"/>
      <c r="F89" s="123"/>
      <c r="G89" s="123"/>
      <c r="H89" s="41"/>
      <c r="I89" s="41"/>
      <c r="J89" s="501"/>
      <c r="K89" s="501"/>
      <c r="L89" s="41"/>
      <c r="R89">
        <f t="shared" si="36"/>
        <v>0</v>
      </c>
      <c r="V89">
        <f t="shared" si="37"/>
        <v>0</v>
      </c>
      <c r="Y89"/>
      <c r="Z89"/>
      <c r="BW89" s="248"/>
      <c r="BX89" s="248"/>
      <c r="CY89"/>
      <c r="CZ89"/>
    </row>
    <row r="90" spans="1:185" hidden="1">
      <c r="A90" s="41"/>
      <c r="B90" s="41"/>
      <c r="C90" s="41"/>
      <c r="D90" s="41"/>
      <c r="E90" s="123"/>
      <c r="F90" s="123"/>
      <c r="G90" s="123"/>
      <c r="H90" s="41"/>
      <c r="I90" s="41"/>
      <c r="J90" s="41"/>
      <c r="K90" s="41"/>
      <c r="L90" s="41"/>
      <c r="R90">
        <f t="shared" si="36"/>
        <v>0</v>
      </c>
      <c r="V90">
        <f t="shared" si="37"/>
        <v>0</v>
      </c>
      <c r="Y90"/>
      <c r="Z90"/>
      <c r="BW90" s="248"/>
      <c r="BX90" s="248"/>
      <c r="CY90"/>
      <c r="CZ90"/>
    </row>
    <row r="91" spans="1:185" hidden="1">
      <c r="A91" s="41"/>
      <c r="B91" s="41"/>
      <c r="C91" s="41"/>
      <c r="D91" s="41"/>
      <c r="E91" s="123"/>
      <c r="F91" s="123"/>
      <c r="G91" s="123"/>
      <c r="H91" s="41"/>
      <c r="I91" s="41"/>
      <c r="J91" s="41"/>
      <c r="K91" s="41"/>
      <c r="L91" s="41"/>
      <c r="R91">
        <f t="shared" si="36"/>
        <v>0</v>
      </c>
      <c r="V91">
        <f t="shared" si="37"/>
        <v>0</v>
      </c>
      <c r="Y91"/>
      <c r="Z91"/>
      <c r="BW91" s="248"/>
      <c r="BX91" s="248"/>
      <c r="CY91"/>
      <c r="CZ91"/>
    </row>
    <row r="92" spans="1:185" hidden="1">
      <c r="A92" s="41"/>
      <c r="B92" s="41"/>
      <c r="C92" s="41"/>
      <c r="D92" s="41"/>
      <c r="E92" s="123"/>
      <c r="F92" s="123"/>
      <c r="G92" s="123"/>
      <c r="I92" s="41"/>
      <c r="J92" s="41"/>
      <c r="K92" s="41"/>
      <c r="L92" s="41"/>
      <c r="R92">
        <f t="shared" si="36"/>
        <v>0</v>
      </c>
      <c r="V92">
        <f t="shared" si="37"/>
        <v>0</v>
      </c>
      <c r="Y92"/>
      <c r="Z92"/>
      <c r="BW92" s="248"/>
      <c r="BX92" s="248"/>
      <c r="CY92"/>
      <c r="CZ92"/>
    </row>
    <row r="93" spans="1:185" hidden="1">
      <c r="A93" s="41"/>
      <c r="B93" s="41"/>
      <c r="C93" s="41"/>
      <c r="D93" s="41"/>
      <c r="E93" s="123"/>
      <c r="F93" s="123"/>
      <c r="G93" s="123"/>
      <c r="I93" s="41"/>
      <c r="J93" s="41"/>
      <c r="K93" s="41"/>
      <c r="L93" s="41"/>
      <c r="R93">
        <f t="shared" si="36"/>
        <v>0</v>
      </c>
      <c r="V93">
        <f t="shared" si="37"/>
        <v>0</v>
      </c>
      <c r="Y93"/>
      <c r="Z93"/>
      <c r="AF93" s="231"/>
      <c r="BW93" s="248"/>
      <c r="BX93" s="248"/>
      <c r="CY93"/>
      <c r="CZ93"/>
    </row>
    <row r="94" spans="1:185" hidden="1">
      <c r="A94" s="445"/>
      <c r="B94" s="445"/>
      <c r="C94" s="445"/>
      <c r="D94" s="445"/>
      <c r="E94" s="118"/>
      <c r="F94" s="118"/>
      <c r="G94" s="118"/>
      <c r="I94" s="41"/>
      <c r="J94" s="41"/>
      <c r="K94" s="41"/>
      <c r="L94" s="41"/>
      <c r="R94">
        <f t="shared" si="36"/>
        <v>0</v>
      </c>
      <c r="V94">
        <f t="shared" si="37"/>
        <v>0</v>
      </c>
      <c r="Y94"/>
      <c r="Z94"/>
      <c r="AD94" s="4"/>
      <c r="AE94" s="231"/>
      <c r="AF94" s="231"/>
      <c r="AG94" s="231"/>
      <c r="AH94" s="231"/>
      <c r="CY94"/>
      <c r="CZ94"/>
      <c r="DF94" s="248"/>
      <c r="DG94" s="248"/>
    </row>
    <row r="95" spans="1:185" hidden="1">
      <c r="A95" s="445"/>
      <c r="B95" s="445"/>
      <c r="C95" s="445"/>
      <c r="D95" s="445"/>
      <c r="E95" s="118"/>
      <c r="F95" s="118"/>
      <c r="G95" s="118"/>
      <c r="I95" s="41"/>
      <c r="J95" s="41"/>
      <c r="K95" s="41"/>
      <c r="L95" s="41"/>
      <c r="R95">
        <f t="shared" si="36"/>
        <v>0</v>
      </c>
      <c r="V95">
        <f t="shared" si="37"/>
        <v>0</v>
      </c>
      <c r="Y95"/>
      <c r="Z95"/>
      <c r="AD95" s="4"/>
      <c r="AE95" s="231"/>
      <c r="AG95" s="231"/>
      <c r="AH95" s="231"/>
      <c r="CY95"/>
      <c r="CZ95"/>
      <c r="DF95" s="248"/>
      <c r="DG95" s="248"/>
    </row>
    <row r="96" spans="1:185" hidden="1">
      <c r="A96" s="445"/>
      <c r="B96" s="445"/>
      <c r="C96" s="445"/>
      <c r="D96" s="445"/>
      <c r="E96" s="118"/>
      <c r="F96" s="118"/>
      <c r="G96" s="118"/>
      <c r="I96" s="41"/>
      <c r="J96" s="41"/>
      <c r="K96" s="41"/>
      <c r="L96" s="41"/>
      <c r="R96">
        <f t="shared" si="36"/>
        <v>0</v>
      </c>
      <c r="V96">
        <f t="shared" si="37"/>
        <v>0</v>
      </c>
    </row>
    <row r="97" spans="1:22" hidden="1">
      <c r="A97" s="445"/>
      <c r="B97" s="445"/>
      <c r="C97" s="445"/>
      <c r="D97" s="445"/>
      <c r="E97" s="118"/>
      <c r="F97" s="118"/>
      <c r="G97" s="118"/>
      <c r="I97" s="41"/>
      <c r="J97" s="41"/>
      <c r="K97" s="41"/>
      <c r="L97" s="41"/>
      <c r="R97">
        <f t="shared" si="36"/>
        <v>0</v>
      </c>
      <c r="V97">
        <f t="shared" si="37"/>
        <v>0</v>
      </c>
    </row>
    <row r="98" spans="1:22" hidden="1">
      <c r="A98" s="445"/>
      <c r="B98" s="445"/>
      <c r="C98" s="445"/>
      <c r="D98" s="445"/>
      <c r="E98" s="445"/>
      <c r="F98" s="445"/>
      <c r="G98" s="445"/>
      <c r="I98" s="41"/>
      <c r="J98" s="41"/>
      <c r="K98" s="41"/>
      <c r="L98" s="41"/>
      <c r="R98">
        <f t="shared" si="36"/>
        <v>0</v>
      </c>
      <c r="V98">
        <f t="shared" si="37"/>
        <v>0</v>
      </c>
    </row>
    <row r="99" spans="1:22" hidden="1">
      <c r="A99" s="445"/>
      <c r="B99" s="445"/>
      <c r="C99" s="445"/>
      <c r="D99" s="445"/>
      <c r="E99" s="445"/>
      <c r="F99" s="445"/>
      <c r="G99" s="445"/>
      <c r="I99" s="41"/>
      <c r="J99" s="41"/>
      <c r="K99" s="41"/>
      <c r="L99" s="41"/>
      <c r="R99">
        <f t="shared" si="36"/>
        <v>0</v>
      </c>
      <c r="V99">
        <f t="shared" si="37"/>
        <v>0</v>
      </c>
    </row>
    <row r="100" spans="1:22" hidden="1">
      <c r="A100" s="445"/>
      <c r="B100" s="445"/>
      <c r="C100" s="445"/>
      <c r="D100" s="445"/>
      <c r="E100" s="445"/>
      <c r="F100" s="445"/>
      <c r="G100" s="445"/>
      <c r="I100" s="41"/>
      <c r="J100" s="41"/>
      <c r="K100" s="41"/>
      <c r="L100" s="445"/>
      <c r="R100">
        <f t="shared" si="36"/>
        <v>0</v>
      </c>
      <c r="V100">
        <f t="shared" si="37"/>
        <v>0</v>
      </c>
    </row>
    <row r="101" spans="1:22" hidden="1">
      <c r="A101" s="445"/>
      <c r="B101" s="445"/>
      <c r="C101" s="445"/>
      <c r="D101" s="445"/>
      <c r="I101" s="41"/>
      <c r="J101" s="41"/>
      <c r="K101" s="41"/>
      <c r="L101" s="445"/>
      <c r="R101">
        <f t="shared" si="36"/>
        <v>0</v>
      </c>
      <c r="V101">
        <f t="shared" si="37"/>
        <v>0</v>
      </c>
    </row>
    <row r="102" spans="1:22" hidden="1">
      <c r="I102" s="41"/>
      <c r="J102" s="41"/>
      <c r="K102" s="41"/>
      <c r="L102" s="445"/>
      <c r="R102">
        <f t="shared" si="36"/>
        <v>0</v>
      </c>
      <c r="V102">
        <f t="shared" si="37"/>
        <v>0</v>
      </c>
    </row>
    <row r="103" spans="1:22" hidden="1">
      <c r="I103" s="445"/>
      <c r="J103" s="41"/>
      <c r="K103" s="41"/>
      <c r="L103" s="445"/>
      <c r="R103">
        <f t="shared" si="36"/>
        <v>0</v>
      </c>
      <c r="V103">
        <f t="shared" si="37"/>
        <v>0</v>
      </c>
    </row>
    <row r="104" spans="1:22" hidden="1">
      <c r="I104" s="445"/>
      <c r="J104" s="445"/>
      <c r="K104" s="445"/>
      <c r="L104" s="445"/>
      <c r="R104">
        <f t="shared" si="36"/>
        <v>0</v>
      </c>
      <c r="V104">
        <f t="shared" si="37"/>
        <v>0</v>
      </c>
    </row>
    <row r="105" spans="1:22" ht="17" hidden="1" thickBot="1">
      <c r="I105" s="445"/>
      <c r="J105" s="445"/>
      <c r="K105" s="445"/>
      <c r="L105" s="445"/>
      <c r="R105">
        <f t="shared" si="36"/>
        <v>0</v>
      </c>
      <c r="V105">
        <f t="shared" si="37"/>
        <v>0</v>
      </c>
    </row>
    <row r="106" spans="1:22" ht="17" hidden="1" thickBot="1">
      <c r="I106" s="445"/>
      <c r="J106" s="445"/>
      <c r="K106" s="445"/>
      <c r="L106" s="445"/>
      <c r="R106" s="693">
        <f>SUM(R75:R105)+FB40</f>
        <v>0</v>
      </c>
      <c r="V106">
        <f>SUM(V75:V105)</f>
        <v>0</v>
      </c>
    </row>
    <row r="107" spans="1:22" hidden="1">
      <c r="I107" s="445"/>
      <c r="J107" s="445"/>
      <c r="K107" s="445"/>
      <c r="L107" s="445"/>
    </row>
    <row r="108" spans="1:22" hidden="1"/>
    <row r="109" spans="1:22" hidden="1"/>
    <row r="110" spans="1:22" hidden="1"/>
    <row r="111" spans="1:22" hidden="1"/>
    <row r="112" spans="1:22" hidden="1"/>
    <row r="113" hidden="1"/>
    <row r="114" hidden="1"/>
  </sheetData>
  <sheetProtection sheet="1" objects="1" scenarios="1"/>
  <mergeCells count="174">
    <mergeCell ref="FQ8:FR8"/>
    <mergeCell ref="DS8:DV8"/>
    <mergeCell ref="DZ8:EB8"/>
    <mergeCell ref="EG8:EI8"/>
    <mergeCell ref="EM8:EN8"/>
    <mergeCell ref="EQ8:ER8"/>
    <mergeCell ref="EU8:EV8"/>
    <mergeCell ref="FC8:FD8"/>
    <mergeCell ref="FG8:FH8"/>
    <mergeCell ref="FK8:FL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E30:G30"/>
    <mergeCell ref="E31:G31"/>
    <mergeCell ref="E33:G33"/>
    <mergeCell ref="E34:G34"/>
    <mergeCell ref="E35:G35"/>
    <mergeCell ref="E29:G29"/>
    <mergeCell ref="E26:G26"/>
    <mergeCell ref="I6:I7"/>
    <mergeCell ref="J6:J7"/>
    <mergeCell ref="E17:G17"/>
    <mergeCell ref="E18:G18"/>
    <mergeCell ref="E19:G19"/>
    <mergeCell ref="E20:G20"/>
    <mergeCell ref="E21:G21"/>
    <mergeCell ref="E22:G22"/>
    <mergeCell ref="BG6:BK6"/>
    <mergeCell ref="BL6:BP6"/>
    <mergeCell ref="AG6:AK6"/>
    <mergeCell ref="E6:G8"/>
    <mergeCell ref="K6:L6"/>
    <mergeCell ref="N6:N7"/>
    <mergeCell ref="O6:O7"/>
    <mergeCell ref="E25:G25"/>
    <mergeCell ref="I8:J8"/>
    <mergeCell ref="AA6:AE6"/>
    <mergeCell ref="S6:X6"/>
    <mergeCell ref="S8:U8"/>
    <mergeCell ref="V8:X8"/>
    <mergeCell ref="E15:G15"/>
    <mergeCell ref="E16:G16"/>
    <mergeCell ref="E23:G23"/>
    <mergeCell ref="E24:G24"/>
    <mergeCell ref="E11:G11"/>
    <mergeCell ref="K8:R8"/>
    <mergeCell ref="B2:E2"/>
    <mergeCell ref="E4:G4"/>
    <mergeCell ref="K4:L4"/>
    <mergeCell ref="A5:R5"/>
    <mergeCell ref="P6:P7"/>
    <mergeCell ref="Q6:Q7"/>
    <mergeCell ref="R6:R7"/>
    <mergeCell ref="A4:D4"/>
    <mergeCell ref="S5:X5"/>
    <mergeCell ref="A3:X3"/>
    <mergeCell ref="A7:D8"/>
    <mergeCell ref="H7:H8"/>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 ref="I53:K53"/>
    <mergeCell ref="M53:U53"/>
    <mergeCell ref="V53:X53"/>
    <mergeCell ref="I54:K54"/>
    <mergeCell ref="E12:G12"/>
    <mergeCell ref="E13:G13"/>
    <mergeCell ref="E14:G14"/>
    <mergeCell ref="EY8:EZ8"/>
    <mergeCell ref="EW6:EZ6"/>
    <mergeCell ref="M52:U52"/>
    <mergeCell ref="V52:X52"/>
    <mergeCell ref="DA6:DE6"/>
    <mergeCell ref="E9:G9"/>
    <mergeCell ref="E10:G10"/>
    <mergeCell ref="BQ6:BU6"/>
    <mergeCell ref="BV6:BZ6"/>
    <mergeCell ref="CD6:CH6"/>
    <mergeCell ref="CI6:CM6"/>
    <mergeCell ref="CN6:CR6"/>
    <mergeCell ref="CS6:CW6"/>
    <mergeCell ref="AL6:AP6"/>
    <mergeCell ref="AQ6:AU6"/>
    <mergeCell ref="AV6:AZ6"/>
    <mergeCell ref="BC6:BF6"/>
  </mergeCells>
  <conditionalFormatting sqref="A9:H9 D10:H31 A10:C39 D32:E32 H32 D33:H39">
    <cfRule type="expression" dxfId="707" priority="101">
      <formula>OR($C9="ekskursion")</formula>
    </cfRule>
    <cfRule type="expression" dxfId="706" priority="107" stopIfTrue="1">
      <formula>OR($C9="Orlov")</formula>
    </cfRule>
    <cfRule type="expression" dxfId="705" priority="106">
      <formula>OR($C9="weekend")</formula>
    </cfRule>
    <cfRule type="expression" dxfId="704" priority="105">
      <formula>OR($C9="feriedag")</formula>
    </cfRule>
    <cfRule type="expression" dxfId="703" priority="104">
      <formula>OR($C9="fagdag")</formula>
    </cfRule>
    <cfRule type="expression" dxfId="702" priority="103">
      <formula>OR($C9="emnedag")</formula>
    </cfRule>
    <cfRule type="expression" dxfId="701" priority="102">
      <formula>OR($C9="lejrskole")</formula>
    </cfRule>
    <cfRule type="expression" dxfId="700" priority="100">
      <formula>OR($C9="SH-dag")</formula>
    </cfRule>
    <cfRule type="expression" dxfId="699" priority="99">
      <formula>OR($C9="nul-dag")</formula>
    </cfRule>
    <cfRule type="expression" dxfId="698" priority="98">
      <formula>OR($C9="pæd.dag")</formula>
    </cfRule>
    <cfRule type="expression" dxfId="697" priority="97">
      <formula>OR($C9="Ikke relevant")</formula>
    </cfRule>
    <cfRule type="expression" dxfId="696" priority="93">
      <formula>OR($C9="Skema 1")</formula>
    </cfRule>
    <cfRule type="expression" dxfId="695" priority="94">
      <formula>OR($C9="skema 2")</formula>
    </cfRule>
    <cfRule type="expression" dxfId="694" priority="95">
      <formula>OR($C9="Skema 3")</formula>
    </cfRule>
    <cfRule type="expression" dxfId="693" priority="96">
      <formula>OR($C9="Skema 4")</formula>
    </cfRule>
  </conditionalFormatting>
  <conditionalFormatting sqref="E20">
    <cfRule type="expression" dxfId="692" priority="109">
      <formula>OR($D19="nul-dag")</formula>
    </cfRule>
    <cfRule type="expression" dxfId="691" priority="110">
      <formula>OR($D19="SH-dag")</formula>
    </cfRule>
    <cfRule type="expression" dxfId="690" priority="111">
      <formula>OR($D19="ekskursion")</formula>
    </cfRule>
    <cfRule type="expression" dxfId="689" priority="112">
      <formula>OR($D19="lejrskole")</formula>
    </cfRule>
    <cfRule type="expression" dxfId="688" priority="108">
      <formula>OR($D19="pæd.dag")</formula>
    </cfRule>
    <cfRule type="expression" dxfId="687" priority="113">
      <formula>OR($D19="emnedag")</formula>
    </cfRule>
    <cfRule type="expression" dxfId="686" priority="114">
      <formula>OR($D19="fagdag")</formula>
    </cfRule>
    <cfRule type="expression" dxfId="685" priority="115">
      <formula>OR($D19="feriedag")</formula>
    </cfRule>
    <cfRule type="expression" dxfId="684" priority="116">
      <formula>OR($D19="weekend")</formula>
    </cfRule>
    <cfRule type="expression" dxfId="683" priority="117" stopIfTrue="1">
      <formula>OR($D19="skoledag")</formula>
    </cfRule>
    <cfRule type="expression" dxfId="682" priority="118">
      <formula>OR($D19="Ikke relevant")</formula>
    </cfRule>
  </conditionalFormatting>
  <conditionalFormatting sqref="H58:H61">
    <cfRule type="expression" dxfId="681" priority="46">
      <formula>OR($A58&gt;0,)</formula>
    </cfRule>
  </conditionalFormatting>
  <conditionalFormatting sqref="I58:I61">
    <cfRule type="expression" dxfId="680" priority="47">
      <formula>OR($C58&gt;0,)</formula>
    </cfRule>
  </conditionalFormatting>
  <conditionalFormatting sqref="K9:K39">
    <cfRule type="expression" dxfId="679" priority="90">
      <formula>OR($C9="Pæd.dag",)</formula>
    </cfRule>
  </conditionalFormatting>
  <conditionalFormatting sqref="K9:L39">
    <cfRule type="expression" dxfId="678" priority="92">
      <formula>OR($C9="Ekskursion",)</formula>
    </cfRule>
    <cfRule type="expression" dxfId="677" priority="91">
      <formula>OR($C9="Lejrskole",)</formula>
    </cfRule>
  </conditionalFormatting>
  <conditionalFormatting sqref="K9:M39">
    <cfRule type="expression" dxfId="676" priority="89">
      <formula>OR($C9="emnedag",)</formula>
    </cfRule>
    <cfRule type="expression" dxfId="675" priority="88">
      <formula>OR($C9="fagdag",)</formula>
    </cfRule>
  </conditionalFormatting>
  <conditionalFormatting sqref="R9:R39">
    <cfRule type="expression" dxfId="674" priority="119">
      <formula>OR($H9&gt;"0",)</formula>
    </cfRule>
  </conditionalFormatting>
  <conditionalFormatting sqref="V9:V39">
    <cfRule type="expression" dxfId="673" priority="55">
      <formula>OR($S9="X",)</formula>
    </cfRule>
  </conditionalFormatting>
  <conditionalFormatting sqref="V49:X52">
    <cfRule type="expression" dxfId="672" priority="48">
      <formula>OR($M49&gt;0,)</formula>
    </cfRule>
  </conditionalFormatting>
  <conditionalFormatting sqref="W9:W39">
    <cfRule type="expression" dxfId="671" priority="54">
      <formula>OR($T9="X",)</formula>
    </cfRule>
  </conditionalFormatting>
  <conditionalFormatting sqref="X9:X39">
    <cfRule type="expression" dxfId="670" priority="53">
      <formula>OR($U9="X",)</formula>
    </cfRule>
  </conditionalFormatting>
  <dataValidations count="3">
    <dataValidation type="list" allowBlank="1" showInputMessage="1" showErrorMessage="1" sqref="S9:T39 U9:U37 A58:D61" xr:uid="{097CEB81-1AE9-CD48-96FF-F462A837FEDB}">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9 I15:I16 I22:I23 I36:I37 I29:I30 I33:I34" xr:uid="{61DC2805-BC0E-524D-BCC0-28561AD184E9}">
      <formula1>$W$1:$W$2</formula1>
    </dataValidation>
    <dataValidation type="list" allowBlank="1" showInputMessage="1" showErrorMessage="1" promptTitle="OBS:" prompt="Ved arrangementer med overnatning ydes istedet for ulempe- og weekendgodtgørelse på hhv. 25% og 50% faste tillæg pr. påbegyndt dag. " sqref="J9:J39" xr:uid="{4491093C-506D-164F-BA01-CBBB80A6F81D}">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37EFE759-2E14-BE47-BE74-01C1CC11467F}">
          <x14:formula1>
            <xm:f>August!$A$89:$A$103</xm:f>
          </x14:formula1>
          <xm:sqref>C9:C39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D0C7-7579-5A40-B201-89777DB2E7FA}">
  <sheetPr>
    <tabColor theme="4" tint="-0.249977111117893"/>
    <pageSetUpPr fitToPage="1"/>
  </sheetPr>
  <dimension ref="A1:GC108"/>
  <sheetViews>
    <sheetView topLeftCell="A6" zoomScale="90" workbookViewId="0">
      <selection activeCell="J24" sqref="J2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1" hidden="1" customWidth="1"/>
    <col min="26" max="26" width="7" style="231"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8" hidden="1" customWidth="1"/>
    <col min="105" max="118" width="10.83203125" hidden="1" customWidth="1"/>
    <col min="119" max="185" width="0" hidden="1" customWidth="1"/>
  </cols>
  <sheetData>
    <row r="1" spans="1:185" ht="16" customHeight="1">
      <c r="A1" s="93"/>
      <c r="B1" s="90"/>
      <c r="C1" s="90"/>
      <c r="D1" s="90"/>
      <c r="E1" s="90"/>
      <c r="F1" s="90"/>
      <c r="G1" s="90"/>
      <c r="H1" s="279"/>
      <c r="I1" s="278"/>
      <c r="J1" s="90"/>
      <c r="K1" s="230"/>
      <c r="L1" s="230"/>
      <c r="M1" s="230"/>
      <c r="N1" s="230"/>
      <c r="O1" s="230"/>
      <c r="P1" s="90"/>
      <c r="Q1" s="90"/>
      <c r="R1" s="90"/>
      <c r="S1" s="90"/>
      <c r="T1" s="90"/>
      <c r="U1" s="90"/>
      <c r="V1" s="90"/>
      <c r="W1" s="90"/>
      <c r="X1" s="41"/>
      <c r="Y1" s="246"/>
      <c r="Z1" s="90"/>
      <c r="AB1" s="90"/>
      <c r="AC1" s="90"/>
      <c r="AH1" s="90"/>
      <c r="AI1" s="90"/>
      <c r="CX1" s="248"/>
      <c r="CZ1"/>
    </row>
    <row r="2" spans="1:185" ht="21" thickBot="1">
      <c r="A2" s="92">
        <v>1</v>
      </c>
      <c r="B2" s="1086"/>
      <c r="C2" s="1086"/>
      <c r="D2" s="1086"/>
      <c r="E2" s="1086"/>
      <c r="F2" s="90"/>
      <c r="G2" s="90"/>
      <c r="H2" s="279"/>
      <c r="I2" s="278"/>
      <c r="J2" s="230"/>
      <c r="K2" s="230"/>
      <c r="L2" s="230"/>
      <c r="M2" s="230"/>
      <c r="N2" s="230"/>
      <c r="O2" s="230"/>
      <c r="P2" s="90"/>
      <c r="Q2" s="90"/>
      <c r="R2" s="90"/>
      <c r="S2" s="90"/>
      <c r="T2" s="90"/>
      <c r="U2" s="90"/>
      <c r="V2" s="90"/>
      <c r="W2" s="123" t="s">
        <v>31</v>
      </c>
      <c r="X2" s="123" t="s">
        <v>31</v>
      </c>
      <c r="Y2"/>
      <c r="Z2" s="90"/>
      <c r="AB2" s="90"/>
      <c r="AC2" s="90"/>
      <c r="AH2" s="90"/>
      <c r="AI2" s="90"/>
      <c r="CX2" s="248"/>
      <c r="CZ2"/>
    </row>
    <row r="3" spans="1:185" ht="17" thickBot="1">
      <c r="A3" s="1115" t="s">
        <v>310</v>
      </c>
      <c r="B3" s="1116"/>
      <c r="C3" s="1116"/>
      <c r="D3" s="1116"/>
      <c r="E3" s="1116"/>
      <c r="F3" s="1116"/>
      <c r="G3" s="1116"/>
      <c r="H3" s="1116"/>
      <c r="I3" s="1116"/>
      <c r="J3" s="1116"/>
      <c r="K3" s="1116"/>
      <c r="L3" s="1116"/>
      <c r="M3" s="1116"/>
      <c r="N3" s="1116"/>
      <c r="O3" s="1116"/>
      <c r="P3" s="1116"/>
      <c r="Q3" s="1116"/>
      <c r="R3" s="1116"/>
      <c r="S3" s="1116"/>
      <c r="T3" s="1116"/>
      <c r="U3" s="1116"/>
      <c r="V3" s="1116"/>
      <c r="W3" s="1116"/>
      <c r="X3" s="1117"/>
      <c r="Y3" s="90"/>
      <c r="Z3"/>
      <c r="AC3" s="90"/>
      <c r="AD3" s="90"/>
      <c r="AF3" s="90"/>
      <c r="CT3" s="248"/>
      <c r="CU3" s="248"/>
      <c r="CY3"/>
      <c r="CZ3"/>
      <c r="FI3" s="878" t="s">
        <v>636</v>
      </c>
      <c r="FJ3" s="879"/>
      <c r="FK3" s="879"/>
      <c r="FL3" s="879"/>
      <c r="FM3" s="879"/>
      <c r="FN3" s="879"/>
      <c r="FO3" s="879"/>
      <c r="FP3" s="879"/>
      <c r="FQ3" s="879"/>
      <c r="FR3" s="879"/>
      <c r="FS3" s="879"/>
      <c r="FT3" s="879"/>
      <c r="FU3" s="879"/>
      <c r="FV3" s="879"/>
      <c r="FW3" s="879"/>
      <c r="FX3" s="879"/>
      <c r="FY3" s="879"/>
      <c r="FZ3" s="879"/>
      <c r="GA3" s="879"/>
      <c r="GB3" s="879"/>
      <c r="GC3" s="880"/>
    </row>
    <row r="4" spans="1:185" ht="254" customHeight="1" thickBot="1">
      <c r="A4" s="915" t="s">
        <v>432</v>
      </c>
      <c r="B4" s="916"/>
      <c r="C4" s="916"/>
      <c r="D4" s="916"/>
      <c r="E4" s="920" t="s">
        <v>311</v>
      </c>
      <c r="F4" s="920"/>
      <c r="G4" s="920"/>
      <c r="H4" s="280" t="s">
        <v>414</v>
      </c>
      <c r="I4" s="438" t="s">
        <v>467</v>
      </c>
      <c r="J4" s="438" t="s">
        <v>468</v>
      </c>
      <c r="K4" s="931" t="s">
        <v>515</v>
      </c>
      <c r="L4" s="931"/>
      <c r="M4" s="486" t="s">
        <v>457</v>
      </c>
      <c r="N4" s="486" t="s">
        <v>433</v>
      </c>
      <c r="O4" s="486" t="s">
        <v>434</v>
      </c>
      <c r="P4" s="487" t="s">
        <v>458</v>
      </c>
      <c r="Q4" s="487" t="s">
        <v>309</v>
      </c>
      <c r="R4" s="487" t="s">
        <v>435</v>
      </c>
      <c r="S4" s="488" t="s">
        <v>465</v>
      </c>
      <c r="T4" s="488" t="s">
        <v>436</v>
      </c>
      <c r="U4" s="488" t="s">
        <v>437</v>
      </c>
      <c r="V4" s="489" t="s">
        <v>459</v>
      </c>
      <c r="W4" s="489" t="s">
        <v>400</v>
      </c>
      <c r="X4" s="490" t="s">
        <v>399</v>
      </c>
      <c r="Y4" s="246"/>
      <c r="Z4" s="90"/>
      <c r="AB4" s="90"/>
      <c r="AC4" s="90"/>
      <c r="AH4" s="90"/>
      <c r="AI4" s="90"/>
      <c r="CX4" s="248"/>
      <c r="CZ4"/>
      <c r="FI4" s="730" t="s">
        <v>634</v>
      </c>
      <c r="FJ4" s="730"/>
      <c r="FK4" s="730"/>
      <c r="FL4" s="730"/>
      <c r="FM4" t="s">
        <v>627</v>
      </c>
      <c r="FO4" s="730" t="s">
        <v>633</v>
      </c>
      <c r="FP4" s="730"/>
      <c r="FQ4" s="730"/>
      <c r="FR4" s="730"/>
    </row>
    <row r="5" spans="1:185" ht="26" customHeight="1" thickBot="1">
      <c r="A5" s="932" t="str">
        <f>""&amp;A7&amp;" måneds kalender for: "&amp;Stamoplysninger!E8&amp;". Måneden vedr. normperioden: "&amp;Stamoplysninger!E11&amp;" - "&amp;Stamoplysninger!G11&amp;"."</f>
        <v>Januar måneds kalender for: Beate Simonsen. Måneden vedr. normperioden: 01.08.2024 - 31.07.2025.</v>
      </c>
      <c r="B5" s="933"/>
      <c r="C5" s="933"/>
      <c r="D5" s="933"/>
      <c r="E5" s="933"/>
      <c r="F5" s="933"/>
      <c r="G5" s="933"/>
      <c r="H5" s="933"/>
      <c r="I5" s="933"/>
      <c r="J5" s="933"/>
      <c r="K5" s="933"/>
      <c r="L5" s="933"/>
      <c r="M5" s="933"/>
      <c r="N5" s="933"/>
      <c r="O5" s="933"/>
      <c r="P5" s="933"/>
      <c r="Q5" s="933"/>
      <c r="R5" s="933"/>
      <c r="S5" s="925" t="s">
        <v>306</v>
      </c>
      <c r="T5" s="926"/>
      <c r="U5" s="926"/>
      <c r="V5" s="926"/>
      <c r="W5" s="926"/>
      <c r="X5" s="927"/>
      <c r="Y5" s="246"/>
      <c r="Z5" s="90"/>
      <c r="AB5" s="90"/>
      <c r="AC5" s="90"/>
      <c r="AH5" s="90"/>
      <c r="AI5" s="90"/>
      <c r="CX5" s="248"/>
      <c r="CZ5"/>
      <c r="FI5" s="881" t="s">
        <v>620</v>
      </c>
      <c r="FJ5" s="881"/>
      <c r="FK5" s="881"/>
      <c r="FL5" s="881"/>
      <c r="FM5" s="881"/>
      <c r="FN5" s="881"/>
      <c r="FO5" s="881"/>
      <c r="FP5" s="881"/>
      <c r="FQ5" s="881"/>
      <c r="FR5" s="881"/>
      <c r="FU5" t="s">
        <v>635</v>
      </c>
      <c r="FV5" t="s">
        <v>628</v>
      </c>
      <c r="FX5" t="s">
        <v>629</v>
      </c>
      <c r="FZ5" t="s">
        <v>630</v>
      </c>
      <c r="GB5" s="526" t="s">
        <v>631</v>
      </c>
    </row>
    <row r="6" spans="1:185" ht="47" customHeight="1">
      <c r="A6" s="329">
        <v>2025</v>
      </c>
      <c r="B6" s="242"/>
      <c r="C6" s="243"/>
      <c r="D6" s="244"/>
      <c r="E6" s="940" t="s">
        <v>471</v>
      </c>
      <c r="F6" s="941"/>
      <c r="G6" s="942"/>
      <c r="H6" s="326" t="s">
        <v>324</v>
      </c>
      <c r="I6" s="888" t="s">
        <v>466</v>
      </c>
      <c r="J6" s="938" t="s">
        <v>487</v>
      </c>
      <c r="K6" s="934" t="s">
        <v>303</v>
      </c>
      <c r="L6" s="935"/>
      <c r="M6" s="327" t="s">
        <v>304</v>
      </c>
      <c r="N6" s="888" t="s">
        <v>447</v>
      </c>
      <c r="O6" s="888" t="s">
        <v>308</v>
      </c>
      <c r="P6" s="888" t="s">
        <v>456</v>
      </c>
      <c r="Q6" s="888" t="s">
        <v>387</v>
      </c>
      <c r="R6" s="891" t="s">
        <v>516</v>
      </c>
      <c r="S6" s="953" t="s">
        <v>305</v>
      </c>
      <c r="T6" s="954"/>
      <c r="U6" s="954"/>
      <c r="V6" s="954"/>
      <c r="W6" s="954"/>
      <c r="X6" s="955"/>
      <c r="Y6" s="212"/>
      <c r="Z6" s="212"/>
      <c r="AA6" s="890" t="s">
        <v>261</v>
      </c>
      <c r="AB6" s="890"/>
      <c r="AC6" s="890"/>
      <c r="AD6" s="890"/>
      <c r="AE6" s="890"/>
      <c r="AF6" s="209"/>
      <c r="AG6" s="890" t="s">
        <v>222</v>
      </c>
      <c r="AH6" s="890"/>
      <c r="AI6" s="890"/>
      <c r="AJ6" s="890"/>
      <c r="AK6" s="890"/>
      <c r="AL6" s="890" t="s">
        <v>223</v>
      </c>
      <c r="AM6" s="890"/>
      <c r="AN6" s="890"/>
      <c r="AO6" s="890"/>
      <c r="AP6" s="890"/>
      <c r="AQ6" s="890" t="s">
        <v>224</v>
      </c>
      <c r="AR6" s="890"/>
      <c r="AS6" s="890"/>
      <c r="AT6" s="890"/>
      <c r="AU6" s="890"/>
      <c r="AV6" s="890" t="s">
        <v>225</v>
      </c>
      <c r="AW6" s="890"/>
      <c r="AX6" s="890"/>
      <c r="AY6" s="890"/>
      <c r="AZ6" s="890"/>
      <c r="BA6" s="299"/>
      <c r="BB6" s="209"/>
      <c r="BC6" s="890" t="s">
        <v>264</v>
      </c>
      <c r="BD6" s="890"/>
      <c r="BE6" s="890"/>
      <c r="BF6" s="890"/>
      <c r="BG6" s="890" t="s">
        <v>227</v>
      </c>
      <c r="BH6" s="890"/>
      <c r="BI6" s="890"/>
      <c r="BJ6" s="890"/>
      <c r="BK6" s="890"/>
      <c r="BL6" s="890" t="s">
        <v>228</v>
      </c>
      <c r="BM6" s="890"/>
      <c r="BN6" s="890"/>
      <c r="BO6" s="890"/>
      <c r="BP6" s="890"/>
      <c r="BQ6" s="890" t="s">
        <v>229</v>
      </c>
      <c r="BR6" s="890"/>
      <c r="BS6" s="890"/>
      <c r="BT6" s="890"/>
      <c r="BU6" s="890"/>
      <c r="BV6" s="890" t="s">
        <v>230</v>
      </c>
      <c r="BW6" s="890"/>
      <c r="BX6" s="890"/>
      <c r="BY6" s="890"/>
      <c r="BZ6" s="890"/>
      <c r="CD6" s="890" t="s">
        <v>265</v>
      </c>
      <c r="CE6" s="890"/>
      <c r="CF6" s="890"/>
      <c r="CG6" s="890"/>
      <c r="CH6" s="890"/>
      <c r="CI6" s="890" t="s">
        <v>267</v>
      </c>
      <c r="CJ6" s="890"/>
      <c r="CK6" s="890"/>
      <c r="CL6" s="890"/>
      <c r="CM6" s="890"/>
      <c r="CN6" s="890" t="s">
        <v>266</v>
      </c>
      <c r="CO6" s="890"/>
      <c r="CP6" s="890"/>
      <c r="CQ6" s="890"/>
      <c r="CR6" s="890"/>
      <c r="CS6" s="890" t="s">
        <v>268</v>
      </c>
      <c r="CT6" s="890"/>
      <c r="CU6" s="890"/>
      <c r="CV6" s="890"/>
      <c r="CW6" s="890"/>
      <c r="CX6" s="248"/>
      <c r="CZ6"/>
      <c r="DA6" s="730" t="s">
        <v>212</v>
      </c>
      <c r="DB6" s="730"/>
      <c r="DC6" s="730"/>
      <c r="DD6" s="730"/>
      <c r="DE6" s="730"/>
      <c r="DO6" s="1049" t="s">
        <v>320</v>
      </c>
      <c r="DP6" s="1050"/>
      <c r="DQ6" s="1050"/>
      <c r="DR6" s="1050"/>
      <c r="DS6" s="1050"/>
      <c r="DT6" s="1050"/>
      <c r="DU6" s="1050"/>
      <c r="DV6" s="1051"/>
      <c r="DW6" s="1052" t="s">
        <v>320</v>
      </c>
      <c r="DX6" s="1053"/>
      <c r="DY6" s="1053"/>
      <c r="DZ6" s="1053"/>
      <c r="EA6" s="1053"/>
      <c r="EB6" s="1054"/>
      <c r="EC6" s="1055" t="s">
        <v>376</v>
      </c>
      <c r="ED6" s="1056"/>
      <c r="EE6" s="1056"/>
      <c r="EF6" s="1056"/>
      <c r="EG6" s="1056"/>
      <c r="EH6" s="1056"/>
      <c r="EI6" s="1056"/>
      <c r="EJ6" s="1057"/>
      <c r="EK6" s="1058" t="s">
        <v>321</v>
      </c>
      <c r="EL6" s="1059"/>
      <c r="EM6" s="1059"/>
      <c r="EN6" s="1060"/>
      <c r="EO6" s="1058" t="s">
        <v>325</v>
      </c>
      <c r="EP6" s="1059"/>
      <c r="EQ6" s="1059"/>
      <c r="ER6" s="1060"/>
      <c r="ES6" s="873" t="s">
        <v>379</v>
      </c>
      <c r="ET6" s="874"/>
      <c r="EU6" s="874"/>
      <c r="EV6" s="875"/>
      <c r="EW6" s="873" t="s">
        <v>380</v>
      </c>
      <c r="EX6" s="874"/>
      <c r="EY6" s="874"/>
      <c r="EZ6" s="875"/>
      <c r="FA6" s="873" t="s">
        <v>381</v>
      </c>
      <c r="FB6" s="874"/>
      <c r="FC6" s="874"/>
      <c r="FD6" s="875"/>
      <c r="FE6" s="873" t="s">
        <v>382</v>
      </c>
      <c r="FF6" s="874"/>
      <c r="FG6" s="874"/>
      <c r="FH6" s="875"/>
      <c r="FI6" s="883" t="s">
        <v>605</v>
      </c>
      <c r="FJ6" s="884"/>
      <c r="FK6" s="884"/>
      <c r="FL6" s="1061"/>
      <c r="FM6" s="882" t="s">
        <v>381</v>
      </c>
      <c r="FN6" s="882"/>
      <c r="FO6" s="883" t="s">
        <v>632</v>
      </c>
      <c r="FP6" s="884"/>
      <c r="FQ6" s="884"/>
      <c r="FR6" s="885"/>
      <c r="FS6" s="886" t="s">
        <v>622</v>
      </c>
      <c r="FT6" s="887"/>
      <c r="FU6" t="s">
        <v>625</v>
      </c>
      <c r="FV6" s="882" t="s">
        <v>379</v>
      </c>
      <c r="FW6" s="882"/>
      <c r="FX6" s="882" t="s">
        <v>380</v>
      </c>
      <c r="FY6" s="882"/>
      <c r="FZ6" s="882" t="s">
        <v>382</v>
      </c>
      <c r="GA6" s="882"/>
      <c r="GB6" s="882" t="s">
        <v>378</v>
      </c>
      <c r="GC6" s="882"/>
    </row>
    <row r="7" spans="1:185" ht="182" customHeight="1">
      <c r="A7" s="997" t="s">
        <v>283</v>
      </c>
      <c r="B7" s="998"/>
      <c r="C7" s="998"/>
      <c r="D7" s="999"/>
      <c r="E7" s="943"/>
      <c r="F7" s="944"/>
      <c r="G7" s="945"/>
      <c r="H7" s="952" t="s">
        <v>486</v>
      </c>
      <c r="I7" s="937"/>
      <c r="J7" s="939"/>
      <c r="K7" s="328" t="s">
        <v>517</v>
      </c>
      <c r="L7" s="328" t="s">
        <v>518</v>
      </c>
      <c r="M7" s="328" t="s">
        <v>519</v>
      </c>
      <c r="N7" s="889"/>
      <c r="O7" s="889"/>
      <c r="P7" s="889"/>
      <c r="Q7" s="889"/>
      <c r="R7" s="892"/>
      <c r="S7" s="492" t="s">
        <v>738</v>
      </c>
      <c r="T7" s="327" t="s">
        <v>307</v>
      </c>
      <c r="U7" s="327" t="s">
        <v>401</v>
      </c>
      <c r="V7" s="443" t="s">
        <v>439</v>
      </c>
      <c r="W7" s="443" t="s">
        <v>438</v>
      </c>
      <c r="X7" s="444" t="s">
        <v>398</v>
      </c>
      <c r="Y7" s="212" t="s">
        <v>279</v>
      </c>
      <c r="Z7" s="212" t="s">
        <v>280</v>
      </c>
      <c r="AA7" s="300" t="s">
        <v>211</v>
      </c>
      <c r="AB7" t="s">
        <v>136</v>
      </c>
      <c r="AC7" t="s">
        <v>139</v>
      </c>
      <c r="AD7" t="s">
        <v>138</v>
      </c>
      <c r="AE7" t="s">
        <v>137</v>
      </c>
      <c r="AF7" t="s">
        <v>416</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8"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2" t="s">
        <v>231</v>
      </c>
      <c r="CB7" s="234" t="s">
        <v>251</v>
      </c>
      <c r="CC7" s="300"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8" t="s">
        <v>277</v>
      </c>
      <c r="CY7" s="248" t="s">
        <v>269</v>
      </c>
      <c r="CZ7" s="248" t="s">
        <v>270</v>
      </c>
      <c r="DA7" s="248" t="s">
        <v>271</v>
      </c>
      <c r="DB7" s="248" t="s">
        <v>272</v>
      </c>
      <c r="DC7" s="248" t="s">
        <v>273</v>
      </c>
      <c r="DD7" s="248" t="s">
        <v>274</v>
      </c>
      <c r="DE7" s="248" t="s">
        <v>275</v>
      </c>
      <c r="DF7" s="248" t="s">
        <v>276</v>
      </c>
      <c r="DG7" s="248"/>
      <c r="DO7" s="649" t="s">
        <v>720</v>
      </c>
      <c r="DP7" s="300" t="s">
        <v>721</v>
      </c>
      <c r="DQ7" s="703" t="s">
        <v>725</v>
      </c>
      <c r="DR7" s="703" t="s">
        <v>722</v>
      </c>
      <c r="DS7" s="650" t="s">
        <v>727</v>
      </c>
      <c r="DT7" s="650" t="str">
        <f>DP7</f>
        <v>Ulempetillæg på weekenddage - kræver der er sat kryds i weekendarbejde. KOLONNE I</v>
      </c>
      <c r="DU7" s="705" t="s">
        <v>728</v>
      </c>
      <c r="DV7" s="704" t="str">
        <f>DR7</f>
        <v>Ulempetillæg ændringer på weekenddage. Kræver der er sat kryds i ændring i timetal og at det er en weekeend. KOLONNE I OG S</v>
      </c>
      <c r="DW7" s="649" t="s">
        <v>598</v>
      </c>
      <c r="DX7" s="300" t="s">
        <v>596</v>
      </c>
      <c r="DY7" s="300" t="s">
        <v>597</v>
      </c>
      <c r="DZ7" s="650" t="str">
        <f>DW7</f>
        <v>17-06 timer til udbetaling inkl. ændringer 17-06</v>
      </c>
      <c r="EA7" s="650" t="str">
        <f>DX7</f>
        <v>Ulempetillæg på weekenddage</v>
      </c>
      <c r="EB7" s="651" t="str">
        <f>DY7</f>
        <v>Ulempetillæg ændringer på weekenddage</v>
      </c>
      <c r="EC7" s="706" t="s">
        <v>723</v>
      </c>
      <c r="ED7" s="703" t="s">
        <v>724</v>
      </c>
      <c r="EE7" s="703" t="s">
        <v>726</v>
      </c>
      <c r="EF7" s="703" t="s">
        <v>722</v>
      </c>
      <c r="EG7" s="650" t="s">
        <v>727</v>
      </c>
      <c r="EH7" s="705" t="str">
        <f>ED7</f>
        <v>Ulempetillæg på weekenddage til afspadsering. Kræver der er sat kryds i weekendarb. KOLONNE I</v>
      </c>
      <c r="EI7" s="705" t="s">
        <v>728</v>
      </c>
      <c r="EJ7" s="704" t="str">
        <f>EF7</f>
        <v>Ulempetillæg ændringer på weekenddage. Kræver der er sat kryds i ændring i timetal og at det er en weekeend. KOLONNE I OG S</v>
      </c>
      <c r="EK7" s="656" t="s">
        <v>730</v>
      </c>
      <c r="EL7" s="654" t="s">
        <v>729</v>
      </c>
      <c r="EM7" s="655" t="s">
        <v>733</v>
      </c>
      <c r="EN7" s="657" t="s">
        <v>732</v>
      </c>
      <c r="EO7" s="656" t="s">
        <v>730</v>
      </c>
      <c r="EP7" s="654" t="s">
        <v>729</v>
      </c>
      <c r="EQ7" s="655" t="s">
        <v>733</v>
      </c>
      <c r="ER7" s="657" t="s">
        <v>732</v>
      </c>
      <c r="ES7" s="656" t="s">
        <v>734</v>
      </c>
      <c r="ET7" s="654" t="s">
        <v>735</v>
      </c>
      <c r="EU7" s="655" t="s">
        <v>731</v>
      </c>
      <c r="EV7" s="657" t="s">
        <v>736</v>
      </c>
      <c r="EW7" s="656" t="s">
        <v>734</v>
      </c>
      <c r="EX7" s="654" t="s">
        <v>735</v>
      </c>
      <c r="EY7" s="655" t="s">
        <v>731</v>
      </c>
      <c r="EZ7" s="657" t="s">
        <v>736</v>
      </c>
      <c r="FA7" s="656" t="s">
        <v>737</v>
      </c>
      <c r="FB7" s="654" t="s">
        <v>735</v>
      </c>
      <c r="FC7" s="655" t="s">
        <v>731</v>
      </c>
      <c r="FD7" s="657" t="s">
        <v>736</v>
      </c>
      <c r="FE7" s="656" t="str">
        <f>FA7</f>
        <v>Weekendtimer på weekenddage</v>
      </c>
      <c r="FF7" s="654" t="s">
        <v>735</v>
      </c>
      <c r="FG7" s="655" t="s">
        <v>731</v>
      </c>
      <c r="FH7" s="657" t="s">
        <v>736</v>
      </c>
      <c r="FI7" s="682" t="s">
        <v>619</v>
      </c>
      <c r="FJ7" s="654" t="s">
        <v>600</v>
      </c>
      <c r="FK7" s="682" t="s">
        <v>619</v>
      </c>
      <c r="FL7" s="657" t="s">
        <v>600</v>
      </c>
      <c r="FM7" s="683" t="s">
        <v>613</v>
      </c>
      <c r="FN7" s="684" t="s">
        <v>614</v>
      </c>
      <c r="FO7" s="682" t="s">
        <v>599</v>
      </c>
      <c r="FP7" s="654" t="s">
        <v>600</v>
      </c>
      <c r="FQ7" s="686" t="s">
        <v>599</v>
      </c>
      <c r="FR7" s="687" t="s">
        <v>600</v>
      </c>
      <c r="FS7" s="691" t="s">
        <v>621</v>
      </c>
      <c r="FT7" s="684" t="s">
        <v>621</v>
      </c>
      <c r="FU7" s="300" t="s">
        <v>624</v>
      </c>
      <c r="FV7" s="683" t="s">
        <v>626</v>
      </c>
      <c r="FW7" s="683" t="s">
        <v>626</v>
      </c>
      <c r="FX7" s="683" t="s">
        <v>626</v>
      </c>
      <c r="FY7" s="683" t="s">
        <v>626</v>
      </c>
      <c r="FZ7" s="683" t="s">
        <v>615</v>
      </c>
      <c r="GA7" s="684" t="s">
        <v>616</v>
      </c>
      <c r="GB7" s="683" t="s">
        <v>615</v>
      </c>
      <c r="GC7" s="684" t="s">
        <v>616</v>
      </c>
    </row>
    <row r="8" spans="1:185" ht="20" customHeight="1">
      <c r="A8" s="1000"/>
      <c r="B8" s="1001"/>
      <c r="C8" s="1001"/>
      <c r="D8" s="1002"/>
      <c r="E8" s="946"/>
      <c r="F8" s="947"/>
      <c r="G8" s="948"/>
      <c r="H8" s="889"/>
      <c r="I8" s="928" t="s">
        <v>383</v>
      </c>
      <c r="J8" s="936"/>
      <c r="K8" s="928" t="s">
        <v>326</v>
      </c>
      <c r="L8" s="929"/>
      <c r="M8" s="929"/>
      <c r="N8" s="929"/>
      <c r="O8" s="929"/>
      <c r="P8" s="929"/>
      <c r="Q8" s="929"/>
      <c r="R8" s="929"/>
      <c r="S8" s="956" t="s">
        <v>383</v>
      </c>
      <c r="T8" s="929"/>
      <c r="U8" s="936"/>
      <c r="V8" s="928" t="s">
        <v>384</v>
      </c>
      <c r="W8" s="929"/>
      <c r="X8" s="930"/>
      <c r="Y8" s="212"/>
      <c r="Z8" s="212"/>
      <c r="AA8" s="300"/>
      <c r="BB8" s="228"/>
      <c r="CA8" s="112"/>
      <c r="CB8" s="234"/>
      <c r="CC8" s="300"/>
      <c r="CX8" s="248"/>
      <c r="DA8" s="248"/>
      <c r="DB8" s="248"/>
      <c r="DC8" s="248"/>
      <c r="DD8" s="248"/>
      <c r="DE8" s="248"/>
      <c r="DF8" s="248"/>
      <c r="DG8" s="248"/>
      <c r="DH8" t="s">
        <v>493</v>
      </c>
      <c r="DI8" t="s">
        <v>494</v>
      </c>
      <c r="DJ8" t="s">
        <v>495</v>
      </c>
      <c r="DO8" s="652"/>
      <c r="DS8" s="1063" t="s">
        <v>162</v>
      </c>
      <c r="DT8" s="1063"/>
      <c r="DU8" s="1063"/>
      <c r="DV8" s="1064"/>
      <c r="DW8" s="652"/>
      <c r="DZ8" s="1065" t="s">
        <v>162</v>
      </c>
      <c r="EA8" s="1065"/>
      <c r="EB8" s="1066"/>
      <c r="EG8" s="1065" t="s">
        <v>162</v>
      </c>
      <c r="EH8" s="1065"/>
      <c r="EI8" s="1065"/>
      <c r="EJ8" s="653"/>
      <c r="EK8" s="283"/>
      <c r="EL8" s="251"/>
      <c r="EM8" s="876" t="s">
        <v>162</v>
      </c>
      <c r="EN8" s="877"/>
      <c r="EO8" s="283"/>
      <c r="EP8" s="251"/>
      <c r="EQ8" s="876" t="s">
        <v>162</v>
      </c>
      <c r="ER8" s="877"/>
      <c r="ES8" s="283"/>
      <c r="ET8" s="251"/>
      <c r="EU8" s="876" t="s">
        <v>162</v>
      </c>
      <c r="EV8" s="877"/>
      <c r="EW8" s="283"/>
      <c r="EX8" s="251"/>
      <c r="EY8" s="876" t="s">
        <v>162</v>
      </c>
      <c r="EZ8" s="877"/>
      <c r="FA8" s="283"/>
      <c r="FB8" s="251"/>
      <c r="FC8" s="876" t="s">
        <v>162</v>
      </c>
      <c r="FD8" s="877"/>
      <c r="FE8" s="283"/>
      <c r="FF8" s="251"/>
      <c r="FG8" s="876" t="s">
        <v>162</v>
      </c>
      <c r="FH8" s="877"/>
      <c r="FI8" s="283"/>
      <c r="FJ8" s="251"/>
      <c r="FK8" s="876" t="s">
        <v>162</v>
      </c>
      <c r="FL8" s="877"/>
      <c r="FN8" s="645" t="s">
        <v>160</v>
      </c>
      <c r="FO8" s="283"/>
      <c r="FP8" s="251"/>
      <c r="FQ8" s="876" t="s">
        <v>162</v>
      </c>
      <c r="FR8" s="1062"/>
      <c r="FS8" s="283"/>
      <c r="FT8" s="692" t="s">
        <v>160</v>
      </c>
      <c r="FW8" s="645" t="s">
        <v>160</v>
      </c>
      <c r="FY8" s="645" t="s">
        <v>160</v>
      </c>
      <c r="GA8" s="645" t="s">
        <v>160</v>
      </c>
      <c r="GC8" s="645" t="s">
        <v>160</v>
      </c>
    </row>
    <row r="9" spans="1:185">
      <c r="A9" s="245">
        <f>IF(ISNUMBER(A7),A7+1,1)</f>
        <v>1</v>
      </c>
      <c r="B9" s="128" t="str">
        <f t="shared" ref="B9:B39" si="0">CHOOSE(MOD(WEEKDAY(DATE(A$6,A$2,A9)),7)+1,"lø","sø","ma","ti","on","to","fr",)</f>
        <v>on</v>
      </c>
      <c r="C9" s="129" t="s">
        <v>119</v>
      </c>
      <c r="D9" s="130" t="str">
        <f t="shared" ref="D9:D39" si="1">IF(B9="ma",(DATE(A$6,A$2,A9)-DATE(A$6,1,1)+7)/7,"")</f>
        <v/>
      </c>
      <c r="E9" s="917" t="s">
        <v>141</v>
      </c>
      <c r="F9" s="918"/>
      <c r="G9" s="919"/>
      <c r="H9" s="298"/>
      <c r="I9" s="413"/>
      <c r="J9" s="413"/>
      <c r="K9" s="380"/>
      <c r="L9" s="380"/>
      <c r="M9" s="380"/>
      <c r="N9" s="318">
        <f>BA9</f>
        <v>0</v>
      </c>
      <c r="O9" s="318">
        <f>CA9</f>
        <v>0</v>
      </c>
      <c r="P9" s="318">
        <f>IF(Stamoplysninger!$H$29="JA",Januar!DG9,CX9)</f>
        <v>0</v>
      </c>
      <c r="Q9" s="318">
        <f>IF(OR(C9="Lejrskole",C9="Ekskursion"),0,N9-O9-P9)</f>
        <v>0</v>
      </c>
      <c r="R9" s="319"/>
      <c r="S9" s="324"/>
      <c r="T9" s="325"/>
      <c r="U9" s="325"/>
      <c r="V9" s="435"/>
      <c r="W9" s="412"/>
      <c r="X9" s="642"/>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9">
        <f t="shared" ref="BB9:BB39" si="8">SUM(AG9:AK9)*24</f>
        <v>0</v>
      </c>
      <c r="BC9" s="1">
        <f>IF($C$9="Lejrskole",$L$9,0)</f>
        <v>0</v>
      </c>
      <c r="BD9" s="1">
        <f t="shared" ref="BD9:BD39" si="9">IF(C9="Ekskursion",L9,0)</f>
        <v>0</v>
      </c>
      <c r="BE9" s="1">
        <f t="shared" ref="BE9:BE39" si="10">IF(C9="fagdag",L9,0)</f>
        <v>0</v>
      </c>
      <c r="BF9" s="1">
        <f t="shared" ref="BF9:BF39" si="11">IF(C9="emnedag",L9,0)</f>
        <v>0</v>
      </c>
      <c r="BG9" s="210" t="str">
        <f>IF(AND(C9="Skema 1",B9="ma"),Skemaoplysninger!$E$30,"")</f>
        <v/>
      </c>
      <c r="BH9" s="210" t="str">
        <f>IF(AND(C9="Skema 1",B9="ti"),Skemaoplysninger!$G$30,"")</f>
        <v/>
      </c>
      <c r="BI9" s="210" t="str">
        <f>IF(AND(C9="Skema 1",B9="on"),Skemaoplysninger!$I$30,"")</f>
        <v/>
      </c>
      <c r="BJ9" s="210" t="str">
        <f>IF(AND(C9="Skema 1",B9="to"),Skemaoplysninger!$K$30,"")</f>
        <v/>
      </c>
      <c r="BK9" s="210" t="str">
        <f>IF(AND(C9="Skema 1",B9="fr"),Skemaoplysninger!$M$30,"")</f>
        <v/>
      </c>
      <c r="BL9" s="210" t="str">
        <f>IF(AND(C9="Skema 2",B9="ma"),Skemaoplysninger!$S$30,"")</f>
        <v/>
      </c>
      <c r="BM9" s="210" t="str">
        <f>IF(AND(C9="Skema 2",B9="ti"),Skemaoplysninger!$U$30,"")</f>
        <v/>
      </c>
      <c r="BN9" s="210" t="str">
        <f>IF(AND(C9="Skema 2",B9="on"),Skemaoplysninger!$W$30,"")</f>
        <v/>
      </c>
      <c r="BO9" s="210" t="str">
        <f>IF(AND(C9="Skema 2",B9="to"),Skemaoplysninger!$Y$30,"")</f>
        <v/>
      </c>
      <c r="BP9" s="210" t="str">
        <f>IF(AND(C9="Skema 2",B9="fr"),Skemaoplysninger!$AA$30,"")</f>
        <v/>
      </c>
      <c r="BQ9" s="210" t="str">
        <f>IF(AND(C9="Skema 3",B9="ma"),Skemaoplysninger!$AG$30,"")</f>
        <v/>
      </c>
      <c r="BR9" s="210" t="str">
        <f>IF(AND(C9="Skema 3",B9="ti"),Skemaoplysninger!$AI$30,"")</f>
        <v/>
      </c>
      <c r="BS9" s="210" t="str">
        <f>IF(AND(C9="Skema 3",B9="on"),Skemaoplysninger!$AK$30,"")</f>
        <v/>
      </c>
      <c r="BT9" s="210" t="str">
        <f>IF(AND(C9="Skema 3",B9="to"),Skemaoplysninger!$AM$30,"")</f>
        <v/>
      </c>
      <c r="BU9" s="210" t="str">
        <f>IF(AND(C9="Skema 3",B9="fr"),Skemaoplysninger!$AO$30,"")</f>
        <v/>
      </c>
      <c r="BV9" s="210" t="str">
        <f>IF(AND(C9="Skema 4",B9="ma"),Skemaoplysninger!$AU$30,"")</f>
        <v/>
      </c>
      <c r="BW9" s="210" t="str">
        <f>IF(AND(C9="Skema 4",B9="ti"),Skemaoplysninger!$AW$30,"")</f>
        <v/>
      </c>
      <c r="BX9" s="210" t="str">
        <f>IF(AND(C9="Skema 4",B9="on"),Skemaoplysninger!$AY$30,"")</f>
        <v/>
      </c>
      <c r="BY9" s="210" t="str">
        <f>IF(AND(C9="Skema 4",B9="to"),Skemaoplysninger!$BA$30,"")</f>
        <v/>
      </c>
      <c r="BZ9" s="210" t="str">
        <f>IF(AND(C9="Skema 4",B9="fr"),Skemaoplysninger!$BC$30,"")</f>
        <v/>
      </c>
      <c r="CA9" s="1">
        <f>SUM(BG9:BZ9)*24+SUM(BC9:BF9)</f>
        <v>0</v>
      </c>
      <c r="CB9" s="1">
        <f t="shared" ref="CB9:CB39" si="12">IF(C9="fagdag",M9,0)</f>
        <v>0</v>
      </c>
      <c r="CC9" s="1">
        <f t="shared" ref="CC9:CC39" si="13">IF(C9="emnedag",M9,0)</f>
        <v>0</v>
      </c>
      <c r="CD9" s="210" t="str">
        <f>IF(AND(C9="Skema 1",B9="ma"),Skemaoplysninger!$E$31,"")</f>
        <v/>
      </c>
      <c r="CE9" s="210" t="str">
        <f>IF(AND(C9="Skema 1",B9="ti"),Skemaoplysninger!$G$31,"")</f>
        <v/>
      </c>
      <c r="CF9" s="210" t="str">
        <f>IF(AND(C9="Skema 1",B9="on"),Skemaoplysninger!$I$31,"")</f>
        <v/>
      </c>
      <c r="CG9" s="210" t="str">
        <f>IF(AND(C9="Skema 1",B9="to"),Skemaoplysninger!$K$31,"")</f>
        <v/>
      </c>
      <c r="CH9" s="210" t="str">
        <f>IF(AND(C9="Skema 1",B9="fr"),Skemaoplysninger!$M$31,"")</f>
        <v/>
      </c>
      <c r="CI9" s="210" t="str">
        <f>IF(AND(C9="Skema 2",B9="ma"),Skemaoplysninger!$S$31,"")</f>
        <v/>
      </c>
      <c r="CJ9" s="210" t="str">
        <f>IF(AND(C9="Skema 2",B9="ti"),Skemaoplysninger!$U$31,"")</f>
        <v/>
      </c>
      <c r="CK9" s="210" t="str">
        <f>IF(AND(C9="Skema 2",B9="on"),Skemaoplysninger!$W$31,"")</f>
        <v/>
      </c>
      <c r="CL9" s="210" t="str">
        <f>IF(AND(C9="Skema 2",B9="to"),Skemaoplysninger!$Y$31,"")</f>
        <v/>
      </c>
      <c r="CM9" s="210" t="str">
        <f>IF(AND(C9="Skema 2",B9="fr"),Skemaoplysninger!$AA$31,"")</f>
        <v/>
      </c>
      <c r="CN9" s="210" t="str">
        <f>IF(AND(C9="Skema 3",B9="ma"),Skemaoplysninger!$AG$31,"")</f>
        <v/>
      </c>
      <c r="CO9" s="210" t="str">
        <f>IF(AND(C9="Skema 3",B9="ti"),Skemaoplysninger!$AI$31,"")</f>
        <v/>
      </c>
      <c r="CP9" s="210" t="str">
        <f>IF(AND(C9="Skema 3",B9="on"),Skemaoplysninger!$AK$31,"")</f>
        <v/>
      </c>
      <c r="CQ9" s="210" t="str">
        <f>IF(AND(C9="Skema 3",B9="to"),Skemaoplysninger!$AM$31,"")</f>
        <v/>
      </c>
      <c r="CR9" s="210" t="str">
        <f>IF(AND(C9="Skema 3",B9="fr"),Skemaoplysninger!$AO$31,"")</f>
        <v/>
      </c>
      <c r="CS9" s="210" t="str">
        <f>IF(AND(C9="Skema 4",B9="ma"),Skemaoplysninger!$AU$31,"")</f>
        <v/>
      </c>
      <c r="CT9" s="210" t="str">
        <f>IF(AND(C9="Skema 4",B9="ti"),Skemaoplysninger!$AW$31,"")</f>
        <v/>
      </c>
      <c r="CU9" s="210" t="str">
        <f>IF(AND(C9="Skema 4",B9="on"),Skemaoplysninger!$AY$31,"")</f>
        <v/>
      </c>
      <c r="CV9" s="210" t="str">
        <f>IF(AND(C9="Skema 4",B9="to"),Skemaoplysninger!$BA$31,"")</f>
        <v/>
      </c>
      <c r="CW9" s="210" t="str">
        <f>IF(AND(C9="Skema 4",B9="fr"),Skemaoplysninger!$BC$31,"")</f>
        <v/>
      </c>
      <c r="CX9" s="249">
        <f>IF(Stamoplysninger!$H$29="NEJ",SUM(CD9:CW9)*24+CB9+CC9,0)</f>
        <v>0</v>
      </c>
      <c r="CY9" s="249">
        <f>IF(C9="Skema 1",Stamoplysninger!$H$30/200,0)</f>
        <v>0</v>
      </c>
      <c r="CZ9" s="249">
        <f>IF(C9="Skema 2",Stamoplysninger!$H$30/200,0)</f>
        <v>0</v>
      </c>
      <c r="DA9" s="249">
        <f>IF(C9="Skema 3",Stamoplysninger!$H$30/200,0)</f>
        <v>0</v>
      </c>
      <c r="DB9" s="249">
        <f>IF(C9="Skema 4",Stamoplysninger!$H$30/200,0)</f>
        <v>0</v>
      </c>
      <c r="DC9" s="249">
        <f>IF(C9="fagdag",Stamoplysninger!$H$30/200,0)</f>
        <v>0</v>
      </c>
      <c r="DD9" s="249">
        <f>IF(C9="emnedag",Stamoplysninger!$H$30/200,0)</f>
        <v>0</v>
      </c>
      <c r="DE9" s="249">
        <f>IF(C9="lejrskole",Stamoplysninger!$H$30/200,0)</f>
        <v>0</v>
      </c>
      <c r="DF9" s="249">
        <f>IF(C9="ekskursion",Stamoplysninger!$H$30/200,0)</f>
        <v>0</v>
      </c>
      <c r="DG9" s="249">
        <f>SUM(CY9:DF9)</f>
        <v>0</v>
      </c>
      <c r="DH9" t="str">
        <f>IF(AND(E9&gt;0,H9&gt;0),""&amp;E9&amp;" og "&amp;H9&amp;"","")</f>
        <v/>
      </c>
      <c r="DI9" t="str">
        <f>IF(H9="",E9,"")</f>
        <v>Nytårsdag</v>
      </c>
      <c r="DJ9" t="str">
        <f>IF(E9="",H9,"")</f>
        <v/>
      </c>
      <c r="DK9" t="str">
        <f t="shared" ref="DK9:DM38" si="14">IF(DH9=0,"",DH9)</f>
        <v/>
      </c>
      <c r="DL9" t="str">
        <f>IF(DI9=0,"",DI9)</f>
        <v>Nytårsdag</v>
      </c>
      <c r="DM9" t="str">
        <f>IF(DJ9=0,"",DJ9)</f>
        <v/>
      </c>
      <c r="DN9" t="str">
        <f>DK9&amp;""&amp;DL9&amp;""&amp;DM9</f>
        <v>Nytårsdag</v>
      </c>
      <c r="DO9" s="652">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71">
        <f>IF(AND(Stamoplysninger!$B$22="Ulempetillæg udbetales med 25% af nettotimelønnen.",C9="ikke relevant"),(R9)/4,0)</f>
        <v>0</v>
      </c>
      <c r="DT9" s="671">
        <f>IF(AND(AND(Stamoplysninger!$B$22="Ulempetillæg udbetales med 25% af nettotimelønnen.",I9="X",C9="Ikke relevant")),K9/4,0)</f>
        <v>0</v>
      </c>
      <c r="DU9" s="671">
        <f>IF(AND(AND(Stamoplysninger!$B$22="Ulempetillæg udbetales med 25% af nettotimelønnen.",C9="ikke relevant",U9="X")),(X9/4),0)</f>
        <v>0</v>
      </c>
      <c r="DV9" s="672">
        <f>IF(AND(AND(AND(Stamoplysninger!$B$22="Ulempetillæg udbetales med 25% af nettotimelønnen.",I9="X",C9="Ikke relevant",S9="X"))),V9/4,0)</f>
        <v>0</v>
      </c>
      <c r="DW9" s="652"/>
      <c r="DZ9" s="671"/>
      <c r="EA9" s="671"/>
      <c r="EB9" s="672"/>
      <c r="EC9" s="652">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71">
        <f>IF(AND(Stamoplysninger!$B$22="Ulempetillæg afspadseres med 25%(Kræver en aftale imellem ledelsen og den ansatte)",C9="ikke relevant"),(R9)/4,0)</f>
        <v>0</v>
      </c>
      <c r="EH9" s="671">
        <f>IF(AND(AND(Stamoplysninger!$B$22="Ulempetillæg afspadseres med 25%(Kræver en aftale imellem ledelsen og den ansatte)",I9="X",C9="Ikke relevant")),K9/4,0)</f>
        <v>0</v>
      </c>
      <c r="EI9" s="671">
        <f>IF(AND(AND(Stamoplysninger!$B$22="Ulempetillæg afspadseres med 25%(Kræver en aftale imellem ledelsen og den ansatte)",U9="X",C9="Ikke relevant")),X9/4,0)</f>
        <v>0</v>
      </c>
      <c r="EJ9" s="671">
        <f>IF(AND(AND(AND(Stamoplysninger!$B$22="Ulempetillæg afspadseres med 25%(Kræver en aftale imellem ledelsen og den ansatte)",I9="X",C9="Ikke relevant",S9="X"))),V9/4,0)</f>
        <v>0</v>
      </c>
      <c r="EK9" s="283">
        <f>IF(AND(Stamoplysninger!$B$26="Weekendtimer og weekendtillæg afspadseres.",$I$9="X"),$K$9*1.5,0)</f>
        <v>0</v>
      </c>
      <c r="EL9" s="251">
        <f>IF(AND(AND(Stamoplysninger!$B$26="Weekendtimer og weekendtillæg afspadseres.",$I$9="X",$S$9="X")),$V$9*1.5,0)</f>
        <v>0</v>
      </c>
      <c r="EM9" s="674">
        <f>IF(AND(AND(Stamoplysninger!$B$26="Weekendtimer og weekendtillæg afspadseres.",$I$9="X",$C$9="ikke relevant")),$K$9*1.5,0)</f>
        <v>0</v>
      </c>
      <c r="EN9" s="675">
        <f>IF(AND(AND(AND(Stamoplysninger!$B$26="Weekendtimer og weekendtillæg afspadseres.",$I$9="X",$C$9="ikke relevant",$S$9="X"))),($V$9*1.5),0)</f>
        <v>0</v>
      </c>
      <c r="EO9" s="283">
        <f>IF(AND(Stamoplysninger!$B$26="Weekendtimer og weekendtillæg udbetales.",$I$9="X"),$K$9*1.5,0)</f>
        <v>0</v>
      </c>
      <c r="EP9" s="251">
        <f>IF(AND(AND(Stamoplysninger!$B$26="Weekendtimer og weekendtillæg udbetales.",$I$9="X",$S$9="X")),$V$9*1.5,0)</f>
        <v>0</v>
      </c>
      <c r="EQ9" s="674">
        <f>IF(AND(AND(Stamoplysninger!$B$26="Weekendtimer og weekendtillæg udbetales.",$I$9="X",$C$9="ikke relevant")),$K$9*1.5,0)</f>
        <v>0</v>
      </c>
      <c r="ER9" s="675">
        <f>IF(AND(AND(AND(Stamoplysninger!$B$26="Weekendtimer og weekendtillæg udbetales.",$I$9="X",$C$9="ikke relevant",$S$9="X"))),($V$9*1.5),0)</f>
        <v>0</v>
      </c>
      <c r="ES9" s="283">
        <f>IF(AND(Stamoplysninger!$B$26="Der er indgået lokalaftale omkring weekendtimer.(Kræver aftale med TR/FSL) Weekendtillæg afspadseres.",$I$9="X"),$K$9*0.5,0)</f>
        <v>0</v>
      </c>
      <c r="ET9" s="251">
        <f>IF(AND(AND(Stamoplysninger!$B$26="Der er indgået lokalaftale omkring weekendtimer.(Kræver aftale med TR/FSL) Weekendtillæg afspadseres.",$I$9="X",$S$9="X")),$V$9*0.5,0)</f>
        <v>0</v>
      </c>
      <c r="EU9" s="674">
        <f>IF(AND(AND(Stamoplysninger!$B$26="Der er indgået lokalaftale omkring weekendtimer.(Kræver aftale med TR/FSL) Weekendtillæg afspadseres.",$I$9="X",$C$9="ikke relevant")),$K$9*0.5,0)</f>
        <v>0</v>
      </c>
      <c r="EV9" s="675">
        <f>IF(AND(AND(AND(Stamoplysninger!$B$26="Der er indgået lokalaftale omkring weekendtimer.(Kræver aftale med TR/FSL) Weekendtillæg afspadseres.",$I$9="X",$C$9="ikke relevant",$S$9="X"))),($V$9*0.5),0)</f>
        <v>0</v>
      </c>
      <c r="EW9" s="283">
        <f>IF(AND(Stamoplysninger!$B$26="Der er indgået lokalaftale omkring weekendtimer(Kræver aftale med TR/FSL). Weekendtillæg udbetales.",$I$9="X"),$K$9*0.5,0)</f>
        <v>0</v>
      </c>
      <c r="EX9" s="251">
        <f>IF(AND(AND(Stamoplysninger!$B$26="Der er indgået lokalaftale omkring weekendtimer(Kræver aftale med TR/FSL). Weekendtillæg udbetales.",$I$9="X",$S$9="X")),$V$9*0.5,0)</f>
        <v>0</v>
      </c>
      <c r="EY9" s="674">
        <f>IF(AND(AND(Stamoplysninger!$B$26="Der er indgået lokalaftale omkring weekendtimer(Kræver aftale med TR/FSL). Weekendtillæg udbetales.",$I$9="X",$C$9="ikke relevant")),$K$9*0.5,0)</f>
        <v>0</v>
      </c>
      <c r="EZ9" s="675">
        <f>IF(AND(AND(AND(Stamoplysninger!$B$26="Der er indgået lokalaftale omkring weekendtimer(Kræver aftale med TR/FSL). Weekendtillæg udbetales.",$I$9="X",$C$9="ikke relevant",$S$9="X"))),($V$9*0.5),0)</f>
        <v>0</v>
      </c>
      <c r="FA9" s="283">
        <f>IF(AND(Stamoplysninger!$B$26="Der er indgået lokalaftale omkring weekendtillæg(Kræver aftale med TR/FSL). Weekendtimerne afspadseres.",I9="X"),K9,0)</f>
        <v>0</v>
      </c>
      <c r="FB9" s="251">
        <f>IF(AND(AND(Stamoplysninger!$B$26="Der er indgået lokalaftale omkring weekendtillæg(Kræver aftale med TR/FSL). Weekendtimerne afspadseres.",I9="X",S9="X")),V9,0)</f>
        <v>0</v>
      </c>
      <c r="FC9" s="674">
        <f>IF(AND(AND(Stamoplysninger!$B$26="Der er indgået lokalaftale omkring weekendtillæg(Kræver aftale med TR/FSL). Weekendtimerne afspadseres..",I9="X",C9="ikke relevant")),K9,0)</f>
        <v>0</v>
      </c>
      <c r="FD9" s="675">
        <f>IF(AND(AND(AND(Stamoplysninger!$B$26="Der er indgået lokalaftale omkring weekendtillæg(Kræver aftale med TR/FSL). Weekendtimerne afspadseres.",I9="X",C9="ikke relevant",S9="X"))),(V9),0)</f>
        <v>0</v>
      </c>
      <c r="FE9" s="283">
        <f>IF(AND(Stamoplysninger!$B$26="Der er indgået lokalaftale omkring weekendtillæg(Kræver aftale med TR/FSL). Weekendtimerne udbetales.",I9="X"),K9,0)</f>
        <v>0</v>
      </c>
      <c r="FF9" s="251">
        <f>IF(AND(AND(Stamoplysninger!$B$26="Der er indgået lokalaftale omkring weekendtillæg(Kræver aftale med TR/FSL). Weekendtimerne udbetales.",I9="X",S9="X")),V9,0)</f>
        <v>0</v>
      </c>
      <c r="FG9" s="674">
        <f>IF(AND(AND(Stamoplysninger!$B$26="Der er indgået lokalaftale omkring weekendtillæg(Kræver aftale med TR/FSL). Weekendtimerne udbetales.",I9="X",C9="ikke relevant")),K9,0)</f>
        <v>0</v>
      </c>
      <c r="FH9" s="675">
        <f>IF(AND(AND(AND(Stamoplysninger!$B$26="Der er indgået lokalaftale omkring weekendtillæg(Kræver aftale med TR/FSL). Weekendtimerne udbetales.",I9="X",C9="ikke relevant",S9="X"))),(V9),0)</f>
        <v>0</v>
      </c>
      <c r="FI9" s="283">
        <f>IF(AND(Stamoplysninger!$B$26="Weekendtimer og weekendtillæg afspadseres.",I9="X"),K9,0)</f>
        <v>0</v>
      </c>
      <c r="FJ9" s="251">
        <f>IF(AND(Stamoplysninger!$B$26="Weekendtimer og weekendtillæg afspadseres.",I9="X"),(K9+V9)/2,0)</f>
        <v>0</v>
      </c>
      <c r="FK9" s="674">
        <f>IF(AND(AND(Stamoplysninger!$B$26="Weekendtimer og weekendtillæg afspadseres.",I9="X",C9="ikke relevant")),K9,0)</f>
        <v>0</v>
      </c>
      <c r="FL9" s="675">
        <f>IF(AND(AND(Stamoplysninger!$B$26="Weekendtimer og weekendtillæg afspadseres.",I9="X",C9="ikke relevant")),(K9+V9)/2,0)</f>
        <v>0</v>
      </c>
      <c r="FM9" s="283">
        <f>IF(AND(Stamoplysninger!$B$26="Der er indgået lokalaftale omkring weekendtillæg(Kræver aftale med TR/FSL). Weekendtimerne afspadseres.",I9="X"),K9,0)</f>
        <v>0</v>
      </c>
      <c r="FN9" s="674">
        <f>IF(AND(AND(Stamoplysninger!$B$26="Der er indgået lokalaftale omkring weekendtillæg(Kræver aftale med TR/FSL). Weekendtimerne afspadseres.",I9="X",C9="ikke relevant")),K9,0)</f>
        <v>0</v>
      </c>
      <c r="FO9" s="283">
        <f>IF(AND(Stamoplysninger!$B$26="Weekendtimer og weekendtillæg udbetales.",I9="X"),K9,0)</f>
        <v>0</v>
      </c>
      <c r="FP9" s="251">
        <f>IF(AND(Stamoplysninger!$B$26="Weekendtimer og weekendtillæg udbetales.",AA9="X"),(AC9+AN9)/2,0)</f>
        <v>0</v>
      </c>
      <c r="FQ9" s="674">
        <f>IF(AND(AND(Stamoplysninger!$B$26="Weekendtimer og weekendtillæg udbetales.",I9="X",C9="ikke relevant")),K9,0)</f>
        <v>0</v>
      </c>
      <c r="FR9" s="688">
        <f>IF(AND(AND(Stamoplysninger!$B$26="Weekendtimer og weekendtillæg udbetales.",AA9="X",U9="ikke relevant")),(AC9+AN9)/2,0)</f>
        <v>0</v>
      </c>
      <c r="FS9" s="283">
        <f t="shared" ref="FS9:FS37" si="15">IF(AND(I9="X",S9="X"),V9,0)</f>
        <v>0</v>
      </c>
      <c r="FT9" s="658">
        <f t="shared" ref="FT9:FT37" si="16">IF(AND(AND(C9="ikke relevant",I9="X",S9="X")),V9,0)</f>
        <v>0</v>
      </c>
      <c r="FU9">
        <f t="shared" ref="FU9:FU28" si="17">IF(AND(C9="weekend",I9="X"),K9,0)</f>
        <v>0</v>
      </c>
      <c r="FV9" s="283">
        <f>IF(AND(Stamoplysninger!$B$26="Der er indgået lokalaftale omkring weekendtimer.(Kræver aftale med TR/FSL) Weekendtillæg afspadseres.",I9="X"),K9,0)</f>
        <v>0</v>
      </c>
      <c r="FW9" s="674">
        <f>IF(AND(AND(Stamoplysninger!$B$26="Der er indgået lokalaftale omkring weekendtimer.(Kræver aftale med TR/FSL) Weekendtillæg afspadseres.",I9="X",C9="ikke relevant")),K9,0)</f>
        <v>0</v>
      </c>
      <c r="FX9" s="283">
        <f>IF(AND(Stamoplysninger!$B$26="Der er indgået lokalaftale omkring weekendtimer(Kræver aftale med TR/FSL). Weekendtillæg udbetales.",I9="X"),K9,0)</f>
        <v>0</v>
      </c>
      <c r="FY9" s="674">
        <f>IF(AND(AND(Stamoplysninger!$B$26="Der er indgået lokalaftale omkring weekendtimer(Kræver aftale med TR/FSL). Weekendtillæg udbetales.",I9="X",C9="ikke relevant")),K9,0)</f>
        <v>0</v>
      </c>
      <c r="FZ9" s="283">
        <f>IF(AND(Stamoplysninger!$B$26="Der er indgået lokalaftale omkring weekendtillæg(Kræver aftale med TR/FSL). Weekendtimerne udbetales.",I9="X"),K9,0)</f>
        <v>0</v>
      </c>
      <c r="GA9" s="674">
        <f>IF(AND(AND(Stamoplysninger!$B$26="Der er indgået lokalaftale omkring weekendtillæg(Kræver aftale med TR/FSL). Weekendtimerne udbetales.",I9="X",C9="ikke relevant")),K9,0)</f>
        <v>0</v>
      </c>
      <c r="GB9" s="283">
        <f>IF(AND(Stamoplysninger!$B$26="Der er indgået lokalaftale omkring weekendtimer og weekendtillæg.(Kræver aftale med TR/FSL).",I9="X"),K9,0)</f>
        <v>0</v>
      </c>
      <c r="GC9" s="674">
        <f>IF(AND(AND(Stamoplysninger!$B$26="Der er indgået lokalaftale omkring weekendtimer og weekendtillæg.(Kræver aftale med TR/FSL).",I9="X",C9="ikke relevant")),K9,0)</f>
        <v>0</v>
      </c>
    </row>
    <row r="10" spans="1:185">
      <c r="A10" s="245">
        <f t="shared" ref="A10:A38" si="18">IF(ISNUMBER(A9),A9+1,1)</f>
        <v>2</v>
      </c>
      <c r="B10" s="128" t="str">
        <f t="shared" si="0"/>
        <v>to</v>
      </c>
      <c r="C10" s="129" t="s">
        <v>128</v>
      </c>
      <c r="D10" s="130" t="str">
        <f t="shared" si="1"/>
        <v/>
      </c>
      <c r="E10" s="917"/>
      <c r="F10" s="918"/>
      <c r="G10" s="919"/>
      <c r="H10" s="298"/>
      <c r="I10" s="527"/>
      <c r="J10" s="413"/>
      <c r="K10" s="380"/>
      <c r="L10" s="380"/>
      <c r="M10" s="380"/>
      <c r="N10" s="318">
        <f t="shared" ref="N10:N39" si="19">BA10</f>
        <v>0</v>
      </c>
      <c r="O10" s="318">
        <f t="shared" ref="O10:O39" si="20">CA10</f>
        <v>0</v>
      </c>
      <c r="P10" s="318">
        <f>IF(Stamoplysninger!$H$29="JA",Januar!DG10,CX10)</f>
        <v>0</v>
      </c>
      <c r="Q10" s="318">
        <f t="shared" ref="Q10:Q39" si="21">IF(OR(C10="Lejrskole",C10="Ekskursion"),0,N10-O10-P10)</f>
        <v>0</v>
      </c>
      <c r="R10" s="319"/>
      <c r="S10" s="324"/>
      <c r="T10" s="325"/>
      <c r="U10" s="325"/>
      <c r="V10" s="435"/>
      <c r="W10" s="412"/>
      <c r="X10" s="642"/>
      <c r="Y10">
        <f t="shared" ref="Y10:Y39" si="22">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0</v>
      </c>
      <c r="BB10" s="229">
        <f t="shared" si="8"/>
        <v>0</v>
      </c>
      <c r="BC10" s="1">
        <f t="shared" ref="BC10:BC39" si="24">IF(C10="Lejrskole",L10,0)</f>
        <v>0</v>
      </c>
      <c r="BD10" s="1">
        <f t="shared" si="9"/>
        <v>0</v>
      </c>
      <c r="BE10" s="1">
        <f t="shared" si="10"/>
        <v>0</v>
      </c>
      <c r="BF10" s="1">
        <f t="shared" si="11"/>
        <v>0</v>
      </c>
      <c r="BG10" s="210" t="str">
        <f>IF(AND(C10="Skema 1",B10="ma"),Skemaoplysninger!$E$30,"")</f>
        <v/>
      </c>
      <c r="BH10" s="210" t="str">
        <f>IF(AND(C10="Skema 1",B10="ti"),Skemaoplysninger!$G$30,"")</f>
        <v/>
      </c>
      <c r="BI10" s="210" t="str">
        <f>IF(AND(C10="Skema 1",B10="on"),Skemaoplysninger!$I$30,"")</f>
        <v/>
      </c>
      <c r="BJ10" s="210" t="str">
        <f>IF(AND(C10="Skema 1",B10="to"),Skemaoplysninger!$K$30,"")</f>
        <v/>
      </c>
      <c r="BK10" s="210" t="str">
        <f>IF(AND(C10="Skema 1",B10="fr"),Skemaoplysninger!$M$30,"")</f>
        <v/>
      </c>
      <c r="BL10" s="210" t="str">
        <f>IF(AND(C10="Skema 2",B10="ma"),Skemaoplysninger!$S$30,"")</f>
        <v/>
      </c>
      <c r="BM10" s="210" t="str">
        <f>IF(AND(C10="Skema 2",B10="ti"),Skemaoplysninger!$U$30,"")</f>
        <v/>
      </c>
      <c r="BN10" s="210" t="str">
        <f>IF(AND(C10="Skema 2",B10="on"),Skemaoplysninger!$W$30,"")</f>
        <v/>
      </c>
      <c r="BO10" s="210" t="str">
        <f>IF(AND(C10="Skema 2",B10="to"),Skemaoplysninger!$Y$30,"")</f>
        <v/>
      </c>
      <c r="BP10" s="210" t="str">
        <f>IF(AND(C10="Skema 2",B10="fr"),Skemaoplysninger!$AA$30,"")</f>
        <v/>
      </c>
      <c r="BQ10" s="210" t="str">
        <f>IF(AND(C10="Skema 3",B10="ma"),Skemaoplysninger!$AG$30,"")</f>
        <v/>
      </c>
      <c r="BR10" s="210" t="str">
        <f>IF(AND(C10="Skema 3",B10="ti"),Skemaoplysninger!$AI$30,"")</f>
        <v/>
      </c>
      <c r="BS10" s="210" t="str">
        <f>IF(AND(C10="Skema 3",B10="on"),Skemaoplysninger!$AK$30,"")</f>
        <v/>
      </c>
      <c r="BT10" s="210" t="str">
        <f>IF(AND(C10="Skema 3",B10="to"),Skemaoplysninger!$AM$30,"")</f>
        <v/>
      </c>
      <c r="BU10" s="210" t="str">
        <f>IF(AND(C10="Skema 3",B10="fr"),Skemaoplysninger!$AO$30,"")</f>
        <v/>
      </c>
      <c r="BV10" s="210" t="str">
        <f>IF(AND(C10="Skema 4",B10="ma"),Skemaoplysninger!$AU$30,"")</f>
        <v/>
      </c>
      <c r="BW10" s="210" t="str">
        <f>IF(AND(C10="Skema 4",B10="ti"),Skemaoplysninger!$AW$30,"")</f>
        <v/>
      </c>
      <c r="BX10" s="210" t="str">
        <f>IF(AND(C10="Skema 4",B10="on"),Skemaoplysninger!$AY$30,"")</f>
        <v/>
      </c>
      <c r="BY10" s="210" t="str">
        <f>IF(AND(C10="Skema 4",B10="to"),Skemaoplysninger!$BA$30,"")</f>
        <v/>
      </c>
      <c r="BZ10" s="210" t="str">
        <f>IF(AND(C10="Skema 4",B10="fr"),Skemaoplysninger!$BC$30,"")</f>
        <v/>
      </c>
      <c r="CA10" s="1">
        <f t="shared" ref="CA10:CA39" si="25">SUM(BG10:BZ10)*24+SUM(BC10:BF10)</f>
        <v>0</v>
      </c>
      <c r="CB10" s="1">
        <f t="shared" si="12"/>
        <v>0</v>
      </c>
      <c r="CC10" s="1">
        <f t="shared" si="13"/>
        <v>0</v>
      </c>
      <c r="CD10" s="210" t="str">
        <f>IF(AND(C10="Skema 1",B10="ma"),Skemaoplysninger!$E$31,"")</f>
        <v/>
      </c>
      <c r="CE10" s="210" t="str">
        <f>IF(AND(C10="Skema 1",B10="ti"),Skemaoplysninger!$G$31,"")</f>
        <v/>
      </c>
      <c r="CF10" s="210" t="str">
        <f>IF(AND(C10="Skema 1",B10="on"),Skemaoplysninger!$I$31,"")</f>
        <v/>
      </c>
      <c r="CG10" s="210" t="str">
        <f>IF(AND(C10="Skema 1",B10="to"),Skemaoplysninger!$K$31,"")</f>
        <v/>
      </c>
      <c r="CH10" s="210" t="str">
        <f>IF(AND(C10="Skema 1",B10="fr"),Skemaoplysninger!$M$31,"")</f>
        <v/>
      </c>
      <c r="CI10" s="210" t="str">
        <f>IF(AND(C10="Skema 2",B10="ma"),Skemaoplysninger!$S$31,"")</f>
        <v/>
      </c>
      <c r="CJ10" s="210" t="str">
        <f>IF(AND(C10="Skema 2",B10="ti"),Skemaoplysninger!$U$31,"")</f>
        <v/>
      </c>
      <c r="CK10" s="210" t="str">
        <f>IF(AND(C10="Skema 2",B10="on"),Skemaoplysninger!$W$31,"")</f>
        <v/>
      </c>
      <c r="CL10" s="210" t="str">
        <f>IF(AND(C10="Skema 2",B10="to"),Skemaoplysninger!$Y$31,"")</f>
        <v/>
      </c>
      <c r="CM10" s="210" t="str">
        <f>IF(AND(C10="Skema 2",B10="fr"),Skemaoplysninger!$AA$31,"")</f>
        <v/>
      </c>
      <c r="CN10" s="210" t="str">
        <f>IF(AND(C10="Skema 3",B10="ma"),Skemaoplysninger!$AG$31,"")</f>
        <v/>
      </c>
      <c r="CO10" s="210" t="str">
        <f>IF(AND(C10="Skema 3",B10="ti"),Skemaoplysninger!$AI$31,"")</f>
        <v/>
      </c>
      <c r="CP10" s="210" t="str">
        <f>IF(AND(C10="Skema 3",B10="on"),Skemaoplysninger!$AK$31,"")</f>
        <v/>
      </c>
      <c r="CQ10" s="210" t="str">
        <f>IF(AND(C10="Skema 3",B10="to"),Skemaoplysninger!$AM$31,"")</f>
        <v/>
      </c>
      <c r="CR10" s="210" t="str">
        <f>IF(AND(C10="Skema 3",B10="fr"),Skemaoplysninger!$AO$31,"")</f>
        <v/>
      </c>
      <c r="CS10" s="210" t="str">
        <f>IF(AND(C10="Skema 4",B10="ma"),Skemaoplysninger!$AU$31,"")</f>
        <v/>
      </c>
      <c r="CT10" s="210" t="str">
        <f>IF(AND(C10="Skema 4",B10="ti"),Skemaoplysninger!$AW$31,"")</f>
        <v/>
      </c>
      <c r="CU10" s="210" t="str">
        <f>IF(AND(C10="Skema 4",B10="on"),Skemaoplysninger!$AY$31,"")</f>
        <v/>
      </c>
      <c r="CV10" s="210" t="str">
        <f>IF(AND(C10="Skema 4",B10="to"),Skemaoplysninger!$BA$31,"")</f>
        <v/>
      </c>
      <c r="CW10" s="210" t="str">
        <f>IF(AND(C10="Skema 4",B10="fr"),Skemaoplysninger!$BC$31,"")</f>
        <v/>
      </c>
      <c r="CX10" s="249">
        <f>IF(Stamoplysninger!$H$29="NEJ",SUM(CD10:CW10)*24+CB10+CC10,0)</f>
        <v>0</v>
      </c>
      <c r="CY10" s="249">
        <f>IF(C10="Skema 1",Stamoplysninger!$H$30/200,0)</f>
        <v>0</v>
      </c>
      <c r="CZ10" s="249">
        <f>IF(C10="Skema 2",Stamoplysninger!$H$30/200,0)</f>
        <v>0</v>
      </c>
      <c r="DA10" s="249">
        <f>IF(C10="Skema 3",Stamoplysninger!$H$30/200,0)</f>
        <v>0</v>
      </c>
      <c r="DB10" s="249">
        <f>IF(C10="Skema 4",Stamoplysninger!$H$30/200,0)</f>
        <v>0</v>
      </c>
      <c r="DC10" s="249">
        <f>IF(C10="fagdag",Stamoplysninger!$H$30/200,0)</f>
        <v>0</v>
      </c>
      <c r="DD10" s="249">
        <f>IF(C10="emnedag",Stamoplysninger!$H$30/200,0)</f>
        <v>0</v>
      </c>
      <c r="DE10" s="249">
        <f>IF(C10="lejrskole",Stamoplysninger!$H$30/200,0)</f>
        <v>0</v>
      </c>
      <c r="DF10" s="249">
        <f>IF(C10="ekskursion",Stamoplysninger!$H$30/200,0)</f>
        <v>0</v>
      </c>
      <c r="DG10" s="249">
        <f t="shared" ref="DG10:DG39" si="26">SUM(CY10:DF10)</f>
        <v>0</v>
      </c>
      <c r="DH10" t="str">
        <f t="shared" ref="DH10:DH39" si="27">IF(AND(E10&gt;0,H10&gt;0),""&amp;E10&amp;" og "&amp;H10&amp;"","")</f>
        <v/>
      </c>
      <c r="DI10">
        <f t="shared" ref="DI10:DI39" si="28">IF(H10="",E10,"")</f>
        <v>0</v>
      </c>
      <c r="DJ10">
        <f t="shared" ref="DJ10:DJ39" si="29">IF(E10="",H10,"")</f>
        <v>0</v>
      </c>
      <c r="DK10" t="str">
        <f t="shared" si="14"/>
        <v/>
      </c>
      <c r="DL10" t="str">
        <f t="shared" si="14"/>
        <v/>
      </c>
      <c r="DM10" t="str">
        <f t="shared" si="14"/>
        <v/>
      </c>
      <c r="DN10" t="str">
        <f t="shared" ref="DN10:DN39" si="30">DK10&amp;""&amp;DL10&amp;""&amp;DM10</f>
        <v/>
      </c>
      <c r="DO10" s="652">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71">
        <f>IF(AND(Stamoplysninger!$B$22="Ulempetillæg udbetales med 25% af nettotimelønnen.",C10="ikke relevant"),(R10)/4,0)</f>
        <v>0</v>
      </c>
      <c r="DT10" s="671">
        <f>IF(AND(AND(Stamoplysninger!$B$22="Ulempetillæg udbetales med 25% af nettotimelønnen.",I10="X",C10="Ikke relevant")),K10/4,0)</f>
        <v>0</v>
      </c>
      <c r="DU10" s="671">
        <f>IF(AND(AND(Stamoplysninger!$B$22="Ulempetillæg udbetales med 25% af nettotimelønnen.",C10="ikke relevant",U10="X")),(X10/4),0)</f>
        <v>0</v>
      </c>
      <c r="DV10" s="672">
        <f>IF(AND(AND(AND(Stamoplysninger!$B$22="Ulempetillæg udbetales med 25% af nettotimelønnen.",I10="X",C10="Ikke relevant",S10="X"))),V10/4,0)</f>
        <v>0</v>
      </c>
      <c r="DW10" s="652"/>
      <c r="DZ10" s="671"/>
      <c r="EA10" s="671"/>
      <c r="EB10" s="672"/>
      <c r="EC10" s="652">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71">
        <f>IF(AND(Stamoplysninger!$B$22="Ulempetillæg afspadseres med 25%(Kræver en aftale imellem ledelsen og den ansatte)",C10="ikke relevant"),(R10)/4,0)</f>
        <v>0</v>
      </c>
      <c r="EH10" s="671">
        <f>IF(AND(AND(Stamoplysninger!$B$22="Ulempetillæg afspadseres med 25%(Kræver en aftale imellem ledelsen og den ansatte)",I10="X",C10="Ikke relevant")),K10/4,0)</f>
        <v>0</v>
      </c>
      <c r="EI10" s="671">
        <f>IF(AND(AND(Stamoplysninger!$B$22="Ulempetillæg afspadseres med 25%(Kræver en aftale imellem ledelsen og den ansatte)",U10="X",C10="Ikke relevant")),X10/4,0)</f>
        <v>0</v>
      </c>
      <c r="EJ10" s="671">
        <f>IF(AND(AND(AND(Stamoplysninger!$B$22="Ulempetillæg afspadseres med 25%(Kræver en aftale imellem ledelsen og den ansatte)",I10="X",C10="Ikke relevant",S10="X"))),V10/4,0)</f>
        <v>0</v>
      </c>
      <c r="EK10" s="283">
        <f>IF(AND(Stamoplysninger!$B$26="Weekendtimer og weekendtillæg afspadseres.",I10="X"),K10*1.5,0)</f>
        <v>0</v>
      </c>
      <c r="EL10" s="251">
        <f>IF(AND(AND(Stamoplysninger!$B$26="Weekendtimer og weekendtillæg afspadseres.",I10="X",S10="X")),V10*1.5,0)</f>
        <v>0</v>
      </c>
      <c r="EM10" s="674">
        <f>IF(AND(AND(Stamoplysninger!$B$26="Weekendtimer og weekendtillæg afspadseres.",I10="X",C10="ikke relevant")),K10*1.5,0)</f>
        <v>0</v>
      </c>
      <c r="EN10" s="675">
        <f>IF(AND(AND(AND(Stamoplysninger!$B$26="Weekendtimer og weekendtillæg afspadseres.",I10="X",C10="ikke relevant",S10="X"))),(V10*1.5),0)</f>
        <v>0</v>
      </c>
      <c r="EO10" s="283">
        <f>IF(AND(Stamoplysninger!$B$26="Weekendtimer og weekendtillæg udbetales.",I10="X"),K10*1.5,0)</f>
        <v>0</v>
      </c>
      <c r="EP10" s="251">
        <f>IF(AND(AND(Stamoplysninger!$B$26="Weekendtimer og weekendtillæg udbetales.",I10="X",S10="X")),V10*1.5,0)</f>
        <v>0</v>
      </c>
      <c r="EQ10" s="674">
        <f>IF(AND(AND(Stamoplysninger!$B$26="Weekendtimer og weekendtillæg udbetales.",I10="X",C10="ikke relevant")),K10*1.5,0)</f>
        <v>0</v>
      </c>
      <c r="ER10" s="675">
        <f>IF(AND(AND(AND(Stamoplysninger!$B$26="Weekendtimer og weekendtillæg udbetales.",I10="X",C10="ikke relevant",S10="X"))),(V10*1.5),0)</f>
        <v>0</v>
      </c>
      <c r="ES10" s="283">
        <f>IF(AND(Stamoplysninger!$B$26="Der er indgået lokalaftale omkring weekendtimer.(Kræver aftale med TR/FSL) Weekendtillæg afspadseres.",I10="X"),K10*0.5,0)</f>
        <v>0</v>
      </c>
      <c r="ET10" s="251">
        <f>IF(AND(AND(Stamoplysninger!$B$26="Der er indgået lokalaftale omkring weekendtimer.(Kræver aftale med TR/FSL) Weekendtillæg afspadseres.",I10="X",S10="X")),V10*0.5,0)</f>
        <v>0</v>
      </c>
      <c r="EU10" s="674">
        <f>IF(AND(AND(Stamoplysninger!$B$26="Der er indgået lokalaftale omkring weekendtimer.(Kræver aftale med TR/FSL) Weekendtillæg afspadseres.",I10="X",C10="ikke relevant")),K10*0.5,0)</f>
        <v>0</v>
      </c>
      <c r="EV10" s="675">
        <f>IF(AND(AND(AND(Stamoplysninger!$B$26="Der er indgået lokalaftale omkring weekendtimer.(Kræver aftale med TR/FSL) Weekendtillæg afspadseres.",I10="X",C10="ikke relevant",S10="X"))),(V10*0.5),0)</f>
        <v>0</v>
      </c>
      <c r="EW10" s="283">
        <f>IF(AND(Stamoplysninger!$B$26="Der er indgået lokalaftale omkring weekendtimer(Kræver aftale med TR/FSL). Weekendtillæg udbetales.",I10="X"),K10*0.5,0)</f>
        <v>0</v>
      </c>
      <c r="EX10" s="251">
        <f>IF(AND(AND(Stamoplysninger!$B$26="Der er indgået lokalaftale omkring weekendtimer(Kræver aftale med TR/FSL). Weekendtillæg udbetales.",I10="X",S10="X")),V10*0.5,0)</f>
        <v>0</v>
      </c>
      <c r="EY10" s="674">
        <f>IF(AND(AND(Stamoplysninger!$B$26="Der er indgået lokalaftale omkring weekendtimer(Kræver aftale med TR/FSL). Weekendtillæg udbetales.",I10="X",C10="ikke relevant")),K10*0.5,0)</f>
        <v>0</v>
      </c>
      <c r="EZ10" s="675">
        <f>IF(AND(AND(AND(Stamoplysninger!$B$26="Der er indgået lokalaftale omkring weekendtimer(Kræver aftale med TR/FSL). Weekendtillæg udbetales.",I10="X",C10="ikke relevant",S10="X"))),(V10*0.5),0)</f>
        <v>0</v>
      </c>
      <c r="FA10" s="283">
        <f>IF(AND(Stamoplysninger!$B$26="Der er indgået lokalaftale omkring weekendtillæg(Kræver aftale med TR/FSL). Weekendtimerne afspadseres.",I10="X"),K10,0)</f>
        <v>0</v>
      </c>
      <c r="FB10" s="251">
        <f>IF(AND(AND(Stamoplysninger!$B$26="Der er indgået lokalaftale omkring weekendtillæg(Kræver aftale med TR/FSL). Weekendtimerne afspadseres.",I10="X",S10="X")),V10,0)</f>
        <v>0</v>
      </c>
      <c r="FC10" s="674">
        <f>IF(AND(AND(Stamoplysninger!$B$26="Der er indgået lokalaftale omkring weekendtillæg(Kræver aftale med TR/FSL). Weekendtimerne afspadseres..",I10="X",C10="ikke relevant")),K10,0)</f>
        <v>0</v>
      </c>
      <c r="FD10" s="675">
        <f>IF(AND(AND(AND(Stamoplysninger!$B$26="Der er indgået lokalaftale omkring weekendtillæg(Kræver aftale med TR/FSL). Weekendtimerne afspadseres.",I10="X",C10="ikke relevant",S10="X"))),(V10),0)</f>
        <v>0</v>
      </c>
      <c r="FE10" s="283">
        <f>IF(AND(Stamoplysninger!$B$26="Der er indgået lokalaftale omkring weekendtillæg(Kræver aftale med TR/FSL). Weekendtimerne udbetales.",I10="X"),K10,0)</f>
        <v>0</v>
      </c>
      <c r="FF10" s="251">
        <f>IF(AND(AND(Stamoplysninger!$B$26="Der er indgået lokalaftale omkring weekendtillæg(Kræver aftale med TR/FSL). Weekendtimerne udbetales.",I10="X",S10="X")),V10,0)</f>
        <v>0</v>
      </c>
      <c r="FG10" s="674">
        <f>IF(AND(AND(Stamoplysninger!$B$26="Der er indgået lokalaftale omkring weekendtillæg(Kræver aftale med TR/FSL). Weekendtimerne udbetales.",I10="X",C10="ikke relevant")),K10,0)</f>
        <v>0</v>
      </c>
      <c r="FH10" s="675">
        <f>IF(AND(AND(AND(Stamoplysninger!$B$26="Der er indgået lokalaftale omkring weekendtillæg(Kræver aftale med TR/FSL). Weekendtimerne udbetales.",I10="X",C10="ikke relevant",S10="X"))),(V10),0)</f>
        <v>0</v>
      </c>
      <c r="FI10" s="283">
        <f>IF(AND(Stamoplysninger!$B$26="Weekendtimer og weekendtillæg afspadseres.",I10="X"),K10,0)</f>
        <v>0</v>
      </c>
      <c r="FJ10" s="251">
        <f>IF(AND(Stamoplysninger!$B$26="Weekendtimer og weekendtillæg afspadseres.",Y10="X"),(AA10+AL10)/2,0)</f>
        <v>0</v>
      </c>
      <c r="FK10" s="674">
        <f>IF(AND(AND(Stamoplysninger!$B$26="Weekendtimer og weekendtillæg afspadseres.",I10="X",C10="ikke relevant")),K10,0)</f>
        <v>0</v>
      </c>
      <c r="FL10" s="675">
        <f>IF(AND(AND(Stamoplysninger!$B$26="Weekendtimer og weekendtillæg afspadseres.",Y10="X",S10="ikke relevant")),(AA10+AL10)/2,0)</f>
        <v>0</v>
      </c>
      <c r="FM10" s="283">
        <f>IF(AND(Stamoplysninger!$B$26="Der er indgået lokalaftale omkring weekendtillæg(Kræver aftale med TR/FSL). Weekendtimerne afspadseres.",I10="X"),K10,0)</f>
        <v>0</v>
      </c>
      <c r="FN10" s="674">
        <f>IF(AND(AND(Stamoplysninger!$B$26="Der er indgået lokalaftale omkring weekendtillæg(Kræver aftale med TR/FSL). Weekendtimerne afspadseres.",I10="X",C10="ikke relevant")),K10,0)</f>
        <v>0</v>
      </c>
      <c r="FO10" s="283">
        <f>IF(AND(Stamoplysninger!$B$26="Weekendtimer og weekendtillæg udbetales.",I10="X"),K10,0)</f>
        <v>0</v>
      </c>
      <c r="FP10" s="251">
        <f>IF(AND(Stamoplysninger!$B$26="Weekendtimer og weekendtillæg udbetales.",AA10="X"),(AC10+AN10)/2,0)</f>
        <v>0</v>
      </c>
      <c r="FQ10" s="674">
        <f>IF(AND(AND(Stamoplysninger!$B$26="Weekendtimer og weekendtillæg udbetales.",I10="X",C10="ikke relevant")),K10,0)</f>
        <v>0</v>
      </c>
      <c r="FR10" s="688">
        <f>IF(AND(AND(Stamoplysninger!$B$26="Weekendtimer og weekendtillæg udbetales.",AA10="X",U10="ikke relevant")),(AC10+AN10)/2,0)</f>
        <v>0</v>
      </c>
      <c r="FS10" s="283">
        <f t="shared" si="15"/>
        <v>0</v>
      </c>
      <c r="FT10" s="658">
        <f t="shared" si="16"/>
        <v>0</v>
      </c>
      <c r="FU10">
        <f t="shared" si="17"/>
        <v>0</v>
      </c>
      <c r="FV10" s="283">
        <f>IF(AND(Stamoplysninger!$B$26="Der er indgået lokalaftale omkring weekendtimer.(Kræver aftale med TR/FSL) Weekendtillæg afspadseres.",I10="X"),K10,0)</f>
        <v>0</v>
      </c>
      <c r="FW10" s="674">
        <f>IF(AND(AND(Stamoplysninger!$B$26="Der er indgået lokalaftale omkring weekendtimer.(Kræver aftale med TR/FSL) Weekendtillæg afspadseres.",I10="X",C10="ikke relevant")),K10,0)</f>
        <v>0</v>
      </c>
      <c r="FX10" s="283">
        <f>IF(AND(Stamoplysninger!$B$26="Der er indgået lokalaftale omkring weekendtimer(Kræver aftale med TR/FSL). Weekendtillæg udbetales.",I10="X"),K10,0)</f>
        <v>0</v>
      </c>
      <c r="FY10" s="674">
        <f>IF(AND(AND(Stamoplysninger!$B$26="Der er indgået lokalaftale omkring weekendtimer(Kræver aftale med TR/FSL). Weekendtillæg udbetales.",I10="X",C10="ikke relevant")),K10,0)</f>
        <v>0</v>
      </c>
      <c r="FZ10" s="283">
        <f>IF(AND(Stamoplysninger!$B$26="Der er indgået lokalaftale omkring weekendtillæg(Kræver aftale med TR/FSL). Weekendtimerne udbetales.",I10="X"),K10,0)</f>
        <v>0</v>
      </c>
      <c r="GA10" s="674">
        <f>IF(AND(AND(Stamoplysninger!$B$26="Der er indgået lokalaftale omkring weekendtillæg(Kræver aftale med TR/FSL). Weekendtimerne udbetales.",I10="X",C10="ikke relevant")),K10,0)</f>
        <v>0</v>
      </c>
      <c r="GB10" s="283">
        <f>IF(AND(Stamoplysninger!$B$26="Der er indgået lokalaftale omkring weekendtimer og weekendtillæg.(Kræver aftale med TR/FSL).",I10="X"),K10,0)</f>
        <v>0</v>
      </c>
      <c r="GC10" s="674">
        <f>IF(AND(AND(Stamoplysninger!$B$26="Der er indgået lokalaftale omkring weekendtimer og weekendtillæg.(Kræver aftale med TR/FSL).",I10="X",C10="ikke relevant")),K10,0)</f>
        <v>0</v>
      </c>
    </row>
    <row r="11" spans="1:185">
      <c r="A11" s="245">
        <f t="shared" si="18"/>
        <v>3</v>
      </c>
      <c r="B11" s="128" t="str">
        <f t="shared" si="0"/>
        <v>fr</v>
      </c>
      <c r="C11" s="129" t="s">
        <v>128</v>
      </c>
      <c r="D11" s="130" t="str">
        <f t="shared" si="1"/>
        <v/>
      </c>
      <c r="E11" s="917"/>
      <c r="F11" s="918"/>
      <c r="G11" s="919"/>
      <c r="H11" s="298"/>
      <c r="I11" s="527"/>
      <c r="J11" s="413"/>
      <c r="K11" s="380"/>
      <c r="L11" s="380"/>
      <c r="M11" s="380"/>
      <c r="N11" s="318">
        <f t="shared" si="19"/>
        <v>0</v>
      </c>
      <c r="O11" s="318">
        <f t="shared" si="20"/>
        <v>0</v>
      </c>
      <c r="P11" s="318">
        <f>IF(Stamoplysninger!$H$29="JA",Januar!DG11,CX11)</f>
        <v>0</v>
      </c>
      <c r="Q11" s="318">
        <f t="shared" si="21"/>
        <v>0</v>
      </c>
      <c r="R11" s="319"/>
      <c r="S11" s="324"/>
      <c r="T11" s="325"/>
      <c r="U11" s="325"/>
      <c r="V11" s="435"/>
      <c r="W11" s="412"/>
      <c r="X11" s="642"/>
      <c r="Y11">
        <f t="shared" si="22"/>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9">
        <f t="shared" si="8"/>
        <v>0</v>
      </c>
      <c r="BC11" s="1">
        <f t="shared" si="24"/>
        <v>0</v>
      </c>
      <c r="BD11" s="1">
        <f t="shared" si="9"/>
        <v>0</v>
      </c>
      <c r="BE11" s="1">
        <f t="shared" si="10"/>
        <v>0</v>
      </c>
      <c r="BF11" s="1">
        <f t="shared" si="11"/>
        <v>0</v>
      </c>
      <c r="BG11" s="210" t="str">
        <f>IF(AND(C11="Skema 1",B11="ma"),Skemaoplysninger!$E$30,"")</f>
        <v/>
      </c>
      <c r="BH11" s="210" t="str">
        <f>IF(AND(C11="Skema 1",B11="ti"),Skemaoplysninger!$G$30,"")</f>
        <v/>
      </c>
      <c r="BI11" s="210" t="str">
        <f>IF(AND(C11="Skema 1",B11="on"),Skemaoplysninger!$I$30,"")</f>
        <v/>
      </c>
      <c r="BJ11" s="210" t="str">
        <f>IF(AND(C11="Skema 1",B11="to"),Skemaoplysninger!$K$30,"")</f>
        <v/>
      </c>
      <c r="BK11" s="210" t="str">
        <f>IF(AND(C11="Skema 1",B11="fr"),Skemaoplysninger!$M$30,"")</f>
        <v/>
      </c>
      <c r="BL11" s="210" t="str">
        <f>IF(AND(C11="Skema 2",B11="ma"),Skemaoplysninger!$S$30,"")</f>
        <v/>
      </c>
      <c r="BM11" s="210" t="str">
        <f>IF(AND(C11="Skema 2",B11="ti"),Skemaoplysninger!$U$30,"")</f>
        <v/>
      </c>
      <c r="BN11" s="210" t="str">
        <f>IF(AND(C11="Skema 2",B11="on"),Skemaoplysninger!$W$30,"")</f>
        <v/>
      </c>
      <c r="BO11" s="210" t="str">
        <f>IF(AND(C11="Skema 2",B11="to"),Skemaoplysninger!$Y$30,"")</f>
        <v/>
      </c>
      <c r="BP11" s="210" t="str">
        <f>IF(AND(C11="Skema 2",B11="fr"),Skemaoplysninger!$AA$30,"")</f>
        <v/>
      </c>
      <c r="BQ11" s="210" t="str">
        <f>IF(AND(C11="Skema 3",B11="ma"),Skemaoplysninger!$AG$30,"")</f>
        <v/>
      </c>
      <c r="BR11" s="210" t="str">
        <f>IF(AND(C11="Skema 3",B11="ti"),Skemaoplysninger!$AI$30,"")</f>
        <v/>
      </c>
      <c r="BS11" s="210" t="str">
        <f>IF(AND(C11="Skema 3",B11="on"),Skemaoplysninger!$AK$30,"")</f>
        <v/>
      </c>
      <c r="BT11" s="210" t="str">
        <f>IF(AND(C11="Skema 3",B11="to"),Skemaoplysninger!$AM$30,"")</f>
        <v/>
      </c>
      <c r="BU11" s="210" t="str">
        <f>IF(AND(C11="Skema 3",B11="fr"),Skemaoplysninger!$AO$30,"")</f>
        <v/>
      </c>
      <c r="BV11" s="210" t="str">
        <f>IF(AND(C11="Skema 4",B11="ma"),Skemaoplysninger!$AU$30,"")</f>
        <v/>
      </c>
      <c r="BW11" s="210" t="str">
        <f>IF(AND(C11="Skema 4",B11="ti"),Skemaoplysninger!$AW$30,"")</f>
        <v/>
      </c>
      <c r="BX11" s="210" t="str">
        <f>IF(AND(C11="Skema 4",B11="on"),Skemaoplysninger!$AY$30,"")</f>
        <v/>
      </c>
      <c r="BY11" s="210" t="str">
        <f>IF(AND(C11="Skema 4",B11="to"),Skemaoplysninger!$BA$30,"")</f>
        <v/>
      </c>
      <c r="BZ11" s="210" t="str">
        <f>IF(AND(C11="Skema 4",B11="fr"),Skemaoplysninger!$BC$30,"")</f>
        <v/>
      </c>
      <c r="CA11" s="1">
        <f t="shared" si="25"/>
        <v>0</v>
      </c>
      <c r="CB11" s="1">
        <f t="shared" si="12"/>
        <v>0</v>
      </c>
      <c r="CC11" s="1">
        <f t="shared" si="13"/>
        <v>0</v>
      </c>
      <c r="CD11" s="210" t="str">
        <f>IF(AND(C11="Skema 1",B11="ma"),Skemaoplysninger!$E$31,"")</f>
        <v/>
      </c>
      <c r="CE11" s="210" t="str">
        <f>IF(AND(C11="Skema 1",B11="ti"),Skemaoplysninger!$G$31,"")</f>
        <v/>
      </c>
      <c r="CF11" s="210" t="str">
        <f>IF(AND(C11="Skema 1",B11="on"),Skemaoplysninger!$I$31,"")</f>
        <v/>
      </c>
      <c r="CG11" s="210" t="str">
        <f>IF(AND(C11="Skema 1",B11="to"),Skemaoplysninger!$K$31,"")</f>
        <v/>
      </c>
      <c r="CH11" s="210" t="str">
        <f>IF(AND(C11="Skema 1",B11="fr"),Skemaoplysninger!$M$31,"")</f>
        <v/>
      </c>
      <c r="CI11" s="210" t="str">
        <f>IF(AND(C11="Skema 2",B11="ma"),Skemaoplysninger!$S$31,"")</f>
        <v/>
      </c>
      <c r="CJ11" s="210" t="str">
        <f>IF(AND(C11="Skema 2",B11="ti"),Skemaoplysninger!$U$31,"")</f>
        <v/>
      </c>
      <c r="CK11" s="210" t="str">
        <f>IF(AND(C11="Skema 2",B11="on"),Skemaoplysninger!$W$31,"")</f>
        <v/>
      </c>
      <c r="CL11" s="210" t="str">
        <f>IF(AND(C11="Skema 2",B11="to"),Skemaoplysninger!$Y$31,"")</f>
        <v/>
      </c>
      <c r="CM11" s="210" t="str">
        <f>IF(AND(C11="Skema 2",B11="fr"),Skemaoplysninger!$AA$31,"")</f>
        <v/>
      </c>
      <c r="CN11" s="210" t="str">
        <f>IF(AND(C11="Skema 3",B11="ma"),Skemaoplysninger!$AG$31,"")</f>
        <v/>
      </c>
      <c r="CO11" s="210" t="str">
        <f>IF(AND(C11="Skema 3",B11="ti"),Skemaoplysninger!$AI$31,"")</f>
        <v/>
      </c>
      <c r="CP11" s="210" t="str">
        <f>IF(AND(C11="Skema 3",B11="on"),Skemaoplysninger!$AK$31,"")</f>
        <v/>
      </c>
      <c r="CQ11" s="210" t="str">
        <f>IF(AND(C11="Skema 3",B11="to"),Skemaoplysninger!$AM$31,"")</f>
        <v/>
      </c>
      <c r="CR11" s="210" t="str">
        <f>IF(AND(C11="Skema 3",B11="fr"),Skemaoplysninger!$AO$31,"")</f>
        <v/>
      </c>
      <c r="CS11" s="210" t="str">
        <f>IF(AND(C11="Skema 4",B11="ma"),Skemaoplysninger!$AU$31,"")</f>
        <v/>
      </c>
      <c r="CT11" s="210" t="str">
        <f>IF(AND(C11="Skema 4",B11="ti"),Skemaoplysninger!$AW$31,"")</f>
        <v/>
      </c>
      <c r="CU11" s="210" t="str">
        <f>IF(AND(C11="Skema 4",B11="on"),Skemaoplysninger!$AY$31,"")</f>
        <v/>
      </c>
      <c r="CV11" s="210" t="str">
        <f>IF(AND(C11="Skema 4",B11="to"),Skemaoplysninger!$BA$31,"")</f>
        <v/>
      </c>
      <c r="CW11" s="210" t="str">
        <f>IF(AND(C11="Skema 4",B11="fr"),Skemaoplysninger!$BC$31,"")</f>
        <v/>
      </c>
      <c r="CX11" s="249">
        <f>IF(Stamoplysninger!$H$29="NEJ",SUM(CD11:CW11)*24+CB11+CC11,0)</f>
        <v>0</v>
      </c>
      <c r="CY11" s="249">
        <f>IF(C11="Skema 1",Stamoplysninger!$H$30/200,0)</f>
        <v>0</v>
      </c>
      <c r="CZ11" s="249">
        <f>IF(C11="Skema 2",Stamoplysninger!$H$30/200,0)</f>
        <v>0</v>
      </c>
      <c r="DA11" s="249">
        <f>IF(C11="Skema 3",Stamoplysninger!$H$30/200,0)</f>
        <v>0</v>
      </c>
      <c r="DB11" s="249">
        <f>IF(C11="Skema 4",Stamoplysninger!$H$30/200,0)</f>
        <v>0</v>
      </c>
      <c r="DC11" s="249">
        <f>IF(C11="fagdag",Stamoplysninger!$H$30/200,0)</f>
        <v>0</v>
      </c>
      <c r="DD11" s="249">
        <f>IF(C11="emnedag",Stamoplysninger!$H$30/200,0)</f>
        <v>0</v>
      </c>
      <c r="DE11" s="249">
        <f>IF(C11="lejrskole",Stamoplysninger!$H$30/200,0)</f>
        <v>0</v>
      </c>
      <c r="DF11" s="249">
        <f>IF(C11="ekskursion",Stamoplysninger!$H$30/200,0)</f>
        <v>0</v>
      </c>
      <c r="DG11" s="249">
        <f t="shared" si="26"/>
        <v>0</v>
      </c>
      <c r="DH11" t="str">
        <f t="shared" si="27"/>
        <v/>
      </c>
      <c r="DI11">
        <f t="shared" si="28"/>
        <v>0</v>
      </c>
      <c r="DJ11">
        <f t="shared" si="29"/>
        <v>0</v>
      </c>
      <c r="DK11" t="str">
        <f t="shared" si="14"/>
        <v/>
      </c>
      <c r="DL11" t="str">
        <f t="shared" si="14"/>
        <v/>
      </c>
      <c r="DM11" t="str">
        <f t="shared" si="14"/>
        <v/>
      </c>
      <c r="DN11" t="str">
        <f t="shared" si="30"/>
        <v/>
      </c>
      <c r="DO11" s="652">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71">
        <f>IF(AND(Stamoplysninger!$B$22="Ulempetillæg udbetales med 25% af nettotimelønnen.",C11="ikke relevant"),(R11)/4,0)</f>
        <v>0</v>
      </c>
      <c r="DT11" s="671">
        <f>IF(AND(AND(Stamoplysninger!$B$22="Ulempetillæg udbetales med 25% af nettotimelønnen.",I11="X",C11="Ikke relevant")),K11/4,0)</f>
        <v>0</v>
      </c>
      <c r="DU11" s="671">
        <f>IF(AND(AND(Stamoplysninger!$B$22="Ulempetillæg udbetales med 25% af nettotimelønnen.",C11="ikke relevant",U11="X")),(X11/4),0)</f>
        <v>0</v>
      </c>
      <c r="DV11" s="672">
        <f>IF(AND(AND(AND(Stamoplysninger!$B$22="Ulempetillæg udbetales med 25% af nettotimelønnen.",I11="X",C11="Ikke relevant",S11="X"))),V11/4,0)</f>
        <v>0</v>
      </c>
      <c r="DW11" s="652"/>
      <c r="DZ11" s="671"/>
      <c r="EA11" s="671"/>
      <c r="EB11" s="672"/>
      <c r="EC11" s="652">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71">
        <f>IF(AND(Stamoplysninger!$B$22="Ulempetillæg afspadseres med 25%(Kræver en aftale imellem ledelsen og den ansatte)",C11="ikke relevant"),(R11)/4,0)</f>
        <v>0</v>
      </c>
      <c r="EH11" s="671">
        <f>IF(AND(AND(Stamoplysninger!$B$22="Ulempetillæg afspadseres med 25%(Kræver en aftale imellem ledelsen og den ansatte)",I11="X",C11="Ikke relevant")),K11/4,0)</f>
        <v>0</v>
      </c>
      <c r="EI11" s="671">
        <f>IF(AND(AND(Stamoplysninger!$B$22="Ulempetillæg afspadseres med 25%(Kræver en aftale imellem ledelsen og den ansatte)",U11="X",C11="Ikke relevant")),X11/4,0)</f>
        <v>0</v>
      </c>
      <c r="EJ11" s="671">
        <f>IF(AND(AND(AND(Stamoplysninger!$B$22="Ulempetillæg afspadseres med 25%(Kræver en aftale imellem ledelsen og den ansatte)",I11="X",C11="Ikke relevant",S11="X"))),V11/4,0)</f>
        <v>0</v>
      </c>
      <c r="EK11" s="283">
        <f>IF(AND(Stamoplysninger!$B$26="Weekendtimer og weekendtillæg afspadseres.",I11="X"),K11*1.5,0)</f>
        <v>0</v>
      </c>
      <c r="EL11" s="251">
        <f>IF(AND(AND(Stamoplysninger!$B$26="Weekendtimer og weekendtillæg afspadseres.",I11="X",S11="X")),V11*1.5,0)</f>
        <v>0</v>
      </c>
      <c r="EM11" s="674">
        <f>IF(AND(AND(Stamoplysninger!$B$26="Weekendtimer og weekendtillæg afspadseres.",I11="X",C11="ikke relevant")),K11*1.5,0)</f>
        <v>0</v>
      </c>
      <c r="EN11" s="675">
        <f>IF(AND(AND(AND(Stamoplysninger!$B$26="Weekendtimer og weekendtillæg afspadseres.",I11="X",C11="ikke relevant",S11="X"))),(V11*1.5),0)</f>
        <v>0</v>
      </c>
      <c r="EO11" s="283">
        <f>IF(AND(Stamoplysninger!$B$26="Weekendtimer og weekendtillæg udbetales.",I11="X"),K11*1.5,0)</f>
        <v>0</v>
      </c>
      <c r="EP11" s="251">
        <f>IF(AND(AND(Stamoplysninger!$B$26="Weekendtimer og weekendtillæg udbetales.",I11="X",S11="X")),V11*1.5,0)</f>
        <v>0</v>
      </c>
      <c r="EQ11" s="674">
        <f>IF(AND(AND(Stamoplysninger!$B$26="Weekendtimer og weekendtillæg udbetales.",I11="X",C11="ikke relevant")),K11*1.5,0)</f>
        <v>0</v>
      </c>
      <c r="ER11" s="675">
        <f>IF(AND(AND(AND(Stamoplysninger!$B$26="Weekendtimer og weekendtillæg udbetales.",I11="X",C11="ikke relevant",S11="X"))),(V11*1.5),0)</f>
        <v>0</v>
      </c>
      <c r="ES11" s="283">
        <f>IF(AND(Stamoplysninger!$B$26="Der er indgået lokalaftale omkring weekendtimer.(Kræver aftale med TR/FSL) Weekendtillæg afspadseres.",I11="X"),K11*0.5,0)</f>
        <v>0</v>
      </c>
      <c r="ET11" s="251">
        <f>IF(AND(AND(Stamoplysninger!$B$26="Der er indgået lokalaftale omkring weekendtimer.(Kræver aftale med TR/FSL) Weekendtillæg afspadseres.",I11="X",S11="X")),V11*0.5,0)</f>
        <v>0</v>
      </c>
      <c r="EU11" s="674">
        <f>IF(AND(AND(Stamoplysninger!$B$26="Der er indgået lokalaftale omkring weekendtimer.(Kræver aftale med TR/FSL) Weekendtillæg afspadseres.",I11="X",C11="ikke relevant")),K11*0.5,0)</f>
        <v>0</v>
      </c>
      <c r="EV11" s="675">
        <f>IF(AND(AND(AND(Stamoplysninger!$B$26="Der er indgået lokalaftale omkring weekendtimer.(Kræver aftale med TR/FSL) Weekendtillæg afspadseres.",I11="X",C11="ikke relevant",S11="X"))),(V11*0.5),0)</f>
        <v>0</v>
      </c>
      <c r="EW11" s="283">
        <f>IF(AND(Stamoplysninger!$B$26="Der er indgået lokalaftale omkring weekendtimer(Kræver aftale med TR/FSL). Weekendtillæg udbetales.",I11="X"),K11*0.5,0)</f>
        <v>0</v>
      </c>
      <c r="EX11" s="251">
        <f>IF(AND(AND(Stamoplysninger!$B$26="Der er indgået lokalaftale omkring weekendtimer(Kræver aftale med TR/FSL). Weekendtillæg udbetales.",I11="X",S11="X")),V11*0.5,0)</f>
        <v>0</v>
      </c>
      <c r="EY11" s="674">
        <f>IF(AND(AND(Stamoplysninger!$B$26="Der er indgået lokalaftale omkring weekendtimer(Kræver aftale med TR/FSL). Weekendtillæg udbetales.",I11="X",C11="ikke relevant")),K11*0.5,0)</f>
        <v>0</v>
      </c>
      <c r="EZ11" s="675">
        <f>IF(AND(AND(AND(Stamoplysninger!$B$26="Der er indgået lokalaftale omkring weekendtimer(Kræver aftale med TR/FSL). Weekendtillæg udbetales.",I11="X",C11="ikke relevant",S11="X"))),(V11*0.5),0)</f>
        <v>0</v>
      </c>
      <c r="FA11" s="283">
        <f>IF(AND(Stamoplysninger!$B$26="Der er indgået lokalaftale omkring weekendtillæg(Kræver aftale med TR/FSL). Weekendtimerne afspadseres.",I11="X"),K11,0)</f>
        <v>0</v>
      </c>
      <c r="FB11" s="251">
        <f>IF(AND(AND(Stamoplysninger!$B$26="Der er indgået lokalaftale omkring weekendtillæg(Kræver aftale med TR/FSL). Weekendtimerne afspadseres.",I11="X",S11="X")),V11,0)</f>
        <v>0</v>
      </c>
      <c r="FC11" s="674">
        <f>IF(AND(AND(Stamoplysninger!$B$26="Der er indgået lokalaftale omkring weekendtillæg(Kræver aftale med TR/FSL). Weekendtimerne afspadseres..",I11="X",C11="ikke relevant")),K11,0)</f>
        <v>0</v>
      </c>
      <c r="FD11" s="675">
        <f>IF(AND(AND(AND(Stamoplysninger!$B$26="Der er indgået lokalaftale omkring weekendtillæg(Kræver aftale med TR/FSL). Weekendtimerne afspadseres.",I11="X",C11="ikke relevant",S11="X"))),(V11),0)</f>
        <v>0</v>
      </c>
      <c r="FE11" s="283">
        <f>IF(AND(Stamoplysninger!$B$26="Der er indgået lokalaftale omkring weekendtillæg(Kræver aftale med TR/FSL). Weekendtimerne udbetales.",I11="X"),K11,0)</f>
        <v>0</v>
      </c>
      <c r="FF11" s="251">
        <f>IF(AND(AND(Stamoplysninger!$B$26="Der er indgået lokalaftale omkring weekendtillæg(Kræver aftale med TR/FSL). Weekendtimerne udbetales.",I11="X",S11="X")),V11,0)</f>
        <v>0</v>
      </c>
      <c r="FG11" s="674">
        <f>IF(AND(AND(Stamoplysninger!$B$26="Der er indgået lokalaftale omkring weekendtillæg(Kræver aftale med TR/FSL). Weekendtimerne udbetales.",I11="X",C11="ikke relevant")),K11,0)</f>
        <v>0</v>
      </c>
      <c r="FH11" s="675">
        <f>IF(AND(AND(AND(Stamoplysninger!$B$26="Der er indgået lokalaftale omkring weekendtillæg(Kræver aftale med TR/FSL). Weekendtimerne udbetales.",I11="X",C11="ikke relevant",S11="X"))),(V11),0)</f>
        <v>0</v>
      </c>
      <c r="FI11" s="283">
        <f>IF(AND(Stamoplysninger!$B$26="Weekendtimer og weekendtillæg afspadseres.",I11="X"),K11,0)</f>
        <v>0</v>
      </c>
      <c r="FJ11" s="251">
        <f>IF(AND(Stamoplysninger!$B$26="Weekendtimer og weekendtillæg afspadseres.",Y11="X"),(AA11+AL11)/2,0)</f>
        <v>0</v>
      </c>
      <c r="FK11" s="674">
        <f>IF(AND(AND(Stamoplysninger!$B$26="Weekendtimer og weekendtillæg afspadseres.",I11="X",C11="ikke relevant")),K11,0)</f>
        <v>0</v>
      </c>
      <c r="FL11" s="675">
        <f>IF(AND(AND(Stamoplysninger!$B$26="Weekendtimer og weekendtillæg afspadseres.",Y11="X",S11="ikke relevant")),(AA11+AL11)/2,0)</f>
        <v>0</v>
      </c>
      <c r="FM11" s="283">
        <f>IF(AND(Stamoplysninger!$B$26="Der er indgået lokalaftale omkring weekendtillæg(Kræver aftale med TR/FSL). Weekendtimerne afspadseres.",I11="X"),K11,0)</f>
        <v>0</v>
      </c>
      <c r="FN11" s="674">
        <f>IF(AND(AND(Stamoplysninger!$B$26="Der er indgået lokalaftale omkring weekendtillæg(Kræver aftale med TR/FSL). Weekendtimerne afspadseres.",I11="X",C11="ikke relevant")),K11,0)</f>
        <v>0</v>
      </c>
      <c r="FO11" s="283">
        <f>IF(AND(Stamoplysninger!$B$26="Weekendtimer og weekendtillæg udbetales.",I11="X"),K11,0)</f>
        <v>0</v>
      </c>
      <c r="FP11" s="251">
        <f>IF(AND(Stamoplysninger!$B$26="Weekendtimer og weekendtillæg udbetales.",AA11="X"),(AC11+AN11)/2,0)</f>
        <v>0</v>
      </c>
      <c r="FQ11" s="674">
        <f>IF(AND(AND(Stamoplysninger!$B$26="Weekendtimer og weekendtillæg udbetales.",I11="X",C11="ikke relevant")),K11,0)</f>
        <v>0</v>
      </c>
      <c r="FR11" s="688">
        <f>IF(AND(AND(Stamoplysninger!$B$26="Weekendtimer og weekendtillæg udbetales.",AA11="X",U11="ikke relevant")),(AC11+AN11)/2,0)</f>
        <v>0</v>
      </c>
      <c r="FS11" s="283">
        <f t="shared" si="15"/>
        <v>0</v>
      </c>
      <c r="FT11" s="658">
        <f t="shared" si="16"/>
        <v>0</v>
      </c>
      <c r="FU11">
        <f t="shared" si="17"/>
        <v>0</v>
      </c>
      <c r="FV11" s="283">
        <f>IF(AND(Stamoplysninger!$B$26="Der er indgået lokalaftale omkring weekendtimer.(Kræver aftale med TR/FSL) Weekendtillæg afspadseres.",I11="X"),K11,0)</f>
        <v>0</v>
      </c>
      <c r="FW11" s="674">
        <f>IF(AND(AND(Stamoplysninger!$B$26="Der er indgået lokalaftale omkring weekendtimer.(Kræver aftale med TR/FSL) Weekendtillæg afspadseres.",I11="X",C11="ikke relevant")),K11,0)</f>
        <v>0</v>
      </c>
      <c r="FX11" s="283">
        <f>IF(AND(Stamoplysninger!$B$26="Der er indgået lokalaftale omkring weekendtimer(Kræver aftale med TR/FSL). Weekendtillæg udbetales.",I11="X"),K11,0)</f>
        <v>0</v>
      </c>
      <c r="FY11" s="674">
        <f>IF(AND(AND(Stamoplysninger!$B$26="Der er indgået lokalaftale omkring weekendtimer(Kræver aftale med TR/FSL). Weekendtillæg udbetales.",I11="X",C11="ikke relevant")),K11,0)</f>
        <v>0</v>
      </c>
      <c r="FZ11" s="283">
        <f>IF(AND(Stamoplysninger!$B$26="Der er indgået lokalaftale omkring weekendtillæg(Kræver aftale med TR/FSL). Weekendtimerne udbetales.",I11="X"),K11,0)</f>
        <v>0</v>
      </c>
      <c r="GA11" s="674">
        <f>IF(AND(AND(Stamoplysninger!$B$26="Der er indgået lokalaftale omkring weekendtillæg(Kræver aftale med TR/FSL). Weekendtimerne udbetales.",I11="X",C11="ikke relevant")),K11,0)</f>
        <v>0</v>
      </c>
      <c r="GB11" s="283">
        <f>IF(AND(Stamoplysninger!$B$26="Der er indgået lokalaftale omkring weekendtimer og weekendtillæg.(Kræver aftale med TR/FSL).",I11="X"),K11,0)</f>
        <v>0</v>
      </c>
      <c r="GC11" s="674">
        <f>IF(AND(AND(Stamoplysninger!$B$26="Der er indgået lokalaftale omkring weekendtimer og weekendtillæg.(Kræver aftale med TR/FSL).",I11="X",C11="ikke relevant")),K11,0)</f>
        <v>0</v>
      </c>
    </row>
    <row r="12" spans="1:185">
      <c r="A12" s="245">
        <f t="shared" si="18"/>
        <v>4</v>
      </c>
      <c r="B12" s="128" t="str">
        <f t="shared" si="0"/>
        <v>lø</v>
      </c>
      <c r="C12" s="129" t="s">
        <v>120</v>
      </c>
      <c r="D12" s="130" t="str">
        <f t="shared" si="1"/>
        <v/>
      </c>
      <c r="E12" s="917"/>
      <c r="F12" s="918"/>
      <c r="G12" s="919"/>
      <c r="H12" s="298"/>
      <c r="I12" s="413"/>
      <c r="J12" s="413"/>
      <c r="K12" s="380"/>
      <c r="L12" s="380"/>
      <c r="M12" s="380"/>
      <c r="N12" s="318">
        <f t="shared" si="19"/>
        <v>0</v>
      </c>
      <c r="O12" s="318">
        <f t="shared" si="20"/>
        <v>0</v>
      </c>
      <c r="P12" s="318">
        <f>IF(Stamoplysninger!$H$29="JA",Januar!DG12,CX12)</f>
        <v>0</v>
      </c>
      <c r="Q12" s="318">
        <f t="shared" si="21"/>
        <v>0</v>
      </c>
      <c r="R12" s="319"/>
      <c r="S12" s="324"/>
      <c r="T12" s="325"/>
      <c r="U12" s="325"/>
      <c r="V12" s="435"/>
      <c r="W12" s="412"/>
      <c r="X12" s="642"/>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9">
        <f t="shared" si="8"/>
        <v>0</v>
      </c>
      <c r="BC12" s="1">
        <f t="shared" si="24"/>
        <v>0</v>
      </c>
      <c r="BD12" s="1">
        <f t="shared" si="9"/>
        <v>0</v>
      </c>
      <c r="BE12" s="1">
        <f t="shared" si="10"/>
        <v>0</v>
      </c>
      <c r="BF12" s="1">
        <f t="shared" si="11"/>
        <v>0</v>
      </c>
      <c r="BG12" s="210" t="str">
        <f>IF(AND(C12="Skema 1",B12="ma"),Skemaoplysninger!$E$30,"")</f>
        <v/>
      </c>
      <c r="BH12" s="210" t="str">
        <f>IF(AND(C12="Skema 1",B12="ti"),Skemaoplysninger!$G$30,"")</f>
        <v/>
      </c>
      <c r="BI12" s="210" t="str">
        <f>IF(AND(C12="Skema 1",B12="on"),Skemaoplysninger!$I$30,"")</f>
        <v/>
      </c>
      <c r="BJ12" s="210" t="str">
        <f>IF(AND(C12="Skema 1",B12="to"),Skemaoplysninger!$K$30,"")</f>
        <v/>
      </c>
      <c r="BK12" s="210" t="str">
        <f>IF(AND(C12="Skema 1",B12="fr"),Skemaoplysninger!$M$30,"")</f>
        <v/>
      </c>
      <c r="BL12" s="210" t="str">
        <f>IF(AND(C12="Skema 2",B12="ma"),Skemaoplysninger!$S$30,"")</f>
        <v/>
      </c>
      <c r="BM12" s="210" t="str">
        <f>IF(AND(C12="Skema 2",B12="ti"),Skemaoplysninger!$U$30,"")</f>
        <v/>
      </c>
      <c r="BN12" s="210" t="str">
        <f>IF(AND(C12="Skema 2",B12="on"),Skemaoplysninger!$W$30,"")</f>
        <v/>
      </c>
      <c r="BO12" s="210" t="str">
        <f>IF(AND(C12="Skema 2",B12="to"),Skemaoplysninger!$Y$30,"")</f>
        <v/>
      </c>
      <c r="BP12" s="210" t="str">
        <f>IF(AND(C12="Skema 2",B12="fr"),Skemaoplysninger!$AA$30,"")</f>
        <v/>
      </c>
      <c r="BQ12" s="210" t="str">
        <f>IF(AND(C12="Skema 3",B12="ma"),Skemaoplysninger!$AG$30,"")</f>
        <v/>
      </c>
      <c r="BR12" s="210" t="str">
        <f>IF(AND(C12="Skema 3",B12="ti"),Skemaoplysninger!$AI$30,"")</f>
        <v/>
      </c>
      <c r="BS12" s="210" t="str">
        <f>IF(AND(C12="Skema 3",B12="on"),Skemaoplysninger!$AK$30,"")</f>
        <v/>
      </c>
      <c r="BT12" s="210" t="str">
        <f>IF(AND(C12="Skema 3",B12="to"),Skemaoplysninger!$AM$30,"")</f>
        <v/>
      </c>
      <c r="BU12" s="210" t="str">
        <f>IF(AND(C12="Skema 3",B12="fr"),Skemaoplysninger!$AO$30,"")</f>
        <v/>
      </c>
      <c r="BV12" s="210" t="str">
        <f>IF(AND(C12="Skema 4",B12="ma"),Skemaoplysninger!$AU$30,"")</f>
        <v/>
      </c>
      <c r="BW12" s="210" t="str">
        <f>IF(AND(C12="Skema 4",B12="ti"),Skemaoplysninger!$AW$30,"")</f>
        <v/>
      </c>
      <c r="BX12" s="210" t="str">
        <f>IF(AND(C12="Skema 4",B12="on"),Skemaoplysninger!$AY$30,"")</f>
        <v/>
      </c>
      <c r="BY12" s="210" t="str">
        <f>IF(AND(C12="Skema 4",B12="to"),Skemaoplysninger!$BA$30,"")</f>
        <v/>
      </c>
      <c r="BZ12" s="210" t="str">
        <f>IF(AND(C12="Skema 4",B12="fr"),Skemaoplysninger!$BC$30,"")</f>
        <v/>
      </c>
      <c r="CA12" s="1">
        <f t="shared" si="25"/>
        <v>0</v>
      </c>
      <c r="CB12" s="1">
        <f t="shared" si="12"/>
        <v>0</v>
      </c>
      <c r="CC12" s="1">
        <f t="shared" si="13"/>
        <v>0</v>
      </c>
      <c r="CD12" s="210" t="str">
        <f>IF(AND(C12="Skema 1",B12="ma"),Skemaoplysninger!$E$31,"")</f>
        <v/>
      </c>
      <c r="CE12" s="210" t="str">
        <f>IF(AND(C12="Skema 1",B12="ti"),Skemaoplysninger!$G$31,"")</f>
        <v/>
      </c>
      <c r="CF12" s="210" t="str">
        <f>IF(AND(C12="Skema 1",B12="on"),Skemaoplysninger!$I$31,"")</f>
        <v/>
      </c>
      <c r="CG12" s="210" t="str">
        <f>IF(AND(C12="Skema 1",B12="to"),Skemaoplysninger!$K$31,"")</f>
        <v/>
      </c>
      <c r="CH12" s="210" t="str">
        <f>IF(AND(C12="Skema 1",B12="fr"),Skemaoplysninger!$M$31,"")</f>
        <v/>
      </c>
      <c r="CI12" s="210" t="str">
        <f>IF(AND(C12="Skema 2",B12="ma"),Skemaoplysninger!$S$31,"")</f>
        <v/>
      </c>
      <c r="CJ12" s="210" t="str">
        <f>IF(AND(C12="Skema 2",B12="ti"),Skemaoplysninger!$U$31,"")</f>
        <v/>
      </c>
      <c r="CK12" s="210" t="str">
        <f>IF(AND(C12="Skema 2",B12="on"),Skemaoplysninger!$W$31,"")</f>
        <v/>
      </c>
      <c r="CL12" s="210" t="str">
        <f>IF(AND(C12="Skema 2",B12="to"),Skemaoplysninger!$Y$31,"")</f>
        <v/>
      </c>
      <c r="CM12" s="210" t="str">
        <f>IF(AND(C12="Skema 2",B12="fr"),Skemaoplysninger!$AA$31,"")</f>
        <v/>
      </c>
      <c r="CN12" s="210" t="str">
        <f>IF(AND(C12="Skema 3",B12="ma"),Skemaoplysninger!$AG$31,"")</f>
        <v/>
      </c>
      <c r="CO12" s="210" t="str">
        <f>IF(AND(C12="Skema 3",B12="ti"),Skemaoplysninger!$AI$31,"")</f>
        <v/>
      </c>
      <c r="CP12" s="210" t="str">
        <f>IF(AND(C12="Skema 3",B12="on"),Skemaoplysninger!$AK$31,"")</f>
        <v/>
      </c>
      <c r="CQ12" s="210" t="str">
        <f>IF(AND(C12="Skema 3",B12="to"),Skemaoplysninger!$AM$31,"")</f>
        <v/>
      </c>
      <c r="CR12" s="210" t="str">
        <f>IF(AND(C12="Skema 3",B12="fr"),Skemaoplysninger!$AO$31,"")</f>
        <v/>
      </c>
      <c r="CS12" s="210" t="str">
        <f>IF(AND(C12="Skema 4",B12="ma"),Skemaoplysninger!$AU$31,"")</f>
        <v/>
      </c>
      <c r="CT12" s="210" t="str">
        <f>IF(AND(C12="Skema 4",B12="ti"),Skemaoplysninger!$AW$31,"")</f>
        <v/>
      </c>
      <c r="CU12" s="210" t="str">
        <f>IF(AND(C12="Skema 4",B12="on"),Skemaoplysninger!$AY$31,"")</f>
        <v/>
      </c>
      <c r="CV12" s="210" t="str">
        <f>IF(AND(C12="Skema 4",B12="to"),Skemaoplysninger!$BA$31,"")</f>
        <v/>
      </c>
      <c r="CW12" s="210" t="str">
        <f>IF(AND(C12="Skema 4",B12="fr"),Skemaoplysninger!$BC$31,"")</f>
        <v/>
      </c>
      <c r="CX12" s="249">
        <f>IF(Stamoplysninger!$H$29="NEJ",SUM(CD12:CW12)*24+CB12+CC12,0)</f>
        <v>0</v>
      </c>
      <c r="CY12" s="249">
        <f>IF(C12="Skema 1",Stamoplysninger!$H$30/200,0)</f>
        <v>0</v>
      </c>
      <c r="CZ12" s="249">
        <f>IF(C12="Skema 2",Stamoplysninger!$H$30/200,0)</f>
        <v>0</v>
      </c>
      <c r="DA12" s="249">
        <f>IF(C12="Skema 3",Stamoplysninger!$H$30/200,0)</f>
        <v>0</v>
      </c>
      <c r="DB12" s="249">
        <f>IF(C12="Skema 4",Stamoplysninger!$H$30/200,0)</f>
        <v>0</v>
      </c>
      <c r="DC12" s="249">
        <f>IF(C12="fagdag",Stamoplysninger!$H$30/200,0)</f>
        <v>0</v>
      </c>
      <c r="DD12" s="249">
        <f>IF(C12="emnedag",Stamoplysninger!$H$30/200,0)</f>
        <v>0</v>
      </c>
      <c r="DE12" s="249">
        <f>IF(C12="lejrskole",Stamoplysninger!$H$30/200,0)</f>
        <v>0</v>
      </c>
      <c r="DF12" s="249">
        <f>IF(C12="ekskursion",Stamoplysninger!$H$30/200,0)</f>
        <v>0</v>
      </c>
      <c r="DG12" s="249">
        <f t="shared" si="26"/>
        <v>0</v>
      </c>
      <c r="DH12" t="str">
        <f t="shared" si="27"/>
        <v/>
      </c>
      <c r="DI12">
        <f t="shared" si="28"/>
        <v>0</v>
      </c>
      <c r="DJ12">
        <f>IF(E12="",H12,"")</f>
        <v>0</v>
      </c>
      <c r="DK12" t="str">
        <f t="shared" si="14"/>
        <v/>
      </c>
      <c r="DL12" t="str">
        <f t="shared" si="14"/>
        <v/>
      </c>
      <c r="DM12" t="str">
        <f t="shared" si="14"/>
        <v/>
      </c>
      <c r="DN12" t="str">
        <f t="shared" si="30"/>
        <v/>
      </c>
      <c r="DO12" s="652">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71">
        <f>IF(AND(Stamoplysninger!$B$22="Ulempetillæg udbetales med 25% af nettotimelønnen.",C12="ikke relevant"),(R12)/4,0)</f>
        <v>0</v>
      </c>
      <c r="DT12" s="671">
        <f>IF(AND(AND(Stamoplysninger!$B$22="Ulempetillæg udbetales med 25% af nettotimelønnen.",I12="X",C12="Ikke relevant")),K12/4,0)</f>
        <v>0</v>
      </c>
      <c r="DU12" s="671">
        <f>IF(AND(AND(Stamoplysninger!$B$22="Ulempetillæg udbetales med 25% af nettotimelønnen.",C12="ikke relevant",U12="X")),(X12/4),0)</f>
        <v>0</v>
      </c>
      <c r="DV12" s="672">
        <f>IF(AND(AND(AND(Stamoplysninger!$B$22="Ulempetillæg udbetales med 25% af nettotimelønnen.",I12="X",C12="Ikke relevant",S12="X"))),V12/4,0)</f>
        <v>0</v>
      </c>
      <c r="DW12" s="652"/>
      <c r="DZ12" s="671"/>
      <c r="EA12" s="671"/>
      <c r="EB12" s="672"/>
      <c r="EC12" s="652">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71">
        <f>IF(AND(Stamoplysninger!$B$22="Ulempetillæg afspadseres med 25%(Kræver en aftale imellem ledelsen og den ansatte)",C12="ikke relevant"),(R12)/4,0)</f>
        <v>0</v>
      </c>
      <c r="EH12" s="671">
        <f>IF(AND(AND(Stamoplysninger!$B$22="Ulempetillæg afspadseres med 25%(Kræver en aftale imellem ledelsen og den ansatte)",I12="X",C12="Ikke relevant")),K12/4,0)</f>
        <v>0</v>
      </c>
      <c r="EI12" s="671">
        <f>IF(AND(AND(Stamoplysninger!$B$22="Ulempetillæg afspadseres med 25%(Kræver en aftale imellem ledelsen og den ansatte)",U12="X",C12="Ikke relevant")),X12/4,0)</f>
        <v>0</v>
      </c>
      <c r="EJ12" s="671">
        <f>IF(AND(AND(AND(Stamoplysninger!$B$22="Ulempetillæg afspadseres med 25%(Kræver en aftale imellem ledelsen og den ansatte)",I12="X",C12="Ikke relevant",S12="X"))),V12/4,0)</f>
        <v>0</v>
      </c>
      <c r="EK12" s="283">
        <f>IF(AND(Stamoplysninger!$B$26="Weekendtimer og weekendtillæg afspadseres.",I12="X"),K12*1.5,0)</f>
        <v>0</v>
      </c>
      <c r="EL12" s="251">
        <f>IF(AND(AND(Stamoplysninger!$B$26="Weekendtimer og weekendtillæg afspadseres.",I12="X",S12="X")),V12*1.5,0)</f>
        <v>0</v>
      </c>
      <c r="EM12" s="674">
        <f>IF(AND(AND(Stamoplysninger!$B$26="Weekendtimer og weekendtillæg afspadseres.",I12="X",C12="ikke relevant")),K12*1.5,0)</f>
        <v>0</v>
      </c>
      <c r="EN12" s="675">
        <f>IF(AND(AND(AND(Stamoplysninger!$B$26="Weekendtimer og weekendtillæg afspadseres.",I12="X",C12="ikke relevant",S12="X"))),(V12*1.5),0)</f>
        <v>0</v>
      </c>
      <c r="EO12" s="283">
        <f>IF(AND(Stamoplysninger!$B$26="Weekendtimer og weekendtillæg udbetales.",I12="X"),K12*1.5,0)</f>
        <v>0</v>
      </c>
      <c r="EP12" s="251">
        <f>IF(AND(AND(Stamoplysninger!$B$26="Weekendtimer og weekendtillæg udbetales.",I12="X",S12="X")),V12*1.5,0)</f>
        <v>0</v>
      </c>
      <c r="EQ12" s="674">
        <f>IF(AND(AND(Stamoplysninger!$B$26="Weekendtimer og weekendtillæg udbetales.",I12="X",C12="ikke relevant")),K12*1.5,0)</f>
        <v>0</v>
      </c>
      <c r="ER12" s="675">
        <f>IF(AND(AND(AND(Stamoplysninger!$B$26="Weekendtimer og weekendtillæg udbetales.",I12="X",C12="ikke relevant",S12="X"))),(V12*1.5),0)</f>
        <v>0</v>
      </c>
      <c r="ES12" s="283">
        <f>IF(AND(Stamoplysninger!$B$26="Der er indgået lokalaftale omkring weekendtimer.(Kræver aftale med TR/FSL) Weekendtillæg afspadseres.",I12="X"),K12*0.5,0)</f>
        <v>0</v>
      </c>
      <c r="ET12" s="251">
        <f>IF(AND(AND(Stamoplysninger!$B$26="Der er indgået lokalaftale omkring weekendtimer.(Kræver aftale med TR/FSL) Weekendtillæg afspadseres.",I12="X",S12="X")),V12*0.5,0)</f>
        <v>0</v>
      </c>
      <c r="EU12" s="674">
        <f>IF(AND(AND(Stamoplysninger!$B$26="Der er indgået lokalaftale omkring weekendtimer.(Kræver aftale med TR/FSL) Weekendtillæg afspadseres.",I12="X",C12="ikke relevant")),K12*0.5,0)</f>
        <v>0</v>
      </c>
      <c r="EV12" s="675">
        <f>IF(AND(AND(AND(Stamoplysninger!$B$26="Der er indgået lokalaftale omkring weekendtimer.(Kræver aftale med TR/FSL) Weekendtillæg afspadseres.",I12="X",C12="ikke relevant",S12="X"))),(V12*0.5),0)</f>
        <v>0</v>
      </c>
      <c r="EW12" s="283">
        <f>IF(AND(Stamoplysninger!$B$26="Der er indgået lokalaftale omkring weekendtimer(Kræver aftale med TR/FSL). Weekendtillæg udbetales.",I12="X"),K12*0.5,0)</f>
        <v>0</v>
      </c>
      <c r="EX12" s="251">
        <f>IF(AND(AND(Stamoplysninger!$B$26="Der er indgået lokalaftale omkring weekendtimer(Kræver aftale med TR/FSL). Weekendtillæg udbetales.",I12="X",S12="X")),V12*0.5,0)</f>
        <v>0</v>
      </c>
      <c r="EY12" s="674">
        <f>IF(AND(AND(Stamoplysninger!$B$26="Der er indgået lokalaftale omkring weekendtimer(Kræver aftale med TR/FSL). Weekendtillæg udbetales.",I12="X",C12="ikke relevant")),K12*0.5,0)</f>
        <v>0</v>
      </c>
      <c r="EZ12" s="675">
        <f>IF(AND(AND(AND(Stamoplysninger!$B$26="Der er indgået lokalaftale omkring weekendtimer(Kræver aftale med TR/FSL). Weekendtillæg udbetales.",I12="X",C12="ikke relevant",S12="X"))),(V12*0.5),0)</f>
        <v>0</v>
      </c>
      <c r="FA12" s="283">
        <f>IF(AND(Stamoplysninger!$B$26="Der er indgået lokalaftale omkring weekendtillæg(Kræver aftale med TR/FSL). Weekendtimerne afspadseres.",I12="X"),K12,0)</f>
        <v>0</v>
      </c>
      <c r="FB12" s="251">
        <f>IF(AND(AND(Stamoplysninger!$B$26="Der er indgået lokalaftale omkring weekendtillæg(Kræver aftale med TR/FSL). Weekendtimerne afspadseres.",I12="X",S12="X")),V12,0)</f>
        <v>0</v>
      </c>
      <c r="FC12" s="674">
        <f>IF(AND(AND(Stamoplysninger!$B$26="Der er indgået lokalaftale omkring weekendtillæg(Kræver aftale med TR/FSL). Weekendtimerne afspadseres..",I12="X",C12="ikke relevant")),K12,0)</f>
        <v>0</v>
      </c>
      <c r="FD12" s="675">
        <f>IF(AND(AND(AND(Stamoplysninger!$B$26="Der er indgået lokalaftale omkring weekendtillæg(Kræver aftale med TR/FSL). Weekendtimerne afspadseres.",I12="X",C12="ikke relevant",S12="X"))),(V12),0)</f>
        <v>0</v>
      </c>
      <c r="FE12" s="283">
        <f>IF(AND(Stamoplysninger!$B$26="Der er indgået lokalaftale omkring weekendtillæg(Kræver aftale med TR/FSL). Weekendtimerne udbetales.",I12="X"),K12,0)</f>
        <v>0</v>
      </c>
      <c r="FF12" s="251">
        <f>IF(AND(AND(Stamoplysninger!$B$26="Der er indgået lokalaftale omkring weekendtillæg(Kræver aftale med TR/FSL). Weekendtimerne udbetales.",I12="X",S12="X")),V12,0)</f>
        <v>0</v>
      </c>
      <c r="FG12" s="674">
        <f>IF(AND(AND(Stamoplysninger!$B$26="Der er indgået lokalaftale omkring weekendtillæg(Kræver aftale med TR/FSL). Weekendtimerne udbetales.",I12="X",C12="ikke relevant")),K12,0)</f>
        <v>0</v>
      </c>
      <c r="FH12" s="675">
        <f>IF(AND(AND(AND(Stamoplysninger!$B$26="Der er indgået lokalaftale omkring weekendtillæg(Kræver aftale med TR/FSL). Weekendtimerne udbetales.",I12="X",C12="ikke relevant",S12="X"))),(V12),0)</f>
        <v>0</v>
      </c>
      <c r="FI12" s="283">
        <f>IF(AND(Stamoplysninger!$B$26="Weekendtimer og weekendtillæg afspadseres.",I12="X"),K12,0)</f>
        <v>0</v>
      </c>
      <c r="FJ12" s="251">
        <f>IF(AND(Stamoplysninger!$B$26="Weekendtimer og weekendtillæg afspadseres.",Y12="X"),(AA12+AL12)/2,0)</f>
        <v>0</v>
      </c>
      <c r="FK12" s="674">
        <f>IF(AND(AND(Stamoplysninger!$B$26="Weekendtimer og weekendtillæg afspadseres.",I12="X",C12="ikke relevant")),K12,0)</f>
        <v>0</v>
      </c>
      <c r="FL12" s="675">
        <f>IF(AND(AND(Stamoplysninger!$B$26="Weekendtimer og weekendtillæg afspadseres.",Y12="X",S12="ikke relevant")),(AA12+AL12)/2,0)</f>
        <v>0</v>
      </c>
      <c r="FM12" s="283">
        <f>IF(AND(Stamoplysninger!$B$26="Der er indgået lokalaftale omkring weekendtillæg(Kræver aftale med TR/FSL). Weekendtimerne afspadseres.",I12="X"),K12,0)</f>
        <v>0</v>
      </c>
      <c r="FN12" s="674">
        <f>IF(AND(AND(Stamoplysninger!$B$26="Der er indgået lokalaftale omkring weekendtillæg(Kræver aftale med TR/FSL). Weekendtimerne afspadseres.",I12="X",C12="ikke relevant")),K12,0)</f>
        <v>0</v>
      </c>
      <c r="FO12" s="283">
        <f>IF(AND(Stamoplysninger!$B$26="Weekendtimer og weekendtillæg udbetales.",I12="X"),K12,0)</f>
        <v>0</v>
      </c>
      <c r="FP12" s="251">
        <f>IF(AND(Stamoplysninger!$B$26="Weekendtimer og weekendtillæg udbetales.",AA12="X"),(AC12+AN12)/2,0)</f>
        <v>0</v>
      </c>
      <c r="FQ12" s="674">
        <f>IF(AND(AND(Stamoplysninger!$B$26="Weekendtimer og weekendtillæg udbetales.",I12="X",C12="ikke relevant")),K12,0)</f>
        <v>0</v>
      </c>
      <c r="FR12" s="688">
        <f>IF(AND(AND(Stamoplysninger!$B$26="Weekendtimer og weekendtillæg udbetales.",AA12="X",U12="ikke relevant")),(AC12+AN12)/2,0)</f>
        <v>0</v>
      </c>
      <c r="FS12" s="283">
        <f t="shared" si="15"/>
        <v>0</v>
      </c>
      <c r="FT12" s="658">
        <f t="shared" si="16"/>
        <v>0</v>
      </c>
      <c r="FU12">
        <f t="shared" si="17"/>
        <v>0</v>
      </c>
      <c r="FV12" s="283">
        <f>IF(AND(Stamoplysninger!$B$26="Der er indgået lokalaftale omkring weekendtimer.(Kræver aftale med TR/FSL) Weekendtillæg afspadseres.",I12="X"),K12,0)</f>
        <v>0</v>
      </c>
      <c r="FW12" s="674">
        <f>IF(AND(AND(Stamoplysninger!$B$26="Der er indgået lokalaftale omkring weekendtimer.(Kræver aftale med TR/FSL) Weekendtillæg afspadseres.",I12="X",C12="ikke relevant")),K12,0)</f>
        <v>0</v>
      </c>
      <c r="FX12" s="283">
        <f>IF(AND(Stamoplysninger!$B$26="Der er indgået lokalaftale omkring weekendtimer(Kræver aftale med TR/FSL). Weekendtillæg udbetales.",I12="X"),K12,0)</f>
        <v>0</v>
      </c>
      <c r="FY12" s="674">
        <f>IF(AND(AND(Stamoplysninger!$B$26="Der er indgået lokalaftale omkring weekendtimer(Kræver aftale med TR/FSL). Weekendtillæg udbetales.",I12="X",C12="ikke relevant")),K12,0)</f>
        <v>0</v>
      </c>
      <c r="FZ12" s="283">
        <f>IF(AND(Stamoplysninger!$B$26="Der er indgået lokalaftale omkring weekendtillæg(Kræver aftale med TR/FSL). Weekendtimerne udbetales.",I12="X"),K12,0)</f>
        <v>0</v>
      </c>
      <c r="GA12" s="674">
        <f>IF(AND(AND(Stamoplysninger!$B$26="Der er indgået lokalaftale omkring weekendtillæg(Kræver aftale med TR/FSL). Weekendtimerne udbetales.",I12="X",C12="ikke relevant")),K12,0)</f>
        <v>0</v>
      </c>
      <c r="GB12" s="283">
        <f>IF(AND(Stamoplysninger!$B$26="Der er indgået lokalaftale omkring weekendtimer og weekendtillæg.(Kræver aftale med TR/FSL).",I12="X"),K12,0)</f>
        <v>0</v>
      </c>
      <c r="GC12" s="674">
        <f>IF(AND(AND(Stamoplysninger!$B$26="Der er indgået lokalaftale omkring weekendtimer og weekendtillæg.(Kræver aftale med TR/FSL).",I12="X",C12="ikke relevant")),K12,0)</f>
        <v>0</v>
      </c>
    </row>
    <row r="13" spans="1:185">
      <c r="A13" s="245">
        <f t="shared" si="18"/>
        <v>5</v>
      </c>
      <c r="B13" s="128" t="str">
        <f t="shared" si="0"/>
        <v>sø</v>
      </c>
      <c r="C13" s="129" t="s">
        <v>120</v>
      </c>
      <c r="D13" s="130" t="str">
        <f t="shared" si="1"/>
        <v/>
      </c>
      <c r="E13" s="917"/>
      <c r="F13" s="918"/>
      <c r="G13" s="919"/>
      <c r="H13" s="298"/>
      <c r="I13" s="413"/>
      <c r="J13" s="413"/>
      <c r="K13" s="380"/>
      <c r="L13" s="380"/>
      <c r="M13" s="380"/>
      <c r="N13" s="318">
        <f t="shared" si="19"/>
        <v>0</v>
      </c>
      <c r="O13" s="318">
        <f t="shared" si="20"/>
        <v>0</v>
      </c>
      <c r="P13" s="318">
        <f>IF(Stamoplysninger!$H$29="JA",Januar!DG13,CX13)</f>
        <v>0</v>
      </c>
      <c r="Q13" s="318">
        <f t="shared" si="21"/>
        <v>0</v>
      </c>
      <c r="R13" s="319"/>
      <c r="S13" s="324"/>
      <c r="T13" s="325"/>
      <c r="U13" s="325"/>
      <c r="V13" s="435"/>
      <c r="W13" s="412"/>
      <c r="X13" s="642"/>
      <c r="Y13">
        <f t="shared" si="22"/>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9">
        <f t="shared" si="8"/>
        <v>0</v>
      </c>
      <c r="BC13" s="1">
        <f t="shared" si="24"/>
        <v>0</v>
      </c>
      <c r="BD13" s="1">
        <f t="shared" si="9"/>
        <v>0</v>
      </c>
      <c r="BE13" s="1">
        <f t="shared" si="10"/>
        <v>0</v>
      </c>
      <c r="BF13" s="1">
        <f t="shared" si="11"/>
        <v>0</v>
      </c>
      <c r="BG13" s="210" t="str">
        <f>IF(AND(C13="Skema 1",B13="ma"),Skemaoplysninger!$E$30,"")</f>
        <v/>
      </c>
      <c r="BH13" s="210" t="str">
        <f>IF(AND(C13="Skema 1",B13="ti"),Skemaoplysninger!$G$30,"")</f>
        <v/>
      </c>
      <c r="BI13" s="210" t="str">
        <f>IF(AND(C13="Skema 1",B13="on"),Skemaoplysninger!$I$30,"")</f>
        <v/>
      </c>
      <c r="BJ13" s="210" t="str">
        <f>IF(AND(C13="Skema 1",B13="to"),Skemaoplysninger!$K$30,"")</f>
        <v/>
      </c>
      <c r="BK13" s="210" t="str">
        <f>IF(AND(C13="Skema 1",B13="fr"),Skemaoplysninger!$M$30,"")</f>
        <v/>
      </c>
      <c r="BL13" s="210" t="str">
        <f>IF(AND(C13="Skema 2",B13="ma"),Skemaoplysninger!$S$30,"")</f>
        <v/>
      </c>
      <c r="BM13" s="210" t="str">
        <f>IF(AND(C13="Skema 2",B13="ti"),Skemaoplysninger!$U$30,"")</f>
        <v/>
      </c>
      <c r="BN13" s="210" t="str">
        <f>IF(AND(C13="Skema 2",B13="on"),Skemaoplysninger!$W$30,"")</f>
        <v/>
      </c>
      <c r="BO13" s="210" t="str">
        <f>IF(AND(C13="Skema 2",B13="to"),Skemaoplysninger!$Y$30,"")</f>
        <v/>
      </c>
      <c r="BP13" s="210" t="str">
        <f>IF(AND(C13="Skema 2",B13="fr"),Skemaoplysninger!$AA$30,"")</f>
        <v/>
      </c>
      <c r="BQ13" s="210" t="str">
        <f>IF(AND(C13="Skema 3",B13="ma"),Skemaoplysninger!$AG$30,"")</f>
        <v/>
      </c>
      <c r="BR13" s="210" t="str">
        <f>IF(AND(C13="Skema 3",B13="ti"),Skemaoplysninger!$AI$30,"")</f>
        <v/>
      </c>
      <c r="BS13" s="210" t="str">
        <f>IF(AND(C13="Skema 3",B13="on"),Skemaoplysninger!$AK$30,"")</f>
        <v/>
      </c>
      <c r="BT13" s="210" t="str">
        <f>IF(AND(C13="Skema 3",B13="to"),Skemaoplysninger!$AM$30,"")</f>
        <v/>
      </c>
      <c r="BU13" s="210" t="str">
        <f>IF(AND(C13="Skema 3",B13="fr"),Skemaoplysninger!$AO$30,"")</f>
        <v/>
      </c>
      <c r="BV13" s="210" t="str">
        <f>IF(AND(C13="Skema 4",B13="ma"),Skemaoplysninger!$AU$30,"")</f>
        <v/>
      </c>
      <c r="BW13" s="210" t="str">
        <f>IF(AND(C13="Skema 4",B13="ti"),Skemaoplysninger!$AW$30,"")</f>
        <v/>
      </c>
      <c r="BX13" s="210" t="str">
        <f>IF(AND(C13="Skema 4",B13="on"),Skemaoplysninger!$AY$30,"")</f>
        <v/>
      </c>
      <c r="BY13" s="210" t="str">
        <f>IF(AND(C13="Skema 4",B13="to"),Skemaoplysninger!$BA$30,"")</f>
        <v/>
      </c>
      <c r="BZ13" s="210" t="str">
        <f>IF(AND(C13="Skema 4",B13="fr"),Skemaoplysninger!$BC$30,"")</f>
        <v/>
      </c>
      <c r="CA13" s="1">
        <f t="shared" si="25"/>
        <v>0</v>
      </c>
      <c r="CB13" s="1">
        <f t="shared" si="12"/>
        <v>0</v>
      </c>
      <c r="CC13" s="1">
        <f t="shared" si="13"/>
        <v>0</v>
      </c>
      <c r="CD13" s="210" t="str">
        <f>IF(AND(C13="Skema 1",B13="ma"),Skemaoplysninger!$E$31,"")</f>
        <v/>
      </c>
      <c r="CE13" s="210" t="str">
        <f>IF(AND(C13="Skema 1",B13="ti"),Skemaoplysninger!$G$31,"")</f>
        <v/>
      </c>
      <c r="CF13" s="210" t="str">
        <f>IF(AND(C13="Skema 1",B13="on"),Skemaoplysninger!$I$31,"")</f>
        <v/>
      </c>
      <c r="CG13" s="210" t="str">
        <f>IF(AND(C13="Skema 1",B13="to"),Skemaoplysninger!$K$31,"")</f>
        <v/>
      </c>
      <c r="CH13" s="210" t="str">
        <f>IF(AND(C13="Skema 1",B13="fr"),Skemaoplysninger!$M$31,"")</f>
        <v/>
      </c>
      <c r="CI13" s="210" t="str">
        <f>IF(AND(C13="Skema 2",B13="ma"),Skemaoplysninger!$S$31,"")</f>
        <v/>
      </c>
      <c r="CJ13" s="210" t="str">
        <f>IF(AND(C13="Skema 2",B13="ti"),Skemaoplysninger!$U$31,"")</f>
        <v/>
      </c>
      <c r="CK13" s="210" t="str">
        <f>IF(AND(C13="Skema 2",B13="on"),Skemaoplysninger!$W$31,"")</f>
        <v/>
      </c>
      <c r="CL13" s="210" t="str">
        <f>IF(AND(C13="Skema 2",B13="to"),Skemaoplysninger!$Y$31,"")</f>
        <v/>
      </c>
      <c r="CM13" s="210" t="str">
        <f>IF(AND(C13="Skema 2",B13="fr"),Skemaoplysninger!$AA$31,"")</f>
        <v/>
      </c>
      <c r="CN13" s="210" t="str">
        <f>IF(AND(C13="Skema 3",B13="ma"),Skemaoplysninger!$AG$31,"")</f>
        <v/>
      </c>
      <c r="CO13" s="210" t="str">
        <f>IF(AND(C13="Skema 3",B13="ti"),Skemaoplysninger!$AI$31,"")</f>
        <v/>
      </c>
      <c r="CP13" s="210" t="str">
        <f>IF(AND(C13="Skema 3",B13="on"),Skemaoplysninger!$AK$31,"")</f>
        <v/>
      </c>
      <c r="CQ13" s="210" t="str">
        <f>IF(AND(C13="Skema 3",B13="to"),Skemaoplysninger!$AM$31,"")</f>
        <v/>
      </c>
      <c r="CR13" s="210" t="str">
        <f>IF(AND(C13="Skema 3",B13="fr"),Skemaoplysninger!$AO$31,"")</f>
        <v/>
      </c>
      <c r="CS13" s="210" t="str">
        <f>IF(AND(C13="Skema 4",B13="ma"),Skemaoplysninger!$AU$31,"")</f>
        <v/>
      </c>
      <c r="CT13" s="210" t="str">
        <f>IF(AND(C13="Skema 4",B13="ti"),Skemaoplysninger!$AW$31,"")</f>
        <v/>
      </c>
      <c r="CU13" s="210" t="str">
        <f>IF(AND(C13="Skema 4",B13="on"),Skemaoplysninger!$AY$31,"")</f>
        <v/>
      </c>
      <c r="CV13" s="210" t="str">
        <f>IF(AND(C13="Skema 4",B13="to"),Skemaoplysninger!$BA$31,"")</f>
        <v/>
      </c>
      <c r="CW13" s="210" t="str">
        <f>IF(AND(C13="Skema 4",B13="fr"),Skemaoplysninger!$BC$31,"")</f>
        <v/>
      </c>
      <c r="CX13" s="249">
        <f>IF(Stamoplysninger!$H$29="NEJ",SUM(CD13:CW13)*24+CB13+CC13,0)</f>
        <v>0</v>
      </c>
      <c r="CY13" s="249">
        <f>IF(C13="Skema 1",Stamoplysninger!$H$30/200,0)</f>
        <v>0</v>
      </c>
      <c r="CZ13" s="249">
        <f>IF(C13="Skema 2",Stamoplysninger!$H$30/200,0)</f>
        <v>0</v>
      </c>
      <c r="DA13" s="249">
        <f>IF(C13="Skema 3",Stamoplysninger!$H$30/200,0)</f>
        <v>0</v>
      </c>
      <c r="DB13" s="249">
        <f>IF(C13="Skema 4",Stamoplysninger!$H$30/200,0)</f>
        <v>0</v>
      </c>
      <c r="DC13" s="249">
        <f>IF(C13="fagdag",Stamoplysninger!$H$30/200,0)</f>
        <v>0</v>
      </c>
      <c r="DD13" s="249">
        <f>IF(C13="emnedag",Stamoplysninger!$H$30/200,0)</f>
        <v>0</v>
      </c>
      <c r="DE13" s="249">
        <f>IF(C13="lejrskole",Stamoplysninger!$H$30/200,0)</f>
        <v>0</v>
      </c>
      <c r="DF13" s="249">
        <f>IF(C13="ekskursion",Stamoplysninger!$H$30/200,0)</f>
        <v>0</v>
      </c>
      <c r="DG13" s="249">
        <f t="shared" si="26"/>
        <v>0</v>
      </c>
      <c r="DH13" t="str">
        <f t="shared" si="27"/>
        <v/>
      </c>
      <c r="DI13">
        <f t="shared" si="28"/>
        <v>0</v>
      </c>
      <c r="DJ13">
        <f t="shared" si="29"/>
        <v>0</v>
      </c>
      <c r="DK13" t="str">
        <f t="shared" si="14"/>
        <v/>
      </c>
      <c r="DL13" t="str">
        <f t="shared" si="14"/>
        <v/>
      </c>
      <c r="DM13" t="str">
        <f t="shared" si="14"/>
        <v/>
      </c>
      <c r="DN13" t="str">
        <f t="shared" si="30"/>
        <v/>
      </c>
      <c r="DO13" s="652">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71">
        <f>IF(AND(Stamoplysninger!$B$22="Ulempetillæg udbetales med 25% af nettotimelønnen.",C13="ikke relevant"),(R13)/4,0)</f>
        <v>0</v>
      </c>
      <c r="DT13" s="671">
        <f>IF(AND(AND(Stamoplysninger!$B$22="Ulempetillæg udbetales med 25% af nettotimelønnen.",I13="X",C13="Ikke relevant")),K13/4,0)</f>
        <v>0</v>
      </c>
      <c r="DU13" s="671">
        <f>IF(AND(AND(Stamoplysninger!$B$22="Ulempetillæg udbetales med 25% af nettotimelønnen.",C13="ikke relevant",U13="X")),(X13/4),0)</f>
        <v>0</v>
      </c>
      <c r="DV13" s="672">
        <f>IF(AND(AND(AND(Stamoplysninger!$B$22="Ulempetillæg udbetales med 25% af nettotimelønnen.",I13="X",C13="Ikke relevant",S13="X"))),V13/4,0)</f>
        <v>0</v>
      </c>
      <c r="DW13" s="652"/>
      <c r="DZ13" s="671"/>
      <c r="EA13" s="671"/>
      <c r="EB13" s="672"/>
      <c r="EC13" s="652">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71">
        <f>IF(AND(Stamoplysninger!$B$22="Ulempetillæg afspadseres med 25%(Kræver en aftale imellem ledelsen og den ansatte)",C13="ikke relevant"),(R13)/4,0)</f>
        <v>0</v>
      </c>
      <c r="EH13" s="671">
        <f>IF(AND(AND(Stamoplysninger!$B$22="Ulempetillæg afspadseres med 25%(Kræver en aftale imellem ledelsen og den ansatte)",I13="X",C13="Ikke relevant")),K13/4,0)</f>
        <v>0</v>
      </c>
      <c r="EI13" s="671">
        <f>IF(AND(AND(Stamoplysninger!$B$22="Ulempetillæg afspadseres med 25%(Kræver en aftale imellem ledelsen og den ansatte)",U13="X",C13="Ikke relevant")),X13/4,0)</f>
        <v>0</v>
      </c>
      <c r="EJ13" s="671">
        <f>IF(AND(AND(AND(Stamoplysninger!$B$22="Ulempetillæg afspadseres med 25%(Kræver en aftale imellem ledelsen og den ansatte)",I13="X",C13="Ikke relevant",S13="X"))),V13/4,0)</f>
        <v>0</v>
      </c>
      <c r="EK13" s="283">
        <f>IF(AND(Stamoplysninger!$B$26="Weekendtimer og weekendtillæg afspadseres.",I13="X"),K13*1.5,0)</f>
        <v>0</v>
      </c>
      <c r="EL13" s="251">
        <f>IF(AND(AND(Stamoplysninger!$B$26="Weekendtimer og weekendtillæg afspadseres.",I13="X",S13="X")),V13*1.5,0)</f>
        <v>0</v>
      </c>
      <c r="EM13" s="674">
        <f>IF(AND(AND(Stamoplysninger!$B$26="Weekendtimer og weekendtillæg afspadseres.",I13="X",C13="ikke relevant")),K13*1.5,0)</f>
        <v>0</v>
      </c>
      <c r="EN13" s="675">
        <f>IF(AND(AND(AND(Stamoplysninger!$B$26="Weekendtimer og weekendtillæg afspadseres.",I13="X",C13="ikke relevant",S13="X"))),(V13*1.5),0)</f>
        <v>0</v>
      </c>
      <c r="EO13" s="283">
        <f>IF(AND(Stamoplysninger!$B$26="Weekendtimer og weekendtillæg udbetales.",I13="X"),K13*1.5,0)</f>
        <v>0</v>
      </c>
      <c r="EP13" s="251">
        <f>IF(AND(AND(Stamoplysninger!$B$26="Weekendtimer og weekendtillæg udbetales.",I13="X",S13="X")),V13*1.5,0)</f>
        <v>0</v>
      </c>
      <c r="EQ13" s="674">
        <f>IF(AND(AND(Stamoplysninger!$B$26="Weekendtimer og weekendtillæg udbetales.",I13="X",C13="ikke relevant")),K13*1.5,0)</f>
        <v>0</v>
      </c>
      <c r="ER13" s="675">
        <f>IF(AND(AND(AND(Stamoplysninger!$B$26="Weekendtimer og weekendtillæg udbetales.",I13="X",C13="ikke relevant",S13="X"))),(V13*1.5),0)</f>
        <v>0</v>
      </c>
      <c r="ES13" s="283">
        <f>IF(AND(Stamoplysninger!$B$26="Der er indgået lokalaftale omkring weekendtimer.(Kræver aftale med TR/FSL) Weekendtillæg afspadseres.",I13="X"),K13*0.5,0)</f>
        <v>0</v>
      </c>
      <c r="ET13" s="251">
        <f>IF(AND(AND(Stamoplysninger!$B$26="Der er indgået lokalaftale omkring weekendtimer.(Kræver aftale med TR/FSL) Weekendtillæg afspadseres.",I13="X",S13="X")),V13*0.5,0)</f>
        <v>0</v>
      </c>
      <c r="EU13" s="674">
        <f>IF(AND(AND(Stamoplysninger!$B$26="Der er indgået lokalaftale omkring weekendtimer.(Kræver aftale med TR/FSL) Weekendtillæg afspadseres.",I13="X",C13="ikke relevant")),K13*0.5,0)</f>
        <v>0</v>
      </c>
      <c r="EV13" s="675">
        <f>IF(AND(AND(AND(Stamoplysninger!$B$26="Der er indgået lokalaftale omkring weekendtimer.(Kræver aftale med TR/FSL) Weekendtillæg afspadseres.",I13="X",C13="ikke relevant",S13="X"))),(V13*0.5),0)</f>
        <v>0</v>
      </c>
      <c r="EW13" s="283">
        <f>IF(AND(Stamoplysninger!$B$26="Der er indgået lokalaftale omkring weekendtimer(Kræver aftale med TR/FSL). Weekendtillæg udbetales.",I13="X"),K13*0.5,0)</f>
        <v>0</v>
      </c>
      <c r="EX13" s="251">
        <f>IF(AND(AND(Stamoplysninger!$B$26="Der er indgået lokalaftale omkring weekendtimer(Kræver aftale med TR/FSL). Weekendtillæg udbetales.",I13="X",S13="X")),V13*0.5,0)</f>
        <v>0</v>
      </c>
      <c r="EY13" s="674">
        <f>IF(AND(AND(Stamoplysninger!$B$26="Der er indgået lokalaftale omkring weekendtimer(Kræver aftale med TR/FSL). Weekendtillæg udbetales.",I13="X",C13="ikke relevant")),K13*0.5,0)</f>
        <v>0</v>
      </c>
      <c r="EZ13" s="675">
        <f>IF(AND(AND(AND(Stamoplysninger!$B$26="Der er indgået lokalaftale omkring weekendtimer(Kræver aftale med TR/FSL). Weekendtillæg udbetales.",I13="X",C13="ikke relevant",S13="X"))),(V13*0.5),0)</f>
        <v>0</v>
      </c>
      <c r="FA13" s="283">
        <f>IF(AND(Stamoplysninger!$B$26="Der er indgået lokalaftale omkring weekendtillæg(Kræver aftale med TR/FSL). Weekendtimerne afspadseres.",I13="X"),K13,0)</f>
        <v>0</v>
      </c>
      <c r="FB13" s="251">
        <f>IF(AND(AND(Stamoplysninger!$B$26="Der er indgået lokalaftale omkring weekendtillæg(Kræver aftale med TR/FSL). Weekendtimerne afspadseres.",I13="X",S13="X")),V13,0)</f>
        <v>0</v>
      </c>
      <c r="FC13" s="674">
        <f>IF(AND(AND(Stamoplysninger!$B$26="Der er indgået lokalaftale omkring weekendtillæg(Kræver aftale med TR/FSL). Weekendtimerne afspadseres..",I13="X",C13="ikke relevant")),K13,0)</f>
        <v>0</v>
      </c>
      <c r="FD13" s="675">
        <f>IF(AND(AND(AND(Stamoplysninger!$B$26="Der er indgået lokalaftale omkring weekendtillæg(Kræver aftale med TR/FSL). Weekendtimerne afspadseres.",I13="X",C13="ikke relevant",S13="X"))),(V13),0)</f>
        <v>0</v>
      </c>
      <c r="FE13" s="283">
        <f>IF(AND(Stamoplysninger!$B$26="Der er indgået lokalaftale omkring weekendtillæg(Kræver aftale med TR/FSL). Weekendtimerne udbetales.",I13="X"),K13,0)</f>
        <v>0</v>
      </c>
      <c r="FF13" s="251">
        <f>IF(AND(AND(Stamoplysninger!$B$26="Der er indgået lokalaftale omkring weekendtillæg(Kræver aftale med TR/FSL). Weekendtimerne udbetales.",I13="X",S13="X")),V13,0)</f>
        <v>0</v>
      </c>
      <c r="FG13" s="674">
        <f>IF(AND(AND(Stamoplysninger!$B$26="Der er indgået lokalaftale omkring weekendtillæg(Kræver aftale med TR/FSL). Weekendtimerne udbetales.",I13="X",C13="ikke relevant")),K13,0)</f>
        <v>0</v>
      </c>
      <c r="FH13" s="675">
        <f>IF(AND(AND(AND(Stamoplysninger!$B$26="Der er indgået lokalaftale omkring weekendtillæg(Kræver aftale med TR/FSL). Weekendtimerne udbetales.",I13="X",C13="ikke relevant",S13="X"))),(V13),0)</f>
        <v>0</v>
      </c>
      <c r="FI13" s="283">
        <f>IF(AND(Stamoplysninger!$B$26="Weekendtimer og weekendtillæg afspadseres.",I13="X"),K13,0)</f>
        <v>0</v>
      </c>
      <c r="FJ13" s="251">
        <f>IF(AND(Stamoplysninger!$B$26="Weekendtimer og weekendtillæg afspadseres.",Y13="X"),(AA13+AL13)/2,0)</f>
        <v>0</v>
      </c>
      <c r="FK13" s="674">
        <f>IF(AND(AND(Stamoplysninger!$B$26="Weekendtimer og weekendtillæg afspadseres.",I13="X",C13="ikke relevant")),K13,0)</f>
        <v>0</v>
      </c>
      <c r="FL13" s="675">
        <f>IF(AND(AND(Stamoplysninger!$B$26="Weekendtimer og weekendtillæg afspadseres.",Y13="X",S13="ikke relevant")),(AA13+AL13)/2,0)</f>
        <v>0</v>
      </c>
      <c r="FM13" s="283">
        <f>IF(AND(Stamoplysninger!$B$26="Der er indgået lokalaftale omkring weekendtillæg(Kræver aftale med TR/FSL). Weekendtimerne afspadseres.",I13="X"),K13,0)</f>
        <v>0</v>
      </c>
      <c r="FN13" s="674">
        <f>IF(AND(AND(Stamoplysninger!$B$26="Der er indgået lokalaftale omkring weekendtillæg(Kræver aftale med TR/FSL). Weekendtimerne afspadseres.",I13="X",C13="ikke relevant")),K13,0)</f>
        <v>0</v>
      </c>
      <c r="FO13" s="283">
        <f>IF(AND(Stamoplysninger!$B$26="Weekendtimer og weekendtillæg udbetales.",I13="X"),K13,0)</f>
        <v>0</v>
      </c>
      <c r="FP13" s="251">
        <f>IF(AND(Stamoplysninger!$B$26="Weekendtimer og weekendtillæg udbetales.",AA13="X"),(AC13+AN13)/2,0)</f>
        <v>0</v>
      </c>
      <c r="FQ13" s="674">
        <f>IF(AND(AND(Stamoplysninger!$B$26="Weekendtimer og weekendtillæg udbetales.",I13="X",C13="ikke relevant")),K13,0)</f>
        <v>0</v>
      </c>
      <c r="FR13" s="688">
        <f>IF(AND(AND(Stamoplysninger!$B$26="Weekendtimer og weekendtillæg udbetales.",AA13="X",U13="ikke relevant")),(AC13+AN13)/2,0)</f>
        <v>0</v>
      </c>
      <c r="FS13" s="283">
        <f t="shared" si="15"/>
        <v>0</v>
      </c>
      <c r="FT13" s="658">
        <f t="shared" si="16"/>
        <v>0</v>
      </c>
      <c r="FU13">
        <f t="shared" si="17"/>
        <v>0</v>
      </c>
      <c r="FV13" s="283">
        <f>IF(AND(Stamoplysninger!$B$26="Der er indgået lokalaftale omkring weekendtimer.(Kræver aftale med TR/FSL) Weekendtillæg afspadseres.",I13="X"),K13,0)</f>
        <v>0</v>
      </c>
      <c r="FW13" s="674">
        <f>IF(AND(AND(Stamoplysninger!$B$26="Der er indgået lokalaftale omkring weekendtimer.(Kræver aftale med TR/FSL) Weekendtillæg afspadseres.",I13="X",C13="ikke relevant")),K13,0)</f>
        <v>0</v>
      </c>
      <c r="FX13" s="283">
        <f>IF(AND(Stamoplysninger!$B$26="Der er indgået lokalaftale omkring weekendtimer(Kræver aftale med TR/FSL). Weekendtillæg udbetales.",I13="X"),K13,0)</f>
        <v>0</v>
      </c>
      <c r="FY13" s="674">
        <f>IF(AND(AND(Stamoplysninger!$B$26="Der er indgået lokalaftale omkring weekendtimer(Kræver aftale med TR/FSL). Weekendtillæg udbetales.",I13="X",C13="ikke relevant")),K13,0)</f>
        <v>0</v>
      </c>
      <c r="FZ13" s="283">
        <f>IF(AND(Stamoplysninger!$B$26="Der er indgået lokalaftale omkring weekendtillæg(Kræver aftale med TR/FSL). Weekendtimerne udbetales.",I13="X"),K13,0)</f>
        <v>0</v>
      </c>
      <c r="GA13" s="674">
        <f>IF(AND(AND(Stamoplysninger!$B$26="Der er indgået lokalaftale omkring weekendtillæg(Kræver aftale med TR/FSL). Weekendtimerne udbetales.",I13="X",C13="ikke relevant")),K13,0)</f>
        <v>0</v>
      </c>
      <c r="GB13" s="283">
        <f>IF(AND(Stamoplysninger!$B$26="Der er indgået lokalaftale omkring weekendtimer og weekendtillæg.(Kræver aftale med TR/FSL).",I13="X"),K13,0)</f>
        <v>0</v>
      </c>
      <c r="GC13" s="674">
        <f>IF(AND(AND(Stamoplysninger!$B$26="Der er indgået lokalaftale omkring weekendtimer og weekendtillæg.(Kræver aftale med TR/FSL).",I13="X",C13="ikke relevant")),K13,0)</f>
        <v>0</v>
      </c>
    </row>
    <row r="14" spans="1:185" ht="16" customHeight="1">
      <c r="A14" s="245">
        <f t="shared" si="18"/>
        <v>6</v>
      </c>
      <c r="B14" s="128" t="str">
        <f t="shared" si="0"/>
        <v>ma</v>
      </c>
      <c r="C14" s="129" t="s">
        <v>207</v>
      </c>
      <c r="D14" s="130">
        <f t="shared" si="1"/>
        <v>1.7142857142857142</v>
      </c>
      <c r="E14" s="917"/>
      <c r="F14" s="918"/>
      <c r="G14" s="919"/>
      <c r="H14" s="298"/>
      <c r="I14" s="527"/>
      <c r="J14" s="413"/>
      <c r="K14" s="380"/>
      <c r="L14" s="380"/>
      <c r="M14" s="380"/>
      <c r="N14" s="318">
        <f t="shared" si="19"/>
        <v>7.75</v>
      </c>
      <c r="O14" s="318">
        <f t="shared" si="20"/>
        <v>3.4999999999999996</v>
      </c>
      <c r="P14" s="318">
        <f>IF(Stamoplysninger!$H$29="JA",Januar!DG14,CX14)</f>
        <v>1</v>
      </c>
      <c r="Q14" s="318">
        <f t="shared" si="21"/>
        <v>3.25</v>
      </c>
      <c r="R14" s="319"/>
      <c r="S14" s="324"/>
      <c r="T14" s="325"/>
      <c r="U14" s="325"/>
      <c r="V14" s="435"/>
      <c r="W14" s="412"/>
      <c r="X14" s="642"/>
      <c r="Y14">
        <f t="shared" si="22"/>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f>IF(AND(C14="Skema 2",B14="ma"),Arbejdstidsoversigt!$E$81,"")</f>
        <v>7.75</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7.75</v>
      </c>
      <c r="BB14" s="229">
        <f t="shared" si="8"/>
        <v>0</v>
      </c>
      <c r="BC14" s="1">
        <f t="shared" si="24"/>
        <v>0</v>
      </c>
      <c r="BD14" s="1">
        <f t="shared" si="9"/>
        <v>0</v>
      </c>
      <c r="BE14" s="1">
        <f t="shared" si="10"/>
        <v>0</v>
      </c>
      <c r="BF14" s="1">
        <f t="shared" si="11"/>
        <v>0</v>
      </c>
      <c r="BG14" s="210" t="str">
        <f>IF(AND(C14="Skema 1",B14="ma"),Skemaoplysninger!$E$30,"")</f>
        <v/>
      </c>
      <c r="BH14" s="210" t="str">
        <f>IF(AND(C14="Skema 1",B14="ti"),Skemaoplysninger!$G$30,"")</f>
        <v/>
      </c>
      <c r="BI14" s="210" t="str">
        <f>IF(AND(C14="Skema 1",B14="on"),Skemaoplysninger!$I$30,"")</f>
        <v/>
      </c>
      <c r="BJ14" s="210" t="str">
        <f>IF(AND(C14="Skema 1",B14="to"),Skemaoplysninger!$K$30,"")</f>
        <v/>
      </c>
      <c r="BK14" s="210" t="str">
        <f>IF(AND(C14="Skema 1",B14="fr"),Skemaoplysninger!$M$30,"")</f>
        <v/>
      </c>
      <c r="BL14" s="210">
        <f>IF(AND(C14="Skema 2",B14="ma"),Skemaoplysninger!$S$30,"")</f>
        <v>0.14583333333333331</v>
      </c>
      <c r="BM14" s="210" t="str">
        <f>IF(AND(C14="Skema 2",B14="ti"),Skemaoplysninger!$U$30,"")</f>
        <v/>
      </c>
      <c r="BN14" s="210" t="str">
        <f>IF(AND(C14="Skema 2",B14="on"),Skemaoplysninger!$W$30,"")</f>
        <v/>
      </c>
      <c r="BO14" s="210" t="str">
        <f>IF(AND(C14="Skema 2",B14="to"),Skemaoplysninger!$Y$30,"")</f>
        <v/>
      </c>
      <c r="BP14" s="210" t="str">
        <f>IF(AND(C14="Skema 2",B14="fr"),Skemaoplysninger!$AA$30,"")</f>
        <v/>
      </c>
      <c r="BQ14" s="210" t="str">
        <f>IF(AND(C14="Skema 3",B14="ma"),Skemaoplysninger!$AG$30,"")</f>
        <v/>
      </c>
      <c r="BR14" s="210" t="str">
        <f>IF(AND(C14="Skema 3",B14="ti"),Skemaoplysninger!$AI$30,"")</f>
        <v/>
      </c>
      <c r="BS14" s="210" t="str">
        <f>IF(AND(C14="Skema 3",B14="on"),Skemaoplysninger!$AK$30,"")</f>
        <v/>
      </c>
      <c r="BT14" s="210" t="str">
        <f>IF(AND(C14="Skema 3",B14="to"),Skemaoplysninger!$AM$30,"")</f>
        <v/>
      </c>
      <c r="BU14" s="210" t="str">
        <f>IF(AND(C14="Skema 3",B14="fr"),Skemaoplysninger!$AO$30,"")</f>
        <v/>
      </c>
      <c r="BV14" s="210" t="str">
        <f>IF(AND(C14="Skema 4",B14="ma"),Skemaoplysninger!$AU$30,"")</f>
        <v/>
      </c>
      <c r="BW14" s="210" t="str">
        <f>IF(AND(C14="Skema 4",B14="ti"),Skemaoplysninger!$AW$30,"")</f>
        <v/>
      </c>
      <c r="BX14" s="210" t="str">
        <f>IF(AND(C14="Skema 4",B14="on"),Skemaoplysninger!$AY$30,"")</f>
        <v/>
      </c>
      <c r="BY14" s="210" t="str">
        <f>IF(AND(C14="Skema 4",B14="to"),Skemaoplysninger!$BA$30,"")</f>
        <v/>
      </c>
      <c r="BZ14" s="210" t="str">
        <f>IF(AND(C14="Skema 4",B14="fr"),Skemaoplysninger!$BC$30,"")</f>
        <v/>
      </c>
      <c r="CA14" s="1">
        <f t="shared" si="25"/>
        <v>3.4999999999999996</v>
      </c>
      <c r="CB14" s="1">
        <f t="shared" si="12"/>
        <v>0</v>
      </c>
      <c r="CC14" s="1">
        <f t="shared" si="13"/>
        <v>0</v>
      </c>
      <c r="CD14" s="210" t="str">
        <f>IF(AND(C14="Skema 1",B14="ma"),Skemaoplysninger!$E$31,"")</f>
        <v/>
      </c>
      <c r="CE14" s="210" t="str">
        <f>IF(AND(C14="Skema 1",B14="ti"),Skemaoplysninger!$G$31,"")</f>
        <v/>
      </c>
      <c r="CF14" s="210" t="str">
        <f>IF(AND(C14="Skema 1",B14="on"),Skemaoplysninger!$I$31,"")</f>
        <v/>
      </c>
      <c r="CG14" s="210" t="str">
        <f>IF(AND(C14="Skema 1",B14="to"),Skemaoplysninger!$K$31,"")</f>
        <v/>
      </c>
      <c r="CH14" s="210" t="str">
        <f>IF(AND(C14="Skema 1",B14="fr"),Skemaoplysninger!$M$31,"")</f>
        <v/>
      </c>
      <c r="CI14" s="210">
        <f>IF(AND(C14="Skema 2",B14="ma"),Skemaoplysninger!$S$31,"")</f>
        <v>4.1666666666666671E-2</v>
      </c>
      <c r="CJ14" s="210" t="str">
        <f>IF(AND(C14="Skema 2",B14="ti"),Skemaoplysninger!$U$31,"")</f>
        <v/>
      </c>
      <c r="CK14" s="210" t="str">
        <f>IF(AND(C14="Skema 2",B14="on"),Skemaoplysninger!$W$31,"")</f>
        <v/>
      </c>
      <c r="CL14" s="210" t="str">
        <f>IF(AND(C14="Skema 2",B14="to"),Skemaoplysninger!$Y$31,"")</f>
        <v/>
      </c>
      <c r="CM14" s="210" t="str">
        <f>IF(AND(C14="Skema 2",B14="fr"),Skemaoplysninger!$AA$31,"")</f>
        <v/>
      </c>
      <c r="CN14" s="210" t="str">
        <f>IF(AND(C14="Skema 3",B14="ma"),Skemaoplysninger!$AG$31,"")</f>
        <v/>
      </c>
      <c r="CO14" s="210" t="str">
        <f>IF(AND(C14="Skema 3",B14="ti"),Skemaoplysninger!$AI$31,"")</f>
        <v/>
      </c>
      <c r="CP14" s="210" t="str">
        <f>IF(AND(C14="Skema 3",B14="on"),Skemaoplysninger!$AK$31,"")</f>
        <v/>
      </c>
      <c r="CQ14" s="210" t="str">
        <f>IF(AND(C14="Skema 3",B14="to"),Skemaoplysninger!$AM$31,"")</f>
        <v/>
      </c>
      <c r="CR14" s="210" t="str">
        <f>IF(AND(C14="Skema 3",B14="fr"),Skemaoplysninger!$AO$31,"")</f>
        <v/>
      </c>
      <c r="CS14" s="210" t="str">
        <f>IF(AND(C14="Skema 4",B14="ma"),Skemaoplysninger!$AU$31,"")</f>
        <v/>
      </c>
      <c r="CT14" s="210" t="str">
        <f>IF(AND(C14="Skema 4",B14="ti"),Skemaoplysninger!$AW$31,"")</f>
        <v/>
      </c>
      <c r="CU14" s="210" t="str">
        <f>IF(AND(C14="Skema 4",B14="on"),Skemaoplysninger!$AY$31,"")</f>
        <v/>
      </c>
      <c r="CV14" s="210" t="str">
        <f>IF(AND(C14="Skema 4",B14="to"),Skemaoplysninger!$BA$31,"")</f>
        <v/>
      </c>
      <c r="CW14" s="210" t="str">
        <f>IF(AND(C14="Skema 4",B14="fr"),Skemaoplysninger!$BC$31,"")</f>
        <v/>
      </c>
      <c r="CX14" s="249">
        <f>IF(Stamoplysninger!$H$29="NEJ",SUM(CD14:CW14)*24+CB14+CC14,0)</f>
        <v>1</v>
      </c>
      <c r="CY14" s="249">
        <f>IF(C14="Skema 1",Stamoplysninger!$H$30/200,0)</f>
        <v>0</v>
      </c>
      <c r="CZ14" s="249">
        <f>IF(C14="Skema 2",Stamoplysninger!$H$30/200,0)</f>
        <v>0</v>
      </c>
      <c r="DA14" s="249">
        <f>IF(C14="Skema 3",Stamoplysninger!$H$30/200,0)</f>
        <v>0</v>
      </c>
      <c r="DB14" s="249">
        <f>IF(C14="Skema 4",Stamoplysninger!$H$30/200,0)</f>
        <v>0</v>
      </c>
      <c r="DC14" s="249">
        <f>IF(C14="fagdag",Stamoplysninger!$H$30/200,0)</f>
        <v>0</v>
      </c>
      <c r="DD14" s="249">
        <f>IF(C14="emnedag",Stamoplysninger!$H$30/200,0)</f>
        <v>0</v>
      </c>
      <c r="DE14" s="249">
        <f>IF(C14="lejrskole",Stamoplysninger!$H$30/200,0)</f>
        <v>0</v>
      </c>
      <c r="DF14" s="249">
        <f>IF(C14="ekskursion",Stamoplysninger!$H$30/200,0)</f>
        <v>0</v>
      </c>
      <c r="DG14" s="249">
        <f t="shared" si="26"/>
        <v>0</v>
      </c>
      <c r="DH14" t="str">
        <f t="shared" si="27"/>
        <v/>
      </c>
      <c r="DI14">
        <f t="shared" si="28"/>
        <v>0</v>
      </c>
      <c r="DJ14">
        <f t="shared" si="29"/>
        <v>0</v>
      </c>
      <c r="DK14" t="str">
        <f t="shared" si="14"/>
        <v/>
      </c>
      <c r="DL14" t="str">
        <f t="shared" si="14"/>
        <v/>
      </c>
      <c r="DM14" t="str">
        <f t="shared" si="14"/>
        <v/>
      </c>
      <c r="DN14" t="str">
        <f t="shared" si="30"/>
        <v/>
      </c>
      <c r="DO14" s="652">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71">
        <f>IF(AND(Stamoplysninger!$B$22="Ulempetillæg udbetales med 25% af nettotimelønnen.",C14="ikke relevant"),(R14)/4,0)</f>
        <v>0</v>
      </c>
      <c r="DT14" s="671">
        <f>IF(AND(AND(Stamoplysninger!$B$22="Ulempetillæg udbetales med 25% af nettotimelønnen.",I14="X",C14="Ikke relevant")),K14/4,0)</f>
        <v>0</v>
      </c>
      <c r="DU14" s="671">
        <f>IF(AND(AND(Stamoplysninger!$B$22="Ulempetillæg udbetales med 25% af nettotimelønnen.",C14="ikke relevant",U14="X")),(X14/4),0)</f>
        <v>0</v>
      </c>
      <c r="DV14" s="672">
        <f>IF(AND(AND(AND(Stamoplysninger!$B$22="Ulempetillæg udbetales med 25% af nettotimelønnen.",I14="X",C14="Ikke relevant",S14="X"))),V14/4,0)</f>
        <v>0</v>
      </c>
      <c r="DW14" s="652"/>
      <c r="DZ14" s="671"/>
      <c r="EA14" s="671"/>
      <c r="EB14" s="672"/>
      <c r="EC14" s="652">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71">
        <f>IF(AND(Stamoplysninger!$B$22="Ulempetillæg afspadseres med 25%(Kræver en aftale imellem ledelsen og den ansatte)",C14="ikke relevant"),(R14)/4,0)</f>
        <v>0</v>
      </c>
      <c r="EH14" s="671">
        <f>IF(AND(AND(Stamoplysninger!$B$22="Ulempetillæg afspadseres med 25%(Kræver en aftale imellem ledelsen og den ansatte)",I14="X",C14="Ikke relevant")),K14/4,0)</f>
        <v>0</v>
      </c>
      <c r="EI14" s="671">
        <f>IF(AND(AND(Stamoplysninger!$B$22="Ulempetillæg afspadseres med 25%(Kræver en aftale imellem ledelsen og den ansatte)",U14="X",C14="Ikke relevant")),X14/4,0)</f>
        <v>0</v>
      </c>
      <c r="EJ14" s="671">
        <f>IF(AND(AND(AND(Stamoplysninger!$B$22="Ulempetillæg afspadseres med 25%(Kræver en aftale imellem ledelsen og den ansatte)",I14="X",C14="Ikke relevant",S14="X"))),V14/4,0)</f>
        <v>0</v>
      </c>
      <c r="EK14" s="283">
        <f>IF(AND(Stamoplysninger!$B$26="Weekendtimer og weekendtillæg afspadseres.",I14="X"),K14*1.5,0)</f>
        <v>0</v>
      </c>
      <c r="EL14" s="251">
        <f>IF(AND(AND(Stamoplysninger!$B$26="Weekendtimer og weekendtillæg afspadseres.",I14="X",S14="X")),V14*1.5,0)</f>
        <v>0</v>
      </c>
      <c r="EM14" s="674">
        <f>IF(AND(AND(Stamoplysninger!$B$26="Weekendtimer og weekendtillæg afspadseres.",I14="X",C14="ikke relevant")),K14*1.5,0)</f>
        <v>0</v>
      </c>
      <c r="EN14" s="675">
        <f>IF(AND(AND(AND(Stamoplysninger!$B$26="Weekendtimer og weekendtillæg afspadseres.",I14="X",C14="ikke relevant",S14="X"))),(V14*1.5),0)</f>
        <v>0</v>
      </c>
      <c r="EO14" s="283">
        <f>IF(AND(Stamoplysninger!$B$26="Weekendtimer og weekendtillæg udbetales.",I14="X"),K14*1.5,0)</f>
        <v>0</v>
      </c>
      <c r="EP14" s="251">
        <f>IF(AND(AND(Stamoplysninger!$B$26="Weekendtimer og weekendtillæg udbetales.",I14="X",S14="X")),V14*1.5,0)</f>
        <v>0</v>
      </c>
      <c r="EQ14" s="674">
        <f>IF(AND(AND(Stamoplysninger!$B$26="Weekendtimer og weekendtillæg udbetales.",I14="X",C14="ikke relevant")),K14*1.5,0)</f>
        <v>0</v>
      </c>
      <c r="ER14" s="675">
        <f>IF(AND(AND(AND(Stamoplysninger!$B$26="Weekendtimer og weekendtillæg udbetales.",I14="X",C14="ikke relevant",S14="X"))),(V14*1.5),0)</f>
        <v>0</v>
      </c>
      <c r="ES14" s="283">
        <f>IF(AND(Stamoplysninger!$B$26="Der er indgået lokalaftale omkring weekendtimer.(Kræver aftale med TR/FSL) Weekendtillæg afspadseres.",I14="X"),K14*0.5,0)</f>
        <v>0</v>
      </c>
      <c r="ET14" s="251">
        <f>IF(AND(AND(Stamoplysninger!$B$26="Der er indgået lokalaftale omkring weekendtimer.(Kræver aftale med TR/FSL) Weekendtillæg afspadseres.",I14="X",S14="X")),V14*0.5,0)</f>
        <v>0</v>
      </c>
      <c r="EU14" s="674">
        <f>IF(AND(AND(Stamoplysninger!$B$26="Der er indgået lokalaftale omkring weekendtimer.(Kræver aftale med TR/FSL) Weekendtillæg afspadseres.",I14="X",C14="ikke relevant")),K14*0.5,0)</f>
        <v>0</v>
      </c>
      <c r="EV14" s="675">
        <f>IF(AND(AND(AND(Stamoplysninger!$B$26="Der er indgået lokalaftale omkring weekendtimer.(Kræver aftale med TR/FSL) Weekendtillæg afspadseres.",I14="X",C14="ikke relevant",S14="X"))),(V14*0.5),0)</f>
        <v>0</v>
      </c>
      <c r="EW14" s="283">
        <f>IF(AND(Stamoplysninger!$B$26="Der er indgået lokalaftale omkring weekendtimer(Kræver aftale med TR/FSL). Weekendtillæg udbetales.",I14="X"),K14*0.5,0)</f>
        <v>0</v>
      </c>
      <c r="EX14" s="251">
        <f>IF(AND(AND(Stamoplysninger!$B$26="Der er indgået lokalaftale omkring weekendtimer(Kræver aftale med TR/FSL). Weekendtillæg udbetales.",I14="X",S14="X")),V14*0.5,0)</f>
        <v>0</v>
      </c>
      <c r="EY14" s="674">
        <f>IF(AND(AND(Stamoplysninger!$B$26="Der er indgået lokalaftale omkring weekendtimer(Kræver aftale med TR/FSL). Weekendtillæg udbetales.",I14="X",C14="ikke relevant")),K14*0.5,0)</f>
        <v>0</v>
      </c>
      <c r="EZ14" s="675">
        <f>IF(AND(AND(AND(Stamoplysninger!$B$26="Der er indgået lokalaftale omkring weekendtimer(Kræver aftale med TR/FSL). Weekendtillæg udbetales.",I14="X",C14="ikke relevant",S14="X"))),(V14*0.5),0)</f>
        <v>0</v>
      </c>
      <c r="FA14" s="283">
        <f>IF(AND(Stamoplysninger!$B$26="Der er indgået lokalaftale omkring weekendtillæg(Kræver aftale med TR/FSL). Weekendtimerne afspadseres.",I14="X"),K14,0)</f>
        <v>0</v>
      </c>
      <c r="FB14" s="251">
        <f>IF(AND(AND(Stamoplysninger!$B$26="Der er indgået lokalaftale omkring weekendtillæg(Kræver aftale med TR/FSL). Weekendtimerne afspadseres.",I14="X",S14="X")),V14,0)</f>
        <v>0</v>
      </c>
      <c r="FC14" s="674">
        <f>IF(AND(AND(Stamoplysninger!$B$26="Der er indgået lokalaftale omkring weekendtillæg(Kræver aftale med TR/FSL). Weekendtimerne afspadseres..",I14="X",C14="ikke relevant")),K14,0)</f>
        <v>0</v>
      </c>
      <c r="FD14" s="675">
        <f>IF(AND(AND(AND(Stamoplysninger!$B$26="Der er indgået lokalaftale omkring weekendtillæg(Kræver aftale med TR/FSL). Weekendtimerne afspadseres.",I14="X",C14="ikke relevant",S14="X"))),(V14),0)</f>
        <v>0</v>
      </c>
      <c r="FE14" s="283">
        <f>IF(AND(Stamoplysninger!$B$26="Der er indgået lokalaftale omkring weekendtillæg(Kræver aftale med TR/FSL). Weekendtimerne udbetales.",I14="X"),K14,0)</f>
        <v>0</v>
      </c>
      <c r="FF14" s="251">
        <f>IF(AND(AND(Stamoplysninger!$B$26="Der er indgået lokalaftale omkring weekendtillæg(Kræver aftale med TR/FSL). Weekendtimerne udbetales.",I14="X",S14="X")),V14,0)</f>
        <v>0</v>
      </c>
      <c r="FG14" s="674">
        <f>IF(AND(AND(Stamoplysninger!$B$26="Der er indgået lokalaftale omkring weekendtillæg(Kræver aftale med TR/FSL). Weekendtimerne udbetales.",I14="X",C14="ikke relevant")),K14,0)</f>
        <v>0</v>
      </c>
      <c r="FH14" s="675">
        <f>IF(AND(AND(AND(Stamoplysninger!$B$26="Der er indgået lokalaftale omkring weekendtillæg(Kræver aftale med TR/FSL). Weekendtimerne udbetales.",I14="X",C14="ikke relevant",S14="X"))),(V14),0)</f>
        <v>0</v>
      </c>
      <c r="FI14" s="283">
        <f>IF(AND(Stamoplysninger!$B$26="Weekendtimer og weekendtillæg afspadseres.",I14="X"),K14,0)</f>
        <v>0</v>
      </c>
      <c r="FJ14" s="251">
        <f>IF(AND(Stamoplysninger!$B$26="Weekendtimer og weekendtillæg afspadseres.",Y14="X"),(AA14+AL14)/2,0)</f>
        <v>0</v>
      </c>
      <c r="FK14" s="674">
        <f>IF(AND(AND(Stamoplysninger!$B$26="Weekendtimer og weekendtillæg afspadseres.",I14="X",C14="ikke relevant")),K14,0)</f>
        <v>0</v>
      </c>
      <c r="FL14" s="675">
        <f>IF(AND(AND(Stamoplysninger!$B$26="Weekendtimer og weekendtillæg afspadseres.",Y14="X",S14="ikke relevant")),(AA14+AL14)/2,0)</f>
        <v>0</v>
      </c>
      <c r="FM14" s="283">
        <f>IF(AND(Stamoplysninger!$B$26="Der er indgået lokalaftale omkring weekendtillæg(Kræver aftale med TR/FSL). Weekendtimerne afspadseres.",I14="X"),K14,0)</f>
        <v>0</v>
      </c>
      <c r="FN14" s="674">
        <f>IF(AND(AND(Stamoplysninger!$B$26="Der er indgået lokalaftale omkring weekendtillæg(Kræver aftale med TR/FSL). Weekendtimerne afspadseres.",I14="X",C14="ikke relevant")),K14,0)</f>
        <v>0</v>
      </c>
      <c r="FO14" s="283">
        <f>IF(AND(Stamoplysninger!$B$26="Weekendtimer og weekendtillæg udbetales.",I14="X"),K14,0)</f>
        <v>0</v>
      </c>
      <c r="FP14" s="251">
        <f>IF(AND(Stamoplysninger!$B$26="Weekendtimer og weekendtillæg udbetales.",AA14="X"),(AC14+AN14)/2,0)</f>
        <v>0</v>
      </c>
      <c r="FQ14" s="674">
        <f>IF(AND(AND(Stamoplysninger!$B$26="Weekendtimer og weekendtillæg udbetales.",I14="X",C14="ikke relevant")),K14,0)</f>
        <v>0</v>
      </c>
      <c r="FR14" s="688">
        <f>IF(AND(AND(Stamoplysninger!$B$26="Weekendtimer og weekendtillæg udbetales.",AA14="X",U14="ikke relevant")),(AC14+AN14)/2,0)</f>
        <v>0</v>
      </c>
      <c r="FS14" s="283">
        <f t="shared" si="15"/>
        <v>0</v>
      </c>
      <c r="FT14" s="658">
        <f t="shared" si="16"/>
        <v>0</v>
      </c>
      <c r="FU14">
        <f t="shared" si="17"/>
        <v>0</v>
      </c>
      <c r="FV14" s="283">
        <f>IF(AND(Stamoplysninger!$B$26="Der er indgået lokalaftale omkring weekendtimer.(Kræver aftale med TR/FSL) Weekendtillæg afspadseres.",I14="X"),K14,0)</f>
        <v>0</v>
      </c>
      <c r="FW14" s="674">
        <f>IF(AND(AND(Stamoplysninger!$B$26="Der er indgået lokalaftale omkring weekendtimer.(Kræver aftale med TR/FSL) Weekendtillæg afspadseres.",I14="X",C14="ikke relevant")),K14,0)</f>
        <v>0</v>
      </c>
      <c r="FX14" s="283">
        <f>IF(AND(Stamoplysninger!$B$26="Der er indgået lokalaftale omkring weekendtimer(Kræver aftale med TR/FSL). Weekendtillæg udbetales.",I14="X"),K14,0)</f>
        <v>0</v>
      </c>
      <c r="FY14" s="674">
        <f>IF(AND(AND(Stamoplysninger!$B$26="Der er indgået lokalaftale omkring weekendtimer(Kræver aftale med TR/FSL). Weekendtillæg udbetales.",I14="X",C14="ikke relevant")),K14,0)</f>
        <v>0</v>
      </c>
      <c r="FZ14" s="283">
        <f>IF(AND(Stamoplysninger!$B$26="Der er indgået lokalaftale omkring weekendtillæg(Kræver aftale med TR/FSL). Weekendtimerne udbetales.",I14="X"),K14,0)</f>
        <v>0</v>
      </c>
      <c r="GA14" s="674">
        <f>IF(AND(AND(Stamoplysninger!$B$26="Der er indgået lokalaftale omkring weekendtillæg(Kræver aftale med TR/FSL). Weekendtimerne udbetales.",I14="X",C14="ikke relevant")),K14,0)</f>
        <v>0</v>
      </c>
      <c r="GB14" s="283">
        <f>IF(AND(Stamoplysninger!$B$26="Der er indgået lokalaftale omkring weekendtimer og weekendtillæg.(Kræver aftale med TR/FSL).",I14="X"),K14,0)</f>
        <v>0</v>
      </c>
      <c r="GC14" s="674">
        <f>IF(AND(AND(Stamoplysninger!$B$26="Der er indgået lokalaftale omkring weekendtimer og weekendtillæg.(Kræver aftale med TR/FSL).",I14="X",C14="ikke relevant")),K14,0)</f>
        <v>0</v>
      </c>
    </row>
    <row r="15" spans="1:185" ht="16" customHeight="1">
      <c r="A15" s="245">
        <f t="shared" si="18"/>
        <v>7</v>
      </c>
      <c r="B15" s="128" t="str">
        <f t="shared" si="0"/>
        <v>ti</v>
      </c>
      <c r="C15" s="129" t="s">
        <v>207</v>
      </c>
      <c r="D15" s="130" t="str">
        <f t="shared" si="1"/>
        <v/>
      </c>
      <c r="E15" s="917"/>
      <c r="F15" s="918"/>
      <c r="G15" s="919"/>
      <c r="H15" s="298"/>
      <c r="I15" s="527"/>
      <c r="J15" s="413"/>
      <c r="K15" s="380"/>
      <c r="L15" s="380"/>
      <c r="M15" s="380"/>
      <c r="N15" s="318">
        <f t="shared" si="19"/>
        <v>8.5</v>
      </c>
      <c r="O15" s="318">
        <f t="shared" si="20"/>
        <v>3.75</v>
      </c>
      <c r="P15" s="318">
        <f>IF(Stamoplysninger!$H$29="JA",Januar!DG15,CX15)</f>
        <v>1.5</v>
      </c>
      <c r="Q15" s="318">
        <f t="shared" si="21"/>
        <v>3.25</v>
      </c>
      <c r="R15" s="319"/>
      <c r="S15" s="324"/>
      <c r="T15" s="325"/>
      <c r="U15" s="325"/>
      <c r="V15" s="435"/>
      <c r="W15" s="412"/>
      <c r="X15" s="642"/>
      <c r="Y15">
        <f t="shared" si="22"/>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f>IF(AND(C15="Skema 2",B15="ti"),Arbejdstidsoversigt!$E$82,"")</f>
        <v>8.5</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8.5</v>
      </c>
      <c r="BB15" s="229">
        <f t="shared" si="8"/>
        <v>0</v>
      </c>
      <c r="BC15" s="1">
        <f t="shared" si="24"/>
        <v>0</v>
      </c>
      <c r="BD15" s="1">
        <f t="shared" si="9"/>
        <v>0</v>
      </c>
      <c r="BE15" s="1">
        <f t="shared" si="10"/>
        <v>0</v>
      </c>
      <c r="BF15" s="1">
        <f t="shared" si="11"/>
        <v>0</v>
      </c>
      <c r="BG15" s="210" t="str">
        <f>IF(AND(C15="Skema 1",B15="ma"),Skemaoplysninger!$E$30,"")</f>
        <v/>
      </c>
      <c r="BH15" s="210" t="str">
        <f>IF(AND(C15="Skema 1",B15="ti"),Skemaoplysninger!$G$30,"")</f>
        <v/>
      </c>
      <c r="BI15" s="210" t="str">
        <f>IF(AND(C15="Skema 1",B15="on"),Skemaoplysninger!$I$30,"")</f>
        <v/>
      </c>
      <c r="BJ15" s="210" t="str">
        <f>IF(AND(C15="Skema 1",B15="to"),Skemaoplysninger!$K$30,"")</f>
        <v/>
      </c>
      <c r="BK15" s="210" t="str">
        <f>IF(AND(C15="Skema 1",B15="fr"),Skemaoplysninger!$M$30,"")</f>
        <v/>
      </c>
      <c r="BL15" s="210" t="str">
        <f>IF(AND(C15="Skema 2",B15="ma"),Skemaoplysninger!$S$30,"")</f>
        <v/>
      </c>
      <c r="BM15" s="210">
        <f>IF(AND(C15="Skema 2",B15="ti"),Skemaoplysninger!$U$30,"")</f>
        <v>0.15625</v>
      </c>
      <c r="BN15" s="210" t="str">
        <f>IF(AND(C15="Skema 2",B15="on"),Skemaoplysninger!$W$30,"")</f>
        <v/>
      </c>
      <c r="BO15" s="210" t="str">
        <f>IF(AND(C15="Skema 2",B15="to"),Skemaoplysninger!$Y$30,"")</f>
        <v/>
      </c>
      <c r="BP15" s="210" t="str">
        <f>IF(AND(C15="Skema 2",B15="fr"),Skemaoplysninger!$AA$30,"")</f>
        <v/>
      </c>
      <c r="BQ15" s="210" t="str">
        <f>IF(AND(C15="Skema 3",B15="ma"),Skemaoplysninger!$AG$30,"")</f>
        <v/>
      </c>
      <c r="BR15" s="210" t="str">
        <f>IF(AND(C15="Skema 3",B15="ti"),Skemaoplysninger!$AI$30,"")</f>
        <v/>
      </c>
      <c r="BS15" s="210" t="str">
        <f>IF(AND(C15="Skema 3",B15="on"),Skemaoplysninger!$AK$30,"")</f>
        <v/>
      </c>
      <c r="BT15" s="210" t="str">
        <f>IF(AND(C15="Skema 3",B15="to"),Skemaoplysninger!$AM$30,"")</f>
        <v/>
      </c>
      <c r="BU15" s="210" t="str">
        <f>IF(AND(C15="Skema 3",B15="fr"),Skemaoplysninger!$AO$30,"")</f>
        <v/>
      </c>
      <c r="BV15" s="210" t="str">
        <f>IF(AND(C15="Skema 4",B15="ma"),Skemaoplysninger!$AU$30,"")</f>
        <v/>
      </c>
      <c r="BW15" s="210" t="str">
        <f>IF(AND(C15="Skema 4",B15="ti"),Skemaoplysninger!$AW$30,"")</f>
        <v/>
      </c>
      <c r="BX15" s="210" t="str">
        <f>IF(AND(C15="Skema 4",B15="on"),Skemaoplysninger!$AY$30,"")</f>
        <v/>
      </c>
      <c r="BY15" s="210" t="str">
        <f>IF(AND(C15="Skema 4",B15="to"),Skemaoplysninger!$BA$30,"")</f>
        <v/>
      </c>
      <c r="BZ15" s="210" t="str">
        <f>IF(AND(C15="Skema 4",B15="fr"),Skemaoplysninger!$BC$30,"")</f>
        <v/>
      </c>
      <c r="CA15" s="1">
        <f t="shared" si="25"/>
        <v>3.75</v>
      </c>
      <c r="CB15" s="1">
        <f t="shared" si="12"/>
        <v>0</v>
      </c>
      <c r="CC15" s="1">
        <f t="shared" si="13"/>
        <v>0</v>
      </c>
      <c r="CD15" s="210" t="str">
        <f>IF(AND(C15="Skema 1",B15="ma"),Skemaoplysninger!$E$31,"")</f>
        <v/>
      </c>
      <c r="CE15" s="210" t="str">
        <f>IF(AND(C15="Skema 1",B15="ti"),Skemaoplysninger!$G$31,"")</f>
        <v/>
      </c>
      <c r="CF15" s="210" t="str">
        <f>IF(AND(C15="Skema 1",B15="on"),Skemaoplysninger!$I$31,"")</f>
        <v/>
      </c>
      <c r="CG15" s="210" t="str">
        <f>IF(AND(C15="Skema 1",B15="to"),Skemaoplysninger!$K$31,"")</f>
        <v/>
      </c>
      <c r="CH15" s="210" t="str">
        <f>IF(AND(C15="Skema 1",B15="fr"),Skemaoplysninger!$M$31,"")</f>
        <v/>
      </c>
      <c r="CI15" s="210" t="str">
        <f>IF(AND(C15="Skema 2",B15="ma"),Skemaoplysninger!$S$31,"")</f>
        <v/>
      </c>
      <c r="CJ15" s="210">
        <f>IF(AND(C15="Skema 2",B15="ti"),Skemaoplysninger!$U$31,"")</f>
        <v>6.25E-2</v>
      </c>
      <c r="CK15" s="210" t="str">
        <f>IF(AND(C15="Skema 2",B15="on"),Skemaoplysninger!$W$31,"")</f>
        <v/>
      </c>
      <c r="CL15" s="210" t="str">
        <f>IF(AND(C15="Skema 2",B15="to"),Skemaoplysninger!$Y$31,"")</f>
        <v/>
      </c>
      <c r="CM15" s="210" t="str">
        <f>IF(AND(C15="Skema 2",B15="fr"),Skemaoplysninger!$AA$31,"")</f>
        <v/>
      </c>
      <c r="CN15" s="210" t="str">
        <f>IF(AND(C15="Skema 3",B15="ma"),Skemaoplysninger!$AG$31,"")</f>
        <v/>
      </c>
      <c r="CO15" s="210" t="str">
        <f>IF(AND(C15="Skema 3",B15="ti"),Skemaoplysninger!$AI$31,"")</f>
        <v/>
      </c>
      <c r="CP15" s="210" t="str">
        <f>IF(AND(C15="Skema 3",B15="on"),Skemaoplysninger!$AK$31,"")</f>
        <v/>
      </c>
      <c r="CQ15" s="210" t="str">
        <f>IF(AND(C15="Skema 3",B15="to"),Skemaoplysninger!$AM$31,"")</f>
        <v/>
      </c>
      <c r="CR15" s="210" t="str">
        <f>IF(AND(C15="Skema 3",B15="fr"),Skemaoplysninger!$AO$31,"")</f>
        <v/>
      </c>
      <c r="CS15" s="210" t="str">
        <f>IF(AND(C15="Skema 4",B15="ma"),Skemaoplysninger!$AU$31,"")</f>
        <v/>
      </c>
      <c r="CT15" s="210" t="str">
        <f>IF(AND(C15="Skema 4",B15="ti"),Skemaoplysninger!$AW$31,"")</f>
        <v/>
      </c>
      <c r="CU15" s="210" t="str">
        <f>IF(AND(C15="Skema 4",B15="on"),Skemaoplysninger!$AY$31,"")</f>
        <v/>
      </c>
      <c r="CV15" s="210" t="str">
        <f>IF(AND(C15="Skema 4",B15="to"),Skemaoplysninger!$BA$31,"")</f>
        <v/>
      </c>
      <c r="CW15" s="210" t="str">
        <f>IF(AND(C15="Skema 4",B15="fr"),Skemaoplysninger!$BC$31,"")</f>
        <v/>
      </c>
      <c r="CX15" s="249">
        <f>IF(Stamoplysninger!$H$29="NEJ",SUM(CD15:CW15)*24+CB15+CC15,0)</f>
        <v>1.5</v>
      </c>
      <c r="CY15" s="249">
        <f>IF(C15="Skema 1",Stamoplysninger!$H$30/200,0)</f>
        <v>0</v>
      </c>
      <c r="CZ15" s="249">
        <f>IF(C15="Skema 2",Stamoplysninger!$H$30/200,0)</f>
        <v>0</v>
      </c>
      <c r="DA15" s="249">
        <f>IF(C15="Skema 3",Stamoplysninger!$H$30/200,0)</f>
        <v>0</v>
      </c>
      <c r="DB15" s="249">
        <f>IF(C15="Skema 4",Stamoplysninger!$H$30/200,0)</f>
        <v>0</v>
      </c>
      <c r="DC15" s="249">
        <f>IF(C15="fagdag",Stamoplysninger!$H$30/200,0)</f>
        <v>0</v>
      </c>
      <c r="DD15" s="249">
        <f>IF(C15="emnedag",Stamoplysninger!$H$30/200,0)</f>
        <v>0</v>
      </c>
      <c r="DE15" s="249">
        <f>IF(C15="lejrskole",Stamoplysninger!$H$30/200,0)</f>
        <v>0</v>
      </c>
      <c r="DF15" s="249">
        <f>IF(C15="ekskursion",Stamoplysninger!$H$30/200,0)</f>
        <v>0</v>
      </c>
      <c r="DG15" s="249">
        <f t="shared" si="26"/>
        <v>0</v>
      </c>
      <c r="DH15" t="str">
        <f t="shared" si="27"/>
        <v/>
      </c>
      <c r="DI15">
        <f t="shared" si="28"/>
        <v>0</v>
      </c>
      <c r="DJ15">
        <f t="shared" si="29"/>
        <v>0</v>
      </c>
      <c r="DK15" t="str">
        <f t="shared" si="14"/>
        <v/>
      </c>
      <c r="DL15" t="str">
        <f t="shared" si="14"/>
        <v/>
      </c>
      <c r="DM15" t="str">
        <f t="shared" si="14"/>
        <v/>
      </c>
      <c r="DN15" t="str">
        <f t="shared" si="30"/>
        <v/>
      </c>
      <c r="DO15" s="652">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71">
        <f>IF(AND(Stamoplysninger!$B$22="Ulempetillæg udbetales med 25% af nettotimelønnen.",C15="ikke relevant"),(R15)/4,0)</f>
        <v>0</v>
      </c>
      <c r="DT15" s="671">
        <f>IF(AND(AND(Stamoplysninger!$B$22="Ulempetillæg udbetales med 25% af nettotimelønnen.",I15="X",C15="Ikke relevant")),K15/4,0)</f>
        <v>0</v>
      </c>
      <c r="DU15" s="671">
        <f>IF(AND(AND(Stamoplysninger!$B$22="Ulempetillæg udbetales med 25% af nettotimelønnen.",C15="ikke relevant",U15="X")),(X15/4),0)</f>
        <v>0</v>
      </c>
      <c r="DV15" s="672">
        <f>IF(AND(AND(AND(Stamoplysninger!$B$22="Ulempetillæg udbetales med 25% af nettotimelønnen.",I15="X",C15="Ikke relevant",S15="X"))),V15/4,0)</f>
        <v>0</v>
      </c>
      <c r="DW15" s="652"/>
      <c r="DZ15" s="671"/>
      <c r="EA15" s="671"/>
      <c r="EB15" s="672"/>
      <c r="EC15" s="652">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71">
        <f>IF(AND(Stamoplysninger!$B$22="Ulempetillæg afspadseres med 25%(Kræver en aftale imellem ledelsen og den ansatte)",C15="ikke relevant"),(R15)/4,0)</f>
        <v>0</v>
      </c>
      <c r="EH15" s="671">
        <f>IF(AND(AND(Stamoplysninger!$B$22="Ulempetillæg afspadseres med 25%(Kræver en aftale imellem ledelsen og den ansatte)",I15="X",C15="Ikke relevant")),K15/4,0)</f>
        <v>0</v>
      </c>
      <c r="EI15" s="671">
        <f>IF(AND(AND(Stamoplysninger!$B$22="Ulempetillæg afspadseres med 25%(Kræver en aftale imellem ledelsen og den ansatte)",U15="X",C15="Ikke relevant")),X15/4,0)</f>
        <v>0</v>
      </c>
      <c r="EJ15" s="671">
        <f>IF(AND(AND(AND(Stamoplysninger!$B$22="Ulempetillæg afspadseres med 25%(Kræver en aftale imellem ledelsen og den ansatte)",I15="X",C15="Ikke relevant",S15="X"))),V15/4,0)</f>
        <v>0</v>
      </c>
      <c r="EK15" s="283">
        <f>IF(AND(Stamoplysninger!$B$26="Weekendtimer og weekendtillæg afspadseres.",I15="X"),K15*1.5,0)</f>
        <v>0</v>
      </c>
      <c r="EL15" s="251">
        <f>IF(AND(AND(Stamoplysninger!$B$26="Weekendtimer og weekendtillæg afspadseres.",I15="X",S15="X")),V15*1.5,0)</f>
        <v>0</v>
      </c>
      <c r="EM15" s="674">
        <f>IF(AND(AND(Stamoplysninger!$B$26="Weekendtimer og weekendtillæg afspadseres.",I15="X",C15="ikke relevant")),K15*1.5,0)</f>
        <v>0</v>
      </c>
      <c r="EN15" s="675">
        <f>IF(AND(AND(AND(Stamoplysninger!$B$26="Weekendtimer og weekendtillæg afspadseres.",I15="X",C15="ikke relevant",S15="X"))),(V15*1.5),0)</f>
        <v>0</v>
      </c>
      <c r="EO15" s="283">
        <f>IF(AND(Stamoplysninger!$B$26="Weekendtimer og weekendtillæg udbetales.",I15="X"),K15*1.5,0)</f>
        <v>0</v>
      </c>
      <c r="EP15" s="251">
        <f>IF(AND(AND(Stamoplysninger!$B$26="Weekendtimer og weekendtillæg udbetales.",I15="X",S15="X")),V15*1.5,0)</f>
        <v>0</v>
      </c>
      <c r="EQ15" s="674">
        <f>IF(AND(AND(Stamoplysninger!$B$26="Weekendtimer og weekendtillæg udbetales.",I15="X",C15="ikke relevant")),K15*1.5,0)</f>
        <v>0</v>
      </c>
      <c r="ER15" s="675">
        <f>IF(AND(AND(AND(Stamoplysninger!$B$26="Weekendtimer og weekendtillæg udbetales.",I15="X",C15="ikke relevant",S15="X"))),(V15*1.5),0)</f>
        <v>0</v>
      </c>
      <c r="ES15" s="283">
        <f>IF(AND(Stamoplysninger!$B$26="Der er indgået lokalaftale omkring weekendtimer.(Kræver aftale med TR/FSL) Weekendtillæg afspadseres.",I15="X"),K15*0.5,0)</f>
        <v>0</v>
      </c>
      <c r="ET15" s="251">
        <f>IF(AND(AND(Stamoplysninger!$B$26="Der er indgået lokalaftale omkring weekendtimer.(Kræver aftale med TR/FSL) Weekendtillæg afspadseres.",I15="X",S15="X")),V15*0.5,0)</f>
        <v>0</v>
      </c>
      <c r="EU15" s="674">
        <f>IF(AND(AND(Stamoplysninger!$B$26="Der er indgået lokalaftale omkring weekendtimer.(Kræver aftale med TR/FSL) Weekendtillæg afspadseres.",I15="X",C15="ikke relevant")),K15*0.5,0)</f>
        <v>0</v>
      </c>
      <c r="EV15" s="675">
        <f>IF(AND(AND(AND(Stamoplysninger!$B$26="Der er indgået lokalaftale omkring weekendtimer.(Kræver aftale med TR/FSL) Weekendtillæg afspadseres.",I15="X",C15="ikke relevant",S15="X"))),(V15*0.5),0)</f>
        <v>0</v>
      </c>
      <c r="EW15" s="283">
        <f>IF(AND(Stamoplysninger!$B$26="Der er indgået lokalaftale omkring weekendtimer(Kræver aftale med TR/FSL). Weekendtillæg udbetales.",I15="X"),K15*0.5,0)</f>
        <v>0</v>
      </c>
      <c r="EX15" s="251">
        <f>IF(AND(AND(Stamoplysninger!$B$26="Der er indgået lokalaftale omkring weekendtimer(Kræver aftale med TR/FSL). Weekendtillæg udbetales.",I15="X",S15="X")),V15*0.5,0)</f>
        <v>0</v>
      </c>
      <c r="EY15" s="674">
        <f>IF(AND(AND(Stamoplysninger!$B$26="Der er indgået lokalaftale omkring weekendtimer(Kræver aftale med TR/FSL). Weekendtillæg udbetales.",I15="X",C15="ikke relevant")),K15*0.5,0)</f>
        <v>0</v>
      </c>
      <c r="EZ15" s="675">
        <f>IF(AND(AND(AND(Stamoplysninger!$B$26="Der er indgået lokalaftale omkring weekendtimer(Kræver aftale med TR/FSL). Weekendtillæg udbetales.",I15="X",C15="ikke relevant",S15="X"))),(V15*0.5),0)</f>
        <v>0</v>
      </c>
      <c r="FA15" s="283">
        <f>IF(AND(Stamoplysninger!$B$26="Der er indgået lokalaftale omkring weekendtillæg(Kræver aftale med TR/FSL). Weekendtimerne afspadseres.",I15="X"),K15,0)</f>
        <v>0</v>
      </c>
      <c r="FB15" s="251">
        <f>IF(AND(AND(Stamoplysninger!$B$26="Der er indgået lokalaftale omkring weekendtillæg(Kræver aftale med TR/FSL). Weekendtimerne afspadseres.",I15="X",S15="X")),V15,0)</f>
        <v>0</v>
      </c>
      <c r="FC15" s="674">
        <f>IF(AND(AND(Stamoplysninger!$B$26="Der er indgået lokalaftale omkring weekendtillæg(Kræver aftale med TR/FSL). Weekendtimerne afspadseres..",I15="X",C15="ikke relevant")),K15,0)</f>
        <v>0</v>
      </c>
      <c r="FD15" s="675">
        <f>IF(AND(AND(AND(Stamoplysninger!$B$26="Der er indgået lokalaftale omkring weekendtillæg(Kræver aftale med TR/FSL). Weekendtimerne afspadseres.",I15="X",C15="ikke relevant",S15="X"))),(V15),0)</f>
        <v>0</v>
      </c>
      <c r="FE15" s="283">
        <f>IF(AND(Stamoplysninger!$B$26="Der er indgået lokalaftale omkring weekendtillæg(Kræver aftale med TR/FSL). Weekendtimerne udbetales.",I15="X"),K15,0)</f>
        <v>0</v>
      </c>
      <c r="FF15" s="251">
        <f>IF(AND(AND(Stamoplysninger!$B$26="Der er indgået lokalaftale omkring weekendtillæg(Kræver aftale med TR/FSL). Weekendtimerne udbetales.",I15="X",S15="X")),V15,0)</f>
        <v>0</v>
      </c>
      <c r="FG15" s="674">
        <f>IF(AND(AND(Stamoplysninger!$B$26="Der er indgået lokalaftale omkring weekendtillæg(Kræver aftale med TR/FSL). Weekendtimerne udbetales.",I15="X",C15="ikke relevant")),K15,0)</f>
        <v>0</v>
      </c>
      <c r="FH15" s="675">
        <f>IF(AND(AND(AND(Stamoplysninger!$B$26="Der er indgået lokalaftale omkring weekendtillæg(Kræver aftale med TR/FSL). Weekendtimerne udbetales.",I15="X",C15="ikke relevant",S15="X"))),(V15),0)</f>
        <v>0</v>
      </c>
      <c r="FI15" s="283">
        <f>IF(AND(Stamoplysninger!$B$26="Weekendtimer og weekendtillæg afspadseres.",I15="X"),K15,0)</f>
        <v>0</v>
      </c>
      <c r="FJ15" s="251">
        <f>IF(AND(Stamoplysninger!$B$26="Weekendtimer og weekendtillæg afspadseres.",Y15="X"),(AA15+AL15)/2,0)</f>
        <v>0</v>
      </c>
      <c r="FK15" s="674">
        <f>IF(AND(AND(Stamoplysninger!$B$26="Weekendtimer og weekendtillæg afspadseres.",I15="X",C15="ikke relevant")),K15,0)</f>
        <v>0</v>
      </c>
      <c r="FL15" s="675">
        <f>IF(AND(AND(Stamoplysninger!$B$26="Weekendtimer og weekendtillæg afspadseres.",Y15="X",S15="ikke relevant")),(AA15+AL15)/2,0)</f>
        <v>0</v>
      </c>
      <c r="FM15" s="283">
        <f>IF(AND(Stamoplysninger!$B$26="Der er indgået lokalaftale omkring weekendtillæg(Kræver aftale med TR/FSL). Weekendtimerne afspadseres.",I15="X"),K15,0)</f>
        <v>0</v>
      </c>
      <c r="FN15" s="674">
        <f>IF(AND(AND(Stamoplysninger!$B$26="Der er indgået lokalaftale omkring weekendtillæg(Kræver aftale med TR/FSL). Weekendtimerne afspadseres.",I15="X",C15="ikke relevant")),K15,0)</f>
        <v>0</v>
      </c>
      <c r="FO15" s="283">
        <f>IF(AND(Stamoplysninger!$B$26="Weekendtimer og weekendtillæg udbetales.",I15="X"),K15,0)</f>
        <v>0</v>
      </c>
      <c r="FP15" s="251">
        <f>IF(AND(Stamoplysninger!$B$26="Weekendtimer og weekendtillæg udbetales.",AA15="X"),(AC15+AN15)/2,0)</f>
        <v>0</v>
      </c>
      <c r="FQ15" s="674">
        <f>IF(AND(AND(Stamoplysninger!$B$26="Weekendtimer og weekendtillæg udbetales.",I15="X",C15="ikke relevant")),K15,0)</f>
        <v>0</v>
      </c>
      <c r="FR15" s="688">
        <f>IF(AND(AND(Stamoplysninger!$B$26="Weekendtimer og weekendtillæg udbetales.",AA15="X",U15="ikke relevant")),(AC15+AN15)/2,0)</f>
        <v>0</v>
      </c>
      <c r="FS15" s="283">
        <f t="shared" si="15"/>
        <v>0</v>
      </c>
      <c r="FT15" s="658">
        <f t="shared" si="16"/>
        <v>0</v>
      </c>
      <c r="FU15">
        <f t="shared" si="17"/>
        <v>0</v>
      </c>
      <c r="FV15" s="283">
        <f>IF(AND(Stamoplysninger!$B$26="Der er indgået lokalaftale omkring weekendtimer.(Kræver aftale med TR/FSL) Weekendtillæg afspadseres.",I15="X"),K15,0)</f>
        <v>0</v>
      </c>
      <c r="FW15" s="674">
        <f>IF(AND(AND(Stamoplysninger!$B$26="Der er indgået lokalaftale omkring weekendtimer.(Kræver aftale med TR/FSL) Weekendtillæg afspadseres.",I15="X",C15="ikke relevant")),K15,0)</f>
        <v>0</v>
      </c>
      <c r="FX15" s="283">
        <f>IF(AND(Stamoplysninger!$B$26="Der er indgået lokalaftale omkring weekendtimer(Kræver aftale med TR/FSL). Weekendtillæg udbetales.",I15="X"),K15,0)</f>
        <v>0</v>
      </c>
      <c r="FY15" s="674">
        <f>IF(AND(AND(Stamoplysninger!$B$26="Der er indgået lokalaftale omkring weekendtimer(Kræver aftale med TR/FSL). Weekendtillæg udbetales.",I15="X",C15="ikke relevant")),K15,0)</f>
        <v>0</v>
      </c>
      <c r="FZ15" s="283">
        <f>IF(AND(Stamoplysninger!$B$26="Der er indgået lokalaftale omkring weekendtillæg(Kræver aftale med TR/FSL). Weekendtimerne udbetales.",I15="X"),K15,0)</f>
        <v>0</v>
      </c>
      <c r="GA15" s="674">
        <f>IF(AND(AND(Stamoplysninger!$B$26="Der er indgået lokalaftale omkring weekendtillæg(Kræver aftale med TR/FSL). Weekendtimerne udbetales.",I15="X",C15="ikke relevant")),K15,0)</f>
        <v>0</v>
      </c>
      <c r="GB15" s="283">
        <f>IF(AND(Stamoplysninger!$B$26="Der er indgået lokalaftale omkring weekendtimer og weekendtillæg.(Kræver aftale med TR/FSL).",I15="X"),K15,0)</f>
        <v>0</v>
      </c>
      <c r="GC15" s="674">
        <f>IF(AND(AND(Stamoplysninger!$B$26="Der er indgået lokalaftale omkring weekendtimer og weekendtillæg.(Kræver aftale med TR/FSL).",I15="X",C15="ikke relevant")),K15,0)</f>
        <v>0</v>
      </c>
    </row>
    <row r="16" spans="1:185">
      <c r="A16" s="245">
        <f t="shared" si="18"/>
        <v>8</v>
      </c>
      <c r="B16" s="128" t="str">
        <f t="shared" si="0"/>
        <v>on</v>
      </c>
      <c r="C16" s="129" t="s">
        <v>207</v>
      </c>
      <c r="D16" s="130" t="str">
        <f t="shared" si="1"/>
        <v/>
      </c>
      <c r="E16" s="917"/>
      <c r="F16" s="918"/>
      <c r="G16" s="919"/>
      <c r="H16" s="298"/>
      <c r="I16" s="527"/>
      <c r="J16" s="413"/>
      <c r="K16" s="380"/>
      <c r="L16" s="380"/>
      <c r="M16" s="380"/>
      <c r="N16" s="318">
        <f t="shared" si="19"/>
        <v>7.75</v>
      </c>
      <c r="O16" s="318">
        <f t="shared" si="20"/>
        <v>4.25</v>
      </c>
      <c r="P16" s="318">
        <f>IF(Stamoplysninger!$H$29="JA",Januar!DG16,CX16)</f>
        <v>1</v>
      </c>
      <c r="Q16" s="318">
        <f t="shared" si="21"/>
        <v>2.5</v>
      </c>
      <c r="R16" s="319"/>
      <c r="S16" s="324"/>
      <c r="T16" s="325"/>
      <c r="U16" s="325"/>
      <c r="V16" s="435"/>
      <c r="W16" s="412"/>
      <c r="X16" s="642"/>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f>IF(AND(C16="Skema 2",B16="on"),Arbejdstidsoversigt!$E$83,"")</f>
        <v>7.75</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7.75</v>
      </c>
      <c r="BB16" s="229">
        <f t="shared" si="8"/>
        <v>0</v>
      </c>
      <c r="BC16" s="1">
        <f t="shared" si="24"/>
        <v>0</v>
      </c>
      <c r="BD16" s="1">
        <f t="shared" si="9"/>
        <v>0</v>
      </c>
      <c r="BE16" s="1">
        <f t="shared" si="10"/>
        <v>0</v>
      </c>
      <c r="BF16" s="1">
        <f t="shared" si="11"/>
        <v>0</v>
      </c>
      <c r="BG16" s="210" t="str">
        <f>IF(AND(C16="Skema 1",B16="ma"),Skemaoplysninger!$E$30,"")</f>
        <v/>
      </c>
      <c r="BH16" s="210" t="str">
        <f>IF(AND(C16="Skema 1",B16="ti"),Skemaoplysninger!$G$30,"")</f>
        <v/>
      </c>
      <c r="BI16" s="210" t="str">
        <f>IF(AND(C16="Skema 1",B16="on"),Skemaoplysninger!$I$30,"")</f>
        <v/>
      </c>
      <c r="BJ16" s="210" t="str">
        <f>IF(AND(C16="Skema 1",B16="to"),Skemaoplysninger!$K$30,"")</f>
        <v/>
      </c>
      <c r="BK16" s="210" t="str">
        <f>IF(AND(C16="Skema 1",B16="fr"),Skemaoplysninger!$M$30,"")</f>
        <v/>
      </c>
      <c r="BL16" s="210" t="str">
        <f>IF(AND(C16="Skema 2",B16="ma"),Skemaoplysninger!$S$30,"")</f>
        <v/>
      </c>
      <c r="BM16" s="210" t="str">
        <f>IF(AND(C16="Skema 2",B16="ti"),Skemaoplysninger!$U$30,"")</f>
        <v/>
      </c>
      <c r="BN16" s="210">
        <f>IF(AND(C16="Skema 2",B16="on"),Skemaoplysninger!$W$30,"")</f>
        <v>0.17708333333333331</v>
      </c>
      <c r="BO16" s="210" t="str">
        <f>IF(AND(C16="Skema 2",B16="to"),Skemaoplysninger!$Y$30,"")</f>
        <v/>
      </c>
      <c r="BP16" s="210" t="str">
        <f>IF(AND(C16="Skema 2",B16="fr"),Skemaoplysninger!$AA$30,"")</f>
        <v/>
      </c>
      <c r="BQ16" s="210" t="str">
        <f>IF(AND(C16="Skema 3",B16="ma"),Skemaoplysninger!$AG$30,"")</f>
        <v/>
      </c>
      <c r="BR16" s="210" t="str">
        <f>IF(AND(C16="Skema 3",B16="ti"),Skemaoplysninger!$AI$30,"")</f>
        <v/>
      </c>
      <c r="BS16" s="210" t="str">
        <f>IF(AND(C16="Skema 3",B16="on"),Skemaoplysninger!$AK$30,"")</f>
        <v/>
      </c>
      <c r="BT16" s="210" t="str">
        <f>IF(AND(C16="Skema 3",B16="to"),Skemaoplysninger!$AM$30,"")</f>
        <v/>
      </c>
      <c r="BU16" s="210" t="str">
        <f>IF(AND(C16="Skema 3",B16="fr"),Skemaoplysninger!$AO$30,"")</f>
        <v/>
      </c>
      <c r="BV16" s="210" t="str">
        <f>IF(AND(C16="Skema 4",B16="ma"),Skemaoplysninger!$AU$30,"")</f>
        <v/>
      </c>
      <c r="BW16" s="210" t="str">
        <f>IF(AND(C16="Skema 4",B16="ti"),Skemaoplysninger!$AW$30,"")</f>
        <v/>
      </c>
      <c r="BX16" s="210" t="str">
        <f>IF(AND(C16="Skema 4",B16="on"),Skemaoplysninger!$AY$30,"")</f>
        <v/>
      </c>
      <c r="BY16" s="210" t="str">
        <f>IF(AND(C16="Skema 4",B16="to"),Skemaoplysninger!$BA$30,"")</f>
        <v/>
      </c>
      <c r="BZ16" s="210" t="str">
        <f>IF(AND(C16="Skema 4",B16="fr"),Skemaoplysninger!$BC$30,"")</f>
        <v/>
      </c>
      <c r="CA16" s="1">
        <f t="shared" si="25"/>
        <v>4.25</v>
      </c>
      <c r="CB16" s="1">
        <f t="shared" si="12"/>
        <v>0</v>
      </c>
      <c r="CC16" s="1">
        <f t="shared" si="13"/>
        <v>0</v>
      </c>
      <c r="CD16" s="210" t="str">
        <f>IF(AND(C16="Skema 1",B16="ma"),Skemaoplysninger!$E$31,"")</f>
        <v/>
      </c>
      <c r="CE16" s="210" t="str">
        <f>IF(AND(C16="Skema 1",B16="ti"),Skemaoplysninger!$G$31,"")</f>
        <v/>
      </c>
      <c r="CF16" s="210" t="str">
        <f>IF(AND(C16="Skema 1",B16="on"),Skemaoplysninger!$I$31,"")</f>
        <v/>
      </c>
      <c r="CG16" s="210" t="str">
        <f>IF(AND(C16="Skema 1",B16="to"),Skemaoplysninger!$K$31,"")</f>
        <v/>
      </c>
      <c r="CH16" s="210" t="str">
        <f>IF(AND(C16="Skema 1",B16="fr"),Skemaoplysninger!$M$31,"")</f>
        <v/>
      </c>
      <c r="CI16" s="210" t="str">
        <f>IF(AND(C16="Skema 2",B16="ma"),Skemaoplysninger!$S$31,"")</f>
        <v/>
      </c>
      <c r="CJ16" s="210" t="str">
        <f>IF(AND(C16="Skema 2",B16="ti"),Skemaoplysninger!$U$31,"")</f>
        <v/>
      </c>
      <c r="CK16" s="210">
        <f>IF(AND(C16="Skema 2",B16="on"),Skemaoplysninger!$W$31,"")</f>
        <v>4.1666666666666664E-2</v>
      </c>
      <c r="CL16" s="210" t="str">
        <f>IF(AND(C16="Skema 2",B16="to"),Skemaoplysninger!$Y$31,"")</f>
        <v/>
      </c>
      <c r="CM16" s="210" t="str">
        <f>IF(AND(C16="Skema 2",B16="fr"),Skemaoplysninger!$AA$31,"")</f>
        <v/>
      </c>
      <c r="CN16" s="210" t="str">
        <f>IF(AND(C16="Skema 3",B16="ma"),Skemaoplysninger!$AG$31,"")</f>
        <v/>
      </c>
      <c r="CO16" s="210" t="str">
        <f>IF(AND(C16="Skema 3",B16="ti"),Skemaoplysninger!$AI$31,"")</f>
        <v/>
      </c>
      <c r="CP16" s="210" t="str">
        <f>IF(AND(C16="Skema 3",B16="on"),Skemaoplysninger!$AK$31,"")</f>
        <v/>
      </c>
      <c r="CQ16" s="210" t="str">
        <f>IF(AND(C16="Skema 3",B16="to"),Skemaoplysninger!$AM$31,"")</f>
        <v/>
      </c>
      <c r="CR16" s="210" t="str">
        <f>IF(AND(C16="Skema 3",B16="fr"),Skemaoplysninger!$AO$31,"")</f>
        <v/>
      </c>
      <c r="CS16" s="210" t="str">
        <f>IF(AND(C16="Skema 4",B16="ma"),Skemaoplysninger!$AU$31,"")</f>
        <v/>
      </c>
      <c r="CT16" s="210" t="str">
        <f>IF(AND(C16="Skema 4",B16="ti"),Skemaoplysninger!$AW$31,"")</f>
        <v/>
      </c>
      <c r="CU16" s="210" t="str">
        <f>IF(AND(C16="Skema 4",B16="on"),Skemaoplysninger!$AY$31,"")</f>
        <v/>
      </c>
      <c r="CV16" s="210" t="str">
        <f>IF(AND(C16="Skema 4",B16="to"),Skemaoplysninger!$BA$31,"")</f>
        <v/>
      </c>
      <c r="CW16" s="210" t="str">
        <f>IF(AND(C16="Skema 4",B16="fr"),Skemaoplysninger!$BC$31,"")</f>
        <v/>
      </c>
      <c r="CX16" s="249">
        <f>IF(Stamoplysninger!$H$29="NEJ",SUM(CD16:CW16)*24+CB16+CC16,0)</f>
        <v>1</v>
      </c>
      <c r="CY16" s="249">
        <f>IF(C16="Skema 1",Stamoplysninger!$H$30/200,0)</f>
        <v>0</v>
      </c>
      <c r="CZ16" s="249">
        <f>IF(C16="Skema 2",Stamoplysninger!$H$30/200,0)</f>
        <v>0</v>
      </c>
      <c r="DA16" s="249">
        <f>IF(C16="Skema 3",Stamoplysninger!$H$30/200,0)</f>
        <v>0</v>
      </c>
      <c r="DB16" s="249">
        <f>IF(C16="Skema 4",Stamoplysninger!$H$30/200,0)</f>
        <v>0</v>
      </c>
      <c r="DC16" s="249">
        <f>IF(C16="fagdag",Stamoplysninger!$H$30/200,0)</f>
        <v>0</v>
      </c>
      <c r="DD16" s="249">
        <f>IF(C16="emnedag",Stamoplysninger!$H$30/200,0)</f>
        <v>0</v>
      </c>
      <c r="DE16" s="249">
        <f>IF(C16="lejrskole",Stamoplysninger!$H$30/200,0)</f>
        <v>0</v>
      </c>
      <c r="DF16" s="249">
        <f>IF(C16="ekskursion",Stamoplysninger!$H$30/200,0)</f>
        <v>0</v>
      </c>
      <c r="DG16" s="249">
        <f t="shared" si="26"/>
        <v>0</v>
      </c>
      <c r="DH16" t="str">
        <f t="shared" si="27"/>
        <v/>
      </c>
      <c r="DI16">
        <f t="shared" si="28"/>
        <v>0</v>
      </c>
      <c r="DJ16">
        <f t="shared" si="29"/>
        <v>0</v>
      </c>
      <c r="DK16" t="str">
        <f t="shared" si="14"/>
        <v/>
      </c>
      <c r="DL16" t="str">
        <f t="shared" si="14"/>
        <v/>
      </c>
      <c r="DM16" t="str">
        <f t="shared" si="14"/>
        <v/>
      </c>
      <c r="DN16" t="str">
        <f t="shared" si="30"/>
        <v/>
      </c>
      <c r="DO16" s="652">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71">
        <f>IF(AND(Stamoplysninger!$B$22="Ulempetillæg udbetales med 25% af nettotimelønnen.",C16="ikke relevant"),(R16)/4,0)</f>
        <v>0</v>
      </c>
      <c r="DT16" s="671">
        <f>IF(AND(AND(Stamoplysninger!$B$22="Ulempetillæg udbetales med 25% af nettotimelønnen.",I16="X",C16="Ikke relevant")),K16/4,0)</f>
        <v>0</v>
      </c>
      <c r="DU16" s="671">
        <f>IF(AND(AND(Stamoplysninger!$B$22="Ulempetillæg udbetales med 25% af nettotimelønnen.",C16="ikke relevant",U16="X")),(X16/4),0)</f>
        <v>0</v>
      </c>
      <c r="DV16" s="672">
        <f>IF(AND(AND(AND(Stamoplysninger!$B$22="Ulempetillæg udbetales med 25% af nettotimelønnen.",I16="X",C16="Ikke relevant",S16="X"))),V16/4,0)</f>
        <v>0</v>
      </c>
      <c r="DW16" s="652"/>
      <c r="DZ16" s="671"/>
      <c r="EA16" s="671"/>
      <c r="EB16" s="672"/>
      <c r="EC16" s="652">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71">
        <f>IF(AND(Stamoplysninger!$B$22="Ulempetillæg afspadseres med 25%(Kræver en aftale imellem ledelsen og den ansatte)",C16="ikke relevant"),(R16)/4,0)</f>
        <v>0</v>
      </c>
      <c r="EH16" s="671">
        <f>IF(AND(AND(Stamoplysninger!$B$22="Ulempetillæg afspadseres med 25%(Kræver en aftale imellem ledelsen og den ansatte)",I16="X",C16="Ikke relevant")),K16/4,0)</f>
        <v>0</v>
      </c>
      <c r="EI16" s="671">
        <f>IF(AND(AND(Stamoplysninger!$B$22="Ulempetillæg afspadseres med 25%(Kræver en aftale imellem ledelsen og den ansatte)",U16="X",C16="Ikke relevant")),X16/4,0)</f>
        <v>0</v>
      </c>
      <c r="EJ16" s="671">
        <f>IF(AND(AND(AND(Stamoplysninger!$B$22="Ulempetillæg afspadseres med 25%(Kræver en aftale imellem ledelsen og den ansatte)",I16="X",C16="Ikke relevant",S16="X"))),V16/4,0)</f>
        <v>0</v>
      </c>
      <c r="EK16" s="283">
        <f>IF(AND(Stamoplysninger!$B$26="Weekendtimer og weekendtillæg afspadseres.",I16="X"),K16*1.5,0)</f>
        <v>0</v>
      </c>
      <c r="EL16" s="251">
        <f>IF(AND(AND(Stamoplysninger!$B$26="Weekendtimer og weekendtillæg afspadseres.",I16="X",S16="X")),V16*1.5,0)</f>
        <v>0</v>
      </c>
      <c r="EM16" s="674">
        <f>IF(AND(AND(Stamoplysninger!$B$26="Weekendtimer og weekendtillæg afspadseres.",I16="X",C16="ikke relevant")),K16*1.5,0)</f>
        <v>0</v>
      </c>
      <c r="EN16" s="675">
        <f>IF(AND(AND(AND(Stamoplysninger!$B$26="Weekendtimer og weekendtillæg afspadseres.",I16="X",C16="ikke relevant",S16="X"))),(V16*1.5),0)</f>
        <v>0</v>
      </c>
      <c r="EO16" s="283">
        <f>IF(AND(Stamoplysninger!$B$26="Weekendtimer og weekendtillæg udbetales.",I16="X"),K16*1.5,0)</f>
        <v>0</v>
      </c>
      <c r="EP16" s="251">
        <f>IF(AND(AND(Stamoplysninger!$B$26="Weekendtimer og weekendtillæg udbetales.",I16="X",S16="X")),V16*1.5,0)</f>
        <v>0</v>
      </c>
      <c r="EQ16" s="674">
        <f>IF(AND(AND(Stamoplysninger!$B$26="Weekendtimer og weekendtillæg udbetales.",I16="X",C16="ikke relevant")),K16*1.5,0)</f>
        <v>0</v>
      </c>
      <c r="ER16" s="675">
        <f>IF(AND(AND(AND(Stamoplysninger!$B$26="Weekendtimer og weekendtillæg udbetales.",I16="X",C16="ikke relevant",S16="X"))),(V16*1.5),0)</f>
        <v>0</v>
      </c>
      <c r="ES16" s="283">
        <f>IF(AND(Stamoplysninger!$B$26="Der er indgået lokalaftale omkring weekendtimer.(Kræver aftale med TR/FSL) Weekendtillæg afspadseres.",I16="X"),K16*0.5,0)</f>
        <v>0</v>
      </c>
      <c r="ET16" s="251">
        <f>IF(AND(AND(Stamoplysninger!$B$26="Der er indgået lokalaftale omkring weekendtimer.(Kræver aftale med TR/FSL) Weekendtillæg afspadseres.",I16="X",S16="X")),V16*0.5,0)</f>
        <v>0</v>
      </c>
      <c r="EU16" s="674">
        <f>IF(AND(AND(Stamoplysninger!$B$26="Der er indgået lokalaftale omkring weekendtimer.(Kræver aftale med TR/FSL) Weekendtillæg afspadseres.",I16="X",C16="ikke relevant")),K16*0.5,0)</f>
        <v>0</v>
      </c>
      <c r="EV16" s="675">
        <f>IF(AND(AND(AND(Stamoplysninger!$B$26="Der er indgået lokalaftale omkring weekendtimer.(Kræver aftale med TR/FSL) Weekendtillæg afspadseres.",I16="X",C16="ikke relevant",S16="X"))),(V16*0.5),0)</f>
        <v>0</v>
      </c>
      <c r="EW16" s="283">
        <f>IF(AND(Stamoplysninger!$B$26="Der er indgået lokalaftale omkring weekendtimer(Kræver aftale med TR/FSL). Weekendtillæg udbetales.",I16="X"),K16*0.5,0)</f>
        <v>0</v>
      </c>
      <c r="EX16" s="251">
        <f>IF(AND(AND(Stamoplysninger!$B$26="Der er indgået lokalaftale omkring weekendtimer(Kræver aftale med TR/FSL). Weekendtillæg udbetales.",I16="X",S16="X")),V16*0.5,0)</f>
        <v>0</v>
      </c>
      <c r="EY16" s="674">
        <f>IF(AND(AND(Stamoplysninger!$B$26="Der er indgået lokalaftale omkring weekendtimer(Kræver aftale med TR/FSL). Weekendtillæg udbetales.",I16="X",C16="ikke relevant")),K16*0.5,0)</f>
        <v>0</v>
      </c>
      <c r="EZ16" s="675">
        <f>IF(AND(AND(AND(Stamoplysninger!$B$26="Der er indgået lokalaftale omkring weekendtimer(Kræver aftale med TR/FSL). Weekendtillæg udbetales.",I16="X",C16="ikke relevant",S16="X"))),(V16*0.5),0)</f>
        <v>0</v>
      </c>
      <c r="FA16" s="283">
        <f>IF(AND(Stamoplysninger!$B$26="Der er indgået lokalaftale omkring weekendtillæg(Kræver aftale med TR/FSL). Weekendtimerne afspadseres.",I16="X"),K16,0)</f>
        <v>0</v>
      </c>
      <c r="FB16" s="251">
        <f>IF(AND(AND(Stamoplysninger!$B$26="Der er indgået lokalaftale omkring weekendtillæg(Kræver aftale med TR/FSL). Weekendtimerne afspadseres.",I16="X",S16="X")),V16,0)</f>
        <v>0</v>
      </c>
      <c r="FC16" s="674">
        <f>IF(AND(AND(Stamoplysninger!$B$26="Der er indgået lokalaftale omkring weekendtillæg(Kræver aftale med TR/FSL). Weekendtimerne afspadseres..",I16="X",C16="ikke relevant")),K16,0)</f>
        <v>0</v>
      </c>
      <c r="FD16" s="675">
        <f>IF(AND(AND(AND(Stamoplysninger!$B$26="Der er indgået lokalaftale omkring weekendtillæg(Kræver aftale med TR/FSL). Weekendtimerne afspadseres.",I16="X",C16="ikke relevant",S16="X"))),(V16),0)</f>
        <v>0</v>
      </c>
      <c r="FE16" s="283">
        <f>IF(AND(Stamoplysninger!$B$26="Der er indgået lokalaftale omkring weekendtillæg(Kræver aftale med TR/FSL). Weekendtimerne udbetales.",I16="X"),K16,0)</f>
        <v>0</v>
      </c>
      <c r="FF16" s="251">
        <f>IF(AND(AND(Stamoplysninger!$B$26="Der er indgået lokalaftale omkring weekendtillæg(Kræver aftale med TR/FSL). Weekendtimerne udbetales.",I16="X",S16="X")),V16,0)</f>
        <v>0</v>
      </c>
      <c r="FG16" s="674">
        <f>IF(AND(AND(Stamoplysninger!$B$26="Der er indgået lokalaftale omkring weekendtillæg(Kræver aftale med TR/FSL). Weekendtimerne udbetales.",I16="X",C16="ikke relevant")),K16,0)</f>
        <v>0</v>
      </c>
      <c r="FH16" s="675">
        <f>IF(AND(AND(AND(Stamoplysninger!$B$26="Der er indgået lokalaftale omkring weekendtillæg(Kræver aftale med TR/FSL). Weekendtimerne udbetales.",I16="X",C16="ikke relevant",S16="X"))),(V16),0)</f>
        <v>0</v>
      </c>
      <c r="FI16" s="283">
        <f>IF(AND(Stamoplysninger!$B$26="Weekendtimer og weekendtillæg afspadseres.",I16="X"),K16,0)</f>
        <v>0</v>
      </c>
      <c r="FJ16" s="251">
        <f>IF(AND(Stamoplysninger!$B$26="Weekendtimer og weekendtillæg afspadseres.",Y16="X"),(AA16+AL16)/2,0)</f>
        <v>0</v>
      </c>
      <c r="FK16" s="674">
        <f>IF(AND(AND(Stamoplysninger!$B$26="Weekendtimer og weekendtillæg afspadseres.",I16="X",C16="ikke relevant")),K16,0)</f>
        <v>0</v>
      </c>
      <c r="FL16" s="675">
        <f>IF(AND(AND(Stamoplysninger!$B$26="Weekendtimer og weekendtillæg afspadseres.",Y16="X",S16="ikke relevant")),(AA16+AL16)/2,0)</f>
        <v>0</v>
      </c>
      <c r="FM16" s="283">
        <f>IF(AND(Stamoplysninger!$B$26="Der er indgået lokalaftale omkring weekendtillæg(Kræver aftale med TR/FSL). Weekendtimerne afspadseres.",I16="X"),K16,0)</f>
        <v>0</v>
      </c>
      <c r="FN16" s="674">
        <f>IF(AND(AND(Stamoplysninger!$B$26="Der er indgået lokalaftale omkring weekendtillæg(Kræver aftale med TR/FSL). Weekendtimerne afspadseres.",I16="X",C16="ikke relevant")),K16,0)</f>
        <v>0</v>
      </c>
      <c r="FO16" s="283">
        <f>IF(AND(Stamoplysninger!$B$26="Weekendtimer og weekendtillæg udbetales.",I16="X"),K16,0)</f>
        <v>0</v>
      </c>
      <c r="FP16" s="251">
        <f>IF(AND(Stamoplysninger!$B$26="Weekendtimer og weekendtillæg udbetales.",AA16="X"),(AC16+AN16)/2,0)</f>
        <v>0</v>
      </c>
      <c r="FQ16" s="674">
        <f>IF(AND(AND(Stamoplysninger!$B$26="Weekendtimer og weekendtillæg udbetales.",I16="X",C16="ikke relevant")),K16,0)</f>
        <v>0</v>
      </c>
      <c r="FR16" s="688">
        <f>IF(AND(AND(Stamoplysninger!$B$26="Weekendtimer og weekendtillæg udbetales.",AA16="X",U16="ikke relevant")),(AC16+AN16)/2,0)</f>
        <v>0</v>
      </c>
      <c r="FS16" s="283">
        <f t="shared" si="15"/>
        <v>0</v>
      </c>
      <c r="FT16" s="658">
        <f t="shared" si="16"/>
        <v>0</v>
      </c>
      <c r="FU16">
        <f t="shared" si="17"/>
        <v>0</v>
      </c>
      <c r="FV16" s="283">
        <f>IF(AND(Stamoplysninger!$B$26="Der er indgået lokalaftale omkring weekendtimer.(Kræver aftale med TR/FSL) Weekendtillæg afspadseres.",I16="X"),K16,0)</f>
        <v>0</v>
      </c>
      <c r="FW16" s="674">
        <f>IF(AND(AND(Stamoplysninger!$B$26="Der er indgået lokalaftale omkring weekendtimer.(Kræver aftale med TR/FSL) Weekendtillæg afspadseres.",I16="X",C16="ikke relevant")),K16,0)</f>
        <v>0</v>
      </c>
      <c r="FX16" s="283">
        <f>IF(AND(Stamoplysninger!$B$26="Der er indgået lokalaftale omkring weekendtimer(Kræver aftale med TR/FSL). Weekendtillæg udbetales.",I16="X"),K16,0)</f>
        <v>0</v>
      </c>
      <c r="FY16" s="674">
        <f>IF(AND(AND(Stamoplysninger!$B$26="Der er indgået lokalaftale omkring weekendtimer(Kræver aftale med TR/FSL). Weekendtillæg udbetales.",I16="X",C16="ikke relevant")),K16,0)</f>
        <v>0</v>
      </c>
      <c r="FZ16" s="283">
        <f>IF(AND(Stamoplysninger!$B$26="Der er indgået lokalaftale omkring weekendtillæg(Kræver aftale med TR/FSL). Weekendtimerne udbetales.",I16="X"),K16,0)</f>
        <v>0</v>
      </c>
      <c r="GA16" s="674">
        <f>IF(AND(AND(Stamoplysninger!$B$26="Der er indgået lokalaftale omkring weekendtillæg(Kræver aftale med TR/FSL). Weekendtimerne udbetales.",I16="X",C16="ikke relevant")),K16,0)</f>
        <v>0</v>
      </c>
      <c r="GB16" s="283">
        <f>IF(AND(Stamoplysninger!$B$26="Der er indgået lokalaftale omkring weekendtimer og weekendtillæg.(Kræver aftale med TR/FSL).",I16="X"),K16,0)</f>
        <v>0</v>
      </c>
      <c r="GC16" s="674">
        <f>IF(AND(AND(Stamoplysninger!$B$26="Der er indgået lokalaftale omkring weekendtimer og weekendtillæg.(Kræver aftale med TR/FSL).",I16="X",C16="ikke relevant")),K16,0)</f>
        <v>0</v>
      </c>
    </row>
    <row r="17" spans="1:185">
      <c r="A17" s="245">
        <f t="shared" si="18"/>
        <v>9</v>
      </c>
      <c r="B17" s="128" t="str">
        <f t="shared" si="0"/>
        <v>to</v>
      </c>
      <c r="C17" s="129" t="s">
        <v>207</v>
      </c>
      <c r="D17" s="130" t="str">
        <f t="shared" si="1"/>
        <v/>
      </c>
      <c r="E17" s="917"/>
      <c r="F17" s="918"/>
      <c r="G17" s="919"/>
      <c r="H17" s="298"/>
      <c r="I17" s="527"/>
      <c r="J17" s="413"/>
      <c r="K17" s="380"/>
      <c r="L17" s="380"/>
      <c r="M17" s="380"/>
      <c r="N17" s="318">
        <f t="shared" si="19"/>
        <v>7.75</v>
      </c>
      <c r="O17" s="318">
        <f t="shared" si="20"/>
        <v>3</v>
      </c>
      <c r="P17" s="318">
        <f>IF(Stamoplysninger!$H$29="JA",Januar!DG17,CX17)</f>
        <v>0.83333333333333337</v>
      </c>
      <c r="Q17" s="318">
        <f t="shared" si="21"/>
        <v>3.9166666666666665</v>
      </c>
      <c r="R17" s="319"/>
      <c r="S17" s="324"/>
      <c r="T17" s="325"/>
      <c r="U17" s="325"/>
      <c r="V17" s="435"/>
      <c r="W17" s="412"/>
      <c r="X17" s="642"/>
      <c r="Y17">
        <f t="shared" si="22"/>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f>IF(AND(C17="Skema 2",B17="to"),Arbejdstidsoversigt!$E$84,"")</f>
        <v>7.75</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7.75</v>
      </c>
      <c r="BB17" s="229">
        <f t="shared" si="8"/>
        <v>0</v>
      </c>
      <c r="BC17" s="1">
        <f t="shared" si="24"/>
        <v>0</v>
      </c>
      <c r="BD17" s="1">
        <f t="shared" si="9"/>
        <v>0</v>
      </c>
      <c r="BE17" s="1">
        <f t="shared" si="10"/>
        <v>0</v>
      </c>
      <c r="BF17" s="1">
        <f t="shared" si="11"/>
        <v>0</v>
      </c>
      <c r="BG17" s="210" t="str">
        <f>IF(AND(C17="Skema 1",B17="ma"),Skemaoplysninger!$E$30,"")</f>
        <v/>
      </c>
      <c r="BH17" s="210" t="str">
        <f>IF(AND(C17="Skema 1",B17="ti"),Skemaoplysninger!$G$30,"")</f>
        <v/>
      </c>
      <c r="BI17" s="210" t="str">
        <f>IF(AND(C17="Skema 1",B17="on"),Skemaoplysninger!$I$30,"")</f>
        <v/>
      </c>
      <c r="BJ17" s="210" t="str">
        <f>IF(AND(C17="Skema 1",B17="to"),Skemaoplysninger!$K$30,"")</f>
        <v/>
      </c>
      <c r="BK17" s="210" t="str">
        <f>IF(AND(C17="Skema 1",B17="fr"),Skemaoplysninger!$M$30,"")</f>
        <v/>
      </c>
      <c r="BL17" s="210" t="str">
        <f>IF(AND(C17="Skema 2",B17="ma"),Skemaoplysninger!$S$30,"")</f>
        <v/>
      </c>
      <c r="BM17" s="210" t="str">
        <f>IF(AND(C17="Skema 2",B17="ti"),Skemaoplysninger!$U$30,"")</f>
        <v/>
      </c>
      <c r="BN17" s="210" t="str">
        <f>IF(AND(C17="Skema 2",B17="on"),Skemaoplysninger!$W$30,"")</f>
        <v/>
      </c>
      <c r="BO17" s="210">
        <f>IF(AND(C17="Skema 2",B17="to"),Skemaoplysninger!$Y$30,"")</f>
        <v>0.125</v>
      </c>
      <c r="BP17" s="210" t="str">
        <f>IF(AND(C17="Skema 2",B17="fr"),Skemaoplysninger!$AA$30,"")</f>
        <v/>
      </c>
      <c r="BQ17" s="210" t="str">
        <f>IF(AND(C17="Skema 3",B17="ma"),Skemaoplysninger!$AG$30,"")</f>
        <v/>
      </c>
      <c r="BR17" s="210" t="str">
        <f>IF(AND(C17="Skema 3",B17="ti"),Skemaoplysninger!$AI$30,"")</f>
        <v/>
      </c>
      <c r="BS17" s="210" t="str">
        <f>IF(AND(C17="Skema 3",B17="on"),Skemaoplysninger!$AK$30,"")</f>
        <v/>
      </c>
      <c r="BT17" s="210" t="str">
        <f>IF(AND(C17="Skema 3",B17="to"),Skemaoplysninger!$AM$30,"")</f>
        <v/>
      </c>
      <c r="BU17" s="210" t="str">
        <f>IF(AND(C17="Skema 3",B17="fr"),Skemaoplysninger!$AO$30,"")</f>
        <v/>
      </c>
      <c r="BV17" s="210" t="str">
        <f>IF(AND(C17="Skema 4",B17="ma"),Skemaoplysninger!$AU$30,"")</f>
        <v/>
      </c>
      <c r="BW17" s="210" t="str">
        <f>IF(AND(C17="Skema 4",B17="ti"),Skemaoplysninger!$AW$30,"")</f>
        <v/>
      </c>
      <c r="BX17" s="210" t="str">
        <f>IF(AND(C17="Skema 4",B17="on"),Skemaoplysninger!$AY$30,"")</f>
        <v/>
      </c>
      <c r="BY17" s="210" t="str">
        <f>IF(AND(C17="Skema 4",B17="to"),Skemaoplysninger!$BA$30,"")</f>
        <v/>
      </c>
      <c r="BZ17" s="210" t="str">
        <f>IF(AND(C17="Skema 4",B17="fr"),Skemaoplysninger!$BC$30,"")</f>
        <v/>
      </c>
      <c r="CA17" s="1">
        <f t="shared" si="25"/>
        <v>3</v>
      </c>
      <c r="CB17" s="1">
        <f t="shared" si="12"/>
        <v>0</v>
      </c>
      <c r="CC17" s="1">
        <f t="shared" si="13"/>
        <v>0</v>
      </c>
      <c r="CD17" s="210" t="str">
        <f>IF(AND(C17="Skema 1",B17="ma"),Skemaoplysninger!$E$31,"")</f>
        <v/>
      </c>
      <c r="CE17" s="210" t="str">
        <f>IF(AND(C17="Skema 1",B17="ti"),Skemaoplysninger!$G$31,"")</f>
        <v/>
      </c>
      <c r="CF17" s="210" t="str">
        <f>IF(AND(C17="Skema 1",B17="on"),Skemaoplysninger!$I$31,"")</f>
        <v/>
      </c>
      <c r="CG17" s="210" t="str">
        <f>IF(AND(C17="Skema 1",B17="to"),Skemaoplysninger!$K$31,"")</f>
        <v/>
      </c>
      <c r="CH17" s="210" t="str">
        <f>IF(AND(C17="Skema 1",B17="fr"),Skemaoplysninger!$M$31,"")</f>
        <v/>
      </c>
      <c r="CI17" s="210" t="str">
        <f>IF(AND(C17="Skema 2",B17="ma"),Skemaoplysninger!$S$31,"")</f>
        <v/>
      </c>
      <c r="CJ17" s="210" t="str">
        <f>IF(AND(C17="Skema 2",B17="ti"),Skemaoplysninger!$U$31,"")</f>
        <v/>
      </c>
      <c r="CK17" s="210" t="str">
        <f>IF(AND(C17="Skema 2",B17="on"),Skemaoplysninger!$W$31,"")</f>
        <v/>
      </c>
      <c r="CL17" s="210">
        <f>IF(AND(C17="Skema 2",B17="to"),Skemaoplysninger!$Y$31,"")</f>
        <v>3.4722222222222224E-2</v>
      </c>
      <c r="CM17" s="210" t="str">
        <f>IF(AND(C17="Skema 2",B17="fr"),Skemaoplysninger!$AA$31,"")</f>
        <v/>
      </c>
      <c r="CN17" s="210" t="str">
        <f>IF(AND(C17="Skema 3",B17="ma"),Skemaoplysninger!$AG$31,"")</f>
        <v/>
      </c>
      <c r="CO17" s="210" t="str">
        <f>IF(AND(C17="Skema 3",B17="ti"),Skemaoplysninger!$AI$31,"")</f>
        <v/>
      </c>
      <c r="CP17" s="210" t="str">
        <f>IF(AND(C17="Skema 3",B17="on"),Skemaoplysninger!$AK$31,"")</f>
        <v/>
      </c>
      <c r="CQ17" s="210" t="str">
        <f>IF(AND(C17="Skema 3",B17="to"),Skemaoplysninger!$AM$31,"")</f>
        <v/>
      </c>
      <c r="CR17" s="210" t="str">
        <f>IF(AND(C17="Skema 3",B17="fr"),Skemaoplysninger!$AO$31,"")</f>
        <v/>
      </c>
      <c r="CS17" s="210" t="str">
        <f>IF(AND(C17="Skema 4",B17="ma"),Skemaoplysninger!$AU$31,"")</f>
        <v/>
      </c>
      <c r="CT17" s="210" t="str">
        <f>IF(AND(C17="Skema 4",B17="ti"),Skemaoplysninger!$AW$31,"")</f>
        <v/>
      </c>
      <c r="CU17" s="210" t="str">
        <f>IF(AND(C17="Skema 4",B17="on"),Skemaoplysninger!$AY$31,"")</f>
        <v/>
      </c>
      <c r="CV17" s="210" t="str">
        <f>IF(AND(C17="Skema 4",B17="to"),Skemaoplysninger!$BA$31,"")</f>
        <v/>
      </c>
      <c r="CW17" s="210" t="str">
        <f>IF(AND(C17="Skema 4",B17="fr"),Skemaoplysninger!$BC$31,"")</f>
        <v/>
      </c>
      <c r="CX17" s="249">
        <f>IF(Stamoplysninger!$H$29="NEJ",SUM(CD17:CW17)*24+CB17+CC17,0)</f>
        <v>0.83333333333333337</v>
      </c>
      <c r="CY17" s="249">
        <f>IF(C17="Skema 1",Stamoplysninger!$H$30/200,0)</f>
        <v>0</v>
      </c>
      <c r="CZ17" s="249">
        <f>IF(C17="Skema 2",Stamoplysninger!$H$30/200,0)</f>
        <v>0</v>
      </c>
      <c r="DA17" s="249">
        <f>IF(C17="Skema 3",Stamoplysninger!$H$30/200,0)</f>
        <v>0</v>
      </c>
      <c r="DB17" s="249">
        <f>IF(C17="Skema 4",Stamoplysninger!$H$30/200,0)</f>
        <v>0</v>
      </c>
      <c r="DC17" s="249">
        <f>IF(C17="fagdag",Stamoplysninger!$H$30/200,0)</f>
        <v>0</v>
      </c>
      <c r="DD17" s="249">
        <f>IF(C17="emnedag",Stamoplysninger!$H$30/200,0)</f>
        <v>0</v>
      </c>
      <c r="DE17" s="249">
        <f>IF(C17="lejrskole",Stamoplysninger!$H$30/200,0)</f>
        <v>0</v>
      </c>
      <c r="DF17" s="249">
        <f>IF(C17="ekskursion",Stamoplysninger!$H$30/200,0)</f>
        <v>0</v>
      </c>
      <c r="DG17" s="249">
        <f t="shared" si="26"/>
        <v>0</v>
      </c>
      <c r="DH17" t="str">
        <f t="shared" si="27"/>
        <v/>
      </c>
      <c r="DI17">
        <f t="shared" si="28"/>
        <v>0</v>
      </c>
      <c r="DJ17">
        <f t="shared" si="29"/>
        <v>0</v>
      </c>
      <c r="DK17" t="str">
        <f t="shared" si="14"/>
        <v/>
      </c>
      <c r="DL17" t="str">
        <f t="shared" si="14"/>
        <v/>
      </c>
      <c r="DM17" t="str">
        <f t="shared" si="14"/>
        <v/>
      </c>
      <c r="DN17" t="str">
        <f t="shared" si="30"/>
        <v/>
      </c>
      <c r="DO17" s="652">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71">
        <f>IF(AND(Stamoplysninger!$B$22="Ulempetillæg udbetales med 25% af nettotimelønnen.",C17="ikke relevant"),(R17)/4,0)</f>
        <v>0</v>
      </c>
      <c r="DT17" s="671">
        <f>IF(AND(AND(Stamoplysninger!$B$22="Ulempetillæg udbetales med 25% af nettotimelønnen.",I17="X",C17="Ikke relevant")),K17/4,0)</f>
        <v>0</v>
      </c>
      <c r="DU17" s="671">
        <f>IF(AND(AND(Stamoplysninger!$B$22="Ulempetillæg udbetales med 25% af nettotimelønnen.",C17="ikke relevant",U17="X")),(X17/4),0)</f>
        <v>0</v>
      </c>
      <c r="DV17" s="672">
        <f>IF(AND(AND(AND(Stamoplysninger!$B$22="Ulempetillæg udbetales med 25% af nettotimelønnen.",I17="X",C17="Ikke relevant",S17="X"))),V17/4,0)</f>
        <v>0</v>
      </c>
      <c r="DW17" s="652"/>
      <c r="DZ17" s="671"/>
      <c r="EA17" s="671"/>
      <c r="EB17" s="672"/>
      <c r="EC17" s="652">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71">
        <f>IF(AND(Stamoplysninger!$B$22="Ulempetillæg afspadseres med 25%(Kræver en aftale imellem ledelsen og den ansatte)",C17="ikke relevant"),(R17)/4,0)</f>
        <v>0</v>
      </c>
      <c r="EH17" s="671">
        <f>IF(AND(AND(Stamoplysninger!$B$22="Ulempetillæg afspadseres med 25%(Kræver en aftale imellem ledelsen og den ansatte)",I17="X",C17="Ikke relevant")),K17/4,0)</f>
        <v>0</v>
      </c>
      <c r="EI17" s="671">
        <f>IF(AND(AND(Stamoplysninger!$B$22="Ulempetillæg afspadseres med 25%(Kræver en aftale imellem ledelsen og den ansatte)",U17="X",C17="Ikke relevant")),X17/4,0)</f>
        <v>0</v>
      </c>
      <c r="EJ17" s="671">
        <f>IF(AND(AND(AND(Stamoplysninger!$B$22="Ulempetillæg afspadseres med 25%(Kræver en aftale imellem ledelsen og den ansatte)",I17="X",C17="Ikke relevant",S17="X"))),V17/4,0)</f>
        <v>0</v>
      </c>
      <c r="EK17" s="283">
        <f>IF(AND(Stamoplysninger!$B$26="Weekendtimer og weekendtillæg afspadseres.",I17="X"),K17*1.5,0)</f>
        <v>0</v>
      </c>
      <c r="EL17" s="251">
        <f>IF(AND(AND(Stamoplysninger!$B$26="Weekendtimer og weekendtillæg afspadseres.",I17="X",S17="X")),V17*1.5,0)</f>
        <v>0</v>
      </c>
      <c r="EM17" s="674">
        <f>IF(AND(AND(Stamoplysninger!$B$26="Weekendtimer og weekendtillæg afspadseres.",I17="X",C17="ikke relevant")),K17*1.5,0)</f>
        <v>0</v>
      </c>
      <c r="EN17" s="675">
        <f>IF(AND(AND(AND(Stamoplysninger!$B$26="Weekendtimer og weekendtillæg afspadseres.",I17="X",C17="ikke relevant",S17="X"))),(V17*1.5),0)</f>
        <v>0</v>
      </c>
      <c r="EO17" s="283">
        <f>IF(AND(Stamoplysninger!$B$26="Weekendtimer og weekendtillæg udbetales.",I17="X"),K17*1.5,0)</f>
        <v>0</v>
      </c>
      <c r="EP17" s="251">
        <f>IF(AND(AND(Stamoplysninger!$B$26="Weekendtimer og weekendtillæg udbetales.",I17="X",S17="X")),V17*1.5,0)</f>
        <v>0</v>
      </c>
      <c r="EQ17" s="674">
        <f>IF(AND(AND(Stamoplysninger!$B$26="Weekendtimer og weekendtillæg udbetales.",I17="X",C17="ikke relevant")),K17*1.5,0)</f>
        <v>0</v>
      </c>
      <c r="ER17" s="675">
        <f>IF(AND(AND(AND(Stamoplysninger!$B$26="Weekendtimer og weekendtillæg udbetales.",I17="X",C17="ikke relevant",S17="X"))),(V17*1.5),0)</f>
        <v>0</v>
      </c>
      <c r="ES17" s="283">
        <f>IF(AND(Stamoplysninger!$B$26="Der er indgået lokalaftale omkring weekendtimer.(Kræver aftale med TR/FSL) Weekendtillæg afspadseres.",I17="X"),K17*0.5,0)</f>
        <v>0</v>
      </c>
      <c r="ET17" s="251">
        <f>IF(AND(AND(Stamoplysninger!$B$26="Der er indgået lokalaftale omkring weekendtimer.(Kræver aftale med TR/FSL) Weekendtillæg afspadseres.",I17="X",S17="X")),V17*0.5,0)</f>
        <v>0</v>
      </c>
      <c r="EU17" s="674">
        <f>IF(AND(AND(Stamoplysninger!$B$26="Der er indgået lokalaftale omkring weekendtimer.(Kræver aftale med TR/FSL) Weekendtillæg afspadseres.",I17="X",C17="ikke relevant")),K17*0.5,0)</f>
        <v>0</v>
      </c>
      <c r="EV17" s="675">
        <f>IF(AND(AND(AND(Stamoplysninger!$B$26="Der er indgået lokalaftale omkring weekendtimer.(Kræver aftale med TR/FSL) Weekendtillæg afspadseres.",I17="X",C17="ikke relevant",S17="X"))),(V17*0.5),0)</f>
        <v>0</v>
      </c>
      <c r="EW17" s="283">
        <f>IF(AND(Stamoplysninger!$B$26="Der er indgået lokalaftale omkring weekendtimer(Kræver aftale med TR/FSL). Weekendtillæg udbetales.",I17="X"),K17*0.5,0)</f>
        <v>0</v>
      </c>
      <c r="EX17" s="251">
        <f>IF(AND(AND(Stamoplysninger!$B$26="Der er indgået lokalaftale omkring weekendtimer(Kræver aftale med TR/FSL). Weekendtillæg udbetales.",I17="X",S17="X")),V17*0.5,0)</f>
        <v>0</v>
      </c>
      <c r="EY17" s="674">
        <f>IF(AND(AND(Stamoplysninger!$B$26="Der er indgået lokalaftale omkring weekendtimer(Kræver aftale med TR/FSL). Weekendtillæg udbetales.",I17="X",C17="ikke relevant")),K17*0.5,0)</f>
        <v>0</v>
      </c>
      <c r="EZ17" s="675">
        <f>IF(AND(AND(AND(Stamoplysninger!$B$26="Der er indgået lokalaftale omkring weekendtimer(Kræver aftale med TR/FSL). Weekendtillæg udbetales.",I17="X",C17="ikke relevant",S17="X"))),(V17*0.5),0)</f>
        <v>0</v>
      </c>
      <c r="FA17" s="283">
        <f>IF(AND(Stamoplysninger!$B$26="Der er indgået lokalaftale omkring weekendtillæg(Kræver aftale med TR/FSL). Weekendtimerne afspadseres.",I17="X"),K17,0)</f>
        <v>0</v>
      </c>
      <c r="FB17" s="251">
        <f>IF(AND(AND(Stamoplysninger!$B$26="Der er indgået lokalaftale omkring weekendtillæg(Kræver aftale med TR/FSL). Weekendtimerne afspadseres.",I17="X",S17="X")),V17,0)</f>
        <v>0</v>
      </c>
      <c r="FC17" s="674">
        <f>IF(AND(AND(Stamoplysninger!$B$26="Der er indgået lokalaftale omkring weekendtillæg(Kræver aftale med TR/FSL). Weekendtimerne afspadseres..",I17="X",C17="ikke relevant")),K17,0)</f>
        <v>0</v>
      </c>
      <c r="FD17" s="675">
        <f>IF(AND(AND(AND(Stamoplysninger!$B$26="Der er indgået lokalaftale omkring weekendtillæg(Kræver aftale med TR/FSL). Weekendtimerne afspadseres.",I17="X",C17="ikke relevant",S17="X"))),(V17),0)</f>
        <v>0</v>
      </c>
      <c r="FE17" s="283">
        <f>IF(AND(Stamoplysninger!$B$26="Der er indgået lokalaftale omkring weekendtillæg(Kræver aftale med TR/FSL). Weekendtimerne udbetales.",I17="X"),K17,0)</f>
        <v>0</v>
      </c>
      <c r="FF17" s="251">
        <f>IF(AND(AND(Stamoplysninger!$B$26="Der er indgået lokalaftale omkring weekendtillæg(Kræver aftale med TR/FSL). Weekendtimerne udbetales.",I17="X",S17="X")),V17,0)</f>
        <v>0</v>
      </c>
      <c r="FG17" s="674">
        <f>IF(AND(AND(Stamoplysninger!$B$26="Der er indgået lokalaftale omkring weekendtillæg(Kræver aftale med TR/FSL). Weekendtimerne udbetales.",I17="X",C17="ikke relevant")),K17,0)</f>
        <v>0</v>
      </c>
      <c r="FH17" s="675">
        <f>IF(AND(AND(AND(Stamoplysninger!$B$26="Der er indgået lokalaftale omkring weekendtillæg(Kræver aftale med TR/FSL). Weekendtimerne udbetales.",I17="X",C17="ikke relevant",S17="X"))),(V17),0)</f>
        <v>0</v>
      </c>
      <c r="FI17" s="283">
        <f>IF(AND(Stamoplysninger!$B$26="Weekendtimer og weekendtillæg afspadseres.",I17="X"),K17,0)</f>
        <v>0</v>
      </c>
      <c r="FJ17" s="251">
        <f>IF(AND(Stamoplysninger!$B$26="Weekendtimer og weekendtillæg afspadseres.",Y17="X"),(AA17+AL17)/2,0)</f>
        <v>0</v>
      </c>
      <c r="FK17" s="674">
        <f>IF(AND(AND(Stamoplysninger!$B$26="Weekendtimer og weekendtillæg afspadseres.",I17="X",C17="ikke relevant")),K17,0)</f>
        <v>0</v>
      </c>
      <c r="FL17" s="675">
        <f>IF(AND(AND(Stamoplysninger!$B$26="Weekendtimer og weekendtillæg afspadseres.",Y17="X",S17="ikke relevant")),(AA17+AL17)/2,0)</f>
        <v>0</v>
      </c>
      <c r="FM17" s="283">
        <f>IF(AND(Stamoplysninger!$B$26="Der er indgået lokalaftale omkring weekendtillæg(Kræver aftale med TR/FSL). Weekendtimerne afspadseres.",I17="X"),K17,0)</f>
        <v>0</v>
      </c>
      <c r="FN17" s="674">
        <f>IF(AND(AND(Stamoplysninger!$B$26="Der er indgået lokalaftale omkring weekendtillæg(Kræver aftale med TR/FSL). Weekendtimerne afspadseres.",I17="X",C17="ikke relevant")),K17,0)</f>
        <v>0</v>
      </c>
      <c r="FO17" s="283">
        <f>IF(AND(Stamoplysninger!$B$26="Weekendtimer og weekendtillæg udbetales.",I17="X"),K17,0)</f>
        <v>0</v>
      </c>
      <c r="FP17" s="251">
        <f>IF(AND(Stamoplysninger!$B$26="Weekendtimer og weekendtillæg udbetales.",AA17="X"),(AC17+AN17)/2,0)</f>
        <v>0</v>
      </c>
      <c r="FQ17" s="674">
        <f>IF(AND(AND(Stamoplysninger!$B$26="Weekendtimer og weekendtillæg udbetales.",I17="X",C17="ikke relevant")),K17,0)</f>
        <v>0</v>
      </c>
      <c r="FR17" s="688">
        <f>IF(AND(AND(Stamoplysninger!$B$26="Weekendtimer og weekendtillæg udbetales.",AA17="X",U17="ikke relevant")),(AC17+AN17)/2,0)</f>
        <v>0</v>
      </c>
      <c r="FS17" s="283">
        <f t="shared" si="15"/>
        <v>0</v>
      </c>
      <c r="FT17" s="658">
        <f t="shared" si="16"/>
        <v>0</v>
      </c>
      <c r="FU17">
        <f t="shared" si="17"/>
        <v>0</v>
      </c>
      <c r="FV17" s="283">
        <f>IF(AND(Stamoplysninger!$B$26="Der er indgået lokalaftale omkring weekendtimer.(Kræver aftale med TR/FSL) Weekendtillæg afspadseres.",I17="X"),K17,0)</f>
        <v>0</v>
      </c>
      <c r="FW17" s="674">
        <f>IF(AND(AND(Stamoplysninger!$B$26="Der er indgået lokalaftale omkring weekendtimer.(Kræver aftale med TR/FSL) Weekendtillæg afspadseres.",I17="X",C17="ikke relevant")),K17,0)</f>
        <v>0</v>
      </c>
      <c r="FX17" s="283">
        <f>IF(AND(Stamoplysninger!$B$26="Der er indgået lokalaftale omkring weekendtimer(Kræver aftale med TR/FSL). Weekendtillæg udbetales.",I17="X"),K17,0)</f>
        <v>0</v>
      </c>
      <c r="FY17" s="674">
        <f>IF(AND(AND(Stamoplysninger!$B$26="Der er indgået lokalaftale omkring weekendtimer(Kræver aftale med TR/FSL). Weekendtillæg udbetales.",I17="X",C17="ikke relevant")),K17,0)</f>
        <v>0</v>
      </c>
      <c r="FZ17" s="283">
        <f>IF(AND(Stamoplysninger!$B$26="Der er indgået lokalaftale omkring weekendtillæg(Kræver aftale med TR/FSL). Weekendtimerne udbetales.",I17="X"),K17,0)</f>
        <v>0</v>
      </c>
      <c r="GA17" s="674">
        <f>IF(AND(AND(Stamoplysninger!$B$26="Der er indgået lokalaftale omkring weekendtillæg(Kræver aftale med TR/FSL). Weekendtimerne udbetales.",I17="X",C17="ikke relevant")),K17,0)</f>
        <v>0</v>
      </c>
      <c r="GB17" s="283">
        <f>IF(AND(Stamoplysninger!$B$26="Der er indgået lokalaftale omkring weekendtimer og weekendtillæg.(Kræver aftale med TR/FSL).",I17="X"),K17,0)</f>
        <v>0</v>
      </c>
      <c r="GC17" s="674">
        <f>IF(AND(AND(Stamoplysninger!$B$26="Der er indgået lokalaftale omkring weekendtimer og weekendtillæg.(Kræver aftale med TR/FSL).",I17="X",C17="ikke relevant")),K17,0)</f>
        <v>0</v>
      </c>
    </row>
    <row r="18" spans="1:185">
      <c r="A18" s="245">
        <f t="shared" si="18"/>
        <v>10</v>
      </c>
      <c r="B18" s="128" t="str">
        <f t="shared" si="0"/>
        <v>fr</v>
      </c>
      <c r="C18" s="129" t="s">
        <v>207</v>
      </c>
      <c r="D18" s="130" t="str">
        <f t="shared" si="1"/>
        <v/>
      </c>
      <c r="E18" s="917"/>
      <c r="F18" s="918"/>
      <c r="G18" s="919"/>
      <c r="H18" s="298"/>
      <c r="I18" s="527"/>
      <c r="J18" s="413"/>
      <c r="K18" s="380"/>
      <c r="L18" s="380"/>
      <c r="M18" s="380"/>
      <c r="N18" s="318">
        <f t="shared" si="19"/>
        <v>7</v>
      </c>
      <c r="O18" s="318">
        <f t="shared" si="20"/>
        <v>3</v>
      </c>
      <c r="P18" s="318">
        <f>IF(Stamoplysninger!$H$29="JA",Januar!DG18,CX18)</f>
        <v>0.83333333333333337</v>
      </c>
      <c r="Q18" s="318">
        <f t="shared" si="21"/>
        <v>3.1666666666666665</v>
      </c>
      <c r="R18" s="319"/>
      <c r="S18" s="324"/>
      <c r="T18" s="325"/>
      <c r="U18" s="325"/>
      <c r="V18" s="435"/>
      <c r="W18" s="412"/>
      <c r="X18" s="642"/>
      <c r="Y18">
        <f t="shared" si="22"/>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f>IF(AND(C18="Skema 2",B18="fr"),Arbejdstidsoversigt!$E$85,"")</f>
        <v>7</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7</v>
      </c>
      <c r="BB18" s="229">
        <f t="shared" si="8"/>
        <v>0</v>
      </c>
      <c r="BC18" s="1">
        <f t="shared" si="24"/>
        <v>0</v>
      </c>
      <c r="BD18" s="1">
        <f t="shared" si="9"/>
        <v>0</v>
      </c>
      <c r="BE18" s="1">
        <f t="shared" si="10"/>
        <v>0</v>
      </c>
      <c r="BF18" s="1">
        <f t="shared" si="11"/>
        <v>0</v>
      </c>
      <c r="BG18" s="210" t="str">
        <f>IF(AND(C18="Skema 1",B18="ma"),Skemaoplysninger!$E$30,"")</f>
        <v/>
      </c>
      <c r="BH18" s="210" t="str">
        <f>IF(AND(C18="Skema 1",B18="ti"),Skemaoplysninger!$G$30,"")</f>
        <v/>
      </c>
      <c r="BI18" s="210" t="str">
        <f>IF(AND(C18="Skema 1",B18="on"),Skemaoplysninger!$I$30,"")</f>
        <v/>
      </c>
      <c r="BJ18" s="210" t="str">
        <f>IF(AND(C18="Skema 1",B18="to"),Skemaoplysninger!$K$30,"")</f>
        <v/>
      </c>
      <c r="BK18" s="210" t="str">
        <f>IF(AND(C18="Skema 1",B18="fr"),Skemaoplysninger!$M$30,"")</f>
        <v/>
      </c>
      <c r="BL18" s="210" t="str">
        <f>IF(AND(C18="Skema 2",B18="ma"),Skemaoplysninger!$S$30,"")</f>
        <v/>
      </c>
      <c r="BM18" s="210" t="str">
        <f>IF(AND(C18="Skema 2",B18="ti"),Skemaoplysninger!$U$30,"")</f>
        <v/>
      </c>
      <c r="BN18" s="210" t="str">
        <f>IF(AND(C18="Skema 2",B18="on"),Skemaoplysninger!$W$30,"")</f>
        <v/>
      </c>
      <c r="BO18" s="210" t="str">
        <f>IF(AND(C18="Skema 2",B18="to"),Skemaoplysninger!$Y$30,"")</f>
        <v/>
      </c>
      <c r="BP18" s="210">
        <f>IF(AND(C18="Skema 2",B18="fr"),Skemaoplysninger!$AA$30,"")</f>
        <v>0.125</v>
      </c>
      <c r="BQ18" s="210" t="str">
        <f>IF(AND(C18="Skema 3",B18="ma"),Skemaoplysninger!$AG$30,"")</f>
        <v/>
      </c>
      <c r="BR18" s="210" t="str">
        <f>IF(AND(C18="Skema 3",B18="ti"),Skemaoplysninger!$AI$30,"")</f>
        <v/>
      </c>
      <c r="BS18" s="210" t="str">
        <f>IF(AND(C18="Skema 3",B18="on"),Skemaoplysninger!$AK$30,"")</f>
        <v/>
      </c>
      <c r="BT18" s="210" t="str">
        <f>IF(AND(C18="Skema 3",B18="to"),Skemaoplysninger!$AM$30,"")</f>
        <v/>
      </c>
      <c r="BU18" s="210" t="str">
        <f>IF(AND(C18="Skema 3",B18="fr"),Skemaoplysninger!$AO$30,"")</f>
        <v/>
      </c>
      <c r="BV18" s="210" t="str">
        <f>IF(AND(C18="Skema 4",B18="ma"),Skemaoplysninger!$AU$30,"")</f>
        <v/>
      </c>
      <c r="BW18" s="210" t="str">
        <f>IF(AND(C18="Skema 4",B18="ti"),Skemaoplysninger!$AW$30,"")</f>
        <v/>
      </c>
      <c r="BX18" s="210" t="str">
        <f>IF(AND(C18="Skema 4",B18="on"),Skemaoplysninger!$AY$30,"")</f>
        <v/>
      </c>
      <c r="BY18" s="210" t="str">
        <f>IF(AND(C18="Skema 4",B18="to"),Skemaoplysninger!$BA$30,"")</f>
        <v/>
      </c>
      <c r="BZ18" s="210" t="str">
        <f>IF(AND(C18="Skema 4",B18="fr"),Skemaoplysninger!$BC$30,"")</f>
        <v/>
      </c>
      <c r="CA18" s="1">
        <f t="shared" si="25"/>
        <v>3</v>
      </c>
      <c r="CB18" s="1">
        <f t="shared" si="12"/>
        <v>0</v>
      </c>
      <c r="CC18" s="1">
        <f t="shared" si="13"/>
        <v>0</v>
      </c>
      <c r="CD18" s="210" t="str">
        <f>IF(AND(C18="Skema 1",B18="ma"),Skemaoplysninger!$E$31,"")</f>
        <v/>
      </c>
      <c r="CE18" s="210" t="str">
        <f>IF(AND(C18="Skema 1",B18="ti"),Skemaoplysninger!$G$31,"")</f>
        <v/>
      </c>
      <c r="CF18" s="210" t="str">
        <f>IF(AND(C18="Skema 1",B18="on"),Skemaoplysninger!$I$31,"")</f>
        <v/>
      </c>
      <c r="CG18" s="210" t="str">
        <f>IF(AND(C18="Skema 1",B18="to"),Skemaoplysninger!$K$31,"")</f>
        <v/>
      </c>
      <c r="CH18" s="210" t="str">
        <f>IF(AND(C18="Skema 1",B18="fr"),Skemaoplysninger!$M$31,"")</f>
        <v/>
      </c>
      <c r="CI18" s="210" t="str">
        <f>IF(AND(C18="Skema 2",B18="ma"),Skemaoplysninger!$S$31,"")</f>
        <v/>
      </c>
      <c r="CJ18" s="210" t="str">
        <f>IF(AND(C18="Skema 2",B18="ti"),Skemaoplysninger!$U$31,"")</f>
        <v/>
      </c>
      <c r="CK18" s="210" t="str">
        <f>IF(AND(C18="Skema 2",B18="on"),Skemaoplysninger!$W$31,"")</f>
        <v/>
      </c>
      <c r="CL18" s="210" t="str">
        <f>IF(AND(C18="Skema 2",B18="to"),Skemaoplysninger!$Y$31,"")</f>
        <v/>
      </c>
      <c r="CM18" s="210">
        <f>IF(AND(C18="Skema 2",B18="fr"),Skemaoplysninger!$AA$31,"")</f>
        <v>3.4722222222222224E-2</v>
      </c>
      <c r="CN18" s="210" t="str">
        <f>IF(AND(C18="Skema 3",B18="ma"),Skemaoplysninger!$AG$31,"")</f>
        <v/>
      </c>
      <c r="CO18" s="210" t="str">
        <f>IF(AND(C18="Skema 3",B18="ti"),Skemaoplysninger!$AI$31,"")</f>
        <v/>
      </c>
      <c r="CP18" s="210" t="str">
        <f>IF(AND(C18="Skema 3",B18="on"),Skemaoplysninger!$AK$31,"")</f>
        <v/>
      </c>
      <c r="CQ18" s="210" t="str">
        <f>IF(AND(C18="Skema 3",B18="to"),Skemaoplysninger!$AM$31,"")</f>
        <v/>
      </c>
      <c r="CR18" s="210" t="str">
        <f>IF(AND(C18="Skema 3",B18="fr"),Skemaoplysninger!$AO$31,"")</f>
        <v/>
      </c>
      <c r="CS18" s="210" t="str">
        <f>IF(AND(C18="Skema 4",B18="ma"),Skemaoplysninger!$AU$31,"")</f>
        <v/>
      </c>
      <c r="CT18" s="210" t="str">
        <f>IF(AND(C18="Skema 4",B18="ti"),Skemaoplysninger!$AW$31,"")</f>
        <v/>
      </c>
      <c r="CU18" s="210" t="str">
        <f>IF(AND(C18="Skema 4",B18="on"),Skemaoplysninger!$AY$31,"")</f>
        <v/>
      </c>
      <c r="CV18" s="210" t="str">
        <f>IF(AND(C18="Skema 4",B18="to"),Skemaoplysninger!$BA$31,"")</f>
        <v/>
      </c>
      <c r="CW18" s="210" t="str">
        <f>IF(AND(C18="Skema 4",B18="fr"),Skemaoplysninger!$BC$31,"")</f>
        <v/>
      </c>
      <c r="CX18" s="249">
        <f>IF(Stamoplysninger!$H$29="NEJ",SUM(CD18:CW18)*24+CB18+CC18,0)</f>
        <v>0.83333333333333337</v>
      </c>
      <c r="CY18" s="249">
        <f>IF(C18="Skema 1",Stamoplysninger!$H$30/200,0)</f>
        <v>0</v>
      </c>
      <c r="CZ18" s="249">
        <f>IF(C18="Skema 2",Stamoplysninger!$H$30/200,0)</f>
        <v>0</v>
      </c>
      <c r="DA18" s="249">
        <f>IF(C18="Skema 3",Stamoplysninger!$H$30/200,0)</f>
        <v>0</v>
      </c>
      <c r="DB18" s="249">
        <f>IF(C18="Skema 4",Stamoplysninger!$H$30/200,0)</f>
        <v>0</v>
      </c>
      <c r="DC18" s="249">
        <f>IF(C18="fagdag",Stamoplysninger!$H$30/200,0)</f>
        <v>0</v>
      </c>
      <c r="DD18" s="249">
        <f>IF(C18="emnedag",Stamoplysninger!$H$30/200,0)</f>
        <v>0</v>
      </c>
      <c r="DE18" s="249">
        <f>IF(C18="lejrskole",Stamoplysninger!$H$30/200,0)</f>
        <v>0</v>
      </c>
      <c r="DF18" s="249">
        <f>IF(C18="ekskursion",Stamoplysninger!$H$30/200,0)</f>
        <v>0</v>
      </c>
      <c r="DG18" s="249">
        <f t="shared" si="26"/>
        <v>0</v>
      </c>
      <c r="DH18" t="str">
        <f t="shared" si="27"/>
        <v/>
      </c>
      <c r="DI18">
        <f t="shared" si="28"/>
        <v>0</v>
      </c>
      <c r="DJ18">
        <f t="shared" si="29"/>
        <v>0</v>
      </c>
      <c r="DK18" t="str">
        <f t="shared" si="14"/>
        <v/>
      </c>
      <c r="DL18" t="str">
        <f t="shared" si="14"/>
        <v/>
      </c>
      <c r="DM18" t="str">
        <f t="shared" si="14"/>
        <v/>
      </c>
      <c r="DN18" t="str">
        <f t="shared" si="30"/>
        <v/>
      </c>
      <c r="DO18" s="652">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71">
        <f>IF(AND(Stamoplysninger!$B$22="Ulempetillæg udbetales med 25% af nettotimelønnen.",C18="ikke relevant"),(R18)/4,0)</f>
        <v>0</v>
      </c>
      <c r="DT18" s="671">
        <f>IF(AND(AND(Stamoplysninger!$B$22="Ulempetillæg udbetales med 25% af nettotimelønnen.",I18="X",C18="Ikke relevant")),K18/4,0)</f>
        <v>0</v>
      </c>
      <c r="DU18" s="671">
        <f>IF(AND(AND(Stamoplysninger!$B$22="Ulempetillæg udbetales med 25% af nettotimelønnen.",C18="ikke relevant",U18="X")),(X18/4),0)</f>
        <v>0</v>
      </c>
      <c r="DV18" s="672">
        <f>IF(AND(AND(AND(Stamoplysninger!$B$22="Ulempetillæg udbetales med 25% af nettotimelønnen.",I18="X",C18="Ikke relevant",S18="X"))),V18/4,0)</f>
        <v>0</v>
      </c>
      <c r="DW18" s="652"/>
      <c r="DZ18" s="671"/>
      <c r="EA18" s="671"/>
      <c r="EB18" s="672"/>
      <c r="EC18" s="652">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71">
        <f>IF(AND(Stamoplysninger!$B$22="Ulempetillæg afspadseres med 25%(Kræver en aftale imellem ledelsen og den ansatte)",C18="ikke relevant"),(R18)/4,0)</f>
        <v>0</v>
      </c>
      <c r="EH18" s="671">
        <f>IF(AND(AND(Stamoplysninger!$B$22="Ulempetillæg afspadseres med 25%(Kræver en aftale imellem ledelsen og den ansatte)",I18="X",C18="Ikke relevant")),K18/4,0)</f>
        <v>0</v>
      </c>
      <c r="EI18" s="671">
        <f>IF(AND(AND(Stamoplysninger!$B$22="Ulempetillæg afspadseres med 25%(Kræver en aftale imellem ledelsen og den ansatte)",U18="X",C18="Ikke relevant")),X18/4,0)</f>
        <v>0</v>
      </c>
      <c r="EJ18" s="671">
        <f>IF(AND(AND(AND(Stamoplysninger!$B$22="Ulempetillæg afspadseres med 25%(Kræver en aftale imellem ledelsen og den ansatte)",I18="X",C18="Ikke relevant",S18="X"))),V18/4,0)</f>
        <v>0</v>
      </c>
      <c r="EK18" s="283">
        <f>IF(AND(Stamoplysninger!$B$26="Weekendtimer og weekendtillæg afspadseres.",I18="X"),K18*1.5,0)</f>
        <v>0</v>
      </c>
      <c r="EL18" s="251">
        <f>IF(AND(AND(Stamoplysninger!$B$26="Weekendtimer og weekendtillæg afspadseres.",I18="X",S18="X")),V18*1.5,0)</f>
        <v>0</v>
      </c>
      <c r="EM18" s="674">
        <f>IF(AND(AND(Stamoplysninger!$B$26="Weekendtimer og weekendtillæg afspadseres.",I18="X",C18="ikke relevant")),K18*1.5,0)</f>
        <v>0</v>
      </c>
      <c r="EN18" s="675">
        <f>IF(AND(AND(AND(Stamoplysninger!$B$26="Weekendtimer og weekendtillæg afspadseres.",I18="X",C18="ikke relevant",S18="X"))),(V18*1.5),0)</f>
        <v>0</v>
      </c>
      <c r="EO18" s="283">
        <f>IF(AND(Stamoplysninger!$B$26="Weekendtimer og weekendtillæg udbetales.",I18="X"),K18*1.5,0)</f>
        <v>0</v>
      </c>
      <c r="EP18" s="251">
        <f>IF(AND(AND(Stamoplysninger!$B$26="Weekendtimer og weekendtillæg udbetales.",I18="X",S18="X")),V18*1.5,0)</f>
        <v>0</v>
      </c>
      <c r="EQ18" s="674">
        <f>IF(AND(AND(Stamoplysninger!$B$26="Weekendtimer og weekendtillæg udbetales.",I18="X",C18="ikke relevant")),K18*1.5,0)</f>
        <v>0</v>
      </c>
      <c r="ER18" s="675">
        <f>IF(AND(AND(AND(Stamoplysninger!$B$26="Weekendtimer og weekendtillæg udbetales.",I18="X",C18="ikke relevant",S18="X"))),(V18*1.5),0)</f>
        <v>0</v>
      </c>
      <c r="ES18" s="283">
        <f>IF(AND(Stamoplysninger!$B$26="Der er indgået lokalaftale omkring weekendtimer.(Kræver aftale med TR/FSL) Weekendtillæg afspadseres.",I18="X"),K18*0.5,0)</f>
        <v>0</v>
      </c>
      <c r="ET18" s="251">
        <f>IF(AND(AND(Stamoplysninger!$B$26="Der er indgået lokalaftale omkring weekendtimer.(Kræver aftale med TR/FSL) Weekendtillæg afspadseres.",I18="X",S18="X")),V18*0.5,0)</f>
        <v>0</v>
      </c>
      <c r="EU18" s="674">
        <f>IF(AND(AND(Stamoplysninger!$B$26="Der er indgået lokalaftale omkring weekendtimer.(Kræver aftale med TR/FSL) Weekendtillæg afspadseres.",I18="X",C18="ikke relevant")),K18*0.5,0)</f>
        <v>0</v>
      </c>
      <c r="EV18" s="675">
        <f>IF(AND(AND(AND(Stamoplysninger!$B$26="Der er indgået lokalaftale omkring weekendtimer.(Kræver aftale med TR/FSL) Weekendtillæg afspadseres.",I18="X",C18="ikke relevant",S18="X"))),(V18*0.5),0)</f>
        <v>0</v>
      </c>
      <c r="EW18" s="283">
        <f>IF(AND(Stamoplysninger!$B$26="Der er indgået lokalaftale omkring weekendtimer(Kræver aftale med TR/FSL). Weekendtillæg udbetales.",I18="X"),K18*0.5,0)</f>
        <v>0</v>
      </c>
      <c r="EX18" s="251">
        <f>IF(AND(AND(Stamoplysninger!$B$26="Der er indgået lokalaftale omkring weekendtimer(Kræver aftale med TR/FSL). Weekendtillæg udbetales.",I18="X",S18="X")),V18*0.5,0)</f>
        <v>0</v>
      </c>
      <c r="EY18" s="674">
        <f>IF(AND(AND(Stamoplysninger!$B$26="Der er indgået lokalaftale omkring weekendtimer(Kræver aftale med TR/FSL). Weekendtillæg udbetales.",I18="X",C18="ikke relevant")),K18*0.5,0)</f>
        <v>0</v>
      </c>
      <c r="EZ18" s="675">
        <f>IF(AND(AND(AND(Stamoplysninger!$B$26="Der er indgået lokalaftale omkring weekendtimer(Kræver aftale med TR/FSL). Weekendtillæg udbetales.",I18="X",C18="ikke relevant",S18="X"))),(V18*0.5),0)</f>
        <v>0</v>
      </c>
      <c r="FA18" s="283">
        <f>IF(AND(Stamoplysninger!$B$26="Der er indgået lokalaftale omkring weekendtillæg(Kræver aftale med TR/FSL). Weekendtimerne afspadseres.",I18="X"),K18,0)</f>
        <v>0</v>
      </c>
      <c r="FB18" s="251">
        <f>IF(AND(AND(Stamoplysninger!$B$26="Der er indgået lokalaftale omkring weekendtillæg(Kræver aftale med TR/FSL). Weekendtimerne afspadseres.",I18="X",S18="X")),V18,0)</f>
        <v>0</v>
      </c>
      <c r="FC18" s="674">
        <f>IF(AND(AND(Stamoplysninger!$B$26="Der er indgået lokalaftale omkring weekendtillæg(Kræver aftale med TR/FSL). Weekendtimerne afspadseres..",I18="X",C18="ikke relevant")),K18,0)</f>
        <v>0</v>
      </c>
      <c r="FD18" s="675">
        <f>IF(AND(AND(AND(Stamoplysninger!$B$26="Der er indgået lokalaftale omkring weekendtillæg(Kræver aftale med TR/FSL). Weekendtimerne afspadseres.",I18="X",C18="ikke relevant",S18="X"))),(V18),0)</f>
        <v>0</v>
      </c>
      <c r="FE18" s="283">
        <f>IF(AND(Stamoplysninger!$B$26="Der er indgået lokalaftale omkring weekendtillæg(Kræver aftale med TR/FSL). Weekendtimerne udbetales.",I18="X"),K18,0)</f>
        <v>0</v>
      </c>
      <c r="FF18" s="251">
        <f>IF(AND(AND(Stamoplysninger!$B$26="Der er indgået lokalaftale omkring weekendtillæg(Kræver aftale med TR/FSL). Weekendtimerne udbetales.",I18="X",S18="X")),V18,0)</f>
        <v>0</v>
      </c>
      <c r="FG18" s="674">
        <f>IF(AND(AND(Stamoplysninger!$B$26="Der er indgået lokalaftale omkring weekendtillæg(Kræver aftale med TR/FSL). Weekendtimerne udbetales.",I18="X",C18="ikke relevant")),K18,0)</f>
        <v>0</v>
      </c>
      <c r="FH18" s="675">
        <f>IF(AND(AND(AND(Stamoplysninger!$B$26="Der er indgået lokalaftale omkring weekendtillæg(Kræver aftale med TR/FSL). Weekendtimerne udbetales.",I18="X",C18="ikke relevant",S18="X"))),(V18),0)</f>
        <v>0</v>
      </c>
      <c r="FI18" s="283">
        <f>IF(AND(Stamoplysninger!$B$26="Weekendtimer og weekendtillæg afspadseres.",I18="X"),K18,0)</f>
        <v>0</v>
      </c>
      <c r="FJ18" s="251">
        <f>IF(AND(Stamoplysninger!$B$26="Weekendtimer og weekendtillæg afspadseres.",Y18="X"),(AA18+AL18)/2,0)</f>
        <v>0</v>
      </c>
      <c r="FK18" s="674">
        <f>IF(AND(AND(Stamoplysninger!$B$26="Weekendtimer og weekendtillæg afspadseres.",I18="X",C18="ikke relevant")),K18,0)</f>
        <v>0</v>
      </c>
      <c r="FL18" s="675">
        <f>IF(AND(AND(Stamoplysninger!$B$26="Weekendtimer og weekendtillæg afspadseres.",Y18="X",S18="ikke relevant")),(AA18+AL18)/2,0)</f>
        <v>0</v>
      </c>
      <c r="FM18" s="283">
        <f>IF(AND(Stamoplysninger!$B$26="Der er indgået lokalaftale omkring weekendtillæg(Kræver aftale med TR/FSL). Weekendtimerne afspadseres.",I18="X"),K18,0)</f>
        <v>0</v>
      </c>
      <c r="FN18" s="674">
        <f>IF(AND(AND(Stamoplysninger!$B$26="Der er indgået lokalaftale omkring weekendtillæg(Kræver aftale med TR/FSL). Weekendtimerne afspadseres.",I18="X",C18="ikke relevant")),K18,0)</f>
        <v>0</v>
      </c>
      <c r="FO18" s="283">
        <f>IF(AND(Stamoplysninger!$B$26="Weekendtimer og weekendtillæg udbetales.",I18="X"),K18,0)</f>
        <v>0</v>
      </c>
      <c r="FP18" s="251">
        <f>IF(AND(Stamoplysninger!$B$26="Weekendtimer og weekendtillæg udbetales.",AA18="X"),(AC18+AN18)/2,0)</f>
        <v>0</v>
      </c>
      <c r="FQ18" s="674">
        <f>IF(AND(AND(Stamoplysninger!$B$26="Weekendtimer og weekendtillæg udbetales.",I18="X",C18="ikke relevant")),K18,0)</f>
        <v>0</v>
      </c>
      <c r="FR18" s="688">
        <f>IF(AND(AND(Stamoplysninger!$B$26="Weekendtimer og weekendtillæg udbetales.",AA18="X",U18="ikke relevant")),(AC18+AN18)/2,0)</f>
        <v>0</v>
      </c>
      <c r="FS18" s="283">
        <f t="shared" si="15"/>
        <v>0</v>
      </c>
      <c r="FT18" s="658">
        <f t="shared" si="16"/>
        <v>0</v>
      </c>
      <c r="FU18">
        <f t="shared" si="17"/>
        <v>0</v>
      </c>
      <c r="FV18" s="283">
        <f>IF(AND(Stamoplysninger!$B$26="Der er indgået lokalaftale omkring weekendtimer.(Kræver aftale med TR/FSL) Weekendtillæg afspadseres.",I18="X"),K18,0)</f>
        <v>0</v>
      </c>
      <c r="FW18" s="674">
        <f>IF(AND(AND(Stamoplysninger!$B$26="Der er indgået lokalaftale omkring weekendtimer.(Kræver aftale med TR/FSL) Weekendtillæg afspadseres.",I18="X",C18="ikke relevant")),K18,0)</f>
        <v>0</v>
      </c>
      <c r="FX18" s="283">
        <f>IF(AND(Stamoplysninger!$B$26="Der er indgået lokalaftale omkring weekendtimer(Kræver aftale med TR/FSL). Weekendtillæg udbetales.",I18="X"),K18,0)</f>
        <v>0</v>
      </c>
      <c r="FY18" s="674">
        <f>IF(AND(AND(Stamoplysninger!$B$26="Der er indgået lokalaftale omkring weekendtimer(Kræver aftale med TR/FSL). Weekendtillæg udbetales.",I18="X",C18="ikke relevant")),K18,0)</f>
        <v>0</v>
      </c>
      <c r="FZ18" s="283">
        <f>IF(AND(Stamoplysninger!$B$26="Der er indgået lokalaftale omkring weekendtillæg(Kræver aftale med TR/FSL). Weekendtimerne udbetales.",I18="X"),K18,0)</f>
        <v>0</v>
      </c>
      <c r="GA18" s="674">
        <f>IF(AND(AND(Stamoplysninger!$B$26="Der er indgået lokalaftale omkring weekendtillæg(Kræver aftale med TR/FSL). Weekendtimerne udbetales.",I18="X",C18="ikke relevant")),K18,0)</f>
        <v>0</v>
      </c>
      <c r="GB18" s="283">
        <f>IF(AND(Stamoplysninger!$B$26="Der er indgået lokalaftale omkring weekendtimer og weekendtillæg.(Kræver aftale med TR/FSL).",I18="X"),K18,0)</f>
        <v>0</v>
      </c>
      <c r="GC18" s="674">
        <f>IF(AND(AND(Stamoplysninger!$B$26="Der er indgået lokalaftale omkring weekendtimer og weekendtillæg.(Kræver aftale med TR/FSL).",I18="X",C18="ikke relevant")),K18,0)</f>
        <v>0</v>
      </c>
    </row>
    <row r="19" spans="1:185">
      <c r="A19" s="245">
        <f t="shared" si="18"/>
        <v>11</v>
      </c>
      <c r="B19" s="128" t="str">
        <f t="shared" si="0"/>
        <v>lø</v>
      </c>
      <c r="C19" s="129" t="s">
        <v>120</v>
      </c>
      <c r="D19" s="130" t="str">
        <f t="shared" si="1"/>
        <v/>
      </c>
      <c r="E19" s="917"/>
      <c r="F19" s="918"/>
      <c r="G19" s="919"/>
      <c r="H19" s="298"/>
      <c r="I19" s="413"/>
      <c r="J19" s="413"/>
      <c r="K19" s="380"/>
      <c r="L19" s="380"/>
      <c r="M19" s="380"/>
      <c r="N19" s="318">
        <f t="shared" si="19"/>
        <v>0</v>
      </c>
      <c r="O19" s="318">
        <f t="shared" si="20"/>
        <v>0</v>
      </c>
      <c r="P19" s="318">
        <f>IF(Stamoplysninger!$H$29="JA",Januar!DG19,CX19)</f>
        <v>0</v>
      </c>
      <c r="Q19" s="318">
        <f t="shared" si="21"/>
        <v>0</v>
      </c>
      <c r="R19" s="319"/>
      <c r="S19" s="324"/>
      <c r="T19" s="325"/>
      <c r="U19" s="325"/>
      <c r="V19" s="435"/>
      <c r="W19" s="412"/>
      <c r="X19" s="642"/>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9">
        <f t="shared" si="8"/>
        <v>0</v>
      </c>
      <c r="BC19" s="1">
        <f t="shared" si="24"/>
        <v>0</v>
      </c>
      <c r="BD19" s="1">
        <f t="shared" si="9"/>
        <v>0</v>
      </c>
      <c r="BE19" s="1">
        <f t="shared" si="10"/>
        <v>0</v>
      </c>
      <c r="BF19" s="1">
        <f t="shared" si="11"/>
        <v>0</v>
      </c>
      <c r="BG19" s="210" t="str">
        <f>IF(AND(C19="Skema 1",B19="ma"),Skemaoplysninger!$E$30,"")</f>
        <v/>
      </c>
      <c r="BH19" s="210" t="str">
        <f>IF(AND(C19="Skema 1",B19="ti"),Skemaoplysninger!$G$30,"")</f>
        <v/>
      </c>
      <c r="BI19" s="210" t="str">
        <f>IF(AND(C19="Skema 1",B19="on"),Skemaoplysninger!$I$30,"")</f>
        <v/>
      </c>
      <c r="BJ19" s="210" t="str">
        <f>IF(AND(C19="Skema 1",B19="to"),Skemaoplysninger!$K$30,"")</f>
        <v/>
      </c>
      <c r="BK19" s="210" t="str">
        <f>IF(AND(C19="Skema 1",B19="fr"),Skemaoplysninger!$M$30,"")</f>
        <v/>
      </c>
      <c r="BL19" s="210" t="str">
        <f>IF(AND(C19="Skema 2",B19="ma"),Skemaoplysninger!$S$30,"")</f>
        <v/>
      </c>
      <c r="BM19" s="210" t="str">
        <f>IF(AND(C19="Skema 2",B19="ti"),Skemaoplysninger!$U$30,"")</f>
        <v/>
      </c>
      <c r="BN19" s="210" t="str">
        <f>IF(AND(C19="Skema 2",B19="on"),Skemaoplysninger!$W$30,"")</f>
        <v/>
      </c>
      <c r="BO19" s="210" t="str">
        <f>IF(AND(C19="Skema 2",B19="to"),Skemaoplysninger!$Y$30,"")</f>
        <v/>
      </c>
      <c r="BP19" s="210" t="str">
        <f>IF(AND(C19="Skema 2",B19="fr"),Skemaoplysninger!$AA$30,"")</f>
        <v/>
      </c>
      <c r="BQ19" s="210" t="str">
        <f>IF(AND(C19="Skema 3",B19="ma"),Skemaoplysninger!$AG$30,"")</f>
        <v/>
      </c>
      <c r="BR19" s="210" t="str">
        <f>IF(AND(C19="Skema 3",B19="ti"),Skemaoplysninger!$AI$30,"")</f>
        <v/>
      </c>
      <c r="BS19" s="210" t="str">
        <f>IF(AND(C19="Skema 3",B19="on"),Skemaoplysninger!$AK$30,"")</f>
        <v/>
      </c>
      <c r="BT19" s="210" t="str">
        <f>IF(AND(C19="Skema 3",B19="to"),Skemaoplysninger!$AM$30,"")</f>
        <v/>
      </c>
      <c r="BU19" s="210" t="str">
        <f>IF(AND(C19="Skema 3",B19="fr"),Skemaoplysninger!$AO$30,"")</f>
        <v/>
      </c>
      <c r="BV19" s="210" t="str">
        <f>IF(AND(C19="Skema 4",B19="ma"),Skemaoplysninger!$AU$30,"")</f>
        <v/>
      </c>
      <c r="BW19" s="210" t="str">
        <f>IF(AND(C19="Skema 4",B19="ti"),Skemaoplysninger!$AW$30,"")</f>
        <v/>
      </c>
      <c r="BX19" s="210" t="str">
        <f>IF(AND(C19="Skema 4",B19="on"),Skemaoplysninger!$AY$30,"")</f>
        <v/>
      </c>
      <c r="BY19" s="210" t="str">
        <f>IF(AND(C19="Skema 4",B19="to"),Skemaoplysninger!$BA$30,"")</f>
        <v/>
      </c>
      <c r="BZ19" s="210" t="str">
        <f>IF(AND(C19="Skema 4",B19="fr"),Skemaoplysninger!$BC$30,"")</f>
        <v/>
      </c>
      <c r="CA19" s="1">
        <f t="shared" si="25"/>
        <v>0</v>
      </c>
      <c r="CB19" s="1">
        <f t="shared" si="12"/>
        <v>0</v>
      </c>
      <c r="CC19" s="1">
        <f t="shared" si="13"/>
        <v>0</v>
      </c>
      <c r="CD19" s="210" t="str">
        <f>IF(AND(C19="Skema 1",B19="ma"),Skemaoplysninger!$E$31,"")</f>
        <v/>
      </c>
      <c r="CE19" s="210" t="str">
        <f>IF(AND(C19="Skema 1",B19="ti"),Skemaoplysninger!$G$31,"")</f>
        <v/>
      </c>
      <c r="CF19" s="210" t="str">
        <f>IF(AND(C19="Skema 1",B19="on"),Skemaoplysninger!$I$31,"")</f>
        <v/>
      </c>
      <c r="CG19" s="210" t="str">
        <f>IF(AND(C19="Skema 1",B19="to"),Skemaoplysninger!$K$31,"")</f>
        <v/>
      </c>
      <c r="CH19" s="210" t="str">
        <f>IF(AND(C19="Skema 1",B19="fr"),Skemaoplysninger!$M$31,"")</f>
        <v/>
      </c>
      <c r="CI19" s="210" t="str">
        <f>IF(AND(C19="Skema 2",B19="ma"),Skemaoplysninger!$S$31,"")</f>
        <v/>
      </c>
      <c r="CJ19" s="210" t="str">
        <f>IF(AND(C19="Skema 2",B19="ti"),Skemaoplysninger!$U$31,"")</f>
        <v/>
      </c>
      <c r="CK19" s="210" t="str">
        <f>IF(AND(C19="Skema 2",B19="on"),Skemaoplysninger!$W$31,"")</f>
        <v/>
      </c>
      <c r="CL19" s="210" t="str">
        <f>IF(AND(C19="Skema 2",B19="to"),Skemaoplysninger!$Y$31,"")</f>
        <v/>
      </c>
      <c r="CM19" s="210" t="str">
        <f>IF(AND(C19="Skema 2",B19="fr"),Skemaoplysninger!$AA$31,"")</f>
        <v/>
      </c>
      <c r="CN19" s="210" t="str">
        <f>IF(AND(C19="Skema 3",B19="ma"),Skemaoplysninger!$AG$31,"")</f>
        <v/>
      </c>
      <c r="CO19" s="210" t="str">
        <f>IF(AND(C19="Skema 3",B19="ti"),Skemaoplysninger!$AI$31,"")</f>
        <v/>
      </c>
      <c r="CP19" s="210" t="str">
        <f>IF(AND(C19="Skema 3",B19="on"),Skemaoplysninger!$AK$31,"")</f>
        <v/>
      </c>
      <c r="CQ19" s="210" t="str">
        <f>IF(AND(C19="Skema 3",B19="to"),Skemaoplysninger!$AM$31,"")</f>
        <v/>
      </c>
      <c r="CR19" s="210" t="str">
        <f>IF(AND(C19="Skema 3",B19="fr"),Skemaoplysninger!$AO$31,"")</f>
        <v/>
      </c>
      <c r="CS19" s="210" t="str">
        <f>IF(AND(C19="Skema 4",B19="ma"),Skemaoplysninger!$AU$31,"")</f>
        <v/>
      </c>
      <c r="CT19" s="210" t="str">
        <f>IF(AND(C19="Skema 4",B19="ti"),Skemaoplysninger!$AW$31,"")</f>
        <v/>
      </c>
      <c r="CU19" s="210" t="str">
        <f>IF(AND(C19="Skema 4",B19="on"),Skemaoplysninger!$AY$31,"")</f>
        <v/>
      </c>
      <c r="CV19" s="210" t="str">
        <f>IF(AND(C19="Skema 4",B19="to"),Skemaoplysninger!$BA$31,"")</f>
        <v/>
      </c>
      <c r="CW19" s="210" t="str">
        <f>IF(AND(C19="Skema 4",B19="fr"),Skemaoplysninger!$BC$31,"")</f>
        <v/>
      </c>
      <c r="CX19" s="249">
        <f>IF(Stamoplysninger!$H$29="NEJ",SUM(CD19:CW19)*24+CB19+CC19,0)</f>
        <v>0</v>
      </c>
      <c r="CY19" s="249">
        <f>IF(C19="Skema 1",Stamoplysninger!$H$30/200,0)</f>
        <v>0</v>
      </c>
      <c r="CZ19" s="249">
        <f>IF(C19="Skema 2",Stamoplysninger!$H$30/200,0)</f>
        <v>0</v>
      </c>
      <c r="DA19" s="249">
        <f>IF(C19="Skema 3",Stamoplysninger!$H$30/200,0)</f>
        <v>0</v>
      </c>
      <c r="DB19" s="249">
        <f>IF(C19="Skema 4",Stamoplysninger!$H$30/200,0)</f>
        <v>0</v>
      </c>
      <c r="DC19" s="249">
        <f>IF(C19="fagdag",Stamoplysninger!$H$30/200,0)</f>
        <v>0</v>
      </c>
      <c r="DD19" s="249">
        <f>IF(C19="emnedag",Stamoplysninger!$H$30/200,0)</f>
        <v>0</v>
      </c>
      <c r="DE19" s="249">
        <f>IF(C19="lejrskole",Stamoplysninger!$H$30/200,0)</f>
        <v>0</v>
      </c>
      <c r="DF19" s="249">
        <f>IF(C19="ekskursion",Stamoplysninger!$H$30/200,0)</f>
        <v>0</v>
      </c>
      <c r="DG19" s="249">
        <f t="shared" si="26"/>
        <v>0</v>
      </c>
      <c r="DH19" t="str">
        <f t="shared" si="27"/>
        <v/>
      </c>
      <c r="DI19">
        <f t="shared" si="28"/>
        <v>0</v>
      </c>
      <c r="DJ19">
        <f t="shared" si="29"/>
        <v>0</v>
      </c>
      <c r="DK19" t="str">
        <f t="shared" si="14"/>
        <v/>
      </c>
      <c r="DL19" t="str">
        <f t="shared" si="14"/>
        <v/>
      </c>
      <c r="DM19" t="str">
        <f t="shared" si="14"/>
        <v/>
      </c>
      <c r="DN19" t="str">
        <f t="shared" si="30"/>
        <v/>
      </c>
      <c r="DO19" s="652">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71">
        <f>IF(AND(Stamoplysninger!$B$22="Ulempetillæg udbetales med 25% af nettotimelønnen.",C19="ikke relevant"),(R19)/4,0)</f>
        <v>0</v>
      </c>
      <c r="DT19" s="671">
        <f>IF(AND(AND(Stamoplysninger!$B$22="Ulempetillæg udbetales med 25% af nettotimelønnen.",I19="X",C19="Ikke relevant")),K19/4,0)</f>
        <v>0</v>
      </c>
      <c r="DU19" s="671">
        <f>IF(AND(AND(Stamoplysninger!$B$22="Ulempetillæg udbetales med 25% af nettotimelønnen.",C19="ikke relevant",U19="X")),(X19/4),0)</f>
        <v>0</v>
      </c>
      <c r="DV19" s="672">
        <f>IF(AND(AND(AND(Stamoplysninger!$B$22="Ulempetillæg udbetales med 25% af nettotimelønnen.",I19="X",C19="Ikke relevant",S19="X"))),V19/4,0)</f>
        <v>0</v>
      </c>
      <c r="DW19" s="652"/>
      <c r="DZ19" s="671"/>
      <c r="EA19" s="671"/>
      <c r="EB19" s="672"/>
      <c r="EC19" s="652">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71">
        <f>IF(AND(Stamoplysninger!$B$22="Ulempetillæg afspadseres med 25%(Kræver en aftale imellem ledelsen og den ansatte)",C19="ikke relevant"),(R19)/4,0)</f>
        <v>0</v>
      </c>
      <c r="EH19" s="671">
        <f>IF(AND(AND(Stamoplysninger!$B$22="Ulempetillæg afspadseres med 25%(Kræver en aftale imellem ledelsen og den ansatte)",I19="X",C19="Ikke relevant")),K19/4,0)</f>
        <v>0</v>
      </c>
      <c r="EI19" s="671">
        <f>IF(AND(AND(Stamoplysninger!$B$22="Ulempetillæg afspadseres med 25%(Kræver en aftale imellem ledelsen og den ansatte)",U19="X",C19="Ikke relevant")),X19/4,0)</f>
        <v>0</v>
      </c>
      <c r="EJ19" s="671">
        <f>IF(AND(AND(AND(Stamoplysninger!$B$22="Ulempetillæg afspadseres med 25%(Kræver en aftale imellem ledelsen og den ansatte)",I19="X",C19="Ikke relevant",S19="X"))),V19/4,0)</f>
        <v>0</v>
      </c>
      <c r="EK19" s="283">
        <f>IF(AND(Stamoplysninger!$B$26="Weekendtimer og weekendtillæg afspadseres.",I19="X"),K19*1.5,0)</f>
        <v>0</v>
      </c>
      <c r="EL19" s="251">
        <f>IF(AND(AND(Stamoplysninger!$B$26="Weekendtimer og weekendtillæg afspadseres.",I19="X",S19="X")),V19*1.5,0)</f>
        <v>0</v>
      </c>
      <c r="EM19" s="674">
        <f>IF(AND(AND(Stamoplysninger!$B$26="Weekendtimer og weekendtillæg afspadseres.",I19="X",C19="ikke relevant")),K19*1.5,0)</f>
        <v>0</v>
      </c>
      <c r="EN19" s="675">
        <f>IF(AND(AND(AND(Stamoplysninger!$B$26="Weekendtimer og weekendtillæg afspadseres.",I19="X",C19="ikke relevant",S19="X"))),(V19*1.5),0)</f>
        <v>0</v>
      </c>
      <c r="EO19" s="283">
        <f>IF(AND(Stamoplysninger!$B$26="Weekendtimer og weekendtillæg udbetales.",I19="X"),K19*1.5,0)</f>
        <v>0</v>
      </c>
      <c r="EP19" s="251">
        <f>IF(AND(AND(Stamoplysninger!$B$26="Weekendtimer og weekendtillæg udbetales.",I19="X",S19="X")),V19*1.5,0)</f>
        <v>0</v>
      </c>
      <c r="EQ19" s="674">
        <f>IF(AND(AND(Stamoplysninger!$B$26="Weekendtimer og weekendtillæg udbetales.",I19="X",C19="ikke relevant")),K19*1.5,0)</f>
        <v>0</v>
      </c>
      <c r="ER19" s="675">
        <f>IF(AND(AND(AND(Stamoplysninger!$B$26="Weekendtimer og weekendtillæg udbetales.",I19="X",C19="ikke relevant",S19="X"))),(V19*1.5),0)</f>
        <v>0</v>
      </c>
      <c r="ES19" s="283">
        <f>IF(AND(Stamoplysninger!$B$26="Der er indgået lokalaftale omkring weekendtimer.(Kræver aftale med TR/FSL) Weekendtillæg afspadseres.",I19="X"),K19*0.5,0)</f>
        <v>0</v>
      </c>
      <c r="ET19" s="251">
        <f>IF(AND(AND(Stamoplysninger!$B$26="Der er indgået lokalaftale omkring weekendtimer.(Kræver aftale med TR/FSL) Weekendtillæg afspadseres.",I19="X",S19="X")),V19*0.5,0)</f>
        <v>0</v>
      </c>
      <c r="EU19" s="674">
        <f>IF(AND(AND(Stamoplysninger!$B$26="Der er indgået lokalaftale omkring weekendtimer.(Kræver aftale med TR/FSL) Weekendtillæg afspadseres.",I19="X",C19="ikke relevant")),K19*0.5,0)</f>
        <v>0</v>
      </c>
      <c r="EV19" s="675">
        <f>IF(AND(AND(AND(Stamoplysninger!$B$26="Der er indgået lokalaftale omkring weekendtimer.(Kræver aftale med TR/FSL) Weekendtillæg afspadseres.",I19="X",C19="ikke relevant",S19="X"))),(V19*0.5),0)</f>
        <v>0</v>
      </c>
      <c r="EW19" s="283">
        <f>IF(AND(Stamoplysninger!$B$26="Der er indgået lokalaftale omkring weekendtimer(Kræver aftale med TR/FSL). Weekendtillæg udbetales.",I19="X"),K19*0.5,0)</f>
        <v>0</v>
      </c>
      <c r="EX19" s="251">
        <f>IF(AND(AND(Stamoplysninger!$B$26="Der er indgået lokalaftale omkring weekendtimer(Kræver aftale med TR/FSL). Weekendtillæg udbetales.",I19="X",S19="X")),V19*0.5,0)</f>
        <v>0</v>
      </c>
      <c r="EY19" s="674">
        <f>IF(AND(AND(Stamoplysninger!$B$26="Der er indgået lokalaftale omkring weekendtimer(Kræver aftale med TR/FSL). Weekendtillæg udbetales.",I19="X",C19="ikke relevant")),K19*0.5,0)</f>
        <v>0</v>
      </c>
      <c r="EZ19" s="675">
        <f>IF(AND(AND(AND(Stamoplysninger!$B$26="Der er indgået lokalaftale omkring weekendtimer(Kræver aftale med TR/FSL). Weekendtillæg udbetales.",I19="X",C19="ikke relevant",S19="X"))),(V19*0.5),0)</f>
        <v>0</v>
      </c>
      <c r="FA19" s="283">
        <f>IF(AND(Stamoplysninger!$B$26="Der er indgået lokalaftale omkring weekendtillæg(Kræver aftale med TR/FSL). Weekendtimerne afspadseres.",I19="X"),K19,0)</f>
        <v>0</v>
      </c>
      <c r="FB19" s="251">
        <f>IF(AND(AND(Stamoplysninger!$B$26="Der er indgået lokalaftale omkring weekendtillæg(Kræver aftale med TR/FSL). Weekendtimerne afspadseres.",I19="X",S19="X")),V19,0)</f>
        <v>0</v>
      </c>
      <c r="FC19" s="674">
        <f>IF(AND(AND(Stamoplysninger!$B$26="Der er indgået lokalaftale omkring weekendtillæg(Kræver aftale med TR/FSL). Weekendtimerne afspadseres..",I19="X",C19="ikke relevant")),K19,0)</f>
        <v>0</v>
      </c>
      <c r="FD19" s="675">
        <f>IF(AND(AND(AND(Stamoplysninger!$B$26="Der er indgået lokalaftale omkring weekendtillæg(Kræver aftale med TR/FSL). Weekendtimerne afspadseres.",I19="X",C19="ikke relevant",S19="X"))),(V19),0)</f>
        <v>0</v>
      </c>
      <c r="FE19" s="283">
        <f>IF(AND(Stamoplysninger!$B$26="Der er indgået lokalaftale omkring weekendtillæg(Kræver aftale med TR/FSL). Weekendtimerne udbetales.",I19="X"),K19,0)</f>
        <v>0</v>
      </c>
      <c r="FF19" s="251">
        <f>IF(AND(AND(Stamoplysninger!$B$26="Der er indgået lokalaftale omkring weekendtillæg(Kræver aftale med TR/FSL). Weekendtimerne udbetales.",I19="X",S19="X")),V19,0)</f>
        <v>0</v>
      </c>
      <c r="FG19" s="674">
        <f>IF(AND(AND(Stamoplysninger!$B$26="Der er indgået lokalaftale omkring weekendtillæg(Kræver aftale med TR/FSL). Weekendtimerne udbetales.",I19="X",C19="ikke relevant")),K19,0)</f>
        <v>0</v>
      </c>
      <c r="FH19" s="675">
        <f>IF(AND(AND(AND(Stamoplysninger!$B$26="Der er indgået lokalaftale omkring weekendtillæg(Kræver aftale med TR/FSL). Weekendtimerne udbetales.",I19="X",C19="ikke relevant",S19="X"))),(V19),0)</f>
        <v>0</v>
      </c>
      <c r="FI19" s="283">
        <f>IF(AND(Stamoplysninger!$B$26="Weekendtimer og weekendtillæg afspadseres.",I19="X"),K19,0)</f>
        <v>0</v>
      </c>
      <c r="FJ19" s="251">
        <f>IF(AND(Stamoplysninger!$B$26="Weekendtimer og weekendtillæg afspadseres.",Y19="X"),(AA19+AL19)/2,0)</f>
        <v>0</v>
      </c>
      <c r="FK19" s="674">
        <f>IF(AND(AND(Stamoplysninger!$B$26="Weekendtimer og weekendtillæg afspadseres.",I19="X",C19="ikke relevant")),K19,0)</f>
        <v>0</v>
      </c>
      <c r="FL19" s="675">
        <f>IF(AND(AND(Stamoplysninger!$B$26="Weekendtimer og weekendtillæg afspadseres.",Y19="X",S19="ikke relevant")),(AA19+AL19)/2,0)</f>
        <v>0</v>
      </c>
      <c r="FM19" s="283">
        <f>IF(AND(Stamoplysninger!$B$26="Der er indgået lokalaftale omkring weekendtillæg(Kræver aftale med TR/FSL). Weekendtimerne afspadseres.",I19="X"),K19,0)</f>
        <v>0</v>
      </c>
      <c r="FN19" s="674">
        <f>IF(AND(AND(Stamoplysninger!$B$26="Der er indgået lokalaftale omkring weekendtillæg(Kræver aftale med TR/FSL). Weekendtimerne afspadseres.",I19="X",C19="ikke relevant")),K19,0)</f>
        <v>0</v>
      </c>
      <c r="FO19" s="283">
        <f>IF(AND(Stamoplysninger!$B$26="Weekendtimer og weekendtillæg udbetales.",I19="X"),K19,0)</f>
        <v>0</v>
      </c>
      <c r="FP19" s="251">
        <f>IF(AND(Stamoplysninger!$B$26="Weekendtimer og weekendtillæg udbetales.",AA19="X"),(AC19+AN19)/2,0)</f>
        <v>0</v>
      </c>
      <c r="FQ19" s="674">
        <f>IF(AND(AND(Stamoplysninger!$B$26="Weekendtimer og weekendtillæg udbetales.",I19="X",C19="ikke relevant")),K19,0)</f>
        <v>0</v>
      </c>
      <c r="FR19" s="688">
        <f>IF(AND(AND(Stamoplysninger!$B$26="Weekendtimer og weekendtillæg udbetales.",AA19="X",U19="ikke relevant")),(AC19+AN19)/2,0)</f>
        <v>0</v>
      </c>
      <c r="FS19" s="283">
        <f t="shared" si="15"/>
        <v>0</v>
      </c>
      <c r="FT19" s="658">
        <f t="shared" si="16"/>
        <v>0</v>
      </c>
      <c r="FU19">
        <f t="shared" si="17"/>
        <v>0</v>
      </c>
      <c r="FV19" s="283">
        <f>IF(AND(Stamoplysninger!$B$26="Der er indgået lokalaftale omkring weekendtimer.(Kræver aftale med TR/FSL) Weekendtillæg afspadseres.",I19="X"),K19,0)</f>
        <v>0</v>
      </c>
      <c r="FW19" s="674">
        <f>IF(AND(AND(Stamoplysninger!$B$26="Der er indgået lokalaftale omkring weekendtimer.(Kræver aftale med TR/FSL) Weekendtillæg afspadseres.",I19="X",C19="ikke relevant")),K19,0)</f>
        <v>0</v>
      </c>
      <c r="FX19" s="283">
        <f>IF(AND(Stamoplysninger!$B$26="Der er indgået lokalaftale omkring weekendtimer(Kræver aftale med TR/FSL). Weekendtillæg udbetales.",I19="X"),K19,0)</f>
        <v>0</v>
      </c>
      <c r="FY19" s="674">
        <f>IF(AND(AND(Stamoplysninger!$B$26="Der er indgået lokalaftale omkring weekendtimer(Kræver aftale med TR/FSL). Weekendtillæg udbetales.",I19="X",C19="ikke relevant")),K19,0)</f>
        <v>0</v>
      </c>
      <c r="FZ19" s="283">
        <f>IF(AND(Stamoplysninger!$B$26="Der er indgået lokalaftale omkring weekendtillæg(Kræver aftale med TR/FSL). Weekendtimerne udbetales.",I19="X"),K19,0)</f>
        <v>0</v>
      </c>
      <c r="GA19" s="674">
        <f>IF(AND(AND(Stamoplysninger!$B$26="Der er indgået lokalaftale omkring weekendtillæg(Kræver aftale med TR/FSL). Weekendtimerne udbetales.",I19="X",C19="ikke relevant")),K19,0)</f>
        <v>0</v>
      </c>
      <c r="GB19" s="283">
        <f>IF(AND(Stamoplysninger!$B$26="Der er indgået lokalaftale omkring weekendtimer og weekendtillæg.(Kræver aftale med TR/FSL).",I19="X"),K19,0)</f>
        <v>0</v>
      </c>
      <c r="GC19" s="674">
        <f>IF(AND(AND(Stamoplysninger!$B$26="Der er indgået lokalaftale omkring weekendtimer og weekendtillæg.(Kræver aftale med TR/FSL).",I19="X",C19="ikke relevant")),K19,0)</f>
        <v>0</v>
      </c>
    </row>
    <row r="20" spans="1:185">
      <c r="A20" s="245">
        <f>IF(ISNUMBER(A19),A19+1,1)</f>
        <v>12</v>
      </c>
      <c r="B20" s="128" t="str">
        <f t="shared" si="0"/>
        <v>sø</v>
      </c>
      <c r="C20" s="129" t="s">
        <v>120</v>
      </c>
      <c r="D20" s="130" t="str">
        <f t="shared" si="1"/>
        <v/>
      </c>
      <c r="E20" s="917"/>
      <c r="F20" s="918"/>
      <c r="G20" s="919"/>
      <c r="H20" s="298"/>
      <c r="I20" s="413"/>
      <c r="J20" s="413"/>
      <c r="K20" s="380"/>
      <c r="L20" s="380"/>
      <c r="M20" s="380"/>
      <c r="N20" s="318">
        <f t="shared" si="19"/>
        <v>0</v>
      </c>
      <c r="O20" s="318">
        <f t="shared" si="20"/>
        <v>0</v>
      </c>
      <c r="P20" s="318">
        <f>IF(Stamoplysninger!$H$29="JA",Januar!DG20,CX20)</f>
        <v>0</v>
      </c>
      <c r="Q20" s="318">
        <f t="shared" si="21"/>
        <v>0</v>
      </c>
      <c r="R20" s="319"/>
      <c r="S20" s="324"/>
      <c r="T20" s="325"/>
      <c r="U20" s="325"/>
      <c r="V20" s="435"/>
      <c r="W20" s="412"/>
      <c r="X20" s="642"/>
      <c r="Y20">
        <f t="shared" si="22"/>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9">
        <f t="shared" si="8"/>
        <v>0</v>
      </c>
      <c r="BC20" s="1">
        <f t="shared" si="24"/>
        <v>0</v>
      </c>
      <c r="BD20" s="1">
        <f t="shared" si="9"/>
        <v>0</v>
      </c>
      <c r="BE20" s="1">
        <f t="shared" si="10"/>
        <v>0</v>
      </c>
      <c r="BF20" s="1">
        <f t="shared" si="11"/>
        <v>0</v>
      </c>
      <c r="BG20" s="210" t="str">
        <f>IF(AND(C20="Skema 1",B20="ma"),Skemaoplysninger!$E$30,"")</f>
        <v/>
      </c>
      <c r="BH20" s="210" t="str">
        <f>IF(AND(C20="Skema 1",B20="ti"),Skemaoplysninger!$G$30,"")</f>
        <v/>
      </c>
      <c r="BI20" s="210" t="str">
        <f>IF(AND(C20="Skema 1",B20="on"),Skemaoplysninger!$I$30,"")</f>
        <v/>
      </c>
      <c r="BJ20" s="210" t="str">
        <f>IF(AND(C20="Skema 1",B20="to"),Skemaoplysninger!$K$30,"")</f>
        <v/>
      </c>
      <c r="BK20" s="210" t="str">
        <f>IF(AND(C20="Skema 1",B20="fr"),Skemaoplysninger!$M$30,"")</f>
        <v/>
      </c>
      <c r="BL20" s="210" t="str">
        <f>IF(AND(C20="Skema 2",B20="ma"),Skemaoplysninger!$S$30,"")</f>
        <v/>
      </c>
      <c r="BM20" s="210" t="str">
        <f>IF(AND(C20="Skema 2",B20="ti"),Skemaoplysninger!$U$30,"")</f>
        <v/>
      </c>
      <c r="BN20" s="210" t="str">
        <f>IF(AND(C20="Skema 2",B20="on"),Skemaoplysninger!$W$30,"")</f>
        <v/>
      </c>
      <c r="BO20" s="210" t="str">
        <f>IF(AND(C20="Skema 2",B20="to"),Skemaoplysninger!$Y$30,"")</f>
        <v/>
      </c>
      <c r="BP20" s="210" t="str">
        <f>IF(AND(C20="Skema 2",B20="fr"),Skemaoplysninger!$AA$30,"")</f>
        <v/>
      </c>
      <c r="BQ20" s="210" t="str">
        <f>IF(AND(C20="Skema 3",B20="ma"),Skemaoplysninger!$AG$30,"")</f>
        <v/>
      </c>
      <c r="BR20" s="210" t="str">
        <f>IF(AND(C20="Skema 3",B20="ti"),Skemaoplysninger!$AI$30,"")</f>
        <v/>
      </c>
      <c r="BS20" s="210" t="str">
        <f>IF(AND(C20="Skema 3",B20="on"),Skemaoplysninger!$AK$30,"")</f>
        <v/>
      </c>
      <c r="BT20" s="210" t="str">
        <f>IF(AND(C20="Skema 3",B20="to"),Skemaoplysninger!$AM$30,"")</f>
        <v/>
      </c>
      <c r="BU20" s="210" t="str">
        <f>IF(AND(C20="Skema 3",B20="fr"),Skemaoplysninger!$AO$30,"")</f>
        <v/>
      </c>
      <c r="BV20" s="210" t="str">
        <f>IF(AND(C20="Skema 4",B20="ma"),Skemaoplysninger!$AU$30,"")</f>
        <v/>
      </c>
      <c r="BW20" s="210" t="str">
        <f>IF(AND(C20="Skema 4",B20="ti"),Skemaoplysninger!$AW$30,"")</f>
        <v/>
      </c>
      <c r="BX20" s="210" t="str">
        <f>IF(AND(C20="Skema 4",B20="on"),Skemaoplysninger!$AY$30,"")</f>
        <v/>
      </c>
      <c r="BY20" s="210" t="str">
        <f>IF(AND(C20="Skema 4",B20="to"),Skemaoplysninger!$BA$30,"")</f>
        <v/>
      </c>
      <c r="BZ20" s="210" t="str">
        <f>IF(AND(C20="Skema 4",B20="fr"),Skemaoplysninger!$BC$30,"")</f>
        <v/>
      </c>
      <c r="CA20" s="1">
        <f t="shared" si="25"/>
        <v>0</v>
      </c>
      <c r="CB20" s="1">
        <f t="shared" si="12"/>
        <v>0</v>
      </c>
      <c r="CC20" s="1">
        <f t="shared" si="13"/>
        <v>0</v>
      </c>
      <c r="CD20" s="210" t="str">
        <f>IF(AND(C20="Skema 1",B20="ma"),Skemaoplysninger!$E$31,"")</f>
        <v/>
      </c>
      <c r="CE20" s="210" t="str">
        <f>IF(AND(C20="Skema 1",B20="ti"),Skemaoplysninger!$G$31,"")</f>
        <v/>
      </c>
      <c r="CF20" s="210" t="str">
        <f>IF(AND(C20="Skema 1",B20="on"),Skemaoplysninger!$I$31,"")</f>
        <v/>
      </c>
      <c r="CG20" s="210" t="str">
        <f>IF(AND(C20="Skema 1",B20="to"),Skemaoplysninger!$K$31,"")</f>
        <v/>
      </c>
      <c r="CH20" s="210" t="str">
        <f>IF(AND(C20="Skema 1",B20="fr"),Skemaoplysninger!$M$31,"")</f>
        <v/>
      </c>
      <c r="CI20" s="210" t="str">
        <f>IF(AND(C20="Skema 2",B20="ma"),Skemaoplysninger!$S$31,"")</f>
        <v/>
      </c>
      <c r="CJ20" s="210" t="str">
        <f>IF(AND(C20="Skema 2",B20="ti"),Skemaoplysninger!$U$31,"")</f>
        <v/>
      </c>
      <c r="CK20" s="210" t="str">
        <f>IF(AND(C20="Skema 2",B20="on"),Skemaoplysninger!$W$31,"")</f>
        <v/>
      </c>
      <c r="CL20" s="210" t="str">
        <f>IF(AND(C20="Skema 2",B20="to"),Skemaoplysninger!$Y$31,"")</f>
        <v/>
      </c>
      <c r="CM20" s="210" t="str">
        <f>IF(AND(C20="Skema 2",B20="fr"),Skemaoplysninger!$AA$31,"")</f>
        <v/>
      </c>
      <c r="CN20" s="210" t="str">
        <f>IF(AND(C20="Skema 3",B20="ma"),Skemaoplysninger!$AG$31,"")</f>
        <v/>
      </c>
      <c r="CO20" s="210" t="str">
        <f>IF(AND(C20="Skema 3",B20="ti"),Skemaoplysninger!$AI$31,"")</f>
        <v/>
      </c>
      <c r="CP20" s="210" t="str">
        <f>IF(AND(C20="Skema 3",B20="on"),Skemaoplysninger!$AK$31,"")</f>
        <v/>
      </c>
      <c r="CQ20" s="210" t="str">
        <f>IF(AND(C20="Skema 3",B20="to"),Skemaoplysninger!$AM$31,"")</f>
        <v/>
      </c>
      <c r="CR20" s="210" t="str">
        <f>IF(AND(C20="Skema 3",B20="fr"),Skemaoplysninger!$AO$31,"")</f>
        <v/>
      </c>
      <c r="CS20" s="210" t="str">
        <f>IF(AND(C20="Skema 4",B20="ma"),Skemaoplysninger!$AU$31,"")</f>
        <v/>
      </c>
      <c r="CT20" s="210" t="str">
        <f>IF(AND(C20="Skema 4",B20="ti"),Skemaoplysninger!$AW$31,"")</f>
        <v/>
      </c>
      <c r="CU20" s="210" t="str">
        <f>IF(AND(C20="Skema 4",B20="on"),Skemaoplysninger!$AY$31,"")</f>
        <v/>
      </c>
      <c r="CV20" s="210" t="str">
        <f>IF(AND(C20="Skema 4",B20="to"),Skemaoplysninger!$BA$31,"")</f>
        <v/>
      </c>
      <c r="CW20" s="210" t="str">
        <f>IF(AND(C20="Skema 4",B20="fr"),Skemaoplysninger!$BC$31,"")</f>
        <v/>
      </c>
      <c r="CX20" s="249">
        <f>IF(Stamoplysninger!$H$29="NEJ",SUM(CD20:CW20)*24+CB20+CC20,0)</f>
        <v>0</v>
      </c>
      <c r="CY20" s="249">
        <f>IF(C20="Skema 1",Stamoplysninger!$H$30/200,0)</f>
        <v>0</v>
      </c>
      <c r="CZ20" s="249">
        <f>IF(C20="Skema 2",Stamoplysninger!$H$30/200,0)</f>
        <v>0</v>
      </c>
      <c r="DA20" s="249">
        <f>IF(C20="Skema 3",Stamoplysninger!$H$30/200,0)</f>
        <v>0</v>
      </c>
      <c r="DB20" s="249">
        <f>IF(C20="Skema 4",Stamoplysninger!$H$30/200,0)</f>
        <v>0</v>
      </c>
      <c r="DC20" s="249">
        <f>IF(C20="fagdag",Stamoplysninger!$H$30/200,0)</f>
        <v>0</v>
      </c>
      <c r="DD20" s="249">
        <f>IF(C20="emnedag",Stamoplysninger!$H$30/200,0)</f>
        <v>0</v>
      </c>
      <c r="DE20" s="249">
        <f>IF(C20="lejrskole",Stamoplysninger!$H$30/200,0)</f>
        <v>0</v>
      </c>
      <c r="DF20" s="249">
        <f>IF(C20="ekskursion",Stamoplysninger!$H$30/200,0)</f>
        <v>0</v>
      </c>
      <c r="DG20" s="249">
        <f t="shared" si="26"/>
        <v>0</v>
      </c>
      <c r="DH20" t="str">
        <f t="shared" si="27"/>
        <v/>
      </c>
      <c r="DI20">
        <f t="shared" si="28"/>
        <v>0</v>
      </c>
      <c r="DJ20">
        <f t="shared" si="29"/>
        <v>0</v>
      </c>
      <c r="DK20" t="str">
        <f t="shared" si="14"/>
        <v/>
      </c>
      <c r="DL20" t="str">
        <f t="shared" si="14"/>
        <v/>
      </c>
      <c r="DM20" t="str">
        <f t="shared" si="14"/>
        <v/>
      </c>
      <c r="DN20" t="str">
        <f t="shared" si="30"/>
        <v/>
      </c>
      <c r="DO20" s="652">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71">
        <f>IF(AND(Stamoplysninger!$B$22="Ulempetillæg udbetales med 25% af nettotimelønnen.",C20="ikke relevant"),(R20)/4,0)</f>
        <v>0</v>
      </c>
      <c r="DT20" s="671">
        <f>IF(AND(AND(Stamoplysninger!$B$22="Ulempetillæg udbetales med 25% af nettotimelønnen.",I20="X",C20="Ikke relevant")),K20/4,0)</f>
        <v>0</v>
      </c>
      <c r="DU20" s="671">
        <f>IF(AND(AND(Stamoplysninger!$B$22="Ulempetillæg udbetales med 25% af nettotimelønnen.",C20="ikke relevant",U20="X")),(X20/4),0)</f>
        <v>0</v>
      </c>
      <c r="DV20" s="672">
        <f>IF(AND(AND(AND(Stamoplysninger!$B$22="Ulempetillæg udbetales med 25% af nettotimelønnen.",I20="X",C20="Ikke relevant",S20="X"))),V20/4,0)</f>
        <v>0</v>
      </c>
      <c r="DW20" s="652"/>
      <c r="DZ20" s="671"/>
      <c r="EA20" s="671"/>
      <c r="EB20" s="672"/>
      <c r="EC20" s="652">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71">
        <f>IF(AND(Stamoplysninger!$B$22="Ulempetillæg afspadseres med 25%(Kræver en aftale imellem ledelsen og den ansatte)",C20="ikke relevant"),(R20)/4,0)</f>
        <v>0</v>
      </c>
      <c r="EH20" s="671">
        <f>IF(AND(AND(Stamoplysninger!$B$22="Ulempetillæg afspadseres med 25%(Kræver en aftale imellem ledelsen og den ansatte)",I20="X",C20="Ikke relevant")),K20/4,0)</f>
        <v>0</v>
      </c>
      <c r="EI20" s="671">
        <f>IF(AND(AND(Stamoplysninger!$B$22="Ulempetillæg afspadseres med 25%(Kræver en aftale imellem ledelsen og den ansatte)",U20="X",C20="Ikke relevant")),X20/4,0)</f>
        <v>0</v>
      </c>
      <c r="EJ20" s="671">
        <f>IF(AND(AND(AND(Stamoplysninger!$B$22="Ulempetillæg afspadseres med 25%(Kræver en aftale imellem ledelsen og den ansatte)",I20="X",C20="Ikke relevant",S20="X"))),V20/4,0)</f>
        <v>0</v>
      </c>
      <c r="EK20" s="283">
        <f>IF(AND(Stamoplysninger!$B$26="Weekendtimer og weekendtillæg afspadseres.",I20="X"),K20*1.5,0)</f>
        <v>0</v>
      </c>
      <c r="EL20" s="251">
        <f>IF(AND(AND(Stamoplysninger!$B$26="Weekendtimer og weekendtillæg afspadseres.",I20="X",S20="X")),V20*1.5,0)</f>
        <v>0</v>
      </c>
      <c r="EM20" s="674">
        <f>IF(AND(AND(Stamoplysninger!$B$26="Weekendtimer og weekendtillæg afspadseres.",I20="X",C20="ikke relevant")),K20*1.5,0)</f>
        <v>0</v>
      </c>
      <c r="EN20" s="675">
        <f>IF(AND(AND(AND(Stamoplysninger!$B$26="Weekendtimer og weekendtillæg afspadseres.",I20="X",C20="ikke relevant",S20="X"))),(V20*1.5),0)</f>
        <v>0</v>
      </c>
      <c r="EO20" s="283">
        <f>IF(AND(Stamoplysninger!$B$26="Weekendtimer og weekendtillæg udbetales.",I20="X"),K20*1.5,0)</f>
        <v>0</v>
      </c>
      <c r="EP20" s="251">
        <f>IF(AND(AND(Stamoplysninger!$B$26="Weekendtimer og weekendtillæg udbetales.",I20="X",S20="X")),V20*1.5,0)</f>
        <v>0</v>
      </c>
      <c r="EQ20" s="674">
        <f>IF(AND(AND(Stamoplysninger!$B$26="Weekendtimer og weekendtillæg udbetales.",I20="X",C20="ikke relevant")),K20*1.5,0)</f>
        <v>0</v>
      </c>
      <c r="ER20" s="675">
        <f>IF(AND(AND(AND(Stamoplysninger!$B$26="Weekendtimer og weekendtillæg udbetales.",I20="X",C20="ikke relevant",S20="X"))),(V20*1.5),0)</f>
        <v>0</v>
      </c>
      <c r="ES20" s="283">
        <f>IF(AND(Stamoplysninger!$B$26="Der er indgået lokalaftale omkring weekendtimer.(Kræver aftale med TR/FSL) Weekendtillæg afspadseres.",I20="X"),K20*0.5,0)</f>
        <v>0</v>
      </c>
      <c r="ET20" s="251">
        <f>IF(AND(AND(Stamoplysninger!$B$26="Der er indgået lokalaftale omkring weekendtimer.(Kræver aftale med TR/FSL) Weekendtillæg afspadseres.",I20="X",S20="X")),V20*0.5,0)</f>
        <v>0</v>
      </c>
      <c r="EU20" s="674">
        <f>IF(AND(AND(Stamoplysninger!$B$26="Der er indgået lokalaftale omkring weekendtimer.(Kræver aftale med TR/FSL) Weekendtillæg afspadseres.",I20="X",C20="ikke relevant")),K20*0.5,0)</f>
        <v>0</v>
      </c>
      <c r="EV20" s="675">
        <f>IF(AND(AND(AND(Stamoplysninger!$B$26="Der er indgået lokalaftale omkring weekendtimer.(Kræver aftale med TR/FSL) Weekendtillæg afspadseres.",I20="X",C20="ikke relevant",S20="X"))),(V20*0.5),0)</f>
        <v>0</v>
      </c>
      <c r="EW20" s="283">
        <f>IF(AND(Stamoplysninger!$B$26="Der er indgået lokalaftale omkring weekendtimer(Kræver aftale med TR/FSL). Weekendtillæg udbetales.",I20="X"),K20*0.5,0)</f>
        <v>0</v>
      </c>
      <c r="EX20" s="251">
        <f>IF(AND(AND(Stamoplysninger!$B$26="Der er indgået lokalaftale omkring weekendtimer(Kræver aftale med TR/FSL). Weekendtillæg udbetales.",I20="X",S20="X")),V20*0.5,0)</f>
        <v>0</v>
      </c>
      <c r="EY20" s="674">
        <f>IF(AND(AND(Stamoplysninger!$B$26="Der er indgået lokalaftale omkring weekendtimer(Kræver aftale med TR/FSL). Weekendtillæg udbetales.",I20="X",C20="ikke relevant")),K20*0.5,0)</f>
        <v>0</v>
      </c>
      <c r="EZ20" s="675">
        <f>IF(AND(AND(AND(Stamoplysninger!$B$26="Der er indgået lokalaftale omkring weekendtimer(Kræver aftale med TR/FSL). Weekendtillæg udbetales.",I20="X",C20="ikke relevant",S20="X"))),(V20*0.5),0)</f>
        <v>0</v>
      </c>
      <c r="FA20" s="283">
        <f>IF(AND(Stamoplysninger!$B$26="Der er indgået lokalaftale omkring weekendtillæg(Kræver aftale med TR/FSL). Weekendtimerne afspadseres.",I20="X"),K20,0)</f>
        <v>0</v>
      </c>
      <c r="FB20" s="251">
        <f>IF(AND(AND(Stamoplysninger!$B$26="Der er indgået lokalaftale omkring weekendtillæg(Kræver aftale med TR/FSL). Weekendtimerne afspadseres.",I20="X",S20="X")),V20,0)</f>
        <v>0</v>
      </c>
      <c r="FC20" s="674">
        <f>IF(AND(AND(Stamoplysninger!$B$26="Der er indgået lokalaftale omkring weekendtillæg(Kræver aftale med TR/FSL). Weekendtimerne afspadseres..",I20="X",C20="ikke relevant")),K20,0)</f>
        <v>0</v>
      </c>
      <c r="FD20" s="675">
        <f>IF(AND(AND(AND(Stamoplysninger!$B$26="Der er indgået lokalaftale omkring weekendtillæg(Kræver aftale med TR/FSL). Weekendtimerne afspadseres.",I20="X",C20="ikke relevant",S20="X"))),(V20),0)</f>
        <v>0</v>
      </c>
      <c r="FE20" s="283">
        <f>IF(AND(Stamoplysninger!$B$26="Der er indgået lokalaftale omkring weekendtillæg(Kræver aftale med TR/FSL). Weekendtimerne udbetales.",I20="X"),K20,0)</f>
        <v>0</v>
      </c>
      <c r="FF20" s="251">
        <f>IF(AND(AND(Stamoplysninger!$B$26="Der er indgået lokalaftale omkring weekendtillæg(Kræver aftale med TR/FSL). Weekendtimerne udbetales.",I20="X",S20="X")),V20,0)</f>
        <v>0</v>
      </c>
      <c r="FG20" s="674">
        <f>IF(AND(AND(Stamoplysninger!$B$26="Der er indgået lokalaftale omkring weekendtillæg(Kræver aftale med TR/FSL). Weekendtimerne udbetales.",I20="X",C20="ikke relevant")),K20,0)</f>
        <v>0</v>
      </c>
      <c r="FH20" s="675">
        <f>IF(AND(AND(AND(Stamoplysninger!$B$26="Der er indgået lokalaftale omkring weekendtillæg(Kræver aftale med TR/FSL). Weekendtimerne udbetales.",I20="X",C20="ikke relevant",S20="X"))),(V20),0)</f>
        <v>0</v>
      </c>
      <c r="FI20" s="283">
        <f>IF(AND(Stamoplysninger!$B$26="Weekendtimer og weekendtillæg afspadseres.",I20="X"),K20,0)</f>
        <v>0</v>
      </c>
      <c r="FJ20" s="251">
        <f>IF(AND(Stamoplysninger!$B$26="Weekendtimer og weekendtillæg afspadseres.",Y20="X"),(AA20+AL20)/2,0)</f>
        <v>0</v>
      </c>
      <c r="FK20" s="674">
        <f>IF(AND(AND(Stamoplysninger!$B$26="Weekendtimer og weekendtillæg afspadseres.",I20="X",C20="ikke relevant")),K20,0)</f>
        <v>0</v>
      </c>
      <c r="FL20" s="675">
        <f>IF(AND(AND(Stamoplysninger!$B$26="Weekendtimer og weekendtillæg afspadseres.",Y20="X",S20="ikke relevant")),(AA20+AL20)/2,0)</f>
        <v>0</v>
      </c>
      <c r="FM20" s="283">
        <f>IF(AND(Stamoplysninger!$B$26="Der er indgået lokalaftale omkring weekendtillæg(Kræver aftale med TR/FSL). Weekendtimerne afspadseres.",I20="X"),K20,0)</f>
        <v>0</v>
      </c>
      <c r="FN20" s="674">
        <f>IF(AND(AND(Stamoplysninger!$B$26="Der er indgået lokalaftale omkring weekendtillæg(Kræver aftale med TR/FSL). Weekendtimerne afspadseres.",I20="X",C20="ikke relevant")),K20,0)</f>
        <v>0</v>
      </c>
      <c r="FO20" s="283">
        <f>IF(AND(Stamoplysninger!$B$26="Weekendtimer og weekendtillæg udbetales.",I20="X"),K20,0)</f>
        <v>0</v>
      </c>
      <c r="FP20" s="251">
        <f>IF(AND(Stamoplysninger!$B$26="Weekendtimer og weekendtillæg udbetales.",AA20="X"),(AC20+AN20)/2,0)</f>
        <v>0</v>
      </c>
      <c r="FQ20" s="674">
        <f>IF(AND(AND(Stamoplysninger!$B$26="Weekendtimer og weekendtillæg udbetales.",I20="X",C20="ikke relevant")),K20,0)</f>
        <v>0</v>
      </c>
      <c r="FR20" s="688">
        <f>IF(AND(AND(Stamoplysninger!$B$26="Weekendtimer og weekendtillæg udbetales.",AA20="X",U20="ikke relevant")),(AC20+AN20)/2,0)</f>
        <v>0</v>
      </c>
      <c r="FS20" s="283">
        <f t="shared" si="15"/>
        <v>0</v>
      </c>
      <c r="FT20" s="658">
        <f t="shared" si="16"/>
        <v>0</v>
      </c>
      <c r="FU20">
        <f t="shared" si="17"/>
        <v>0</v>
      </c>
      <c r="FV20" s="283">
        <f>IF(AND(Stamoplysninger!$B$26="Der er indgået lokalaftale omkring weekendtimer.(Kræver aftale med TR/FSL) Weekendtillæg afspadseres.",I20="X"),K20,0)</f>
        <v>0</v>
      </c>
      <c r="FW20" s="674">
        <f>IF(AND(AND(Stamoplysninger!$B$26="Der er indgået lokalaftale omkring weekendtimer.(Kræver aftale med TR/FSL) Weekendtillæg afspadseres.",I20="X",C20="ikke relevant")),K20,0)</f>
        <v>0</v>
      </c>
      <c r="FX20" s="283">
        <f>IF(AND(Stamoplysninger!$B$26="Der er indgået lokalaftale omkring weekendtimer(Kræver aftale med TR/FSL). Weekendtillæg udbetales.",I20="X"),K20,0)</f>
        <v>0</v>
      </c>
      <c r="FY20" s="674">
        <f>IF(AND(AND(Stamoplysninger!$B$26="Der er indgået lokalaftale omkring weekendtimer(Kræver aftale med TR/FSL). Weekendtillæg udbetales.",I20="X",C20="ikke relevant")),K20,0)</f>
        <v>0</v>
      </c>
      <c r="FZ20" s="283">
        <f>IF(AND(Stamoplysninger!$B$26="Der er indgået lokalaftale omkring weekendtillæg(Kræver aftale med TR/FSL). Weekendtimerne udbetales.",I20="X"),K20,0)</f>
        <v>0</v>
      </c>
      <c r="GA20" s="674">
        <f>IF(AND(AND(Stamoplysninger!$B$26="Der er indgået lokalaftale omkring weekendtillæg(Kræver aftale med TR/FSL). Weekendtimerne udbetales.",I20="X",C20="ikke relevant")),K20,0)</f>
        <v>0</v>
      </c>
      <c r="GB20" s="283">
        <f>IF(AND(Stamoplysninger!$B$26="Der er indgået lokalaftale omkring weekendtimer og weekendtillæg.(Kræver aftale med TR/FSL).",I20="X"),K20,0)</f>
        <v>0</v>
      </c>
      <c r="GC20" s="674">
        <f>IF(AND(AND(Stamoplysninger!$B$26="Der er indgået lokalaftale omkring weekendtimer og weekendtillæg.(Kræver aftale med TR/FSL).",I20="X",C20="ikke relevant")),K20,0)</f>
        <v>0</v>
      </c>
    </row>
    <row r="21" spans="1:185">
      <c r="A21" s="245">
        <f>IF(ISNUMBER(A20),A20+1,1)</f>
        <v>13</v>
      </c>
      <c r="B21" s="128" t="str">
        <f t="shared" si="0"/>
        <v>ma</v>
      </c>
      <c r="C21" s="129" t="s">
        <v>207</v>
      </c>
      <c r="D21" s="130">
        <f t="shared" si="1"/>
        <v>2.7142857142857144</v>
      </c>
      <c r="E21" s="949"/>
      <c r="F21" s="950"/>
      <c r="G21" s="951"/>
      <c r="H21" s="297"/>
      <c r="I21" s="527"/>
      <c r="J21" s="413"/>
      <c r="K21" s="380"/>
      <c r="L21" s="380"/>
      <c r="M21" s="380"/>
      <c r="N21" s="318">
        <f t="shared" si="19"/>
        <v>7.75</v>
      </c>
      <c r="O21" s="318">
        <f t="shared" si="20"/>
        <v>3.4999999999999996</v>
      </c>
      <c r="P21" s="318">
        <f>IF(Stamoplysninger!$H$29="JA",Januar!DG21,CX21)</f>
        <v>1</v>
      </c>
      <c r="Q21" s="318">
        <f t="shared" si="21"/>
        <v>3.25</v>
      </c>
      <c r="R21" s="319"/>
      <c r="S21" s="324"/>
      <c r="T21" s="325"/>
      <c r="U21" s="325"/>
      <c r="V21" s="435"/>
      <c r="W21" s="412"/>
      <c r="X21" s="642"/>
      <c r="Y21">
        <f t="shared" si="22"/>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f>IF(AND(C21="Skema 2",B21="ma"),Arbejdstidsoversigt!$E$81,"")</f>
        <v>7.75</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7.75</v>
      </c>
      <c r="BB21" s="229">
        <f t="shared" si="8"/>
        <v>0</v>
      </c>
      <c r="BC21" s="1">
        <f t="shared" si="24"/>
        <v>0</v>
      </c>
      <c r="BD21" s="1">
        <f t="shared" si="9"/>
        <v>0</v>
      </c>
      <c r="BE21" s="1">
        <f t="shared" si="10"/>
        <v>0</v>
      </c>
      <c r="BF21" s="1">
        <f t="shared" si="11"/>
        <v>0</v>
      </c>
      <c r="BG21" s="210" t="str">
        <f>IF(AND(C21="Skema 1",B21="ma"),Skemaoplysninger!$E$30,"")</f>
        <v/>
      </c>
      <c r="BH21" s="210" t="str">
        <f>IF(AND(C21="Skema 1",B21="ti"),Skemaoplysninger!$G$30,"")</f>
        <v/>
      </c>
      <c r="BI21" s="210" t="str">
        <f>IF(AND(C21="Skema 1",B21="on"),Skemaoplysninger!$I$30,"")</f>
        <v/>
      </c>
      <c r="BJ21" s="210" t="str">
        <f>IF(AND(C21="Skema 1",B21="to"),Skemaoplysninger!$K$30,"")</f>
        <v/>
      </c>
      <c r="BK21" s="210" t="str">
        <f>IF(AND(C21="Skema 1",B21="fr"),Skemaoplysninger!$M$30,"")</f>
        <v/>
      </c>
      <c r="BL21" s="210">
        <f>IF(AND(C21="Skema 2",B21="ma"),Skemaoplysninger!$S$30,"")</f>
        <v>0.14583333333333331</v>
      </c>
      <c r="BM21" s="210" t="str">
        <f>IF(AND(C21="Skema 2",B21="ti"),Skemaoplysninger!$U$30,"")</f>
        <v/>
      </c>
      <c r="BN21" s="210" t="str">
        <f>IF(AND(C21="Skema 2",B21="on"),Skemaoplysninger!$W$30,"")</f>
        <v/>
      </c>
      <c r="BO21" s="210" t="str">
        <f>IF(AND(C21="Skema 2",B21="to"),Skemaoplysninger!$Y$30,"")</f>
        <v/>
      </c>
      <c r="BP21" s="210" t="str">
        <f>IF(AND(C21="Skema 2",B21="fr"),Skemaoplysninger!$AA$30,"")</f>
        <v/>
      </c>
      <c r="BQ21" s="210" t="str">
        <f>IF(AND(C21="Skema 3",B21="ma"),Skemaoplysninger!$AG$30,"")</f>
        <v/>
      </c>
      <c r="BR21" s="210" t="str">
        <f>IF(AND(C21="Skema 3",B21="ti"),Skemaoplysninger!$AI$30,"")</f>
        <v/>
      </c>
      <c r="BS21" s="210" t="str">
        <f>IF(AND(C21="Skema 3",B21="on"),Skemaoplysninger!$AK$30,"")</f>
        <v/>
      </c>
      <c r="BT21" s="210" t="str">
        <f>IF(AND(C21="Skema 3",B21="to"),Skemaoplysninger!$AM$30,"")</f>
        <v/>
      </c>
      <c r="BU21" s="210" t="str">
        <f>IF(AND(C21="Skema 3",B21="fr"),Skemaoplysninger!$AO$30,"")</f>
        <v/>
      </c>
      <c r="BV21" s="210" t="str">
        <f>IF(AND(C21="Skema 4",B21="ma"),Skemaoplysninger!$AU$30,"")</f>
        <v/>
      </c>
      <c r="BW21" s="210" t="str">
        <f>IF(AND(C21="Skema 4",B21="ti"),Skemaoplysninger!$AW$30,"")</f>
        <v/>
      </c>
      <c r="BX21" s="210" t="str">
        <f>IF(AND(C21="Skema 4",B21="on"),Skemaoplysninger!$AY$30,"")</f>
        <v/>
      </c>
      <c r="BY21" s="210" t="str">
        <f>IF(AND(C21="Skema 4",B21="to"),Skemaoplysninger!$BA$30,"")</f>
        <v/>
      </c>
      <c r="BZ21" s="210" t="str">
        <f>IF(AND(C21="Skema 4",B21="fr"),Skemaoplysninger!$BC$30,"")</f>
        <v/>
      </c>
      <c r="CA21" s="1">
        <f t="shared" si="25"/>
        <v>3.4999999999999996</v>
      </c>
      <c r="CB21" s="1">
        <f t="shared" si="12"/>
        <v>0</v>
      </c>
      <c r="CC21" s="1">
        <f t="shared" si="13"/>
        <v>0</v>
      </c>
      <c r="CD21" s="210" t="str">
        <f>IF(AND(C21="Skema 1",B21="ma"),Skemaoplysninger!$E$31,"")</f>
        <v/>
      </c>
      <c r="CE21" s="210" t="str">
        <f>IF(AND(C21="Skema 1",B21="ti"),Skemaoplysninger!$G$31,"")</f>
        <v/>
      </c>
      <c r="CF21" s="210" t="str">
        <f>IF(AND(C21="Skema 1",B21="on"),Skemaoplysninger!$I$31,"")</f>
        <v/>
      </c>
      <c r="CG21" s="210" t="str">
        <f>IF(AND(C21="Skema 1",B21="to"),Skemaoplysninger!$K$31,"")</f>
        <v/>
      </c>
      <c r="CH21" s="210" t="str">
        <f>IF(AND(C21="Skema 1",B21="fr"),Skemaoplysninger!$M$31,"")</f>
        <v/>
      </c>
      <c r="CI21" s="210">
        <f>IF(AND(C21="Skema 2",B21="ma"),Skemaoplysninger!$S$31,"")</f>
        <v>4.1666666666666671E-2</v>
      </c>
      <c r="CJ21" s="210" t="str">
        <f>IF(AND(C21="Skema 2",B21="ti"),Skemaoplysninger!$U$31,"")</f>
        <v/>
      </c>
      <c r="CK21" s="210" t="str">
        <f>IF(AND(C21="Skema 2",B21="on"),Skemaoplysninger!$W$31,"")</f>
        <v/>
      </c>
      <c r="CL21" s="210" t="str">
        <f>IF(AND(C21="Skema 2",B21="to"),Skemaoplysninger!$Y$31,"")</f>
        <v/>
      </c>
      <c r="CM21" s="210" t="str">
        <f>IF(AND(C21="Skema 2",B21="fr"),Skemaoplysninger!$AA$31,"")</f>
        <v/>
      </c>
      <c r="CN21" s="210" t="str">
        <f>IF(AND(C21="Skema 3",B21="ma"),Skemaoplysninger!$AG$31,"")</f>
        <v/>
      </c>
      <c r="CO21" s="210" t="str">
        <f>IF(AND(C21="Skema 3",B21="ti"),Skemaoplysninger!$AI$31,"")</f>
        <v/>
      </c>
      <c r="CP21" s="210" t="str">
        <f>IF(AND(C21="Skema 3",B21="on"),Skemaoplysninger!$AK$31,"")</f>
        <v/>
      </c>
      <c r="CQ21" s="210" t="str">
        <f>IF(AND(C21="Skema 3",B21="to"),Skemaoplysninger!$AM$31,"")</f>
        <v/>
      </c>
      <c r="CR21" s="210" t="str">
        <f>IF(AND(C21="Skema 3",B21="fr"),Skemaoplysninger!$AO$31,"")</f>
        <v/>
      </c>
      <c r="CS21" s="210" t="str">
        <f>IF(AND(C21="Skema 4",B21="ma"),Skemaoplysninger!$AU$31,"")</f>
        <v/>
      </c>
      <c r="CT21" s="210" t="str">
        <f>IF(AND(C21="Skema 4",B21="ti"),Skemaoplysninger!$AW$31,"")</f>
        <v/>
      </c>
      <c r="CU21" s="210" t="str">
        <f>IF(AND(C21="Skema 4",B21="on"),Skemaoplysninger!$AY$31,"")</f>
        <v/>
      </c>
      <c r="CV21" s="210" t="str">
        <f>IF(AND(C21="Skema 4",B21="to"),Skemaoplysninger!$BA$31,"")</f>
        <v/>
      </c>
      <c r="CW21" s="210" t="str">
        <f>IF(AND(C21="Skema 4",B21="fr"),Skemaoplysninger!$BC$31,"")</f>
        <v/>
      </c>
      <c r="CX21" s="249">
        <f>IF(Stamoplysninger!$H$29="NEJ",SUM(CD21:CW21)*24+CB21+CC21,0)</f>
        <v>1</v>
      </c>
      <c r="CY21" s="249">
        <f>IF(C21="Skema 1",Stamoplysninger!$H$30/200,0)</f>
        <v>0</v>
      </c>
      <c r="CZ21" s="249">
        <f>IF(C21="Skema 2",Stamoplysninger!$H$30/200,0)</f>
        <v>0</v>
      </c>
      <c r="DA21" s="249">
        <f>IF(C21="Skema 3",Stamoplysninger!$H$30/200,0)</f>
        <v>0</v>
      </c>
      <c r="DB21" s="249">
        <f>IF(C21="Skema 4",Stamoplysninger!$H$30/200,0)</f>
        <v>0</v>
      </c>
      <c r="DC21" s="249">
        <f>IF(C21="fagdag",Stamoplysninger!$H$30/200,0)</f>
        <v>0</v>
      </c>
      <c r="DD21" s="249">
        <f>IF(C21="emnedag",Stamoplysninger!$H$30/200,0)</f>
        <v>0</v>
      </c>
      <c r="DE21" s="249">
        <f>IF(C21="lejrskole",Stamoplysninger!$H$30/200,0)</f>
        <v>0</v>
      </c>
      <c r="DF21" s="249">
        <f>IF(C21="ekskursion",Stamoplysninger!$H$30/200,0)</f>
        <v>0</v>
      </c>
      <c r="DG21" s="249">
        <f t="shared" si="26"/>
        <v>0</v>
      </c>
      <c r="DH21" t="str">
        <f t="shared" si="27"/>
        <v/>
      </c>
      <c r="DI21">
        <f t="shared" si="28"/>
        <v>0</v>
      </c>
      <c r="DJ21">
        <f t="shared" si="29"/>
        <v>0</v>
      </c>
      <c r="DK21" t="str">
        <f t="shared" si="14"/>
        <v/>
      </c>
      <c r="DL21" t="str">
        <f t="shared" si="14"/>
        <v/>
      </c>
      <c r="DM21" t="str">
        <f t="shared" si="14"/>
        <v/>
      </c>
      <c r="DN21" t="str">
        <f t="shared" si="30"/>
        <v/>
      </c>
      <c r="DO21" s="652">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71">
        <f>IF(AND(Stamoplysninger!$B$22="Ulempetillæg udbetales med 25% af nettotimelønnen.",C21="ikke relevant"),(R21)/4,0)</f>
        <v>0</v>
      </c>
      <c r="DT21" s="671">
        <f>IF(AND(AND(Stamoplysninger!$B$22="Ulempetillæg udbetales med 25% af nettotimelønnen.",I21="X",C21="Ikke relevant")),K21/4,0)</f>
        <v>0</v>
      </c>
      <c r="DU21" s="671">
        <f>IF(AND(AND(Stamoplysninger!$B$22="Ulempetillæg udbetales med 25% af nettotimelønnen.",C21="ikke relevant",U21="X")),(X21/4),0)</f>
        <v>0</v>
      </c>
      <c r="DV21" s="672">
        <f>IF(AND(AND(AND(Stamoplysninger!$B$22="Ulempetillæg udbetales med 25% af nettotimelønnen.",I21="X",C21="Ikke relevant",S21="X"))),V21/4,0)</f>
        <v>0</v>
      </c>
      <c r="DW21" s="652"/>
      <c r="DZ21" s="671"/>
      <c r="EA21" s="671"/>
      <c r="EB21" s="672"/>
      <c r="EC21" s="652">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71">
        <f>IF(AND(Stamoplysninger!$B$22="Ulempetillæg afspadseres med 25%(Kræver en aftale imellem ledelsen og den ansatte)",C21="ikke relevant"),(R21)/4,0)</f>
        <v>0</v>
      </c>
      <c r="EH21" s="671">
        <f>IF(AND(AND(Stamoplysninger!$B$22="Ulempetillæg afspadseres med 25%(Kræver en aftale imellem ledelsen og den ansatte)",I21="X",C21="Ikke relevant")),K21/4,0)</f>
        <v>0</v>
      </c>
      <c r="EI21" s="671">
        <f>IF(AND(AND(Stamoplysninger!$B$22="Ulempetillæg afspadseres med 25%(Kræver en aftale imellem ledelsen og den ansatte)",U21="X",C21="Ikke relevant")),X21/4,0)</f>
        <v>0</v>
      </c>
      <c r="EJ21" s="671">
        <f>IF(AND(AND(AND(Stamoplysninger!$B$22="Ulempetillæg afspadseres med 25%(Kræver en aftale imellem ledelsen og den ansatte)",I21="X",C21="Ikke relevant",S21="X"))),V21/4,0)</f>
        <v>0</v>
      </c>
      <c r="EK21" s="283">
        <f>IF(AND(Stamoplysninger!$B$26="Weekendtimer og weekendtillæg afspadseres.",I21="X"),K21*1.5,0)</f>
        <v>0</v>
      </c>
      <c r="EL21" s="251">
        <f>IF(AND(AND(Stamoplysninger!$B$26="Weekendtimer og weekendtillæg afspadseres.",I21="X",S21="X")),V21*1.5,0)</f>
        <v>0</v>
      </c>
      <c r="EM21" s="674">
        <f>IF(AND(AND(Stamoplysninger!$B$26="Weekendtimer og weekendtillæg afspadseres.",I21="X",C21="ikke relevant")),K21*1.5,0)</f>
        <v>0</v>
      </c>
      <c r="EN21" s="675">
        <f>IF(AND(AND(AND(Stamoplysninger!$B$26="Weekendtimer og weekendtillæg afspadseres.",I21="X",C21="ikke relevant",S21="X"))),(V21*1.5),0)</f>
        <v>0</v>
      </c>
      <c r="EO21" s="283">
        <f>IF(AND(Stamoplysninger!$B$26="Weekendtimer og weekendtillæg udbetales.",I21="X"),K21*1.5,0)</f>
        <v>0</v>
      </c>
      <c r="EP21" s="251">
        <f>IF(AND(AND(Stamoplysninger!$B$26="Weekendtimer og weekendtillæg udbetales.",I21="X",S21="X")),V21*1.5,0)</f>
        <v>0</v>
      </c>
      <c r="EQ21" s="674">
        <f>IF(AND(AND(Stamoplysninger!$B$26="Weekendtimer og weekendtillæg udbetales.",I21="X",C21="ikke relevant")),K21*1.5,0)</f>
        <v>0</v>
      </c>
      <c r="ER21" s="675">
        <f>IF(AND(AND(AND(Stamoplysninger!$B$26="Weekendtimer og weekendtillæg udbetales.",I21="X",C21="ikke relevant",S21="X"))),(V21*1.5),0)</f>
        <v>0</v>
      </c>
      <c r="ES21" s="283">
        <f>IF(AND(Stamoplysninger!$B$26="Der er indgået lokalaftale omkring weekendtimer.(Kræver aftale med TR/FSL) Weekendtillæg afspadseres.",I21="X"),K21*0.5,0)</f>
        <v>0</v>
      </c>
      <c r="ET21" s="251">
        <f>IF(AND(AND(Stamoplysninger!$B$26="Der er indgået lokalaftale omkring weekendtimer.(Kræver aftale med TR/FSL) Weekendtillæg afspadseres.",I21="X",S21="X")),V21*0.5,0)</f>
        <v>0</v>
      </c>
      <c r="EU21" s="674">
        <f>IF(AND(AND(Stamoplysninger!$B$26="Der er indgået lokalaftale omkring weekendtimer.(Kræver aftale med TR/FSL) Weekendtillæg afspadseres.",I21="X",C21="ikke relevant")),K21*0.5,0)</f>
        <v>0</v>
      </c>
      <c r="EV21" s="675">
        <f>IF(AND(AND(AND(Stamoplysninger!$B$26="Der er indgået lokalaftale omkring weekendtimer.(Kræver aftale med TR/FSL) Weekendtillæg afspadseres.",I21="X",C21="ikke relevant",S21="X"))),(V21*0.5),0)</f>
        <v>0</v>
      </c>
      <c r="EW21" s="283">
        <f>IF(AND(Stamoplysninger!$B$26="Der er indgået lokalaftale omkring weekendtimer(Kræver aftale med TR/FSL). Weekendtillæg udbetales.",I21="X"),K21*0.5,0)</f>
        <v>0</v>
      </c>
      <c r="EX21" s="251">
        <f>IF(AND(AND(Stamoplysninger!$B$26="Der er indgået lokalaftale omkring weekendtimer(Kræver aftale med TR/FSL). Weekendtillæg udbetales.",I21="X",S21="X")),V21*0.5,0)</f>
        <v>0</v>
      </c>
      <c r="EY21" s="674">
        <f>IF(AND(AND(Stamoplysninger!$B$26="Der er indgået lokalaftale omkring weekendtimer(Kræver aftale med TR/FSL). Weekendtillæg udbetales.",I21="X",C21="ikke relevant")),K21*0.5,0)</f>
        <v>0</v>
      </c>
      <c r="EZ21" s="675">
        <f>IF(AND(AND(AND(Stamoplysninger!$B$26="Der er indgået lokalaftale omkring weekendtimer(Kræver aftale med TR/FSL). Weekendtillæg udbetales.",I21="X",C21="ikke relevant",S21="X"))),(V21*0.5),0)</f>
        <v>0</v>
      </c>
      <c r="FA21" s="283">
        <f>IF(AND(Stamoplysninger!$B$26="Der er indgået lokalaftale omkring weekendtillæg(Kræver aftale med TR/FSL). Weekendtimerne afspadseres.",I21="X"),K21,0)</f>
        <v>0</v>
      </c>
      <c r="FB21" s="251">
        <f>IF(AND(AND(Stamoplysninger!$B$26="Der er indgået lokalaftale omkring weekendtillæg(Kræver aftale med TR/FSL). Weekendtimerne afspadseres.",I21="X",S21="X")),V21,0)</f>
        <v>0</v>
      </c>
      <c r="FC21" s="674">
        <f>IF(AND(AND(Stamoplysninger!$B$26="Der er indgået lokalaftale omkring weekendtillæg(Kræver aftale med TR/FSL). Weekendtimerne afspadseres..",I21="X",C21="ikke relevant")),K21,0)</f>
        <v>0</v>
      </c>
      <c r="FD21" s="675">
        <f>IF(AND(AND(AND(Stamoplysninger!$B$26="Der er indgået lokalaftale omkring weekendtillæg(Kræver aftale med TR/FSL). Weekendtimerne afspadseres.",I21="X",C21="ikke relevant",S21="X"))),(V21),0)</f>
        <v>0</v>
      </c>
      <c r="FE21" s="283">
        <f>IF(AND(Stamoplysninger!$B$26="Der er indgået lokalaftale omkring weekendtillæg(Kræver aftale med TR/FSL). Weekendtimerne udbetales.",I21="X"),K21,0)</f>
        <v>0</v>
      </c>
      <c r="FF21" s="251">
        <f>IF(AND(AND(Stamoplysninger!$B$26="Der er indgået lokalaftale omkring weekendtillæg(Kræver aftale med TR/FSL). Weekendtimerne udbetales.",I21="X",S21="X")),V21,0)</f>
        <v>0</v>
      </c>
      <c r="FG21" s="674">
        <f>IF(AND(AND(Stamoplysninger!$B$26="Der er indgået lokalaftale omkring weekendtillæg(Kræver aftale med TR/FSL). Weekendtimerne udbetales.",I21="X",C21="ikke relevant")),K21,0)</f>
        <v>0</v>
      </c>
      <c r="FH21" s="675">
        <f>IF(AND(AND(AND(Stamoplysninger!$B$26="Der er indgået lokalaftale omkring weekendtillæg(Kræver aftale med TR/FSL). Weekendtimerne udbetales.",I21="X",C21="ikke relevant",S21="X"))),(V21),0)</f>
        <v>0</v>
      </c>
      <c r="FI21" s="283">
        <f>IF(AND(Stamoplysninger!$B$26="Weekendtimer og weekendtillæg afspadseres.",I21="X"),K21,0)</f>
        <v>0</v>
      </c>
      <c r="FJ21" s="251">
        <f>IF(AND(Stamoplysninger!$B$26="Weekendtimer og weekendtillæg afspadseres.",Y21="X"),(AA21+AL21)/2,0)</f>
        <v>0</v>
      </c>
      <c r="FK21" s="674">
        <f>IF(AND(AND(Stamoplysninger!$B$26="Weekendtimer og weekendtillæg afspadseres.",I21="X",C21="ikke relevant")),K21,0)</f>
        <v>0</v>
      </c>
      <c r="FL21" s="675">
        <f>IF(AND(AND(Stamoplysninger!$B$26="Weekendtimer og weekendtillæg afspadseres.",Y21="X",S21="ikke relevant")),(AA21+AL21)/2,0)</f>
        <v>0</v>
      </c>
      <c r="FM21" s="283">
        <f>IF(AND(Stamoplysninger!$B$26="Der er indgået lokalaftale omkring weekendtillæg(Kræver aftale med TR/FSL). Weekendtimerne afspadseres.",I21="X"),K21,0)</f>
        <v>0</v>
      </c>
      <c r="FN21" s="674">
        <f>IF(AND(AND(Stamoplysninger!$B$26="Der er indgået lokalaftale omkring weekendtillæg(Kræver aftale med TR/FSL). Weekendtimerne afspadseres.",I21="X",C21="ikke relevant")),K21,0)</f>
        <v>0</v>
      </c>
      <c r="FO21" s="283">
        <f>IF(AND(Stamoplysninger!$B$26="Weekendtimer og weekendtillæg udbetales.",I21="X"),K21,0)</f>
        <v>0</v>
      </c>
      <c r="FP21" s="251">
        <f>IF(AND(Stamoplysninger!$B$26="Weekendtimer og weekendtillæg udbetales.",AA21="X"),(AC21+AN21)/2,0)</f>
        <v>0</v>
      </c>
      <c r="FQ21" s="674">
        <f>IF(AND(AND(Stamoplysninger!$B$26="Weekendtimer og weekendtillæg udbetales.",I21="X",C21="ikke relevant")),K21,0)</f>
        <v>0</v>
      </c>
      <c r="FR21" s="688">
        <f>IF(AND(AND(Stamoplysninger!$B$26="Weekendtimer og weekendtillæg udbetales.",AA21="X",U21="ikke relevant")),(AC21+AN21)/2,0)</f>
        <v>0</v>
      </c>
      <c r="FS21" s="283">
        <f t="shared" si="15"/>
        <v>0</v>
      </c>
      <c r="FT21" s="658">
        <f t="shared" si="16"/>
        <v>0</v>
      </c>
      <c r="FU21">
        <f t="shared" si="17"/>
        <v>0</v>
      </c>
      <c r="FV21" s="283">
        <f>IF(AND(Stamoplysninger!$B$26="Der er indgået lokalaftale omkring weekendtimer.(Kræver aftale med TR/FSL) Weekendtillæg afspadseres.",I21="X"),K21,0)</f>
        <v>0</v>
      </c>
      <c r="FW21" s="674">
        <f>IF(AND(AND(Stamoplysninger!$B$26="Der er indgået lokalaftale omkring weekendtimer.(Kræver aftale med TR/FSL) Weekendtillæg afspadseres.",I21="X",C21="ikke relevant")),K21,0)</f>
        <v>0</v>
      </c>
      <c r="FX21" s="283">
        <f>IF(AND(Stamoplysninger!$B$26="Der er indgået lokalaftale omkring weekendtimer(Kræver aftale med TR/FSL). Weekendtillæg udbetales.",I21="X"),K21,0)</f>
        <v>0</v>
      </c>
      <c r="FY21" s="674">
        <f>IF(AND(AND(Stamoplysninger!$B$26="Der er indgået lokalaftale omkring weekendtimer(Kræver aftale med TR/FSL). Weekendtillæg udbetales.",I21="X",C21="ikke relevant")),K21,0)</f>
        <v>0</v>
      </c>
      <c r="FZ21" s="283">
        <f>IF(AND(Stamoplysninger!$B$26="Der er indgået lokalaftale omkring weekendtillæg(Kræver aftale med TR/FSL). Weekendtimerne udbetales.",I21="X"),K21,0)</f>
        <v>0</v>
      </c>
      <c r="GA21" s="674">
        <f>IF(AND(AND(Stamoplysninger!$B$26="Der er indgået lokalaftale omkring weekendtillæg(Kræver aftale med TR/FSL). Weekendtimerne udbetales.",I21="X",C21="ikke relevant")),K21,0)</f>
        <v>0</v>
      </c>
      <c r="GB21" s="283">
        <f>IF(AND(Stamoplysninger!$B$26="Der er indgået lokalaftale omkring weekendtimer og weekendtillæg.(Kræver aftale med TR/FSL).",I21="X"),K21,0)</f>
        <v>0</v>
      </c>
      <c r="GC21" s="674">
        <f>IF(AND(AND(Stamoplysninger!$B$26="Der er indgået lokalaftale omkring weekendtimer og weekendtillæg.(Kræver aftale med TR/FSL).",I21="X",C21="ikke relevant")),K21,0)</f>
        <v>0</v>
      </c>
    </row>
    <row r="22" spans="1:185">
      <c r="A22" s="245">
        <f t="shared" si="18"/>
        <v>14</v>
      </c>
      <c r="B22" s="128" t="str">
        <f t="shared" si="0"/>
        <v>ti</v>
      </c>
      <c r="C22" s="129" t="s">
        <v>207</v>
      </c>
      <c r="D22" s="130" t="str">
        <f t="shared" si="1"/>
        <v/>
      </c>
      <c r="E22" s="949"/>
      <c r="F22" s="950"/>
      <c r="G22" s="951"/>
      <c r="H22" s="297"/>
      <c r="I22" s="527"/>
      <c r="J22" s="413"/>
      <c r="K22" s="380"/>
      <c r="L22" s="380"/>
      <c r="M22" s="380"/>
      <c r="N22" s="318">
        <f t="shared" si="19"/>
        <v>8.5</v>
      </c>
      <c r="O22" s="318">
        <f t="shared" si="20"/>
        <v>3.75</v>
      </c>
      <c r="P22" s="318">
        <f>IF(Stamoplysninger!$H$29="JA",Januar!DG22,CX22)</f>
        <v>1.5</v>
      </c>
      <c r="Q22" s="318">
        <f t="shared" si="21"/>
        <v>3.25</v>
      </c>
      <c r="R22" s="319"/>
      <c r="S22" s="324"/>
      <c r="T22" s="325"/>
      <c r="U22" s="325"/>
      <c r="V22" s="435"/>
      <c r="W22" s="412"/>
      <c r="X22" s="642"/>
      <c r="Y22">
        <f t="shared" si="22"/>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f>IF(AND(C22="Skema 2",B22="ti"),Arbejdstidsoversigt!$E$82,"")</f>
        <v>8.5</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8.5</v>
      </c>
      <c r="BB22" s="229">
        <f t="shared" si="8"/>
        <v>0</v>
      </c>
      <c r="BC22" s="1">
        <f t="shared" si="24"/>
        <v>0</v>
      </c>
      <c r="BD22" s="1">
        <f t="shared" si="9"/>
        <v>0</v>
      </c>
      <c r="BE22" s="1">
        <f t="shared" si="10"/>
        <v>0</v>
      </c>
      <c r="BF22" s="1">
        <f t="shared" si="11"/>
        <v>0</v>
      </c>
      <c r="BG22" s="210" t="str">
        <f>IF(AND(C22="Skema 1",B22="ma"),Skemaoplysninger!$E$30,"")</f>
        <v/>
      </c>
      <c r="BH22" s="210" t="str">
        <f>IF(AND(C22="Skema 1",B22="ti"),Skemaoplysninger!$G$30,"")</f>
        <v/>
      </c>
      <c r="BI22" s="210" t="str">
        <f>IF(AND(C22="Skema 1",B22="on"),Skemaoplysninger!$I$30,"")</f>
        <v/>
      </c>
      <c r="BJ22" s="210" t="str">
        <f>IF(AND(C22="Skema 1",B22="to"),Skemaoplysninger!$K$30,"")</f>
        <v/>
      </c>
      <c r="BK22" s="210" t="str">
        <f>IF(AND(C22="Skema 1",B22="fr"),Skemaoplysninger!$M$30,"")</f>
        <v/>
      </c>
      <c r="BL22" s="210" t="str">
        <f>IF(AND(C22="Skema 2",B22="ma"),Skemaoplysninger!$S$30,"")</f>
        <v/>
      </c>
      <c r="BM22" s="210">
        <f>IF(AND(C22="Skema 2",B22="ti"),Skemaoplysninger!$U$30,"")</f>
        <v>0.15625</v>
      </c>
      <c r="BN22" s="210" t="str">
        <f>IF(AND(C22="Skema 2",B22="on"),Skemaoplysninger!$W$30,"")</f>
        <v/>
      </c>
      <c r="BO22" s="210" t="str">
        <f>IF(AND(C22="Skema 2",B22="to"),Skemaoplysninger!$Y$30,"")</f>
        <v/>
      </c>
      <c r="BP22" s="210" t="str">
        <f>IF(AND(C22="Skema 2",B22="fr"),Skemaoplysninger!$AA$30,"")</f>
        <v/>
      </c>
      <c r="BQ22" s="210" t="str">
        <f>IF(AND(C22="Skema 3",B22="ma"),Skemaoplysninger!$AG$30,"")</f>
        <v/>
      </c>
      <c r="BR22" s="210" t="str">
        <f>IF(AND(C22="Skema 3",B22="ti"),Skemaoplysninger!$AI$30,"")</f>
        <v/>
      </c>
      <c r="BS22" s="210" t="str">
        <f>IF(AND(C22="Skema 3",B22="on"),Skemaoplysninger!$AK$30,"")</f>
        <v/>
      </c>
      <c r="BT22" s="210" t="str">
        <f>IF(AND(C22="Skema 3",B22="to"),Skemaoplysninger!$AM$30,"")</f>
        <v/>
      </c>
      <c r="BU22" s="210" t="str">
        <f>IF(AND(C22="Skema 3",B22="fr"),Skemaoplysninger!$AO$30,"")</f>
        <v/>
      </c>
      <c r="BV22" s="210" t="str">
        <f>IF(AND(C22="Skema 4",B22="ma"),Skemaoplysninger!$AU$30,"")</f>
        <v/>
      </c>
      <c r="BW22" s="210" t="str">
        <f>IF(AND(C22="Skema 4",B22="ti"),Skemaoplysninger!$AW$30,"")</f>
        <v/>
      </c>
      <c r="BX22" s="210" t="str">
        <f>IF(AND(C22="Skema 4",B22="on"),Skemaoplysninger!$AY$30,"")</f>
        <v/>
      </c>
      <c r="BY22" s="210" t="str">
        <f>IF(AND(C22="Skema 4",B22="to"),Skemaoplysninger!$BA$30,"")</f>
        <v/>
      </c>
      <c r="BZ22" s="210" t="str">
        <f>IF(AND(C22="Skema 4",B22="fr"),Skemaoplysninger!$BC$30,"")</f>
        <v/>
      </c>
      <c r="CA22" s="1">
        <f t="shared" si="25"/>
        <v>3.75</v>
      </c>
      <c r="CB22" s="1">
        <f t="shared" si="12"/>
        <v>0</v>
      </c>
      <c r="CC22" s="1">
        <f t="shared" si="13"/>
        <v>0</v>
      </c>
      <c r="CD22" s="210" t="str">
        <f>IF(AND(C22="Skema 1",B22="ma"),Skemaoplysninger!$E$31,"")</f>
        <v/>
      </c>
      <c r="CE22" s="210" t="str">
        <f>IF(AND(C22="Skema 1",B22="ti"),Skemaoplysninger!$G$31,"")</f>
        <v/>
      </c>
      <c r="CF22" s="210" t="str">
        <f>IF(AND(C22="Skema 1",B22="on"),Skemaoplysninger!$I$31,"")</f>
        <v/>
      </c>
      <c r="CG22" s="210" t="str">
        <f>IF(AND(C22="Skema 1",B22="to"),Skemaoplysninger!$K$31,"")</f>
        <v/>
      </c>
      <c r="CH22" s="210" t="str">
        <f>IF(AND(C22="Skema 1",B22="fr"),Skemaoplysninger!$M$31,"")</f>
        <v/>
      </c>
      <c r="CI22" s="210" t="str">
        <f>IF(AND(C22="Skema 2",B22="ma"),Skemaoplysninger!$S$31,"")</f>
        <v/>
      </c>
      <c r="CJ22" s="210">
        <f>IF(AND(C22="Skema 2",B22="ti"),Skemaoplysninger!$U$31,"")</f>
        <v>6.25E-2</v>
      </c>
      <c r="CK22" s="210" t="str">
        <f>IF(AND(C22="Skema 2",B22="on"),Skemaoplysninger!$W$31,"")</f>
        <v/>
      </c>
      <c r="CL22" s="210" t="str">
        <f>IF(AND(C22="Skema 2",B22="to"),Skemaoplysninger!$Y$31,"")</f>
        <v/>
      </c>
      <c r="CM22" s="210" t="str">
        <f>IF(AND(C22="Skema 2",B22="fr"),Skemaoplysninger!$AA$31,"")</f>
        <v/>
      </c>
      <c r="CN22" s="210" t="str">
        <f>IF(AND(C22="Skema 3",B22="ma"),Skemaoplysninger!$AG$31,"")</f>
        <v/>
      </c>
      <c r="CO22" s="210" t="str">
        <f>IF(AND(C22="Skema 3",B22="ti"),Skemaoplysninger!$AI$31,"")</f>
        <v/>
      </c>
      <c r="CP22" s="210" t="str">
        <f>IF(AND(C22="Skema 3",B22="on"),Skemaoplysninger!$AK$31,"")</f>
        <v/>
      </c>
      <c r="CQ22" s="210" t="str">
        <f>IF(AND(C22="Skema 3",B22="to"),Skemaoplysninger!$AM$31,"")</f>
        <v/>
      </c>
      <c r="CR22" s="210" t="str">
        <f>IF(AND(C22="Skema 3",B22="fr"),Skemaoplysninger!$AO$31,"")</f>
        <v/>
      </c>
      <c r="CS22" s="210" t="str">
        <f>IF(AND(C22="Skema 4",B22="ma"),Skemaoplysninger!$AU$31,"")</f>
        <v/>
      </c>
      <c r="CT22" s="210" t="str">
        <f>IF(AND(C22="Skema 4",B22="ti"),Skemaoplysninger!$AW$31,"")</f>
        <v/>
      </c>
      <c r="CU22" s="210" t="str">
        <f>IF(AND(C22="Skema 4",B22="on"),Skemaoplysninger!$AY$31,"")</f>
        <v/>
      </c>
      <c r="CV22" s="210" t="str">
        <f>IF(AND(C22="Skema 4",B22="to"),Skemaoplysninger!$BA$31,"")</f>
        <v/>
      </c>
      <c r="CW22" s="210" t="str">
        <f>IF(AND(C22="Skema 4",B22="fr"),Skemaoplysninger!$BC$31,"")</f>
        <v/>
      </c>
      <c r="CX22" s="249">
        <f>IF(Stamoplysninger!$H$29="NEJ",SUM(CD22:CW22)*24+CB22+CC22,0)</f>
        <v>1.5</v>
      </c>
      <c r="CY22" s="249">
        <f>IF(C22="Skema 1",Stamoplysninger!$H$30/200,0)</f>
        <v>0</v>
      </c>
      <c r="CZ22" s="249">
        <f>IF(C22="Skema 2",Stamoplysninger!$H$30/200,0)</f>
        <v>0</v>
      </c>
      <c r="DA22" s="249">
        <f>IF(C22="Skema 3",Stamoplysninger!$H$30/200,0)</f>
        <v>0</v>
      </c>
      <c r="DB22" s="249">
        <f>IF(C22="Skema 4",Stamoplysninger!$H$30/200,0)</f>
        <v>0</v>
      </c>
      <c r="DC22" s="249">
        <f>IF(C22="fagdag",Stamoplysninger!$H$30/200,0)</f>
        <v>0</v>
      </c>
      <c r="DD22" s="249">
        <f>IF(C22="emnedag",Stamoplysninger!$H$30/200,0)</f>
        <v>0</v>
      </c>
      <c r="DE22" s="249">
        <f>IF(C22="lejrskole",Stamoplysninger!$H$30/200,0)</f>
        <v>0</v>
      </c>
      <c r="DF22" s="249">
        <f>IF(C22="ekskursion",Stamoplysninger!$H$30/200,0)</f>
        <v>0</v>
      </c>
      <c r="DG22" s="249">
        <f t="shared" si="26"/>
        <v>0</v>
      </c>
      <c r="DH22" t="str">
        <f t="shared" si="27"/>
        <v/>
      </c>
      <c r="DI22">
        <f t="shared" si="28"/>
        <v>0</v>
      </c>
      <c r="DJ22">
        <f t="shared" si="29"/>
        <v>0</v>
      </c>
      <c r="DK22" t="str">
        <f t="shared" si="14"/>
        <v/>
      </c>
      <c r="DL22" t="str">
        <f t="shared" si="14"/>
        <v/>
      </c>
      <c r="DM22" t="str">
        <f t="shared" si="14"/>
        <v/>
      </c>
      <c r="DN22" t="str">
        <f t="shared" si="30"/>
        <v/>
      </c>
      <c r="DO22" s="652">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71">
        <f>IF(AND(Stamoplysninger!$B$22="Ulempetillæg udbetales med 25% af nettotimelønnen.",C22="ikke relevant"),(R22)/4,0)</f>
        <v>0</v>
      </c>
      <c r="DT22" s="671">
        <f>IF(AND(AND(Stamoplysninger!$B$22="Ulempetillæg udbetales med 25% af nettotimelønnen.",I22="X",C22="Ikke relevant")),K22/4,0)</f>
        <v>0</v>
      </c>
      <c r="DU22" s="671">
        <f>IF(AND(AND(Stamoplysninger!$B$22="Ulempetillæg udbetales med 25% af nettotimelønnen.",C22="ikke relevant",U22="X")),(X22/4),0)</f>
        <v>0</v>
      </c>
      <c r="DV22" s="672">
        <f>IF(AND(AND(AND(Stamoplysninger!$B$22="Ulempetillæg udbetales med 25% af nettotimelønnen.",I22="X",C22="Ikke relevant",S22="X"))),V22/4,0)</f>
        <v>0</v>
      </c>
      <c r="DW22" s="652"/>
      <c r="DZ22" s="671"/>
      <c r="EA22" s="671"/>
      <c r="EB22" s="672"/>
      <c r="EC22" s="652">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71">
        <f>IF(AND(Stamoplysninger!$B$22="Ulempetillæg afspadseres med 25%(Kræver en aftale imellem ledelsen og den ansatte)",C22="ikke relevant"),(R22)/4,0)</f>
        <v>0</v>
      </c>
      <c r="EH22" s="671">
        <f>IF(AND(AND(Stamoplysninger!$B$22="Ulempetillæg afspadseres med 25%(Kræver en aftale imellem ledelsen og den ansatte)",I22="X",C22="Ikke relevant")),K22/4,0)</f>
        <v>0</v>
      </c>
      <c r="EI22" s="671">
        <f>IF(AND(AND(Stamoplysninger!$B$22="Ulempetillæg afspadseres med 25%(Kræver en aftale imellem ledelsen og den ansatte)",U22="X",C22="Ikke relevant")),X22/4,0)</f>
        <v>0</v>
      </c>
      <c r="EJ22" s="671">
        <f>IF(AND(AND(AND(Stamoplysninger!$B$22="Ulempetillæg afspadseres med 25%(Kræver en aftale imellem ledelsen og den ansatte)",I22="X",C22="Ikke relevant",S22="X"))),V22/4,0)</f>
        <v>0</v>
      </c>
      <c r="EK22" s="283">
        <f>IF(AND(Stamoplysninger!$B$26="Weekendtimer og weekendtillæg afspadseres.",I22="X"),K22*1.5,0)</f>
        <v>0</v>
      </c>
      <c r="EL22" s="251">
        <f>IF(AND(AND(Stamoplysninger!$B$26="Weekendtimer og weekendtillæg afspadseres.",I22="X",S22="X")),V22*1.5,0)</f>
        <v>0</v>
      </c>
      <c r="EM22" s="674">
        <f>IF(AND(AND(Stamoplysninger!$B$26="Weekendtimer og weekendtillæg afspadseres.",I22="X",C22="ikke relevant")),K22*1.5,0)</f>
        <v>0</v>
      </c>
      <c r="EN22" s="675">
        <f>IF(AND(AND(AND(Stamoplysninger!$B$26="Weekendtimer og weekendtillæg afspadseres.",I22="X",C22="ikke relevant",S22="X"))),(V22*1.5),0)</f>
        <v>0</v>
      </c>
      <c r="EO22" s="283">
        <f>IF(AND(Stamoplysninger!$B$26="Weekendtimer og weekendtillæg udbetales.",I22="X"),K22*1.5,0)</f>
        <v>0</v>
      </c>
      <c r="EP22" s="251">
        <f>IF(AND(AND(Stamoplysninger!$B$26="Weekendtimer og weekendtillæg udbetales.",I22="X",S22="X")),V22*1.5,0)</f>
        <v>0</v>
      </c>
      <c r="EQ22" s="674">
        <f>IF(AND(AND(Stamoplysninger!$B$26="Weekendtimer og weekendtillæg udbetales.",I22="X",C22="ikke relevant")),K22*1.5,0)</f>
        <v>0</v>
      </c>
      <c r="ER22" s="675">
        <f>IF(AND(AND(AND(Stamoplysninger!$B$26="Weekendtimer og weekendtillæg udbetales.",I22="X",C22="ikke relevant",S22="X"))),(V22*1.5),0)</f>
        <v>0</v>
      </c>
      <c r="ES22" s="283">
        <f>IF(AND(Stamoplysninger!$B$26="Der er indgået lokalaftale omkring weekendtimer.(Kræver aftale med TR/FSL) Weekendtillæg afspadseres.",I22="X"),K22*0.5,0)</f>
        <v>0</v>
      </c>
      <c r="ET22" s="251">
        <f>IF(AND(AND(Stamoplysninger!$B$26="Der er indgået lokalaftale omkring weekendtimer.(Kræver aftale med TR/FSL) Weekendtillæg afspadseres.",I22="X",S22="X")),V22*0.5,0)</f>
        <v>0</v>
      </c>
      <c r="EU22" s="674">
        <f>IF(AND(AND(Stamoplysninger!$B$26="Der er indgået lokalaftale omkring weekendtimer.(Kræver aftale med TR/FSL) Weekendtillæg afspadseres.",I22="X",C22="ikke relevant")),K22*0.5,0)</f>
        <v>0</v>
      </c>
      <c r="EV22" s="675">
        <f>IF(AND(AND(AND(Stamoplysninger!$B$26="Der er indgået lokalaftale omkring weekendtimer.(Kræver aftale med TR/FSL) Weekendtillæg afspadseres.",I22="X",C22="ikke relevant",S22="X"))),(V22*0.5),0)</f>
        <v>0</v>
      </c>
      <c r="EW22" s="283">
        <f>IF(AND(Stamoplysninger!$B$26="Der er indgået lokalaftale omkring weekendtimer(Kræver aftale med TR/FSL). Weekendtillæg udbetales.",I22="X"),K22*0.5,0)</f>
        <v>0</v>
      </c>
      <c r="EX22" s="251">
        <f>IF(AND(AND(Stamoplysninger!$B$26="Der er indgået lokalaftale omkring weekendtimer(Kræver aftale med TR/FSL). Weekendtillæg udbetales.",I22="X",S22="X")),V22*0.5,0)</f>
        <v>0</v>
      </c>
      <c r="EY22" s="674">
        <f>IF(AND(AND(Stamoplysninger!$B$26="Der er indgået lokalaftale omkring weekendtimer(Kræver aftale med TR/FSL). Weekendtillæg udbetales.",I22="X",C22="ikke relevant")),K22*0.5,0)</f>
        <v>0</v>
      </c>
      <c r="EZ22" s="675">
        <f>IF(AND(AND(AND(Stamoplysninger!$B$26="Der er indgået lokalaftale omkring weekendtimer(Kræver aftale med TR/FSL). Weekendtillæg udbetales.",I22="X",C22="ikke relevant",S22="X"))),(V22*0.5),0)</f>
        <v>0</v>
      </c>
      <c r="FA22" s="283">
        <f>IF(AND(Stamoplysninger!$B$26="Der er indgået lokalaftale omkring weekendtillæg(Kræver aftale med TR/FSL). Weekendtimerne afspadseres.",I22="X"),K22,0)</f>
        <v>0</v>
      </c>
      <c r="FB22" s="251">
        <f>IF(AND(AND(Stamoplysninger!$B$26="Der er indgået lokalaftale omkring weekendtillæg(Kræver aftale med TR/FSL). Weekendtimerne afspadseres.",I22="X",S22="X")),V22,0)</f>
        <v>0</v>
      </c>
      <c r="FC22" s="674">
        <f>IF(AND(AND(Stamoplysninger!$B$26="Der er indgået lokalaftale omkring weekendtillæg(Kræver aftale med TR/FSL). Weekendtimerne afspadseres..",I22="X",C22="ikke relevant")),K22,0)</f>
        <v>0</v>
      </c>
      <c r="FD22" s="675">
        <f>IF(AND(AND(AND(Stamoplysninger!$B$26="Der er indgået lokalaftale omkring weekendtillæg(Kræver aftale med TR/FSL). Weekendtimerne afspadseres.",I22="X",C22="ikke relevant",S22="X"))),(V22),0)</f>
        <v>0</v>
      </c>
      <c r="FE22" s="283">
        <f>IF(AND(Stamoplysninger!$B$26="Der er indgået lokalaftale omkring weekendtillæg(Kræver aftale med TR/FSL). Weekendtimerne udbetales.",I22="X"),K22,0)</f>
        <v>0</v>
      </c>
      <c r="FF22" s="251">
        <f>IF(AND(AND(Stamoplysninger!$B$26="Der er indgået lokalaftale omkring weekendtillæg(Kræver aftale med TR/FSL). Weekendtimerne udbetales.",I22="X",S22="X")),V22,0)</f>
        <v>0</v>
      </c>
      <c r="FG22" s="674">
        <f>IF(AND(AND(Stamoplysninger!$B$26="Der er indgået lokalaftale omkring weekendtillæg(Kræver aftale med TR/FSL). Weekendtimerne udbetales.",I22="X",C22="ikke relevant")),K22,0)</f>
        <v>0</v>
      </c>
      <c r="FH22" s="675">
        <f>IF(AND(AND(AND(Stamoplysninger!$B$26="Der er indgået lokalaftale omkring weekendtillæg(Kræver aftale med TR/FSL). Weekendtimerne udbetales.",I22="X",C22="ikke relevant",S22="X"))),(V22),0)</f>
        <v>0</v>
      </c>
      <c r="FI22" s="283">
        <f>IF(AND(Stamoplysninger!$B$26="Weekendtimer og weekendtillæg afspadseres.",I22="X"),K22,0)</f>
        <v>0</v>
      </c>
      <c r="FJ22" s="251">
        <f>IF(AND(Stamoplysninger!$B$26="Weekendtimer og weekendtillæg afspadseres.",Y22="X"),(AA22+AL22)/2,0)</f>
        <v>0</v>
      </c>
      <c r="FK22" s="674">
        <f>IF(AND(AND(Stamoplysninger!$B$26="Weekendtimer og weekendtillæg afspadseres.",I22="X",C22="ikke relevant")),K22,0)</f>
        <v>0</v>
      </c>
      <c r="FL22" s="675">
        <f>IF(AND(AND(Stamoplysninger!$B$26="Weekendtimer og weekendtillæg afspadseres.",Y22="X",S22="ikke relevant")),(AA22+AL22)/2,0)</f>
        <v>0</v>
      </c>
      <c r="FM22" s="283">
        <f>IF(AND(Stamoplysninger!$B$26="Der er indgået lokalaftale omkring weekendtillæg(Kræver aftale med TR/FSL). Weekendtimerne afspadseres.",I22="X"),K22,0)</f>
        <v>0</v>
      </c>
      <c r="FN22" s="674">
        <f>IF(AND(AND(Stamoplysninger!$B$26="Der er indgået lokalaftale omkring weekendtillæg(Kræver aftale med TR/FSL). Weekendtimerne afspadseres.",I22="X",C22="ikke relevant")),K22,0)</f>
        <v>0</v>
      </c>
      <c r="FO22" s="283">
        <f>IF(AND(Stamoplysninger!$B$26="Weekendtimer og weekendtillæg udbetales.",I22="X"),K22,0)</f>
        <v>0</v>
      </c>
      <c r="FP22" s="251">
        <f>IF(AND(Stamoplysninger!$B$26="Weekendtimer og weekendtillæg udbetales.",AA22="X"),(AC22+AN22)/2,0)</f>
        <v>0</v>
      </c>
      <c r="FQ22" s="674">
        <f>IF(AND(AND(Stamoplysninger!$B$26="Weekendtimer og weekendtillæg udbetales.",I22="X",C22="ikke relevant")),K22,0)</f>
        <v>0</v>
      </c>
      <c r="FR22" s="688">
        <f>IF(AND(AND(Stamoplysninger!$B$26="Weekendtimer og weekendtillæg udbetales.",AA22="X",U22="ikke relevant")),(AC22+AN22)/2,0)</f>
        <v>0</v>
      </c>
      <c r="FS22" s="283">
        <f t="shared" si="15"/>
        <v>0</v>
      </c>
      <c r="FT22" s="658">
        <f t="shared" si="16"/>
        <v>0</v>
      </c>
      <c r="FU22">
        <f t="shared" si="17"/>
        <v>0</v>
      </c>
      <c r="FV22" s="283">
        <f>IF(AND(Stamoplysninger!$B$26="Der er indgået lokalaftale omkring weekendtimer.(Kræver aftale med TR/FSL) Weekendtillæg afspadseres.",I22="X"),K22,0)</f>
        <v>0</v>
      </c>
      <c r="FW22" s="674">
        <f>IF(AND(AND(Stamoplysninger!$B$26="Der er indgået lokalaftale omkring weekendtimer.(Kræver aftale med TR/FSL) Weekendtillæg afspadseres.",I22="X",C22="ikke relevant")),K22,0)</f>
        <v>0</v>
      </c>
      <c r="FX22" s="283">
        <f>IF(AND(Stamoplysninger!$B$26="Der er indgået lokalaftale omkring weekendtimer(Kræver aftale med TR/FSL). Weekendtillæg udbetales.",I22="X"),K22,0)</f>
        <v>0</v>
      </c>
      <c r="FY22" s="674">
        <f>IF(AND(AND(Stamoplysninger!$B$26="Der er indgået lokalaftale omkring weekendtimer(Kræver aftale med TR/FSL). Weekendtillæg udbetales.",I22="X",C22="ikke relevant")),K22,0)</f>
        <v>0</v>
      </c>
      <c r="FZ22" s="283">
        <f>IF(AND(Stamoplysninger!$B$26="Der er indgået lokalaftale omkring weekendtillæg(Kræver aftale med TR/FSL). Weekendtimerne udbetales.",I22="X"),K22,0)</f>
        <v>0</v>
      </c>
      <c r="GA22" s="674">
        <f>IF(AND(AND(Stamoplysninger!$B$26="Der er indgået lokalaftale omkring weekendtillæg(Kræver aftale med TR/FSL). Weekendtimerne udbetales.",I22="X",C22="ikke relevant")),K22,0)</f>
        <v>0</v>
      </c>
      <c r="GB22" s="283">
        <f>IF(AND(Stamoplysninger!$B$26="Der er indgået lokalaftale omkring weekendtimer og weekendtillæg.(Kræver aftale med TR/FSL).",I22="X"),K22,0)</f>
        <v>0</v>
      </c>
      <c r="GC22" s="674">
        <f>IF(AND(AND(Stamoplysninger!$B$26="Der er indgået lokalaftale omkring weekendtimer og weekendtillæg.(Kræver aftale med TR/FSL).",I22="X",C22="ikke relevant")),K22,0)</f>
        <v>0</v>
      </c>
    </row>
    <row r="23" spans="1:185">
      <c r="A23" s="245">
        <f t="shared" si="18"/>
        <v>15</v>
      </c>
      <c r="B23" s="128" t="str">
        <f t="shared" si="0"/>
        <v>on</v>
      </c>
      <c r="C23" s="129" t="s">
        <v>207</v>
      </c>
      <c r="D23" s="130" t="str">
        <f t="shared" si="1"/>
        <v/>
      </c>
      <c r="E23" s="949"/>
      <c r="F23" s="950"/>
      <c r="G23" s="951"/>
      <c r="H23" s="297"/>
      <c r="I23" s="527"/>
      <c r="J23" s="413"/>
      <c r="K23" s="380"/>
      <c r="L23" s="380"/>
      <c r="M23" s="380"/>
      <c r="N23" s="318">
        <f t="shared" si="19"/>
        <v>7.75</v>
      </c>
      <c r="O23" s="318">
        <f t="shared" si="20"/>
        <v>4.25</v>
      </c>
      <c r="P23" s="318">
        <f>IF(Stamoplysninger!$H$29="JA",Januar!DG23,CX23)</f>
        <v>1</v>
      </c>
      <c r="Q23" s="318">
        <f t="shared" si="21"/>
        <v>2.5</v>
      </c>
      <c r="R23" s="319"/>
      <c r="S23" s="324"/>
      <c r="T23" s="325"/>
      <c r="U23" s="325"/>
      <c r="V23" s="435"/>
      <c r="W23" s="412"/>
      <c r="X23" s="642"/>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f>IF(AND(C23="Skema 2",B23="on"),Arbejdstidsoversigt!$E$83,"")</f>
        <v>7.75</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7.75</v>
      </c>
      <c r="BB23" s="229">
        <f t="shared" si="8"/>
        <v>0</v>
      </c>
      <c r="BC23" s="1">
        <f t="shared" si="24"/>
        <v>0</v>
      </c>
      <c r="BD23" s="1">
        <f t="shared" si="9"/>
        <v>0</v>
      </c>
      <c r="BE23" s="1">
        <f t="shared" si="10"/>
        <v>0</v>
      </c>
      <c r="BF23" s="1">
        <f t="shared" si="11"/>
        <v>0</v>
      </c>
      <c r="BG23" s="210" t="str">
        <f>IF(AND(C23="Skema 1",B23="ma"),Skemaoplysninger!$E$30,"")</f>
        <v/>
      </c>
      <c r="BH23" s="210" t="str">
        <f>IF(AND(C23="Skema 1",B23="ti"),Skemaoplysninger!$G$30,"")</f>
        <v/>
      </c>
      <c r="BI23" s="210" t="str">
        <f>IF(AND(C23="Skema 1",B23="on"),Skemaoplysninger!$I$30,"")</f>
        <v/>
      </c>
      <c r="BJ23" s="210" t="str">
        <f>IF(AND(C23="Skema 1",B23="to"),Skemaoplysninger!$K$30,"")</f>
        <v/>
      </c>
      <c r="BK23" s="210" t="str">
        <f>IF(AND(C23="Skema 1",B23="fr"),Skemaoplysninger!$M$30,"")</f>
        <v/>
      </c>
      <c r="BL23" s="210" t="str">
        <f>IF(AND(C23="Skema 2",B23="ma"),Skemaoplysninger!$S$30,"")</f>
        <v/>
      </c>
      <c r="BM23" s="210" t="str">
        <f>IF(AND(C23="Skema 2",B23="ti"),Skemaoplysninger!$U$30,"")</f>
        <v/>
      </c>
      <c r="BN23" s="210">
        <f>IF(AND(C23="Skema 2",B23="on"),Skemaoplysninger!$W$30,"")</f>
        <v>0.17708333333333331</v>
      </c>
      <c r="BO23" s="210" t="str">
        <f>IF(AND(C23="Skema 2",B23="to"),Skemaoplysninger!$Y$30,"")</f>
        <v/>
      </c>
      <c r="BP23" s="210" t="str">
        <f>IF(AND(C23="Skema 2",B23="fr"),Skemaoplysninger!$AA$30,"")</f>
        <v/>
      </c>
      <c r="BQ23" s="210" t="str">
        <f>IF(AND(C23="Skema 3",B23="ma"),Skemaoplysninger!$AG$30,"")</f>
        <v/>
      </c>
      <c r="BR23" s="210" t="str">
        <f>IF(AND(C23="Skema 3",B23="ti"),Skemaoplysninger!$AI$30,"")</f>
        <v/>
      </c>
      <c r="BS23" s="210" t="str">
        <f>IF(AND(C23="Skema 3",B23="on"),Skemaoplysninger!$AK$30,"")</f>
        <v/>
      </c>
      <c r="BT23" s="210" t="str">
        <f>IF(AND(C23="Skema 3",B23="to"),Skemaoplysninger!$AM$30,"")</f>
        <v/>
      </c>
      <c r="BU23" s="210" t="str">
        <f>IF(AND(C23="Skema 3",B23="fr"),Skemaoplysninger!$AO$30,"")</f>
        <v/>
      </c>
      <c r="BV23" s="210" t="str">
        <f>IF(AND(C23="Skema 4",B23="ma"),Skemaoplysninger!$AU$30,"")</f>
        <v/>
      </c>
      <c r="BW23" s="210" t="str">
        <f>IF(AND(C23="Skema 4",B23="ti"),Skemaoplysninger!$AW$30,"")</f>
        <v/>
      </c>
      <c r="BX23" s="210" t="str">
        <f>IF(AND(C23="Skema 4",B23="on"),Skemaoplysninger!$AY$30,"")</f>
        <v/>
      </c>
      <c r="BY23" s="210" t="str">
        <f>IF(AND(C23="Skema 4",B23="to"),Skemaoplysninger!$BA$30,"")</f>
        <v/>
      </c>
      <c r="BZ23" s="210" t="str">
        <f>IF(AND(C23="Skema 4",B23="fr"),Skemaoplysninger!$BC$30,"")</f>
        <v/>
      </c>
      <c r="CA23" s="1">
        <f t="shared" si="25"/>
        <v>4.25</v>
      </c>
      <c r="CB23" s="1">
        <f t="shared" si="12"/>
        <v>0</v>
      </c>
      <c r="CC23" s="1">
        <f t="shared" si="13"/>
        <v>0</v>
      </c>
      <c r="CD23" s="210" t="str">
        <f>IF(AND(C23="Skema 1",B23="ma"),Skemaoplysninger!$E$31,"")</f>
        <v/>
      </c>
      <c r="CE23" s="210" t="str">
        <f>IF(AND(C23="Skema 1",B23="ti"),Skemaoplysninger!$G$31,"")</f>
        <v/>
      </c>
      <c r="CF23" s="210" t="str">
        <f>IF(AND(C23="Skema 1",B23="on"),Skemaoplysninger!$I$31,"")</f>
        <v/>
      </c>
      <c r="CG23" s="210" t="str">
        <f>IF(AND(C23="Skema 1",B23="to"),Skemaoplysninger!$K$31,"")</f>
        <v/>
      </c>
      <c r="CH23" s="210" t="str">
        <f>IF(AND(C23="Skema 1",B23="fr"),Skemaoplysninger!$M$31,"")</f>
        <v/>
      </c>
      <c r="CI23" s="210" t="str">
        <f>IF(AND(C23="Skema 2",B23="ma"),Skemaoplysninger!$S$31,"")</f>
        <v/>
      </c>
      <c r="CJ23" s="210" t="str">
        <f>IF(AND(C23="Skema 2",B23="ti"),Skemaoplysninger!$U$31,"")</f>
        <v/>
      </c>
      <c r="CK23" s="210">
        <f>IF(AND(C23="Skema 2",B23="on"),Skemaoplysninger!$W$31,"")</f>
        <v>4.1666666666666664E-2</v>
      </c>
      <c r="CL23" s="210" t="str">
        <f>IF(AND(C23="Skema 2",B23="to"),Skemaoplysninger!$Y$31,"")</f>
        <v/>
      </c>
      <c r="CM23" s="210" t="str">
        <f>IF(AND(C23="Skema 2",B23="fr"),Skemaoplysninger!$AA$31,"")</f>
        <v/>
      </c>
      <c r="CN23" s="210" t="str">
        <f>IF(AND(C23="Skema 3",B23="ma"),Skemaoplysninger!$AG$31,"")</f>
        <v/>
      </c>
      <c r="CO23" s="210" t="str">
        <f>IF(AND(C23="Skema 3",B23="ti"),Skemaoplysninger!$AI$31,"")</f>
        <v/>
      </c>
      <c r="CP23" s="210" t="str">
        <f>IF(AND(C23="Skema 3",B23="on"),Skemaoplysninger!$AK$31,"")</f>
        <v/>
      </c>
      <c r="CQ23" s="210" t="str">
        <f>IF(AND(C23="Skema 3",B23="to"),Skemaoplysninger!$AM$31,"")</f>
        <v/>
      </c>
      <c r="CR23" s="210" t="str">
        <f>IF(AND(C23="Skema 3",B23="fr"),Skemaoplysninger!$AO$31,"")</f>
        <v/>
      </c>
      <c r="CS23" s="210" t="str">
        <f>IF(AND(C23="Skema 4",B23="ma"),Skemaoplysninger!$AU$31,"")</f>
        <v/>
      </c>
      <c r="CT23" s="210" t="str">
        <f>IF(AND(C23="Skema 4",B23="ti"),Skemaoplysninger!$AW$31,"")</f>
        <v/>
      </c>
      <c r="CU23" s="210" t="str">
        <f>IF(AND(C23="Skema 4",B23="on"),Skemaoplysninger!$AY$31,"")</f>
        <v/>
      </c>
      <c r="CV23" s="210" t="str">
        <f>IF(AND(C23="Skema 4",B23="to"),Skemaoplysninger!$BA$31,"")</f>
        <v/>
      </c>
      <c r="CW23" s="210" t="str">
        <f>IF(AND(C23="Skema 4",B23="fr"),Skemaoplysninger!$BC$31,"")</f>
        <v/>
      </c>
      <c r="CX23" s="249">
        <f>IF(Stamoplysninger!$H$29="NEJ",SUM(CD23:CW23)*24+CB23+CC23,0)</f>
        <v>1</v>
      </c>
      <c r="CY23" s="249">
        <f>IF(C23="Skema 1",Stamoplysninger!$H$30/200,0)</f>
        <v>0</v>
      </c>
      <c r="CZ23" s="249">
        <f>IF(C23="Skema 2",Stamoplysninger!$H$30/200,0)</f>
        <v>0</v>
      </c>
      <c r="DA23" s="249">
        <f>IF(C23="Skema 3",Stamoplysninger!$H$30/200,0)</f>
        <v>0</v>
      </c>
      <c r="DB23" s="249">
        <f>IF(C23="Skema 4",Stamoplysninger!$H$30/200,0)</f>
        <v>0</v>
      </c>
      <c r="DC23" s="249">
        <f>IF(C23="fagdag",Stamoplysninger!$H$30/200,0)</f>
        <v>0</v>
      </c>
      <c r="DD23" s="249">
        <f>IF(C23="emnedag",Stamoplysninger!$H$30/200,0)</f>
        <v>0</v>
      </c>
      <c r="DE23" s="249">
        <f>IF(C23="lejrskole",Stamoplysninger!$H$30/200,0)</f>
        <v>0</v>
      </c>
      <c r="DF23" s="249">
        <f>IF(C23="ekskursion",Stamoplysninger!$H$30/200,0)</f>
        <v>0</v>
      </c>
      <c r="DG23" s="249">
        <f t="shared" si="26"/>
        <v>0</v>
      </c>
      <c r="DH23" t="str">
        <f t="shared" si="27"/>
        <v/>
      </c>
      <c r="DI23">
        <f t="shared" si="28"/>
        <v>0</v>
      </c>
      <c r="DJ23">
        <f t="shared" si="29"/>
        <v>0</v>
      </c>
      <c r="DK23" t="str">
        <f t="shared" si="14"/>
        <v/>
      </c>
      <c r="DL23" t="str">
        <f t="shared" si="14"/>
        <v/>
      </c>
      <c r="DM23" t="str">
        <f t="shared" si="14"/>
        <v/>
      </c>
      <c r="DN23" t="str">
        <f t="shared" si="30"/>
        <v/>
      </c>
      <c r="DO23" s="652">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71">
        <f>IF(AND(Stamoplysninger!$B$22="Ulempetillæg udbetales med 25% af nettotimelønnen.",C23="ikke relevant"),(R23)/4,0)</f>
        <v>0</v>
      </c>
      <c r="DT23" s="671">
        <f>IF(AND(AND(Stamoplysninger!$B$22="Ulempetillæg udbetales med 25% af nettotimelønnen.",I23="X",C23="Ikke relevant")),K23/4,0)</f>
        <v>0</v>
      </c>
      <c r="DU23" s="671">
        <f>IF(AND(AND(Stamoplysninger!$B$22="Ulempetillæg udbetales med 25% af nettotimelønnen.",C23="ikke relevant",U23="X")),(X23/4),0)</f>
        <v>0</v>
      </c>
      <c r="DV23" s="672">
        <f>IF(AND(AND(AND(Stamoplysninger!$B$22="Ulempetillæg udbetales med 25% af nettotimelønnen.",I23="X",C23="Ikke relevant",S23="X"))),V23/4,0)</f>
        <v>0</v>
      </c>
      <c r="DW23" s="652"/>
      <c r="DZ23" s="671"/>
      <c r="EA23" s="671"/>
      <c r="EB23" s="672"/>
      <c r="EC23" s="652">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71">
        <f>IF(AND(Stamoplysninger!$B$22="Ulempetillæg afspadseres med 25%(Kræver en aftale imellem ledelsen og den ansatte)",C23="ikke relevant"),(R23)/4,0)</f>
        <v>0</v>
      </c>
      <c r="EH23" s="671">
        <f>IF(AND(AND(Stamoplysninger!$B$22="Ulempetillæg afspadseres med 25%(Kræver en aftale imellem ledelsen og den ansatte)",I23="X",C23="Ikke relevant")),K23/4,0)</f>
        <v>0</v>
      </c>
      <c r="EI23" s="671">
        <f>IF(AND(AND(Stamoplysninger!$B$22="Ulempetillæg afspadseres med 25%(Kræver en aftale imellem ledelsen og den ansatte)",U23="X",C23="Ikke relevant")),X23/4,0)</f>
        <v>0</v>
      </c>
      <c r="EJ23" s="671">
        <f>IF(AND(AND(AND(Stamoplysninger!$B$22="Ulempetillæg afspadseres med 25%(Kræver en aftale imellem ledelsen og den ansatte)",I23="X",C23="Ikke relevant",S23="X"))),V23/4,0)</f>
        <v>0</v>
      </c>
      <c r="EK23" s="283">
        <f>IF(AND(Stamoplysninger!$B$26="Weekendtimer og weekendtillæg afspadseres.",I23="X"),K23*1.5,0)</f>
        <v>0</v>
      </c>
      <c r="EL23" s="251">
        <f>IF(AND(AND(Stamoplysninger!$B$26="Weekendtimer og weekendtillæg afspadseres.",I23="X",S23="X")),V23*1.5,0)</f>
        <v>0</v>
      </c>
      <c r="EM23" s="674">
        <f>IF(AND(AND(Stamoplysninger!$B$26="Weekendtimer og weekendtillæg afspadseres.",I23="X",C23="ikke relevant")),K23*1.5,0)</f>
        <v>0</v>
      </c>
      <c r="EN23" s="675">
        <f>IF(AND(AND(AND(Stamoplysninger!$B$26="Weekendtimer og weekendtillæg afspadseres.",I23="X",C23="ikke relevant",S23="X"))),(V23*1.5),0)</f>
        <v>0</v>
      </c>
      <c r="EO23" s="283">
        <f>IF(AND(Stamoplysninger!$B$26="Weekendtimer og weekendtillæg udbetales.",I23="X"),K23*1.5,0)</f>
        <v>0</v>
      </c>
      <c r="EP23" s="251">
        <f>IF(AND(AND(Stamoplysninger!$B$26="Weekendtimer og weekendtillæg udbetales.",I23="X",S23="X")),V23*1.5,0)</f>
        <v>0</v>
      </c>
      <c r="EQ23" s="674">
        <f>IF(AND(AND(Stamoplysninger!$B$26="Weekendtimer og weekendtillæg udbetales.",I23="X",C23="ikke relevant")),K23*1.5,0)</f>
        <v>0</v>
      </c>
      <c r="ER23" s="675">
        <f>IF(AND(AND(AND(Stamoplysninger!$B$26="Weekendtimer og weekendtillæg udbetales.",I23="X",C23="ikke relevant",S23="X"))),(V23*1.5),0)</f>
        <v>0</v>
      </c>
      <c r="ES23" s="283">
        <f>IF(AND(Stamoplysninger!$B$26="Der er indgået lokalaftale omkring weekendtimer.(Kræver aftale med TR/FSL) Weekendtillæg afspadseres.",I23="X"),K23*0.5,0)</f>
        <v>0</v>
      </c>
      <c r="ET23" s="251">
        <f>IF(AND(AND(Stamoplysninger!$B$26="Der er indgået lokalaftale omkring weekendtimer.(Kræver aftale med TR/FSL) Weekendtillæg afspadseres.",I23="X",S23="X")),V23*0.5,0)</f>
        <v>0</v>
      </c>
      <c r="EU23" s="674">
        <f>IF(AND(AND(Stamoplysninger!$B$26="Der er indgået lokalaftale omkring weekendtimer.(Kræver aftale med TR/FSL) Weekendtillæg afspadseres.",I23="X",C23="ikke relevant")),K23*0.5,0)</f>
        <v>0</v>
      </c>
      <c r="EV23" s="675">
        <f>IF(AND(AND(AND(Stamoplysninger!$B$26="Der er indgået lokalaftale omkring weekendtimer.(Kræver aftale med TR/FSL) Weekendtillæg afspadseres.",I23="X",C23="ikke relevant",S23="X"))),(V23*0.5),0)</f>
        <v>0</v>
      </c>
      <c r="EW23" s="283">
        <f>IF(AND(Stamoplysninger!$B$26="Der er indgået lokalaftale omkring weekendtimer(Kræver aftale med TR/FSL). Weekendtillæg udbetales.",I23="X"),K23*0.5,0)</f>
        <v>0</v>
      </c>
      <c r="EX23" s="251">
        <f>IF(AND(AND(Stamoplysninger!$B$26="Der er indgået lokalaftale omkring weekendtimer(Kræver aftale med TR/FSL). Weekendtillæg udbetales.",I23="X",S23="X")),V23*0.5,0)</f>
        <v>0</v>
      </c>
      <c r="EY23" s="674">
        <f>IF(AND(AND(Stamoplysninger!$B$26="Der er indgået lokalaftale omkring weekendtimer(Kræver aftale med TR/FSL). Weekendtillæg udbetales.",I23="X",C23="ikke relevant")),K23*0.5,0)</f>
        <v>0</v>
      </c>
      <c r="EZ23" s="675">
        <f>IF(AND(AND(AND(Stamoplysninger!$B$26="Der er indgået lokalaftale omkring weekendtimer(Kræver aftale med TR/FSL). Weekendtillæg udbetales.",I23="X",C23="ikke relevant",S23="X"))),(V23*0.5),0)</f>
        <v>0</v>
      </c>
      <c r="FA23" s="283">
        <f>IF(AND(Stamoplysninger!$B$26="Der er indgået lokalaftale omkring weekendtillæg(Kræver aftale med TR/FSL). Weekendtimerne afspadseres.",I23="X"),K23,0)</f>
        <v>0</v>
      </c>
      <c r="FB23" s="251">
        <f>IF(AND(AND(Stamoplysninger!$B$26="Der er indgået lokalaftale omkring weekendtillæg(Kræver aftale med TR/FSL). Weekendtimerne afspadseres.",I23="X",S23="X")),V23,0)</f>
        <v>0</v>
      </c>
      <c r="FC23" s="674">
        <f>IF(AND(AND(Stamoplysninger!$B$26="Der er indgået lokalaftale omkring weekendtillæg(Kræver aftale med TR/FSL). Weekendtimerne afspadseres..",I23="X",C23="ikke relevant")),K23,0)</f>
        <v>0</v>
      </c>
      <c r="FD23" s="675">
        <f>IF(AND(AND(AND(Stamoplysninger!$B$26="Der er indgået lokalaftale omkring weekendtillæg(Kræver aftale med TR/FSL). Weekendtimerne afspadseres.",I23="X",C23="ikke relevant",S23="X"))),(V23),0)</f>
        <v>0</v>
      </c>
      <c r="FE23" s="283">
        <f>IF(AND(Stamoplysninger!$B$26="Der er indgået lokalaftale omkring weekendtillæg(Kræver aftale med TR/FSL). Weekendtimerne udbetales.",I23="X"),K23,0)</f>
        <v>0</v>
      </c>
      <c r="FF23" s="251">
        <f>IF(AND(AND(Stamoplysninger!$B$26="Der er indgået lokalaftale omkring weekendtillæg(Kræver aftale med TR/FSL). Weekendtimerne udbetales.",I23="X",S23="X")),V23,0)</f>
        <v>0</v>
      </c>
      <c r="FG23" s="674">
        <f>IF(AND(AND(Stamoplysninger!$B$26="Der er indgået lokalaftale omkring weekendtillæg(Kræver aftale med TR/FSL). Weekendtimerne udbetales.",I23="X",C23="ikke relevant")),K23,0)</f>
        <v>0</v>
      </c>
      <c r="FH23" s="675">
        <f>IF(AND(AND(AND(Stamoplysninger!$B$26="Der er indgået lokalaftale omkring weekendtillæg(Kræver aftale med TR/FSL). Weekendtimerne udbetales.",I23="X",C23="ikke relevant",S23="X"))),(V23),0)</f>
        <v>0</v>
      </c>
      <c r="FI23" s="283">
        <f>IF(AND(Stamoplysninger!$B$26="Weekendtimer og weekendtillæg afspadseres.",I23="X"),K23,0)</f>
        <v>0</v>
      </c>
      <c r="FJ23" s="251">
        <f>IF(AND(Stamoplysninger!$B$26="Weekendtimer og weekendtillæg afspadseres.",Y23="X"),(AA23+AL23)/2,0)</f>
        <v>0</v>
      </c>
      <c r="FK23" s="674">
        <f>IF(AND(AND(Stamoplysninger!$B$26="Weekendtimer og weekendtillæg afspadseres.",I23="X",C23="ikke relevant")),K23,0)</f>
        <v>0</v>
      </c>
      <c r="FL23" s="675">
        <f>IF(AND(AND(Stamoplysninger!$B$26="Weekendtimer og weekendtillæg afspadseres.",Y23="X",S23="ikke relevant")),(AA23+AL23)/2,0)</f>
        <v>0</v>
      </c>
      <c r="FM23" s="283">
        <f>IF(AND(Stamoplysninger!$B$26="Der er indgået lokalaftale omkring weekendtillæg(Kræver aftale med TR/FSL). Weekendtimerne afspadseres.",I23="X"),K23,0)</f>
        <v>0</v>
      </c>
      <c r="FN23" s="674">
        <f>IF(AND(AND(Stamoplysninger!$B$26="Der er indgået lokalaftale omkring weekendtillæg(Kræver aftale med TR/FSL). Weekendtimerne afspadseres.",I23="X",C23="ikke relevant")),K23,0)</f>
        <v>0</v>
      </c>
      <c r="FO23" s="283">
        <f>IF(AND(Stamoplysninger!$B$26="Weekendtimer og weekendtillæg udbetales.",I23="X"),K23,0)</f>
        <v>0</v>
      </c>
      <c r="FP23" s="251">
        <f>IF(AND(Stamoplysninger!$B$26="Weekendtimer og weekendtillæg udbetales.",AA23="X"),(AC23+AN23)/2,0)</f>
        <v>0</v>
      </c>
      <c r="FQ23" s="674">
        <f>IF(AND(AND(Stamoplysninger!$B$26="Weekendtimer og weekendtillæg udbetales.",I23="X",C23="ikke relevant")),K23,0)</f>
        <v>0</v>
      </c>
      <c r="FR23" s="688">
        <f>IF(AND(AND(Stamoplysninger!$B$26="Weekendtimer og weekendtillæg udbetales.",AA23="X",U23="ikke relevant")),(AC23+AN23)/2,0)</f>
        <v>0</v>
      </c>
      <c r="FS23" s="283">
        <f t="shared" si="15"/>
        <v>0</v>
      </c>
      <c r="FT23" s="658">
        <f t="shared" si="16"/>
        <v>0</v>
      </c>
      <c r="FU23">
        <f t="shared" si="17"/>
        <v>0</v>
      </c>
      <c r="FV23" s="283">
        <f>IF(AND(Stamoplysninger!$B$26="Der er indgået lokalaftale omkring weekendtimer.(Kræver aftale med TR/FSL) Weekendtillæg afspadseres.",I23="X"),K23,0)</f>
        <v>0</v>
      </c>
      <c r="FW23" s="674">
        <f>IF(AND(AND(Stamoplysninger!$B$26="Der er indgået lokalaftale omkring weekendtimer.(Kræver aftale med TR/FSL) Weekendtillæg afspadseres.",I23="X",C23="ikke relevant")),K23,0)</f>
        <v>0</v>
      </c>
      <c r="FX23" s="283">
        <f>IF(AND(Stamoplysninger!$B$26="Der er indgået lokalaftale omkring weekendtimer(Kræver aftale med TR/FSL). Weekendtillæg udbetales.",I23="X"),K23,0)</f>
        <v>0</v>
      </c>
      <c r="FY23" s="674">
        <f>IF(AND(AND(Stamoplysninger!$B$26="Der er indgået lokalaftale omkring weekendtimer(Kræver aftale med TR/FSL). Weekendtillæg udbetales.",I23="X",C23="ikke relevant")),K23,0)</f>
        <v>0</v>
      </c>
      <c r="FZ23" s="283">
        <f>IF(AND(Stamoplysninger!$B$26="Der er indgået lokalaftale omkring weekendtillæg(Kræver aftale med TR/FSL). Weekendtimerne udbetales.",I23="X"),K23,0)</f>
        <v>0</v>
      </c>
      <c r="GA23" s="674">
        <f>IF(AND(AND(Stamoplysninger!$B$26="Der er indgået lokalaftale omkring weekendtillæg(Kræver aftale med TR/FSL). Weekendtimerne udbetales.",I23="X",C23="ikke relevant")),K23,0)</f>
        <v>0</v>
      </c>
      <c r="GB23" s="283">
        <f>IF(AND(Stamoplysninger!$B$26="Der er indgået lokalaftale omkring weekendtimer og weekendtillæg.(Kræver aftale med TR/FSL).",I23="X"),K23,0)</f>
        <v>0</v>
      </c>
      <c r="GC23" s="674">
        <f>IF(AND(AND(Stamoplysninger!$B$26="Der er indgået lokalaftale omkring weekendtimer og weekendtillæg.(Kræver aftale med TR/FSL).",I23="X",C23="ikke relevant")),K23,0)</f>
        <v>0</v>
      </c>
    </row>
    <row r="24" spans="1:185">
      <c r="A24" s="245">
        <f>IF(ISNUMBER(A23),A23+1,1)</f>
        <v>16</v>
      </c>
      <c r="B24" s="128" t="str">
        <f t="shared" si="0"/>
        <v>to</v>
      </c>
      <c r="C24" s="129" t="s">
        <v>207</v>
      </c>
      <c r="D24" s="130" t="str">
        <f t="shared" si="1"/>
        <v/>
      </c>
      <c r="E24" s="917"/>
      <c r="F24" s="918"/>
      <c r="G24" s="919"/>
      <c r="H24" s="298"/>
      <c r="I24" s="527"/>
      <c r="J24" s="413"/>
      <c r="K24" s="380"/>
      <c r="L24" s="380"/>
      <c r="M24" s="380"/>
      <c r="N24" s="318">
        <f t="shared" si="19"/>
        <v>7.75</v>
      </c>
      <c r="O24" s="318">
        <f t="shared" si="20"/>
        <v>3</v>
      </c>
      <c r="P24" s="318">
        <f>IF(Stamoplysninger!$H$29="JA",Januar!DG24,CX24)</f>
        <v>0.83333333333333337</v>
      </c>
      <c r="Q24" s="318">
        <f t="shared" si="21"/>
        <v>3.9166666666666665</v>
      </c>
      <c r="R24" s="319"/>
      <c r="S24" s="324"/>
      <c r="T24" s="325"/>
      <c r="U24" s="325"/>
      <c r="V24" s="435"/>
      <c r="W24" s="412"/>
      <c r="X24" s="642"/>
      <c r="Y24">
        <f t="shared" si="22"/>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f>IF(AND(C24="Skema 2",B24="to"),Arbejdstidsoversigt!$E$84,"")</f>
        <v>7.75</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7.75</v>
      </c>
      <c r="BB24" s="229">
        <f t="shared" si="8"/>
        <v>0</v>
      </c>
      <c r="BC24" s="1">
        <f t="shared" si="24"/>
        <v>0</v>
      </c>
      <c r="BD24" s="1">
        <f t="shared" si="9"/>
        <v>0</v>
      </c>
      <c r="BE24" s="1">
        <f t="shared" si="10"/>
        <v>0</v>
      </c>
      <c r="BF24" s="1">
        <f t="shared" si="11"/>
        <v>0</v>
      </c>
      <c r="BG24" s="210" t="str">
        <f>IF(AND(C24="Skema 1",B24="ma"),Skemaoplysninger!$E$30,"")</f>
        <v/>
      </c>
      <c r="BH24" s="210" t="str">
        <f>IF(AND(C24="Skema 1",B24="ti"),Skemaoplysninger!$G$30,"")</f>
        <v/>
      </c>
      <c r="BI24" s="210" t="str">
        <f>IF(AND(C24="Skema 1",B24="on"),Skemaoplysninger!$I$30,"")</f>
        <v/>
      </c>
      <c r="BJ24" s="210" t="str">
        <f>IF(AND(C24="Skema 1",B24="to"),Skemaoplysninger!$K$30,"")</f>
        <v/>
      </c>
      <c r="BK24" s="210" t="str">
        <f>IF(AND(C24="Skema 1",B24="fr"),Skemaoplysninger!$M$30,"")</f>
        <v/>
      </c>
      <c r="BL24" s="210" t="str">
        <f>IF(AND(C24="Skema 2",B24="ma"),Skemaoplysninger!$S$30,"")</f>
        <v/>
      </c>
      <c r="BM24" s="210" t="str">
        <f>IF(AND(C24="Skema 2",B24="ti"),Skemaoplysninger!$U$30,"")</f>
        <v/>
      </c>
      <c r="BN24" s="210" t="str">
        <f>IF(AND(C24="Skema 2",B24="on"),Skemaoplysninger!$W$30,"")</f>
        <v/>
      </c>
      <c r="BO24" s="210">
        <f>IF(AND(C24="Skema 2",B24="to"),Skemaoplysninger!$Y$30,"")</f>
        <v>0.125</v>
      </c>
      <c r="BP24" s="210" t="str">
        <f>IF(AND(C24="Skema 2",B24="fr"),Skemaoplysninger!$AA$30,"")</f>
        <v/>
      </c>
      <c r="BQ24" s="210" t="str">
        <f>IF(AND(C24="Skema 3",B24="ma"),Skemaoplysninger!$AG$30,"")</f>
        <v/>
      </c>
      <c r="BR24" s="210" t="str">
        <f>IF(AND(C24="Skema 3",B24="ti"),Skemaoplysninger!$AI$30,"")</f>
        <v/>
      </c>
      <c r="BS24" s="210" t="str">
        <f>IF(AND(C24="Skema 3",B24="on"),Skemaoplysninger!$AK$30,"")</f>
        <v/>
      </c>
      <c r="BT24" s="210" t="str">
        <f>IF(AND(C24="Skema 3",B24="to"),Skemaoplysninger!$AM$30,"")</f>
        <v/>
      </c>
      <c r="BU24" s="210" t="str">
        <f>IF(AND(C24="Skema 3",B24="fr"),Skemaoplysninger!$AO$30,"")</f>
        <v/>
      </c>
      <c r="BV24" s="210" t="str">
        <f>IF(AND(C24="Skema 4",B24="ma"),Skemaoplysninger!$AU$30,"")</f>
        <v/>
      </c>
      <c r="BW24" s="210" t="str">
        <f>IF(AND(C24="Skema 4",B24="ti"),Skemaoplysninger!$AW$30,"")</f>
        <v/>
      </c>
      <c r="BX24" s="210" t="str">
        <f>IF(AND(C24="Skema 4",B24="on"),Skemaoplysninger!$AY$30,"")</f>
        <v/>
      </c>
      <c r="BY24" s="210" t="str">
        <f>IF(AND(C24="Skema 4",B24="to"),Skemaoplysninger!$BA$30,"")</f>
        <v/>
      </c>
      <c r="BZ24" s="210" t="str">
        <f>IF(AND(C24="Skema 4",B24="fr"),Skemaoplysninger!$BC$30,"")</f>
        <v/>
      </c>
      <c r="CA24" s="1">
        <f t="shared" si="25"/>
        <v>3</v>
      </c>
      <c r="CB24" s="1">
        <f t="shared" si="12"/>
        <v>0</v>
      </c>
      <c r="CC24" s="1">
        <f t="shared" si="13"/>
        <v>0</v>
      </c>
      <c r="CD24" s="210" t="str">
        <f>IF(AND(C24="Skema 1",B24="ma"),Skemaoplysninger!$E$31,"")</f>
        <v/>
      </c>
      <c r="CE24" s="210" t="str">
        <f>IF(AND(C24="Skema 1",B24="ti"),Skemaoplysninger!$G$31,"")</f>
        <v/>
      </c>
      <c r="CF24" s="210" t="str">
        <f>IF(AND(C24="Skema 1",B24="on"),Skemaoplysninger!$I$31,"")</f>
        <v/>
      </c>
      <c r="CG24" s="210" t="str">
        <f>IF(AND(C24="Skema 1",B24="to"),Skemaoplysninger!$K$31,"")</f>
        <v/>
      </c>
      <c r="CH24" s="210" t="str">
        <f>IF(AND(C24="Skema 1",B24="fr"),Skemaoplysninger!$M$31,"")</f>
        <v/>
      </c>
      <c r="CI24" s="210" t="str">
        <f>IF(AND(C24="Skema 2",B24="ma"),Skemaoplysninger!$S$31,"")</f>
        <v/>
      </c>
      <c r="CJ24" s="210" t="str">
        <f>IF(AND(C24="Skema 2",B24="ti"),Skemaoplysninger!$U$31,"")</f>
        <v/>
      </c>
      <c r="CK24" s="210" t="str">
        <f>IF(AND(C24="Skema 2",B24="on"),Skemaoplysninger!$W$31,"")</f>
        <v/>
      </c>
      <c r="CL24" s="210">
        <f>IF(AND(C24="Skema 2",B24="to"),Skemaoplysninger!$Y$31,"")</f>
        <v>3.4722222222222224E-2</v>
      </c>
      <c r="CM24" s="210" t="str">
        <f>IF(AND(C24="Skema 2",B24="fr"),Skemaoplysninger!$AA$31,"")</f>
        <v/>
      </c>
      <c r="CN24" s="210" t="str">
        <f>IF(AND(C24="Skema 3",B24="ma"),Skemaoplysninger!$AG$31,"")</f>
        <v/>
      </c>
      <c r="CO24" s="210" t="str">
        <f>IF(AND(C24="Skema 3",B24="ti"),Skemaoplysninger!$AI$31,"")</f>
        <v/>
      </c>
      <c r="CP24" s="210" t="str">
        <f>IF(AND(C24="Skema 3",B24="on"),Skemaoplysninger!$AK$31,"")</f>
        <v/>
      </c>
      <c r="CQ24" s="210" t="str">
        <f>IF(AND(C24="Skema 3",B24="to"),Skemaoplysninger!$AM$31,"")</f>
        <v/>
      </c>
      <c r="CR24" s="210" t="str">
        <f>IF(AND(C24="Skema 3",B24="fr"),Skemaoplysninger!$AO$31,"")</f>
        <v/>
      </c>
      <c r="CS24" s="210" t="str">
        <f>IF(AND(C24="Skema 4",B24="ma"),Skemaoplysninger!$AU$31,"")</f>
        <v/>
      </c>
      <c r="CT24" s="210" t="str">
        <f>IF(AND(C24="Skema 4",B24="ti"),Skemaoplysninger!$AW$31,"")</f>
        <v/>
      </c>
      <c r="CU24" s="210" t="str">
        <f>IF(AND(C24="Skema 4",B24="on"),Skemaoplysninger!$AY$31,"")</f>
        <v/>
      </c>
      <c r="CV24" s="210" t="str">
        <f>IF(AND(C24="Skema 4",B24="to"),Skemaoplysninger!$BA$31,"")</f>
        <v/>
      </c>
      <c r="CW24" s="210" t="str">
        <f>IF(AND(C24="Skema 4",B24="fr"),Skemaoplysninger!$BC$31,"")</f>
        <v/>
      </c>
      <c r="CX24" s="249">
        <f>IF(Stamoplysninger!$H$29="NEJ",SUM(CD24:CW24)*24+CB24+CC24,0)</f>
        <v>0.83333333333333337</v>
      </c>
      <c r="CY24" s="249">
        <f>IF(C24="Skema 1",Stamoplysninger!$H$30/200,0)</f>
        <v>0</v>
      </c>
      <c r="CZ24" s="249">
        <f>IF(C24="Skema 2",Stamoplysninger!$H$30/200,0)</f>
        <v>0</v>
      </c>
      <c r="DA24" s="249">
        <f>IF(C24="Skema 3",Stamoplysninger!$H$30/200,0)</f>
        <v>0</v>
      </c>
      <c r="DB24" s="249">
        <f>IF(C24="Skema 4",Stamoplysninger!$H$30/200,0)</f>
        <v>0</v>
      </c>
      <c r="DC24" s="249">
        <f>IF(C24="fagdag",Stamoplysninger!$H$30/200,0)</f>
        <v>0</v>
      </c>
      <c r="DD24" s="249">
        <f>IF(C24="emnedag",Stamoplysninger!$H$30/200,0)</f>
        <v>0</v>
      </c>
      <c r="DE24" s="249">
        <f>IF(C24="lejrskole",Stamoplysninger!$H$30/200,0)</f>
        <v>0</v>
      </c>
      <c r="DF24" s="249">
        <f>IF(C24="ekskursion",Stamoplysninger!$H$30/200,0)</f>
        <v>0</v>
      </c>
      <c r="DG24" s="249">
        <f t="shared" si="26"/>
        <v>0</v>
      </c>
      <c r="DH24" t="str">
        <f t="shared" si="27"/>
        <v/>
      </c>
      <c r="DI24">
        <f t="shared" si="28"/>
        <v>0</v>
      </c>
      <c r="DJ24">
        <f t="shared" si="29"/>
        <v>0</v>
      </c>
      <c r="DK24" t="str">
        <f t="shared" si="14"/>
        <v/>
      </c>
      <c r="DL24" t="str">
        <f t="shared" si="14"/>
        <v/>
      </c>
      <c r="DM24" t="str">
        <f t="shared" si="14"/>
        <v/>
      </c>
      <c r="DN24" t="str">
        <f t="shared" si="30"/>
        <v/>
      </c>
      <c r="DO24" s="652">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71">
        <f>IF(AND(Stamoplysninger!$B$22="Ulempetillæg udbetales med 25% af nettotimelønnen.",C24="ikke relevant"),(R24)/4,0)</f>
        <v>0</v>
      </c>
      <c r="DT24" s="671">
        <f>IF(AND(AND(Stamoplysninger!$B$22="Ulempetillæg udbetales med 25% af nettotimelønnen.",I24="X",C24="Ikke relevant")),K24/4,0)</f>
        <v>0</v>
      </c>
      <c r="DU24" s="671">
        <f>IF(AND(AND(Stamoplysninger!$B$22="Ulempetillæg udbetales med 25% af nettotimelønnen.",C24="ikke relevant",U24="X")),(X24/4),0)</f>
        <v>0</v>
      </c>
      <c r="DV24" s="672">
        <f>IF(AND(AND(AND(Stamoplysninger!$B$22="Ulempetillæg udbetales med 25% af nettotimelønnen.",I24="X",C24="Ikke relevant",S24="X"))),V24/4,0)</f>
        <v>0</v>
      </c>
      <c r="DW24" s="652"/>
      <c r="DZ24" s="671"/>
      <c r="EA24" s="671"/>
      <c r="EB24" s="672"/>
      <c r="EC24" s="652">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71">
        <f>IF(AND(Stamoplysninger!$B$22="Ulempetillæg afspadseres med 25%(Kræver en aftale imellem ledelsen og den ansatte)",C24="ikke relevant"),(R24)/4,0)</f>
        <v>0</v>
      </c>
      <c r="EH24" s="671">
        <f>IF(AND(AND(Stamoplysninger!$B$22="Ulempetillæg afspadseres med 25%(Kræver en aftale imellem ledelsen og den ansatte)",I24="X",C24="Ikke relevant")),K24/4,0)</f>
        <v>0</v>
      </c>
      <c r="EI24" s="671">
        <f>IF(AND(AND(Stamoplysninger!$B$22="Ulempetillæg afspadseres med 25%(Kræver en aftale imellem ledelsen og den ansatte)",U24="X",C24="Ikke relevant")),X24/4,0)</f>
        <v>0</v>
      </c>
      <c r="EJ24" s="671">
        <f>IF(AND(AND(AND(Stamoplysninger!$B$22="Ulempetillæg afspadseres med 25%(Kræver en aftale imellem ledelsen og den ansatte)",I24="X",C24="Ikke relevant",S24="X"))),V24/4,0)</f>
        <v>0</v>
      </c>
      <c r="EK24" s="283">
        <f>IF(AND(Stamoplysninger!$B$26="Weekendtimer og weekendtillæg afspadseres.",I24="X"),K24*1.5,0)</f>
        <v>0</v>
      </c>
      <c r="EL24" s="251">
        <f>IF(AND(AND(Stamoplysninger!$B$26="Weekendtimer og weekendtillæg afspadseres.",I24="X",S24="X")),V24*1.5,0)</f>
        <v>0</v>
      </c>
      <c r="EM24" s="674">
        <f>IF(AND(AND(Stamoplysninger!$B$26="Weekendtimer og weekendtillæg afspadseres.",I24="X",C24="ikke relevant")),K24*1.5,0)</f>
        <v>0</v>
      </c>
      <c r="EN24" s="675">
        <f>IF(AND(AND(AND(Stamoplysninger!$B$26="Weekendtimer og weekendtillæg afspadseres.",I24="X",C24="ikke relevant",S24="X"))),(V24*1.5),0)</f>
        <v>0</v>
      </c>
      <c r="EO24" s="283">
        <f>IF(AND(Stamoplysninger!$B$26="Weekendtimer og weekendtillæg udbetales.",I24="X"),K24*1.5,0)</f>
        <v>0</v>
      </c>
      <c r="EP24" s="251">
        <f>IF(AND(AND(Stamoplysninger!$B$26="Weekendtimer og weekendtillæg udbetales.",I24="X",S24="X")),V24*1.5,0)</f>
        <v>0</v>
      </c>
      <c r="EQ24" s="674">
        <f>IF(AND(AND(Stamoplysninger!$B$26="Weekendtimer og weekendtillæg udbetales.",I24="X",C24="ikke relevant")),K24*1.5,0)</f>
        <v>0</v>
      </c>
      <c r="ER24" s="675">
        <f>IF(AND(AND(AND(Stamoplysninger!$B$26="Weekendtimer og weekendtillæg udbetales.",I24="X",C24="ikke relevant",S24="X"))),(V24*1.5),0)</f>
        <v>0</v>
      </c>
      <c r="ES24" s="283">
        <f>IF(AND(Stamoplysninger!$B$26="Der er indgået lokalaftale omkring weekendtimer.(Kræver aftale med TR/FSL) Weekendtillæg afspadseres.",I24="X"),K24*0.5,0)</f>
        <v>0</v>
      </c>
      <c r="ET24" s="251">
        <f>IF(AND(AND(Stamoplysninger!$B$26="Der er indgået lokalaftale omkring weekendtimer.(Kræver aftale med TR/FSL) Weekendtillæg afspadseres.",I24="X",S24="X")),V24*0.5,0)</f>
        <v>0</v>
      </c>
      <c r="EU24" s="674">
        <f>IF(AND(AND(Stamoplysninger!$B$26="Der er indgået lokalaftale omkring weekendtimer.(Kræver aftale med TR/FSL) Weekendtillæg afspadseres.",I24="X",C24="ikke relevant")),K24*0.5,0)</f>
        <v>0</v>
      </c>
      <c r="EV24" s="675">
        <f>IF(AND(AND(AND(Stamoplysninger!$B$26="Der er indgået lokalaftale omkring weekendtimer.(Kræver aftale med TR/FSL) Weekendtillæg afspadseres.",I24="X",C24="ikke relevant",S24="X"))),(V24*0.5),0)</f>
        <v>0</v>
      </c>
      <c r="EW24" s="283">
        <f>IF(AND(Stamoplysninger!$B$26="Der er indgået lokalaftale omkring weekendtimer(Kræver aftale med TR/FSL). Weekendtillæg udbetales.",I24="X"),K24*0.5,0)</f>
        <v>0</v>
      </c>
      <c r="EX24" s="251">
        <f>IF(AND(AND(Stamoplysninger!$B$26="Der er indgået lokalaftale omkring weekendtimer(Kræver aftale med TR/FSL). Weekendtillæg udbetales.",I24="X",S24="X")),V24*0.5,0)</f>
        <v>0</v>
      </c>
      <c r="EY24" s="674">
        <f>IF(AND(AND(Stamoplysninger!$B$26="Der er indgået lokalaftale omkring weekendtimer(Kræver aftale med TR/FSL). Weekendtillæg udbetales.",I24="X",C24="ikke relevant")),K24*0.5,0)</f>
        <v>0</v>
      </c>
      <c r="EZ24" s="675">
        <f>IF(AND(AND(AND(Stamoplysninger!$B$26="Der er indgået lokalaftale omkring weekendtimer(Kræver aftale med TR/FSL). Weekendtillæg udbetales.",I24="X",C24="ikke relevant",S24="X"))),(V24*0.5),0)</f>
        <v>0</v>
      </c>
      <c r="FA24" s="283">
        <f>IF(AND(Stamoplysninger!$B$26="Der er indgået lokalaftale omkring weekendtillæg(Kræver aftale med TR/FSL). Weekendtimerne afspadseres.",I24="X"),K24,0)</f>
        <v>0</v>
      </c>
      <c r="FB24" s="251">
        <f>IF(AND(AND(Stamoplysninger!$B$26="Der er indgået lokalaftale omkring weekendtillæg(Kræver aftale med TR/FSL). Weekendtimerne afspadseres.",I24="X",S24="X")),V24,0)</f>
        <v>0</v>
      </c>
      <c r="FC24" s="674">
        <f>IF(AND(AND(Stamoplysninger!$B$26="Der er indgået lokalaftale omkring weekendtillæg(Kræver aftale med TR/FSL). Weekendtimerne afspadseres..",I24="X",C24="ikke relevant")),K24,0)</f>
        <v>0</v>
      </c>
      <c r="FD24" s="675">
        <f>IF(AND(AND(AND(Stamoplysninger!$B$26="Der er indgået lokalaftale omkring weekendtillæg(Kræver aftale med TR/FSL). Weekendtimerne afspadseres.",I24="X",C24="ikke relevant",S24="X"))),(V24),0)</f>
        <v>0</v>
      </c>
      <c r="FE24" s="283">
        <f>IF(AND(Stamoplysninger!$B$26="Der er indgået lokalaftale omkring weekendtillæg(Kræver aftale med TR/FSL). Weekendtimerne udbetales.",I24="X"),K24,0)</f>
        <v>0</v>
      </c>
      <c r="FF24" s="251">
        <f>IF(AND(AND(Stamoplysninger!$B$26="Der er indgået lokalaftale omkring weekendtillæg(Kræver aftale med TR/FSL). Weekendtimerne udbetales.",I24="X",S24="X")),V24,0)</f>
        <v>0</v>
      </c>
      <c r="FG24" s="674">
        <f>IF(AND(AND(Stamoplysninger!$B$26="Der er indgået lokalaftale omkring weekendtillæg(Kræver aftale med TR/FSL). Weekendtimerne udbetales.",I24="X",C24="ikke relevant")),K24,0)</f>
        <v>0</v>
      </c>
      <c r="FH24" s="675">
        <f>IF(AND(AND(AND(Stamoplysninger!$B$26="Der er indgået lokalaftale omkring weekendtillæg(Kræver aftale med TR/FSL). Weekendtimerne udbetales.",I24="X",C24="ikke relevant",S24="X"))),(V24),0)</f>
        <v>0</v>
      </c>
      <c r="FI24" s="283">
        <f>IF(AND(Stamoplysninger!$B$26="Weekendtimer og weekendtillæg afspadseres.",I24="X"),K24,0)</f>
        <v>0</v>
      </c>
      <c r="FJ24" s="251">
        <f>IF(AND(Stamoplysninger!$B$26="Weekendtimer og weekendtillæg afspadseres.",Y24="X"),(AA24+AL24)/2,0)</f>
        <v>0</v>
      </c>
      <c r="FK24" s="674">
        <f>IF(AND(AND(Stamoplysninger!$B$26="Weekendtimer og weekendtillæg afspadseres.",I24="X",C24="ikke relevant")),K24,0)</f>
        <v>0</v>
      </c>
      <c r="FL24" s="675">
        <f>IF(AND(AND(Stamoplysninger!$B$26="Weekendtimer og weekendtillæg afspadseres.",Y24="X",S24="ikke relevant")),(AA24+AL24)/2,0)</f>
        <v>0</v>
      </c>
      <c r="FM24" s="283">
        <f>IF(AND(Stamoplysninger!$B$26="Der er indgået lokalaftale omkring weekendtillæg(Kræver aftale med TR/FSL). Weekendtimerne afspadseres.",I24="X"),K24,0)</f>
        <v>0</v>
      </c>
      <c r="FN24" s="674">
        <f>IF(AND(AND(Stamoplysninger!$B$26="Der er indgået lokalaftale omkring weekendtillæg(Kræver aftale med TR/FSL). Weekendtimerne afspadseres.",I24="X",C24="ikke relevant")),K24,0)</f>
        <v>0</v>
      </c>
      <c r="FO24" s="283">
        <f>IF(AND(Stamoplysninger!$B$26="Weekendtimer og weekendtillæg udbetales.",I24="X"),K24,0)</f>
        <v>0</v>
      </c>
      <c r="FP24" s="251">
        <f>IF(AND(Stamoplysninger!$B$26="Weekendtimer og weekendtillæg udbetales.",AA24="X"),(AC24+AN24)/2,0)</f>
        <v>0</v>
      </c>
      <c r="FQ24" s="674">
        <f>IF(AND(AND(Stamoplysninger!$B$26="Weekendtimer og weekendtillæg udbetales.",I24="X",C24="ikke relevant")),K24,0)</f>
        <v>0</v>
      </c>
      <c r="FR24" s="688">
        <f>IF(AND(AND(Stamoplysninger!$B$26="Weekendtimer og weekendtillæg udbetales.",AA24="X",U24="ikke relevant")),(AC24+AN24)/2,0)</f>
        <v>0</v>
      </c>
      <c r="FS24" s="283">
        <f t="shared" si="15"/>
        <v>0</v>
      </c>
      <c r="FT24" s="658">
        <f t="shared" si="16"/>
        <v>0</v>
      </c>
      <c r="FU24">
        <f t="shared" si="17"/>
        <v>0</v>
      </c>
      <c r="FV24" s="283">
        <f>IF(AND(Stamoplysninger!$B$26="Der er indgået lokalaftale omkring weekendtimer.(Kræver aftale med TR/FSL) Weekendtillæg afspadseres.",I24="X"),K24,0)</f>
        <v>0</v>
      </c>
      <c r="FW24" s="674">
        <f>IF(AND(AND(Stamoplysninger!$B$26="Der er indgået lokalaftale omkring weekendtimer.(Kræver aftale med TR/FSL) Weekendtillæg afspadseres.",I24="X",C24="ikke relevant")),K24,0)</f>
        <v>0</v>
      </c>
      <c r="FX24" s="283">
        <f>IF(AND(Stamoplysninger!$B$26="Der er indgået lokalaftale omkring weekendtimer(Kræver aftale med TR/FSL). Weekendtillæg udbetales.",I24="X"),K24,0)</f>
        <v>0</v>
      </c>
      <c r="FY24" s="674">
        <f>IF(AND(AND(Stamoplysninger!$B$26="Der er indgået lokalaftale omkring weekendtimer(Kræver aftale med TR/FSL). Weekendtillæg udbetales.",I24="X",C24="ikke relevant")),K24,0)</f>
        <v>0</v>
      </c>
      <c r="FZ24" s="283">
        <f>IF(AND(Stamoplysninger!$B$26="Der er indgået lokalaftale omkring weekendtillæg(Kræver aftale med TR/FSL). Weekendtimerne udbetales.",I24="X"),K24,0)</f>
        <v>0</v>
      </c>
      <c r="GA24" s="674">
        <f>IF(AND(AND(Stamoplysninger!$B$26="Der er indgået lokalaftale omkring weekendtillæg(Kræver aftale med TR/FSL). Weekendtimerne udbetales.",I24="X",C24="ikke relevant")),K24,0)</f>
        <v>0</v>
      </c>
      <c r="GB24" s="283">
        <f>IF(AND(Stamoplysninger!$B$26="Der er indgået lokalaftale omkring weekendtimer og weekendtillæg.(Kræver aftale med TR/FSL).",I24="X"),K24,0)</f>
        <v>0</v>
      </c>
      <c r="GC24" s="674">
        <f>IF(AND(AND(Stamoplysninger!$B$26="Der er indgået lokalaftale omkring weekendtimer og weekendtillæg.(Kræver aftale med TR/FSL).",I24="X",C24="ikke relevant")),K24,0)</f>
        <v>0</v>
      </c>
    </row>
    <row r="25" spans="1:185">
      <c r="A25" s="245">
        <f t="shared" si="18"/>
        <v>17</v>
      </c>
      <c r="B25" s="128" t="str">
        <f t="shared" si="0"/>
        <v>fr</v>
      </c>
      <c r="C25" s="129" t="s">
        <v>207</v>
      </c>
      <c r="D25" s="130" t="str">
        <f t="shared" si="1"/>
        <v/>
      </c>
      <c r="E25" s="917"/>
      <c r="F25" s="918"/>
      <c r="G25" s="919"/>
      <c r="H25" s="298"/>
      <c r="I25" s="527"/>
      <c r="J25" s="413"/>
      <c r="K25" s="380"/>
      <c r="L25" s="380"/>
      <c r="M25" s="380"/>
      <c r="N25" s="318">
        <f t="shared" si="19"/>
        <v>7</v>
      </c>
      <c r="O25" s="318">
        <f t="shared" si="20"/>
        <v>3</v>
      </c>
      <c r="P25" s="318">
        <f>IF(Stamoplysninger!$H$29="JA",Januar!DG25,CX25)</f>
        <v>0.83333333333333337</v>
      </c>
      <c r="Q25" s="318">
        <f t="shared" si="21"/>
        <v>3.1666666666666665</v>
      </c>
      <c r="R25" s="319"/>
      <c r="S25" s="324"/>
      <c r="T25" s="325"/>
      <c r="U25" s="325"/>
      <c r="V25" s="435"/>
      <c r="W25" s="412"/>
      <c r="X25" s="642"/>
      <c r="Y25">
        <f t="shared" si="22"/>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f>IF(AND(C25="Skema 2",B25="fr"),Arbejdstidsoversigt!$E$85,"")</f>
        <v>7</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7</v>
      </c>
      <c r="BB25" s="229">
        <f t="shared" si="8"/>
        <v>0</v>
      </c>
      <c r="BC25" s="1">
        <f t="shared" si="24"/>
        <v>0</v>
      </c>
      <c r="BD25" s="1">
        <f t="shared" si="9"/>
        <v>0</v>
      </c>
      <c r="BE25" s="1">
        <f t="shared" si="10"/>
        <v>0</v>
      </c>
      <c r="BF25" s="1">
        <f t="shared" si="11"/>
        <v>0</v>
      </c>
      <c r="BG25" s="210" t="str">
        <f>IF(AND(C25="Skema 1",B25="ma"),Skemaoplysninger!$E$30,"")</f>
        <v/>
      </c>
      <c r="BH25" s="210" t="str">
        <f>IF(AND(C25="Skema 1",B25="ti"),Skemaoplysninger!$G$30,"")</f>
        <v/>
      </c>
      <c r="BI25" s="210" t="str">
        <f>IF(AND(C25="Skema 1",B25="on"),Skemaoplysninger!$I$30,"")</f>
        <v/>
      </c>
      <c r="BJ25" s="210" t="str">
        <f>IF(AND(C25="Skema 1",B25="to"),Skemaoplysninger!$K$30,"")</f>
        <v/>
      </c>
      <c r="BK25" s="210" t="str">
        <f>IF(AND(C25="Skema 1",B25="fr"),Skemaoplysninger!$M$30,"")</f>
        <v/>
      </c>
      <c r="BL25" s="210" t="str">
        <f>IF(AND(C25="Skema 2",B25="ma"),Skemaoplysninger!$S$30,"")</f>
        <v/>
      </c>
      <c r="BM25" s="210" t="str">
        <f>IF(AND(C25="Skema 2",B25="ti"),Skemaoplysninger!$U$30,"")</f>
        <v/>
      </c>
      <c r="BN25" s="210" t="str">
        <f>IF(AND(C25="Skema 2",B25="on"),Skemaoplysninger!$W$30,"")</f>
        <v/>
      </c>
      <c r="BO25" s="210" t="str">
        <f>IF(AND(C25="Skema 2",B25="to"),Skemaoplysninger!$Y$30,"")</f>
        <v/>
      </c>
      <c r="BP25" s="210">
        <f>IF(AND(C25="Skema 2",B25="fr"),Skemaoplysninger!$AA$30,"")</f>
        <v>0.125</v>
      </c>
      <c r="BQ25" s="210" t="str">
        <f>IF(AND(C25="Skema 3",B25="ma"),Skemaoplysninger!$AG$30,"")</f>
        <v/>
      </c>
      <c r="BR25" s="210" t="str">
        <f>IF(AND(C25="Skema 3",B25="ti"),Skemaoplysninger!$AI$30,"")</f>
        <v/>
      </c>
      <c r="BS25" s="210" t="str">
        <f>IF(AND(C25="Skema 3",B25="on"),Skemaoplysninger!$AK$30,"")</f>
        <v/>
      </c>
      <c r="BT25" s="210" t="str">
        <f>IF(AND(C25="Skema 3",B25="to"),Skemaoplysninger!$AM$30,"")</f>
        <v/>
      </c>
      <c r="BU25" s="210" t="str">
        <f>IF(AND(C25="Skema 3",B25="fr"),Skemaoplysninger!$AO$30,"")</f>
        <v/>
      </c>
      <c r="BV25" s="210" t="str">
        <f>IF(AND(C25="Skema 4",B25="ma"),Skemaoplysninger!$AU$30,"")</f>
        <v/>
      </c>
      <c r="BW25" s="210" t="str">
        <f>IF(AND(C25="Skema 4",B25="ti"),Skemaoplysninger!$AW$30,"")</f>
        <v/>
      </c>
      <c r="BX25" s="210" t="str">
        <f>IF(AND(C25="Skema 4",B25="on"),Skemaoplysninger!$AY$30,"")</f>
        <v/>
      </c>
      <c r="BY25" s="210" t="str">
        <f>IF(AND(C25="Skema 4",B25="to"),Skemaoplysninger!$BA$30,"")</f>
        <v/>
      </c>
      <c r="BZ25" s="210" t="str">
        <f>IF(AND(C25="Skema 4",B25="fr"),Skemaoplysninger!$BC$30,"")</f>
        <v/>
      </c>
      <c r="CA25" s="1">
        <f t="shared" si="25"/>
        <v>3</v>
      </c>
      <c r="CB25" s="1">
        <f t="shared" si="12"/>
        <v>0</v>
      </c>
      <c r="CC25" s="1">
        <f t="shared" si="13"/>
        <v>0</v>
      </c>
      <c r="CD25" s="210" t="str">
        <f>IF(AND(C25="Skema 1",B25="ma"),Skemaoplysninger!$E$31,"")</f>
        <v/>
      </c>
      <c r="CE25" s="210" t="str">
        <f>IF(AND(C25="Skema 1",B25="ti"),Skemaoplysninger!$G$31,"")</f>
        <v/>
      </c>
      <c r="CF25" s="210" t="str">
        <f>IF(AND(C25="Skema 1",B25="on"),Skemaoplysninger!$I$31,"")</f>
        <v/>
      </c>
      <c r="CG25" s="210" t="str">
        <f>IF(AND(C25="Skema 1",B25="to"),Skemaoplysninger!$K$31,"")</f>
        <v/>
      </c>
      <c r="CH25" s="210" t="str">
        <f>IF(AND(C25="Skema 1",B25="fr"),Skemaoplysninger!$M$31,"")</f>
        <v/>
      </c>
      <c r="CI25" s="210" t="str">
        <f>IF(AND(C25="Skema 2",B25="ma"),Skemaoplysninger!$S$31,"")</f>
        <v/>
      </c>
      <c r="CJ25" s="210" t="str">
        <f>IF(AND(C25="Skema 2",B25="ti"),Skemaoplysninger!$U$31,"")</f>
        <v/>
      </c>
      <c r="CK25" s="210" t="str">
        <f>IF(AND(C25="Skema 2",B25="on"),Skemaoplysninger!$W$31,"")</f>
        <v/>
      </c>
      <c r="CL25" s="210" t="str">
        <f>IF(AND(C25="Skema 2",B25="to"),Skemaoplysninger!$Y$31,"")</f>
        <v/>
      </c>
      <c r="CM25" s="210">
        <f>IF(AND(C25="Skema 2",B25="fr"),Skemaoplysninger!$AA$31,"")</f>
        <v>3.4722222222222224E-2</v>
      </c>
      <c r="CN25" s="210" t="str">
        <f>IF(AND(C25="Skema 3",B25="ma"),Skemaoplysninger!$AG$31,"")</f>
        <v/>
      </c>
      <c r="CO25" s="210" t="str">
        <f>IF(AND(C25="Skema 3",B25="ti"),Skemaoplysninger!$AI$31,"")</f>
        <v/>
      </c>
      <c r="CP25" s="210" t="str">
        <f>IF(AND(C25="Skema 3",B25="on"),Skemaoplysninger!$AK$31,"")</f>
        <v/>
      </c>
      <c r="CQ25" s="210" t="str">
        <f>IF(AND(C25="Skema 3",B25="to"),Skemaoplysninger!$AM$31,"")</f>
        <v/>
      </c>
      <c r="CR25" s="210" t="str">
        <f>IF(AND(C25="Skema 3",B25="fr"),Skemaoplysninger!$AO$31,"")</f>
        <v/>
      </c>
      <c r="CS25" s="210" t="str">
        <f>IF(AND(C25="Skema 4",B25="ma"),Skemaoplysninger!$AU$31,"")</f>
        <v/>
      </c>
      <c r="CT25" s="210" t="str">
        <f>IF(AND(C25="Skema 4",B25="ti"),Skemaoplysninger!$AW$31,"")</f>
        <v/>
      </c>
      <c r="CU25" s="210" t="str">
        <f>IF(AND(C25="Skema 4",B25="on"),Skemaoplysninger!$AY$31,"")</f>
        <v/>
      </c>
      <c r="CV25" s="210" t="str">
        <f>IF(AND(C25="Skema 4",B25="to"),Skemaoplysninger!$BA$31,"")</f>
        <v/>
      </c>
      <c r="CW25" s="210" t="str">
        <f>IF(AND(C25="Skema 4",B25="fr"),Skemaoplysninger!$BC$31,"")</f>
        <v/>
      </c>
      <c r="CX25" s="249">
        <f>IF(Stamoplysninger!$H$29="NEJ",SUM(CD25:CW25)*24+CB25+CC25,0)</f>
        <v>0.83333333333333337</v>
      </c>
      <c r="CY25" s="249">
        <f>IF(C25="Skema 1",Stamoplysninger!$H$30/200,0)</f>
        <v>0</v>
      </c>
      <c r="CZ25" s="249">
        <f>IF(C25="Skema 2",Stamoplysninger!$H$30/200,0)</f>
        <v>0</v>
      </c>
      <c r="DA25" s="249">
        <f>IF(C25="Skema 3",Stamoplysninger!$H$30/200,0)</f>
        <v>0</v>
      </c>
      <c r="DB25" s="249">
        <f>IF(C25="Skema 4",Stamoplysninger!$H$30/200,0)</f>
        <v>0</v>
      </c>
      <c r="DC25" s="249">
        <f>IF(C25="fagdag",Stamoplysninger!$H$30/200,0)</f>
        <v>0</v>
      </c>
      <c r="DD25" s="249">
        <f>IF(C25="emnedag",Stamoplysninger!$H$30/200,0)</f>
        <v>0</v>
      </c>
      <c r="DE25" s="249">
        <f>IF(C25="lejrskole",Stamoplysninger!$H$30/200,0)</f>
        <v>0</v>
      </c>
      <c r="DF25" s="249">
        <f>IF(C25="ekskursion",Stamoplysninger!$H$30/200,0)</f>
        <v>0</v>
      </c>
      <c r="DG25" s="249">
        <f t="shared" si="26"/>
        <v>0</v>
      </c>
      <c r="DH25" t="str">
        <f t="shared" si="27"/>
        <v/>
      </c>
      <c r="DI25">
        <f t="shared" si="28"/>
        <v>0</v>
      </c>
      <c r="DJ25">
        <f t="shared" si="29"/>
        <v>0</v>
      </c>
      <c r="DK25" t="str">
        <f t="shared" si="14"/>
        <v/>
      </c>
      <c r="DL25" t="str">
        <f t="shared" si="14"/>
        <v/>
      </c>
      <c r="DM25" t="str">
        <f t="shared" si="14"/>
        <v/>
      </c>
      <c r="DN25" t="str">
        <f t="shared" si="30"/>
        <v/>
      </c>
      <c r="DO25" s="652">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71">
        <f>IF(AND(Stamoplysninger!$B$22="Ulempetillæg udbetales med 25% af nettotimelønnen.",C25="ikke relevant"),(R25)/4,0)</f>
        <v>0</v>
      </c>
      <c r="DT25" s="671">
        <f>IF(AND(AND(Stamoplysninger!$B$22="Ulempetillæg udbetales med 25% af nettotimelønnen.",I25="X",C25="Ikke relevant")),K25/4,0)</f>
        <v>0</v>
      </c>
      <c r="DU25" s="671">
        <f>IF(AND(AND(Stamoplysninger!$B$22="Ulempetillæg udbetales med 25% af nettotimelønnen.",C25="ikke relevant",U25="X")),(X25/4),0)</f>
        <v>0</v>
      </c>
      <c r="DV25" s="672">
        <f>IF(AND(AND(AND(Stamoplysninger!$B$22="Ulempetillæg udbetales med 25% af nettotimelønnen.",I25="X",C25="Ikke relevant",S25="X"))),V25/4,0)</f>
        <v>0</v>
      </c>
      <c r="DW25" s="652"/>
      <c r="DZ25" s="671"/>
      <c r="EA25" s="671"/>
      <c r="EB25" s="672"/>
      <c r="EC25" s="652">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71">
        <f>IF(AND(Stamoplysninger!$B$22="Ulempetillæg afspadseres med 25%(Kræver en aftale imellem ledelsen og den ansatte)",C25="ikke relevant"),(R25)/4,0)</f>
        <v>0</v>
      </c>
      <c r="EH25" s="671">
        <f>IF(AND(AND(Stamoplysninger!$B$22="Ulempetillæg afspadseres med 25%(Kræver en aftale imellem ledelsen og den ansatte)",I25="X",C25="Ikke relevant")),K25/4,0)</f>
        <v>0</v>
      </c>
      <c r="EI25" s="671">
        <f>IF(AND(AND(Stamoplysninger!$B$22="Ulempetillæg afspadseres med 25%(Kræver en aftale imellem ledelsen og den ansatte)",U25="X",C25="Ikke relevant")),X25/4,0)</f>
        <v>0</v>
      </c>
      <c r="EJ25" s="671">
        <f>IF(AND(AND(AND(Stamoplysninger!$B$22="Ulempetillæg afspadseres med 25%(Kræver en aftale imellem ledelsen og den ansatte)",I25="X",C25="Ikke relevant",S25="X"))),V25/4,0)</f>
        <v>0</v>
      </c>
      <c r="EK25" s="283">
        <f>IF(AND(Stamoplysninger!$B$26="Weekendtimer og weekendtillæg afspadseres.",I25="X"),K25*1.5,0)</f>
        <v>0</v>
      </c>
      <c r="EL25" s="251">
        <f>IF(AND(AND(Stamoplysninger!$B$26="Weekendtimer og weekendtillæg afspadseres.",I25="X",S25="X")),V25*1.5,0)</f>
        <v>0</v>
      </c>
      <c r="EM25" s="674">
        <f>IF(AND(AND(Stamoplysninger!$B$26="Weekendtimer og weekendtillæg afspadseres.",I25="X",C25="ikke relevant")),K25*1.5,0)</f>
        <v>0</v>
      </c>
      <c r="EN25" s="675">
        <f>IF(AND(AND(AND(Stamoplysninger!$B$26="Weekendtimer og weekendtillæg afspadseres.",I25="X",C25="ikke relevant",S25="X"))),(V25*1.5),0)</f>
        <v>0</v>
      </c>
      <c r="EO25" s="283">
        <f>IF(AND(Stamoplysninger!$B$26="Weekendtimer og weekendtillæg udbetales.",I25="X"),K25*1.5,0)</f>
        <v>0</v>
      </c>
      <c r="EP25" s="251">
        <f>IF(AND(AND(Stamoplysninger!$B$26="Weekendtimer og weekendtillæg udbetales.",I25="X",S25="X")),V25*1.5,0)</f>
        <v>0</v>
      </c>
      <c r="EQ25" s="674">
        <f>IF(AND(AND(Stamoplysninger!$B$26="Weekendtimer og weekendtillæg udbetales.",I25="X",C25="ikke relevant")),K25*1.5,0)</f>
        <v>0</v>
      </c>
      <c r="ER25" s="675">
        <f>IF(AND(AND(AND(Stamoplysninger!$B$26="Weekendtimer og weekendtillæg udbetales.",I25="X",C25="ikke relevant",S25="X"))),(V25*1.5),0)</f>
        <v>0</v>
      </c>
      <c r="ES25" s="283">
        <f>IF(AND(Stamoplysninger!$B$26="Der er indgået lokalaftale omkring weekendtimer.(Kræver aftale med TR/FSL) Weekendtillæg afspadseres.",I25="X"),K25*0.5,0)</f>
        <v>0</v>
      </c>
      <c r="ET25" s="251">
        <f>IF(AND(AND(Stamoplysninger!$B$26="Der er indgået lokalaftale omkring weekendtimer.(Kræver aftale med TR/FSL) Weekendtillæg afspadseres.",I25="X",S25="X")),V25*0.5,0)</f>
        <v>0</v>
      </c>
      <c r="EU25" s="674">
        <f>IF(AND(AND(Stamoplysninger!$B$26="Der er indgået lokalaftale omkring weekendtimer.(Kræver aftale med TR/FSL) Weekendtillæg afspadseres.",I25="X",C25="ikke relevant")),K25*0.5,0)</f>
        <v>0</v>
      </c>
      <c r="EV25" s="675">
        <f>IF(AND(AND(AND(Stamoplysninger!$B$26="Der er indgået lokalaftale omkring weekendtimer.(Kræver aftale med TR/FSL) Weekendtillæg afspadseres.",I25="X",C25="ikke relevant",S25="X"))),(V25*0.5),0)</f>
        <v>0</v>
      </c>
      <c r="EW25" s="283">
        <f>IF(AND(Stamoplysninger!$B$26="Der er indgået lokalaftale omkring weekendtimer(Kræver aftale med TR/FSL). Weekendtillæg udbetales.",I25="X"),K25*0.5,0)</f>
        <v>0</v>
      </c>
      <c r="EX25" s="251">
        <f>IF(AND(AND(Stamoplysninger!$B$26="Der er indgået lokalaftale omkring weekendtimer(Kræver aftale med TR/FSL). Weekendtillæg udbetales.",I25="X",S25="X")),V25*0.5,0)</f>
        <v>0</v>
      </c>
      <c r="EY25" s="674">
        <f>IF(AND(AND(Stamoplysninger!$B$26="Der er indgået lokalaftale omkring weekendtimer(Kræver aftale med TR/FSL). Weekendtillæg udbetales.",I25="X",C25="ikke relevant")),K25*0.5,0)</f>
        <v>0</v>
      </c>
      <c r="EZ25" s="675">
        <f>IF(AND(AND(AND(Stamoplysninger!$B$26="Der er indgået lokalaftale omkring weekendtimer(Kræver aftale med TR/FSL). Weekendtillæg udbetales.",I25="X",C25="ikke relevant",S25="X"))),(V25*0.5),0)</f>
        <v>0</v>
      </c>
      <c r="FA25" s="283">
        <f>IF(AND(Stamoplysninger!$B$26="Der er indgået lokalaftale omkring weekendtillæg(Kræver aftale med TR/FSL). Weekendtimerne afspadseres.",I25="X"),K25,0)</f>
        <v>0</v>
      </c>
      <c r="FB25" s="251">
        <f>IF(AND(AND(Stamoplysninger!$B$26="Der er indgået lokalaftale omkring weekendtillæg(Kræver aftale med TR/FSL). Weekendtimerne afspadseres.",I25="X",S25="X")),V25,0)</f>
        <v>0</v>
      </c>
      <c r="FC25" s="674">
        <f>IF(AND(AND(Stamoplysninger!$B$26="Der er indgået lokalaftale omkring weekendtillæg(Kræver aftale med TR/FSL). Weekendtimerne afspadseres..",I25="X",C25="ikke relevant")),K25,0)</f>
        <v>0</v>
      </c>
      <c r="FD25" s="675">
        <f>IF(AND(AND(AND(Stamoplysninger!$B$26="Der er indgået lokalaftale omkring weekendtillæg(Kræver aftale med TR/FSL). Weekendtimerne afspadseres.",I25="X",C25="ikke relevant",S25="X"))),(V25),0)</f>
        <v>0</v>
      </c>
      <c r="FE25" s="283">
        <f>IF(AND(Stamoplysninger!$B$26="Der er indgået lokalaftale omkring weekendtillæg(Kræver aftale med TR/FSL). Weekendtimerne udbetales.",I25="X"),K25,0)</f>
        <v>0</v>
      </c>
      <c r="FF25" s="251">
        <f>IF(AND(AND(Stamoplysninger!$B$26="Der er indgået lokalaftale omkring weekendtillæg(Kræver aftale med TR/FSL). Weekendtimerne udbetales.",I25="X",S25="X")),V25,0)</f>
        <v>0</v>
      </c>
      <c r="FG25" s="674">
        <f>IF(AND(AND(Stamoplysninger!$B$26="Der er indgået lokalaftale omkring weekendtillæg(Kræver aftale med TR/FSL). Weekendtimerne udbetales.",I25="X",C25="ikke relevant")),K25,0)</f>
        <v>0</v>
      </c>
      <c r="FH25" s="675">
        <f>IF(AND(AND(AND(Stamoplysninger!$B$26="Der er indgået lokalaftale omkring weekendtillæg(Kræver aftale med TR/FSL). Weekendtimerne udbetales.",I25="X",C25="ikke relevant",S25="X"))),(V25),0)</f>
        <v>0</v>
      </c>
      <c r="FI25" s="283">
        <f>IF(AND(Stamoplysninger!$B$26="Weekendtimer og weekendtillæg afspadseres.",I25="X"),K25,0)</f>
        <v>0</v>
      </c>
      <c r="FJ25" s="251">
        <f>IF(AND(Stamoplysninger!$B$26="Weekendtimer og weekendtillæg afspadseres.",Y25="X"),(AA25+AL25)/2,0)</f>
        <v>0</v>
      </c>
      <c r="FK25" s="674">
        <f>IF(AND(AND(Stamoplysninger!$B$26="Weekendtimer og weekendtillæg afspadseres.",I25="X",C25="ikke relevant")),K25,0)</f>
        <v>0</v>
      </c>
      <c r="FL25" s="675">
        <f>IF(AND(AND(Stamoplysninger!$B$26="Weekendtimer og weekendtillæg afspadseres.",Y25="X",S25="ikke relevant")),(AA25+AL25)/2,0)</f>
        <v>0</v>
      </c>
      <c r="FM25" s="283">
        <f>IF(AND(Stamoplysninger!$B$26="Der er indgået lokalaftale omkring weekendtillæg(Kræver aftale med TR/FSL). Weekendtimerne afspadseres.",I25="X"),K25,0)</f>
        <v>0</v>
      </c>
      <c r="FN25" s="674">
        <f>IF(AND(AND(Stamoplysninger!$B$26="Der er indgået lokalaftale omkring weekendtillæg(Kræver aftale med TR/FSL). Weekendtimerne afspadseres.",I25="X",C25="ikke relevant")),K25,0)</f>
        <v>0</v>
      </c>
      <c r="FO25" s="283">
        <f>IF(AND(Stamoplysninger!$B$26="Weekendtimer og weekendtillæg udbetales.",I25="X"),K25,0)</f>
        <v>0</v>
      </c>
      <c r="FP25" s="251">
        <f>IF(AND(Stamoplysninger!$B$26="Weekendtimer og weekendtillæg udbetales.",AA25="X"),(AC25+AN25)/2,0)</f>
        <v>0</v>
      </c>
      <c r="FQ25" s="674">
        <f>IF(AND(AND(Stamoplysninger!$B$26="Weekendtimer og weekendtillæg udbetales.",I25="X",C25="ikke relevant")),K25,0)</f>
        <v>0</v>
      </c>
      <c r="FR25" s="688">
        <f>IF(AND(AND(Stamoplysninger!$B$26="Weekendtimer og weekendtillæg udbetales.",AA25="X",U25="ikke relevant")),(AC25+AN25)/2,0)</f>
        <v>0</v>
      </c>
      <c r="FS25" s="283">
        <f t="shared" si="15"/>
        <v>0</v>
      </c>
      <c r="FT25" s="658">
        <f t="shared" si="16"/>
        <v>0</v>
      </c>
      <c r="FU25">
        <f t="shared" si="17"/>
        <v>0</v>
      </c>
      <c r="FV25" s="283">
        <f>IF(AND(Stamoplysninger!$B$26="Der er indgået lokalaftale omkring weekendtimer.(Kræver aftale med TR/FSL) Weekendtillæg afspadseres.",I25="X"),K25,0)</f>
        <v>0</v>
      </c>
      <c r="FW25" s="674">
        <f>IF(AND(AND(Stamoplysninger!$B$26="Der er indgået lokalaftale omkring weekendtimer.(Kræver aftale med TR/FSL) Weekendtillæg afspadseres.",I25="X",C25="ikke relevant")),K25,0)</f>
        <v>0</v>
      </c>
      <c r="FX25" s="283">
        <f>IF(AND(Stamoplysninger!$B$26="Der er indgået lokalaftale omkring weekendtimer(Kræver aftale med TR/FSL). Weekendtillæg udbetales.",I25="X"),K25,0)</f>
        <v>0</v>
      </c>
      <c r="FY25" s="674">
        <f>IF(AND(AND(Stamoplysninger!$B$26="Der er indgået lokalaftale omkring weekendtimer(Kræver aftale med TR/FSL). Weekendtillæg udbetales.",I25="X",C25="ikke relevant")),K25,0)</f>
        <v>0</v>
      </c>
      <c r="FZ25" s="283">
        <f>IF(AND(Stamoplysninger!$B$26="Der er indgået lokalaftale omkring weekendtillæg(Kræver aftale med TR/FSL). Weekendtimerne udbetales.",I25="X"),K25,0)</f>
        <v>0</v>
      </c>
      <c r="GA25" s="674">
        <f>IF(AND(AND(Stamoplysninger!$B$26="Der er indgået lokalaftale omkring weekendtillæg(Kræver aftale med TR/FSL). Weekendtimerne udbetales.",I25="X",C25="ikke relevant")),K25,0)</f>
        <v>0</v>
      </c>
      <c r="GB25" s="283">
        <f>IF(AND(Stamoplysninger!$B$26="Der er indgået lokalaftale omkring weekendtimer og weekendtillæg.(Kræver aftale med TR/FSL).",I25="X"),K25,0)</f>
        <v>0</v>
      </c>
      <c r="GC25" s="674">
        <f>IF(AND(AND(Stamoplysninger!$B$26="Der er indgået lokalaftale omkring weekendtimer og weekendtillæg.(Kræver aftale med TR/FSL).",I25="X",C25="ikke relevant")),K25,0)</f>
        <v>0</v>
      </c>
    </row>
    <row r="26" spans="1:185">
      <c r="A26" s="245">
        <f t="shared" si="18"/>
        <v>18</v>
      </c>
      <c r="B26" s="128" t="str">
        <f t="shared" si="0"/>
        <v>lø</v>
      </c>
      <c r="C26" s="129" t="s">
        <v>120</v>
      </c>
      <c r="D26" s="130" t="str">
        <f t="shared" si="1"/>
        <v/>
      </c>
      <c r="E26" s="917"/>
      <c r="F26" s="918"/>
      <c r="G26" s="919"/>
      <c r="H26" s="298"/>
      <c r="I26" s="413"/>
      <c r="J26" s="413"/>
      <c r="K26" s="380"/>
      <c r="L26" s="380"/>
      <c r="M26" s="380"/>
      <c r="N26" s="318">
        <f t="shared" si="19"/>
        <v>0</v>
      </c>
      <c r="O26" s="318">
        <f t="shared" si="20"/>
        <v>0</v>
      </c>
      <c r="P26" s="318">
        <f>IF(Stamoplysninger!$H$29="JA",Januar!DG26,CX26)</f>
        <v>0</v>
      </c>
      <c r="Q26" s="318">
        <f t="shared" si="21"/>
        <v>0</v>
      </c>
      <c r="R26" s="319"/>
      <c r="S26" s="324"/>
      <c r="T26" s="325"/>
      <c r="U26" s="325"/>
      <c r="V26" s="435"/>
      <c r="W26" s="412"/>
      <c r="X26" s="642"/>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9">
        <f t="shared" si="8"/>
        <v>0</v>
      </c>
      <c r="BC26" s="1">
        <f t="shared" si="24"/>
        <v>0</v>
      </c>
      <c r="BD26" s="1">
        <f t="shared" si="9"/>
        <v>0</v>
      </c>
      <c r="BE26" s="1">
        <f t="shared" si="10"/>
        <v>0</v>
      </c>
      <c r="BF26" s="1">
        <f t="shared" si="11"/>
        <v>0</v>
      </c>
      <c r="BG26" s="210" t="str">
        <f>IF(AND(C26="Skema 1",B26="ma"),Skemaoplysninger!$E$30,"")</f>
        <v/>
      </c>
      <c r="BH26" s="210" t="str">
        <f>IF(AND(C26="Skema 1",B26="ti"),Skemaoplysninger!$G$30,"")</f>
        <v/>
      </c>
      <c r="BI26" s="210" t="str">
        <f>IF(AND(C26="Skema 1",B26="on"),Skemaoplysninger!$I$30,"")</f>
        <v/>
      </c>
      <c r="BJ26" s="210" t="str">
        <f>IF(AND(C26="Skema 1",B26="to"),Skemaoplysninger!$K$30,"")</f>
        <v/>
      </c>
      <c r="BK26" s="210" t="str">
        <f>IF(AND(C26="Skema 1",B26="fr"),Skemaoplysninger!$M$30,"")</f>
        <v/>
      </c>
      <c r="BL26" s="210" t="str">
        <f>IF(AND(C26="Skema 2",B26="ma"),Skemaoplysninger!$S$30,"")</f>
        <v/>
      </c>
      <c r="BM26" s="210" t="str">
        <f>IF(AND(C26="Skema 2",B26="ti"),Skemaoplysninger!$U$30,"")</f>
        <v/>
      </c>
      <c r="BN26" s="210" t="str">
        <f>IF(AND(C26="Skema 2",B26="on"),Skemaoplysninger!$W$30,"")</f>
        <v/>
      </c>
      <c r="BO26" s="210" t="str">
        <f>IF(AND(C26="Skema 2",B26="to"),Skemaoplysninger!$Y$30,"")</f>
        <v/>
      </c>
      <c r="BP26" s="210" t="str">
        <f>IF(AND(C26="Skema 2",B26="fr"),Skemaoplysninger!$AA$30,"")</f>
        <v/>
      </c>
      <c r="BQ26" s="210" t="str">
        <f>IF(AND(C26="Skema 3",B26="ma"),Skemaoplysninger!$AG$30,"")</f>
        <v/>
      </c>
      <c r="BR26" s="210" t="str">
        <f>IF(AND(C26="Skema 3",B26="ti"),Skemaoplysninger!$AI$30,"")</f>
        <v/>
      </c>
      <c r="BS26" s="210" t="str">
        <f>IF(AND(C26="Skema 3",B26="on"),Skemaoplysninger!$AK$30,"")</f>
        <v/>
      </c>
      <c r="BT26" s="210" t="str">
        <f>IF(AND(C26="Skema 3",B26="to"),Skemaoplysninger!$AM$30,"")</f>
        <v/>
      </c>
      <c r="BU26" s="210" t="str">
        <f>IF(AND(C26="Skema 3",B26="fr"),Skemaoplysninger!$AO$30,"")</f>
        <v/>
      </c>
      <c r="BV26" s="210" t="str">
        <f>IF(AND(C26="Skema 4",B26="ma"),Skemaoplysninger!$AU$30,"")</f>
        <v/>
      </c>
      <c r="BW26" s="210" t="str">
        <f>IF(AND(C26="Skema 4",B26="ti"),Skemaoplysninger!$AW$30,"")</f>
        <v/>
      </c>
      <c r="BX26" s="210" t="str">
        <f>IF(AND(C26="Skema 4",B26="on"),Skemaoplysninger!$AY$30,"")</f>
        <v/>
      </c>
      <c r="BY26" s="210" t="str">
        <f>IF(AND(C26="Skema 4",B26="to"),Skemaoplysninger!$BA$30,"")</f>
        <v/>
      </c>
      <c r="BZ26" s="210" t="str">
        <f>IF(AND(C26="Skema 4",B26="fr"),Skemaoplysninger!$BC$30,"")</f>
        <v/>
      </c>
      <c r="CA26" s="1">
        <f t="shared" si="25"/>
        <v>0</v>
      </c>
      <c r="CB26" s="1">
        <f t="shared" si="12"/>
        <v>0</v>
      </c>
      <c r="CC26" s="1">
        <f t="shared" si="13"/>
        <v>0</v>
      </c>
      <c r="CD26" s="210" t="str">
        <f>IF(AND(C26="Skema 1",B26="ma"),Skemaoplysninger!$E$31,"")</f>
        <v/>
      </c>
      <c r="CE26" s="210" t="str">
        <f>IF(AND(C26="Skema 1",B26="ti"),Skemaoplysninger!$G$31,"")</f>
        <v/>
      </c>
      <c r="CF26" s="210" t="str">
        <f>IF(AND(C26="Skema 1",B26="on"),Skemaoplysninger!$I$31,"")</f>
        <v/>
      </c>
      <c r="CG26" s="210" t="str">
        <f>IF(AND(C26="Skema 1",B26="to"),Skemaoplysninger!$K$31,"")</f>
        <v/>
      </c>
      <c r="CH26" s="210" t="str">
        <f>IF(AND(C26="Skema 1",B26="fr"),Skemaoplysninger!$M$31,"")</f>
        <v/>
      </c>
      <c r="CI26" s="210" t="str">
        <f>IF(AND(C26="Skema 2",B26="ma"),Skemaoplysninger!$S$31,"")</f>
        <v/>
      </c>
      <c r="CJ26" s="210" t="str">
        <f>IF(AND(C26="Skema 2",B26="ti"),Skemaoplysninger!$U$31,"")</f>
        <v/>
      </c>
      <c r="CK26" s="210" t="str">
        <f>IF(AND(C26="Skema 2",B26="on"),Skemaoplysninger!$W$31,"")</f>
        <v/>
      </c>
      <c r="CL26" s="210" t="str">
        <f>IF(AND(C26="Skema 2",B26="to"),Skemaoplysninger!$Y$31,"")</f>
        <v/>
      </c>
      <c r="CM26" s="210" t="str">
        <f>IF(AND(C26="Skema 2",B26="fr"),Skemaoplysninger!$AA$31,"")</f>
        <v/>
      </c>
      <c r="CN26" s="210" t="str">
        <f>IF(AND(C26="Skema 3",B26="ma"),Skemaoplysninger!$AG$31,"")</f>
        <v/>
      </c>
      <c r="CO26" s="210" t="str">
        <f>IF(AND(C26="Skema 3",B26="ti"),Skemaoplysninger!$AI$31,"")</f>
        <v/>
      </c>
      <c r="CP26" s="210" t="str">
        <f>IF(AND(C26="Skema 3",B26="on"),Skemaoplysninger!$AK$31,"")</f>
        <v/>
      </c>
      <c r="CQ26" s="210" t="str">
        <f>IF(AND(C26="Skema 3",B26="to"),Skemaoplysninger!$AM$31,"")</f>
        <v/>
      </c>
      <c r="CR26" s="210" t="str">
        <f>IF(AND(C26="Skema 3",B26="fr"),Skemaoplysninger!$AO$31,"")</f>
        <v/>
      </c>
      <c r="CS26" s="210" t="str">
        <f>IF(AND(C26="Skema 4",B26="ma"),Skemaoplysninger!$AU$31,"")</f>
        <v/>
      </c>
      <c r="CT26" s="210" t="str">
        <f>IF(AND(C26="Skema 4",B26="ti"),Skemaoplysninger!$AW$31,"")</f>
        <v/>
      </c>
      <c r="CU26" s="210" t="str">
        <f>IF(AND(C26="Skema 4",B26="on"),Skemaoplysninger!$AY$31,"")</f>
        <v/>
      </c>
      <c r="CV26" s="210" t="str">
        <f>IF(AND(C26="Skema 4",B26="to"),Skemaoplysninger!$BA$31,"")</f>
        <v/>
      </c>
      <c r="CW26" s="210" t="str">
        <f>IF(AND(C26="Skema 4",B26="fr"),Skemaoplysninger!$BC$31,"")</f>
        <v/>
      </c>
      <c r="CX26" s="249">
        <f>IF(Stamoplysninger!$H$29="NEJ",SUM(CD26:CW26)*24+CB26+CC26,0)</f>
        <v>0</v>
      </c>
      <c r="CY26" s="249">
        <f>IF(C26="Skema 1",Stamoplysninger!$H$30/200,0)</f>
        <v>0</v>
      </c>
      <c r="CZ26" s="249">
        <f>IF(C26="Skema 2",Stamoplysninger!$H$30/200,0)</f>
        <v>0</v>
      </c>
      <c r="DA26" s="249">
        <f>IF(C26="Skema 3",Stamoplysninger!$H$30/200,0)</f>
        <v>0</v>
      </c>
      <c r="DB26" s="249">
        <f>IF(C26="Skema 4",Stamoplysninger!$H$30/200,0)</f>
        <v>0</v>
      </c>
      <c r="DC26" s="249">
        <f>IF(C26="fagdag",Stamoplysninger!$H$30/200,0)</f>
        <v>0</v>
      </c>
      <c r="DD26" s="249">
        <f>IF(C26="emnedag",Stamoplysninger!$H$30/200,0)</f>
        <v>0</v>
      </c>
      <c r="DE26" s="249">
        <f>IF(C26="lejrskole",Stamoplysninger!$H$30/200,0)</f>
        <v>0</v>
      </c>
      <c r="DF26" s="249">
        <f>IF(C26="ekskursion",Stamoplysninger!$H$30/200,0)</f>
        <v>0</v>
      </c>
      <c r="DG26" s="249">
        <f t="shared" si="26"/>
        <v>0</v>
      </c>
      <c r="DH26" t="str">
        <f t="shared" si="27"/>
        <v/>
      </c>
      <c r="DI26">
        <f t="shared" si="28"/>
        <v>0</v>
      </c>
      <c r="DJ26">
        <f t="shared" si="29"/>
        <v>0</v>
      </c>
      <c r="DK26" t="str">
        <f t="shared" si="14"/>
        <v/>
      </c>
      <c r="DL26" t="str">
        <f t="shared" si="14"/>
        <v/>
      </c>
      <c r="DM26" t="str">
        <f t="shared" si="14"/>
        <v/>
      </c>
      <c r="DN26" t="str">
        <f t="shared" si="30"/>
        <v/>
      </c>
      <c r="DO26" s="652">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71">
        <f>IF(AND(Stamoplysninger!$B$22="Ulempetillæg udbetales med 25% af nettotimelønnen.",C26="ikke relevant"),(R26)/4,0)</f>
        <v>0</v>
      </c>
      <c r="DT26" s="671">
        <f>IF(AND(AND(Stamoplysninger!$B$22="Ulempetillæg udbetales med 25% af nettotimelønnen.",I26="X",C26="Ikke relevant")),K26/4,0)</f>
        <v>0</v>
      </c>
      <c r="DU26" s="671">
        <f>IF(AND(AND(Stamoplysninger!$B$22="Ulempetillæg udbetales med 25% af nettotimelønnen.",C26="ikke relevant",U26="X")),(X26/4),0)</f>
        <v>0</v>
      </c>
      <c r="DV26" s="672">
        <f>IF(AND(AND(AND(Stamoplysninger!$B$22="Ulempetillæg udbetales med 25% af nettotimelønnen.",I26="X",C26="Ikke relevant",S26="X"))),V26/4,0)</f>
        <v>0</v>
      </c>
      <c r="DW26" s="652"/>
      <c r="DZ26" s="671"/>
      <c r="EA26" s="671"/>
      <c r="EB26" s="672"/>
      <c r="EC26" s="652">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71">
        <f>IF(AND(Stamoplysninger!$B$22="Ulempetillæg afspadseres med 25%(Kræver en aftale imellem ledelsen og den ansatte)",C26="ikke relevant"),(R26)/4,0)</f>
        <v>0</v>
      </c>
      <c r="EH26" s="671">
        <f>IF(AND(AND(Stamoplysninger!$B$22="Ulempetillæg afspadseres med 25%(Kræver en aftale imellem ledelsen og den ansatte)",I26="X",C26="Ikke relevant")),K26/4,0)</f>
        <v>0</v>
      </c>
      <c r="EI26" s="671">
        <f>IF(AND(AND(Stamoplysninger!$B$22="Ulempetillæg afspadseres med 25%(Kræver en aftale imellem ledelsen og den ansatte)",U26="X",C26="Ikke relevant")),X26/4,0)</f>
        <v>0</v>
      </c>
      <c r="EJ26" s="671">
        <f>IF(AND(AND(AND(Stamoplysninger!$B$22="Ulempetillæg afspadseres med 25%(Kræver en aftale imellem ledelsen og den ansatte)",I26="X",C26="Ikke relevant",S26="X"))),V26/4,0)</f>
        <v>0</v>
      </c>
      <c r="EK26" s="283">
        <f>IF(AND(Stamoplysninger!$B$26="Weekendtimer og weekendtillæg afspadseres.",I26="X"),K26*1.5,0)</f>
        <v>0</v>
      </c>
      <c r="EL26" s="251">
        <f>IF(AND(AND(Stamoplysninger!$B$26="Weekendtimer og weekendtillæg afspadseres.",I26="X",S26="X")),V26*1.5,0)</f>
        <v>0</v>
      </c>
      <c r="EM26" s="674">
        <f>IF(AND(AND(Stamoplysninger!$B$26="Weekendtimer og weekendtillæg afspadseres.",I26="X",C26="ikke relevant")),K26*1.5,0)</f>
        <v>0</v>
      </c>
      <c r="EN26" s="675">
        <f>IF(AND(AND(AND(Stamoplysninger!$B$26="Weekendtimer og weekendtillæg afspadseres.",I26="X",C26="ikke relevant",S26="X"))),(V26*1.5),0)</f>
        <v>0</v>
      </c>
      <c r="EO26" s="283">
        <f>IF(AND(Stamoplysninger!$B$26="Weekendtimer og weekendtillæg udbetales.",I26="X"),K26*1.5,0)</f>
        <v>0</v>
      </c>
      <c r="EP26" s="251">
        <f>IF(AND(AND(Stamoplysninger!$B$26="Weekendtimer og weekendtillæg udbetales.",I26="X",S26="X")),V26*1.5,0)</f>
        <v>0</v>
      </c>
      <c r="EQ26" s="674">
        <f>IF(AND(AND(Stamoplysninger!$B$26="Weekendtimer og weekendtillæg udbetales.",I26="X",C26="ikke relevant")),K26*1.5,0)</f>
        <v>0</v>
      </c>
      <c r="ER26" s="675">
        <f>IF(AND(AND(AND(Stamoplysninger!$B$26="Weekendtimer og weekendtillæg udbetales.",I26="X",C26="ikke relevant",S26="X"))),(V26*1.5),0)</f>
        <v>0</v>
      </c>
      <c r="ES26" s="283">
        <f>IF(AND(Stamoplysninger!$B$26="Der er indgået lokalaftale omkring weekendtimer.(Kræver aftale med TR/FSL) Weekendtillæg afspadseres.",I26="X"),K26*0.5,0)</f>
        <v>0</v>
      </c>
      <c r="ET26" s="251">
        <f>IF(AND(AND(Stamoplysninger!$B$26="Der er indgået lokalaftale omkring weekendtimer.(Kræver aftale med TR/FSL) Weekendtillæg afspadseres.",I26="X",S26="X")),V26*0.5,0)</f>
        <v>0</v>
      </c>
      <c r="EU26" s="674">
        <f>IF(AND(AND(Stamoplysninger!$B$26="Der er indgået lokalaftale omkring weekendtimer.(Kræver aftale med TR/FSL) Weekendtillæg afspadseres.",I26="X",C26="ikke relevant")),K26*0.5,0)</f>
        <v>0</v>
      </c>
      <c r="EV26" s="675">
        <f>IF(AND(AND(AND(Stamoplysninger!$B$26="Der er indgået lokalaftale omkring weekendtimer.(Kræver aftale med TR/FSL) Weekendtillæg afspadseres.",I26="X",C26="ikke relevant",S26="X"))),(V26*0.5),0)</f>
        <v>0</v>
      </c>
      <c r="EW26" s="283">
        <f>IF(AND(Stamoplysninger!$B$26="Der er indgået lokalaftale omkring weekendtimer(Kræver aftale med TR/FSL). Weekendtillæg udbetales.",I26="X"),K26*0.5,0)</f>
        <v>0</v>
      </c>
      <c r="EX26" s="251">
        <f>IF(AND(AND(Stamoplysninger!$B$26="Der er indgået lokalaftale omkring weekendtimer(Kræver aftale med TR/FSL). Weekendtillæg udbetales.",I26="X",S26="X")),V26*0.5,0)</f>
        <v>0</v>
      </c>
      <c r="EY26" s="674">
        <f>IF(AND(AND(Stamoplysninger!$B$26="Der er indgået lokalaftale omkring weekendtimer(Kræver aftale med TR/FSL). Weekendtillæg udbetales.",I26="X",C26="ikke relevant")),K26*0.5,0)</f>
        <v>0</v>
      </c>
      <c r="EZ26" s="675">
        <f>IF(AND(AND(AND(Stamoplysninger!$B$26="Der er indgået lokalaftale omkring weekendtimer(Kræver aftale med TR/FSL). Weekendtillæg udbetales.",I26="X",C26="ikke relevant",S26="X"))),(V26*0.5),0)</f>
        <v>0</v>
      </c>
      <c r="FA26" s="283">
        <f>IF(AND(Stamoplysninger!$B$26="Der er indgået lokalaftale omkring weekendtillæg(Kræver aftale med TR/FSL). Weekendtimerne afspadseres.",I26="X"),K26,0)</f>
        <v>0</v>
      </c>
      <c r="FB26" s="251">
        <f>IF(AND(AND(Stamoplysninger!$B$26="Der er indgået lokalaftale omkring weekendtillæg(Kræver aftale med TR/FSL). Weekendtimerne afspadseres.",I26="X",S26="X")),V26,0)</f>
        <v>0</v>
      </c>
      <c r="FC26" s="674">
        <f>IF(AND(AND(Stamoplysninger!$B$26="Der er indgået lokalaftale omkring weekendtillæg(Kræver aftale med TR/FSL). Weekendtimerne afspadseres..",I26="X",C26="ikke relevant")),K26,0)</f>
        <v>0</v>
      </c>
      <c r="FD26" s="675">
        <f>IF(AND(AND(AND(Stamoplysninger!$B$26="Der er indgået lokalaftale omkring weekendtillæg(Kræver aftale med TR/FSL). Weekendtimerne afspadseres.",I26="X",C26="ikke relevant",S26="X"))),(V26),0)</f>
        <v>0</v>
      </c>
      <c r="FE26" s="283">
        <f>IF(AND(Stamoplysninger!$B$26="Der er indgået lokalaftale omkring weekendtillæg(Kræver aftale med TR/FSL). Weekendtimerne udbetales.",I26="X"),K26,0)</f>
        <v>0</v>
      </c>
      <c r="FF26" s="251">
        <f>IF(AND(AND(Stamoplysninger!$B$26="Der er indgået lokalaftale omkring weekendtillæg(Kræver aftale med TR/FSL). Weekendtimerne udbetales.",I26="X",S26="X")),V26,0)</f>
        <v>0</v>
      </c>
      <c r="FG26" s="674">
        <f>IF(AND(AND(Stamoplysninger!$B$26="Der er indgået lokalaftale omkring weekendtillæg(Kræver aftale med TR/FSL). Weekendtimerne udbetales.",I26="X",C26="ikke relevant")),K26,0)</f>
        <v>0</v>
      </c>
      <c r="FH26" s="675">
        <f>IF(AND(AND(AND(Stamoplysninger!$B$26="Der er indgået lokalaftale omkring weekendtillæg(Kræver aftale med TR/FSL). Weekendtimerne udbetales.",I26="X",C26="ikke relevant",S26="X"))),(V26),0)</f>
        <v>0</v>
      </c>
      <c r="FI26" s="283">
        <f>IF(AND(Stamoplysninger!$B$26="Weekendtimer og weekendtillæg afspadseres.",I26="X"),K26,0)</f>
        <v>0</v>
      </c>
      <c r="FJ26" s="251">
        <f>IF(AND(Stamoplysninger!$B$26="Weekendtimer og weekendtillæg afspadseres.",Y26="X"),(AA26+AL26)/2,0)</f>
        <v>0</v>
      </c>
      <c r="FK26" s="674">
        <f>IF(AND(AND(Stamoplysninger!$B$26="Weekendtimer og weekendtillæg afspadseres.",I26="X",C26="ikke relevant")),K26,0)</f>
        <v>0</v>
      </c>
      <c r="FL26" s="675">
        <f>IF(AND(AND(Stamoplysninger!$B$26="Weekendtimer og weekendtillæg afspadseres.",Y26="X",S26="ikke relevant")),(AA26+AL26)/2,0)</f>
        <v>0</v>
      </c>
      <c r="FM26" s="283">
        <f>IF(AND(Stamoplysninger!$B$26="Der er indgået lokalaftale omkring weekendtillæg(Kræver aftale med TR/FSL). Weekendtimerne afspadseres.",I26="X"),K26,0)</f>
        <v>0</v>
      </c>
      <c r="FN26" s="674">
        <f>IF(AND(AND(Stamoplysninger!$B$26="Der er indgået lokalaftale omkring weekendtillæg(Kræver aftale med TR/FSL). Weekendtimerne afspadseres.",I26="X",C26="ikke relevant")),K26,0)</f>
        <v>0</v>
      </c>
      <c r="FO26" s="283">
        <f>IF(AND(Stamoplysninger!$B$26="Weekendtimer og weekendtillæg udbetales.",I26="X"),K26,0)</f>
        <v>0</v>
      </c>
      <c r="FP26" s="251">
        <f>IF(AND(Stamoplysninger!$B$26="Weekendtimer og weekendtillæg udbetales.",AA26="X"),(AC26+AN26)/2,0)</f>
        <v>0</v>
      </c>
      <c r="FQ26" s="674">
        <f>IF(AND(AND(Stamoplysninger!$B$26="Weekendtimer og weekendtillæg udbetales.",I26="X",C26="ikke relevant")),K26,0)</f>
        <v>0</v>
      </c>
      <c r="FR26" s="688">
        <f>IF(AND(AND(Stamoplysninger!$B$26="Weekendtimer og weekendtillæg udbetales.",AA26="X",U26="ikke relevant")),(AC26+AN26)/2,0)</f>
        <v>0</v>
      </c>
      <c r="FS26" s="283">
        <f t="shared" si="15"/>
        <v>0</v>
      </c>
      <c r="FT26" s="658">
        <f t="shared" si="16"/>
        <v>0</v>
      </c>
      <c r="FU26">
        <f t="shared" si="17"/>
        <v>0</v>
      </c>
      <c r="FV26" s="283">
        <f>IF(AND(Stamoplysninger!$B$26="Der er indgået lokalaftale omkring weekendtimer.(Kræver aftale med TR/FSL) Weekendtillæg afspadseres.",I26="X"),K26,0)</f>
        <v>0</v>
      </c>
      <c r="FW26" s="674">
        <f>IF(AND(AND(Stamoplysninger!$B$26="Der er indgået lokalaftale omkring weekendtimer.(Kræver aftale med TR/FSL) Weekendtillæg afspadseres.",I26="X",C26="ikke relevant")),K26,0)</f>
        <v>0</v>
      </c>
      <c r="FX26" s="283">
        <f>IF(AND(Stamoplysninger!$B$26="Der er indgået lokalaftale omkring weekendtimer(Kræver aftale med TR/FSL). Weekendtillæg udbetales.",I26="X"),K26,0)</f>
        <v>0</v>
      </c>
      <c r="FY26" s="674">
        <f>IF(AND(AND(Stamoplysninger!$B$26="Der er indgået lokalaftale omkring weekendtimer(Kræver aftale med TR/FSL). Weekendtillæg udbetales.",I26="X",C26="ikke relevant")),K26,0)</f>
        <v>0</v>
      </c>
      <c r="FZ26" s="283">
        <f>IF(AND(Stamoplysninger!$B$26="Der er indgået lokalaftale omkring weekendtillæg(Kræver aftale med TR/FSL). Weekendtimerne udbetales.",I26="X"),K26,0)</f>
        <v>0</v>
      </c>
      <c r="GA26" s="674">
        <f>IF(AND(AND(Stamoplysninger!$B$26="Der er indgået lokalaftale omkring weekendtillæg(Kræver aftale med TR/FSL). Weekendtimerne udbetales.",I26="X",C26="ikke relevant")),K26,0)</f>
        <v>0</v>
      </c>
      <c r="GB26" s="283">
        <f>IF(AND(Stamoplysninger!$B$26="Der er indgået lokalaftale omkring weekendtimer og weekendtillæg.(Kræver aftale med TR/FSL).",I26="X"),K26,0)</f>
        <v>0</v>
      </c>
      <c r="GC26" s="674">
        <f>IF(AND(AND(Stamoplysninger!$B$26="Der er indgået lokalaftale omkring weekendtimer og weekendtillæg.(Kræver aftale med TR/FSL).",I26="X",C26="ikke relevant")),K26,0)</f>
        <v>0</v>
      </c>
    </row>
    <row r="27" spans="1:185">
      <c r="A27" s="245">
        <f t="shared" si="18"/>
        <v>19</v>
      </c>
      <c r="B27" s="128" t="str">
        <f t="shared" si="0"/>
        <v>sø</v>
      </c>
      <c r="C27" s="129" t="s">
        <v>120</v>
      </c>
      <c r="D27" s="130" t="str">
        <f t="shared" si="1"/>
        <v/>
      </c>
      <c r="E27" s="917"/>
      <c r="F27" s="918"/>
      <c r="G27" s="919"/>
      <c r="H27" s="298"/>
      <c r="I27" s="413"/>
      <c r="J27" s="413"/>
      <c r="K27" s="380"/>
      <c r="L27" s="380"/>
      <c r="M27" s="380"/>
      <c r="N27" s="318">
        <f t="shared" si="19"/>
        <v>0</v>
      </c>
      <c r="O27" s="318">
        <f t="shared" si="20"/>
        <v>0</v>
      </c>
      <c r="P27" s="318">
        <f>IF(Stamoplysninger!$H$29="JA",Januar!DG27,CX27)</f>
        <v>0</v>
      </c>
      <c r="Q27" s="318">
        <f t="shared" si="21"/>
        <v>0</v>
      </c>
      <c r="R27" s="319"/>
      <c r="S27" s="324"/>
      <c r="T27" s="325"/>
      <c r="U27" s="325"/>
      <c r="V27" s="435"/>
      <c r="W27" s="412"/>
      <c r="X27" s="642"/>
      <c r="Y27">
        <f t="shared" si="22"/>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9">
        <f t="shared" si="8"/>
        <v>0</v>
      </c>
      <c r="BC27" s="1">
        <f t="shared" si="24"/>
        <v>0</v>
      </c>
      <c r="BD27" s="1">
        <f t="shared" si="9"/>
        <v>0</v>
      </c>
      <c r="BE27" s="1">
        <f t="shared" si="10"/>
        <v>0</v>
      </c>
      <c r="BF27" s="1">
        <f t="shared" si="11"/>
        <v>0</v>
      </c>
      <c r="BG27" s="210" t="str">
        <f>IF(AND(C27="Skema 1",B27="ma"),Skemaoplysninger!$E$30,"")</f>
        <v/>
      </c>
      <c r="BH27" s="210" t="str">
        <f>IF(AND(C27="Skema 1",B27="ti"),Skemaoplysninger!$G$30,"")</f>
        <v/>
      </c>
      <c r="BI27" s="210" t="str">
        <f>IF(AND(C27="Skema 1",B27="on"),Skemaoplysninger!$I$30,"")</f>
        <v/>
      </c>
      <c r="BJ27" s="210" t="str">
        <f>IF(AND(C27="Skema 1",B27="to"),Skemaoplysninger!$K$30,"")</f>
        <v/>
      </c>
      <c r="BK27" s="210" t="str">
        <f>IF(AND(C27="Skema 1",B27="fr"),Skemaoplysninger!$M$30,"")</f>
        <v/>
      </c>
      <c r="BL27" s="210" t="str">
        <f>IF(AND(C27="Skema 2",B27="ma"),Skemaoplysninger!$S$30,"")</f>
        <v/>
      </c>
      <c r="BM27" s="210" t="str">
        <f>IF(AND(C27="Skema 2",B27="ti"),Skemaoplysninger!$U$30,"")</f>
        <v/>
      </c>
      <c r="BN27" s="210" t="str">
        <f>IF(AND(C27="Skema 2",B27="on"),Skemaoplysninger!$W$30,"")</f>
        <v/>
      </c>
      <c r="BO27" s="210" t="str">
        <f>IF(AND(C27="Skema 2",B27="to"),Skemaoplysninger!$Y$30,"")</f>
        <v/>
      </c>
      <c r="BP27" s="210" t="str">
        <f>IF(AND(C27="Skema 2",B27="fr"),Skemaoplysninger!$AA$30,"")</f>
        <v/>
      </c>
      <c r="BQ27" s="210" t="str">
        <f>IF(AND(C27="Skema 3",B27="ma"),Skemaoplysninger!$AG$30,"")</f>
        <v/>
      </c>
      <c r="BR27" s="210" t="str">
        <f>IF(AND(C27="Skema 3",B27="ti"),Skemaoplysninger!$AI$30,"")</f>
        <v/>
      </c>
      <c r="BS27" s="210" t="str">
        <f>IF(AND(C27="Skema 3",B27="on"),Skemaoplysninger!$AK$30,"")</f>
        <v/>
      </c>
      <c r="BT27" s="210" t="str">
        <f>IF(AND(C27="Skema 3",B27="to"),Skemaoplysninger!$AM$30,"")</f>
        <v/>
      </c>
      <c r="BU27" s="210" t="str">
        <f>IF(AND(C27="Skema 3",B27="fr"),Skemaoplysninger!$AO$30,"")</f>
        <v/>
      </c>
      <c r="BV27" s="210" t="str">
        <f>IF(AND(C27="Skema 4",B27="ma"),Skemaoplysninger!$AU$30,"")</f>
        <v/>
      </c>
      <c r="BW27" s="210" t="str">
        <f>IF(AND(C27="Skema 4",B27="ti"),Skemaoplysninger!$AW$30,"")</f>
        <v/>
      </c>
      <c r="BX27" s="210" t="str">
        <f>IF(AND(C27="Skema 4",B27="on"),Skemaoplysninger!$AY$30,"")</f>
        <v/>
      </c>
      <c r="BY27" s="210" t="str">
        <f>IF(AND(C27="Skema 4",B27="to"),Skemaoplysninger!$BA$30,"")</f>
        <v/>
      </c>
      <c r="BZ27" s="210" t="str">
        <f>IF(AND(C27="Skema 4",B27="fr"),Skemaoplysninger!$BC$30,"")</f>
        <v/>
      </c>
      <c r="CA27" s="1">
        <f t="shared" si="25"/>
        <v>0</v>
      </c>
      <c r="CB27" s="1">
        <f t="shared" si="12"/>
        <v>0</v>
      </c>
      <c r="CC27" s="1">
        <f t="shared" si="13"/>
        <v>0</v>
      </c>
      <c r="CD27" s="210" t="str">
        <f>IF(AND(C27="Skema 1",B27="ma"),Skemaoplysninger!$E$31,"")</f>
        <v/>
      </c>
      <c r="CE27" s="210" t="str">
        <f>IF(AND(C27="Skema 1",B27="ti"),Skemaoplysninger!$G$31,"")</f>
        <v/>
      </c>
      <c r="CF27" s="210" t="str">
        <f>IF(AND(C27="Skema 1",B27="on"),Skemaoplysninger!$I$31,"")</f>
        <v/>
      </c>
      <c r="CG27" s="210" t="str">
        <f>IF(AND(C27="Skema 1",B27="to"),Skemaoplysninger!$K$31,"")</f>
        <v/>
      </c>
      <c r="CH27" s="210" t="str">
        <f>IF(AND(C27="Skema 1",B27="fr"),Skemaoplysninger!$M$31,"")</f>
        <v/>
      </c>
      <c r="CI27" s="210" t="str">
        <f>IF(AND(C27="Skema 2",B27="ma"),Skemaoplysninger!$S$31,"")</f>
        <v/>
      </c>
      <c r="CJ27" s="210" t="str">
        <f>IF(AND(C27="Skema 2",B27="ti"),Skemaoplysninger!$U$31,"")</f>
        <v/>
      </c>
      <c r="CK27" s="210" t="str">
        <f>IF(AND(C27="Skema 2",B27="on"),Skemaoplysninger!$W$31,"")</f>
        <v/>
      </c>
      <c r="CL27" s="210" t="str">
        <f>IF(AND(C27="Skema 2",B27="to"),Skemaoplysninger!$Y$31,"")</f>
        <v/>
      </c>
      <c r="CM27" s="210" t="str">
        <f>IF(AND(C27="Skema 2",B27="fr"),Skemaoplysninger!$AA$31,"")</f>
        <v/>
      </c>
      <c r="CN27" s="210" t="str">
        <f>IF(AND(C27="Skema 3",B27="ma"),Skemaoplysninger!$AG$31,"")</f>
        <v/>
      </c>
      <c r="CO27" s="210" t="str">
        <f>IF(AND(C27="Skema 3",B27="ti"),Skemaoplysninger!$AI$31,"")</f>
        <v/>
      </c>
      <c r="CP27" s="210" t="str">
        <f>IF(AND(C27="Skema 3",B27="on"),Skemaoplysninger!$AK$31,"")</f>
        <v/>
      </c>
      <c r="CQ27" s="210" t="str">
        <f>IF(AND(C27="Skema 3",B27="to"),Skemaoplysninger!$AM$31,"")</f>
        <v/>
      </c>
      <c r="CR27" s="210" t="str">
        <f>IF(AND(C27="Skema 3",B27="fr"),Skemaoplysninger!$AO$31,"")</f>
        <v/>
      </c>
      <c r="CS27" s="210" t="str">
        <f>IF(AND(C27="Skema 4",B27="ma"),Skemaoplysninger!$AU$31,"")</f>
        <v/>
      </c>
      <c r="CT27" s="210" t="str">
        <f>IF(AND(C27="Skema 4",B27="ti"),Skemaoplysninger!$AW$31,"")</f>
        <v/>
      </c>
      <c r="CU27" s="210" t="str">
        <f>IF(AND(C27="Skema 4",B27="on"),Skemaoplysninger!$AY$31,"")</f>
        <v/>
      </c>
      <c r="CV27" s="210" t="str">
        <f>IF(AND(C27="Skema 4",B27="to"),Skemaoplysninger!$BA$31,"")</f>
        <v/>
      </c>
      <c r="CW27" s="210" t="str">
        <f>IF(AND(C27="Skema 4",B27="fr"),Skemaoplysninger!$BC$31,"")</f>
        <v/>
      </c>
      <c r="CX27" s="249">
        <f>IF(Stamoplysninger!$H$29="NEJ",SUM(CD27:CW27)*24+CB27+CC27,0)</f>
        <v>0</v>
      </c>
      <c r="CY27" s="249">
        <f>IF(C27="Skema 1",Stamoplysninger!$H$30/200,0)</f>
        <v>0</v>
      </c>
      <c r="CZ27" s="249">
        <f>IF(C27="Skema 2",Stamoplysninger!$H$30/200,0)</f>
        <v>0</v>
      </c>
      <c r="DA27" s="249">
        <f>IF(C27="Skema 3",Stamoplysninger!$H$30/200,0)</f>
        <v>0</v>
      </c>
      <c r="DB27" s="249">
        <f>IF(C27="Skema 4",Stamoplysninger!$H$30/200,0)</f>
        <v>0</v>
      </c>
      <c r="DC27" s="249">
        <f>IF(C27="fagdag",Stamoplysninger!$H$30/200,0)</f>
        <v>0</v>
      </c>
      <c r="DD27" s="249">
        <f>IF(C27="emnedag",Stamoplysninger!$H$30/200,0)</f>
        <v>0</v>
      </c>
      <c r="DE27" s="249">
        <f>IF(C27="lejrskole",Stamoplysninger!$H$30/200,0)</f>
        <v>0</v>
      </c>
      <c r="DF27" s="249">
        <f>IF(C27="ekskursion",Stamoplysninger!$H$30/200,0)</f>
        <v>0</v>
      </c>
      <c r="DG27" s="249">
        <f t="shared" si="26"/>
        <v>0</v>
      </c>
      <c r="DH27" t="str">
        <f t="shared" si="27"/>
        <v/>
      </c>
      <c r="DI27">
        <f t="shared" si="28"/>
        <v>0</v>
      </c>
      <c r="DJ27">
        <f t="shared" si="29"/>
        <v>0</v>
      </c>
      <c r="DK27" t="str">
        <f t="shared" si="14"/>
        <v/>
      </c>
      <c r="DL27" t="str">
        <f t="shared" si="14"/>
        <v/>
      </c>
      <c r="DM27" t="str">
        <f t="shared" si="14"/>
        <v/>
      </c>
      <c r="DN27" t="str">
        <f t="shared" si="30"/>
        <v/>
      </c>
      <c r="DO27" s="652">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71">
        <f>IF(AND(Stamoplysninger!$B$22="Ulempetillæg udbetales med 25% af nettotimelønnen.",C27="ikke relevant"),(R27)/4,0)</f>
        <v>0</v>
      </c>
      <c r="DT27" s="671">
        <f>IF(AND(AND(Stamoplysninger!$B$22="Ulempetillæg udbetales med 25% af nettotimelønnen.",I27="X",C27="Ikke relevant")),K27/4,0)</f>
        <v>0</v>
      </c>
      <c r="DU27" s="671">
        <f>IF(AND(AND(Stamoplysninger!$B$22="Ulempetillæg udbetales med 25% af nettotimelønnen.",C27="ikke relevant",U27="X")),(X27/4),0)</f>
        <v>0</v>
      </c>
      <c r="DV27" s="672">
        <f>IF(AND(AND(AND(Stamoplysninger!$B$22="Ulempetillæg udbetales med 25% af nettotimelønnen.",I27="X",C27="Ikke relevant",S27="X"))),V27/4,0)</f>
        <v>0</v>
      </c>
      <c r="DW27" s="652"/>
      <c r="DZ27" s="671"/>
      <c r="EA27" s="671"/>
      <c r="EB27" s="672"/>
      <c r="EC27" s="652">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71">
        <f>IF(AND(Stamoplysninger!$B$22="Ulempetillæg afspadseres med 25%(Kræver en aftale imellem ledelsen og den ansatte)",C27="ikke relevant"),(R27)/4,0)</f>
        <v>0</v>
      </c>
      <c r="EH27" s="671">
        <f>IF(AND(AND(Stamoplysninger!$B$22="Ulempetillæg afspadseres med 25%(Kræver en aftale imellem ledelsen og den ansatte)",I27="X",C27="Ikke relevant")),K27/4,0)</f>
        <v>0</v>
      </c>
      <c r="EI27" s="671">
        <f>IF(AND(AND(Stamoplysninger!$B$22="Ulempetillæg afspadseres med 25%(Kræver en aftale imellem ledelsen og den ansatte)",U27="X",C27="Ikke relevant")),X27/4,0)</f>
        <v>0</v>
      </c>
      <c r="EJ27" s="671">
        <f>IF(AND(AND(AND(Stamoplysninger!$B$22="Ulempetillæg afspadseres med 25%(Kræver en aftale imellem ledelsen og den ansatte)",I27="X",C27="Ikke relevant",S27="X"))),V27/4,0)</f>
        <v>0</v>
      </c>
      <c r="EK27" s="283">
        <f>IF(AND(Stamoplysninger!$B$26="Weekendtimer og weekendtillæg afspadseres.",I27="X"),K27*1.5,0)</f>
        <v>0</v>
      </c>
      <c r="EL27" s="251">
        <f>IF(AND(AND(Stamoplysninger!$B$26="Weekendtimer og weekendtillæg afspadseres.",I27="X",S27="X")),V27*1.5,0)</f>
        <v>0</v>
      </c>
      <c r="EM27" s="674">
        <f>IF(AND(AND(Stamoplysninger!$B$26="Weekendtimer og weekendtillæg afspadseres.",I27="X",C27="ikke relevant")),K27*1.5,0)</f>
        <v>0</v>
      </c>
      <c r="EN27" s="675">
        <f>IF(AND(AND(AND(Stamoplysninger!$B$26="Weekendtimer og weekendtillæg afspadseres.",I27="X",C27="ikke relevant",S27="X"))),(V27*1.5),0)</f>
        <v>0</v>
      </c>
      <c r="EO27" s="283">
        <f>IF(AND(Stamoplysninger!$B$26="Weekendtimer og weekendtillæg udbetales.",I27="X"),K27*1.5,0)</f>
        <v>0</v>
      </c>
      <c r="EP27" s="251">
        <f>IF(AND(AND(Stamoplysninger!$B$26="Weekendtimer og weekendtillæg udbetales.",I27="X",S27="X")),V27*1.5,0)</f>
        <v>0</v>
      </c>
      <c r="EQ27" s="674">
        <f>IF(AND(AND(Stamoplysninger!$B$26="Weekendtimer og weekendtillæg udbetales.",I27="X",C27="ikke relevant")),K27*1.5,0)</f>
        <v>0</v>
      </c>
      <c r="ER27" s="675">
        <f>IF(AND(AND(AND(Stamoplysninger!$B$26="Weekendtimer og weekendtillæg udbetales.",I27="X",C27="ikke relevant",S27="X"))),(V27*1.5),0)</f>
        <v>0</v>
      </c>
      <c r="ES27" s="283">
        <f>IF(AND(Stamoplysninger!$B$26="Der er indgået lokalaftale omkring weekendtimer.(Kræver aftale med TR/FSL) Weekendtillæg afspadseres.",I27="X"),K27*0.5,0)</f>
        <v>0</v>
      </c>
      <c r="ET27" s="251">
        <f>IF(AND(AND(Stamoplysninger!$B$26="Der er indgået lokalaftale omkring weekendtimer.(Kræver aftale med TR/FSL) Weekendtillæg afspadseres.",I27="X",S27="X")),V27*0.5,0)</f>
        <v>0</v>
      </c>
      <c r="EU27" s="674">
        <f>IF(AND(AND(Stamoplysninger!$B$26="Der er indgået lokalaftale omkring weekendtimer.(Kræver aftale med TR/FSL) Weekendtillæg afspadseres.",I27="X",C27="ikke relevant")),K27*0.5,0)</f>
        <v>0</v>
      </c>
      <c r="EV27" s="675">
        <f>IF(AND(AND(AND(Stamoplysninger!$B$26="Der er indgået lokalaftale omkring weekendtimer.(Kræver aftale med TR/FSL) Weekendtillæg afspadseres.",I27="X",C27="ikke relevant",S27="X"))),(V27*0.5),0)</f>
        <v>0</v>
      </c>
      <c r="EW27" s="283">
        <f>IF(AND(Stamoplysninger!$B$26="Der er indgået lokalaftale omkring weekendtimer(Kræver aftale med TR/FSL). Weekendtillæg udbetales.",I27="X"),K27*0.5,0)</f>
        <v>0</v>
      </c>
      <c r="EX27" s="251">
        <f>IF(AND(AND(Stamoplysninger!$B$26="Der er indgået lokalaftale omkring weekendtimer(Kræver aftale med TR/FSL). Weekendtillæg udbetales.",I27="X",S27="X")),V27*0.5,0)</f>
        <v>0</v>
      </c>
      <c r="EY27" s="674">
        <f>IF(AND(AND(Stamoplysninger!$B$26="Der er indgået lokalaftale omkring weekendtimer(Kræver aftale med TR/FSL). Weekendtillæg udbetales.",I27="X",C27="ikke relevant")),K27*0.5,0)</f>
        <v>0</v>
      </c>
      <c r="EZ27" s="675">
        <f>IF(AND(AND(AND(Stamoplysninger!$B$26="Der er indgået lokalaftale omkring weekendtimer(Kræver aftale med TR/FSL). Weekendtillæg udbetales.",I27="X",C27="ikke relevant",S27="X"))),(V27*0.5),0)</f>
        <v>0</v>
      </c>
      <c r="FA27" s="283">
        <f>IF(AND(Stamoplysninger!$B$26="Der er indgået lokalaftale omkring weekendtillæg(Kræver aftale med TR/FSL). Weekendtimerne afspadseres.",I27="X"),K27,0)</f>
        <v>0</v>
      </c>
      <c r="FB27" s="251">
        <f>IF(AND(AND(Stamoplysninger!$B$26="Der er indgået lokalaftale omkring weekendtillæg(Kræver aftale med TR/FSL). Weekendtimerne afspadseres.",I27="X",S27="X")),V27,0)</f>
        <v>0</v>
      </c>
      <c r="FC27" s="674">
        <f>IF(AND(AND(Stamoplysninger!$B$26="Der er indgået lokalaftale omkring weekendtillæg(Kræver aftale med TR/FSL). Weekendtimerne afspadseres..",I27="X",C27="ikke relevant")),K27,0)</f>
        <v>0</v>
      </c>
      <c r="FD27" s="675">
        <f>IF(AND(AND(AND(Stamoplysninger!$B$26="Der er indgået lokalaftale omkring weekendtillæg(Kræver aftale med TR/FSL). Weekendtimerne afspadseres.",I27="X",C27="ikke relevant",S27="X"))),(V27),0)</f>
        <v>0</v>
      </c>
      <c r="FE27" s="283">
        <f>IF(AND(Stamoplysninger!$B$26="Der er indgået lokalaftale omkring weekendtillæg(Kræver aftale med TR/FSL). Weekendtimerne udbetales.",I27="X"),K27,0)</f>
        <v>0</v>
      </c>
      <c r="FF27" s="251">
        <f>IF(AND(AND(Stamoplysninger!$B$26="Der er indgået lokalaftale omkring weekendtillæg(Kræver aftale med TR/FSL). Weekendtimerne udbetales.",I27="X",S27="X")),V27,0)</f>
        <v>0</v>
      </c>
      <c r="FG27" s="674">
        <f>IF(AND(AND(Stamoplysninger!$B$26="Der er indgået lokalaftale omkring weekendtillæg(Kræver aftale med TR/FSL). Weekendtimerne udbetales.",I27="X",C27="ikke relevant")),K27,0)</f>
        <v>0</v>
      </c>
      <c r="FH27" s="675">
        <f>IF(AND(AND(AND(Stamoplysninger!$B$26="Der er indgået lokalaftale omkring weekendtillæg(Kræver aftale med TR/FSL). Weekendtimerne udbetales.",I27="X",C27="ikke relevant",S27="X"))),(V27),0)</f>
        <v>0</v>
      </c>
      <c r="FI27" s="283">
        <f>IF(AND(Stamoplysninger!$B$26="Weekendtimer og weekendtillæg afspadseres.",I27="X"),K27,0)</f>
        <v>0</v>
      </c>
      <c r="FJ27" s="251">
        <f>IF(AND(Stamoplysninger!$B$26="Weekendtimer og weekendtillæg afspadseres.",Y27="X"),(AA27+AL27)/2,0)</f>
        <v>0</v>
      </c>
      <c r="FK27" s="674">
        <f>IF(AND(AND(Stamoplysninger!$B$26="Weekendtimer og weekendtillæg afspadseres.",I27="X",C27="ikke relevant")),K27,0)</f>
        <v>0</v>
      </c>
      <c r="FL27" s="675">
        <f>IF(AND(AND(Stamoplysninger!$B$26="Weekendtimer og weekendtillæg afspadseres.",Y27="X",S27="ikke relevant")),(AA27+AL27)/2,0)</f>
        <v>0</v>
      </c>
      <c r="FM27" s="283">
        <f>IF(AND(Stamoplysninger!$B$26="Der er indgået lokalaftale omkring weekendtillæg(Kræver aftale med TR/FSL). Weekendtimerne afspadseres.",I27="X"),K27,0)</f>
        <v>0</v>
      </c>
      <c r="FN27" s="674">
        <f>IF(AND(AND(Stamoplysninger!$B$26="Der er indgået lokalaftale omkring weekendtillæg(Kræver aftale med TR/FSL). Weekendtimerne afspadseres.",I27="X",C27="ikke relevant")),K27,0)</f>
        <v>0</v>
      </c>
      <c r="FO27" s="283">
        <f>IF(AND(Stamoplysninger!$B$26="Weekendtimer og weekendtillæg udbetales.",I27="X"),K27,0)</f>
        <v>0</v>
      </c>
      <c r="FP27" s="251">
        <f>IF(AND(Stamoplysninger!$B$26="Weekendtimer og weekendtillæg udbetales.",AA27="X"),(AC27+AN27)/2,0)</f>
        <v>0</v>
      </c>
      <c r="FQ27" s="674">
        <f>IF(AND(AND(Stamoplysninger!$B$26="Weekendtimer og weekendtillæg udbetales.",I27="X",C27="ikke relevant")),K27,0)</f>
        <v>0</v>
      </c>
      <c r="FR27" s="688">
        <f>IF(AND(AND(Stamoplysninger!$B$26="Weekendtimer og weekendtillæg udbetales.",AA27="X",U27="ikke relevant")),(AC27+AN27)/2,0)</f>
        <v>0</v>
      </c>
      <c r="FS27" s="283">
        <f t="shared" si="15"/>
        <v>0</v>
      </c>
      <c r="FT27" s="658">
        <f t="shared" si="16"/>
        <v>0</v>
      </c>
      <c r="FU27">
        <f t="shared" si="17"/>
        <v>0</v>
      </c>
      <c r="FV27" s="283">
        <f>IF(AND(Stamoplysninger!$B$26="Der er indgået lokalaftale omkring weekendtimer.(Kræver aftale med TR/FSL) Weekendtillæg afspadseres.",I27="X"),K27,0)</f>
        <v>0</v>
      </c>
      <c r="FW27" s="674">
        <f>IF(AND(AND(Stamoplysninger!$B$26="Der er indgået lokalaftale omkring weekendtimer.(Kræver aftale med TR/FSL) Weekendtillæg afspadseres.",I27="X",C27="ikke relevant")),K27,0)</f>
        <v>0</v>
      </c>
      <c r="FX27" s="283">
        <f>IF(AND(Stamoplysninger!$B$26="Der er indgået lokalaftale omkring weekendtimer(Kræver aftale med TR/FSL). Weekendtillæg udbetales.",I27="X"),K27,0)</f>
        <v>0</v>
      </c>
      <c r="FY27" s="674">
        <f>IF(AND(AND(Stamoplysninger!$B$26="Der er indgået lokalaftale omkring weekendtimer(Kræver aftale med TR/FSL). Weekendtillæg udbetales.",I27="X",C27="ikke relevant")),K27,0)</f>
        <v>0</v>
      </c>
      <c r="FZ27" s="283">
        <f>IF(AND(Stamoplysninger!$B$26="Der er indgået lokalaftale omkring weekendtillæg(Kræver aftale med TR/FSL). Weekendtimerne udbetales.",I27="X"),K27,0)</f>
        <v>0</v>
      </c>
      <c r="GA27" s="674">
        <f>IF(AND(AND(Stamoplysninger!$B$26="Der er indgået lokalaftale omkring weekendtillæg(Kræver aftale med TR/FSL). Weekendtimerne udbetales.",I27="X",C27="ikke relevant")),K27,0)</f>
        <v>0</v>
      </c>
      <c r="GB27" s="283">
        <f>IF(AND(Stamoplysninger!$B$26="Der er indgået lokalaftale omkring weekendtimer og weekendtillæg.(Kræver aftale med TR/FSL).",I27="X"),K27,0)</f>
        <v>0</v>
      </c>
      <c r="GC27" s="674">
        <f>IF(AND(AND(Stamoplysninger!$B$26="Der er indgået lokalaftale omkring weekendtimer og weekendtillæg.(Kræver aftale med TR/FSL).",I27="X",C27="ikke relevant")),K27,0)</f>
        <v>0</v>
      </c>
    </row>
    <row r="28" spans="1:185">
      <c r="A28" s="245">
        <f t="shared" si="18"/>
        <v>20</v>
      </c>
      <c r="B28" s="128" t="str">
        <f t="shared" si="0"/>
        <v>ma</v>
      </c>
      <c r="C28" s="129" t="s">
        <v>207</v>
      </c>
      <c r="D28" s="130">
        <f t="shared" si="1"/>
        <v>3.7142857142857144</v>
      </c>
      <c r="E28" s="917" t="s">
        <v>706</v>
      </c>
      <c r="F28" s="918"/>
      <c r="G28" s="919"/>
      <c r="H28" s="298"/>
      <c r="I28" s="527"/>
      <c r="J28" s="413"/>
      <c r="K28" s="380">
        <v>6.5</v>
      </c>
      <c r="L28" s="380">
        <v>4</v>
      </c>
      <c r="M28" s="380">
        <v>1</v>
      </c>
      <c r="N28" s="318">
        <f t="shared" si="19"/>
        <v>7.75</v>
      </c>
      <c r="O28" s="318">
        <f t="shared" si="20"/>
        <v>3.4999999999999996</v>
      </c>
      <c r="P28" s="318">
        <f>IF(Stamoplysninger!$H$29="JA",Januar!DG28,CX28)</f>
        <v>1</v>
      </c>
      <c r="Q28" s="318">
        <f t="shared" si="21"/>
        <v>3.25</v>
      </c>
      <c r="R28" s="319"/>
      <c r="S28" s="324"/>
      <c r="T28" s="325"/>
      <c r="U28" s="325"/>
      <c r="V28" s="435"/>
      <c r="W28" s="412"/>
      <c r="X28" s="642"/>
      <c r="Y28">
        <f t="shared" si="22"/>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t="str">
        <f>IF(AND(C28="Skema 1",B28="fr"),Arbejdstidsoversigt!$E$76,"")</f>
        <v/>
      </c>
      <c r="AL28">
        <f>IF(AND(C28="Skema 2",B28="ma"),Arbejdstidsoversigt!$E$81,"")</f>
        <v>7.75</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7.75</v>
      </c>
      <c r="BB28" s="229">
        <f t="shared" si="8"/>
        <v>0</v>
      </c>
      <c r="BC28" s="1">
        <f t="shared" si="24"/>
        <v>0</v>
      </c>
      <c r="BD28" s="1">
        <f t="shared" si="9"/>
        <v>0</v>
      </c>
      <c r="BE28" s="1">
        <f t="shared" si="10"/>
        <v>0</v>
      </c>
      <c r="BF28" s="1">
        <f t="shared" si="11"/>
        <v>0</v>
      </c>
      <c r="BG28" s="210" t="str">
        <f>IF(AND(C28="Skema 1",B28="ma"),Skemaoplysninger!$E$30,"")</f>
        <v/>
      </c>
      <c r="BH28" s="210" t="str">
        <f>IF(AND(C28="Skema 1",B28="ti"),Skemaoplysninger!$G$30,"")</f>
        <v/>
      </c>
      <c r="BI28" s="210" t="str">
        <f>IF(AND(C28="Skema 1",B28="on"),Skemaoplysninger!$I$30,"")</f>
        <v/>
      </c>
      <c r="BJ28" s="210" t="str">
        <f>IF(AND(C28="Skema 1",B28="to"),Skemaoplysninger!$K$30,"")</f>
        <v/>
      </c>
      <c r="BK28" s="210" t="str">
        <f>IF(AND(C28="Skema 1",B28="fr"),Skemaoplysninger!$M$30,"")</f>
        <v/>
      </c>
      <c r="BL28" s="210">
        <f>IF(AND(C28="Skema 2",B28="ma"),Skemaoplysninger!$S$30,"")</f>
        <v>0.14583333333333331</v>
      </c>
      <c r="BM28" s="210" t="str">
        <f>IF(AND(C28="Skema 2",B28="ti"),Skemaoplysninger!$U$30,"")</f>
        <v/>
      </c>
      <c r="BN28" s="210" t="str">
        <f>IF(AND(C28="Skema 2",B28="on"),Skemaoplysninger!$W$30,"")</f>
        <v/>
      </c>
      <c r="BO28" s="210" t="str">
        <f>IF(AND(C28="Skema 2",B28="to"),Skemaoplysninger!$Y$30,"")</f>
        <v/>
      </c>
      <c r="BP28" s="210" t="str">
        <f>IF(AND(C28="Skema 2",B28="fr"),Skemaoplysninger!$AA$30,"")</f>
        <v/>
      </c>
      <c r="BQ28" s="210" t="str">
        <f>IF(AND(C28="Skema 3",B28="ma"),Skemaoplysninger!$AG$30,"")</f>
        <v/>
      </c>
      <c r="BR28" s="210" t="str">
        <f>IF(AND(C28="Skema 3",B28="ti"),Skemaoplysninger!$AI$30,"")</f>
        <v/>
      </c>
      <c r="BS28" s="210" t="str">
        <f>IF(AND(C28="Skema 3",B28="on"),Skemaoplysninger!$AK$30,"")</f>
        <v/>
      </c>
      <c r="BT28" s="210" t="str">
        <f>IF(AND(C28="Skema 3",B28="to"),Skemaoplysninger!$AM$30,"")</f>
        <v/>
      </c>
      <c r="BU28" s="210" t="str">
        <f>IF(AND(C28="Skema 3",B28="fr"),Skemaoplysninger!$AO$30,"")</f>
        <v/>
      </c>
      <c r="BV28" s="210" t="str">
        <f>IF(AND(C28="Skema 4",B28="ma"),Skemaoplysninger!$AU$30,"")</f>
        <v/>
      </c>
      <c r="BW28" s="210" t="str">
        <f>IF(AND(C28="Skema 4",B28="ti"),Skemaoplysninger!$AW$30,"")</f>
        <v/>
      </c>
      <c r="BX28" s="210" t="str">
        <f>IF(AND(C28="Skema 4",B28="on"),Skemaoplysninger!$AY$30,"")</f>
        <v/>
      </c>
      <c r="BY28" s="210" t="str">
        <f>IF(AND(C28="Skema 4",B28="to"),Skemaoplysninger!$BA$30,"")</f>
        <v/>
      </c>
      <c r="BZ28" s="210" t="str">
        <f>IF(AND(C28="Skema 4",B28="fr"),Skemaoplysninger!$BC$30,"")</f>
        <v/>
      </c>
      <c r="CA28" s="1">
        <f t="shared" si="25"/>
        <v>3.4999999999999996</v>
      </c>
      <c r="CB28" s="1">
        <f t="shared" si="12"/>
        <v>0</v>
      </c>
      <c r="CC28" s="1">
        <f t="shared" si="13"/>
        <v>0</v>
      </c>
      <c r="CD28" s="210" t="str">
        <f>IF(AND(C28="Skema 1",B28="ma"),Skemaoplysninger!$E$31,"")</f>
        <v/>
      </c>
      <c r="CE28" s="210" t="str">
        <f>IF(AND(C28="Skema 1",B28="ti"),Skemaoplysninger!$G$31,"")</f>
        <v/>
      </c>
      <c r="CF28" s="210" t="str">
        <f>IF(AND(C28="Skema 1",B28="on"),Skemaoplysninger!$I$31,"")</f>
        <v/>
      </c>
      <c r="CG28" s="210" t="str">
        <f>IF(AND(C28="Skema 1",B28="to"),Skemaoplysninger!$K$31,"")</f>
        <v/>
      </c>
      <c r="CH28" s="210" t="str">
        <f>IF(AND(C28="Skema 1",B28="fr"),Skemaoplysninger!$M$31,"")</f>
        <v/>
      </c>
      <c r="CI28" s="210">
        <f>IF(AND(C28="Skema 2",B28="ma"),Skemaoplysninger!$S$31,"")</f>
        <v>4.1666666666666671E-2</v>
      </c>
      <c r="CJ28" s="210" t="str">
        <f>IF(AND(C28="Skema 2",B28="ti"),Skemaoplysninger!$U$31,"")</f>
        <v/>
      </c>
      <c r="CK28" s="210" t="str">
        <f>IF(AND(C28="Skema 2",B28="on"),Skemaoplysninger!$W$31,"")</f>
        <v/>
      </c>
      <c r="CL28" s="210" t="str">
        <f>IF(AND(C28="Skema 2",B28="to"),Skemaoplysninger!$Y$31,"")</f>
        <v/>
      </c>
      <c r="CM28" s="210" t="str">
        <f>IF(AND(C28="Skema 2",B28="fr"),Skemaoplysninger!$AA$31,"")</f>
        <v/>
      </c>
      <c r="CN28" s="210" t="str">
        <f>IF(AND(C28="Skema 3",B28="ma"),Skemaoplysninger!$AG$31,"")</f>
        <v/>
      </c>
      <c r="CO28" s="210" t="str">
        <f>IF(AND(C28="Skema 3",B28="ti"),Skemaoplysninger!$AI$31,"")</f>
        <v/>
      </c>
      <c r="CP28" s="210" t="str">
        <f>IF(AND(C28="Skema 3",B28="on"),Skemaoplysninger!$AK$31,"")</f>
        <v/>
      </c>
      <c r="CQ28" s="210" t="str">
        <f>IF(AND(C28="Skema 3",B28="to"),Skemaoplysninger!$AM$31,"")</f>
        <v/>
      </c>
      <c r="CR28" s="210" t="str">
        <f>IF(AND(C28="Skema 3",B28="fr"),Skemaoplysninger!$AO$31,"")</f>
        <v/>
      </c>
      <c r="CS28" s="210" t="str">
        <f>IF(AND(C28="Skema 4",B28="ma"),Skemaoplysninger!$AU$31,"")</f>
        <v/>
      </c>
      <c r="CT28" s="210" t="str">
        <f>IF(AND(C28="Skema 4",B28="ti"),Skemaoplysninger!$AW$31,"")</f>
        <v/>
      </c>
      <c r="CU28" s="210" t="str">
        <f>IF(AND(C28="Skema 4",B28="on"),Skemaoplysninger!$AY$31,"")</f>
        <v/>
      </c>
      <c r="CV28" s="210" t="str">
        <f>IF(AND(C28="Skema 4",B28="to"),Skemaoplysninger!$BA$31,"")</f>
        <v/>
      </c>
      <c r="CW28" s="210" t="str">
        <f>IF(AND(C28="Skema 4",B28="fr"),Skemaoplysninger!$BC$31,"")</f>
        <v/>
      </c>
      <c r="CX28" s="249">
        <f>IF(Stamoplysninger!$H$29="NEJ",SUM(CD28:CW28)*24+CB28+CC28,0)</f>
        <v>1</v>
      </c>
      <c r="CY28" s="249">
        <f>IF(C28="Skema 1",Stamoplysninger!$H$30/200,0)</f>
        <v>0</v>
      </c>
      <c r="CZ28" s="249">
        <f>IF(C28="Skema 2",Stamoplysninger!$H$30/200,0)</f>
        <v>0</v>
      </c>
      <c r="DA28" s="249">
        <f>IF(C28="Skema 3",Stamoplysninger!$H$30/200,0)</f>
        <v>0</v>
      </c>
      <c r="DB28" s="249">
        <f>IF(C28="Skema 4",Stamoplysninger!$H$30/200,0)</f>
        <v>0</v>
      </c>
      <c r="DC28" s="249">
        <f>IF(C28="fagdag",Stamoplysninger!$H$30/200,0)</f>
        <v>0</v>
      </c>
      <c r="DD28" s="249">
        <f>IF(C28="emnedag",Stamoplysninger!$H$30/200,0)</f>
        <v>0</v>
      </c>
      <c r="DE28" s="249">
        <f>IF(C28="lejrskole",Stamoplysninger!$H$30/200,0)</f>
        <v>0</v>
      </c>
      <c r="DF28" s="249">
        <f>IF(C28="ekskursion",Stamoplysninger!$H$30/200,0)</f>
        <v>0</v>
      </c>
      <c r="DG28" s="249">
        <f t="shared" si="26"/>
        <v>0</v>
      </c>
      <c r="DH28" t="str">
        <f t="shared" si="27"/>
        <v/>
      </c>
      <c r="DI28" t="str">
        <f t="shared" si="28"/>
        <v>Teateremneuge</v>
      </c>
      <c r="DJ28" t="str">
        <f t="shared" si="29"/>
        <v/>
      </c>
      <c r="DK28" t="str">
        <f t="shared" si="14"/>
        <v/>
      </c>
      <c r="DL28" t="str">
        <f t="shared" si="14"/>
        <v>Teateremneuge</v>
      </c>
      <c r="DM28" t="str">
        <f t="shared" si="14"/>
        <v/>
      </c>
      <c r="DN28" t="str">
        <f t="shared" si="30"/>
        <v>Teateremneuge</v>
      </c>
      <c r="DO28" s="652">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71">
        <f>IF(AND(Stamoplysninger!$B$22="Ulempetillæg udbetales med 25% af nettotimelønnen.",C28="ikke relevant"),(R28)/4,0)</f>
        <v>0</v>
      </c>
      <c r="DT28" s="671">
        <f>IF(AND(AND(Stamoplysninger!$B$22="Ulempetillæg udbetales med 25% af nettotimelønnen.",I28="X",C28="Ikke relevant")),K28/4,0)</f>
        <v>0</v>
      </c>
      <c r="DU28" s="671">
        <f>IF(AND(AND(Stamoplysninger!$B$22="Ulempetillæg udbetales med 25% af nettotimelønnen.",C28="ikke relevant",U28="X")),(X28/4),0)</f>
        <v>0</v>
      </c>
      <c r="DV28" s="672">
        <f>IF(AND(AND(AND(Stamoplysninger!$B$22="Ulempetillæg udbetales med 25% af nettotimelønnen.",I28="X",C28="Ikke relevant",S28="X"))),V28/4,0)</f>
        <v>0</v>
      </c>
      <c r="DW28" s="652"/>
      <c r="DZ28" s="671"/>
      <c r="EA28" s="671"/>
      <c r="EB28" s="672"/>
      <c r="EC28" s="652">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71">
        <f>IF(AND(Stamoplysninger!$B$22="Ulempetillæg afspadseres med 25%(Kræver en aftale imellem ledelsen og den ansatte)",C28="ikke relevant"),(R28)/4,0)</f>
        <v>0</v>
      </c>
      <c r="EH28" s="671">
        <f>IF(AND(AND(Stamoplysninger!$B$22="Ulempetillæg afspadseres med 25%(Kræver en aftale imellem ledelsen og den ansatte)",I28="X",C28="Ikke relevant")),K28/4,0)</f>
        <v>0</v>
      </c>
      <c r="EI28" s="671">
        <f>IF(AND(AND(Stamoplysninger!$B$22="Ulempetillæg afspadseres med 25%(Kræver en aftale imellem ledelsen og den ansatte)",U28="X",C28="Ikke relevant")),X28/4,0)</f>
        <v>0</v>
      </c>
      <c r="EJ28" s="671">
        <f>IF(AND(AND(AND(Stamoplysninger!$B$22="Ulempetillæg afspadseres med 25%(Kræver en aftale imellem ledelsen og den ansatte)",I28="X",C28="Ikke relevant",S28="X"))),V28/4,0)</f>
        <v>0</v>
      </c>
      <c r="EK28" s="283">
        <f>IF(AND(Stamoplysninger!$B$26="Weekendtimer og weekendtillæg afspadseres.",I28="X"),K28*1.5,0)</f>
        <v>0</v>
      </c>
      <c r="EL28" s="251">
        <f>IF(AND(AND(Stamoplysninger!$B$26="Weekendtimer og weekendtillæg afspadseres.",I28="X",S28="X")),V28*1.5,0)</f>
        <v>0</v>
      </c>
      <c r="EM28" s="674">
        <f>IF(AND(AND(Stamoplysninger!$B$26="Weekendtimer og weekendtillæg afspadseres.",I28="X",C28="ikke relevant")),K28*1.5,0)</f>
        <v>0</v>
      </c>
      <c r="EN28" s="675">
        <f>IF(AND(AND(AND(Stamoplysninger!$B$26="Weekendtimer og weekendtillæg afspadseres.",I28="X",C28="ikke relevant",S28="X"))),(V28*1.5),0)</f>
        <v>0</v>
      </c>
      <c r="EO28" s="283">
        <f>IF(AND(Stamoplysninger!$B$26="Weekendtimer og weekendtillæg udbetales.",I28="X"),K28*1.5,0)</f>
        <v>0</v>
      </c>
      <c r="EP28" s="251">
        <f>IF(AND(AND(Stamoplysninger!$B$26="Weekendtimer og weekendtillæg udbetales.",I28="X",S28="X")),V28*1.5,0)</f>
        <v>0</v>
      </c>
      <c r="EQ28" s="674">
        <f>IF(AND(AND(Stamoplysninger!$B$26="Weekendtimer og weekendtillæg udbetales.",I28="X",C28="ikke relevant")),K28*1.5,0)</f>
        <v>0</v>
      </c>
      <c r="ER28" s="675">
        <f>IF(AND(AND(AND(Stamoplysninger!$B$26="Weekendtimer og weekendtillæg udbetales.",I28="X",C28="ikke relevant",S28="X"))),(V28*1.5),0)</f>
        <v>0</v>
      </c>
      <c r="ES28" s="283">
        <f>IF(AND(Stamoplysninger!$B$26="Der er indgået lokalaftale omkring weekendtimer.(Kræver aftale med TR/FSL) Weekendtillæg afspadseres.",I28="X"),K28*0.5,0)</f>
        <v>0</v>
      </c>
      <c r="ET28" s="251">
        <f>IF(AND(AND(Stamoplysninger!$B$26="Der er indgået lokalaftale omkring weekendtimer.(Kræver aftale med TR/FSL) Weekendtillæg afspadseres.",I28="X",S28="X")),V28*0.5,0)</f>
        <v>0</v>
      </c>
      <c r="EU28" s="674">
        <f>IF(AND(AND(Stamoplysninger!$B$26="Der er indgået lokalaftale omkring weekendtimer.(Kræver aftale med TR/FSL) Weekendtillæg afspadseres.",I28="X",C28="ikke relevant")),K28*0.5,0)</f>
        <v>0</v>
      </c>
      <c r="EV28" s="675">
        <f>IF(AND(AND(AND(Stamoplysninger!$B$26="Der er indgået lokalaftale omkring weekendtimer.(Kræver aftale med TR/FSL) Weekendtillæg afspadseres.",I28="X",C28="ikke relevant",S28="X"))),(V28*0.5),0)</f>
        <v>0</v>
      </c>
      <c r="EW28" s="283">
        <f>IF(AND(Stamoplysninger!$B$26="Der er indgået lokalaftale omkring weekendtimer(Kræver aftale med TR/FSL). Weekendtillæg udbetales.",I28="X"),K28*0.5,0)</f>
        <v>0</v>
      </c>
      <c r="EX28" s="251">
        <f>IF(AND(AND(Stamoplysninger!$B$26="Der er indgået lokalaftale omkring weekendtimer(Kræver aftale med TR/FSL). Weekendtillæg udbetales.",I28="X",S28="X")),V28*0.5,0)</f>
        <v>0</v>
      </c>
      <c r="EY28" s="674">
        <f>IF(AND(AND(Stamoplysninger!$B$26="Der er indgået lokalaftale omkring weekendtimer(Kræver aftale med TR/FSL). Weekendtillæg udbetales.",I28="X",C28="ikke relevant")),K28*0.5,0)</f>
        <v>0</v>
      </c>
      <c r="EZ28" s="675">
        <f>IF(AND(AND(AND(Stamoplysninger!$B$26="Der er indgået lokalaftale omkring weekendtimer(Kræver aftale med TR/FSL). Weekendtillæg udbetales.",I28="X",C28="ikke relevant",S28="X"))),(V28*0.5),0)</f>
        <v>0</v>
      </c>
      <c r="FA28" s="283">
        <f>IF(AND(Stamoplysninger!$B$26="Der er indgået lokalaftale omkring weekendtillæg(Kræver aftale med TR/FSL). Weekendtimerne afspadseres.",I28="X"),K28,0)</f>
        <v>0</v>
      </c>
      <c r="FB28" s="251">
        <f>IF(AND(AND(Stamoplysninger!$B$26="Der er indgået lokalaftale omkring weekendtillæg(Kræver aftale med TR/FSL). Weekendtimerne afspadseres.",I28="X",S28="X")),V28,0)</f>
        <v>0</v>
      </c>
      <c r="FC28" s="674">
        <f>IF(AND(AND(Stamoplysninger!$B$26="Der er indgået lokalaftale omkring weekendtillæg(Kræver aftale med TR/FSL). Weekendtimerne afspadseres..",I28="X",C28="ikke relevant")),K28,0)</f>
        <v>0</v>
      </c>
      <c r="FD28" s="675">
        <f>IF(AND(AND(AND(Stamoplysninger!$B$26="Der er indgået lokalaftale omkring weekendtillæg(Kræver aftale med TR/FSL). Weekendtimerne afspadseres.",I28="X",C28="ikke relevant",S28="X"))),(V28),0)</f>
        <v>0</v>
      </c>
      <c r="FE28" s="283">
        <f>IF(AND(Stamoplysninger!$B$26="Der er indgået lokalaftale omkring weekendtillæg(Kræver aftale med TR/FSL). Weekendtimerne udbetales.",I28="X"),K28,0)</f>
        <v>0</v>
      </c>
      <c r="FF28" s="251">
        <f>IF(AND(AND(Stamoplysninger!$B$26="Der er indgået lokalaftale omkring weekendtillæg(Kræver aftale med TR/FSL). Weekendtimerne udbetales.",I28="X",S28="X")),V28,0)</f>
        <v>0</v>
      </c>
      <c r="FG28" s="674">
        <f>IF(AND(AND(Stamoplysninger!$B$26="Der er indgået lokalaftale omkring weekendtillæg(Kræver aftale med TR/FSL). Weekendtimerne udbetales.",I28="X",C28="ikke relevant")),K28,0)</f>
        <v>0</v>
      </c>
      <c r="FH28" s="675">
        <f>IF(AND(AND(AND(Stamoplysninger!$B$26="Der er indgået lokalaftale omkring weekendtillæg(Kræver aftale med TR/FSL). Weekendtimerne udbetales.",I28="X",C28="ikke relevant",S28="X"))),(V28),0)</f>
        <v>0</v>
      </c>
      <c r="FI28" s="283">
        <f>IF(AND(Stamoplysninger!$B$26="Weekendtimer og weekendtillæg afspadseres.",I28="X"),K28,0)</f>
        <v>0</v>
      </c>
      <c r="FJ28" s="251">
        <f>IF(AND(Stamoplysninger!$B$26="Weekendtimer og weekendtillæg afspadseres.",Y28="X"),(AA28+AL28)/2,0)</f>
        <v>0</v>
      </c>
      <c r="FK28" s="674">
        <f>IF(AND(AND(Stamoplysninger!$B$26="Weekendtimer og weekendtillæg afspadseres.",I28="X",C28="ikke relevant")),K28,0)</f>
        <v>0</v>
      </c>
      <c r="FL28" s="675">
        <f>IF(AND(AND(Stamoplysninger!$B$26="Weekendtimer og weekendtillæg afspadseres.",Y28="X",S28="ikke relevant")),(AA28+AL28)/2,0)</f>
        <v>0</v>
      </c>
      <c r="FM28" s="283">
        <f>IF(AND(Stamoplysninger!$B$26="Der er indgået lokalaftale omkring weekendtillæg(Kræver aftale med TR/FSL). Weekendtimerne afspadseres.",I28="X"),K28,0)</f>
        <v>0</v>
      </c>
      <c r="FN28" s="674">
        <f>IF(AND(AND(Stamoplysninger!$B$26="Der er indgået lokalaftale omkring weekendtillæg(Kræver aftale med TR/FSL). Weekendtimerne afspadseres.",I28="X",C28="ikke relevant")),K28,0)</f>
        <v>0</v>
      </c>
      <c r="FO28" s="283">
        <f>IF(AND(Stamoplysninger!$B$26="Weekendtimer og weekendtillæg udbetales.",I28="X"),K28,0)</f>
        <v>0</v>
      </c>
      <c r="FP28" s="251">
        <f>IF(AND(Stamoplysninger!$B$26="Weekendtimer og weekendtillæg udbetales.",AA28="X"),(AC28+AN28)/2,0)</f>
        <v>0</v>
      </c>
      <c r="FQ28" s="674">
        <f>IF(AND(AND(Stamoplysninger!$B$26="Weekendtimer og weekendtillæg udbetales.",I28="X",C28="ikke relevant")),K28,0)</f>
        <v>0</v>
      </c>
      <c r="FR28" s="688">
        <f>IF(AND(AND(Stamoplysninger!$B$26="Weekendtimer og weekendtillæg udbetales.",AA28="X",U28="ikke relevant")),(AC28+AN28)/2,0)</f>
        <v>0</v>
      </c>
      <c r="FS28" s="283">
        <f t="shared" si="15"/>
        <v>0</v>
      </c>
      <c r="FT28" s="658">
        <f t="shared" si="16"/>
        <v>0</v>
      </c>
      <c r="FU28">
        <f t="shared" si="17"/>
        <v>0</v>
      </c>
      <c r="FV28" s="283">
        <f>IF(AND(Stamoplysninger!$B$26="Der er indgået lokalaftale omkring weekendtimer.(Kræver aftale med TR/FSL) Weekendtillæg afspadseres.",I28="X"),K28,0)</f>
        <v>0</v>
      </c>
      <c r="FW28" s="674">
        <f>IF(AND(AND(Stamoplysninger!$B$26="Der er indgået lokalaftale omkring weekendtimer.(Kræver aftale med TR/FSL) Weekendtillæg afspadseres.",I28="X",C28="ikke relevant")),K28,0)</f>
        <v>0</v>
      </c>
      <c r="FX28" s="283">
        <f>IF(AND(Stamoplysninger!$B$26="Der er indgået lokalaftale omkring weekendtimer(Kræver aftale med TR/FSL). Weekendtillæg udbetales.",I28="X"),K28,0)</f>
        <v>0</v>
      </c>
      <c r="FY28" s="674">
        <f>IF(AND(AND(Stamoplysninger!$B$26="Der er indgået lokalaftale omkring weekendtimer(Kræver aftale med TR/FSL). Weekendtillæg udbetales.",I28="X",C28="ikke relevant")),K28,0)</f>
        <v>0</v>
      </c>
      <c r="FZ28" s="283">
        <f>IF(AND(Stamoplysninger!$B$26="Der er indgået lokalaftale omkring weekendtillæg(Kræver aftale med TR/FSL). Weekendtimerne udbetales.",I28="X"),K28,0)</f>
        <v>0</v>
      </c>
      <c r="GA28" s="674">
        <f>IF(AND(AND(Stamoplysninger!$B$26="Der er indgået lokalaftale omkring weekendtillæg(Kræver aftale med TR/FSL). Weekendtimerne udbetales.",I28="X",C28="ikke relevant")),K28,0)</f>
        <v>0</v>
      </c>
      <c r="GB28" s="283">
        <f>IF(AND(Stamoplysninger!$B$26="Der er indgået lokalaftale omkring weekendtimer og weekendtillæg.(Kræver aftale med TR/FSL).",I28="X"),K28,0)</f>
        <v>0</v>
      </c>
      <c r="GC28" s="674">
        <f>IF(AND(AND(Stamoplysninger!$B$26="Der er indgået lokalaftale omkring weekendtimer og weekendtillæg.(Kræver aftale med TR/FSL).",I28="X",C28="ikke relevant")),K28,0)</f>
        <v>0</v>
      </c>
    </row>
    <row r="29" spans="1:185">
      <c r="A29" s="245">
        <f t="shared" si="18"/>
        <v>21</v>
      </c>
      <c r="B29" s="128" t="str">
        <f t="shared" si="0"/>
        <v>ti</v>
      </c>
      <c r="C29" s="129" t="s">
        <v>207</v>
      </c>
      <c r="D29" s="130" t="str">
        <f t="shared" si="1"/>
        <v/>
      </c>
      <c r="E29" s="917" t="s">
        <v>706</v>
      </c>
      <c r="F29" s="918"/>
      <c r="G29" s="919"/>
      <c r="H29" s="298"/>
      <c r="I29" s="527"/>
      <c r="J29" s="413"/>
      <c r="K29" s="380">
        <v>6.5</v>
      </c>
      <c r="L29" s="380">
        <v>4</v>
      </c>
      <c r="M29" s="380">
        <v>1</v>
      </c>
      <c r="N29" s="318">
        <f t="shared" si="19"/>
        <v>8.5</v>
      </c>
      <c r="O29" s="318">
        <f t="shared" si="20"/>
        <v>3.75</v>
      </c>
      <c r="P29" s="318">
        <f>IF(Stamoplysninger!$H$29="JA",Januar!DG29,CX29)</f>
        <v>1.5</v>
      </c>
      <c r="Q29" s="318">
        <f t="shared" si="21"/>
        <v>3.25</v>
      </c>
      <c r="R29" s="319"/>
      <c r="S29" s="324"/>
      <c r="T29" s="325"/>
      <c r="U29" s="325"/>
      <c r="V29" s="435"/>
      <c r="W29" s="412"/>
      <c r="X29" s="642"/>
      <c r="Y29">
        <f t="shared" si="22"/>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f>IF(AND(C29="Skema 2",B29="ti"),Arbejdstidsoversigt!$E$82,"")</f>
        <v>8.5</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8.5</v>
      </c>
      <c r="BB29" s="229">
        <f t="shared" si="8"/>
        <v>0</v>
      </c>
      <c r="BC29" s="1">
        <f t="shared" si="24"/>
        <v>0</v>
      </c>
      <c r="BD29" s="1">
        <f t="shared" si="9"/>
        <v>0</v>
      </c>
      <c r="BE29" s="1">
        <f t="shared" si="10"/>
        <v>0</v>
      </c>
      <c r="BF29" s="1">
        <f t="shared" si="11"/>
        <v>0</v>
      </c>
      <c r="BG29" s="210" t="str">
        <f>IF(AND(C29="Skema 1",B29="ma"),Skemaoplysninger!$E$30,"")</f>
        <v/>
      </c>
      <c r="BH29" s="210" t="str">
        <f>IF(AND(C29="Skema 1",B29="ti"),Skemaoplysninger!$G$30,"")</f>
        <v/>
      </c>
      <c r="BI29" s="210" t="str">
        <f>IF(AND(C29="Skema 1",B29="on"),Skemaoplysninger!$I$30,"")</f>
        <v/>
      </c>
      <c r="BJ29" s="210" t="str">
        <f>IF(AND(C29="Skema 1",B29="to"),Skemaoplysninger!$K$30,"")</f>
        <v/>
      </c>
      <c r="BK29" s="210" t="str">
        <f>IF(AND(C29="Skema 1",B29="fr"),Skemaoplysninger!$M$30,"")</f>
        <v/>
      </c>
      <c r="BL29" s="210" t="str">
        <f>IF(AND(C29="Skema 2",B29="ma"),Skemaoplysninger!$S$30,"")</f>
        <v/>
      </c>
      <c r="BM29" s="210">
        <f>IF(AND(C29="Skema 2",B29="ti"),Skemaoplysninger!$U$30,"")</f>
        <v>0.15625</v>
      </c>
      <c r="BN29" s="210" t="str">
        <f>IF(AND(C29="Skema 2",B29="on"),Skemaoplysninger!$W$30,"")</f>
        <v/>
      </c>
      <c r="BO29" s="210" t="str">
        <f>IF(AND(C29="Skema 2",B29="to"),Skemaoplysninger!$Y$30,"")</f>
        <v/>
      </c>
      <c r="BP29" s="210" t="str">
        <f>IF(AND(C29="Skema 2",B29="fr"),Skemaoplysninger!$AA$30,"")</f>
        <v/>
      </c>
      <c r="BQ29" s="210" t="str">
        <f>IF(AND(C29="Skema 3",B29="ma"),Skemaoplysninger!$AG$30,"")</f>
        <v/>
      </c>
      <c r="BR29" s="210" t="str">
        <f>IF(AND(C29="Skema 3",B29="ti"),Skemaoplysninger!$AI$30,"")</f>
        <v/>
      </c>
      <c r="BS29" s="210" t="str">
        <f>IF(AND(C29="Skema 3",B29="on"),Skemaoplysninger!$AK$30,"")</f>
        <v/>
      </c>
      <c r="BT29" s="210" t="str">
        <f>IF(AND(C29="Skema 3",B29="to"),Skemaoplysninger!$AM$30,"")</f>
        <v/>
      </c>
      <c r="BU29" s="210" t="str">
        <f>IF(AND(C29="Skema 3",B29="fr"),Skemaoplysninger!$AO$30,"")</f>
        <v/>
      </c>
      <c r="BV29" s="210" t="str">
        <f>IF(AND(C29="Skema 4",B29="ma"),Skemaoplysninger!$AU$30,"")</f>
        <v/>
      </c>
      <c r="BW29" s="210" t="str">
        <f>IF(AND(C29="Skema 4",B29="ti"),Skemaoplysninger!$AW$30,"")</f>
        <v/>
      </c>
      <c r="BX29" s="210" t="str">
        <f>IF(AND(C29="Skema 4",B29="on"),Skemaoplysninger!$AY$30,"")</f>
        <v/>
      </c>
      <c r="BY29" s="210" t="str">
        <f>IF(AND(C29="Skema 4",B29="to"),Skemaoplysninger!$BA$30,"")</f>
        <v/>
      </c>
      <c r="BZ29" s="210" t="str">
        <f>IF(AND(C29="Skema 4",B29="fr"),Skemaoplysninger!$BC$30,"")</f>
        <v/>
      </c>
      <c r="CA29" s="1">
        <f t="shared" si="25"/>
        <v>3.75</v>
      </c>
      <c r="CB29" s="1">
        <f t="shared" si="12"/>
        <v>0</v>
      </c>
      <c r="CC29" s="1">
        <f t="shared" si="13"/>
        <v>0</v>
      </c>
      <c r="CD29" s="210" t="str">
        <f>IF(AND(C29="Skema 1",B29="ma"),Skemaoplysninger!$E$31,"")</f>
        <v/>
      </c>
      <c r="CE29" s="210" t="str">
        <f>IF(AND(C29="Skema 1",B29="ti"),Skemaoplysninger!$G$31,"")</f>
        <v/>
      </c>
      <c r="CF29" s="210" t="str">
        <f>IF(AND(C29="Skema 1",B29="on"),Skemaoplysninger!$I$31,"")</f>
        <v/>
      </c>
      <c r="CG29" s="210" t="str">
        <f>IF(AND(C29="Skema 1",B29="to"),Skemaoplysninger!$K$31,"")</f>
        <v/>
      </c>
      <c r="CH29" s="210" t="str">
        <f>IF(AND(C29="Skema 1",B29="fr"),Skemaoplysninger!$M$31,"")</f>
        <v/>
      </c>
      <c r="CI29" s="210" t="str">
        <f>IF(AND(C29="Skema 2",B29="ma"),Skemaoplysninger!$S$31,"")</f>
        <v/>
      </c>
      <c r="CJ29" s="210">
        <f>IF(AND(C29="Skema 2",B29="ti"),Skemaoplysninger!$U$31,"")</f>
        <v>6.25E-2</v>
      </c>
      <c r="CK29" s="210" t="str">
        <f>IF(AND(C29="Skema 2",B29="on"),Skemaoplysninger!$W$31,"")</f>
        <v/>
      </c>
      <c r="CL29" s="210" t="str">
        <f>IF(AND(C29="Skema 2",B29="to"),Skemaoplysninger!$Y$31,"")</f>
        <v/>
      </c>
      <c r="CM29" s="210" t="str">
        <f>IF(AND(C29="Skema 2",B29="fr"),Skemaoplysninger!$AA$31,"")</f>
        <v/>
      </c>
      <c r="CN29" s="210" t="str">
        <f>IF(AND(C29="Skema 3",B29="ma"),Skemaoplysninger!$AG$31,"")</f>
        <v/>
      </c>
      <c r="CO29" s="210" t="str">
        <f>IF(AND(C29="Skema 3",B29="ti"),Skemaoplysninger!$AI$31,"")</f>
        <v/>
      </c>
      <c r="CP29" s="210" t="str">
        <f>IF(AND(C29="Skema 3",B29="on"),Skemaoplysninger!$AK$31,"")</f>
        <v/>
      </c>
      <c r="CQ29" s="210" t="str">
        <f>IF(AND(C29="Skema 3",B29="to"),Skemaoplysninger!$AM$31,"")</f>
        <v/>
      </c>
      <c r="CR29" s="210" t="str">
        <f>IF(AND(C29="Skema 3",B29="fr"),Skemaoplysninger!$AO$31,"")</f>
        <v/>
      </c>
      <c r="CS29" s="210" t="str">
        <f>IF(AND(C29="Skema 4",B29="ma"),Skemaoplysninger!$AU$31,"")</f>
        <v/>
      </c>
      <c r="CT29" s="210" t="str">
        <f>IF(AND(C29="Skema 4",B29="ti"),Skemaoplysninger!$AW$31,"")</f>
        <v/>
      </c>
      <c r="CU29" s="210" t="str">
        <f>IF(AND(C29="Skema 4",B29="on"),Skemaoplysninger!$AY$31,"")</f>
        <v/>
      </c>
      <c r="CV29" s="210" t="str">
        <f>IF(AND(C29="Skema 4",B29="to"),Skemaoplysninger!$BA$31,"")</f>
        <v/>
      </c>
      <c r="CW29" s="210" t="str">
        <f>IF(AND(C29="Skema 4",B29="fr"),Skemaoplysninger!$BC$31,"")</f>
        <v/>
      </c>
      <c r="CX29" s="249">
        <f>IF(Stamoplysninger!$H$29="NEJ",SUM(CD29:CW29)*24+CB29+CC29,0)</f>
        <v>1.5</v>
      </c>
      <c r="CY29" s="249">
        <f>IF(C29="Skema 1",Stamoplysninger!$H$30/200,0)</f>
        <v>0</v>
      </c>
      <c r="CZ29" s="249">
        <f>IF(C29="Skema 2",Stamoplysninger!$H$30/200,0)</f>
        <v>0</v>
      </c>
      <c r="DA29" s="249">
        <f>IF(C29="Skema 3",Stamoplysninger!$H$30/200,0)</f>
        <v>0</v>
      </c>
      <c r="DB29" s="249">
        <f>IF(C29="Skema 4",Stamoplysninger!$H$30/200,0)</f>
        <v>0</v>
      </c>
      <c r="DC29" s="249">
        <f>IF(C29="fagdag",Stamoplysninger!$H$30/200,0)</f>
        <v>0</v>
      </c>
      <c r="DD29" s="249">
        <f>IF(C29="emnedag",Stamoplysninger!$H$30/200,0)</f>
        <v>0</v>
      </c>
      <c r="DE29" s="249">
        <f>IF(C29="lejrskole",Stamoplysninger!$H$30/200,0)</f>
        <v>0</v>
      </c>
      <c r="DF29" s="249">
        <f>IF(C29="ekskursion",Stamoplysninger!$H$30/200,0)</f>
        <v>0</v>
      </c>
      <c r="DG29" s="249">
        <f t="shared" si="26"/>
        <v>0</v>
      </c>
      <c r="DH29" t="str">
        <f t="shared" si="27"/>
        <v/>
      </c>
      <c r="DI29" t="str">
        <f t="shared" si="28"/>
        <v>Teateremneuge</v>
      </c>
      <c r="DJ29" t="str">
        <f t="shared" si="29"/>
        <v/>
      </c>
      <c r="DK29" t="str">
        <f t="shared" si="14"/>
        <v/>
      </c>
      <c r="DL29" t="str">
        <f t="shared" si="14"/>
        <v>Teateremneuge</v>
      </c>
      <c r="DM29" t="str">
        <f t="shared" si="14"/>
        <v/>
      </c>
      <c r="DN29" t="str">
        <f t="shared" si="30"/>
        <v>Teateremneuge</v>
      </c>
      <c r="DO29" s="652">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71">
        <f>IF(AND(Stamoplysninger!$B$22="Ulempetillæg udbetales med 25% af nettotimelønnen.",C29="ikke relevant"),(R29)/4,0)</f>
        <v>0</v>
      </c>
      <c r="DT29" s="671">
        <f>IF(AND(AND(Stamoplysninger!$B$22="Ulempetillæg udbetales med 25% af nettotimelønnen.",I29="X",C29="Ikke relevant")),K29/4,0)</f>
        <v>0</v>
      </c>
      <c r="DU29" s="671">
        <f>IF(AND(AND(Stamoplysninger!$B$22="Ulempetillæg udbetales med 25% af nettotimelønnen.",C29="ikke relevant",U29="X")),(X29/4),0)</f>
        <v>0</v>
      </c>
      <c r="DV29" s="672">
        <f>IF(AND(AND(AND(Stamoplysninger!$B$22="Ulempetillæg udbetales med 25% af nettotimelønnen.",I29="X",C29="Ikke relevant",S29="X"))),V29/4,0)</f>
        <v>0</v>
      </c>
      <c r="DW29" s="652"/>
      <c r="DZ29" s="671"/>
      <c r="EA29" s="671"/>
      <c r="EB29" s="672"/>
      <c r="EC29" s="652">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71">
        <f>IF(AND(Stamoplysninger!$B$22="Ulempetillæg afspadseres med 25%(Kræver en aftale imellem ledelsen og den ansatte)",C29="ikke relevant"),(R29)/4,0)</f>
        <v>0</v>
      </c>
      <c r="EH29" s="671">
        <f>IF(AND(AND(Stamoplysninger!$B$22="Ulempetillæg afspadseres med 25%(Kræver en aftale imellem ledelsen og den ansatte)",I29="X",C29="Ikke relevant")),K29/4,0)</f>
        <v>0</v>
      </c>
      <c r="EI29" s="671">
        <f>IF(AND(AND(Stamoplysninger!$B$22="Ulempetillæg afspadseres med 25%(Kræver en aftale imellem ledelsen og den ansatte)",U29="X",C29="Ikke relevant")),X29/4,0)</f>
        <v>0</v>
      </c>
      <c r="EJ29" s="671">
        <f>IF(AND(AND(AND(Stamoplysninger!$B$22="Ulempetillæg afspadseres med 25%(Kræver en aftale imellem ledelsen og den ansatte)",I29="X",C29="Ikke relevant",S29="X"))),V29/4,0)</f>
        <v>0</v>
      </c>
      <c r="EK29" s="283">
        <f>IF(AND(Stamoplysninger!$B$26="Weekendtimer og weekendtillæg afspadseres.",I29="X"),K29*1.5,0)</f>
        <v>0</v>
      </c>
      <c r="EL29" s="251">
        <f>IF(AND(AND(Stamoplysninger!$B$26="Weekendtimer og weekendtillæg afspadseres.",I29="X",S29="X")),V29*1.5,0)</f>
        <v>0</v>
      </c>
      <c r="EM29" s="674">
        <f>IF(AND(AND(Stamoplysninger!$B$26="Weekendtimer og weekendtillæg afspadseres.",I29="X",C29="ikke relevant")),K29*1.5,0)</f>
        <v>0</v>
      </c>
      <c r="EN29" s="675">
        <f>IF(AND(AND(AND(Stamoplysninger!$B$26="Weekendtimer og weekendtillæg afspadseres.",I29="X",C29="ikke relevant",S29="X"))),(V29*1.5),0)</f>
        <v>0</v>
      </c>
      <c r="EO29" s="283">
        <f>IF(AND(Stamoplysninger!$B$26="Weekendtimer og weekendtillæg udbetales.",I29="X"),K29*1.5,0)</f>
        <v>0</v>
      </c>
      <c r="EP29" s="251">
        <f>IF(AND(AND(Stamoplysninger!$B$26="Weekendtimer og weekendtillæg udbetales.",I29="X",S29="X")),V29*1.5,0)</f>
        <v>0</v>
      </c>
      <c r="EQ29" s="674">
        <f>IF(AND(AND(Stamoplysninger!$B$26="Weekendtimer og weekendtillæg udbetales.",I29="X",C29="ikke relevant")),K29*1.5,0)</f>
        <v>0</v>
      </c>
      <c r="ER29" s="675">
        <f>IF(AND(AND(AND(Stamoplysninger!$B$26="Weekendtimer og weekendtillæg udbetales.",I29="X",C29="ikke relevant",S29="X"))),(V29*1.5),0)</f>
        <v>0</v>
      </c>
      <c r="ES29" s="283">
        <f>IF(AND(Stamoplysninger!$B$26="Der er indgået lokalaftale omkring weekendtimer.(Kræver aftale med TR/FSL) Weekendtillæg afspadseres.",I29="X"),K29*0.5,0)</f>
        <v>0</v>
      </c>
      <c r="ET29" s="251">
        <f>IF(AND(AND(Stamoplysninger!$B$26="Der er indgået lokalaftale omkring weekendtimer.(Kræver aftale med TR/FSL) Weekendtillæg afspadseres.",I29="X",S29="X")),V29*0.5,0)</f>
        <v>0</v>
      </c>
      <c r="EU29" s="674">
        <f>IF(AND(AND(Stamoplysninger!$B$26="Der er indgået lokalaftale omkring weekendtimer.(Kræver aftale med TR/FSL) Weekendtillæg afspadseres.",I29="X",C29="ikke relevant")),K29*0.5,0)</f>
        <v>0</v>
      </c>
      <c r="EV29" s="675">
        <f>IF(AND(AND(AND(Stamoplysninger!$B$26="Der er indgået lokalaftale omkring weekendtimer.(Kræver aftale med TR/FSL) Weekendtillæg afspadseres.",I29="X",C29="ikke relevant",S29="X"))),(V29*0.5),0)</f>
        <v>0</v>
      </c>
      <c r="EW29" s="283">
        <f>IF(AND(Stamoplysninger!$B$26="Der er indgået lokalaftale omkring weekendtimer(Kræver aftale med TR/FSL). Weekendtillæg udbetales.",I29="X"),K29*0.5,0)</f>
        <v>0</v>
      </c>
      <c r="EX29" s="251">
        <f>IF(AND(AND(Stamoplysninger!$B$26="Der er indgået lokalaftale omkring weekendtimer(Kræver aftale med TR/FSL). Weekendtillæg udbetales.",I29="X",S29="X")),V29*0.5,0)</f>
        <v>0</v>
      </c>
      <c r="EY29" s="674">
        <f>IF(AND(AND(Stamoplysninger!$B$26="Der er indgået lokalaftale omkring weekendtimer(Kræver aftale med TR/FSL). Weekendtillæg udbetales.",I29="X",C29="ikke relevant")),K29*0.5,0)</f>
        <v>0</v>
      </c>
      <c r="EZ29" s="675">
        <f>IF(AND(AND(AND(Stamoplysninger!$B$26="Der er indgået lokalaftale omkring weekendtimer(Kræver aftale med TR/FSL). Weekendtillæg udbetales.",I29="X",C29="ikke relevant",S29="X"))),(V29*0.5),0)</f>
        <v>0</v>
      </c>
      <c r="FA29" s="283">
        <f>IF(AND(Stamoplysninger!$B$26="Der er indgået lokalaftale omkring weekendtillæg(Kræver aftale med TR/FSL). Weekendtimerne afspadseres.",I29="X"),K29,0)</f>
        <v>0</v>
      </c>
      <c r="FB29" s="251">
        <f>IF(AND(AND(Stamoplysninger!$B$26="Der er indgået lokalaftale omkring weekendtillæg(Kræver aftale med TR/FSL). Weekendtimerne afspadseres.",I29="X",S29="X")),V29,0)</f>
        <v>0</v>
      </c>
      <c r="FC29" s="674">
        <f>IF(AND(AND(Stamoplysninger!$B$26="Der er indgået lokalaftale omkring weekendtillæg(Kræver aftale med TR/FSL). Weekendtimerne afspadseres..",I29="X",C29="ikke relevant")),K29,0)</f>
        <v>0</v>
      </c>
      <c r="FD29" s="675">
        <f>IF(AND(AND(AND(Stamoplysninger!$B$26="Der er indgået lokalaftale omkring weekendtillæg(Kræver aftale med TR/FSL). Weekendtimerne afspadseres.",I29="X",C29="ikke relevant",S29="X"))),(V29),0)</f>
        <v>0</v>
      </c>
      <c r="FE29" s="283">
        <f>IF(AND(Stamoplysninger!$B$26="Der er indgået lokalaftale omkring weekendtillæg(Kræver aftale med TR/FSL). Weekendtimerne udbetales.",I29="X"),K29,0)</f>
        <v>0</v>
      </c>
      <c r="FF29" s="251">
        <f>IF(AND(AND(Stamoplysninger!$B$26="Der er indgået lokalaftale omkring weekendtillæg(Kræver aftale med TR/FSL). Weekendtimerne udbetales.",I29="X",S29="X")),V29,0)</f>
        <v>0</v>
      </c>
      <c r="FG29" s="674">
        <f>IF(AND(AND(Stamoplysninger!$B$26="Der er indgået lokalaftale omkring weekendtillæg(Kræver aftale med TR/FSL). Weekendtimerne udbetales.",I29="X",C29="ikke relevant")),K29,0)</f>
        <v>0</v>
      </c>
      <c r="FH29" s="675">
        <f>IF(AND(AND(AND(Stamoplysninger!$B$26="Der er indgået lokalaftale omkring weekendtillæg(Kræver aftale med TR/FSL). Weekendtimerne udbetales.",I29="X",C29="ikke relevant",S29="X"))),(V29),0)</f>
        <v>0</v>
      </c>
      <c r="FI29" s="283">
        <f>IF(AND(Stamoplysninger!$B$26="Weekendtimer og weekendtillæg afspadseres.",I29="X"),K29,0)</f>
        <v>0</v>
      </c>
      <c r="FJ29" s="251">
        <f>IF(AND(Stamoplysninger!$B$26="Weekendtimer og weekendtillæg afspadseres.",Y29="X"),(AA29+AL29)/2,0)</f>
        <v>0</v>
      </c>
      <c r="FK29" s="674">
        <f>IF(AND(AND(Stamoplysninger!$B$26="Weekendtimer og weekendtillæg afspadseres.",I29="X",C29="ikke relevant")),K29,0)</f>
        <v>0</v>
      </c>
      <c r="FL29" s="675">
        <f>IF(AND(AND(Stamoplysninger!$B$26="Weekendtimer og weekendtillæg afspadseres.",Y29="X",S29="ikke relevant")),(AA29+AL29)/2,0)</f>
        <v>0</v>
      </c>
      <c r="FM29" s="283">
        <f>IF(AND(Stamoplysninger!$B$26="Der er indgået lokalaftale omkring weekendtillæg(Kræver aftale med TR/FSL). Weekendtimerne afspadseres.",I29="X"),K29,0)</f>
        <v>0</v>
      </c>
      <c r="FN29" s="674">
        <f>IF(AND(AND(Stamoplysninger!$B$26="Der er indgået lokalaftale omkring weekendtillæg(Kræver aftale med TR/FSL). Weekendtimerne afspadseres.",I29="X",C29="ikke relevant")),K29,0)</f>
        <v>0</v>
      </c>
      <c r="FO29" s="283">
        <f>IF(AND(Stamoplysninger!$B$26="Weekendtimer og weekendtillæg udbetales.",I29="X"),K29,0)</f>
        <v>0</v>
      </c>
      <c r="FP29" s="251">
        <f>IF(AND(Stamoplysninger!$B$26="Weekendtimer og weekendtillæg udbetales.",AA29="X"),(AC29+AN29)/2,0)</f>
        <v>0</v>
      </c>
      <c r="FQ29" s="674">
        <f>IF(AND(AND(Stamoplysninger!$B$26="Weekendtimer og weekendtillæg udbetales.",I29="X",C29="ikke relevant")),K29,0)</f>
        <v>0</v>
      </c>
      <c r="FR29" s="688">
        <f>IF(AND(AND(Stamoplysninger!$B$26="Weekendtimer og weekendtillæg udbetales.",AA29="X",U29="ikke relevant")),(AC29+AN29)/2,0)</f>
        <v>0</v>
      </c>
      <c r="FS29" s="283">
        <f t="shared" si="15"/>
        <v>0</v>
      </c>
      <c r="FT29" s="658">
        <f t="shared" si="16"/>
        <v>0</v>
      </c>
      <c r="FU29">
        <f>IF(AND(C29="weekend",I29="X"),K29,0)</f>
        <v>0</v>
      </c>
      <c r="FV29" s="283">
        <f>IF(AND(Stamoplysninger!$B$26="Der er indgået lokalaftale omkring weekendtimer.(Kræver aftale med TR/FSL) Weekendtillæg afspadseres.",I29="X"),K29,0)</f>
        <v>0</v>
      </c>
      <c r="FW29" s="674">
        <f>IF(AND(AND(Stamoplysninger!$B$26="Der er indgået lokalaftale omkring weekendtimer.(Kræver aftale med TR/FSL) Weekendtillæg afspadseres.",I29="X",C29="ikke relevant")),K29,0)</f>
        <v>0</v>
      </c>
      <c r="FX29" s="283">
        <f>IF(AND(Stamoplysninger!$B$26="Der er indgået lokalaftale omkring weekendtimer(Kræver aftale med TR/FSL). Weekendtillæg udbetales.",I29="X"),K29,0)</f>
        <v>0</v>
      </c>
      <c r="FY29" s="674">
        <f>IF(AND(AND(Stamoplysninger!$B$26="Der er indgået lokalaftale omkring weekendtimer(Kræver aftale med TR/FSL). Weekendtillæg udbetales.",I29="X",C29="ikke relevant")),K29,0)</f>
        <v>0</v>
      </c>
      <c r="FZ29" s="283">
        <f>IF(AND(Stamoplysninger!$B$26="Der er indgået lokalaftale omkring weekendtillæg(Kræver aftale med TR/FSL). Weekendtimerne udbetales.",I29="X"),K29,0)</f>
        <v>0</v>
      </c>
      <c r="GA29" s="674">
        <f>IF(AND(AND(Stamoplysninger!$B$26="Der er indgået lokalaftale omkring weekendtillæg(Kræver aftale med TR/FSL). Weekendtimerne udbetales.",I29="X",C29="ikke relevant")),K29,0)</f>
        <v>0</v>
      </c>
      <c r="GB29" s="283">
        <f>IF(AND(Stamoplysninger!$B$26="Der er indgået lokalaftale omkring weekendtimer og weekendtillæg.(Kræver aftale med TR/FSL).",I29="X"),K29,0)</f>
        <v>0</v>
      </c>
      <c r="GC29" s="674">
        <f>IF(AND(AND(Stamoplysninger!$B$26="Der er indgået lokalaftale omkring weekendtimer og weekendtillæg.(Kræver aftale med TR/FSL).",I29="X",C29="ikke relevant")),K29,0)</f>
        <v>0</v>
      </c>
    </row>
    <row r="30" spans="1:185">
      <c r="A30" s="245">
        <f t="shared" si="18"/>
        <v>22</v>
      </c>
      <c r="B30" s="128" t="str">
        <f t="shared" si="0"/>
        <v>on</v>
      </c>
      <c r="C30" s="129" t="s">
        <v>207</v>
      </c>
      <c r="D30" s="130" t="str">
        <f t="shared" si="1"/>
        <v/>
      </c>
      <c r="E30" s="917" t="s">
        <v>706</v>
      </c>
      <c r="F30" s="918"/>
      <c r="G30" s="919"/>
      <c r="H30" s="298"/>
      <c r="I30" s="527"/>
      <c r="J30" s="413"/>
      <c r="K30" s="380">
        <v>6.5</v>
      </c>
      <c r="L30" s="380">
        <v>4</v>
      </c>
      <c r="M30" s="380">
        <v>1</v>
      </c>
      <c r="N30" s="318">
        <f t="shared" si="19"/>
        <v>7.75</v>
      </c>
      <c r="O30" s="318">
        <f t="shared" si="20"/>
        <v>4.25</v>
      </c>
      <c r="P30" s="318">
        <f>IF(Stamoplysninger!$H$29="JA",Januar!DG30,CX30)</f>
        <v>1</v>
      </c>
      <c r="Q30" s="318">
        <f t="shared" si="21"/>
        <v>2.5</v>
      </c>
      <c r="R30" s="319"/>
      <c r="S30" s="324"/>
      <c r="T30" s="325"/>
      <c r="U30" s="325"/>
      <c r="V30" s="435"/>
      <c r="W30" s="412"/>
      <c r="X30" s="642"/>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f>IF(AND(C30="Skema 2",B30="on"),Arbejdstidsoversigt!$E$83,"")</f>
        <v>7.75</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7.75</v>
      </c>
      <c r="BB30" s="229">
        <f t="shared" si="8"/>
        <v>0</v>
      </c>
      <c r="BC30" s="1">
        <f t="shared" si="24"/>
        <v>0</v>
      </c>
      <c r="BD30" s="1">
        <f t="shared" si="9"/>
        <v>0</v>
      </c>
      <c r="BE30" s="1">
        <f t="shared" si="10"/>
        <v>0</v>
      </c>
      <c r="BF30" s="1">
        <f t="shared" si="11"/>
        <v>0</v>
      </c>
      <c r="BG30" s="210" t="str">
        <f>IF(AND(C30="Skema 1",B30="ma"),Skemaoplysninger!$E$30,"")</f>
        <v/>
      </c>
      <c r="BH30" s="210" t="str">
        <f>IF(AND(C30="Skema 1",B30="ti"),Skemaoplysninger!$G$30,"")</f>
        <v/>
      </c>
      <c r="BI30" s="210" t="str">
        <f>IF(AND(C30="Skema 1",B30="on"),Skemaoplysninger!$I$30,"")</f>
        <v/>
      </c>
      <c r="BJ30" s="210" t="str">
        <f>IF(AND(C30="Skema 1",B30="to"),Skemaoplysninger!$K$30,"")</f>
        <v/>
      </c>
      <c r="BK30" s="210" t="str">
        <f>IF(AND(C30="Skema 1",B30="fr"),Skemaoplysninger!$M$30,"")</f>
        <v/>
      </c>
      <c r="BL30" s="210" t="str">
        <f>IF(AND(C30="Skema 2",B30="ma"),Skemaoplysninger!$S$30,"")</f>
        <v/>
      </c>
      <c r="BM30" s="210" t="str">
        <f>IF(AND(C30="Skema 2",B30="ti"),Skemaoplysninger!$U$30,"")</f>
        <v/>
      </c>
      <c r="BN30" s="210">
        <f>IF(AND(C30="Skema 2",B30="on"),Skemaoplysninger!$W$30,"")</f>
        <v>0.17708333333333331</v>
      </c>
      <c r="BO30" s="210" t="str">
        <f>IF(AND(C30="Skema 2",B30="to"),Skemaoplysninger!$Y$30,"")</f>
        <v/>
      </c>
      <c r="BP30" s="210" t="str">
        <f>IF(AND(C30="Skema 2",B30="fr"),Skemaoplysninger!$AA$30,"")</f>
        <v/>
      </c>
      <c r="BQ30" s="210" t="str">
        <f>IF(AND(C30="Skema 3",B30="ma"),Skemaoplysninger!$AG$30,"")</f>
        <v/>
      </c>
      <c r="BR30" s="210" t="str">
        <f>IF(AND(C30="Skema 3",B30="ti"),Skemaoplysninger!$AI$30,"")</f>
        <v/>
      </c>
      <c r="BS30" s="210" t="str">
        <f>IF(AND(C30="Skema 3",B30="on"),Skemaoplysninger!$AK$30,"")</f>
        <v/>
      </c>
      <c r="BT30" s="210" t="str">
        <f>IF(AND(C30="Skema 3",B30="to"),Skemaoplysninger!$AM$30,"")</f>
        <v/>
      </c>
      <c r="BU30" s="210" t="str">
        <f>IF(AND(C30="Skema 3",B30="fr"),Skemaoplysninger!$AO$30,"")</f>
        <v/>
      </c>
      <c r="BV30" s="210" t="str">
        <f>IF(AND(C30="Skema 4",B30="ma"),Skemaoplysninger!$AU$30,"")</f>
        <v/>
      </c>
      <c r="BW30" s="210" t="str">
        <f>IF(AND(C30="Skema 4",B30="ti"),Skemaoplysninger!$AW$30,"")</f>
        <v/>
      </c>
      <c r="BX30" s="210" t="str">
        <f>IF(AND(C30="Skema 4",B30="on"),Skemaoplysninger!$AY$30,"")</f>
        <v/>
      </c>
      <c r="BY30" s="210" t="str">
        <f>IF(AND(C30="Skema 4",B30="to"),Skemaoplysninger!$BA$30,"")</f>
        <v/>
      </c>
      <c r="BZ30" s="210" t="str">
        <f>IF(AND(C30="Skema 4",B30="fr"),Skemaoplysninger!$BC$30,"")</f>
        <v/>
      </c>
      <c r="CA30" s="1">
        <f t="shared" si="25"/>
        <v>4.25</v>
      </c>
      <c r="CB30" s="1">
        <f t="shared" si="12"/>
        <v>0</v>
      </c>
      <c r="CC30" s="1">
        <f t="shared" si="13"/>
        <v>0</v>
      </c>
      <c r="CD30" s="210" t="str">
        <f>IF(AND(C30="Skema 1",B30="ma"),Skemaoplysninger!$E$31,"")</f>
        <v/>
      </c>
      <c r="CE30" s="210" t="str">
        <f>IF(AND(C30="Skema 1",B30="ti"),Skemaoplysninger!$G$31,"")</f>
        <v/>
      </c>
      <c r="CF30" s="210" t="str">
        <f>IF(AND(C30="Skema 1",B30="on"),Skemaoplysninger!$I$31,"")</f>
        <v/>
      </c>
      <c r="CG30" s="210" t="str">
        <f>IF(AND(C30="Skema 1",B30="to"),Skemaoplysninger!$K$31,"")</f>
        <v/>
      </c>
      <c r="CH30" s="210" t="str">
        <f>IF(AND(C30="Skema 1",B30="fr"),Skemaoplysninger!$M$31,"")</f>
        <v/>
      </c>
      <c r="CI30" s="210" t="str">
        <f>IF(AND(C30="Skema 2",B30="ma"),Skemaoplysninger!$S$31,"")</f>
        <v/>
      </c>
      <c r="CJ30" s="210" t="str">
        <f>IF(AND(C30="Skema 2",B30="ti"),Skemaoplysninger!$U$31,"")</f>
        <v/>
      </c>
      <c r="CK30" s="210">
        <f>IF(AND(C30="Skema 2",B30="on"),Skemaoplysninger!$W$31,"")</f>
        <v>4.1666666666666664E-2</v>
      </c>
      <c r="CL30" s="210" t="str">
        <f>IF(AND(C30="Skema 2",B30="to"),Skemaoplysninger!$Y$31,"")</f>
        <v/>
      </c>
      <c r="CM30" s="210" t="str">
        <f>IF(AND(C30="Skema 2",B30="fr"),Skemaoplysninger!$AA$31,"")</f>
        <v/>
      </c>
      <c r="CN30" s="210" t="str">
        <f>IF(AND(C30="Skema 3",B30="ma"),Skemaoplysninger!$AG$31,"")</f>
        <v/>
      </c>
      <c r="CO30" s="210" t="str">
        <f>IF(AND(C30="Skema 3",B30="ti"),Skemaoplysninger!$AI$31,"")</f>
        <v/>
      </c>
      <c r="CP30" s="210" t="str">
        <f>IF(AND(C30="Skema 3",B30="on"),Skemaoplysninger!$AK$31,"")</f>
        <v/>
      </c>
      <c r="CQ30" s="210" t="str">
        <f>IF(AND(C30="Skema 3",B30="to"),Skemaoplysninger!$AM$31,"")</f>
        <v/>
      </c>
      <c r="CR30" s="210" t="str">
        <f>IF(AND(C30="Skema 3",B30="fr"),Skemaoplysninger!$AO$31,"")</f>
        <v/>
      </c>
      <c r="CS30" s="210" t="str">
        <f>IF(AND(C30="Skema 4",B30="ma"),Skemaoplysninger!$AU$31,"")</f>
        <v/>
      </c>
      <c r="CT30" s="210" t="str">
        <f>IF(AND(C30="Skema 4",B30="ti"),Skemaoplysninger!$AW$31,"")</f>
        <v/>
      </c>
      <c r="CU30" s="210" t="str">
        <f>IF(AND(C30="Skema 4",B30="on"),Skemaoplysninger!$AY$31,"")</f>
        <v/>
      </c>
      <c r="CV30" s="210" t="str">
        <f>IF(AND(C30="Skema 4",B30="to"),Skemaoplysninger!$BA$31,"")</f>
        <v/>
      </c>
      <c r="CW30" s="210" t="str">
        <f>IF(AND(C30="Skema 4",B30="fr"),Skemaoplysninger!$BC$31,"")</f>
        <v/>
      </c>
      <c r="CX30" s="249">
        <f>IF(Stamoplysninger!$H$29="NEJ",SUM(CD30:CW30)*24+CB30+CC30,0)</f>
        <v>1</v>
      </c>
      <c r="CY30" s="249">
        <f>IF(C30="Skema 1",Stamoplysninger!$H$30/200,0)</f>
        <v>0</v>
      </c>
      <c r="CZ30" s="249">
        <f>IF(C30="Skema 2",Stamoplysninger!$H$30/200,0)</f>
        <v>0</v>
      </c>
      <c r="DA30" s="249">
        <f>IF(C30="Skema 3",Stamoplysninger!$H$30/200,0)</f>
        <v>0</v>
      </c>
      <c r="DB30" s="249">
        <f>IF(C30="Skema 4",Stamoplysninger!$H$30/200,0)</f>
        <v>0</v>
      </c>
      <c r="DC30" s="249">
        <f>IF(C30="fagdag",Stamoplysninger!$H$30/200,0)</f>
        <v>0</v>
      </c>
      <c r="DD30" s="249">
        <f>IF(C30="emnedag",Stamoplysninger!$H$30/200,0)</f>
        <v>0</v>
      </c>
      <c r="DE30" s="249">
        <f>IF(C30="lejrskole",Stamoplysninger!$H$30/200,0)</f>
        <v>0</v>
      </c>
      <c r="DF30" s="249">
        <f>IF(C30="ekskursion",Stamoplysninger!$H$30/200,0)</f>
        <v>0</v>
      </c>
      <c r="DG30" s="249">
        <f t="shared" si="26"/>
        <v>0</v>
      </c>
      <c r="DH30" t="str">
        <f t="shared" si="27"/>
        <v/>
      </c>
      <c r="DI30" t="str">
        <f t="shared" si="28"/>
        <v>Teateremneuge</v>
      </c>
      <c r="DJ30" t="str">
        <f t="shared" si="29"/>
        <v/>
      </c>
      <c r="DK30" t="str">
        <f t="shared" si="14"/>
        <v/>
      </c>
      <c r="DL30" t="str">
        <f t="shared" si="14"/>
        <v>Teateremneuge</v>
      </c>
      <c r="DM30" t="str">
        <f t="shared" si="14"/>
        <v/>
      </c>
      <c r="DN30" t="str">
        <f t="shared" si="30"/>
        <v>Teateremneuge</v>
      </c>
      <c r="DO30" s="652">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71">
        <f>IF(AND(Stamoplysninger!$B$22="Ulempetillæg udbetales med 25% af nettotimelønnen.",C30="ikke relevant"),(R30)/4,0)</f>
        <v>0</v>
      </c>
      <c r="DT30" s="671">
        <f>IF(AND(AND(Stamoplysninger!$B$22="Ulempetillæg udbetales med 25% af nettotimelønnen.",I30="X",C30="Ikke relevant")),K30/4,0)</f>
        <v>0</v>
      </c>
      <c r="DU30" s="671">
        <f>IF(AND(AND(Stamoplysninger!$B$22="Ulempetillæg udbetales med 25% af nettotimelønnen.",C30="ikke relevant",U30="X")),(X30/4),0)</f>
        <v>0</v>
      </c>
      <c r="DV30" s="672">
        <f>IF(AND(AND(AND(Stamoplysninger!$B$22="Ulempetillæg udbetales med 25% af nettotimelønnen.",I30="X",C30="Ikke relevant",S30="X"))),V30/4,0)</f>
        <v>0</v>
      </c>
      <c r="DW30" s="652"/>
      <c r="DZ30" s="671"/>
      <c r="EA30" s="671"/>
      <c r="EB30" s="672"/>
      <c r="EC30" s="652">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71">
        <f>IF(AND(Stamoplysninger!$B$22="Ulempetillæg afspadseres med 25%(Kræver en aftale imellem ledelsen og den ansatte)",C30="ikke relevant"),(R30)/4,0)</f>
        <v>0</v>
      </c>
      <c r="EH30" s="671">
        <f>IF(AND(AND(Stamoplysninger!$B$22="Ulempetillæg afspadseres med 25%(Kræver en aftale imellem ledelsen og den ansatte)",I30="X",C30="Ikke relevant")),K30/4,0)</f>
        <v>0</v>
      </c>
      <c r="EI30" s="671">
        <f>IF(AND(AND(Stamoplysninger!$B$22="Ulempetillæg afspadseres med 25%(Kræver en aftale imellem ledelsen og den ansatte)",U30="X",C30="Ikke relevant")),X30/4,0)</f>
        <v>0</v>
      </c>
      <c r="EJ30" s="671">
        <f>IF(AND(AND(AND(Stamoplysninger!$B$22="Ulempetillæg afspadseres med 25%(Kræver en aftale imellem ledelsen og den ansatte)",I30="X",C30="Ikke relevant",S30="X"))),V30/4,0)</f>
        <v>0</v>
      </c>
      <c r="EK30" s="283">
        <f>IF(AND(Stamoplysninger!$B$26="Weekendtimer og weekendtillæg afspadseres.",I30="X"),K30*1.5,0)</f>
        <v>0</v>
      </c>
      <c r="EL30" s="251">
        <f>IF(AND(AND(Stamoplysninger!$B$26="Weekendtimer og weekendtillæg afspadseres.",I30="X",S30="X")),V30*1.5,0)</f>
        <v>0</v>
      </c>
      <c r="EM30" s="674">
        <f>IF(AND(AND(Stamoplysninger!$B$26="Weekendtimer og weekendtillæg afspadseres.",I30="X",C30="ikke relevant")),K30*1.5,0)</f>
        <v>0</v>
      </c>
      <c r="EN30" s="675">
        <f>IF(AND(AND(AND(Stamoplysninger!$B$26="Weekendtimer og weekendtillæg afspadseres.",I30="X",C30="ikke relevant",S30="X"))),(V30*1.5),0)</f>
        <v>0</v>
      </c>
      <c r="EO30" s="283">
        <f>IF(AND(Stamoplysninger!$B$26="Weekendtimer og weekendtillæg udbetales.",I30="X"),K30*1.5,0)</f>
        <v>0</v>
      </c>
      <c r="EP30" s="251">
        <f>IF(AND(AND(Stamoplysninger!$B$26="Weekendtimer og weekendtillæg udbetales.",I30="X",S30="X")),V30*1.5,0)</f>
        <v>0</v>
      </c>
      <c r="EQ30" s="674">
        <f>IF(AND(AND(Stamoplysninger!$B$26="Weekendtimer og weekendtillæg udbetales.",I30="X",C30="ikke relevant")),K30*1.5,0)</f>
        <v>0</v>
      </c>
      <c r="ER30" s="675">
        <f>IF(AND(AND(AND(Stamoplysninger!$B$26="Weekendtimer og weekendtillæg udbetales.",I30="X",C30="ikke relevant",S30="X"))),(V30*1.5),0)</f>
        <v>0</v>
      </c>
      <c r="ES30" s="283">
        <f>IF(AND(Stamoplysninger!$B$26="Der er indgået lokalaftale omkring weekendtimer.(Kræver aftale med TR/FSL) Weekendtillæg afspadseres.",I30="X"),K30*0.5,0)</f>
        <v>0</v>
      </c>
      <c r="ET30" s="251">
        <f>IF(AND(AND(Stamoplysninger!$B$26="Der er indgået lokalaftale omkring weekendtimer.(Kræver aftale med TR/FSL) Weekendtillæg afspadseres.",I30="X",S30="X")),V30*0.5,0)</f>
        <v>0</v>
      </c>
      <c r="EU30" s="674">
        <f>IF(AND(AND(Stamoplysninger!$B$26="Der er indgået lokalaftale omkring weekendtimer.(Kræver aftale med TR/FSL) Weekendtillæg afspadseres.",I30="X",C30="ikke relevant")),K30*0.5,0)</f>
        <v>0</v>
      </c>
      <c r="EV30" s="675">
        <f>IF(AND(AND(AND(Stamoplysninger!$B$26="Der er indgået lokalaftale omkring weekendtimer.(Kræver aftale med TR/FSL) Weekendtillæg afspadseres.",I30="X",C30="ikke relevant",S30="X"))),(V30*0.5),0)</f>
        <v>0</v>
      </c>
      <c r="EW30" s="283">
        <f>IF(AND(Stamoplysninger!$B$26="Der er indgået lokalaftale omkring weekendtimer(Kræver aftale med TR/FSL). Weekendtillæg udbetales.",I30="X"),K30*0.5,0)</f>
        <v>0</v>
      </c>
      <c r="EX30" s="251">
        <f>IF(AND(AND(Stamoplysninger!$B$26="Der er indgået lokalaftale omkring weekendtimer(Kræver aftale med TR/FSL). Weekendtillæg udbetales.",I30="X",S30="X")),V30*0.5,0)</f>
        <v>0</v>
      </c>
      <c r="EY30" s="674">
        <f>IF(AND(AND(Stamoplysninger!$B$26="Der er indgået lokalaftale omkring weekendtimer(Kræver aftale med TR/FSL). Weekendtillæg udbetales.",I30="X",C30="ikke relevant")),K30*0.5,0)</f>
        <v>0</v>
      </c>
      <c r="EZ30" s="675">
        <f>IF(AND(AND(AND(Stamoplysninger!$B$26="Der er indgået lokalaftale omkring weekendtimer(Kræver aftale med TR/FSL). Weekendtillæg udbetales.",I30="X",C30="ikke relevant",S30="X"))),(V30*0.5),0)</f>
        <v>0</v>
      </c>
      <c r="FA30" s="283">
        <f>IF(AND(Stamoplysninger!$B$26="Der er indgået lokalaftale omkring weekendtillæg(Kræver aftale med TR/FSL). Weekendtimerne afspadseres.",I30="X"),K30,0)</f>
        <v>0</v>
      </c>
      <c r="FB30" s="251">
        <f>IF(AND(AND(Stamoplysninger!$B$26="Der er indgået lokalaftale omkring weekendtillæg(Kræver aftale med TR/FSL). Weekendtimerne afspadseres.",I30="X",S30="X")),V30,0)</f>
        <v>0</v>
      </c>
      <c r="FC30" s="674">
        <f>IF(AND(AND(Stamoplysninger!$B$26="Der er indgået lokalaftale omkring weekendtillæg(Kræver aftale med TR/FSL). Weekendtimerne afspadseres..",I30="X",C30="ikke relevant")),K30,0)</f>
        <v>0</v>
      </c>
      <c r="FD30" s="675">
        <f>IF(AND(AND(AND(Stamoplysninger!$B$26="Der er indgået lokalaftale omkring weekendtillæg(Kræver aftale med TR/FSL). Weekendtimerne afspadseres.",I30="X",C30="ikke relevant",S30="X"))),(V30),0)</f>
        <v>0</v>
      </c>
      <c r="FE30" s="283">
        <f>IF(AND(Stamoplysninger!$B$26="Der er indgået lokalaftale omkring weekendtillæg(Kræver aftale med TR/FSL). Weekendtimerne udbetales.",I30="X"),K30,0)</f>
        <v>0</v>
      </c>
      <c r="FF30" s="251">
        <f>IF(AND(AND(Stamoplysninger!$B$26="Der er indgået lokalaftale omkring weekendtillæg(Kræver aftale med TR/FSL). Weekendtimerne udbetales.",I30="X",S30="X")),V30,0)</f>
        <v>0</v>
      </c>
      <c r="FG30" s="674">
        <f>IF(AND(AND(Stamoplysninger!$B$26="Der er indgået lokalaftale omkring weekendtillæg(Kræver aftale med TR/FSL). Weekendtimerne udbetales.",I30="X",C30="ikke relevant")),K30,0)</f>
        <v>0</v>
      </c>
      <c r="FH30" s="675">
        <f>IF(AND(AND(AND(Stamoplysninger!$B$26="Der er indgået lokalaftale omkring weekendtillæg(Kræver aftale med TR/FSL). Weekendtimerne udbetales.",I30="X",C30="ikke relevant",S30="X"))),(V30),0)</f>
        <v>0</v>
      </c>
      <c r="FI30" s="283">
        <f>IF(AND(Stamoplysninger!$B$26="Weekendtimer og weekendtillæg afspadseres.",I30="X"),K30,0)</f>
        <v>0</v>
      </c>
      <c r="FJ30" s="251">
        <f>IF(AND(Stamoplysninger!$B$26="Weekendtimer og weekendtillæg afspadseres.",Y30="X"),(AA30+AL30)/2,0)</f>
        <v>0</v>
      </c>
      <c r="FK30" s="674">
        <f>IF(AND(AND(Stamoplysninger!$B$26="Weekendtimer og weekendtillæg afspadseres.",I30="X",C30="ikke relevant")),K30,0)</f>
        <v>0</v>
      </c>
      <c r="FL30" s="675">
        <f>IF(AND(AND(Stamoplysninger!$B$26="Weekendtimer og weekendtillæg afspadseres.",Y30="X",S30="ikke relevant")),(AA30+AL30)/2,0)</f>
        <v>0</v>
      </c>
      <c r="FM30" s="283">
        <f>IF(AND(Stamoplysninger!$B$26="Der er indgået lokalaftale omkring weekendtillæg(Kræver aftale med TR/FSL). Weekendtimerne afspadseres.",I30="X"),K30,0)</f>
        <v>0</v>
      </c>
      <c r="FN30" s="674">
        <f>IF(AND(AND(Stamoplysninger!$B$26="Der er indgået lokalaftale omkring weekendtillæg(Kræver aftale med TR/FSL). Weekendtimerne afspadseres.",I30="X",C30="ikke relevant")),K30,0)</f>
        <v>0</v>
      </c>
      <c r="FO30" s="283">
        <f>IF(AND(Stamoplysninger!$B$26="Weekendtimer og weekendtillæg udbetales.",I30="X"),K30,0)</f>
        <v>0</v>
      </c>
      <c r="FP30" s="251">
        <f>IF(AND(Stamoplysninger!$B$26="Weekendtimer og weekendtillæg udbetales.",AA30="X"),(AC30+AN30)/2,0)</f>
        <v>0</v>
      </c>
      <c r="FQ30" s="674">
        <f>IF(AND(AND(Stamoplysninger!$B$26="Weekendtimer og weekendtillæg udbetales.",I30="X",C30="ikke relevant")),K30,0)</f>
        <v>0</v>
      </c>
      <c r="FR30" s="688">
        <f>IF(AND(AND(Stamoplysninger!$B$26="Weekendtimer og weekendtillæg udbetales.",AA30="X",U30="ikke relevant")),(AC30+AN30)/2,0)</f>
        <v>0</v>
      </c>
      <c r="FS30" s="283">
        <f t="shared" si="15"/>
        <v>0</v>
      </c>
      <c r="FT30" s="658">
        <f t="shared" si="16"/>
        <v>0</v>
      </c>
      <c r="FU30">
        <f t="shared" ref="FU30:FU39" si="31">IF(AND(C30="weekend",I30="X"),K30,0)</f>
        <v>0</v>
      </c>
      <c r="FV30" s="283">
        <f>IF(AND(Stamoplysninger!$B$26="Der er indgået lokalaftale omkring weekendtimer.(Kræver aftale med TR/FSL) Weekendtillæg afspadseres.",I30="X"),K30,0)</f>
        <v>0</v>
      </c>
      <c r="FW30" s="674">
        <f>IF(AND(AND(Stamoplysninger!$B$26="Der er indgået lokalaftale omkring weekendtimer.(Kræver aftale med TR/FSL) Weekendtillæg afspadseres.",I30="X",C30="ikke relevant")),K30,0)</f>
        <v>0</v>
      </c>
      <c r="FX30" s="283">
        <f>IF(AND(Stamoplysninger!$B$26="Der er indgået lokalaftale omkring weekendtimer(Kræver aftale med TR/FSL). Weekendtillæg udbetales.",I30="X"),K30,0)</f>
        <v>0</v>
      </c>
      <c r="FY30" s="674">
        <f>IF(AND(AND(Stamoplysninger!$B$26="Der er indgået lokalaftale omkring weekendtimer(Kræver aftale med TR/FSL). Weekendtillæg udbetales.",I30="X",C30="ikke relevant")),K30,0)</f>
        <v>0</v>
      </c>
      <c r="FZ30" s="283">
        <f>IF(AND(Stamoplysninger!$B$26="Der er indgået lokalaftale omkring weekendtillæg(Kræver aftale med TR/FSL). Weekendtimerne udbetales.",I30="X"),K30,0)</f>
        <v>0</v>
      </c>
      <c r="GA30" s="674">
        <f>IF(AND(AND(Stamoplysninger!$B$26="Der er indgået lokalaftale omkring weekendtillæg(Kræver aftale med TR/FSL). Weekendtimerne udbetales.",I30="X",C30="ikke relevant")),K30,0)</f>
        <v>0</v>
      </c>
      <c r="GB30" s="283">
        <f>IF(AND(Stamoplysninger!$B$26="Der er indgået lokalaftale omkring weekendtimer og weekendtillæg.(Kræver aftale med TR/FSL).",I30="X"),K30,0)</f>
        <v>0</v>
      </c>
      <c r="GC30" s="674">
        <f>IF(AND(AND(Stamoplysninger!$B$26="Der er indgået lokalaftale omkring weekendtimer og weekendtillæg.(Kræver aftale med TR/FSL).",I30="X",C30="ikke relevant")),K30,0)</f>
        <v>0</v>
      </c>
    </row>
    <row r="31" spans="1:185">
      <c r="A31" s="245">
        <f t="shared" si="18"/>
        <v>23</v>
      </c>
      <c r="B31" s="128" t="str">
        <f t="shared" si="0"/>
        <v>to</v>
      </c>
      <c r="C31" s="129" t="s">
        <v>207</v>
      </c>
      <c r="D31" s="130" t="str">
        <f t="shared" si="1"/>
        <v/>
      </c>
      <c r="E31" s="917" t="s">
        <v>706</v>
      </c>
      <c r="F31" s="918"/>
      <c r="G31" s="919"/>
      <c r="H31" s="298"/>
      <c r="I31" s="527"/>
      <c r="J31" s="413"/>
      <c r="K31" s="380">
        <v>6.5</v>
      </c>
      <c r="L31" s="380">
        <v>4</v>
      </c>
      <c r="M31" s="380">
        <v>1</v>
      </c>
      <c r="N31" s="318">
        <f t="shared" si="19"/>
        <v>7.75</v>
      </c>
      <c r="O31" s="318">
        <f t="shared" si="20"/>
        <v>3</v>
      </c>
      <c r="P31" s="318">
        <f>IF(Stamoplysninger!$H$29="JA",Januar!DG31,CX31)</f>
        <v>0.83333333333333337</v>
      </c>
      <c r="Q31" s="318">
        <f t="shared" si="21"/>
        <v>3.9166666666666665</v>
      </c>
      <c r="R31" s="319"/>
      <c r="S31" s="324"/>
      <c r="T31" s="325"/>
      <c r="U31" s="325"/>
      <c r="V31" s="435"/>
      <c r="W31" s="412"/>
      <c r="X31" s="642"/>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f>IF(AND(C31="Skema 2",B31="to"),Arbejdstidsoversigt!$E$84,"")</f>
        <v>7.75</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7.75</v>
      </c>
      <c r="BB31" s="229">
        <f t="shared" si="8"/>
        <v>0</v>
      </c>
      <c r="BC31" s="1">
        <f t="shared" si="24"/>
        <v>0</v>
      </c>
      <c r="BD31" s="1">
        <f t="shared" si="9"/>
        <v>0</v>
      </c>
      <c r="BE31" s="1">
        <f t="shared" si="10"/>
        <v>0</v>
      </c>
      <c r="BF31" s="1">
        <f t="shared" si="11"/>
        <v>0</v>
      </c>
      <c r="BG31" s="210" t="str">
        <f>IF(AND(C31="Skema 1",B31="ma"),Skemaoplysninger!$E$30,"")</f>
        <v/>
      </c>
      <c r="BH31" s="210" t="str">
        <f>IF(AND(C31="Skema 1",B31="ti"),Skemaoplysninger!$G$30,"")</f>
        <v/>
      </c>
      <c r="BI31" s="210" t="str">
        <f>IF(AND(C31="Skema 1",B31="on"),Skemaoplysninger!$I$30,"")</f>
        <v/>
      </c>
      <c r="BJ31" s="210" t="str">
        <f>IF(AND(C31="Skema 1",B31="to"),Skemaoplysninger!$K$30,"")</f>
        <v/>
      </c>
      <c r="BK31" s="210" t="str">
        <f>IF(AND(C31="Skema 1",B31="fr"),Skemaoplysninger!$M$30,"")</f>
        <v/>
      </c>
      <c r="BL31" s="210" t="str">
        <f>IF(AND(C31="Skema 2",B31="ma"),Skemaoplysninger!$S$30,"")</f>
        <v/>
      </c>
      <c r="BM31" s="210" t="str">
        <f>IF(AND(C31="Skema 2",B31="ti"),Skemaoplysninger!$U$30,"")</f>
        <v/>
      </c>
      <c r="BN31" s="210" t="str">
        <f>IF(AND(C31="Skema 2",B31="on"),Skemaoplysninger!$W$30,"")</f>
        <v/>
      </c>
      <c r="BO31" s="210">
        <f>IF(AND(C31="Skema 2",B31="to"),Skemaoplysninger!$Y$30,"")</f>
        <v>0.125</v>
      </c>
      <c r="BP31" s="210" t="str">
        <f>IF(AND(C31="Skema 2",B31="fr"),Skemaoplysninger!$AA$30,"")</f>
        <v/>
      </c>
      <c r="BQ31" s="210" t="str">
        <f>IF(AND(C31="Skema 3",B31="ma"),Skemaoplysninger!$AG$30,"")</f>
        <v/>
      </c>
      <c r="BR31" s="210" t="str">
        <f>IF(AND(C31="Skema 3",B31="ti"),Skemaoplysninger!$AI$30,"")</f>
        <v/>
      </c>
      <c r="BS31" s="210" t="str">
        <f>IF(AND(C31="Skema 3",B31="on"),Skemaoplysninger!$AK$30,"")</f>
        <v/>
      </c>
      <c r="BT31" s="210" t="str">
        <f>IF(AND(C31="Skema 3",B31="to"),Skemaoplysninger!$AM$30,"")</f>
        <v/>
      </c>
      <c r="BU31" s="210" t="str">
        <f>IF(AND(C31="Skema 3",B31="fr"),Skemaoplysninger!$AO$30,"")</f>
        <v/>
      </c>
      <c r="BV31" s="210" t="str">
        <f>IF(AND(C31="Skema 4",B31="ma"),Skemaoplysninger!$AU$30,"")</f>
        <v/>
      </c>
      <c r="BW31" s="210" t="str">
        <f>IF(AND(C31="Skema 4",B31="ti"),Skemaoplysninger!$AW$30,"")</f>
        <v/>
      </c>
      <c r="BX31" s="210" t="str">
        <f>IF(AND(C31="Skema 4",B31="on"),Skemaoplysninger!$AY$30,"")</f>
        <v/>
      </c>
      <c r="BY31" s="210" t="str">
        <f>IF(AND(C31="Skema 4",B31="to"),Skemaoplysninger!$BA$30,"")</f>
        <v/>
      </c>
      <c r="BZ31" s="210" t="str">
        <f>IF(AND(C31="Skema 4",B31="fr"),Skemaoplysninger!$BC$30,"")</f>
        <v/>
      </c>
      <c r="CA31" s="1">
        <f t="shared" si="25"/>
        <v>3</v>
      </c>
      <c r="CB31" s="1">
        <f t="shared" si="12"/>
        <v>0</v>
      </c>
      <c r="CC31" s="1">
        <f t="shared" si="13"/>
        <v>0</v>
      </c>
      <c r="CD31" s="210" t="str">
        <f>IF(AND(C31="Skema 1",B31="ma"),Skemaoplysninger!$E$31,"")</f>
        <v/>
      </c>
      <c r="CE31" s="210" t="str">
        <f>IF(AND(C31="Skema 1",B31="ti"),Skemaoplysninger!$G$31,"")</f>
        <v/>
      </c>
      <c r="CF31" s="210" t="str">
        <f>IF(AND(C31="Skema 1",B31="on"),Skemaoplysninger!$I$31,"")</f>
        <v/>
      </c>
      <c r="CG31" s="210" t="str">
        <f>IF(AND(C31="Skema 1",B31="to"),Skemaoplysninger!$K$31,"")</f>
        <v/>
      </c>
      <c r="CH31" s="210" t="str">
        <f>IF(AND(C31="Skema 1",B31="fr"),Skemaoplysninger!$M$31,"")</f>
        <v/>
      </c>
      <c r="CI31" s="210" t="str">
        <f>IF(AND(C31="Skema 2",B31="ma"),Skemaoplysninger!$S$31,"")</f>
        <v/>
      </c>
      <c r="CJ31" s="210" t="str">
        <f>IF(AND(C31="Skema 2",B31="ti"),Skemaoplysninger!$U$31,"")</f>
        <v/>
      </c>
      <c r="CK31" s="210" t="str">
        <f>IF(AND(C31="Skema 2",B31="on"),Skemaoplysninger!$W$31,"")</f>
        <v/>
      </c>
      <c r="CL31" s="210">
        <f>IF(AND(C31="Skema 2",B31="to"),Skemaoplysninger!$Y$31,"")</f>
        <v>3.4722222222222224E-2</v>
      </c>
      <c r="CM31" s="210" t="str">
        <f>IF(AND(C31="Skema 2",B31="fr"),Skemaoplysninger!$AA$31,"")</f>
        <v/>
      </c>
      <c r="CN31" s="210" t="str">
        <f>IF(AND(C31="Skema 3",B31="ma"),Skemaoplysninger!$AG$31,"")</f>
        <v/>
      </c>
      <c r="CO31" s="210" t="str">
        <f>IF(AND(C31="Skema 3",B31="ti"),Skemaoplysninger!$AI$31,"")</f>
        <v/>
      </c>
      <c r="CP31" s="210" t="str">
        <f>IF(AND(C31="Skema 3",B31="on"),Skemaoplysninger!$AK$31,"")</f>
        <v/>
      </c>
      <c r="CQ31" s="210" t="str">
        <f>IF(AND(C31="Skema 3",B31="to"),Skemaoplysninger!$AM$31,"")</f>
        <v/>
      </c>
      <c r="CR31" s="210" t="str">
        <f>IF(AND(C31="Skema 3",B31="fr"),Skemaoplysninger!$AO$31,"")</f>
        <v/>
      </c>
      <c r="CS31" s="210" t="str">
        <f>IF(AND(C31="Skema 4",B31="ma"),Skemaoplysninger!$AU$31,"")</f>
        <v/>
      </c>
      <c r="CT31" s="210" t="str">
        <f>IF(AND(C31="Skema 4",B31="ti"),Skemaoplysninger!$AW$31,"")</f>
        <v/>
      </c>
      <c r="CU31" s="210" t="str">
        <f>IF(AND(C31="Skema 4",B31="on"),Skemaoplysninger!$AY$31,"")</f>
        <v/>
      </c>
      <c r="CV31" s="210" t="str">
        <f>IF(AND(C31="Skema 4",B31="to"),Skemaoplysninger!$BA$31,"")</f>
        <v/>
      </c>
      <c r="CW31" s="210" t="str">
        <f>IF(AND(C31="Skema 4",B31="fr"),Skemaoplysninger!$BC$31,"")</f>
        <v/>
      </c>
      <c r="CX31" s="249">
        <f>IF(Stamoplysninger!$H$29="NEJ",SUM(CD31:CW31)*24+CB31+CC31,0)</f>
        <v>0.83333333333333337</v>
      </c>
      <c r="CY31" s="249">
        <f>IF(C31="Skema 1",Stamoplysninger!$H$30/200,0)</f>
        <v>0</v>
      </c>
      <c r="CZ31" s="249">
        <f>IF(C31="Skema 2",Stamoplysninger!$H$30/200,0)</f>
        <v>0</v>
      </c>
      <c r="DA31" s="249">
        <f>IF(C31="Skema 3",Stamoplysninger!$H$30/200,0)</f>
        <v>0</v>
      </c>
      <c r="DB31" s="249">
        <f>IF(C31="Skema 4",Stamoplysninger!$H$30/200,0)</f>
        <v>0</v>
      </c>
      <c r="DC31" s="249">
        <f>IF(C31="fagdag",Stamoplysninger!$H$30/200,0)</f>
        <v>0</v>
      </c>
      <c r="DD31" s="249">
        <f>IF(C31="emnedag",Stamoplysninger!$H$30/200,0)</f>
        <v>0</v>
      </c>
      <c r="DE31" s="249">
        <f>IF(C31="lejrskole",Stamoplysninger!$H$30/200,0)</f>
        <v>0</v>
      </c>
      <c r="DF31" s="249">
        <f>IF(C31="ekskursion",Stamoplysninger!$H$30/200,0)</f>
        <v>0</v>
      </c>
      <c r="DG31" s="249">
        <f t="shared" si="26"/>
        <v>0</v>
      </c>
      <c r="DH31" t="str">
        <f t="shared" si="27"/>
        <v/>
      </c>
      <c r="DI31" t="str">
        <f t="shared" si="28"/>
        <v>Teateremneuge</v>
      </c>
      <c r="DJ31" t="str">
        <f t="shared" si="29"/>
        <v/>
      </c>
      <c r="DK31" t="str">
        <f t="shared" si="14"/>
        <v/>
      </c>
      <c r="DL31" t="str">
        <f t="shared" si="14"/>
        <v>Teateremneuge</v>
      </c>
      <c r="DM31" t="str">
        <f t="shared" si="14"/>
        <v/>
      </c>
      <c r="DN31" t="str">
        <f t="shared" si="30"/>
        <v>Teateremneuge</v>
      </c>
      <c r="DO31" s="652">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71">
        <f>IF(AND(Stamoplysninger!$B$22="Ulempetillæg udbetales med 25% af nettotimelønnen.",C31="ikke relevant"),(R31)/4,0)</f>
        <v>0</v>
      </c>
      <c r="DT31" s="671">
        <f>IF(AND(AND(Stamoplysninger!$B$22="Ulempetillæg udbetales med 25% af nettotimelønnen.",I31="X",C31="Ikke relevant")),K31/4,0)</f>
        <v>0</v>
      </c>
      <c r="DU31" s="671">
        <f>IF(AND(AND(Stamoplysninger!$B$22="Ulempetillæg udbetales med 25% af nettotimelønnen.",C31="ikke relevant",U31="X")),(X31/4),0)</f>
        <v>0</v>
      </c>
      <c r="DV31" s="672">
        <f>IF(AND(AND(AND(Stamoplysninger!$B$22="Ulempetillæg udbetales med 25% af nettotimelønnen.",I31="X",C31="Ikke relevant",S31="X"))),V31/4,0)</f>
        <v>0</v>
      </c>
      <c r="DW31" s="652"/>
      <c r="DZ31" s="671"/>
      <c r="EA31" s="671"/>
      <c r="EB31" s="672"/>
      <c r="EC31" s="652">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71">
        <f>IF(AND(Stamoplysninger!$B$22="Ulempetillæg afspadseres med 25%(Kræver en aftale imellem ledelsen og den ansatte)",C31="ikke relevant"),(R31)/4,0)</f>
        <v>0</v>
      </c>
      <c r="EH31" s="671">
        <f>IF(AND(AND(Stamoplysninger!$B$22="Ulempetillæg afspadseres med 25%(Kræver en aftale imellem ledelsen og den ansatte)",I31="X",C31="Ikke relevant")),K31/4,0)</f>
        <v>0</v>
      </c>
      <c r="EI31" s="671">
        <f>IF(AND(AND(Stamoplysninger!$B$22="Ulempetillæg afspadseres med 25%(Kræver en aftale imellem ledelsen og den ansatte)",U31="X",C31="Ikke relevant")),X31/4,0)</f>
        <v>0</v>
      </c>
      <c r="EJ31" s="671">
        <f>IF(AND(AND(AND(Stamoplysninger!$B$22="Ulempetillæg afspadseres med 25%(Kræver en aftale imellem ledelsen og den ansatte)",I31="X",C31="Ikke relevant",S31="X"))),V31/4,0)</f>
        <v>0</v>
      </c>
      <c r="EK31" s="283">
        <f>IF(AND(Stamoplysninger!$B$26="Weekendtimer og weekendtillæg afspadseres.",I31="X"),K31*1.5,0)</f>
        <v>0</v>
      </c>
      <c r="EL31" s="251">
        <f>IF(AND(AND(Stamoplysninger!$B$26="Weekendtimer og weekendtillæg afspadseres.",I31="X",S31="X")),V31*1.5,0)</f>
        <v>0</v>
      </c>
      <c r="EM31" s="674">
        <f>IF(AND(AND(Stamoplysninger!$B$26="Weekendtimer og weekendtillæg afspadseres.",I31="X",C31="ikke relevant")),K31*1.5,0)</f>
        <v>0</v>
      </c>
      <c r="EN31" s="675">
        <f>IF(AND(AND(AND(Stamoplysninger!$B$26="Weekendtimer og weekendtillæg afspadseres.",I31="X",C31="ikke relevant",S31="X"))),(V31*1.5),0)</f>
        <v>0</v>
      </c>
      <c r="EO31" s="283">
        <f>IF(AND(Stamoplysninger!$B$26="Weekendtimer og weekendtillæg udbetales.",I31="X"),K31*1.5,0)</f>
        <v>0</v>
      </c>
      <c r="EP31" s="251">
        <f>IF(AND(AND(Stamoplysninger!$B$26="Weekendtimer og weekendtillæg udbetales.",I31="X",S31="X")),V31*1.5,0)</f>
        <v>0</v>
      </c>
      <c r="EQ31" s="674">
        <f>IF(AND(AND(Stamoplysninger!$B$26="Weekendtimer og weekendtillæg udbetales.",I31="X",C31="ikke relevant")),K31*1.5,0)</f>
        <v>0</v>
      </c>
      <c r="ER31" s="675">
        <f>IF(AND(AND(AND(Stamoplysninger!$B$26="Weekendtimer og weekendtillæg udbetales.",I31="X",C31="ikke relevant",S31="X"))),(V31*1.5),0)</f>
        <v>0</v>
      </c>
      <c r="ES31" s="283">
        <f>IF(AND(Stamoplysninger!$B$26="Der er indgået lokalaftale omkring weekendtimer.(Kræver aftale med TR/FSL) Weekendtillæg afspadseres.",I31="X"),K31*0.5,0)</f>
        <v>0</v>
      </c>
      <c r="ET31" s="251">
        <f>IF(AND(AND(Stamoplysninger!$B$26="Der er indgået lokalaftale omkring weekendtimer.(Kræver aftale med TR/FSL) Weekendtillæg afspadseres.",I31="X",S31="X")),V31*0.5,0)</f>
        <v>0</v>
      </c>
      <c r="EU31" s="674">
        <f>IF(AND(AND(Stamoplysninger!$B$26="Der er indgået lokalaftale omkring weekendtimer.(Kræver aftale med TR/FSL) Weekendtillæg afspadseres.",I31="X",C31="ikke relevant")),K31*0.5,0)</f>
        <v>0</v>
      </c>
      <c r="EV31" s="675">
        <f>IF(AND(AND(AND(Stamoplysninger!$B$26="Der er indgået lokalaftale omkring weekendtimer.(Kræver aftale med TR/FSL) Weekendtillæg afspadseres.",I31="X",C31="ikke relevant",S31="X"))),(V31*0.5),0)</f>
        <v>0</v>
      </c>
      <c r="EW31" s="283">
        <f>IF(AND(Stamoplysninger!$B$26="Der er indgået lokalaftale omkring weekendtimer(Kræver aftale med TR/FSL). Weekendtillæg udbetales.",I31="X"),K31*0.5,0)</f>
        <v>0</v>
      </c>
      <c r="EX31" s="251">
        <f>IF(AND(AND(Stamoplysninger!$B$26="Der er indgået lokalaftale omkring weekendtimer(Kræver aftale med TR/FSL). Weekendtillæg udbetales.",I31="X",S31="X")),V31*0.5,0)</f>
        <v>0</v>
      </c>
      <c r="EY31" s="674">
        <f>IF(AND(AND(Stamoplysninger!$B$26="Der er indgået lokalaftale omkring weekendtimer(Kræver aftale med TR/FSL). Weekendtillæg udbetales.",I31="X",C31="ikke relevant")),K31*0.5,0)</f>
        <v>0</v>
      </c>
      <c r="EZ31" s="675">
        <f>IF(AND(AND(AND(Stamoplysninger!$B$26="Der er indgået lokalaftale omkring weekendtimer(Kræver aftale med TR/FSL). Weekendtillæg udbetales.",I31="X",C31="ikke relevant",S31="X"))),(V31*0.5),0)</f>
        <v>0</v>
      </c>
      <c r="FA31" s="283">
        <f>IF(AND(Stamoplysninger!$B$26="Der er indgået lokalaftale omkring weekendtillæg(Kræver aftale med TR/FSL). Weekendtimerne afspadseres.",I31="X"),K31,0)</f>
        <v>0</v>
      </c>
      <c r="FB31" s="251">
        <f>IF(AND(AND(Stamoplysninger!$B$26="Der er indgået lokalaftale omkring weekendtillæg(Kræver aftale med TR/FSL). Weekendtimerne afspadseres.",I31="X",S31="X")),V31,0)</f>
        <v>0</v>
      </c>
      <c r="FC31" s="674">
        <f>IF(AND(AND(Stamoplysninger!$B$26="Der er indgået lokalaftale omkring weekendtillæg(Kræver aftale med TR/FSL). Weekendtimerne afspadseres..",I31="X",C31="ikke relevant")),K31,0)</f>
        <v>0</v>
      </c>
      <c r="FD31" s="675">
        <f>IF(AND(AND(AND(Stamoplysninger!$B$26="Der er indgået lokalaftale omkring weekendtillæg(Kræver aftale med TR/FSL). Weekendtimerne afspadseres.",I31="X",C31="ikke relevant",S31="X"))),(V31),0)</f>
        <v>0</v>
      </c>
      <c r="FE31" s="283">
        <f>IF(AND(Stamoplysninger!$B$26="Der er indgået lokalaftale omkring weekendtillæg(Kræver aftale med TR/FSL). Weekendtimerne udbetales.",I31="X"),K31,0)</f>
        <v>0</v>
      </c>
      <c r="FF31" s="251">
        <f>IF(AND(AND(Stamoplysninger!$B$26="Der er indgået lokalaftale omkring weekendtillæg(Kræver aftale med TR/FSL). Weekendtimerne udbetales.",I31="X",S31="X")),V31,0)</f>
        <v>0</v>
      </c>
      <c r="FG31" s="674">
        <f>IF(AND(AND(Stamoplysninger!$B$26="Der er indgået lokalaftale omkring weekendtillæg(Kræver aftale med TR/FSL). Weekendtimerne udbetales.",I31="X",C31="ikke relevant")),K31,0)</f>
        <v>0</v>
      </c>
      <c r="FH31" s="675">
        <f>IF(AND(AND(AND(Stamoplysninger!$B$26="Der er indgået lokalaftale omkring weekendtillæg(Kræver aftale med TR/FSL). Weekendtimerne udbetales.",I31="X",C31="ikke relevant",S31="X"))),(V31),0)</f>
        <v>0</v>
      </c>
      <c r="FI31" s="283">
        <f>IF(AND(Stamoplysninger!$B$26="Weekendtimer og weekendtillæg afspadseres.",I31="X"),K31,0)</f>
        <v>0</v>
      </c>
      <c r="FJ31" s="251">
        <f>IF(AND(Stamoplysninger!$B$26="Weekendtimer og weekendtillæg afspadseres.",Y31="X"),(AA31+AL31)/2,0)</f>
        <v>0</v>
      </c>
      <c r="FK31" s="674">
        <f>IF(AND(AND(Stamoplysninger!$B$26="Weekendtimer og weekendtillæg afspadseres.",I31="X",C31="ikke relevant")),K31,0)</f>
        <v>0</v>
      </c>
      <c r="FL31" s="675">
        <f>IF(AND(AND(Stamoplysninger!$B$26="Weekendtimer og weekendtillæg afspadseres.",Y31="X",S31="ikke relevant")),(AA31+AL31)/2,0)</f>
        <v>0</v>
      </c>
      <c r="FM31" s="283">
        <f>IF(AND(Stamoplysninger!$B$26="Der er indgået lokalaftale omkring weekendtillæg(Kræver aftale med TR/FSL). Weekendtimerne afspadseres.",I31="X"),K31,0)</f>
        <v>0</v>
      </c>
      <c r="FN31" s="674">
        <f>IF(AND(AND(Stamoplysninger!$B$26="Der er indgået lokalaftale omkring weekendtillæg(Kræver aftale med TR/FSL). Weekendtimerne afspadseres.",I31="X",C31="ikke relevant")),K31,0)</f>
        <v>0</v>
      </c>
      <c r="FO31" s="283">
        <f>IF(AND(Stamoplysninger!$B$26="Weekendtimer og weekendtillæg udbetales.",I31="X"),K31,0)</f>
        <v>0</v>
      </c>
      <c r="FP31" s="251">
        <f>IF(AND(Stamoplysninger!$B$26="Weekendtimer og weekendtillæg udbetales.",AA31="X"),(AC31+AN31)/2,0)</f>
        <v>0</v>
      </c>
      <c r="FQ31" s="674">
        <f>IF(AND(AND(Stamoplysninger!$B$26="Weekendtimer og weekendtillæg udbetales.",I31="X",C31="ikke relevant")),K31,0)</f>
        <v>0</v>
      </c>
      <c r="FR31" s="688">
        <f>IF(AND(AND(Stamoplysninger!$B$26="Weekendtimer og weekendtillæg udbetales.",AA31="X",U31="ikke relevant")),(AC31+AN31)/2,0)</f>
        <v>0</v>
      </c>
      <c r="FS31" s="283">
        <f t="shared" si="15"/>
        <v>0</v>
      </c>
      <c r="FT31" s="658">
        <f t="shared" si="16"/>
        <v>0</v>
      </c>
      <c r="FU31">
        <f t="shared" si="31"/>
        <v>0</v>
      </c>
      <c r="FV31" s="283">
        <f>IF(AND(Stamoplysninger!$B$26="Der er indgået lokalaftale omkring weekendtimer.(Kræver aftale med TR/FSL) Weekendtillæg afspadseres.",I31="X"),K31,0)</f>
        <v>0</v>
      </c>
      <c r="FW31" s="674">
        <f>IF(AND(AND(Stamoplysninger!$B$26="Der er indgået lokalaftale omkring weekendtimer.(Kræver aftale med TR/FSL) Weekendtillæg afspadseres.",I31="X",C31="ikke relevant")),K31,0)</f>
        <v>0</v>
      </c>
      <c r="FX31" s="283">
        <f>IF(AND(Stamoplysninger!$B$26="Der er indgået lokalaftale omkring weekendtimer(Kræver aftale med TR/FSL). Weekendtillæg udbetales.",I31="X"),K31,0)</f>
        <v>0</v>
      </c>
      <c r="FY31" s="674">
        <f>IF(AND(AND(Stamoplysninger!$B$26="Der er indgået lokalaftale omkring weekendtimer(Kræver aftale med TR/FSL). Weekendtillæg udbetales.",I31="X",C31="ikke relevant")),K31,0)</f>
        <v>0</v>
      </c>
      <c r="FZ31" s="283">
        <f>IF(AND(Stamoplysninger!$B$26="Der er indgået lokalaftale omkring weekendtillæg(Kræver aftale med TR/FSL). Weekendtimerne udbetales.",I31="X"),K31,0)</f>
        <v>0</v>
      </c>
      <c r="GA31" s="674">
        <f>IF(AND(AND(Stamoplysninger!$B$26="Der er indgået lokalaftale omkring weekendtillæg(Kræver aftale med TR/FSL). Weekendtimerne udbetales.",I31="X",C31="ikke relevant")),K31,0)</f>
        <v>0</v>
      </c>
      <c r="GB31" s="283">
        <f>IF(AND(Stamoplysninger!$B$26="Der er indgået lokalaftale omkring weekendtimer og weekendtillæg.(Kræver aftale med TR/FSL).",I31="X"),K31,0)</f>
        <v>0</v>
      </c>
      <c r="GC31" s="674">
        <f>IF(AND(AND(Stamoplysninger!$B$26="Der er indgået lokalaftale omkring weekendtimer og weekendtillæg.(Kræver aftale med TR/FSL).",I31="X",C31="ikke relevant")),K31,0)</f>
        <v>0</v>
      </c>
    </row>
    <row r="32" spans="1:185">
      <c r="A32" s="245">
        <f t="shared" si="18"/>
        <v>24</v>
      </c>
      <c r="B32" s="128" t="str">
        <f t="shared" si="0"/>
        <v>fr</v>
      </c>
      <c r="C32" s="129" t="s">
        <v>207</v>
      </c>
      <c r="D32" s="130" t="str">
        <f t="shared" si="1"/>
        <v/>
      </c>
      <c r="E32" s="949" t="s">
        <v>706</v>
      </c>
      <c r="F32" s="950"/>
      <c r="G32" s="951"/>
      <c r="H32" s="298" t="s">
        <v>707</v>
      </c>
      <c r="I32" s="527"/>
      <c r="J32" s="413"/>
      <c r="K32" s="380">
        <v>5.5</v>
      </c>
      <c r="L32" s="380">
        <v>3</v>
      </c>
      <c r="M32" s="380">
        <v>1</v>
      </c>
      <c r="N32" s="318">
        <f t="shared" si="19"/>
        <v>7</v>
      </c>
      <c r="O32" s="318">
        <f t="shared" si="20"/>
        <v>3</v>
      </c>
      <c r="P32" s="318">
        <f>IF(Stamoplysninger!$H$29="JA",Januar!DG32,CX32)</f>
        <v>0.83333333333333337</v>
      </c>
      <c r="Q32" s="318">
        <f t="shared" si="21"/>
        <v>3.1666666666666665</v>
      </c>
      <c r="R32" s="319">
        <v>5</v>
      </c>
      <c r="S32" s="324"/>
      <c r="T32" s="325"/>
      <c r="U32" s="325"/>
      <c r="V32" s="435"/>
      <c r="W32" s="412"/>
      <c r="X32" s="642"/>
      <c r="Y32">
        <f t="shared" si="22"/>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f>IF(AND(C32="Skema 2",B32="fr"),Arbejdstidsoversigt!$E$85,"")</f>
        <v>7</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7</v>
      </c>
      <c r="BB32" s="229">
        <f t="shared" si="8"/>
        <v>0</v>
      </c>
      <c r="BC32" s="1">
        <f t="shared" si="24"/>
        <v>0</v>
      </c>
      <c r="BD32" s="1">
        <f t="shared" si="9"/>
        <v>0</v>
      </c>
      <c r="BE32" s="1">
        <f t="shared" si="10"/>
        <v>0</v>
      </c>
      <c r="BF32" s="1">
        <f t="shared" si="11"/>
        <v>0</v>
      </c>
      <c r="BG32" s="210" t="str">
        <f>IF(AND(C32="Skema 1",B32="ma"),Skemaoplysninger!$E$30,"")</f>
        <v/>
      </c>
      <c r="BH32" s="210" t="str">
        <f>IF(AND(C32="Skema 1",B32="ti"),Skemaoplysninger!$G$30,"")</f>
        <v/>
      </c>
      <c r="BI32" s="210" t="str">
        <f>IF(AND(C32="Skema 1",B32="on"),Skemaoplysninger!$I$30,"")</f>
        <v/>
      </c>
      <c r="BJ32" s="210" t="str">
        <f>IF(AND(C32="Skema 1",B32="to"),Skemaoplysninger!$K$30,"")</f>
        <v/>
      </c>
      <c r="BK32" s="210" t="str">
        <f>IF(AND(C32="Skema 1",B32="fr"),Skemaoplysninger!$M$30,"")</f>
        <v/>
      </c>
      <c r="BL32" s="210" t="str">
        <f>IF(AND(C32="Skema 2",B32="ma"),Skemaoplysninger!$S$30,"")</f>
        <v/>
      </c>
      <c r="BM32" s="210" t="str">
        <f>IF(AND(C32="Skema 2",B32="ti"),Skemaoplysninger!$U$30,"")</f>
        <v/>
      </c>
      <c r="BN32" s="210" t="str">
        <f>IF(AND(C32="Skema 2",B32="on"),Skemaoplysninger!$W$30,"")</f>
        <v/>
      </c>
      <c r="BO32" s="210" t="str">
        <f>IF(AND(C32="Skema 2",B32="to"),Skemaoplysninger!$Y$30,"")</f>
        <v/>
      </c>
      <c r="BP32" s="210">
        <f>IF(AND(C32="Skema 2",B32="fr"),Skemaoplysninger!$AA$30,"")</f>
        <v>0.125</v>
      </c>
      <c r="BQ32" s="210" t="str">
        <f>IF(AND(C32="Skema 3",B32="ma"),Skemaoplysninger!$AG$30,"")</f>
        <v/>
      </c>
      <c r="BR32" s="210" t="str">
        <f>IF(AND(C32="Skema 3",B32="ti"),Skemaoplysninger!$AI$30,"")</f>
        <v/>
      </c>
      <c r="BS32" s="210" t="str">
        <f>IF(AND(C32="Skema 3",B32="on"),Skemaoplysninger!$AK$30,"")</f>
        <v/>
      </c>
      <c r="BT32" s="210" t="str">
        <f>IF(AND(C32="Skema 3",B32="to"),Skemaoplysninger!$AM$30,"")</f>
        <v/>
      </c>
      <c r="BU32" s="210" t="str">
        <f>IF(AND(C32="Skema 3",B32="fr"),Skemaoplysninger!$AO$30,"")</f>
        <v/>
      </c>
      <c r="BV32" s="210" t="str">
        <f>IF(AND(C32="Skema 4",B32="ma"),Skemaoplysninger!$AU$30,"")</f>
        <v/>
      </c>
      <c r="BW32" s="210" t="str">
        <f>IF(AND(C32="Skema 4",B32="ti"),Skemaoplysninger!$AW$30,"")</f>
        <v/>
      </c>
      <c r="BX32" s="210" t="str">
        <f>IF(AND(C32="Skema 4",B32="on"),Skemaoplysninger!$AY$30,"")</f>
        <v/>
      </c>
      <c r="BY32" s="210" t="str">
        <f>IF(AND(C32="Skema 4",B32="to"),Skemaoplysninger!$BA$30,"")</f>
        <v/>
      </c>
      <c r="BZ32" s="210" t="str">
        <f>IF(AND(C32="Skema 4",B32="fr"),Skemaoplysninger!$BC$30,"")</f>
        <v/>
      </c>
      <c r="CA32" s="1">
        <f t="shared" si="25"/>
        <v>3</v>
      </c>
      <c r="CB32" s="1">
        <f t="shared" si="12"/>
        <v>0</v>
      </c>
      <c r="CC32" s="1">
        <f t="shared" si="13"/>
        <v>0</v>
      </c>
      <c r="CD32" s="210" t="str">
        <f>IF(AND(C32="Skema 1",B32="ma"),Skemaoplysninger!$E$31,"")</f>
        <v/>
      </c>
      <c r="CE32" s="210" t="str">
        <f>IF(AND(C32="Skema 1",B32="ti"),Skemaoplysninger!$G$31,"")</f>
        <v/>
      </c>
      <c r="CF32" s="210" t="str">
        <f>IF(AND(C32="Skema 1",B32="on"),Skemaoplysninger!$I$31,"")</f>
        <v/>
      </c>
      <c r="CG32" s="210" t="str">
        <f>IF(AND(C32="Skema 1",B32="to"),Skemaoplysninger!$K$31,"")</f>
        <v/>
      </c>
      <c r="CH32" s="210" t="str">
        <f>IF(AND(C32="Skema 1",B32="fr"),Skemaoplysninger!$M$31,"")</f>
        <v/>
      </c>
      <c r="CI32" s="210" t="str">
        <f>IF(AND(C32="Skema 2",B32="ma"),Skemaoplysninger!$S$31,"")</f>
        <v/>
      </c>
      <c r="CJ32" s="210" t="str">
        <f>IF(AND(C32="Skema 2",B32="ti"),Skemaoplysninger!$U$31,"")</f>
        <v/>
      </c>
      <c r="CK32" s="210" t="str">
        <f>IF(AND(C32="Skema 2",B32="on"),Skemaoplysninger!$W$31,"")</f>
        <v/>
      </c>
      <c r="CL32" s="210" t="str">
        <f>IF(AND(C32="Skema 2",B32="to"),Skemaoplysninger!$Y$31,"")</f>
        <v/>
      </c>
      <c r="CM32" s="210">
        <f>IF(AND(C32="Skema 2",B32="fr"),Skemaoplysninger!$AA$31,"")</f>
        <v>3.4722222222222224E-2</v>
      </c>
      <c r="CN32" s="210" t="str">
        <f>IF(AND(C32="Skema 3",B32="ma"),Skemaoplysninger!$AG$31,"")</f>
        <v/>
      </c>
      <c r="CO32" s="210" t="str">
        <f>IF(AND(C32="Skema 3",B32="ti"),Skemaoplysninger!$AI$31,"")</f>
        <v/>
      </c>
      <c r="CP32" s="210" t="str">
        <f>IF(AND(C32="Skema 3",B32="on"),Skemaoplysninger!$AK$31,"")</f>
        <v/>
      </c>
      <c r="CQ32" s="210" t="str">
        <f>IF(AND(C32="Skema 3",B32="to"),Skemaoplysninger!$AM$31,"")</f>
        <v/>
      </c>
      <c r="CR32" s="210" t="str">
        <f>IF(AND(C32="Skema 3",B32="fr"),Skemaoplysninger!$AO$31,"")</f>
        <v/>
      </c>
      <c r="CS32" s="210" t="str">
        <f>IF(AND(C32="Skema 4",B32="ma"),Skemaoplysninger!$AU$31,"")</f>
        <v/>
      </c>
      <c r="CT32" s="210" t="str">
        <f>IF(AND(C32="Skema 4",B32="ti"),Skemaoplysninger!$AW$31,"")</f>
        <v/>
      </c>
      <c r="CU32" s="210" t="str">
        <f>IF(AND(C32="Skema 4",B32="on"),Skemaoplysninger!$AY$31,"")</f>
        <v/>
      </c>
      <c r="CV32" s="210" t="str">
        <f>IF(AND(C32="Skema 4",B32="to"),Skemaoplysninger!$BA$31,"")</f>
        <v/>
      </c>
      <c r="CW32" s="210" t="str">
        <f>IF(AND(C32="Skema 4",B32="fr"),Skemaoplysninger!$BC$31,"")</f>
        <v/>
      </c>
      <c r="CX32" s="249">
        <f>IF(Stamoplysninger!$H$29="NEJ",SUM(CD32:CW32)*24+CB32+CC32,0)</f>
        <v>0.83333333333333337</v>
      </c>
      <c r="CY32" s="249">
        <f>IF(C32="Skema 1",Stamoplysninger!$H$30/200,0)</f>
        <v>0</v>
      </c>
      <c r="CZ32" s="249">
        <f>IF(C32="Skema 2",Stamoplysninger!$H$30/200,0)</f>
        <v>0</v>
      </c>
      <c r="DA32" s="249">
        <f>IF(C32="Skema 3",Stamoplysninger!$H$30/200,0)</f>
        <v>0</v>
      </c>
      <c r="DB32" s="249">
        <f>IF(C32="Skema 4",Stamoplysninger!$H$30/200,0)</f>
        <v>0</v>
      </c>
      <c r="DC32" s="249">
        <f>IF(C32="fagdag",Stamoplysninger!$H$30/200,0)</f>
        <v>0</v>
      </c>
      <c r="DD32" s="249">
        <f>IF(C32="emnedag",Stamoplysninger!$H$30/200,0)</f>
        <v>0</v>
      </c>
      <c r="DE32" s="249">
        <f>IF(C32="lejrskole",Stamoplysninger!$H$30/200,0)</f>
        <v>0</v>
      </c>
      <c r="DF32" s="249">
        <f>IF(C32="ekskursion",Stamoplysninger!$H$30/200,0)</f>
        <v>0</v>
      </c>
      <c r="DG32" s="249">
        <f t="shared" si="26"/>
        <v>0</v>
      </c>
      <c r="DH32" t="str">
        <f t="shared" si="27"/>
        <v>Teateremneuge og Forestilling 17-22</v>
      </c>
      <c r="DI32" t="str">
        <f t="shared" si="28"/>
        <v/>
      </c>
      <c r="DJ32" t="str">
        <f t="shared" si="29"/>
        <v/>
      </c>
      <c r="DK32" t="str">
        <f t="shared" si="14"/>
        <v>Teateremneuge og Forestilling 17-22</v>
      </c>
      <c r="DL32" t="str">
        <f t="shared" si="14"/>
        <v/>
      </c>
      <c r="DM32" t="str">
        <f t="shared" si="14"/>
        <v/>
      </c>
      <c r="DN32" t="str">
        <f t="shared" si="30"/>
        <v>Teateremneuge og Forestilling 17-22</v>
      </c>
      <c r="DO32" s="652">
        <f>IF(AND(Stamoplysninger!$B$22="Ulempetillæg udbetales med 25% af nettotimelønnen.",H32&gt;0),(R32/4),0)</f>
        <v>1.25</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71">
        <f>IF(AND(Stamoplysninger!$B$22="Ulempetillæg udbetales med 25% af nettotimelønnen.",C32="ikke relevant"),(R32)/4,0)</f>
        <v>0</v>
      </c>
      <c r="DT32" s="671">
        <f>IF(AND(AND(Stamoplysninger!$B$22="Ulempetillæg udbetales med 25% af nettotimelønnen.",I32="X",C32="Ikke relevant")),K32/4,0)</f>
        <v>0</v>
      </c>
      <c r="DU32" s="671">
        <f>IF(AND(AND(Stamoplysninger!$B$22="Ulempetillæg udbetales med 25% af nettotimelønnen.",C32="ikke relevant",U32="X")),(X32/4),0)</f>
        <v>0</v>
      </c>
      <c r="DV32" s="672">
        <f>IF(AND(AND(AND(Stamoplysninger!$B$22="Ulempetillæg udbetales med 25% af nettotimelønnen.",I32="X",C32="Ikke relevant",S32="X"))),V32/4,0)</f>
        <v>0</v>
      </c>
      <c r="DW32" s="652"/>
      <c r="DZ32" s="671"/>
      <c r="EA32" s="671"/>
      <c r="EB32" s="672"/>
      <c r="EC32" s="652">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71">
        <f>IF(AND(Stamoplysninger!$B$22="Ulempetillæg afspadseres med 25%(Kræver en aftale imellem ledelsen og den ansatte)",C32="ikke relevant"),(R32)/4,0)</f>
        <v>0</v>
      </c>
      <c r="EH32" s="671">
        <f>IF(AND(AND(Stamoplysninger!$B$22="Ulempetillæg afspadseres med 25%(Kræver en aftale imellem ledelsen og den ansatte)",I32="X",C32="Ikke relevant")),K32/4,0)</f>
        <v>0</v>
      </c>
      <c r="EI32" s="671">
        <f>IF(AND(AND(Stamoplysninger!$B$22="Ulempetillæg afspadseres med 25%(Kræver en aftale imellem ledelsen og den ansatte)",U32="X",C32="Ikke relevant")),X32/4,0)</f>
        <v>0</v>
      </c>
      <c r="EJ32" s="671">
        <f>IF(AND(AND(AND(Stamoplysninger!$B$22="Ulempetillæg afspadseres med 25%(Kræver en aftale imellem ledelsen og den ansatte)",I32="X",C32="Ikke relevant",S32="X"))),V32/4,0)</f>
        <v>0</v>
      </c>
      <c r="EK32" s="283">
        <f>IF(AND(Stamoplysninger!$B$26="Weekendtimer og weekendtillæg afspadseres.",I32="X"),K32*1.5,0)</f>
        <v>0</v>
      </c>
      <c r="EL32" s="251">
        <f>IF(AND(AND(Stamoplysninger!$B$26="Weekendtimer og weekendtillæg afspadseres.",I32="X",S32="X")),V32*1.5,0)</f>
        <v>0</v>
      </c>
      <c r="EM32" s="674">
        <f>IF(AND(AND(Stamoplysninger!$B$26="Weekendtimer og weekendtillæg afspadseres.",I32="X",C32="ikke relevant")),K32*1.5,0)</f>
        <v>0</v>
      </c>
      <c r="EN32" s="675">
        <f>IF(AND(AND(AND(Stamoplysninger!$B$26="Weekendtimer og weekendtillæg afspadseres.",I32="X",C32="ikke relevant",S32="X"))),(V32*1.5),0)</f>
        <v>0</v>
      </c>
      <c r="EO32" s="283">
        <f>IF(AND(Stamoplysninger!$B$26="Weekendtimer og weekendtillæg udbetales.",I32="X"),K32*1.5,0)</f>
        <v>0</v>
      </c>
      <c r="EP32" s="251">
        <f>IF(AND(AND(Stamoplysninger!$B$26="Weekendtimer og weekendtillæg udbetales.",I32="X",S32="X")),V32*1.5,0)</f>
        <v>0</v>
      </c>
      <c r="EQ32" s="674">
        <f>IF(AND(AND(Stamoplysninger!$B$26="Weekendtimer og weekendtillæg udbetales.",I32="X",C32="ikke relevant")),K32*1.5,0)</f>
        <v>0</v>
      </c>
      <c r="ER32" s="675">
        <f>IF(AND(AND(AND(Stamoplysninger!$B$26="Weekendtimer og weekendtillæg udbetales.",I32="X",C32="ikke relevant",S32="X"))),(V32*1.5),0)</f>
        <v>0</v>
      </c>
      <c r="ES32" s="283">
        <f>IF(AND(Stamoplysninger!$B$26="Der er indgået lokalaftale omkring weekendtimer.(Kræver aftale med TR/FSL) Weekendtillæg afspadseres.",I32="X"),K32*0.5,0)</f>
        <v>0</v>
      </c>
      <c r="ET32" s="251">
        <f>IF(AND(AND(Stamoplysninger!$B$26="Der er indgået lokalaftale omkring weekendtimer.(Kræver aftale med TR/FSL) Weekendtillæg afspadseres.",I32="X",S32="X")),V32*0.5,0)</f>
        <v>0</v>
      </c>
      <c r="EU32" s="674">
        <f>IF(AND(AND(Stamoplysninger!$B$26="Der er indgået lokalaftale omkring weekendtimer.(Kræver aftale med TR/FSL) Weekendtillæg afspadseres.",I32="X",C32="ikke relevant")),K32*0.5,0)</f>
        <v>0</v>
      </c>
      <c r="EV32" s="675">
        <f>IF(AND(AND(AND(Stamoplysninger!$B$26="Der er indgået lokalaftale omkring weekendtimer.(Kræver aftale med TR/FSL) Weekendtillæg afspadseres.",I32="X",C32="ikke relevant",S32="X"))),(V32*0.5),0)</f>
        <v>0</v>
      </c>
      <c r="EW32" s="283">
        <f>IF(AND(Stamoplysninger!$B$26="Der er indgået lokalaftale omkring weekendtimer(Kræver aftale med TR/FSL). Weekendtillæg udbetales.",I32="X"),K32*0.5,0)</f>
        <v>0</v>
      </c>
      <c r="EX32" s="251">
        <f>IF(AND(AND(Stamoplysninger!$B$26="Der er indgået lokalaftale omkring weekendtimer(Kræver aftale med TR/FSL). Weekendtillæg udbetales.",I32="X",S32="X")),V32*0.5,0)</f>
        <v>0</v>
      </c>
      <c r="EY32" s="674">
        <f>IF(AND(AND(Stamoplysninger!$B$26="Der er indgået lokalaftale omkring weekendtimer(Kræver aftale med TR/FSL). Weekendtillæg udbetales.",I32="X",C32="ikke relevant")),K32*0.5,0)</f>
        <v>0</v>
      </c>
      <c r="EZ32" s="675">
        <f>IF(AND(AND(AND(Stamoplysninger!$B$26="Der er indgået lokalaftale omkring weekendtimer(Kræver aftale med TR/FSL). Weekendtillæg udbetales.",I32="X",C32="ikke relevant",S32="X"))),(V32*0.5),0)</f>
        <v>0</v>
      </c>
      <c r="FA32" s="283">
        <f>IF(AND(Stamoplysninger!$B$26="Der er indgået lokalaftale omkring weekendtillæg(Kræver aftale med TR/FSL). Weekendtimerne afspadseres.",I32="X"),K32,0)</f>
        <v>0</v>
      </c>
      <c r="FB32" s="251">
        <f>IF(AND(AND(Stamoplysninger!$B$26="Der er indgået lokalaftale omkring weekendtillæg(Kræver aftale med TR/FSL). Weekendtimerne afspadseres.",I32="X",S32="X")),V32,0)</f>
        <v>0</v>
      </c>
      <c r="FC32" s="674">
        <f>IF(AND(AND(Stamoplysninger!$B$26="Der er indgået lokalaftale omkring weekendtillæg(Kræver aftale med TR/FSL). Weekendtimerne afspadseres..",I32="X",C32="ikke relevant")),K32,0)</f>
        <v>0</v>
      </c>
      <c r="FD32" s="675">
        <f>IF(AND(AND(AND(Stamoplysninger!$B$26="Der er indgået lokalaftale omkring weekendtillæg(Kræver aftale med TR/FSL). Weekendtimerne afspadseres.",I32="X",C32="ikke relevant",S32="X"))),(V32),0)</f>
        <v>0</v>
      </c>
      <c r="FE32" s="283">
        <f>IF(AND(Stamoplysninger!$B$26="Der er indgået lokalaftale omkring weekendtillæg(Kræver aftale med TR/FSL). Weekendtimerne udbetales.",I32="X"),K32,0)</f>
        <v>0</v>
      </c>
      <c r="FF32" s="251">
        <f>IF(AND(AND(Stamoplysninger!$B$26="Der er indgået lokalaftale omkring weekendtillæg(Kræver aftale med TR/FSL). Weekendtimerne udbetales.",I32="X",S32="X")),V32,0)</f>
        <v>0</v>
      </c>
      <c r="FG32" s="674">
        <f>IF(AND(AND(Stamoplysninger!$B$26="Der er indgået lokalaftale omkring weekendtillæg(Kræver aftale med TR/FSL). Weekendtimerne udbetales.",I32="X",C32="ikke relevant")),K32,0)</f>
        <v>0</v>
      </c>
      <c r="FH32" s="675">
        <f>IF(AND(AND(AND(Stamoplysninger!$B$26="Der er indgået lokalaftale omkring weekendtillæg(Kræver aftale med TR/FSL). Weekendtimerne udbetales.",I32="X",C32="ikke relevant",S32="X"))),(V32),0)</f>
        <v>0</v>
      </c>
      <c r="FI32" s="283">
        <f>IF(AND(Stamoplysninger!$B$26="Weekendtimer og weekendtillæg afspadseres.",I32="X"),K32,0)</f>
        <v>0</v>
      </c>
      <c r="FJ32" s="251">
        <f>IF(AND(Stamoplysninger!$B$26="Weekendtimer og weekendtillæg afspadseres.",Y32="X"),(AA32+AL32)/2,0)</f>
        <v>0</v>
      </c>
      <c r="FK32" s="674">
        <f>IF(AND(AND(Stamoplysninger!$B$26="Weekendtimer og weekendtillæg afspadseres.",I32="X",C32="ikke relevant")),K32,0)</f>
        <v>0</v>
      </c>
      <c r="FL32" s="675">
        <f>IF(AND(AND(Stamoplysninger!$B$26="Weekendtimer og weekendtillæg afspadseres.",Y32="X",S32="ikke relevant")),(AA32+AL32)/2,0)</f>
        <v>0</v>
      </c>
      <c r="FM32" s="283">
        <f>IF(AND(Stamoplysninger!$B$26="Der er indgået lokalaftale omkring weekendtillæg(Kræver aftale med TR/FSL). Weekendtimerne afspadseres.",I32="X"),K32,0)</f>
        <v>0</v>
      </c>
      <c r="FN32" s="674">
        <f>IF(AND(AND(Stamoplysninger!$B$26="Der er indgået lokalaftale omkring weekendtillæg(Kræver aftale med TR/FSL). Weekendtimerne afspadseres.",I32="X",C32="ikke relevant")),K32,0)</f>
        <v>0</v>
      </c>
      <c r="FO32" s="283">
        <f>IF(AND(Stamoplysninger!$B$26="Weekendtimer og weekendtillæg udbetales.",I32="X"),K32,0)</f>
        <v>0</v>
      </c>
      <c r="FP32" s="251">
        <f>IF(AND(Stamoplysninger!$B$26="Weekendtimer og weekendtillæg udbetales.",AA32="X"),(AC32+AN32)/2,0)</f>
        <v>0</v>
      </c>
      <c r="FQ32" s="674">
        <f>IF(AND(AND(Stamoplysninger!$B$26="Weekendtimer og weekendtillæg udbetales.",I32="X",C32="ikke relevant")),K32,0)</f>
        <v>0</v>
      </c>
      <c r="FR32" s="688">
        <f>IF(AND(AND(Stamoplysninger!$B$26="Weekendtimer og weekendtillæg udbetales.",AA32="X",U32="ikke relevant")),(AC32+AN32)/2,0)</f>
        <v>0</v>
      </c>
      <c r="FS32" s="283">
        <f t="shared" si="15"/>
        <v>0</v>
      </c>
      <c r="FT32" s="658">
        <f t="shared" si="16"/>
        <v>0</v>
      </c>
      <c r="FU32">
        <f t="shared" si="31"/>
        <v>0</v>
      </c>
      <c r="FV32" s="283">
        <f>IF(AND(Stamoplysninger!$B$26="Der er indgået lokalaftale omkring weekendtimer.(Kræver aftale med TR/FSL) Weekendtillæg afspadseres.",I32="X"),K32,0)</f>
        <v>0</v>
      </c>
      <c r="FW32" s="674">
        <f>IF(AND(AND(Stamoplysninger!$B$26="Der er indgået lokalaftale omkring weekendtimer.(Kræver aftale med TR/FSL) Weekendtillæg afspadseres.",I32="X",C32="ikke relevant")),K32,0)</f>
        <v>0</v>
      </c>
      <c r="FX32" s="283">
        <f>IF(AND(Stamoplysninger!$B$26="Der er indgået lokalaftale omkring weekendtimer(Kræver aftale med TR/FSL). Weekendtillæg udbetales.",I32="X"),K32,0)</f>
        <v>0</v>
      </c>
      <c r="FY32" s="674">
        <f>IF(AND(AND(Stamoplysninger!$B$26="Der er indgået lokalaftale omkring weekendtimer(Kræver aftale med TR/FSL). Weekendtillæg udbetales.",I32="X",C32="ikke relevant")),K32,0)</f>
        <v>0</v>
      </c>
      <c r="FZ32" s="283">
        <f>IF(AND(Stamoplysninger!$B$26="Der er indgået lokalaftale omkring weekendtillæg(Kræver aftale med TR/FSL). Weekendtimerne udbetales.",I32="X"),K32,0)</f>
        <v>0</v>
      </c>
      <c r="GA32" s="674">
        <f>IF(AND(AND(Stamoplysninger!$B$26="Der er indgået lokalaftale omkring weekendtillæg(Kræver aftale med TR/FSL). Weekendtimerne udbetales.",I32="X",C32="ikke relevant")),K32,0)</f>
        <v>0</v>
      </c>
      <c r="GB32" s="283">
        <f>IF(AND(Stamoplysninger!$B$26="Der er indgået lokalaftale omkring weekendtimer og weekendtillæg.(Kræver aftale med TR/FSL).",I32="X"),K32,0)</f>
        <v>0</v>
      </c>
      <c r="GC32" s="674">
        <f>IF(AND(AND(Stamoplysninger!$B$26="Der er indgået lokalaftale omkring weekendtimer og weekendtillæg.(Kræver aftale med TR/FSL).",I32="X",C32="ikke relevant")),K32,0)</f>
        <v>0</v>
      </c>
    </row>
    <row r="33" spans="1:185">
      <c r="A33" s="245">
        <f t="shared" si="18"/>
        <v>25</v>
      </c>
      <c r="B33" s="128" t="str">
        <f t="shared" si="0"/>
        <v>lø</v>
      </c>
      <c r="C33" s="129" t="s">
        <v>120</v>
      </c>
      <c r="D33" s="130" t="str">
        <f t="shared" si="1"/>
        <v/>
      </c>
      <c r="E33" s="917"/>
      <c r="F33" s="918"/>
      <c r="G33" s="919"/>
      <c r="H33" s="298"/>
      <c r="I33" s="413"/>
      <c r="J33" s="413"/>
      <c r="K33" s="380"/>
      <c r="L33" s="380"/>
      <c r="M33" s="380"/>
      <c r="N33" s="318">
        <f t="shared" si="19"/>
        <v>0</v>
      </c>
      <c r="O33" s="318">
        <f t="shared" si="20"/>
        <v>0</v>
      </c>
      <c r="P33" s="318">
        <f>IF(Stamoplysninger!$H$29="JA",Januar!DG33,CX33)</f>
        <v>0</v>
      </c>
      <c r="Q33" s="318">
        <f t="shared" si="21"/>
        <v>0</v>
      </c>
      <c r="R33" s="319"/>
      <c r="S33" s="324"/>
      <c r="T33" s="325"/>
      <c r="U33" s="325"/>
      <c r="V33" s="435"/>
      <c r="W33" s="412"/>
      <c r="X33" s="642"/>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9">
        <f t="shared" si="8"/>
        <v>0</v>
      </c>
      <c r="BC33" s="1">
        <f t="shared" si="24"/>
        <v>0</v>
      </c>
      <c r="BD33" s="1">
        <f t="shared" si="9"/>
        <v>0</v>
      </c>
      <c r="BE33" s="1">
        <f t="shared" si="10"/>
        <v>0</v>
      </c>
      <c r="BF33" s="1">
        <f t="shared" si="11"/>
        <v>0</v>
      </c>
      <c r="BG33" s="210" t="str">
        <f>IF(AND(C33="Skema 1",B33="ma"),Skemaoplysninger!$E$30,"")</f>
        <v/>
      </c>
      <c r="BH33" s="210" t="str">
        <f>IF(AND(C33="Skema 1",B33="ti"),Skemaoplysninger!$G$30,"")</f>
        <v/>
      </c>
      <c r="BI33" s="210" t="str">
        <f>IF(AND(C33="Skema 1",B33="on"),Skemaoplysninger!$I$30,"")</f>
        <v/>
      </c>
      <c r="BJ33" s="210" t="str">
        <f>IF(AND(C33="Skema 1",B33="to"),Skemaoplysninger!$K$30,"")</f>
        <v/>
      </c>
      <c r="BK33" s="210" t="str">
        <f>IF(AND(C33="Skema 1",B33="fr"),Skemaoplysninger!$M$30,"")</f>
        <v/>
      </c>
      <c r="BL33" s="210" t="str">
        <f>IF(AND(C33="Skema 2",B33="ma"),Skemaoplysninger!$S$30,"")</f>
        <v/>
      </c>
      <c r="BM33" s="210" t="str">
        <f>IF(AND(C33="Skema 2",B33="ti"),Skemaoplysninger!$U$30,"")</f>
        <v/>
      </c>
      <c r="BN33" s="210" t="str">
        <f>IF(AND(C33="Skema 2",B33="on"),Skemaoplysninger!$W$30,"")</f>
        <v/>
      </c>
      <c r="BO33" s="210" t="str">
        <f>IF(AND(C33="Skema 2",B33="to"),Skemaoplysninger!$Y$30,"")</f>
        <v/>
      </c>
      <c r="BP33" s="210" t="str">
        <f>IF(AND(C33="Skema 2",B33="fr"),Skemaoplysninger!$AA$30,"")</f>
        <v/>
      </c>
      <c r="BQ33" s="210" t="str">
        <f>IF(AND(C33="Skema 3",B33="ma"),Skemaoplysninger!$AG$30,"")</f>
        <v/>
      </c>
      <c r="BR33" s="210" t="str">
        <f>IF(AND(C33="Skema 3",B33="ti"),Skemaoplysninger!$AI$30,"")</f>
        <v/>
      </c>
      <c r="BS33" s="210" t="str">
        <f>IF(AND(C33="Skema 3",B33="on"),Skemaoplysninger!$AK$30,"")</f>
        <v/>
      </c>
      <c r="BT33" s="210" t="str">
        <f>IF(AND(C33="Skema 3",B33="to"),Skemaoplysninger!$AM$30,"")</f>
        <v/>
      </c>
      <c r="BU33" s="210" t="str">
        <f>IF(AND(C33="Skema 3",B33="fr"),Skemaoplysninger!$AO$30,"")</f>
        <v/>
      </c>
      <c r="BV33" s="210" t="str">
        <f>IF(AND(C33="Skema 4",B33="ma"),Skemaoplysninger!$AU$30,"")</f>
        <v/>
      </c>
      <c r="BW33" s="210" t="str">
        <f>IF(AND(C33="Skema 4",B33="ti"),Skemaoplysninger!$AW$30,"")</f>
        <v/>
      </c>
      <c r="BX33" s="210" t="str">
        <f>IF(AND(C33="Skema 4",B33="on"),Skemaoplysninger!$AY$30,"")</f>
        <v/>
      </c>
      <c r="BY33" s="210" t="str">
        <f>IF(AND(C33="Skema 4",B33="to"),Skemaoplysninger!$BA$30,"")</f>
        <v/>
      </c>
      <c r="BZ33" s="210" t="str">
        <f>IF(AND(C33="Skema 4",B33="fr"),Skemaoplysninger!$BC$30,"")</f>
        <v/>
      </c>
      <c r="CA33" s="1">
        <f t="shared" si="25"/>
        <v>0</v>
      </c>
      <c r="CB33" s="1">
        <f t="shared" si="12"/>
        <v>0</v>
      </c>
      <c r="CC33" s="1">
        <f t="shared" si="13"/>
        <v>0</v>
      </c>
      <c r="CD33" s="210" t="str">
        <f>IF(AND(C33="Skema 1",B33="ma"),Skemaoplysninger!$E$31,"")</f>
        <v/>
      </c>
      <c r="CE33" s="210" t="str">
        <f>IF(AND(C33="Skema 1",B33="ti"),Skemaoplysninger!$G$31,"")</f>
        <v/>
      </c>
      <c r="CF33" s="210" t="str">
        <f>IF(AND(C33="Skema 1",B33="on"),Skemaoplysninger!$I$31,"")</f>
        <v/>
      </c>
      <c r="CG33" s="210" t="str">
        <f>IF(AND(C33="Skema 1",B33="to"),Skemaoplysninger!$K$31,"")</f>
        <v/>
      </c>
      <c r="CH33" s="210" t="str">
        <f>IF(AND(C33="Skema 1",B33="fr"),Skemaoplysninger!$M$31,"")</f>
        <v/>
      </c>
      <c r="CI33" s="210" t="str">
        <f>IF(AND(C33="Skema 2",B33="ma"),Skemaoplysninger!$S$31,"")</f>
        <v/>
      </c>
      <c r="CJ33" s="210" t="str">
        <f>IF(AND(C33="Skema 2",B33="ti"),Skemaoplysninger!$U$31,"")</f>
        <v/>
      </c>
      <c r="CK33" s="210" t="str">
        <f>IF(AND(C33="Skema 2",B33="on"),Skemaoplysninger!$W$31,"")</f>
        <v/>
      </c>
      <c r="CL33" s="210" t="str">
        <f>IF(AND(C33="Skema 2",B33="to"),Skemaoplysninger!$Y$31,"")</f>
        <v/>
      </c>
      <c r="CM33" s="210" t="str">
        <f>IF(AND(C33="Skema 2",B33="fr"),Skemaoplysninger!$AA$31,"")</f>
        <v/>
      </c>
      <c r="CN33" s="210" t="str">
        <f>IF(AND(C33="Skema 3",B33="ma"),Skemaoplysninger!$AG$31,"")</f>
        <v/>
      </c>
      <c r="CO33" s="210" t="str">
        <f>IF(AND(C33="Skema 3",B33="ti"),Skemaoplysninger!$AI$31,"")</f>
        <v/>
      </c>
      <c r="CP33" s="210" t="str">
        <f>IF(AND(C33="Skema 3",B33="on"),Skemaoplysninger!$AK$31,"")</f>
        <v/>
      </c>
      <c r="CQ33" s="210" t="str">
        <f>IF(AND(C33="Skema 3",B33="to"),Skemaoplysninger!$AM$31,"")</f>
        <v/>
      </c>
      <c r="CR33" s="210" t="str">
        <f>IF(AND(C33="Skema 3",B33="fr"),Skemaoplysninger!$AO$31,"")</f>
        <v/>
      </c>
      <c r="CS33" s="210" t="str">
        <f>IF(AND(C33="Skema 4",B33="ma"),Skemaoplysninger!$AU$31,"")</f>
        <v/>
      </c>
      <c r="CT33" s="210" t="str">
        <f>IF(AND(C33="Skema 4",B33="ti"),Skemaoplysninger!$AW$31,"")</f>
        <v/>
      </c>
      <c r="CU33" s="210" t="str">
        <f>IF(AND(C33="Skema 4",B33="on"),Skemaoplysninger!$AY$31,"")</f>
        <v/>
      </c>
      <c r="CV33" s="210" t="str">
        <f>IF(AND(C33="Skema 4",B33="to"),Skemaoplysninger!$BA$31,"")</f>
        <v/>
      </c>
      <c r="CW33" s="210" t="str">
        <f>IF(AND(C33="Skema 4",B33="fr"),Skemaoplysninger!$BC$31,"")</f>
        <v/>
      </c>
      <c r="CX33" s="249">
        <f>IF(Stamoplysninger!$H$29="NEJ",SUM(CD33:CW33)*24+CB33+CC33,0)</f>
        <v>0</v>
      </c>
      <c r="CY33" s="249">
        <f>IF(C33="Skema 1",Stamoplysninger!$H$30/200,0)</f>
        <v>0</v>
      </c>
      <c r="CZ33" s="249">
        <f>IF(C33="Skema 2",Stamoplysninger!$H$30/200,0)</f>
        <v>0</v>
      </c>
      <c r="DA33" s="249">
        <f>IF(C33="Skema 3",Stamoplysninger!$H$30/200,0)</f>
        <v>0</v>
      </c>
      <c r="DB33" s="249">
        <f>IF(C33="Skema 4",Stamoplysninger!$H$30/200,0)</f>
        <v>0</v>
      </c>
      <c r="DC33" s="249">
        <f>IF(C33="fagdag",Stamoplysninger!$H$30/200,0)</f>
        <v>0</v>
      </c>
      <c r="DD33" s="249">
        <f>IF(C33="emnedag",Stamoplysninger!$H$30/200,0)</f>
        <v>0</v>
      </c>
      <c r="DE33" s="249">
        <f>IF(C33="lejrskole",Stamoplysninger!$H$30/200,0)</f>
        <v>0</v>
      </c>
      <c r="DF33" s="249">
        <f>IF(C33="ekskursion",Stamoplysninger!$H$30/200,0)</f>
        <v>0</v>
      </c>
      <c r="DG33" s="249">
        <f t="shared" si="26"/>
        <v>0</v>
      </c>
      <c r="DH33" t="str">
        <f t="shared" si="27"/>
        <v/>
      </c>
      <c r="DI33">
        <f t="shared" si="28"/>
        <v>0</v>
      </c>
      <c r="DJ33">
        <f t="shared" si="29"/>
        <v>0</v>
      </c>
      <c r="DK33" t="str">
        <f t="shared" si="14"/>
        <v/>
      </c>
      <c r="DL33" t="str">
        <f t="shared" si="14"/>
        <v/>
      </c>
      <c r="DM33" t="str">
        <f t="shared" si="14"/>
        <v/>
      </c>
      <c r="DN33" t="str">
        <f t="shared" si="30"/>
        <v/>
      </c>
      <c r="DO33" s="652">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71">
        <f>IF(AND(Stamoplysninger!$B$22="Ulempetillæg udbetales med 25% af nettotimelønnen.",C33="ikke relevant"),(R33)/4,0)</f>
        <v>0</v>
      </c>
      <c r="DT33" s="671">
        <f>IF(AND(AND(Stamoplysninger!$B$22="Ulempetillæg udbetales med 25% af nettotimelønnen.",I33="X",C33="Ikke relevant")),K33/4,0)</f>
        <v>0</v>
      </c>
      <c r="DU33" s="671">
        <f>IF(AND(AND(Stamoplysninger!$B$22="Ulempetillæg udbetales med 25% af nettotimelønnen.",C33="ikke relevant",U33="X")),(X33/4),0)</f>
        <v>0</v>
      </c>
      <c r="DV33" s="672">
        <f>IF(AND(AND(AND(Stamoplysninger!$B$22="Ulempetillæg udbetales med 25% af nettotimelønnen.",I33="X",C33="Ikke relevant",S33="X"))),V33/4,0)</f>
        <v>0</v>
      </c>
      <c r="DW33" s="652"/>
      <c r="DZ33" s="671"/>
      <c r="EA33" s="671"/>
      <c r="EB33" s="672"/>
      <c r="EC33" s="652">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71">
        <f>IF(AND(Stamoplysninger!$B$22="Ulempetillæg afspadseres med 25%(Kræver en aftale imellem ledelsen og den ansatte)",C33="ikke relevant"),(R33)/4,0)</f>
        <v>0</v>
      </c>
      <c r="EH33" s="671">
        <f>IF(AND(AND(Stamoplysninger!$B$22="Ulempetillæg afspadseres med 25%(Kræver en aftale imellem ledelsen og den ansatte)",I33="X",C33="Ikke relevant")),K33/4,0)</f>
        <v>0</v>
      </c>
      <c r="EI33" s="671">
        <f>IF(AND(AND(Stamoplysninger!$B$22="Ulempetillæg afspadseres med 25%(Kræver en aftale imellem ledelsen og den ansatte)",U33="X",C33="Ikke relevant")),X33/4,0)</f>
        <v>0</v>
      </c>
      <c r="EJ33" s="671">
        <f>IF(AND(AND(AND(Stamoplysninger!$B$22="Ulempetillæg afspadseres med 25%(Kræver en aftale imellem ledelsen og den ansatte)",I33="X",C33="Ikke relevant",S33="X"))),V33/4,0)</f>
        <v>0</v>
      </c>
      <c r="EK33" s="283">
        <f>IF(AND(Stamoplysninger!$B$26="Weekendtimer og weekendtillæg afspadseres.",I33="X"),K33*1.5,0)</f>
        <v>0</v>
      </c>
      <c r="EL33" s="251">
        <f>IF(AND(AND(Stamoplysninger!$B$26="Weekendtimer og weekendtillæg afspadseres.",I33="X",S33="X")),V33*1.5,0)</f>
        <v>0</v>
      </c>
      <c r="EM33" s="674">
        <f>IF(AND(AND(Stamoplysninger!$B$26="Weekendtimer og weekendtillæg afspadseres.",I33="X",C33="ikke relevant")),K33*1.5,0)</f>
        <v>0</v>
      </c>
      <c r="EN33" s="675">
        <f>IF(AND(AND(AND(Stamoplysninger!$B$26="Weekendtimer og weekendtillæg afspadseres.",I33="X",C33="ikke relevant",S33="X"))),(V33*1.5),0)</f>
        <v>0</v>
      </c>
      <c r="EO33" s="283">
        <f>IF(AND(Stamoplysninger!$B$26="Weekendtimer og weekendtillæg udbetales.",I33="X"),K33*1.5,0)</f>
        <v>0</v>
      </c>
      <c r="EP33" s="251">
        <f>IF(AND(AND(Stamoplysninger!$B$26="Weekendtimer og weekendtillæg udbetales.",I33="X",S33="X")),V33*1.5,0)</f>
        <v>0</v>
      </c>
      <c r="EQ33" s="674">
        <f>IF(AND(AND(Stamoplysninger!$B$26="Weekendtimer og weekendtillæg udbetales.",I33="X",C33="ikke relevant")),K33*1.5,0)</f>
        <v>0</v>
      </c>
      <c r="ER33" s="675">
        <f>IF(AND(AND(AND(Stamoplysninger!$B$26="Weekendtimer og weekendtillæg udbetales.",I33="X",C33="ikke relevant",S33="X"))),(V33*1.5),0)</f>
        <v>0</v>
      </c>
      <c r="ES33" s="283">
        <f>IF(AND(Stamoplysninger!$B$26="Der er indgået lokalaftale omkring weekendtimer.(Kræver aftale med TR/FSL) Weekendtillæg afspadseres.",I33="X"),K33*0.5,0)</f>
        <v>0</v>
      </c>
      <c r="ET33" s="251">
        <f>IF(AND(AND(Stamoplysninger!$B$26="Der er indgået lokalaftale omkring weekendtimer.(Kræver aftale med TR/FSL) Weekendtillæg afspadseres.",I33="X",S33="X")),V33*0.5,0)</f>
        <v>0</v>
      </c>
      <c r="EU33" s="674">
        <f>IF(AND(AND(Stamoplysninger!$B$26="Der er indgået lokalaftale omkring weekendtimer.(Kræver aftale med TR/FSL) Weekendtillæg afspadseres.",I33="X",C33="ikke relevant")),K33*0.5,0)</f>
        <v>0</v>
      </c>
      <c r="EV33" s="675">
        <f>IF(AND(AND(AND(Stamoplysninger!$B$26="Der er indgået lokalaftale omkring weekendtimer.(Kræver aftale med TR/FSL) Weekendtillæg afspadseres.",I33="X",C33="ikke relevant",S33="X"))),(V33*0.5),0)</f>
        <v>0</v>
      </c>
      <c r="EW33" s="283">
        <f>IF(AND(Stamoplysninger!$B$26="Der er indgået lokalaftale omkring weekendtimer(Kræver aftale med TR/FSL). Weekendtillæg udbetales.",I33="X"),K33*0.5,0)</f>
        <v>0</v>
      </c>
      <c r="EX33" s="251">
        <f>IF(AND(AND(Stamoplysninger!$B$26="Der er indgået lokalaftale omkring weekendtimer(Kræver aftale med TR/FSL). Weekendtillæg udbetales.",I33="X",S33="X")),V33*0.5,0)</f>
        <v>0</v>
      </c>
      <c r="EY33" s="674">
        <f>IF(AND(AND(Stamoplysninger!$B$26="Der er indgået lokalaftale omkring weekendtimer(Kræver aftale med TR/FSL). Weekendtillæg udbetales.",I33="X",C33="ikke relevant")),K33*0.5,0)</f>
        <v>0</v>
      </c>
      <c r="EZ33" s="675">
        <f>IF(AND(AND(AND(Stamoplysninger!$B$26="Der er indgået lokalaftale omkring weekendtimer(Kræver aftale med TR/FSL). Weekendtillæg udbetales.",I33="X",C33="ikke relevant",S33="X"))),(V33*0.5),0)</f>
        <v>0</v>
      </c>
      <c r="FA33" s="283">
        <f>IF(AND(Stamoplysninger!$B$26="Der er indgået lokalaftale omkring weekendtillæg(Kræver aftale med TR/FSL). Weekendtimerne afspadseres.",I33="X"),K33,0)</f>
        <v>0</v>
      </c>
      <c r="FB33" s="251">
        <f>IF(AND(AND(Stamoplysninger!$B$26="Der er indgået lokalaftale omkring weekendtillæg(Kræver aftale med TR/FSL). Weekendtimerne afspadseres.",I33="X",S33="X")),V33,0)</f>
        <v>0</v>
      </c>
      <c r="FC33" s="674">
        <f>IF(AND(AND(Stamoplysninger!$B$26="Der er indgået lokalaftale omkring weekendtillæg(Kræver aftale med TR/FSL). Weekendtimerne afspadseres..",I33="X",C33="ikke relevant")),K33,0)</f>
        <v>0</v>
      </c>
      <c r="FD33" s="675">
        <f>IF(AND(AND(AND(Stamoplysninger!$B$26="Der er indgået lokalaftale omkring weekendtillæg(Kræver aftale med TR/FSL). Weekendtimerne afspadseres.",I33="X",C33="ikke relevant",S33="X"))),(V33),0)</f>
        <v>0</v>
      </c>
      <c r="FE33" s="283">
        <f>IF(AND(Stamoplysninger!$B$26="Der er indgået lokalaftale omkring weekendtillæg(Kræver aftale med TR/FSL). Weekendtimerne udbetales.",I33="X"),K33,0)</f>
        <v>0</v>
      </c>
      <c r="FF33" s="251">
        <f>IF(AND(AND(Stamoplysninger!$B$26="Der er indgået lokalaftale omkring weekendtillæg(Kræver aftale med TR/FSL). Weekendtimerne udbetales.",I33="X",S33="X")),V33,0)</f>
        <v>0</v>
      </c>
      <c r="FG33" s="674">
        <f>IF(AND(AND(Stamoplysninger!$B$26="Der er indgået lokalaftale omkring weekendtillæg(Kræver aftale med TR/FSL). Weekendtimerne udbetales.",I33="X",C33="ikke relevant")),K33,0)</f>
        <v>0</v>
      </c>
      <c r="FH33" s="675">
        <f>IF(AND(AND(AND(Stamoplysninger!$B$26="Der er indgået lokalaftale omkring weekendtillæg(Kræver aftale med TR/FSL). Weekendtimerne udbetales.",I33="X",C33="ikke relevant",S33="X"))),(V33),0)</f>
        <v>0</v>
      </c>
      <c r="FI33" s="283">
        <f>IF(AND(Stamoplysninger!$B$26="Weekendtimer og weekendtillæg afspadseres.",I33="X"),K33,0)</f>
        <v>0</v>
      </c>
      <c r="FJ33" s="251">
        <f>IF(AND(Stamoplysninger!$B$26="Weekendtimer og weekendtillæg afspadseres.",Y33="X"),(AA33+AL33)/2,0)</f>
        <v>0</v>
      </c>
      <c r="FK33" s="674">
        <f>IF(AND(AND(Stamoplysninger!$B$26="Weekendtimer og weekendtillæg afspadseres.",I33="X",C33="ikke relevant")),K33,0)</f>
        <v>0</v>
      </c>
      <c r="FL33" s="675">
        <f>IF(AND(AND(Stamoplysninger!$B$26="Weekendtimer og weekendtillæg afspadseres.",Y33="X",S33="ikke relevant")),(AA33+AL33)/2,0)</f>
        <v>0</v>
      </c>
      <c r="FM33" s="283">
        <f>IF(AND(Stamoplysninger!$B$26="Der er indgået lokalaftale omkring weekendtillæg(Kræver aftale med TR/FSL). Weekendtimerne afspadseres.",I33="X"),K33,0)</f>
        <v>0</v>
      </c>
      <c r="FN33" s="674">
        <f>IF(AND(AND(Stamoplysninger!$B$26="Der er indgået lokalaftale omkring weekendtillæg(Kræver aftale med TR/FSL). Weekendtimerne afspadseres.",I33="X",C33="ikke relevant")),K33,0)</f>
        <v>0</v>
      </c>
      <c r="FO33" s="283">
        <f>IF(AND(Stamoplysninger!$B$26="Weekendtimer og weekendtillæg udbetales.",I33="X"),K33,0)</f>
        <v>0</v>
      </c>
      <c r="FP33" s="251">
        <f>IF(AND(Stamoplysninger!$B$26="Weekendtimer og weekendtillæg udbetales.",AA33="X"),(AC33+AN33)/2,0)</f>
        <v>0</v>
      </c>
      <c r="FQ33" s="674">
        <f>IF(AND(AND(Stamoplysninger!$B$26="Weekendtimer og weekendtillæg udbetales.",I33="X",C33="ikke relevant")),K33,0)</f>
        <v>0</v>
      </c>
      <c r="FR33" s="688">
        <f>IF(AND(AND(Stamoplysninger!$B$26="Weekendtimer og weekendtillæg udbetales.",AA33="X",U33="ikke relevant")),(AC33+AN33)/2,0)</f>
        <v>0</v>
      </c>
      <c r="FS33" s="283">
        <f t="shared" si="15"/>
        <v>0</v>
      </c>
      <c r="FT33" s="658">
        <f t="shared" si="16"/>
        <v>0</v>
      </c>
      <c r="FU33">
        <f t="shared" si="31"/>
        <v>0</v>
      </c>
      <c r="FV33" s="283">
        <f>IF(AND(Stamoplysninger!$B$26="Der er indgået lokalaftale omkring weekendtimer.(Kræver aftale med TR/FSL) Weekendtillæg afspadseres.",I33="X"),K33,0)</f>
        <v>0</v>
      </c>
      <c r="FW33" s="674">
        <f>IF(AND(AND(Stamoplysninger!$B$26="Der er indgået lokalaftale omkring weekendtimer.(Kræver aftale med TR/FSL) Weekendtillæg afspadseres.",I33="X",C33="ikke relevant")),K33,0)</f>
        <v>0</v>
      </c>
      <c r="FX33" s="283">
        <f>IF(AND(Stamoplysninger!$B$26="Der er indgået lokalaftale omkring weekendtimer(Kræver aftale med TR/FSL). Weekendtillæg udbetales.",I33="X"),K33,0)</f>
        <v>0</v>
      </c>
      <c r="FY33" s="674">
        <f>IF(AND(AND(Stamoplysninger!$B$26="Der er indgået lokalaftale omkring weekendtimer(Kræver aftale med TR/FSL). Weekendtillæg udbetales.",I33="X",C33="ikke relevant")),K33,0)</f>
        <v>0</v>
      </c>
      <c r="FZ33" s="283">
        <f>IF(AND(Stamoplysninger!$B$26="Der er indgået lokalaftale omkring weekendtillæg(Kræver aftale med TR/FSL). Weekendtimerne udbetales.",I33="X"),K33,0)</f>
        <v>0</v>
      </c>
      <c r="GA33" s="674">
        <f>IF(AND(AND(Stamoplysninger!$B$26="Der er indgået lokalaftale omkring weekendtillæg(Kræver aftale med TR/FSL). Weekendtimerne udbetales.",I33="X",C33="ikke relevant")),K33,0)</f>
        <v>0</v>
      </c>
      <c r="GB33" s="283">
        <f>IF(AND(Stamoplysninger!$B$26="Der er indgået lokalaftale omkring weekendtimer og weekendtillæg.(Kræver aftale med TR/FSL).",I33="X"),K33,0)</f>
        <v>0</v>
      </c>
      <c r="GC33" s="674">
        <f>IF(AND(AND(Stamoplysninger!$B$26="Der er indgået lokalaftale omkring weekendtimer og weekendtillæg.(Kræver aftale med TR/FSL).",I33="X",C33="ikke relevant")),K33,0)</f>
        <v>0</v>
      </c>
    </row>
    <row r="34" spans="1:185">
      <c r="A34" s="245">
        <f t="shared" si="18"/>
        <v>26</v>
      </c>
      <c r="B34" s="128" t="str">
        <f t="shared" si="0"/>
        <v>sø</v>
      </c>
      <c r="C34" s="129" t="s">
        <v>120</v>
      </c>
      <c r="D34" s="130" t="str">
        <f t="shared" si="1"/>
        <v/>
      </c>
      <c r="E34" s="917"/>
      <c r="F34" s="918"/>
      <c r="G34" s="919"/>
      <c r="H34" s="298"/>
      <c r="I34" s="413"/>
      <c r="J34" s="413"/>
      <c r="K34" s="380"/>
      <c r="L34" s="380"/>
      <c r="M34" s="380"/>
      <c r="N34" s="318">
        <f t="shared" si="19"/>
        <v>0</v>
      </c>
      <c r="O34" s="318">
        <f t="shared" si="20"/>
        <v>0</v>
      </c>
      <c r="P34" s="318">
        <f>IF(Stamoplysninger!$H$29="JA",Januar!DG34,CX34)</f>
        <v>0</v>
      </c>
      <c r="Q34" s="318">
        <f t="shared" si="21"/>
        <v>0</v>
      </c>
      <c r="R34" s="319"/>
      <c r="S34" s="324"/>
      <c r="T34" s="325"/>
      <c r="U34" s="325"/>
      <c r="V34" s="435"/>
      <c r="W34" s="412"/>
      <c r="X34" s="642"/>
      <c r="Y34">
        <f t="shared" si="22"/>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9">
        <f t="shared" si="8"/>
        <v>0</v>
      </c>
      <c r="BC34" s="1">
        <f t="shared" si="24"/>
        <v>0</v>
      </c>
      <c r="BD34" s="1">
        <f t="shared" si="9"/>
        <v>0</v>
      </c>
      <c r="BE34" s="1">
        <f t="shared" si="10"/>
        <v>0</v>
      </c>
      <c r="BF34" s="1">
        <f t="shared" si="11"/>
        <v>0</v>
      </c>
      <c r="BG34" s="210" t="str">
        <f>IF(AND(C34="Skema 1",B34="ma"),Skemaoplysninger!$E$30,"")</f>
        <v/>
      </c>
      <c r="BH34" s="210" t="str">
        <f>IF(AND(C34="Skema 1",B34="ti"),Skemaoplysninger!$G$30,"")</f>
        <v/>
      </c>
      <c r="BI34" s="210" t="str">
        <f>IF(AND(C34="Skema 1",B34="on"),Skemaoplysninger!$I$30,"")</f>
        <v/>
      </c>
      <c r="BJ34" s="210" t="str">
        <f>IF(AND(C34="Skema 1",B34="to"),Skemaoplysninger!$K$30,"")</f>
        <v/>
      </c>
      <c r="BK34" s="210" t="str">
        <f>IF(AND(C34="Skema 1",B34="fr"),Skemaoplysninger!$M$30,"")</f>
        <v/>
      </c>
      <c r="BL34" s="210" t="str">
        <f>IF(AND(C34="Skema 2",B34="ma"),Skemaoplysninger!$S$30,"")</f>
        <v/>
      </c>
      <c r="BM34" s="210" t="str">
        <f>IF(AND(C34="Skema 2",B34="ti"),Skemaoplysninger!$U$30,"")</f>
        <v/>
      </c>
      <c r="BN34" s="210" t="str">
        <f>IF(AND(C34="Skema 2",B34="on"),Skemaoplysninger!$W$30,"")</f>
        <v/>
      </c>
      <c r="BO34" s="210" t="str">
        <f>IF(AND(C34="Skema 2",B34="to"),Skemaoplysninger!$Y$30,"")</f>
        <v/>
      </c>
      <c r="BP34" s="210" t="str">
        <f>IF(AND(C34="Skema 2",B34="fr"),Skemaoplysninger!$AA$30,"")</f>
        <v/>
      </c>
      <c r="BQ34" s="210" t="str">
        <f>IF(AND(C34="Skema 3",B34="ma"),Skemaoplysninger!$AG$30,"")</f>
        <v/>
      </c>
      <c r="BR34" s="210" t="str">
        <f>IF(AND(C34="Skema 3",B34="ti"),Skemaoplysninger!$AI$30,"")</f>
        <v/>
      </c>
      <c r="BS34" s="210" t="str">
        <f>IF(AND(C34="Skema 3",B34="on"),Skemaoplysninger!$AK$30,"")</f>
        <v/>
      </c>
      <c r="BT34" s="210" t="str">
        <f>IF(AND(C34="Skema 3",B34="to"),Skemaoplysninger!$AM$30,"")</f>
        <v/>
      </c>
      <c r="BU34" s="210" t="str">
        <f>IF(AND(C34="Skema 3",B34="fr"),Skemaoplysninger!$AO$30,"")</f>
        <v/>
      </c>
      <c r="BV34" s="210" t="str">
        <f>IF(AND(C34="Skema 4",B34="ma"),Skemaoplysninger!$AU$30,"")</f>
        <v/>
      </c>
      <c r="BW34" s="210" t="str">
        <f>IF(AND(C34="Skema 4",B34="ti"),Skemaoplysninger!$AW$30,"")</f>
        <v/>
      </c>
      <c r="BX34" s="210" t="str">
        <f>IF(AND(C34="Skema 4",B34="on"),Skemaoplysninger!$AY$30,"")</f>
        <v/>
      </c>
      <c r="BY34" s="210" t="str">
        <f>IF(AND(C34="Skema 4",B34="to"),Skemaoplysninger!$BA$30,"")</f>
        <v/>
      </c>
      <c r="BZ34" s="210" t="str">
        <f>IF(AND(C34="Skema 4",B34="fr"),Skemaoplysninger!$BC$30,"")</f>
        <v/>
      </c>
      <c r="CA34" s="1">
        <f t="shared" si="25"/>
        <v>0</v>
      </c>
      <c r="CB34" s="1">
        <f t="shared" si="12"/>
        <v>0</v>
      </c>
      <c r="CC34" s="1">
        <f t="shared" si="13"/>
        <v>0</v>
      </c>
      <c r="CD34" s="210" t="str">
        <f>IF(AND(C34="Skema 1",B34="ma"),Skemaoplysninger!$E$31,"")</f>
        <v/>
      </c>
      <c r="CE34" s="210" t="str">
        <f>IF(AND(C34="Skema 1",B34="ti"),Skemaoplysninger!$G$31,"")</f>
        <v/>
      </c>
      <c r="CF34" s="210" t="str">
        <f>IF(AND(C34="Skema 1",B34="on"),Skemaoplysninger!$I$31,"")</f>
        <v/>
      </c>
      <c r="CG34" s="210" t="str">
        <f>IF(AND(C34="Skema 1",B34="to"),Skemaoplysninger!$K$31,"")</f>
        <v/>
      </c>
      <c r="CH34" s="210" t="str">
        <f>IF(AND(C34="Skema 1",B34="fr"),Skemaoplysninger!$M$31,"")</f>
        <v/>
      </c>
      <c r="CI34" s="210" t="str">
        <f>IF(AND(C34="Skema 2",B34="ma"),Skemaoplysninger!$S$31,"")</f>
        <v/>
      </c>
      <c r="CJ34" s="210" t="str">
        <f>IF(AND(C34="Skema 2",B34="ti"),Skemaoplysninger!$U$31,"")</f>
        <v/>
      </c>
      <c r="CK34" s="210" t="str">
        <f>IF(AND(C34="Skema 2",B34="on"),Skemaoplysninger!$W$31,"")</f>
        <v/>
      </c>
      <c r="CL34" s="210" t="str">
        <f>IF(AND(C34="Skema 2",B34="to"),Skemaoplysninger!$Y$31,"")</f>
        <v/>
      </c>
      <c r="CM34" s="210" t="str">
        <f>IF(AND(C34="Skema 2",B34="fr"),Skemaoplysninger!$AA$31,"")</f>
        <v/>
      </c>
      <c r="CN34" s="210" t="str">
        <f>IF(AND(C34="Skema 3",B34="ma"),Skemaoplysninger!$AG$31,"")</f>
        <v/>
      </c>
      <c r="CO34" s="210" t="str">
        <f>IF(AND(C34="Skema 3",B34="ti"),Skemaoplysninger!$AI$31,"")</f>
        <v/>
      </c>
      <c r="CP34" s="210" t="str">
        <f>IF(AND(C34="Skema 3",B34="on"),Skemaoplysninger!$AK$31,"")</f>
        <v/>
      </c>
      <c r="CQ34" s="210" t="str">
        <f>IF(AND(C34="Skema 3",B34="to"),Skemaoplysninger!$AM$31,"")</f>
        <v/>
      </c>
      <c r="CR34" s="210" t="str">
        <f>IF(AND(C34="Skema 3",B34="fr"),Skemaoplysninger!$AO$31,"")</f>
        <v/>
      </c>
      <c r="CS34" s="210" t="str">
        <f>IF(AND(C34="Skema 4",B34="ma"),Skemaoplysninger!$AU$31,"")</f>
        <v/>
      </c>
      <c r="CT34" s="210" t="str">
        <f>IF(AND(C34="Skema 4",B34="ti"),Skemaoplysninger!$AW$31,"")</f>
        <v/>
      </c>
      <c r="CU34" s="210" t="str">
        <f>IF(AND(C34="Skema 4",B34="on"),Skemaoplysninger!$AY$31,"")</f>
        <v/>
      </c>
      <c r="CV34" s="210" t="str">
        <f>IF(AND(C34="Skema 4",B34="to"),Skemaoplysninger!$BA$31,"")</f>
        <v/>
      </c>
      <c r="CW34" s="210" t="str">
        <f>IF(AND(C34="Skema 4",B34="fr"),Skemaoplysninger!$BC$31,"")</f>
        <v/>
      </c>
      <c r="CX34" s="249">
        <f>IF(Stamoplysninger!$H$29="NEJ",SUM(CD34:CW34)*24+CB34+CC34,0)</f>
        <v>0</v>
      </c>
      <c r="CY34" s="249">
        <f>IF(C34="Skema 1",Stamoplysninger!$H$30/200,0)</f>
        <v>0</v>
      </c>
      <c r="CZ34" s="249">
        <f>IF(C34="Skema 2",Stamoplysninger!$H$30/200,0)</f>
        <v>0</v>
      </c>
      <c r="DA34" s="249">
        <f>IF(C34="Skema 3",Stamoplysninger!$H$30/200,0)</f>
        <v>0</v>
      </c>
      <c r="DB34" s="249">
        <f>IF(C34="Skema 4",Stamoplysninger!$H$30/200,0)</f>
        <v>0</v>
      </c>
      <c r="DC34" s="249">
        <f>IF(C34="fagdag",Stamoplysninger!$H$30/200,0)</f>
        <v>0</v>
      </c>
      <c r="DD34" s="249">
        <f>IF(C34="emnedag",Stamoplysninger!$H$30/200,0)</f>
        <v>0</v>
      </c>
      <c r="DE34" s="249">
        <f>IF(C34="lejrskole",Stamoplysninger!$H$30/200,0)</f>
        <v>0</v>
      </c>
      <c r="DF34" s="249">
        <f>IF(C34="ekskursion",Stamoplysninger!$H$30/200,0)</f>
        <v>0</v>
      </c>
      <c r="DG34" s="249">
        <f t="shared" si="26"/>
        <v>0</v>
      </c>
      <c r="DH34" t="str">
        <f t="shared" si="27"/>
        <v/>
      </c>
      <c r="DI34">
        <f t="shared" si="28"/>
        <v>0</v>
      </c>
      <c r="DJ34">
        <f t="shared" si="29"/>
        <v>0</v>
      </c>
      <c r="DK34" t="str">
        <f t="shared" si="14"/>
        <v/>
      </c>
      <c r="DL34" t="str">
        <f t="shared" si="14"/>
        <v/>
      </c>
      <c r="DM34" t="str">
        <f t="shared" si="14"/>
        <v/>
      </c>
      <c r="DN34" t="str">
        <f t="shared" si="30"/>
        <v/>
      </c>
      <c r="DO34" s="652">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71">
        <f>IF(AND(Stamoplysninger!$B$22="Ulempetillæg udbetales med 25% af nettotimelønnen.",C34="ikke relevant"),(R34)/4,0)</f>
        <v>0</v>
      </c>
      <c r="DT34" s="671">
        <f>IF(AND(AND(Stamoplysninger!$B$22="Ulempetillæg udbetales med 25% af nettotimelønnen.",I34="X",C34="Ikke relevant")),K34/4,0)</f>
        <v>0</v>
      </c>
      <c r="DU34" s="671">
        <f>IF(AND(AND(Stamoplysninger!$B$22="Ulempetillæg udbetales med 25% af nettotimelønnen.",C34="ikke relevant",U34="X")),(X34/4),0)</f>
        <v>0</v>
      </c>
      <c r="DV34" s="672">
        <f>IF(AND(AND(AND(Stamoplysninger!$B$22="Ulempetillæg udbetales med 25% af nettotimelønnen.",I34="X",C34="Ikke relevant",S34="X"))),V34/4,0)</f>
        <v>0</v>
      </c>
      <c r="DW34" s="652"/>
      <c r="DZ34" s="671"/>
      <c r="EA34" s="671"/>
      <c r="EB34" s="672"/>
      <c r="EC34" s="652">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71">
        <f>IF(AND(Stamoplysninger!$B$22="Ulempetillæg afspadseres med 25%(Kræver en aftale imellem ledelsen og den ansatte)",C34="ikke relevant"),(R34)/4,0)</f>
        <v>0</v>
      </c>
      <c r="EH34" s="671">
        <f>IF(AND(AND(Stamoplysninger!$B$22="Ulempetillæg afspadseres med 25%(Kræver en aftale imellem ledelsen og den ansatte)",I34="X",C34="Ikke relevant")),K34/4,0)</f>
        <v>0</v>
      </c>
      <c r="EI34" s="671">
        <f>IF(AND(AND(Stamoplysninger!$B$22="Ulempetillæg afspadseres med 25%(Kræver en aftale imellem ledelsen og den ansatte)",U34="X",C34="Ikke relevant")),X34/4,0)</f>
        <v>0</v>
      </c>
      <c r="EJ34" s="671">
        <f>IF(AND(AND(AND(Stamoplysninger!$B$22="Ulempetillæg afspadseres med 25%(Kræver en aftale imellem ledelsen og den ansatte)",I34="X",C34="Ikke relevant",S34="X"))),V34/4,0)</f>
        <v>0</v>
      </c>
      <c r="EK34" s="283">
        <f>IF(AND(Stamoplysninger!$B$26="Weekendtimer og weekendtillæg afspadseres.",I34="X"),K34*1.5,0)</f>
        <v>0</v>
      </c>
      <c r="EL34" s="251">
        <f>IF(AND(AND(Stamoplysninger!$B$26="Weekendtimer og weekendtillæg afspadseres.",I34="X",S34="X")),V34*1.5,0)</f>
        <v>0</v>
      </c>
      <c r="EM34" s="674">
        <f>IF(AND(AND(Stamoplysninger!$B$26="Weekendtimer og weekendtillæg afspadseres.",I34="X",C34="ikke relevant")),K34*1.5,0)</f>
        <v>0</v>
      </c>
      <c r="EN34" s="675">
        <f>IF(AND(AND(AND(Stamoplysninger!$B$26="Weekendtimer og weekendtillæg afspadseres.",I34="X",C34="ikke relevant",S34="X"))),(V34*1.5),0)</f>
        <v>0</v>
      </c>
      <c r="EO34" s="283">
        <f>IF(AND(Stamoplysninger!$B$26="Weekendtimer og weekendtillæg udbetales.",I34="X"),K34*1.5,0)</f>
        <v>0</v>
      </c>
      <c r="EP34" s="251">
        <f>IF(AND(AND(Stamoplysninger!$B$26="Weekendtimer og weekendtillæg udbetales.",I34="X",S34="X")),V34*1.5,0)</f>
        <v>0</v>
      </c>
      <c r="EQ34" s="674">
        <f>IF(AND(AND(Stamoplysninger!$B$26="Weekendtimer og weekendtillæg udbetales.",I34="X",C34="ikke relevant")),K34*1.5,0)</f>
        <v>0</v>
      </c>
      <c r="ER34" s="675">
        <f>IF(AND(AND(AND(Stamoplysninger!$B$26="Weekendtimer og weekendtillæg udbetales.",I34="X",C34="ikke relevant",S34="X"))),(V34*1.5),0)</f>
        <v>0</v>
      </c>
      <c r="ES34" s="283">
        <f>IF(AND(Stamoplysninger!$B$26="Der er indgået lokalaftale omkring weekendtimer.(Kræver aftale med TR/FSL) Weekendtillæg afspadseres.",I34="X"),K34*0.5,0)</f>
        <v>0</v>
      </c>
      <c r="ET34" s="251">
        <f>IF(AND(AND(Stamoplysninger!$B$26="Der er indgået lokalaftale omkring weekendtimer.(Kræver aftale med TR/FSL) Weekendtillæg afspadseres.",I34="X",S34="X")),V34*0.5,0)</f>
        <v>0</v>
      </c>
      <c r="EU34" s="674">
        <f>IF(AND(AND(Stamoplysninger!$B$26="Der er indgået lokalaftale omkring weekendtimer.(Kræver aftale med TR/FSL) Weekendtillæg afspadseres.",I34="X",C34="ikke relevant")),K34*0.5,0)</f>
        <v>0</v>
      </c>
      <c r="EV34" s="675">
        <f>IF(AND(AND(AND(Stamoplysninger!$B$26="Der er indgået lokalaftale omkring weekendtimer.(Kræver aftale med TR/FSL) Weekendtillæg afspadseres.",I34="X",C34="ikke relevant",S34="X"))),(V34*0.5),0)</f>
        <v>0</v>
      </c>
      <c r="EW34" s="283">
        <f>IF(AND(Stamoplysninger!$B$26="Der er indgået lokalaftale omkring weekendtimer(Kræver aftale med TR/FSL). Weekendtillæg udbetales.",I34="X"),K34*0.5,0)</f>
        <v>0</v>
      </c>
      <c r="EX34" s="251">
        <f>IF(AND(AND(Stamoplysninger!$B$26="Der er indgået lokalaftale omkring weekendtimer(Kræver aftale med TR/FSL). Weekendtillæg udbetales.",I34="X",S34="X")),V34*0.5,0)</f>
        <v>0</v>
      </c>
      <c r="EY34" s="674">
        <f>IF(AND(AND(Stamoplysninger!$B$26="Der er indgået lokalaftale omkring weekendtimer(Kræver aftale med TR/FSL). Weekendtillæg udbetales.",I34="X",C34="ikke relevant")),K34*0.5,0)</f>
        <v>0</v>
      </c>
      <c r="EZ34" s="675">
        <f>IF(AND(AND(AND(Stamoplysninger!$B$26="Der er indgået lokalaftale omkring weekendtimer(Kræver aftale med TR/FSL). Weekendtillæg udbetales.",I34="X",C34="ikke relevant",S34="X"))),(V34*0.5),0)</f>
        <v>0</v>
      </c>
      <c r="FA34" s="283">
        <f>IF(AND(Stamoplysninger!$B$26="Der er indgået lokalaftale omkring weekendtillæg(Kræver aftale med TR/FSL). Weekendtimerne afspadseres.",I34="X"),K34,0)</f>
        <v>0</v>
      </c>
      <c r="FB34" s="251">
        <f>IF(AND(AND(Stamoplysninger!$B$26="Der er indgået lokalaftale omkring weekendtillæg(Kræver aftale med TR/FSL). Weekendtimerne afspadseres.",I34="X",S34="X")),V34,0)</f>
        <v>0</v>
      </c>
      <c r="FC34" s="674">
        <f>IF(AND(AND(Stamoplysninger!$B$26="Der er indgået lokalaftale omkring weekendtillæg(Kræver aftale med TR/FSL). Weekendtimerne afspadseres..",I34="X",C34="ikke relevant")),K34,0)</f>
        <v>0</v>
      </c>
      <c r="FD34" s="675">
        <f>IF(AND(AND(AND(Stamoplysninger!$B$26="Der er indgået lokalaftale omkring weekendtillæg(Kræver aftale med TR/FSL). Weekendtimerne afspadseres.",I34="X",C34="ikke relevant",S34="X"))),(V34),0)</f>
        <v>0</v>
      </c>
      <c r="FE34" s="283">
        <f>IF(AND(Stamoplysninger!$B$26="Der er indgået lokalaftale omkring weekendtillæg(Kræver aftale med TR/FSL). Weekendtimerne udbetales.",I34="X"),K34,0)</f>
        <v>0</v>
      </c>
      <c r="FF34" s="251">
        <f>IF(AND(AND(Stamoplysninger!$B$26="Der er indgået lokalaftale omkring weekendtillæg(Kræver aftale med TR/FSL). Weekendtimerne udbetales.",I34="X",S34="X")),V34,0)</f>
        <v>0</v>
      </c>
      <c r="FG34" s="674">
        <f>IF(AND(AND(Stamoplysninger!$B$26="Der er indgået lokalaftale omkring weekendtillæg(Kræver aftale med TR/FSL). Weekendtimerne udbetales.",I34="X",C34="ikke relevant")),K34,0)</f>
        <v>0</v>
      </c>
      <c r="FH34" s="675">
        <f>IF(AND(AND(AND(Stamoplysninger!$B$26="Der er indgået lokalaftale omkring weekendtillæg(Kræver aftale med TR/FSL). Weekendtimerne udbetales.",I34="X",C34="ikke relevant",S34="X"))),(V34),0)</f>
        <v>0</v>
      </c>
      <c r="FI34" s="283">
        <f>IF(AND(Stamoplysninger!$B$26="Weekendtimer og weekendtillæg afspadseres.",I34="X"),K34,0)</f>
        <v>0</v>
      </c>
      <c r="FJ34" s="251">
        <f>IF(AND(Stamoplysninger!$B$26="Weekendtimer og weekendtillæg afspadseres.",Y34="X"),(AA34+AL34)/2,0)</f>
        <v>0</v>
      </c>
      <c r="FK34" s="674">
        <f>IF(AND(AND(Stamoplysninger!$B$26="Weekendtimer og weekendtillæg afspadseres.",I34="X",C34="ikke relevant")),K34,0)</f>
        <v>0</v>
      </c>
      <c r="FL34" s="675">
        <f>IF(AND(AND(Stamoplysninger!$B$26="Weekendtimer og weekendtillæg afspadseres.",Y34="X",S34="ikke relevant")),(AA34+AL34)/2,0)</f>
        <v>0</v>
      </c>
      <c r="FM34" s="283">
        <f>IF(AND(Stamoplysninger!$B$26="Der er indgået lokalaftale omkring weekendtillæg(Kræver aftale med TR/FSL). Weekendtimerne afspadseres.",I34="X"),K34,0)</f>
        <v>0</v>
      </c>
      <c r="FN34" s="674">
        <f>IF(AND(AND(Stamoplysninger!$B$26="Der er indgået lokalaftale omkring weekendtillæg(Kræver aftale med TR/FSL). Weekendtimerne afspadseres.",I34="X",C34="ikke relevant")),K34,0)</f>
        <v>0</v>
      </c>
      <c r="FO34" s="283">
        <f>IF(AND(Stamoplysninger!$B$26="Weekendtimer og weekendtillæg udbetales.",I34="X"),K34,0)</f>
        <v>0</v>
      </c>
      <c r="FP34" s="251">
        <f>IF(AND(Stamoplysninger!$B$26="Weekendtimer og weekendtillæg udbetales.",AA34="X"),(AC34+AN34)/2,0)</f>
        <v>0</v>
      </c>
      <c r="FQ34" s="674">
        <f>IF(AND(AND(Stamoplysninger!$B$26="Weekendtimer og weekendtillæg udbetales.",I34="X",C34="ikke relevant")),K34,0)</f>
        <v>0</v>
      </c>
      <c r="FR34" s="688">
        <f>IF(AND(AND(Stamoplysninger!$B$26="Weekendtimer og weekendtillæg udbetales.",AA34="X",U34="ikke relevant")),(AC34+AN34)/2,0)</f>
        <v>0</v>
      </c>
      <c r="FS34" s="283">
        <f t="shared" si="15"/>
        <v>0</v>
      </c>
      <c r="FT34" s="658">
        <f t="shared" si="16"/>
        <v>0</v>
      </c>
      <c r="FU34">
        <f>IF(AND(C34="weekend",I34="X"),K34,0)</f>
        <v>0</v>
      </c>
      <c r="FV34" s="283">
        <f>IF(AND(Stamoplysninger!$B$26="Der er indgået lokalaftale omkring weekendtimer.(Kræver aftale med TR/FSL) Weekendtillæg afspadseres.",I34="X"),K34,0)</f>
        <v>0</v>
      </c>
      <c r="FW34" s="674">
        <f>IF(AND(AND(Stamoplysninger!$B$26="Der er indgået lokalaftale omkring weekendtimer.(Kræver aftale med TR/FSL) Weekendtillæg afspadseres.",I34="X",C34="ikke relevant")),K34,0)</f>
        <v>0</v>
      </c>
      <c r="FX34" s="283">
        <f>IF(AND(Stamoplysninger!$B$26="Der er indgået lokalaftale omkring weekendtimer(Kræver aftale med TR/FSL). Weekendtillæg udbetales.",I34="X"),K34,0)</f>
        <v>0</v>
      </c>
      <c r="FY34" s="674">
        <f>IF(AND(AND(Stamoplysninger!$B$26="Der er indgået lokalaftale omkring weekendtimer(Kræver aftale med TR/FSL). Weekendtillæg udbetales.",I34="X",C34="ikke relevant")),K34,0)</f>
        <v>0</v>
      </c>
      <c r="FZ34" s="283">
        <f>IF(AND(Stamoplysninger!$B$26="Der er indgået lokalaftale omkring weekendtillæg(Kræver aftale med TR/FSL). Weekendtimerne udbetales.",I34="X"),K34,0)</f>
        <v>0</v>
      </c>
      <c r="GA34" s="674">
        <f>IF(AND(AND(Stamoplysninger!$B$26="Der er indgået lokalaftale omkring weekendtillæg(Kræver aftale med TR/FSL). Weekendtimerne udbetales.",I34="X",C34="ikke relevant")),K34,0)</f>
        <v>0</v>
      </c>
      <c r="GB34" s="283">
        <f>IF(AND(Stamoplysninger!$B$26="Der er indgået lokalaftale omkring weekendtimer og weekendtillæg.(Kræver aftale med TR/FSL).",I34="X"),K34,0)</f>
        <v>0</v>
      </c>
      <c r="GC34" s="674">
        <f>IF(AND(AND(Stamoplysninger!$B$26="Der er indgået lokalaftale omkring weekendtimer og weekendtillæg.(Kræver aftale med TR/FSL).",I34="X",C34="ikke relevant")),K34,0)</f>
        <v>0</v>
      </c>
    </row>
    <row r="35" spans="1:185">
      <c r="A35" s="245">
        <f t="shared" si="18"/>
        <v>27</v>
      </c>
      <c r="B35" s="128" t="str">
        <f t="shared" si="0"/>
        <v>ma</v>
      </c>
      <c r="C35" s="129" t="s">
        <v>207</v>
      </c>
      <c r="D35" s="130">
        <f t="shared" si="1"/>
        <v>4.7142857142857144</v>
      </c>
      <c r="E35" s="917"/>
      <c r="F35" s="918"/>
      <c r="G35" s="919"/>
      <c r="H35" s="298"/>
      <c r="I35" s="527"/>
      <c r="J35" s="413"/>
      <c r="K35" s="380"/>
      <c r="L35" s="380"/>
      <c r="M35" s="380"/>
      <c r="N35" s="318">
        <f t="shared" si="19"/>
        <v>7.75</v>
      </c>
      <c r="O35" s="318">
        <f t="shared" si="20"/>
        <v>3.4999999999999996</v>
      </c>
      <c r="P35" s="318">
        <f>IF(Stamoplysninger!$H$29="JA",Januar!DG35,CX35)</f>
        <v>1</v>
      </c>
      <c r="Q35" s="318">
        <f t="shared" si="21"/>
        <v>3.25</v>
      </c>
      <c r="R35" s="319"/>
      <c r="S35" s="324"/>
      <c r="T35" s="325"/>
      <c r="U35" s="325"/>
      <c r="V35" s="435"/>
      <c r="W35" s="412"/>
      <c r="X35" s="642"/>
      <c r="Y35">
        <f t="shared" si="22"/>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f>IF(AND(C35="Skema 2",B35="ma"),Arbejdstidsoversigt!$E$81,"")</f>
        <v>7.75</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7.75</v>
      </c>
      <c r="BB35" s="229">
        <f t="shared" si="8"/>
        <v>0</v>
      </c>
      <c r="BC35" s="1">
        <f t="shared" si="24"/>
        <v>0</v>
      </c>
      <c r="BD35" s="1">
        <f t="shared" si="9"/>
        <v>0</v>
      </c>
      <c r="BE35" s="1">
        <f t="shared" si="10"/>
        <v>0</v>
      </c>
      <c r="BF35" s="1">
        <f t="shared" si="11"/>
        <v>0</v>
      </c>
      <c r="BG35" s="210" t="str">
        <f>IF(AND(C35="Skema 1",B35="ma"),Skemaoplysninger!$E$30,"")</f>
        <v/>
      </c>
      <c r="BH35" s="210" t="str">
        <f>IF(AND(C35="Skema 1",B35="ti"),Skemaoplysninger!$G$30,"")</f>
        <v/>
      </c>
      <c r="BI35" s="210" t="str">
        <f>IF(AND(C35="Skema 1",B35="on"),Skemaoplysninger!$I$30,"")</f>
        <v/>
      </c>
      <c r="BJ35" s="210" t="str">
        <f>IF(AND(C35="Skema 1",B35="to"),Skemaoplysninger!$K$30,"")</f>
        <v/>
      </c>
      <c r="BK35" s="210" t="str">
        <f>IF(AND(C35="Skema 1",B35="fr"),Skemaoplysninger!$M$30,"")</f>
        <v/>
      </c>
      <c r="BL35" s="210">
        <f>IF(AND(C35="Skema 2",B35="ma"),Skemaoplysninger!$S$30,"")</f>
        <v>0.14583333333333331</v>
      </c>
      <c r="BM35" s="210" t="str">
        <f>IF(AND(C35="Skema 2",B35="ti"),Skemaoplysninger!$U$30,"")</f>
        <v/>
      </c>
      <c r="BN35" s="210" t="str">
        <f>IF(AND(C35="Skema 2",B35="on"),Skemaoplysninger!$W$30,"")</f>
        <v/>
      </c>
      <c r="BO35" s="210" t="str">
        <f>IF(AND(C35="Skema 2",B35="to"),Skemaoplysninger!$Y$30,"")</f>
        <v/>
      </c>
      <c r="BP35" s="210" t="str">
        <f>IF(AND(C35="Skema 2",B35="fr"),Skemaoplysninger!$AA$30,"")</f>
        <v/>
      </c>
      <c r="BQ35" s="210" t="str">
        <f>IF(AND(C35="Skema 3",B35="ma"),Skemaoplysninger!$AG$30,"")</f>
        <v/>
      </c>
      <c r="BR35" s="210" t="str">
        <f>IF(AND(C35="Skema 3",B35="ti"),Skemaoplysninger!$AI$30,"")</f>
        <v/>
      </c>
      <c r="BS35" s="210" t="str">
        <f>IF(AND(C35="Skema 3",B35="on"),Skemaoplysninger!$AK$30,"")</f>
        <v/>
      </c>
      <c r="BT35" s="210" t="str">
        <f>IF(AND(C35="Skema 3",B35="to"),Skemaoplysninger!$AM$30,"")</f>
        <v/>
      </c>
      <c r="BU35" s="210" t="str">
        <f>IF(AND(C35="Skema 3",B35="fr"),Skemaoplysninger!$AO$30,"")</f>
        <v/>
      </c>
      <c r="BV35" s="210" t="str">
        <f>IF(AND(C35="Skema 4",B35="ma"),Skemaoplysninger!$AU$30,"")</f>
        <v/>
      </c>
      <c r="BW35" s="210" t="str">
        <f>IF(AND(C35="Skema 4",B35="ti"),Skemaoplysninger!$AW$30,"")</f>
        <v/>
      </c>
      <c r="BX35" s="210" t="str">
        <f>IF(AND(C35="Skema 4",B35="on"),Skemaoplysninger!$AY$30,"")</f>
        <v/>
      </c>
      <c r="BY35" s="210" t="str">
        <f>IF(AND(C35="Skema 4",B35="to"),Skemaoplysninger!$BA$30,"")</f>
        <v/>
      </c>
      <c r="BZ35" s="210" t="str">
        <f>IF(AND(C35="Skema 4",B35="fr"),Skemaoplysninger!$BC$30,"")</f>
        <v/>
      </c>
      <c r="CA35" s="1">
        <f t="shared" si="25"/>
        <v>3.4999999999999996</v>
      </c>
      <c r="CB35" s="1">
        <f t="shared" si="12"/>
        <v>0</v>
      </c>
      <c r="CC35" s="1">
        <f t="shared" si="13"/>
        <v>0</v>
      </c>
      <c r="CD35" s="210" t="str">
        <f>IF(AND(C35="Skema 1",B35="ma"),Skemaoplysninger!$E$31,"")</f>
        <v/>
      </c>
      <c r="CE35" s="210" t="str">
        <f>IF(AND(C35="Skema 1",B35="ti"),Skemaoplysninger!$G$31,"")</f>
        <v/>
      </c>
      <c r="CF35" s="210" t="str">
        <f>IF(AND(C35="Skema 1",B35="on"),Skemaoplysninger!$I$31,"")</f>
        <v/>
      </c>
      <c r="CG35" s="210" t="str">
        <f>IF(AND(C35="Skema 1",B35="to"),Skemaoplysninger!$K$31,"")</f>
        <v/>
      </c>
      <c r="CH35" s="210" t="str">
        <f>IF(AND(C35="Skema 1",B35="fr"),Skemaoplysninger!$M$31,"")</f>
        <v/>
      </c>
      <c r="CI35" s="210">
        <f>IF(AND(C35="Skema 2",B35="ma"),Skemaoplysninger!$S$31,"")</f>
        <v>4.1666666666666671E-2</v>
      </c>
      <c r="CJ35" s="210" t="str">
        <f>IF(AND(C35="Skema 2",B35="ti"),Skemaoplysninger!$U$31,"")</f>
        <v/>
      </c>
      <c r="CK35" s="210" t="str">
        <f>IF(AND(C35="Skema 2",B35="on"),Skemaoplysninger!$W$31,"")</f>
        <v/>
      </c>
      <c r="CL35" s="210" t="str">
        <f>IF(AND(C35="Skema 2",B35="to"),Skemaoplysninger!$Y$31,"")</f>
        <v/>
      </c>
      <c r="CM35" s="210" t="str">
        <f>IF(AND(C35="Skema 2",B35="fr"),Skemaoplysninger!$AA$31,"")</f>
        <v/>
      </c>
      <c r="CN35" s="210" t="str">
        <f>IF(AND(C35="Skema 3",B35="ma"),Skemaoplysninger!$AG$31,"")</f>
        <v/>
      </c>
      <c r="CO35" s="210" t="str">
        <f>IF(AND(C35="Skema 3",B35="ti"),Skemaoplysninger!$AI$31,"")</f>
        <v/>
      </c>
      <c r="CP35" s="210" t="str">
        <f>IF(AND(C35="Skema 3",B35="on"),Skemaoplysninger!$AK$31,"")</f>
        <v/>
      </c>
      <c r="CQ35" s="210" t="str">
        <f>IF(AND(C35="Skema 3",B35="to"),Skemaoplysninger!$AM$31,"")</f>
        <v/>
      </c>
      <c r="CR35" s="210" t="str">
        <f>IF(AND(C35="Skema 3",B35="fr"),Skemaoplysninger!$AO$31,"")</f>
        <v/>
      </c>
      <c r="CS35" s="210" t="str">
        <f>IF(AND(C35="Skema 4",B35="ma"),Skemaoplysninger!$AU$31,"")</f>
        <v/>
      </c>
      <c r="CT35" s="210" t="str">
        <f>IF(AND(C35="Skema 4",B35="ti"),Skemaoplysninger!$AW$31,"")</f>
        <v/>
      </c>
      <c r="CU35" s="210" t="str">
        <f>IF(AND(C35="Skema 4",B35="on"),Skemaoplysninger!$AY$31,"")</f>
        <v/>
      </c>
      <c r="CV35" s="210" t="str">
        <f>IF(AND(C35="Skema 4",B35="to"),Skemaoplysninger!$BA$31,"")</f>
        <v/>
      </c>
      <c r="CW35" s="210" t="str">
        <f>IF(AND(C35="Skema 4",B35="fr"),Skemaoplysninger!$BC$31,"")</f>
        <v/>
      </c>
      <c r="CX35" s="249">
        <f>IF(Stamoplysninger!$H$29="NEJ",SUM(CD35:CW35)*24+CB35+CC35,0)</f>
        <v>1</v>
      </c>
      <c r="CY35" s="249">
        <f>IF(C35="Skema 1",Stamoplysninger!$H$30/200,0)</f>
        <v>0</v>
      </c>
      <c r="CZ35" s="249">
        <f>IF(C35="Skema 2",Stamoplysninger!$H$30/200,0)</f>
        <v>0</v>
      </c>
      <c r="DA35" s="249">
        <f>IF(C35="Skema 3",Stamoplysninger!$H$30/200,0)</f>
        <v>0</v>
      </c>
      <c r="DB35" s="249">
        <f>IF(C35="Skema 4",Stamoplysninger!$H$30/200,0)</f>
        <v>0</v>
      </c>
      <c r="DC35" s="249">
        <f>IF(C35="fagdag",Stamoplysninger!$H$30/200,0)</f>
        <v>0</v>
      </c>
      <c r="DD35" s="249">
        <f>IF(C35="emnedag",Stamoplysninger!$H$30/200,0)</f>
        <v>0</v>
      </c>
      <c r="DE35" s="249">
        <f>IF(C35="lejrskole",Stamoplysninger!$H$30/200,0)</f>
        <v>0</v>
      </c>
      <c r="DF35" s="249">
        <f>IF(C35="ekskursion",Stamoplysninger!$H$30/200,0)</f>
        <v>0</v>
      </c>
      <c r="DG35" s="249">
        <f t="shared" si="26"/>
        <v>0</v>
      </c>
      <c r="DH35" t="str">
        <f t="shared" si="27"/>
        <v/>
      </c>
      <c r="DI35">
        <f t="shared" si="28"/>
        <v>0</v>
      </c>
      <c r="DJ35">
        <f t="shared" si="29"/>
        <v>0</v>
      </c>
      <c r="DK35" t="str">
        <f t="shared" si="14"/>
        <v/>
      </c>
      <c r="DL35" t="str">
        <f t="shared" si="14"/>
        <v/>
      </c>
      <c r="DM35" t="str">
        <f t="shared" si="14"/>
        <v/>
      </c>
      <c r="DN35" t="str">
        <f t="shared" si="30"/>
        <v/>
      </c>
      <c r="DO35" s="652">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71">
        <f>IF(AND(Stamoplysninger!$B$22="Ulempetillæg udbetales med 25% af nettotimelønnen.",C35="ikke relevant"),(R35)/4,0)</f>
        <v>0</v>
      </c>
      <c r="DT35" s="671">
        <f>IF(AND(AND(Stamoplysninger!$B$22="Ulempetillæg udbetales med 25% af nettotimelønnen.",I35="X",C35="Ikke relevant")),K35/4,0)</f>
        <v>0</v>
      </c>
      <c r="DU35" s="671">
        <f>IF(AND(AND(Stamoplysninger!$B$22="Ulempetillæg udbetales med 25% af nettotimelønnen.",C35="ikke relevant",U35="X")),(X35/4),0)</f>
        <v>0</v>
      </c>
      <c r="DV35" s="672">
        <f>IF(AND(AND(AND(Stamoplysninger!$B$22="Ulempetillæg udbetales med 25% af nettotimelønnen.",I35="X",C35="Ikke relevant",S35="X"))),V35/4,0)</f>
        <v>0</v>
      </c>
      <c r="DW35" s="652"/>
      <c r="DZ35" s="671"/>
      <c r="EA35" s="671"/>
      <c r="EB35" s="672"/>
      <c r="EC35" s="652">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71">
        <f>IF(AND(Stamoplysninger!$B$22="Ulempetillæg afspadseres med 25%(Kræver en aftale imellem ledelsen og den ansatte)",C35="ikke relevant"),(R35)/4,0)</f>
        <v>0</v>
      </c>
      <c r="EH35" s="671">
        <f>IF(AND(AND(Stamoplysninger!$B$22="Ulempetillæg afspadseres med 25%(Kræver en aftale imellem ledelsen og den ansatte)",I35="X",C35="Ikke relevant")),K35/4,0)</f>
        <v>0</v>
      </c>
      <c r="EI35" s="671">
        <f>IF(AND(AND(Stamoplysninger!$B$22="Ulempetillæg afspadseres med 25%(Kræver en aftale imellem ledelsen og den ansatte)",U35="X",C35="Ikke relevant")),X35/4,0)</f>
        <v>0</v>
      </c>
      <c r="EJ35" s="671">
        <f>IF(AND(AND(AND(Stamoplysninger!$B$22="Ulempetillæg afspadseres med 25%(Kræver en aftale imellem ledelsen og den ansatte)",I35="X",C35="Ikke relevant",S35="X"))),V35/4,0)</f>
        <v>0</v>
      </c>
      <c r="EK35" s="283">
        <f>IF(AND(Stamoplysninger!$B$26="Weekendtimer og weekendtillæg afspadseres.",I35="X"),K35*1.5,0)</f>
        <v>0</v>
      </c>
      <c r="EL35" s="251">
        <f>IF(AND(AND(Stamoplysninger!$B$26="Weekendtimer og weekendtillæg afspadseres.",I35="X",S35="X")),V35*1.5,0)</f>
        <v>0</v>
      </c>
      <c r="EM35" s="674">
        <f>IF(AND(AND(Stamoplysninger!$B$26="Weekendtimer og weekendtillæg afspadseres.",I35="X",C35="ikke relevant")),K35*1.5,0)</f>
        <v>0</v>
      </c>
      <c r="EN35" s="675">
        <f>IF(AND(AND(AND(Stamoplysninger!$B$26="Weekendtimer og weekendtillæg afspadseres.",I35="X",C35="ikke relevant",S35="X"))),(V35*1.5),0)</f>
        <v>0</v>
      </c>
      <c r="EO35" s="283">
        <f>IF(AND(Stamoplysninger!$B$26="Weekendtimer og weekendtillæg udbetales.",I35="X"),K35*1.5,0)</f>
        <v>0</v>
      </c>
      <c r="EP35" s="251">
        <f>IF(AND(AND(Stamoplysninger!$B$26="Weekendtimer og weekendtillæg udbetales.",I35="X",S35="X")),V35*1.5,0)</f>
        <v>0</v>
      </c>
      <c r="EQ35" s="674">
        <f>IF(AND(AND(Stamoplysninger!$B$26="Weekendtimer og weekendtillæg udbetales.",I35="X",C35="ikke relevant")),K35*1.5,0)</f>
        <v>0</v>
      </c>
      <c r="ER35" s="675">
        <f>IF(AND(AND(AND(Stamoplysninger!$B$26="Weekendtimer og weekendtillæg udbetales.",I35="X",C35="ikke relevant",S35="X"))),(V35*1.5),0)</f>
        <v>0</v>
      </c>
      <c r="ES35" s="283">
        <f>IF(AND(Stamoplysninger!$B$26="Der er indgået lokalaftale omkring weekendtimer.(Kræver aftale med TR/FSL) Weekendtillæg afspadseres.",I35="X"),K35*0.5,0)</f>
        <v>0</v>
      </c>
      <c r="ET35" s="251">
        <f>IF(AND(AND(Stamoplysninger!$B$26="Der er indgået lokalaftale omkring weekendtimer.(Kræver aftale med TR/FSL) Weekendtillæg afspadseres.",I35="X",S35="X")),V35*0.5,0)</f>
        <v>0</v>
      </c>
      <c r="EU35" s="674">
        <f>IF(AND(AND(Stamoplysninger!$B$26="Der er indgået lokalaftale omkring weekendtimer.(Kræver aftale med TR/FSL) Weekendtillæg afspadseres.",I35="X",C35="ikke relevant")),K35*0.5,0)</f>
        <v>0</v>
      </c>
      <c r="EV35" s="675">
        <f>IF(AND(AND(AND(Stamoplysninger!$B$26="Der er indgået lokalaftale omkring weekendtimer.(Kræver aftale med TR/FSL) Weekendtillæg afspadseres.",I35="X",C35="ikke relevant",S35="X"))),(V35*0.5),0)</f>
        <v>0</v>
      </c>
      <c r="EW35" s="283">
        <f>IF(AND(Stamoplysninger!$B$26="Der er indgået lokalaftale omkring weekendtimer(Kræver aftale med TR/FSL). Weekendtillæg udbetales.",I35="X"),K35*0.5,0)</f>
        <v>0</v>
      </c>
      <c r="EX35" s="251">
        <f>IF(AND(AND(Stamoplysninger!$B$26="Der er indgået lokalaftale omkring weekendtimer(Kræver aftale med TR/FSL). Weekendtillæg udbetales.",I35="X",S35="X")),V35*0.5,0)</f>
        <v>0</v>
      </c>
      <c r="EY35" s="674">
        <f>IF(AND(AND(Stamoplysninger!$B$26="Der er indgået lokalaftale omkring weekendtimer(Kræver aftale med TR/FSL). Weekendtillæg udbetales.",I35="X",C35="ikke relevant")),K35*0.5,0)</f>
        <v>0</v>
      </c>
      <c r="EZ35" s="675">
        <f>IF(AND(AND(AND(Stamoplysninger!$B$26="Der er indgået lokalaftale omkring weekendtimer(Kræver aftale med TR/FSL). Weekendtillæg udbetales.",I35="X",C35="ikke relevant",S35="X"))),(V35*0.5),0)</f>
        <v>0</v>
      </c>
      <c r="FA35" s="283">
        <f>IF(AND(Stamoplysninger!$B$26="Der er indgået lokalaftale omkring weekendtillæg(Kræver aftale med TR/FSL). Weekendtimerne afspadseres.",I35="X"),K35,0)</f>
        <v>0</v>
      </c>
      <c r="FB35" s="251">
        <f>IF(AND(AND(Stamoplysninger!$B$26="Der er indgået lokalaftale omkring weekendtillæg(Kræver aftale med TR/FSL). Weekendtimerne afspadseres.",I35="X",S35="X")),V35,0)</f>
        <v>0</v>
      </c>
      <c r="FC35" s="674">
        <f>IF(AND(AND(Stamoplysninger!$B$26="Der er indgået lokalaftale omkring weekendtillæg(Kræver aftale med TR/FSL). Weekendtimerne afspadseres..",I35="X",C35="ikke relevant")),K35,0)</f>
        <v>0</v>
      </c>
      <c r="FD35" s="675">
        <f>IF(AND(AND(AND(Stamoplysninger!$B$26="Der er indgået lokalaftale omkring weekendtillæg(Kræver aftale med TR/FSL). Weekendtimerne afspadseres.",I35="X",C35="ikke relevant",S35="X"))),(V35),0)</f>
        <v>0</v>
      </c>
      <c r="FE35" s="283">
        <f>IF(AND(Stamoplysninger!$B$26="Der er indgået lokalaftale omkring weekendtillæg(Kræver aftale med TR/FSL). Weekendtimerne udbetales.",I35="X"),K35,0)</f>
        <v>0</v>
      </c>
      <c r="FF35" s="251">
        <f>IF(AND(AND(Stamoplysninger!$B$26="Der er indgået lokalaftale omkring weekendtillæg(Kræver aftale med TR/FSL). Weekendtimerne udbetales.",I35="X",S35="X")),V35,0)</f>
        <v>0</v>
      </c>
      <c r="FG35" s="674">
        <f>IF(AND(AND(Stamoplysninger!$B$26="Der er indgået lokalaftale omkring weekendtillæg(Kræver aftale med TR/FSL). Weekendtimerne udbetales.",I35="X",C35="ikke relevant")),K35,0)</f>
        <v>0</v>
      </c>
      <c r="FH35" s="675">
        <f>IF(AND(AND(AND(Stamoplysninger!$B$26="Der er indgået lokalaftale omkring weekendtillæg(Kræver aftale med TR/FSL). Weekendtimerne udbetales.",I35="X",C35="ikke relevant",S35="X"))),(V35),0)</f>
        <v>0</v>
      </c>
      <c r="FI35" s="283">
        <f>IF(AND(Stamoplysninger!$B$26="Weekendtimer og weekendtillæg afspadseres.",I35="X"),K35,0)</f>
        <v>0</v>
      </c>
      <c r="FJ35" s="251">
        <f>IF(AND(Stamoplysninger!$B$26="Weekendtimer og weekendtillæg afspadseres.",Y35="X"),(AA35+AL35)/2,0)</f>
        <v>0</v>
      </c>
      <c r="FK35" s="674">
        <f>IF(AND(AND(Stamoplysninger!$B$26="Weekendtimer og weekendtillæg afspadseres.",I35="X",C35="ikke relevant")),K35,0)</f>
        <v>0</v>
      </c>
      <c r="FL35" s="675">
        <f>IF(AND(AND(Stamoplysninger!$B$26="Weekendtimer og weekendtillæg afspadseres.",Y35="X",S35="ikke relevant")),(AA35+AL35)/2,0)</f>
        <v>0</v>
      </c>
      <c r="FM35" s="283">
        <f>IF(AND(Stamoplysninger!$B$26="Der er indgået lokalaftale omkring weekendtillæg(Kræver aftale med TR/FSL). Weekendtimerne afspadseres.",I35="X"),K35,0)</f>
        <v>0</v>
      </c>
      <c r="FN35" s="674">
        <f>IF(AND(AND(Stamoplysninger!$B$26="Der er indgået lokalaftale omkring weekendtillæg(Kræver aftale med TR/FSL). Weekendtimerne afspadseres.",I35="X",C35="ikke relevant")),K35,0)</f>
        <v>0</v>
      </c>
      <c r="FO35" s="283">
        <f>IF(AND(Stamoplysninger!$B$26="Weekendtimer og weekendtillæg udbetales.",I35="X"),K35,0)</f>
        <v>0</v>
      </c>
      <c r="FP35" s="251">
        <f>IF(AND(Stamoplysninger!$B$26="Weekendtimer og weekendtillæg udbetales.",AA35="X"),(AC35+AN35)/2,0)</f>
        <v>0</v>
      </c>
      <c r="FQ35" s="674">
        <f>IF(AND(AND(Stamoplysninger!$B$26="Weekendtimer og weekendtillæg udbetales.",I35="X",C35="ikke relevant")),K35,0)</f>
        <v>0</v>
      </c>
      <c r="FR35" s="688">
        <f>IF(AND(AND(Stamoplysninger!$B$26="Weekendtimer og weekendtillæg udbetales.",AA35="X",U35="ikke relevant")),(AC35+AN35)/2,0)</f>
        <v>0</v>
      </c>
      <c r="FS35" s="283">
        <f t="shared" si="15"/>
        <v>0</v>
      </c>
      <c r="FT35" s="658">
        <f t="shared" si="16"/>
        <v>0</v>
      </c>
      <c r="FU35">
        <f t="shared" si="31"/>
        <v>0</v>
      </c>
      <c r="FV35" s="283">
        <f>IF(AND(Stamoplysninger!$B$26="Der er indgået lokalaftale omkring weekendtimer.(Kræver aftale med TR/FSL) Weekendtillæg afspadseres.",I35="X"),K35,0)</f>
        <v>0</v>
      </c>
      <c r="FW35" s="674">
        <f>IF(AND(AND(Stamoplysninger!$B$26="Der er indgået lokalaftale omkring weekendtimer.(Kræver aftale med TR/FSL) Weekendtillæg afspadseres.",I35="X",C35="ikke relevant")),K35,0)</f>
        <v>0</v>
      </c>
      <c r="FX35" s="283">
        <f>IF(AND(Stamoplysninger!$B$26="Der er indgået lokalaftale omkring weekendtimer(Kræver aftale med TR/FSL). Weekendtillæg udbetales.",I35="X"),K35,0)</f>
        <v>0</v>
      </c>
      <c r="FY35" s="674">
        <f>IF(AND(AND(Stamoplysninger!$B$26="Der er indgået lokalaftale omkring weekendtimer(Kræver aftale med TR/FSL). Weekendtillæg udbetales.",I35="X",C35="ikke relevant")),K35,0)</f>
        <v>0</v>
      </c>
      <c r="FZ35" s="283">
        <f>IF(AND(Stamoplysninger!$B$26="Der er indgået lokalaftale omkring weekendtillæg(Kræver aftale med TR/FSL). Weekendtimerne udbetales.",I35="X"),K35,0)</f>
        <v>0</v>
      </c>
      <c r="GA35" s="674">
        <f>IF(AND(AND(Stamoplysninger!$B$26="Der er indgået lokalaftale omkring weekendtillæg(Kræver aftale med TR/FSL). Weekendtimerne udbetales.",I35="X",C35="ikke relevant")),K35,0)</f>
        <v>0</v>
      </c>
      <c r="GB35" s="283">
        <f>IF(AND(Stamoplysninger!$B$26="Der er indgået lokalaftale omkring weekendtimer og weekendtillæg.(Kræver aftale med TR/FSL).",I35="X"),K35,0)</f>
        <v>0</v>
      </c>
      <c r="GC35" s="674">
        <f>IF(AND(AND(Stamoplysninger!$B$26="Der er indgået lokalaftale omkring weekendtimer og weekendtillæg.(Kræver aftale med TR/FSL).",I35="X",C35="ikke relevant")),K35,0)</f>
        <v>0</v>
      </c>
    </row>
    <row r="36" spans="1:185">
      <c r="A36" s="245">
        <f t="shared" si="18"/>
        <v>28</v>
      </c>
      <c r="B36" s="128" t="str">
        <f t="shared" si="0"/>
        <v>ti</v>
      </c>
      <c r="C36" s="129" t="s">
        <v>207</v>
      </c>
      <c r="D36" s="130" t="str">
        <f t="shared" si="1"/>
        <v/>
      </c>
      <c r="E36" s="917"/>
      <c r="F36" s="918"/>
      <c r="G36" s="919"/>
      <c r="H36" s="298"/>
      <c r="I36" s="527"/>
      <c r="J36" s="413"/>
      <c r="K36" s="380"/>
      <c r="L36" s="380"/>
      <c r="M36" s="380"/>
      <c r="N36" s="318">
        <f t="shared" si="19"/>
        <v>8.5</v>
      </c>
      <c r="O36" s="318">
        <f t="shared" si="20"/>
        <v>3.75</v>
      </c>
      <c r="P36" s="318">
        <f>IF(Stamoplysninger!$H$29="JA",Januar!DG36,CX36)</f>
        <v>1.5</v>
      </c>
      <c r="Q36" s="318">
        <f t="shared" si="21"/>
        <v>3.25</v>
      </c>
      <c r="R36" s="319"/>
      <c r="S36" s="324"/>
      <c r="T36" s="325"/>
      <c r="U36" s="325"/>
      <c r="V36" s="435"/>
      <c r="W36" s="412"/>
      <c r="X36" s="642"/>
      <c r="Y36">
        <f t="shared" si="22"/>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f>IF(AND(C36="Skema 2",B36="ti"),Arbejdstidsoversigt!$E$82,"")</f>
        <v>8.5</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8.5</v>
      </c>
      <c r="BB36" s="229">
        <f t="shared" si="8"/>
        <v>0</v>
      </c>
      <c r="BC36" s="1">
        <f t="shared" si="24"/>
        <v>0</v>
      </c>
      <c r="BD36" s="1">
        <f t="shared" si="9"/>
        <v>0</v>
      </c>
      <c r="BE36" s="1">
        <f t="shared" si="10"/>
        <v>0</v>
      </c>
      <c r="BF36" s="1">
        <f t="shared" si="11"/>
        <v>0</v>
      </c>
      <c r="BG36" s="210" t="str">
        <f>IF(AND(C36="Skema 1",B36="ma"),Skemaoplysninger!$E$30,"")</f>
        <v/>
      </c>
      <c r="BH36" s="210" t="str">
        <f>IF(AND(C36="Skema 1",B36="ti"),Skemaoplysninger!$G$30,"")</f>
        <v/>
      </c>
      <c r="BI36" s="210" t="str">
        <f>IF(AND(C36="Skema 1",B36="on"),Skemaoplysninger!$I$30,"")</f>
        <v/>
      </c>
      <c r="BJ36" s="210" t="str">
        <f>IF(AND(C36="Skema 1",B36="to"),Skemaoplysninger!$K$30,"")</f>
        <v/>
      </c>
      <c r="BK36" s="210" t="str">
        <f>IF(AND(C36="Skema 1",B36="fr"),Skemaoplysninger!$M$30,"")</f>
        <v/>
      </c>
      <c r="BL36" s="210" t="str">
        <f>IF(AND(C36="Skema 2",B36="ma"),Skemaoplysninger!$S$30,"")</f>
        <v/>
      </c>
      <c r="BM36" s="210">
        <f>IF(AND(C36="Skema 2",B36="ti"),Skemaoplysninger!$U$30,"")</f>
        <v>0.15625</v>
      </c>
      <c r="BN36" s="210" t="str">
        <f>IF(AND(C36="Skema 2",B36="on"),Skemaoplysninger!$W$30,"")</f>
        <v/>
      </c>
      <c r="BO36" s="210" t="str">
        <f>IF(AND(C36="Skema 2",B36="to"),Skemaoplysninger!$Y$30,"")</f>
        <v/>
      </c>
      <c r="BP36" s="210" t="str">
        <f>IF(AND(C36="Skema 2",B36="fr"),Skemaoplysninger!$AA$30,"")</f>
        <v/>
      </c>
      <c r="BQ36" s="210" t="str">
        <f>IF(AND(C36="Skema 3",B36="ma"),Skemaoplysninger!$AG$30,"")</f>
        <v/>
      </c>
      <c r="BR36" s="210" t="str">
        <f>IF(AND(C36="Skema 3",B36="ti"),Skemaoplysninger!$AI$30,"")</f>
        <v/>
      </c>
      <c r="BS36" s="210" t="str">
        <f>IF(AND(C36="Skema 3",B36="on"),Skemaoplysninger!$AK$30,"")</f>
        <v/>
      </c>
      <c r="BT36" s="210" t="str">
        <f>IF(AND(C36="Skema 3",B36="to"),Skemaoplysninger!$AM$30,"")</f>
        <v/>
      </c>
      <c r="BU36" s="210" t="str">
        <f>IF(AND(C36="Skema 3",B36="fr"),Skemaoplysninger!$AO$30,"")</f>
        <v/>
      </c>
      <c r="BV36" s="210" t="str">
        <f>IF(AND(C36="Skema 4",B36="ma"),Skemaoplysninger!$AU$30,"")</f>
        <v/>
      </c>
      <c r="BW36" s="210" t="str">
        <f>IF(AND(C36="Skema 4",B36="ti"),Skemaoplysninger!$AW$30,"")</f>
        <v/>
      </c>
      <c r="BX36" s="210" t="str">
        <f>IF(AND(C36="Skema 4",B36="on"),Skemaoplysninger!$AY$30,"")</f>
        <v/>
      </c>
      <c r="BY36" s="210" t="str">
        <f>IF(AND(C36="Skema 4",B36="to"),Skemaoplysninger!$BA$30,"")</f>
        <v/>
      </c>
      <c r="BZ36" s="210" t="str">
        <f>IF(AND(C36="Skema 4",B36="fr"),Skemaoplysninger!$BC$30,"")</f>
        <v/>
      </c>
      <c r="CA36" s="1">
        <f t="shared" si="25"/>
        <v>3.75</v>
      </c>
      <c r="CB36" s="1">
        <f t="shared" si="12"/>
        <v>0</v>
      </c>
      <c r="CC36" s="1">
        <f t="shared" si="13"/>
        <v>0</v>
      </c>
      <c r="CD36" s="210" t="str">
        <f>IF(AND(C36="Skema 1",B36="ma"),Skemaoplysninger!$E$31,"")</f>
        <v/>
      </c>
      <c r="CE36" s="210" t="str">
        <f>IF(AND(C36="Skema 1",B36="ti"),Skemaoplysninger!$G$31,"")</f>
        <v/>
      </c>
      <c r="CF36" s="210" t="str">
        <f>IF(AND(C36="Skema 1",B36="on"),Skemaoplysninger!$I$31,"")</f>
        <v/>
      </c>
      <c r="CG36" s="210" t="str">
        <f>IF(AND(C36="Skema 1",B36="to"),Skemaoplysninger!$K$31,"")</f>
        <v/>
      </c>
      <c r="CH36" s="210" t="str">
        <f>IF(AND(C36="Skema 1",B36="fr"),Skemaoplysninger!$M$31,"")</f>
        <v/>
      </c>
      <c r="CI36" s="210" t="str">
        <f>IF(AND(C36="Skema 2",B36="ma"),Skemaoplysninger!$S$31,"")</f>
        <v/>
      </c>
      <c r="CJ36" s="210">
        <f>IF(AND(C36="Skema 2",B36="ti"),Skemaoplysninger!$U$31,"")</f>
        <v>6.25E-2</v>
      </c>
      <c r="CK36" s="210" t="str">
        <f>IF(AND(C36="Skema 2",B36="on"),Skemaoplysninger!$W$31,"")</f>
        <v/>
      </c>
      <c r="CL36" s="210" t="str">
        <f>IF(AND(C36="Skema 2",B36="to"),Skemaoplysninger!$Y$31,"")</f>
        <v/>
      </c>
      <c r="CM36" s="210" t="str">
        <f>IF(AND(C36="Skema 2",B36="fr"),Skemaoplysninger!$AA$31,"")</f>
        <v/>
      </c>
      <c r="CN36" s="210" t="str">
        <f>IF(AND(C36="Skema 3",B36="ma"),Skemaoplysninger!$AG$31,"")</f>
        <v/>
      </c>
      <c r="CO36" s="210" t="str">
        <f>IF(AND(C36="Skema 3",B36="ti"),Skemaoplysninger!$AI$31,"")</f>
        <v/>
      </c>
      <c r="CP36" s="210" t="str">
        <f>IF(AND(C36="Skema 3",B36="on"),Skemaoplysninger!$AK$31,"")</f>
        <v/>
      </c>
      <c r="CQ36" s="210" t="str">
        <f>IF(AND(C36="Skema 3",B36="to"),Skemaoplysninger!$AM$31,"")</f>
        <v/>
      </c>
      <c r="CR36" s="210" t="str">
        <f>IF(AND(C36="Skema 3",B36="fr"),Skemaoplysninger!$AO$31,"")</f>
        <v/>
      </c>
      <c r="CS36" s="210" t="str">
        <f>IF(AND(C36="Skema 4",B36="ma"),Skemaoplysninger!$AU$31,"")</f>
        <v/>
      </c>
      <c r="CT36" s="210" t="str">
        <f>IF(AND(C36="Skema 4",B36="ti"),Skemaoplysninger!$AW$31,"")</f>
        <v/>
      </c>
      <c r="CU36" s="210" t="str">
        <f>IF(AND(C36="Skema 4",B36="on"),Skemaoplysninger!$AY$31,"")</f>
        <v/>
      </c>
      <c r="CV36" s="210" t="str">
        <f>IF(AND(C36="Skema 4",B36="to"),Skemaoplysninger!$BA$31,"")</f>
        <v/>
      </c>
      <c r="CW36" s="210" t="str">
        <f>IF(AND(C36="Skema 4",B36="fr"),Skemaoplysninger!$BC$31,"")</f>
        <v/>
      </c>
      <c r="CX36" s="249">
        <f>IF(Stamoplysninger!$H$29="NEJ",SUM(CD36:CW36)*24+CB36+CC36,0)</f>
        <v>1.5</v>
      </c>
      <c r="CY36" s="249">
        <f>IF(C36="Skema 1",Stamoplysninger!$H$30/200,0)</f>
        <v>0</v>
      </c>
      <c r="CZ36" s="249">
        <f>IF(C36="Skema 2",Stamoplysninger!$H$30/200,0)</f>
        <v>0</v>
      </c>
      <c r="DA36" s="249">
        <f>IF(C36="Skema 3",Stamoplysninger!$H$30/200,0)</f>
        <v>0</v>
      </c>
      <c r="DB36" s="249">
        <f>IF(C36="Skema 4",Stamoplysninger!$H$30/200,0)</f>
        <v>0</v>
      </c>
      <c r="DC36" s="249">
        <f>IF(C36="fagdag",Stamoplysninger!$H$30/200,0)</f>
        <v>0</v>
      </c>
      <c r="DD36" s="249">
        <f>IF(C36="emnedag",Stamoplysninger!$H$30/200,0)</f>
        <v>0</v>
      </c>
      <c r="DE36" s="249">
        <f>IF(C36="lejrskole",Stamoplysninger!$H$30/200,0)</f>
        <v>0</v>
      </c>
      <c r="DF36" s="249">
        <f>IF(C36="ekskursion",Stamoplysninger!$H$30/200,0)</f>
        <v>0</v>
      </c>
      <c r="DG36" s="249">
        <f t="shared" si="26"/>
        <v>0</v>
      </c>
      <c r="DH36" t="str">
        <f t="shared" si="27"/>
        <v/>
      </c>
      <c r="DI36">
        <f t="shared" si="28"/>
        <v>0</v>
      </c>
      <c r="DJ36">
        <f t="shared" si="29"/>
        <v>0</v>
      </c>
      <c r="DK36" t="str">
        <f t="shared" si="14"/>
        <v/>
      </c>
      <c r="DL36" t="str">
        <f t="shared" si="14"/>
        <v/>
      </c>
      <c r="DM36" t="str">
        <f t="shared" si="14"/>
        <v/>
      </c>
      <c r="DN36" t="str">
        <f t="shared" si="30"/>
        <v/>
      </c>
      <c r="DO36" s="652">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71">
        <f>IF(AND(Stamoplysninger!$B$22="Ulempetillæg udbetales med 25% af nettotimelønnen.",C36="ikke relevant"),(R36)/4,0)</f>
        <v>0</v>
      </c>
      <c r="DT36" s="671">
        <f>IF(AND(AND(Stamoplysninger!$B$22="Ulempetillæg udbetales med 25% af nettotimelønnen.",I36="X",C36="Ikke relevant")),K36/4,0)</f>
        <v>0</v>
      </c>
      <c r="DU36" s="671">
        <f>IF(AND(AND(Stamoplysninger!$B$22="Ulempetillæg udbetales med 25% af nettotimelønnen.",C36="ikke relevant",U36="X")),(X36/4),0)</f>
        <v>0</v>
      </c>
      <c r="DV36" s="672">
        <f>IF(AND(AND(AND(Stamoplysninger!$B$22="Ulempetillæg udbetales med 25% af nettotimelønnen.",I36="X",C36="Ikke relevant",S36="X"))),V36/4,0)</f>
        <v>0</v>
      </c>
      <c r="DW36" s="652"/>
      <c r="DZ36" s="671"/>
      <c r="EA36" s="671"/>
      <c r="EB36" s="672"/>
      <c r="EC36" s="652">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71">
        <f>IF(AND(Stamoplysninger!$B$22="Ulempetillæg afspadseres med 25%(Kræver en aftale imellem ledelsen og den ansatte)",C36="ikke relevant"),(R36)/4,0)</f>
        <v>0</v>
      </c>
      <c r="EH36" s="671">
        <f>IF(AND(AND(Stamoplysninger!$B$22="Ulempetillæg afspadseres med 25%(Kræver en aftale imellem ledelsen og den ansatte)",I36="X",C36="Ikke relevant")),K36/4,0)</f>
        <v>0</v>
      </c>
      <c r="EI36" s="671">
        <f>IF(AND(AND(Stamoplysninger!$B$22="Ulempetillæg afspadseres med 25%(Kræver en aftale imellem ledelsen og den ansatte)",U36="X",C36="Ikke relevant")),X36/4,0)</f>
        <v>0</v>
      </c>
      <c r="EJ36" s="671">
        <f>IF(AND(AND(AND(Stamoplysninger!$B$22="Ulempetillæg afspadseres med 25%(Kræver en aftale imellem ledelsen og den ansatte)",I36="X",C36="Ikke relevant",S36="X"))),V36/4,0)</f>
        <v>0</v>
      </c>
      <c r="EK36" s="283">
        <f>IF(AND(Stamoplysninger!$B$26="Weekendtimer og weekendtillæg afspadseres.",I36="X"),K36*1.5,0)</f>
        <v>0</v>
      </c>
      <c r="EL36" s="251">
        <f>IF(AND(AND(Stamoplysninger!$B$26="Weekendtimer og weekendtillæg afspadseres.",I36="X",S36="X")),V36*1.5,0)</f>
        <v>0</v>
      </c>
      <c r="EM36" s="674">
        <f>IF(AND(AND(Stamoplysninger!$B$26="Weekendtimer og weekendtillæg afspadseres.",I36="X",C36="ikke relevant")),K36*1.5,0)</f>
        <v>0</v>
      </c>
      <c r="EN36" s="675">
        <f>IF(AND(AND(AND(Stamoplysninger!$B$26="Weekendtimer og weekendtillæg afspadseres.",I36="X",C36="ikke relevant",S36="X"))),(V36*1.5),0)</f>
        <v>0</v>
      </c>
      <c r="EO36" s="283">
        <f>IF(AND(Stamoplysninger!$B$26="Weekendtimer og weekendtillæg udbetales.",I36="X"),K36*1.5,0)</f>
        <v>0</v>
      </c>
      <c r="EP36" s="251">
        <f>IF(AND(AND(Stamoplysninger!$B$26="Weekendtimer og weekendtillæg udbetales.",I36="X",S36="X")),V36*1.5,0)</f>
        <v>0</v>
      </c>
      <c r="EQ36" s="674">
        <f>IF(AND(AND(Stamoplysninger!$B$26="Weekendtimer og weekendtillæg udbetales.",I36="X",C36="ikke relevant")),K36*1.5,0)</f>
        <v>0</v>
      </c>
      <c r="ER36" s="675">
        <f>IF(AND(AND(AND(Stamoplysninger!$B$26="Weekendtimer og weekendtillæg udbetales.",I36="X",C36="ikke relevant",S36="X"))),(V36*1.5),0)</f>
        <v>0</v>
      </c>
      <c r="ES36" s="283">
        <f>IF(AND(Stamoplysninger!$B$26="Der er indgået lokalaftale omkring weekendtimer.(Kræver aftale med TR/FSL) Weekendtillæg afspadseres.",I36="X"),K36*0.5,0)</f>
        <v>0</v>
      </c>
      <c r="ET36" s="251">
        <f>IF(AND(AND(Stamoplysninger!$B$26="Der er indgået lokalaftale omkring weekendtimer.(Kræver aftale med TR/FSL) Weekendtillæg afspadseres.",I36="X",S36="X")),V36*0.5,0)</f>
        <v>0</v>
      </c>
      <c r="EU36" s="674">
        <f>IF(AND(AND(Stamoplysninger!$B$26="Der er indgået lokalaftale omkring weekendtimer.(Kræver aftale med TR/FSL) Weekendtillæg afspadseres.",I36="X",C36="ikke relevant")),K36*0.5,0)</f>
        <v>0</v>
      </c>
      <c r="EV36" s="675">
        <f>IF(AND(AND(AND(Stamoplysninger!$B$26="Der er indgået lokalaftale omkring weekendtimer.(Kræver aftale med TR/FSL) Weekendtillæg afspadseres.",I36="X",C36="ikke relevant",S36="X"))),(V36*0.5),0)</f>
        <v>0</v>
      </c>
      <c r="EW36" s="283">
        <f>IF(AND(Stamoplysninger!$B$26="Der er indgået lokalaftale omkring weekendtimer(Kræver aftale med TR/FSL). Weekendtillæg udbetales.",I36="X"),K36*0.5,0)</f>
        <v>0</v>
      </c>
      <c r="EX36" s="251">
        <f>IF(AND(AND(Stamoplysninger!$B$26="Der er indgået lokalaftale omkring weekendtimer(Kræver aftale med TR/FSL). Weekendtillæg udbetales.",I36="X",S36="X")),V36*0.5,0)</f>
        <v>0</v>
      </c>
      <c r="EY36" s="674">
        <f>IF(AND(AND(Stamoplysninger!$B$26="Der er indgået lokalaftale omkring weekendtimer(Kræver aftale med TR/FSL). Weekendtillæg udbetales.",I36="X",C36="ikke relevant")),K36*0.5,0)</f>
        <v>0</v>
      </c>
      <c r="EZ36" s="675">
        <f>IF(AND(AND(AND(Stamoplysninger!$B$26="Der er indgået lokalaftale omkring weekendtimer(Kræver aftale med TR/FSL). Weekendtillæg udbetales.",I36="X",C36="ikke relevant",S36="X"))),(V36*0.5),0)</f>
        <v>0</v>
      </c>
      <c r="FA36" s="283">
        <f>IF(AND(Stamoplysninger!$B$26="Der er indgået lokalaftale omkring weekendtillæg(Kræver aftale med TR/FSL). Weekendtimerne afspadseres.",I36="X"),K36,0)</f>
        <v>0</v>
      </c>
      <c r="FB36" s="251">
        <f>IF(AND(AND(Stamoplysninger!$B$26="Der er indgået lokalaftale omkring weekendtillæg(Kræver aftale med TR/FSL). Weekendtimerne afspadseres.",I36="X",S36="X")),V36,0)</f>
        <v>0</v>
      </c>
      <c r="FC36" s="674">
        <f>IF(AND(AND(Stamoplysninger!$B$26="Der er indgået lokalaftale omkring weekendtillæg(Kræver aftale med TR/FSL). Weekendtimerne afspadseres..",I36="X",C36="ikke relevant")),K36,0)</f>
        <v>0</v>
      </c>
      <c r="FD36" s="675">
        <f>IF(AND(AND(AND(Stamoplysninger!$B$26="Der er indgået lokalaftale omkring weekendtillæg(Kræver aftale med TR/FSL). Weekendtimerne afspadseres.",I36="X",C36="ikke relevant",S36="X"))),(V36),0)</f>
        <v>0</v>
      </c>
      <c r="FE36" s="283">
        <f>IF(AND(Stamoplysninger!$B$26="Der er indgået lokalaftale omkring weekendtillæg(Kræver aftale med TR/FSL). Weekendtimerne udbetales.",I36="X"),K36,0)</f>
        <v>0</v>
      </c>
      <c r="FF36" s="251">
        <f>IF(AND(AND(Stamoplysninger!$B$26="Der er indgået lokalaftale omkring weekendtillæg(Kræver aftale med TR/FSL). Weekendtimerne udbetales.",I36="X",S36="X")),V36,0)</f>
        <v>0</v>
      </c>
      <c r="FG36" s="674">
        <f>IF(AND(AND(Stamoplysninger!$B$26="Der er indgået lokalaftale omkring weekendtillæg(Kræver aftale med TR/FSL). Weekendtimerne udbetales.",I36="X",C36="ikke relevant")),K36,0)</f>
        <v>0</v>
      </c>
      <c r="FH36" s="675">
        <f>IF(AND(AND(AND(Stamoplysninger!$B$26="Der er indgået lokalaftale omkring weekendtillæg(Kræver aftale med TR/FSL). Weekendtimerne udbetales.",I36="X",C36="ikke relevant",S36="X"))),(V36),0)</f>
        <v>0</v>
      </c>
      <c r="FI36" s="283">
        <f>IF(AND(Stamoplysninger!$B$26="Weekendtimer og weekendtillæg afspadseres.",I36="X"),K36,0)</f>
        <v>0</v>
      </c>
      <c r="FJ36" s="251">
        <f>IF(AND(Stamoplysninger!$B$26="Weekendtimer og weekendtillæg afspadseres.",Y36="X"),(AA36+AL36)/2,0)</f>
        <v>0</v>
      </c>
      <c r="FK36" s="674">
        <f>IF(AND(AND(Stamoplysninger!$B$26="Weekendtimer og weekendtillæg afspadseres.",I36="X",C36="ikke relevant")),K36,0)</f>
        <v>0</v>
      </c>
      <c r="FL36" s="675">
        <f>IF(AND(AND(Stamoplysninger!$B$26="Weekendtimer og weekendtillæg afspadseres.",Y36="X",S36="ikke relevant")),(AA36+AL36)/2,0)</f>
        <v>0</v>
      </c>
      <c r="FM36" s="283">
        <f>IF(AND(Stamoplysninger!$B$26="Der er indgået lokalaftale omkring weekendtillæg(Kræver aftale med TR/FSL). Weekendtimerne afspadseres.",I36="X"),K36,0)</f>
        <v>0</v>
      </c>
      <c r="FN36" s="674">
        <f>IF(AND(AND(Stamoplysninger!$B$26="Der er indgået lokalaftale omkring weekendtillæg(Kræver aftale med TR/FSL). Weekendtimerne afspadseres.",I36="X",C36="ikke relevant")),K36,0)</f>
        <v>0</v>
      </c>
      <c r="FO36" s="283">
        <f>IF(AND(Stamoplysninger!$B$26="Weekendtimer og weekendtillæg udbetales.",I36="X"),K36,0)</f>
        <v>0</v>
      </c>
      <c r="FP36" s="251">
        <f>IF(AND(Stamoplysninger!$B$26="Weekendtimer og weekendtillæg udbetales.",AA36="X"),(AC36+AN36)/2,0)</f>
        <v>0</v>
      </c>
      <c r="FQ36" s="674">
        <f>IF(AND(AND(Stamoplysninger!$B$26="Weekendtimer og weekendtillæg udbetales.",I36="X",C36="ikke relevant")),K36,0)</f>
        <v>0</v>
      </c>
      <c r="FR36" s="688">
        <f>IF(AND(AND(Stamoplysninger!$B$26="Weekendtimer og weekendtillæg udbetales.",AA36="X",U36="ikke relevant")),(AC36+AN36)/2,0)</f>
        <v>0</v>
      </c>
      <c r="FS36" s="283">
        <f t="shared" si="15"/>
        <v>0</v>
      </c>
      <c r="FT36" s="658">
        <f t="shared" si="16"/>
        <v>0</v>
      </c>
      <c r="FU36">
        <f t="shared" si="31"/>
        <v>0</v>
      </c>
      <c r="FV36" s="283">
        <f>IF(AND(Stamoplysninger!$B$26="Der er indgået lokalaftale omkring weekendtimer.(Kræver aftale med TR/FSL) Weekendtillæg afspadseres.",I36="X"),K36,0)</f>
        <v>0</v>
      </c>
      <c r="FW36" s="674">
        <f>IF(AND(AND(Stamoplysninger!$B$26="Der er indgået lokalaftale omkring weekendtimer.(Kræver aftale med TR/FSL) Weekendtillæg afspadseres.",I36="X",C36="ikke relevant")),K36,0)</f>
        <v>0</v>
      </c>
      <c r="FX36" s="283">
        <f>IF(AND(Stamoplysninger!$B$26="Der er indgået lokalaftale omkring weekendtimer(Kræver aftale med TR/FSL). Weekendtillæg udbetales.",I36="X"),K36,0)</f>
        <v>0</v>
      </c>
      <c r="FY36" s="674">
        <f>IF(AND(AND(Stamoplysninger!$B$26="Der er indgået lokalaftale omkring weekendtimer(Kræver aftale med TR/FSL). Weekendtillæg udbetales.",I36="X",C36="ikke relevant")),K36,0)</f>
        <v>0</v>
      </c>
      <c r="FZ36" s="283">
        <f>IF(AND(Stamoplysninger!$B$26="Der er indgået lokalaftale omkring weekendtillæg(Kræver aftale med TR/FSL). Weekendtimerne udbetales.",I36="X"),K36,0)</f>
        <v>0</v>
      </c>
      <c r="GA36" s="674">
        <f>IF(AND(AND(Stamoplysninger!$B$26="Der er indgået lokalaftale omkring weekendtillæg(Kræver aftale med TR/FSL). Weekendtimerne udbetales.",I36="X",C36="ikke relevant")),K36,0)</f>
        <v>0</v>
      </c>
      <c r="GB36" s="283">
        <f>IF(AND(Stamoplysninger!$B$26="Der er indgået lokalaftale omkring weekendtimer og weekendtillæg.(Kræver aftale med TR/FSL).",I36="X"),K36,0)</f>
        <v>0</v>
      </c>
      <c r="GC36" s="674">
        <f>IF(AND(AND(Stamoplysninger!$B$26="Der er indgået lokalaftale omkring weekendtimer og weekendtillæg.(Kræver aftale med TR/FSL).",I36="X",C36="ikke relevant")),K36,0)</f>
        <v>0</v>
      </c>
    </row>
    <row r="37" spans="1:185">
      <c r="A37" s="245">
        <f>IF(ISNUMBER(A36),A36+1,1)</f>
        <v>29</v>
      </c>
      <c r="B37" s="128" t="str">
        <f t="shared" si="0"/>
        <v>on</v>
      </c>
      <c r="C37" s="129" t="s">
        <v>207</v>
      </c>
      <c r="D37" s="130" t="str">
        <f t="shared" si="1"/>
        <v/>
      </c>
      <c r="E37" s="917"/>
      <c r="F37" s="918"/>
      <c r="G37" s="919"/>
      <c r="H37" s="298"/>
      <c r="I37" s="527"/>
      <c r="J37" s="413"/>
      <c r="K37" s="380"/>
      <c r="L37" s="380"/>
      <c r="M37" s="380"/>
      <c r="N37" s="318">
        <f t="shared" si="19"/>
        <v>7.75</v>
      </c>
      <c r="O37" s="318">
        <f t="shared" si="20"/>
        <v>4.25</v>
      </c>
      <c r="P37" s="318">
        <f>IF(Stamoplysninger!$H$29="JA",Januar!DG37,CX37)</f>
        <v>1</v>
      </c>
      <c r="Q37" s="318">
        <f t="shared" si="21"/>
        <v>2.5</v>
      </c>
      <c r="R37" s="319"/>
      <c r="S37" s="324"/>
      <c r="T37" s="325"/>
      <c r="U37" s="325"/>
      <c r="V37" s="435"/>
      <c r="W37" s="412"/>
      <c r="X37" s="642"/>
      <c r="Y37">
        <f t="shared" si="22"/>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f>IF(AND(C37="Skema 2",B37="on"),Arbejdstidsoversigt!$E$83,"")</f>
        <v>7.75</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7.75</v>
      </c>
      <c r="BB37" s="229">
        <f t="shared" si="8"/>
        <v>0</v>
      </c>
      <c r="BC37" s="1">
        <f t="shared" si="24"/>
        <v>0</v>
      </c>
      <c r="BD37" s="1">
        <f t="shared" si="9"/>
        <v>0</v>
      </c>
      <c r="BE37" s="1">
        <f t="shared" si="10"/>
        <v>0</v>
      </c>
      <c r="BF37" s="1">
        <f t="shared" si="11"/>
        <v>0</v>
      </c>
      <c r="BG37" s="210" t="str">
        <f>IF(AND(C37="Skema 1",B37="ma"),Skemaoplysninger!$E$30,"")</f>
        <v/>
      </c>
      <c r="BH37" s="210" t="str">
        <f>IF(AND(C37="Skema 1",B37="ti"),Skemaoplysninger!$G$30,"")</f>
        <v/>
      </c>
      <c r="BI37" s="210" t="str">
        <f>IF(AND(C37="Skema 1",B37="on"),Skemaoplysninger!$I$30,"")</f>
        <v/>
      </c>
      <c r="BJ37" s="210" t="str">
        <f>IF(AND(C37="Skema 1",B37="to"),Skemaoplysninger!$K$30,"")</f>
        <v/>
      </c>
      <c r="BK37" s="210" t="str">
        <f>IF(AND(C37="Skema 1",B37="fr"),Skemaoplysninger!$M$30,"")</f>
        <v/>
      </c>
      <c r="BL37" s="210" t="str">
        <f>IF(AND(C37="Skema 2",B37="ma"),Skemaoplysninger!$S$30,"")</f>
        <v/>
      </c>
      <c r="BM37" s="210" t="str">
        <f>IF(AND(C37="Skema 2",B37="ti"),Skemaoplysninger!$U$30,"")</f>
        <v/>
      </c>
      <c r="BN37" s="210">
        <f>IF(AND(C37="Skema 2",B37="on"),Skemaoplysninger!$W$30,"")</f>
        <v>0.17708333333333331</v>
      </c>
      <c r="BO37" s="210" t="str">
        <f>IF(AND(C37="Skema 2",B37="to"),Skemaoplysninger!$Y$30,"")</f>
        <v/>
      </c>
      <c r="BP37" s="210" t="str">
        <f>IF(AND(C37="Skema 2",B37="fr"),Skemaoplysninger!$AA$30,"")</f>
        <v/>
      </c>
      <c r="BQ37" s="210" t="str">
        <f>IF(AND(C37="Skema 3",B37="ma"),Skemaoplysninger!$AG$30,"")</f>
        <v/>
      </c>
      <c r="BR37" s="210" t="str">
        <f>IF(AND(C37="Skema 3",B37="ti"),Skemaoplysninger!$AI$30,"")</f>
        <v/>
      </c>
      <c r="BS37" s="210" t="str">
        <f>IF(AND(C37="Skema 3",B37="on"),Skemaoplysninger!$AK$30,"")</f>
        <v/>
      </c>
      <c r="BT37" s="210" t="str">
        <f>IF(AND(C37="Skema 3",B37="to"),Skemaoplysninger!$AM$30,"")</f>
        <v/>
      </c>
      <c r="BU37" s="210" t="str">
        <f>IF(AND(C37="Skema 3",B37="fr"),Skemaoplysninger!$AO$30,"")</f>
        <v/>
      </c>
      <c r="BV37" s="210" t="str">
        <f>IF(AND(C37="Skema 4",B37="ma"),Skemaoplysninger!$AU$30,"")</f>
        <v/>
      </c>
      <c r="BW37" s="210" t="str">
        <f>IF(AND(C37="Skema 4",B37="ti"),Skemaoplysninger!$AW$30,"")</f>
        <v/>
      </c>
      <c r="BX37" s="210" t="str">
        <f>IF(AND(C37="Skema 4",B37="on"),Skemaoplysninger!$AY$30,"")</f>
        <v/>
      </c>
      <c r="BY37" s="210" t="str">
        <f>IF(AND(C37="Skema 4",B37="to"),Skemaoplysninger!$BA$30,"")</f>
        <v/>
      </c>
      <c r="BZ37" s="210" t="str">
        <f>IF(AND(C37="Skema 4",B37="fr"),Skemaoplysninger!$BC$30,"")</f>
        <v/>
      </c>
      <c r="CA37" s="1">
        <f t="shared" si="25"/>
        <v>4.25</v>
      </c>
      <c r="CB37" s="1">
        <f t="shared" si="12"/>
        <v>0</v>
      </c>
      <c r="CC37" s="1">
        <f t="shared" si="13"/>
        <v>0</v>
      </c>
      <c r="CD37" s="210" t="str">
        <f>IF(AND(C37="Skema 1",B37="ma"),Skemaoplysninger!$E$31,"")</f>
        <v/>
      </c>
      <c r="CE37" s="210" t="str">
        <f>IF(AND(C37="Skema 1",B37="ti"),Skemaoplysninger!$G$31,"")</f>
        <v/>
      </c>
      <c r="CF37" s="210" t="str">
        <f>IF(AND(C37="Skema 1",B37="on"),Skemaoplysninger!$I$31,"")</f>
        <v/>
      </c>
      <c r="CG37" s="210" t="str">
        <f>IF(AND(C37="Skema 1",B37="to"),Skemaoplysninger!$K$31,"")</f>
        <v/>
      </c>
      <c r="CH37" s="210" t="str">
        <f>IF(AND(C37="Skema 1",B37="fr"),Skemaoplysninger!$M$31,"")</f>
        <v/>
      </c>
      <c r="CI37" s="210" t="str">
        <f>IF(AND(C37="Skema 2",B37="ma"),Skemaoplysninger!$S$31,"")</f>
        <v/>
      </c>
      <c r="CJ37" s="210" t="str">
        <f>IF(AND(C37="Skema 2",B37="ti"),Skemaoplysninger!$U$31,"")</f>
        <v/>
      </c>
      <c r="CK37" s="210">
        <f>IF(AND(C37="Skema 2",B37="on"),Skemaoplysninger!$W$31,"")</f>
        <v>4.1666666666666664E-2</v>
      </c>
      <c r="CL37" s="210" t="str">
        <f>IF(AND(C37="Skema 2",B37="to"),Skemaoplysninger!$Y$31,"")</f>
        <v/>
      </c>
      <c r="CM37" s="210" t="str">
        <f>IF(AND(C37="Skema 2",B37="fr"),Skemaoplysninger!$AA$31,"")</f>
        <v/>
      </c>
      <c r="CN37" s="210" t="str">
        <f>IF(AND(C37="Skema 3",B37="ma"),Skemaoplysninger!$AG$31,"")</f>
        <v/>
      </c>
      <c r="CO37" s="210" t="str">
        <f>IF(AND(C37="Skema 3",B37="ti"),Skemaoplysninger!$AI$31,"")</f>
        <v/>
      </c>
      <c r="CP37" s="210" t="str">
        <f>IF(AND(C37="Skema 3",B37="on"),Skemaoplysninger!$AK$31,"")</f>
        <v/>
      </c>
      <c r="CQ37" s="210" t="str">
        <f>IF(AND(C37="Skema 3",B37="to"),Skemaoplysninger!$AM$31,"")</f>
        <v/>
      </c>
      <c r="CR37" s="210" t="str">
        <f>IF(AND(C37="Skema 3",B37="fr"),Skemaoplysninger!$AO$31,"")</f>
        <v/>
      </c>
      <c r="CS37" s="210" t="str">
        <f>IF(AND(C37="Skema 4",B37="ma"),Skemaoplysninger!$AU$31,"")</f>
        <v/>
      </c>
      <c r="CT37" s="210" t="str">
        <f>IF(AND(C37="Skema 4",B37="ti"),Skemaoplysninger!$AW$31,"")</f>
        <v/>
      </c>
      <c r="CU37" s="210" t="str">
        <f>IF(AND(C37="Skema 4",B37="on"),Skemaoplysninger!$AY$31,"")</f>
        <v/>
      </c>
      <c r="CV37" s="210" t="str">
        <f>IF(AND(C37="Skema 4",B37="to"),Skemaoplysninger!$BA$31,"")</f>
        <v/>
      </c>
      <c r="CW37" s="210" t="str">
        <f>IF(AND(C37="Skema 4",B37="fr"),Skemaoplysninger!$BC$31,"")</f>
        <v/>
      </c>
      <c r="CX37" s="249">
        <f>IF(Stamoplysninger!$H$29="NEJ",SUM(CD37:CW37)*24+CB37+CC37,0)</f>
        <v>1</v>
      </c>
      <c r="CY37" s="249">
        <f>IF(C37="Skema 1",Stamoplysninger!$H$30/200,0)</f>
        <v>0</v>
      </c>
      <c r="CZ37" s="249">
        <f>IF(C37="Skema 2",Stamoplysninger!$H$30/200,0)</f>
        <v>0</v>
      </c>
      <c r="DA37" s="249">
        <f>IF(C37="Skema 3",Stamoplysninger!$H$30/200,0)</f>
        <v>0</v>
      </c>
      <c r="DB37" s="249">
        <f>IF(C37="Skema 4",Stamoplysninger!$H$30/200,0)</f>
        <v>0</v>
      </c>
      <c r="DC37" s="249">
        <f>IF(C37="fagdag",Stamoplysninger!$H$30/200,0)</f>
        <v>0</v>
      </c>
      <c r="DD37" s="249">
        <f>IF(C37="emnedag",Stamoplysninger!$H$30/200,0)</f>
        <v>0</v>
      </c>
      <c r="DE37" s="249">
        <f>IF(C37="lejrskole",Stamoplysninger!$H$30/200,0)</f>
        <v>0</v>
      </c>
      <c r="DF37" s="249">
        <f>IF(C37="ekskursion",Stamoplysninger!$H$30/200,0)</f>
        <v>0</v>
      </c>
      <c r="DG37" s="249">
        <f t="shared" si="26"/>
        <v>0</v>
      </c>
      <c r="DH37" t="str">
        <f t="shared" si="27"/>
        <v/>
      </c>
      <c r="DI37">
        <f t="shared" si="28"/>
        <v>0</v>
      </c>
      <c r="DJ37">
        <f t="shared" si="29"/>
        <v>0</v>
      </c>
      <c r="DK37" t="str">
        <f t="shared" si="14"/>
        <v/>
      </c>
      <c r="DL37" t="str">
        <f t="shared" si="14"/>
        <v/>
      </c>
      <c r="DM37" t="str">
        <f t="shared" si="14"/>
        <v/>
      </c>
      <c r="DN37" t="str">
        <f t="shared" si="30"/>
        <v/>
      </c>
      <c r="DO37" s="652">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71">
        <f>IF(AND(Stamoplysninger!$B$22="Ulempetillæg udbetales med 25% af nettotimelønnen.",C37="ikke relevant"),(R37)/4,0)</f>
        <v>0</v>
      </c>
      <c r="DT37" s="671">
        <f>IF(AND(AND(Stamoplysninger!$B$22="Ulempetillæg udbetales med 25% af nettotimelønnen.",I37="X",C37="Ikke relevant")),K37/4,0)</f>
        <v>0</v>
      </c>
      <c r="DU37" s="671">
        <f>IF(AND(AND(Stamoplysninger!$B$22="Ulempetillæg udbetales med 25% af nettotimelønnen.",C37="ikke relevant",U37="X")),(X37/4),0)</f>
        <v>0</v>
      </c>
      <c r="DV37" s="672">
        <f>IF(AND(AND(AND(Stamoplysninger!$B$22="Ulempetillæg udbetales med 25% af nettotimelønnen.",I37="X",C37="Ikke relevant",U37="X"))),X37/4,0)</f>
        <v>0</v>
      </c>
      <c r="DW37" s="652"/>
      <c r="DZ37" s="671"/>
      <c r="EA37" s="671"/>
      <c r="EB37" s="672"/>
      <c r="EC37" s="652">
        <f>IF(Stamoplysninger!$B$22="Ulempetillæg afspadseres med 25%(Kræver en aftale imellem ledelsen og den ansatte)",(R37+X37)/4,0)</f>
        <v>0</v>
      </c>
      <c r="ED37">
        <f>IF(AND(Stamoplysninger!$B$22="Ulempetillæg afspadseres med 25%(Kræver en aftale imellem ledelsen og den ansatte)",I37="X"),K37/4,0)</f>
        <v>0</v>
      </c>
      <c r="EE37">
        <f>IF(AND(Stamoplysninger!$B$22="Ulempetillæg afspadseres med 25%(Kræver en aftale imellem ledelsen og den ansatte)",I37="X"),V37/4,0)</f>
        <v>0</v>
      </c>
      <c r="EF37">
        <f>IF(AND(AND(Stamoplysninger!$B$22="Ulempetillæg udbetales med 25% af nettotimelønnen.",AG37="X",W37="X")),AJ37/4,0)</f>
        <v>0</v>
      </c>
      <c r="EG37" s="671">
        <f>IF(AND(Stamoplysninger!$B$22="Ulempetillæg afspadseres med 25%(Kræver en aftale imellem ledelsen og den ansatte)",C37="ikke relevant"),(R37+X37)/4,0)</f>
        <v>0</v>
      </c>
      <c r="EH37" s="671">
        <f>IF(AND(AND(Stamoplysninger!$B$22="Ulempetillæg afspadseres med 25%(Kræver en aftale imellem ledelsen og den ansatte)",I37="X",C37="Ikke relevant")),K37/4,0)</f>
        <v>0</v>
      </c>
      <c r="EI37" s="671">
        <f>IF(AND(AND(Stamoplysninger!$B$22="Ulempetillæg afspadseres med 25%(Kræver en aftale imellem ledelsen og den ansatte)",I37="X",C37="Ikke relevant")),V37/4,0)</f>
        <v>0</v>
      </c>
      <c r="EJ37" s="671">
        <f>IF(AND(AND(Stamoplysninger!$B$22="Ulempetillæg afspadseres med 25%(Kræver en aftale imellem ledelsen og den ansatte)",J37="X",D37="Ikke relevant")),W37/4,0)</f>
        <v>0</v>
      </c>
      <c r="EK37" s="283">
        <f>IF(AND(Stamoplysninger!$B$26="Weekendtimer og weekendtillæg afspadseres.",I37="X"),K37+V37,0)</f>
        <v>0</v>
      </c>
      <c r="EL37" s="251">
        <f>IF(AND(Stamoplysninger!$B$26="Weekendtimer og weekendtillæg afspadseres.",J37="X"),(L37+W37)/2,0)</f>
        <v>0</v>
      </c>
      <c r="EM37" s="674">
        <f>IF(AND(AND(Stamoplysninger!$B$26="Weekendtimer og weekendtillæg afspadseres.",I37="X",C37="ikke relevant")),K37+V37,0)</f>
        <v>0</v>
      </c>
      <c r="EN37" s="675">
        <f>IF(AND(AND(Stamoplysninger!$B$26="Weekendtimer og weekendtillæg afspadseres.",I37="X",C37="ikke relevant")),(K37+V37)/2,0)</f>
        <v>0</v>
      </c>
      <c r="EO37" s="283">
        <f>IF(AND(Stamoplysninger!$B$26="Weekendtimer og weekendtillæg udbetales.",I37="X"),K37+V37,0)</f>
        <v>0</v>
      </c>
      <c r="EP37" s="251">
        <f>IF(AND(Stamoplysninger!$B$26="Weekendtimer og weekendtillæg udbetales.",I37="X"),(K37+V37)/2,0)</f>
        <v>0</v>
      </c>
      <c r="EQ37" s="674">
        <f>IF(AND(AND(Stamoplysninger!$B$26="Weekendtimer og weekendtillæg udbetales.",I37="X",C37="ikke relevant")),K37+V37,0)</f>
        <v>0</v>
      </c>
      <c r="ER37" s="675">
        <f>IF(AND(AND(Stamoplysninger!$B$26="Weekendtimer og weekendtillæg udbetales.",I37="X",C37="ikke relevant")),(K37+V37)/2,0)</f>
        <v>0</v>
      </c>
      <c r="ES37" s="283">
        <f>IF(AND(Stamoplysninger!$B$26="Weekendtimer og weekendtillæg udbetales.",M37="X"),O37+Z37,0)</f>
        <v>0</v>
      </c>
      <c r="ET37" s="251">
        <f>IF(AND(Stamoplysninger!$B$26="Weekendtimer og weekendtillæg udbetales.",M37="X"),(O37+Z37)/2,0)</f>
        <v>0</v>
      </c>
      <c r="EU37" s="674">
        <f>IF(AND(AND(Stamoplysninger!$B$26="Weekendtimer og weekendtillæg udbetales.",M37="X",G37="ikke relevant")),O37+Z37,0)</f>
        <v>0</v>
      </c>
      <c r="EV37" s="675">
        <f>IF(AND(AND(Stamoplysninger!$B$26="Weekendtimer og weekendtillæg udbetales.",M37="X",G37="ikke relevant")),(O37+Z37)/2,0)</f>
        <v>0</v>
      </c>
      <c r="EW37" s="283">
        <f>IF(AND(Stamoplysninger!$B$26="Der er indgået lokalaftale omkring weekendtimer(Kræver aftale med TR/FSL). Weekendtillæg udbetales.",I37="X"),K37*0.5,0)</f>
        <v>0</v>
      </c>
      <c r="EX37" s="251">
        <f>IF(AND(AND(Stamoplysninger!$B$26="Der er indgået lokalaftale omkring weekendtimer(Kræver aftale med TR/FSL). Weekendtillæg udbetales.",I37="X",S37="X")),V37*0.5,0)</f>
        <v>0</v>
      </c>
      <c r="EY37" s="674">
        <f>IF(AND(AND(Stamoplysninger!$B$26="Der er indgået lokalaftale omkring weekendtimer(Kræver aftale med TR/FSL). Weekendtillæg udbetales.",I37="X",C37="ikke relevant")),K37*0.5,0)</f>
        <v>0</v>
      </c>
      <c r="EZ37" s="675">
        <f>IF(AND(AND(AND(Stamoplysninger!$B$26="Der er indgået lokalaftale omkring weekendtimer(Kræver aftale med TR/FSL). Weekendtillæg udbetales.",I37="X",C37="ikke relevant",S37="X"))),(V37*0.5),0)</f>
        <v>0</v>
      </c>
      <c r="FA37" s="283">
        <f>IF(AND(Stamoplysninger!$B$26="Der er indgået lokalaftale omkring weekendtimer(Kræver aftale med TR/FSL). Weekendtillæg udbetales.",M37="X"),O37*0.5,0)</f>
        <v>0</v>
      </c>
      <c r="FB37" s="251">
        <f>IF(AND(AND(Stamoplysninger!$B$26="Der er indgået lokalaftale omkring weekendtimer(Kræver aftale med TR/FSL). Weekendtillæg udbetales.",M37="X",W37="X")),Z37*0.5,0)</f>
        <v>0</v>
      </c>
      <c r="FC37" s="674">
        <f>IF(AND(AND(Stamoplysninger!$B$26="Der er indgået lokalaftale omkring weekendtimer(Kræver aftale med TR/FSL). Weekendtillæg udbetales.",M37="X",G37="ikke relevant")),O37*0.5,0)</f>
        <v>0</v>
      </c>
      <c r="FD37" s="675">
        <f>IF(AND(AND(AND(Stamoplysninger!$B$26="Der er indgået lokalaftale omkring weekendtimer(Kræver aftale med TR/FSL). Weekendtillæg udbetales.",M37="X",G37="ikke relevant",W37="X"))),(Z37*0.5),0)</f>
        <v>0</v>
      </c>
      <c r="FE37" s="283">
        <f>IF(AND(Stamoplysninger!$B$26="Der er indgået lokalaftale omkring weekendtimer(Kræver aftale med TR/FSL). Weekendtillæg udbetales.",Q37="X"),S37*0.5,0)</f>
        <v>0</v>
      </c>
      <c r="FF37" s="251">
        <f>IF(AND(AND(Stamoplysninger!$B$26="Der er indgået lokalaftale omkring weekendtimer(Kræver aftale med TR/FSL). Weekendtillæg udbetales.",Q37="X",AA37="X")),AD37*0.5,0)</f>
        <v>0</v>
      </c>
      <c r="FG37" s="674">
        <f>IF(AND(AND(Stamoplysninger!$B$26="Der er indgået lokalaftale omkring weekendtimer(Kræver aftale med TR/FSL). Weekendtillæg udbetales.",Q37="X",K37="ikke relevant")),S37*0.5,0)</f>
        <v>0</v>
      </c>
      <c r="FH37" s="675">
        <f>IF(AND(AND(AND(Stamoplysninger!$B$26="Der er indgået lokalaftale omkring weekendtimer(Kræver aftale med TR/FSL). Weekendtillæg udbetales.",Q37="X",K37="ikke relevant",AA37="X"))),(AD37*0.5),0)</f>
        <v>0</v>
      </c>
      <c r="FI37" s="283">
        <f>IF(AND(Stamoplysninger!$B$26="Weekendtimer og weekendtillæg afspadseres.",I37="X"),K37,0)</f>
        <v>0</v>
      </c>
      <c r="FJ37" s="251">
        <f>IF(AND(Stamoplysninger!$B$26="Weekendtimer og weekendtillæg afspadseres.",Y37="X"),(AA37+AL37)/2,0)</f>
        <v>0</v>
      </c>
      <c r="FK37" s="674">
        <f>IF(AND(AND(Stamoplysninger!$B$26="Weekendtimer og weekendtillæg afspadseres.",I37="X",C37="ikke relevant")),K37,0)</f>
        <v>0</v>
      </c>
      <c r="FL37" s="675">
        <f>IF(AND(AND(Stamoplysninger!$B$26="Weekendtimer og weekendtillæg afspadseres.",Y37="X",S37="ikke relevant")),(AA37+AL37)/2,0)</f>
        <v>0</v>
      </c>
      <c r="FM37" s="283">
        <f>IF(AND(Stamoplysninger!$B$26="Der er indgået lokalaftale omkring weekendtillæg(Kræver aftale med TR/FSL). Weekendtimerne afspadseres.",I37="X"),K37,0)</f>
        <v>0</v>
      </c>
      <c r="FN37" s="674">
        <f>IF(AND(AND(Stamoplysninger!$B$26="Der er indgået lokalaftale omkring weekendtillæg(Kræver aftale med TR/FSL). Weekendtimerne afspadseres.",I37="X",C37="ikke relevant")),K37,0)</f>
        <v>0</v>
      </c>
      <c r="FO37" s="283">
        <f>IF(AND(Stamoplysninger!$B$26="Weekendtimer og weekendtillæg udbetales.",I37="X"),K37,0)</f>
        <v>0</v>
      </c>
      <c r="FP37" s="251">
        <f>IF(AND(Stamoplysninger!$B$26="Weekendtimer og weekendtillæg udbetales.",AA37="X"),(AC37+AN37)/2,0)</f>
        <v>0</v>
      </c>
      <c r="FQ37" s="674">
        <f>IF(AND(AND(Stamoplysninger!$B$26="Weekendtimer og weekendtillæg udbetales.",I37="X",C37="ikke relevant")),K37,0)</f>
        <v>0</v>
      </c>
      <c r="FR37" s="688">
        <f>IF(AND(AND(Stamoplysninger!$B$26="Weekendtimer og weekendtillæg udbetales.",AA37="X",U37="ikke relevant")),(AC37+AN37)/2,0)</f>
        <v>0</v>
      </c>
      <c r="FS37" s="283">
        <f t="shared" si="15"/>
        <v>0</v>
      </c>
      <c r="FT37" s="658">
        <f t="shared" si="16"/>
        <v>0</v>
      </c>
      <c r="FU37">
        <f t="shared" si="31"/>
        <v>0</v>
      </c>
      <c r="FV37" s="283">
        <f>IF(AND(Stamoplysninger!$B$26="Der er indgået lokalaftale omkring weekendtimer.(Kræver aftale med TR/FSL) Weekendtillæg afspadseres.",I37="X"),K37,0)</f>
        <v>0</v>
      </c>
      <c r="FW37" s="674">
        <f>IF(AND(AND(Stamoplysninger!$B$26="Der er indgået lokalaftale omkring weekendtimer.(Kræver aftale med TR/FSL) Weekendtillæg afspadseres.",I37="X",C37="ikke relevant")),K37,0)</f>
        <v>0</v>
      </c>
      <c r="FX37" s="283">
        <f>IF(AND(Stamoplysninger!$B$26="Der er indgået lokalaftale omkring weekendtimer(Kræver aftale med TR/FSL). Weekendtillæg udbetales.",I37="X"),K37,0)</f>
        <v>0</v>
      </c>
      <c r="FY37" s="674">
        <f>IF(AND(AND(Stamoplysninger!$B$26="Der er indgået lokalaftale omkring weekendtimer(Kræver aftale med TR/FSL). Weekendtillæg udbetales.",I37="X",C37="ikke relevant")),K37,0)</f>
        <v>0</v>
      </c>
      <c r="FZ37" s="283">
        <f>IF(AND(Stamoplysninger!$B$26="Der er indgået lokalaftale omkring weekendtillæg(Kræver aftale med TR/FSL). Weekendtimerne udbetales.",I37="X"),K37,0)</f>
        <v>0</v>
      </c>
      <c r="GA37" s="674">
        <f>IF(AND(AND(Stamoplysninger!$B$26="Der er indgået lokalaftale omkring weekendtillæg(Kræver aftale med TR/FSL). Weekendtimerne udbetales.",I37="X",C37="ikke relevant")),K37,0)</f>
        <v>0</v>
      </c>
      <c r="GB37" s="283">
        <f>IF(AND(Stamoplysninger!$B$26="Der er indgået lokalaftale omkring weekendtimer og weekendtillæg.(Kræver aftale med TR/FSL).",I37="X"),K37,0)</f>
        <v>0</v>
      </c>
      <c r="GC37" s="674">
        <f>IF(AND(AND(Stamoplysninger!$B$26="Der er indgået lokalaftale omkring weekendtimer og weekendtillæg.(Kræver aftale med TR/FSL).",I37="X",C37="ikke relevant")),K37,0)</f>
        <v>0</v>
      </c>
    </row>
    <row r="38" spans="1:185">
      <c r="A38" s="245">
        <f t="shared" si="18"/>
        <v>30</v>
      </c>
      <c r="B38" s="128" t="str">
        <f t="shared" si="0"/>
        <v>to</v>
      </c>
      <c r="C38" s="129" t="s">
        <v>207</v>
      </c>
      <c r="D38" s="130" t="str">
        <f t="shared" si="1"/>
        <v/>
      </c>
      <c r="E38" s="917"/>
      <c r="F38" s="918"/>
      <c r="G38" s="919"/>
      <c r="H38" s="298"/>
      <c r="I38" s="527"/>
      <c r="J38" s="413"/>
      <c r="K38" s="380"/>
      <c r="L38" s="380"/>
      <c r="M38" s="380"/>
      <c r="N38" s="318">
        <f t="shared" si="19"/>
        <v>7.75</v>
      </c>
      <c r="O38" s="318">
        <f t="shared" si="20"/>
        <v>3</v>
      </c>
      <c r="P38" s="318">
        <f>IF(Stamoplysninger!$H$29="JA",Januar!DG38,CX38)</f>
        <v>0.83333333333333337</v>
      </c>
      <c r="Q38" s="318">
        <f t="shared" si="21"/>
        <v>3.9166666666666665</v>
      </c>
      <c r="R38" s="319"/>
      <c r="S38" s="324"/>
      <c r="T38" s="325"/>
      <c r="U38" s="441"/>
      <c r="V38" s="435"/>
      <c r="W38" s="412"/>
      <c r="X38" s="642"/>
      <c r="Y38">
        <f t="shared" si="22"/>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f>IF(AND(C38="Skema 2",B38="to"),Arbejdstidsoversigt!$E$84,"")</f>
        <v>7.75</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7.75</v>
      </c>
      <c r="BB38" s="229">
        <f t="shared" si="8"/>
        <v>0</v>
      </c>
      <c r="BC38" s="1">
        <f t="shared" si="24"/>
        <v>0</v>
      </c>
      <c r="BD38" s="1">
        <f t="shared" si="9"/>
        <v>0</v>
      </c>
      <c r="BE38" s="1">
        <f t="shared" si="10"/>
        <v>0</v>
      </c>
      <c r="BF38" s="1">
        <f t="shared" si="11"/>
        <v>0</v>
      </c>
      <c r="BG38" s="210" t="str">
        <f>IF(AND(C38="Skema 1",B38="ma"),Skemaoplysninger!$E$30,"")</f>
        <v/>
      </c>
      <c r="BH38" s="210" t="str">
        <f>IF(AND(C38="Skema 1",B38="ti"),Skemaoplysninger!$G$30,"")</f>
        <v/>
      </c>
      <c r="BI38" s="210" t="str">
        <f>IF(AND(C38="Skema 1",B38="on"),Skemaoplysninger!$I$30,"")</f>
        <v/>
      </c>
      <c r="BJ38" s="210" t="str">
        <f>IF(AND(C38="Skema 1",B38="to"),Skemaoplysninger!$K$30,"")</f>
        <v/>
      </c>
      <c r="BK38" s="210" t="str">
        <f>IF(AND(C38="Skema 1",B38="fr"),Skemaoplysninger!$M$30,"")</f>
        <v/>
      </c>
      <c r="BL38" s="210" t="str">
        <f>IF(AND(C38="Skema 2",B38="ma"),Skemaoplysninger!$S$30,"")</f>
        <v/>
      </c>
      <c r="BM38" s="210" t="str">
        <f>IF(AND(C38="Skema 2",B38="ti"),Skemaoplysninger!$U$30,"")</f>
        <v/>
      </c>
      <c r="BN38" s="210" t="str">
        <f>IF(AND(C38="Skema 2",B38="on"),Skemaoplysninger!$W$30,"")</f>
        <v/>
      </c>
      <c r="BO38" s="210">
        <f>IF(AND(C38="Skema 2",B38="to"),Skemaoplysninger!$Y$30,"")</f>
        <v>0.125</v>
      </c>
      <c r="BP38" s="210" t="str">
        <f>IF(AND(C38="Skema 2",B38="fr"),Skemaoplysninger!$AA$30,"")</f>
        <v/>
      </c>
      <c r="BQ38" s="210" t="str">
        <f>IF(AND(C38="Skema 3",B38="ma"),Skemaoplysninger!$AG$30,"")</f>
        <v/>
      </c>
      <c r="BR38" s="210" t="str">
        <f>IF(AND(C38="Skema 3",B38="ti"),Skemaoplysninger!$AI$30,"")</f>
        <v/>
      </c>
      <c r="BS38" s="210" t="str">
        <f>IF(AND(C38="Skema 3",B38="on"),Skemaoplysninger!$AK$30,"")</f>
        <v/>
      </c>
      <c r="BT38" s="210" t="str">
        <f>IF(AND(C38="Skema 3",B38="to"),Skemaoplysninger!$AM$30,"")</f>
        <v/>
      </c>
      <c r="BU38" s="210" t="str">
        <f>IF(AND(C38="Skema 3",B38="fr"),Skemaoplysninger!$AO$30,"")</f>
        <v/>
      </c>
      <c r="BV38" s="210" t="str">
        <f>IF(AND(C38="Skema 4",B38="ma"),Skemaoplysninger!$AU$30,"")</f>
        <v/>
      </c>
      <c r="BW38" s="210" t="str">
        <f>IF(AND(C38="Skema 4",B38="ti"),Skemaoplysninger!$AW$30,"")</f>
        <v/>
      </c>
      <c r="BX38" s="210" t="str">
        <f>IF(AND(C38="Skema 4",B38="on"),Skemaoplysninger!$AY$30,"")</f>
        <v/>
      </c>
      <c r="BY38" s="210" t="str">
        <f>IF(AND(C38="Skema 4",B38="to"),Skemaoplysninger!$BA$30,"")</f>
        <v/>
      </c>
      <c r="BZ38" s="210" t="str">
        <f>IF(AND(C38="Skema 4",B38="fr"),Skemaoplysninger!$BC$30,"")</f>
        <v/>
      </c>
      <c r="CA38" s="1">
        <f t="shared" si="25"/>
        <v>3</v>
      </c>
      <c r="CB38" s="1">
        <f t="shared" si="12"/>
        <v>0</v>
      </c>
      <c r="CC38" s="1">
        <f t="shared" si="13"/>
        <v>0</v>
      </c>
      <c r="CD38" s="210" t="str">
        <f>IF(AND(C38="Skema 1",B38="ma"),Skemaoplysninger!$E$31,"")</f>
        <v/>
      </c>
      <c r="CE38" s="210" t="str">
        <f>IF(AND(C38="Skema 1",B38="ti"),Skemaoplysninger!$G$31,"")</f>
        <v/>
      </c>
      <c r="CF38" s="210" t="str">
        <f>IF(AND(C38="Skema 1",B38="on"),Skemaoplysninger!$I$31,"")</f>
        <v/>
      </c>
      <c r="CG38" s="210" t="str">
        <f>IF(AND(C38="Skema 1",B38="to"),Skemaoplysninger!$K$31,"")</f>
        <v/>
      </c>
      <c r="CH38" s="210" t="str">
        <f>IF(AND(C38="Skema 1",B38="fr"),Skemaoplysninger!$M$31,"")</f>
        <v/>
      </c>
      <c r="CI38" s="210" t="str">
        <f>IF(AND(C38="Skema 2",B38="ma"),Skemaoplysninger!$S$31,"")</f>
        <v/>
      </c>
      <c r="CJ38" s="210" t="str">
        <f>IF(AND(C38="Skema 2",B38="ti"),Skemaoplysninger!$U$31,"")</f>
        <v/>
      </c>
      <c r="CK38" s="210" t="str">
        <f>IF(AND(C38="Skema 2",B38="on"),Skemaoplysninger!$W$31,"")</f>
        <v/>
      </c>
      <c r="CL38" s="210">
        <f>IF(AND(C38="Skema 2",B38="to"),Skemaoplysninger!$Y$31,"")</f>
        <v>3.4722222222222224E-2</v>
      </c>
      <c r="CM38" s="210" t="str">
        <f>IF(AND(C38="Skema 2",B38="fr"),Skemaoplysninger!$AA$31,"")</f>
        <v/>
      </c>
      <c r="CN38" s="210" t="str">
        <f>IF(AND(C38="Skema 3",B38="ma"),Skemaoplysninger!$AG$31,"")</f>
        <v/>
      </c>
      <c r="CO38" s="210" t="str">
        <f>IF(AND(C38="Skema 3",B38="ti"),Skemaoplysninger!$AI$31,"")</f>
        <v/>
      </c>
      <c r="CP38" s="210" t="str">
        <f>IF(AND(C38="Skema 3",B38="on"),Skemaoplysninger!$AK$31,"")</f>
        <v/>
      </c>
      <c r="CQ38" s="210" t="str">
        <f>IF(AND(C38="Skema 3",B38="to"),Skemaoplysninger!$AM$31,"")</f>
        <v/>
      </c>
      <c r="CR38" s="210" t="str">
        <f>IF(AND(C38="Skema 3",B38="fr"),Skemaoplysninger!$AO$31,"")</f>
        <v/>
      </c>
      <c r="CS38" s="210" t="str">
        <f>IF(AND(C38="Skema 4",B38="ma"),Skemaoplysninger!$AU$31,"")</f>
        <v/>
      </c>
      <c r="CT38" s="210" t="str">
        <f>IF(AND(C38="Skema 4",B38="ti"),Skemaoplysninger!$AW$31,"")</f>
        <v/>
      </c>
      <c r="CU38" s="210" t="str">
        <f>IF(AND(C38="Skema 4",B38="on"),Skemaoplysninger!$AY$31,"")</f>
        <v/>
      </c>
      <c r="CV38" s="210" t="str">
        <f>IF(AND(C38="Skema 4",B38="to"),Skemaoplysninger!$BA$31,"")</f>
        <v/>
      </c>
      <c r="CW38" s="210" t="str">
        <f>IF(AND(C38="Skema 4",B38="fr"),Skemaoplysninger!$BC$31,"")</f>
        <v/>
      </c>
      <c r="CX38" s="249">
        <f>IF(Stamoplysninger!$H$29="NEJ",SUM(CD38:CW38)*24+CB38+CC38,0)</f>
        <v>0.83333333333333337</v>
      </c>
      <c r="CY38" s="249">
        <f>IF(C38="Skema 1",Stamoplysninger!$H$30/200,0)</f>
        <v>0</v>
      </c>
      <c r="CZ38" s="249">
        <f>IF(C38="Skema 2",Stamoplysninger!$H$30/200,0)</f>
        <v>0</v>
      </c>
      <c r="DA38" s="249">
        <f>IF(C38="Skema 3",Stamoplysninger!$H$30/200,0)</f>
        <v>0</v>
      </c>
      <c r="DB38" s="249">
        <f>IF(C38="Skema 4",Stamoplysninger!$H$30/200,0)</f>
        <v>0</v>
      </c>
      <c r="DC38" s="249">
        <f>IF(C38="fagdag",Stamoplysninger!$H$30/200,0)</f>
        <v>0</v>
      </c>
      <c r="DD38" s="249">
        <f>IF(C38="emnedag",Stamoplysninger!$H$30/200,0)</f>
        <v>0</v>
      </c>
      <c r="DE38" s="249">
        <f>IF(C38="lejrskole",Stamoplysninger!$H$30/200,0)</f>
        <v>0</v>
      </c>
      <c r="DF38" s="249">
        <f>IF(C38="ekskursion",Stamoplysninger!$H$30/200,0)</f>
        <v>0</v>
      </c>
      <c r="DG38" s="249">
        <f t="shared" si="26"/>
        <v>0</v>
      </c>
      <c r="DH38" t="str">
        <f t="shared" si="27"/>
        <v/>
      </c>
      <c r="DI38">
        <f t="shared" si="28"/>
        <v>0</v>
      </c>
      <c r="DJ38">
        <f t="shared" si="29"/>
        <v>0</v>
      </c>
      <c r="DK38" t="str">
        <f t="shared" si="14"/>
        <v/>
      </c>
      <c r="DL38" t="str">
        <f t="shared" si="14"/>
        <v/>
      </c>
      <c r="DM38" t="str">
        <f t="shared" si="14"/>
        <v/>
      </c>
      <c r="DN38" t="str">
        <f t="shared" si="30"/>
        <v/>
      </c>
      <c r="DO38" s="652">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71">
        <f>IF(AND(Stamoplysninger!$B$22="Ulempetillæg udbetales med 25% af nettotimelønnen.",C38="ikke relevant"),(R38)/4,0)</f>
        <v>0</v>
      </c>
      <c r="DT38" s="671">
        <f>IF(AND(AND(Stamoplysninger!$B$22="Ulempetillæg udbetales med 25% af nettotimelønnen.",I38="X",C38="Ikke relevant")),K38/4,0)</f>
        <v>0</v>
      </c>
      <c r="DU38" s="671">
        <f>IF(AND(AND(Stamoplysninger!$B$22="Ulempetillæg udbetales med 25% af nettotimelønnen.",C38="ikke relevant",U38="X")),(X38/4),0)</f>
        <v>0</v>
      </c>
      <c r="DV38" s="672">
        <f>IF(AND(AND(AND(Stamoplysninger!$B$22="Ulempetillæg udbetales med 25% af nettotimelønnen.",I38="X",C38="Ikke relevant",U38="X"))),X38/4,0)</f>
        <v>0</v>
      </c>
      <c r="DW38" s="652"/>
      <c r="DZ38" s="671"/>
      <c r="EA38" s="671"/>
      <c r="EB38" s="672"/>
      <c r="EC38" s="652">
        <f>IF(Stamoplysninger!$B$22="Ulempetillæg afspadseres med 25%(Kræver en aftale imellem ledelsen og den ansatte)",(R38+X38)/4,0)</f>
        <v>0</v>
      </c>
      <c r="ED38">
        <f>IF(AND(Stamoplysninger!$B$22="Ulempetillæg afspadseres med 25%(Kræver en aftale imellem ledelsen og den ansatte)",I38="X"),K38/4,0)</f>
        <v>0</v>
      </c>
      <c r="EE38">
        <f>IF(AND(Stamoplysninger!$B$22="Ulempetillæg afspadseres med 25%(Kræver en aftale imellem ledelsen og den ansatte)",I38="X"),V38/4,0)</f>
        <v>0</v>
      </c>
      <c r="EF38">
        <f>IF(AND(AND(Stamoplysninger!$B$22="Ulempetillæg udbetales med 25% af nettotimelønnen.",AG38="X",W38="X")),AJ38/4,0)</f>
        <v>0</v>
      </c>
      <c r="EG38" s="671">
        <f>IF(AND(Stamoplysninger!$B$22="Ulempetillæg afspadseres med 25%(Kræver en aftale imellem ledelsen og den ansatte)",C38="ikke relevant"),(R38+X38)/4,0)</f>
        <v>0</v>
      </c>
      <c r="EH38" s="671">
        <f>IF(AND(AND(Stamoplysninger!$B$22="Ulempetillæg afspadseres med 25%(Kræver en aftale imellem ledelsen og den ansatte)",I38="X",C38="Ikke relevant")),K38/4,0)</f>
        <v>0</v>
      </c>
      <c r="EI38" s="671">
        <f>IF(AND(AND(Stamoplysninger!$B$22="Ulempetillæg afspadseres med 25%(Kræver en aftale imellem ledelsen og den ansatte)",I38="X",C38="Ikke relevant")),V38/4,0)</f>
        <v>0</v>
      </c>
      <c r="EJ38" s="671">
        <f>IF(AND(AND(Stamoplysninger!$B$22="Ulempetillæg afspadseres med 25%(Kræver en aftale imellem ledelsen og den ansatte)",J38="X",D38="Ikke relevant")),W38/4,0)</f>
        <v>0</v>
      </c>
      <c r="EK38" s="283">
        <f>IF(AND(Stamoplysninger!$B$26="Weekendtimer og weekendtillæg afspadseres.",I38="X"),K38+V38,0)</f>
        <v>0</v>
      </c>
      <c r="EL38" s="251">
        <f>IF(AND(Stamoplysninger!$B$26="Weekendtimer og weekendtillæg afspadseres.",J38="X"),(L38+W38)/2,0)</f>
        <v>0</v>
      </c>
      <c r="EM38" s="674">
        <f>IF(AND(AND(Stamoplysninger!$B$26="Weekendtimer og weekendtillæg afspadseres.",I38="X",C38="ikke relevant")),K38+V38,0)</f>
        <v>0</v>
      </c>
      <c r="EN38" s="675">
        <f>IF(AND(AND(Stamoplysninger!$B$26="Weekendtimer og weekendtillæg afspadseres.",I38="X",C38="ikke relevant")),(K38+V38)/2,0)</f>
        <v>0</v>
      </c>
      <c r="EO38" s="283">
        <f>IF(AND(Stamoplysninger!$B$26="Weekendtimer og weekendtillæg udbetales.",I38="X"),K38+V38,0)</f>
        <v>0</v>
      </c>
      <c r="EP38" s="251">
        <f>IF(AND(Stamoplysninger!$B$26="Weekendtimer og weekendtillæg udbetales.",I38="X"),(K38+V38)/2,0)</f>
        <v>0</v>
      </c>
      <c r="EQ38" s="674">
        <f>IF(AND(AND(Stamoplysninger!$B$26="Weekendtimer og weekendtillæg udbetales.",I38="X",C38="ikke relevant")),K38+V38,0)</f>
        <v>0</v>
      </c>
      <c r="ER38" s="675">
        <f>IF(AND(AND(Stamoplysninger!$B$26="Weekendtimer og weekendtillæg udbetales.",I38="X",C38="ikke relevant")),(K38+V38)/2,0)</f>
        <v>0</v>
      </c>
      <c r="ES38" s="283">
        <f>IF(AND(Stamoplysninger!$B$26="Weekendtimer og weekendtillæg udbetales.",M38="X"),O38+Z38,0)</f>
        <v>0</v>
      </c>
      <c r="ET38" s="251">
        <f>IF(AND(Stamoplysninger!$B$26="Weekendtimer og weekendtillæg udbetales.",M38="X"),(O38+Z38)/2,0)</f>
        <v>0</v>
      </c>
      <c r="EU38" s="674">
        <f>IF(AND(AND(Stamoplysninger!$B$26="Weekendtimer og weekendtillæg udbetales.",M38="X",G38="ikke relevant")),O38+Z38,0)</f>
        <v>0</v>
      </c>
      <c r="EV38" s="675">
        <f>IF(AND(AND(Stamoplysninger!$B$26="Weekendtimer og weekendtillæg udbetales.",M38="X",G38="ikke relevant")),(O38+Z38)/2,0)</f>
        <v>0</v>
      </c>
      <c r="EW38" s="283">
        <f>IF(AND(Stamoplysninger!$B$26="Der er indgået lokalaftale omkring weekendtimer(Kræver aftale med TR/FSL). Weekendtillæg udbetales.",I38="X"),K38*0.5,0)</f>
        <v>0</v>
      </c>
      <c r="EX38" s="251">
        <f>IF(AND(AND(Stamoplysninger!$B$26="Der er indgået lokalaftale omkring weekendtimer(Kræver aftale med TR/FSL). Weekendtillæg udbetales.",I38="X",S38="X")),V38*0.5,0)</f>
        <v>0</v>
      </c>
      <c r="EY38" s="674">
        <f>IF(AND(AND(Stamoplysninger!$B$26="Der er indgået lokalaftale omkring weekendtimer(Kræver aftale med TR/FSL). Weekendtillæg udbetales.",I38="X",C38="ikke relevant")),K38*0.5,0)</f>
        <v>0</v>
      </c>
      <c r="EZ38" s="675">
        <f>IF(AND(AND(AND(Stamoplysninger!$B$26="Der er indgået lokalaftale omkring weekendtimer(Kræver aftale med TR/FSL). Weekendtillæg udbetales.",I38="X",C38="ikke relevant",S38="X"))),(V38*0.5),0)</f>
        <v>0</v>
      </c>
      <c r="FA38" s="283">
        <f>IF(AND(Stamoplysninger!$B$26="Der er indgået lokalaftale omkring weekendtimer(Kræver aftale med TR/FSL). Weekendtillæg udbetales.",M38="X"),O38*0.5,0)</f>
        <v>0</v>
      </c>
      <c r="FB38" s="251">
        <f>IF(AND(AND(Stamoplysninger!$B$26="Der er indgået lokalaftale omkring weekendtimer(Kræver aftale med TR/FSL). Weekendtillæg udbetales.",M38="X",W38="X")),Z38*0.5,0)</f>
        <v>0</v>
      </c>
      <c r="FC38" s="674">
        <f>IF(AND(AND(Stamoplysninger!$B$26="Der er indgået lokalaftale omkring weekendtimer(Kræver aftale med TR/FSL). Weekendtillæg udbetales.",M38="X",G38="ikke relevant")),O38*0.5,0)</f>
        <v>0</v>
      </c>
      <c r="FD38" s="675">
        <f>IF(AND(AND(AND(Stamoplysninger!$B$26="Der er indgået lokalaftale omkring weekendtimer(Kræver aftale med TR/FSL). Weekendtillæg udbetales.",M38="X",G38="ikke relevant",W38="X"))),(Z38*0.5),0)</f>
        <v>0</v>
      </c>
      <c r="FE38" s="283">
        <f>IF(AND(Stamoplysninger!$B$26="Der er indgået lokalaftale omkring weekendtimer(Kræver aftale med TR/FSL). Weekendtillæg udbetales.",Q38="X"),S38*0.5,0)</f>
        <v>0</v>
      </c>
      <c r="FF38" s="251">
        <f>IF(AND(AND(Stamoplysninger!$B$26="Der er indgået lokalaftale omkring weekendtimer(Kræver aftale med TR/FSL). Weekendtillæg udbetales.",Q38="X",AA38="X")),AD38*0.5,0)</f>
        <v>0</v>
      </c>
      <c r="FG38" s="674">
        <f>IF(AND(AND(Stamoplysninger!$B$26="Der er indgået lokalaftale omkring weekendtimer(Kræver aftale med TR/FSL). Weekendtillæg udbetales.",Q38="X",K38="ikke relevant")),S38*0.5,0)</f>
        <v>0</v>
      </c>
      <c r="FH38" s="675">
        <f>IF(AND(AND(AND(Stamoplysninger!$B$26="Der er indgået lokalaftale omkring weekendtimer(Kræver aftale med TR/FSL). Weekendtillæg udbetales.",Q38="X",K38="ikke relevant",AA38="X"))),(AD38*0.5),0)</f>
        <v>0</v>
      </c>
      <c r="FI38" s="283">
        <f>IF(AND(Stamoplysninger!$B$26="Weekendtimer og weekendtillæg afspadseres.",I38="X"),K38,0)</f>
        <v>0</v>
      </c>
      <c r="FJ38" s="251">
        <f>IF(AND(Stamoplysninger!$B$26="Weekendtimer og weekendtillæg afspadseres.",Y38="X"),(AA38+AL38)/2,0)</f>
        <v>0</v>
      </c>
      <c r="FK38" s="674">
        <f>IF(AND(AND(Stamoplysninger!$B$26="Weekendtimer og weekendtillæg afspadseres.",I38="X",C38="ikke relevant")),K38,0)</f>
        <v>0</v>
      </c>
      <c r="FL38" s="675">
        <f>IF(AND(AND(Stamoplysninger!$B$26="Weekendtimer og weekendtillæg afspadseres.",Y38="X",S38="ikke relevant")),(AA38+AL38)/2,0)</f>
        <v>0</v>
      </c>
      <c r="FM38" s="283">
        <f>IF(AND(Stamoplysninger!$B$26="Der er indgået lokalaftale omkring weekendtillæg(Kræver aftale med TR/FSL). Weekendtimerne afspadseres.",I38="X"),K38,0)</f>
        <v>0</v>
      </c>
      <c r="FN38" s="674">
        <f>IF(AND(AND(Stamoplysninger!$B$26="Der er indgået lokalaftale omkring weekendtillæg(Kræver aftale med TR/FSL). Weekendtimerne afspadseres.",I38="X",C38="ikke relevant")),K38,0)</f>
        <v>0</v>
      </c>
      <c r="FO38" s="283">
        <f>IF(AND(Stamoplysninger!$B$26="Weekendtimer og weekendtillæg udbetales.",I38="X"),K38,0)</f>
        <v>0</v>
      </c>
      <c r="FP38" s="251">
        <f>IF(AND(Stamoplysninger!$B$26="Weekendtimer og weekendtillæg udbetales.",AA38="X"),(AC38+AN38)/2,0)</f>
        <v>0</v>
      </c>
      <c r="FQ38" s="674">
        <f>IF(AND(AND(Stamoplysninger!$B$26="Weekendtimer og weekendtillæg udbetales.",I38="X",C38="ikke relevant")),K38,0)</f>
        <v>0</v>
      </c>
      <c r="FR38" s="688">
        <f>IF(AND(AND(Stamoplysninger!$B$26="Weekendtimer og weekendtillæg udbetales.",AA38="X",U38="ikke relevant")),(AC38+AN38)/2,0)</f>
        <v>0</v>
      </c>
      <c r="FS38" s="283">
        <f>IF(AND(I38="X",S38="X"),V38,0)</f>
        <v>0</v>
      </c>
      <c r="FT38" s="658">
        <f>IF(AND(AND(C38="ikke relevant",I38="X",S38="X")),V38,0)</f>
        <v>0</v>
      </c>
      <c r="FU38">
        <f t="shared" si="31"/>
        <v>0</v>
      </c>
      <c r="FV38" s="283">
        <f>IF(AND(Stamoplysninger!$B$26="Der er indgået lokalaftale omkring weekendtimer.(Kræver aftale med TR/FSL) Weekendtillæg afspadseres.",I38="X"),K38,0)</f>
        <v>0</v>
      </c>
      <c r="FW38" s="674">
        <f>IF(AND(AND(Stamoplysninger!$B$26="Der er indgået lokalaftale omkring weekendtimer.(Kræver aftale med TR/FSL) Weekendtillæg afspadseres.",I38="X",C38="ikke relevant")),K38,0)</f>
        <v>0</v>
      </c>
      <c r="FX38" s="283">
        <f>IF(AND(Stamoplysninger!$B$26="Der er indgået lokalaftale omkring weekendtimer(Kræver aftale med TR/FSL). Weekendtillæg udbetales.",I38="X"),K38,0)</f>
        <v>0</v>
      </c>
      <c r="FY38" s="674">
        <f>IF(AND(AND(Stamoplysninger!$B$26="Der er indgået lokalaftale omkring weekendtimer(Kræver aftale med TR/FSL). Weekendtillæg udbetales.",I38="X",C38="ikke relevant")),K38,0)</f>
        <v>0</v>
      </c>
      <c r="FZ38" s="283">
        <f>IF(AND(Stamoplysninger!$B$26="Der er indgået lokalaftale omkring weekendtillæg(Kræver aftale med TR/FSL). Weekendtimerne udbetales.",I38="X"),K38,0)</f>
        <v>0</v>
      </c>
      <c r="GA38" s="674">
        <f>IF(AND(AND(Stamoplysninger!$B$26="Der er indgået lokalaftale omkring weekendtillæg(Kræver aftale med TR/FSL). Weekendtimerne udbetales.",I38="X",C38="ikke relevant")),K38,0)</f>
        <v>0</v>
      </c>
      <c r="GB38" s="283">
        <f>IF(AND(Stamoplysninger!$B$26="Der er indgået lokalaftale omkring weekendtimer og weekendtillæg.(Kræver aftale med TR/FSL).",I38="X"),K38,0)</f>
        <v>0</v>
      </c>
      <c r="GC38" s="674">
        <f>IF(AND(AND(Stamoplysninger!$B$26="Der er indgået lokalaftale omkring weekendtimer og weekendtillæg.(Kræver aftale med TR/FSL).",I38="X",C38="ikke relevant")),K38,0)</f>
        <v>0</v>
      </c>
    </row>
    <row r="39" spans="1:185" ht="17" thickBot="1">
      <c r="A39" s="245">
        <f>IF(ISNUMBER(A38),A38+1,1)</f>
        <v>31</v>
      </c>
      <c r="B39" s="128" t="str">
        <f t="shared" si="0"/>
        <v>fr</v>
      </c>
      <c r="C39" s="129" t="s">
        <v>207</v>
      </c>
      <c r="D39" s="130" t="str">
        <f t="shared" si="1"/>
        <v/>
      </c>
      <c r="E39" s="949"/>
      <c r="F39" s="950"/>
      <c r="G39" s="951"/>
      <c r="H39" s="297"/>
      <c r="I39" s="527"/>
      <c r="J39" s="413"/>
      <c r="K39" s="380"/>
      <c r="L39" s="380"/>
      <c r="M39" s="380"/>
      <c r="N39" s="318">
        <f t="shared" si="19"/>
        <v>7</v>
      </c>
      <c r="O39" s="318">
        <f t="shared" si="20"/>
        <v>3</v>
      </c>
      <c r="P39" s="318">
        <f>IF(Stamoplysninger!$H$29="JA",Januar!DG39,CX39)</f>
        <v>0.83333333333333337</v>
      </c>
      <c r="Q39" s="318">
        <f t="shared" si="21"/>
        <v>3.1666666666666665</v>
      </c>
      <c r="R39" s="319"/>
      <c r="S39" s="324"/>
      <c r="T39" s="325"/>
      <c r="U39" s="214"/>
      <c r="V39" s="435"/>
      <c r="W39" s="412"/>
      <c r="X39" s="643"/>
      <c r="Y39">
        <f t="shared" si="22"/>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1",B39="ma"),Arbejdstidsoversigt!$E$72,"")</f>
        <v/>
      </c>
      <c r="AH39" t="str">
        <f>IF(AND(C39="Skema 1",B39="ti"),Arbejdstidsoversigt!$E$73,"")</f>
        <v/>
      </c>
      <c r="AI39" t="str">
        <f>IF(AND(C39="Skema 1",B39="on"),Arbejdstidsoversigt!$E$74,"")</f>
        <v/>
      </c>
      <c r="AJ39" t="str">
        <f>IF(AND(C39="Skema 1",B39="to"),Arbejdstidsoversigt!$E$75,"")</f>
        <v/>
      </c>
      <c r="AK39" t="str">
        <f>IF(AND(C39="Skema 1",B39="fr"),Arbejdstidsoversigt!$E$76,"")</f>
        <v/>
      </c>
      <c r="AL39" t="str">
        <f>IF(AND(C39="Skema 2",B39="ma"),Arbejdstidsoversigt!$E$81,"")</f>
        <v/>
      </c>
      <c r="AM39" t="str">
        <f>IF(AND(C39="Skema 2",B39="ti"),Arbejdstidsoversigt!$E$82,"")</f>
        <v/>
      </c>
      <c r="AN39" t="str">
        <f>IF(AND(C39="Skema 2",B39="on"),Arbejdstidsoversigt!$E$83,"")</f>
        <v/>
      </c>
      <c r="AO39" t="str">
        <f>IF(AND(C39="Skema 2",B39="to"),Arbejdstidsoversigt!$E$84,"")</f>
        <v/>
      </c>
      <c r="AP39">
        <f>IF(AND(C39="Skema 2",B39="fr"),Arbejdstidsoversigt!$E$85,"")</f>
        <v>7</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23"/>
        <v>7</v>
      </c>
      <c r="BB39" s="229">
        <f t="shared" si="8"/>
        <v>0</v>
      </c>
      <c r="BC39" s="1">
        <f t="shared" si="24"/>
        <v>0</v>
      </c>
      <c r="BD39" s="1">
        <f t="shared" si="9"/>
        <v>0</v>
      </c>
      <c r="BE39" s="1">
        <f t="shared" si="10"/>
        <v>0</v>
      </c>
      <c r="BF39" s="1">
        <f t="shared" si="11"/>
        <v>0</v>
      </c>
      <c r="BG39" s="210" t="str">
        <f>IF(AND(C39="Skema 1",B39="ma"),Skemaoplysninger!$E$30,"")</f>
        <v/>
      </c>
      <c r="BH39" s="210" t="str">
        <f>IF(AND(C39="Skema 1",B39="ti"),Skemaoplysninger!$G$30,"")</f>
        <v/>
      </c>
      <c r="BI39" s="210" t="str">
        <f>IF(AND(C39="Skema 1",B39="on"),Skemaoplysninger!$I$30,"")</f>
        <v/>
      </c>
      <c r="BJ39" s="210" t="str">
        <f>IF(AND(C39="Skema 1",B39="to"),Skemaoplysninger!$K$30,"")</f>
        <v/>
      </c>
      <c r="BK39" s="210" t="str">
        <f>IF(AND(C39="Skema 1",B39="fr"),Skemaoplysninger!$M$30,"")</f>
        <v/>
      </c>
      <c r="BL39" s="210" t="str">
        <f>IF(AND(C39="Skema 2",B39="ma"),Skemaoplysninger!$S$30,"")</f>
        <v/>
      </c>
      <c r="BM39" s="210" t="str">
        <f>IF(AND(C39="Skema 2",B39="ti"),Skemaoplysninger!$U$30,"")</f>
        <v/>
      </c>
      <c r="BN39" s="210" t="str">
        <f>IF(AND(C39="Skema 2",B39="on"),Skemaoplysninger!$W$30,"")</f>
        <v/>
      </c>
      <c r="BO39" s="210" t="str">
        <f>IF(AND(C39="Skema 2",B39="to"),Skemaoplysninger!$Y$30,"")</f>
        <v/>
      </c>
      <c r="BP39" s="210">
        <f>IF(AND(C39="Skema 2",B39="fr"),Skemaoplysninger!$AA$30,"")</f>
        <v>0.125</v>
      </c>
      <c r="BQ39" s="210" t="str">
        <f>IF(AND(C39="Skema 3",B39="ma"),Skemaoplysninger!$AG$30,"")</f>
        <v/>
      </c>
      <c r="BR39" s="210" t="str">
        <f>IF(AND(C39="Skema 3",B39="ti"),Skemaoplysninger!$AI$30,"")</f>
        <v/>
      </c>
      <c r="BS39" s="210" t="str">
        <f>IF(AND(C39="Skema 3",B39="on"),Skemaoplysninger!$AK$30,"")</f>
        <v/>
      </c>
      <c r="BT39" s="210" t="str">
        <f>IF(AND(C39="Skema 3",B39="to"),Skemaoplysninger!$AM$30,"")</f>
        <v/>
      </c>
      <c r="BU39" s="210" t="str">
        <f>IF(AND(C39="Skema 3",B39="fr"),Skemaoplysninger!$AO$30,"")</f>
        <v/>
      </c>
      <c r="BV39" s="210" t="str">
        <f>IF(AND(C39="Skema 4",B39="ma"),Skemaoplysninger!$AU$30,"")</f>
        <v/>
      </c>
      <c r="BW39" s="210" t="str">
        <f>IF(AND(C39="Skema 4",B39="ti"),Skemaoplysninger!$AW$30,"")</f>
        <v/>
      </c>
      <c r="BX39" s="210" t="str">
        <f>IF(AND(C39="Skema 4",B39="on"),Skemaoplysninger!$AY$30,"")</f>
        <v/>
      </c>
      <c r="BY39" s="210" t="str">
        <f>IF(AND(C39="Skema 4",B39="to"),Skemaoplysninger!$BA$30,"")</f>
        <v/>
      </c>
      <c r="BZ39" s="210" t="str">
        <f>IF(AND(C39="Skema 4",B39="fr"),Skemaoplysninger!$BC$30,"")</f>
        <v/>
      </c>
      <c r="CA39" s="1">
        <f t="shared" si="25"/>
        <v>3</v>
      </c>
      <c r="CB39" s="1">
        <f t="shared" si="12"/>
        <v>0</v>
      </c>
      <c r="CC39" s="1">
        <f t="shared" si="13"/>
        <v>0</v>
      </c>
      <c r="CD39" s="210" t="str">
        <f>IF(AND(C39="Skema 1",B39="ma"),Skemaoplysninger!$E$31,"")</f>
        <v/>
      </c>
      <c r="CE39" s="210" t="str">
        <f>IF(AND(C39="Skema 1",B39="ti"),Skemaoplysninger!$G$31,"")</f>
        <v/>
      </c>
      <c r="CF39" s="210" t="str">
        <f>IF(AND(C39="Skema 1",B39="on"),Skemaoplysninger!$I$31,"")</f>
        <v/>
      </c>
      <c r="CG39" s="210" t="str">
        <f>IF(AND(C39="Skema 1",B39="to"),Skemaoplysninger!$K$31,"")</f>
        <v/>
      </c>
      <c r="CH39" s="210" t="str">
        <f>IF(AND(C39="Skema 1",B39="fr"),Skemaoplysninger!$M$31,"")</f>
        <v/>
      </c>
      <c r="CI39" s="210" t="str">
        <f>IF(AND(C39="Skema 2",B39="ma"),Skemaoplysninger!$S$31,"")</f>
        <v/>
      </c>
      <c r="CJ39" s="210" t="str">
        <f>IF(AND(C39="Skema 2",B39="ti"),Skemaoplysninger!$U$31,"")</f>
        <v/>
      </c>
      <c r="CK39" s="210" t="str">
        <f>IF(AND(C39="Skema 2",B39="on"),Skemaoplysninger!$W$31,"")</f>
        <v/>
      </c>
      <c r="CL39" s="210" t="str">
        <f>IF(AND(C39="Skema 2",B39="to"),Skemaoplysninger!$Y$31,"")</f>
        <v/>
      </c>
      <c r="CM39" s="210">
        <f>IF(AND(C39="Skema 2",B39="fr"),Skemaoplysninger!$AA$31,"")</f>
        <v>3.4722222222222224E-2</v>
      </c>
      <c r="CN39" s="210" t="str">
        <f>IF(AND(C39="Skema 3",B39="ma"),Skemaoplysninger!$AG$31,"")</f>
        <v/>
      </c>
      <c r="CO39" s="210" t="str">
        <f>IF(AND(C39="Skema 3",B39="ti"),Skemaoplysninger!$AI$31,"")</f>
        <v/>
      </c>
      <c r="CP39" s="210" t="str">
        <f>IF(AND(C39="Skema 3",B39="on"),Skemaoplysninger!$AK$31,"")</f>
        <v/>
      </c>
      <c r="CQ39" s="210" t="str">
        <f>IF(AND(C39="Skema 3",B39="to"),Skemaoplysninger!$AM$31,"")</f>
        <v/>
      </c>
      <c r="CR39" s="210" t="str">
        <f>IF(AND(C39="Skema 3",B39="fr"),Skemaoplysninger!$AO$31,"")</f>
        <v/>
      </c>
      <c r="CS39" s="210" t="str">
        <f>IF(AND(C39="Skema 4",B39="ma"),Skemaoplysninger!$AU$31,"")</f>
        <v/>
      </c>
      <c r="CT39" s="210" t="str">
        <f>IF(AND(C39="Skema 4",B39="ti"),Skemaoplysninger!$AW$31,"")</f>
        <v/>
      </c>
      <c r="CU39" s="210" t="str">
        <f>IF(AND(C39="Skema 4",B39="on"),Skemaoplysninger!$AY$31,"")</f>
        <v/>
      </c>
      <c r="CV39" s="210" t="str">
        <f>IF(AND(C39="Skema 4",B39="to"),Skemaoplysninger!$BA$31,"")</f>
        <v/>
      </c>
      <c r="CW39" s="210" t="str">
        <f>IF(AND(C39="Skema 4",B39="fr"),Skemaoplysninger!$BC$31,"")</f>
        <v/>
      </c>
      <c r="CX39" s="249">
        <f>IF(Stamoplysninger!$H$29="NEJ",SUM(CD39:CW39)*24+CB39+CC39,0)</f>
        <v>0.83333333333333337</v>
      </c>
      <c r="CY39" s="249">
        <f>IF(C39="Skema 1",Stamoplysninger!$H$30/200,0)</f>
        <v>0</v>
      </c>
      <c r="CZ39" s="249">
        <f>IF(C39="Skema 2",Stamoplysninger!$H$30/200,0)</f>
        <v>0</v>
      </c>
      <c r="DA39" s="249">
        <f>IF(C39="Skema 3",Stamoplysninger!$H$30/200,0)</f>
        <v>0</v>
      </c>
      <c r="DB39" s="249">
        <f>IF(C39="Skema 4",Stamoplysninger!$H$30/200,0)</f>
        <v>0</v>
      </c>
      <c r="DC39" s="249">
        <f>IF(C39="fagdag",Stamoplysninger!$H$30/200,0)</f>
        <v>0</v>
      </c>
      <c r="DD39" s="249">
        <f>IF(C39="emnedag",Stamoplysninger!$H$30/200,0)</f>
        <v>0</v>
      </c>
      <c r="DE39" s="249">
        <f>IF(C39="lejrskole",Stamoplysninger!$H$30/200,0)</f>
        <v>0</v>
      </c>
      <c r="DF39" s="249">
        <f>IF(C39="ekskursion",Stamoplysninger!$H$30/200,0)</f>
        <v>0</v>
      </c>
      <c r="DG39" s="249">
        <f t="shared" si="26"/>
        <v>0</v>
      </c>
      <c r="DH39" t="str">
        <f t="shared" si="27"/>
        <v/>
      </c>
      <c r="DI39">
        <f t="shared" si="28"/>
        <v>0</v>
      </c>
      <c r="DJ39">
        <f t="shared" si="29"/>
        <v>0</v>
      </c>
      <c r="DK39" t="str">
        <f>IF(DH39=0,"",DH39)</f>
        <v/>
      </c>
      <c r="DL39" t="str">
        <f>IF(DI39=0,"",DI39)</f>
        <v/>
      </c>
      <c r="DM39" t="str">
        <f>IF(DJ39=0,"",DJ39)</f>
        <v/>
      </c>
      <c r="DN39" t="str">
        <f t="shared" si="30"/>
        <v/>
      </c>
      <c r="DO39" s="652">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71">
        <f>IF(AND(Stamoplysninger!$B$22="Ulempetillæg udbetales med 25% af nettotimelønnen.",C39="ikke relevant"),(R39)/4,0)</f>
        <v>0</v>
      </c>
      <c r="DT39" s="671">
        <f>IF(AND(AND(Stamoplysninger!$B$22="Ulempetillæg udbetales med 25% af nettotimelønnen.",I39="X",C39="Ikke relevant")),K39/4,0)</f>
        <v>0</v>
      </c>
      <c r="DU39" s="671">
        <f>IF(AND(AND(Stamoplysninger!$B$22="Ulempetillæg udbetales med 25% af nettotimelønnen.",C39="ikke relevant",U39="X")),(X39/4),0)</f>
        <v>0</v>
      </c>
      <c r="DV39" s="672">
        <f>IF(AND(AND(AND(Stamoplysninger!$B$22="Ulempetillæg udbetales med 25% af nettotimelønnen.",I39="X",C39="Ikke relevant",U39="X"))),X39/4,0)</f>
        <v>0</v>
      </c>
      <c r="DW39" s="652"/>
      <c r="DZ39" s="671"/>
      <c r="EA39" s="671"/>
      <c r="EB39" s="672"/>
      <c r="EC39" s="652">
        <f>IF(Stamoplysninger!$B$22="Ulempetillæg afspadseres med 25%(Kræver en aftale imellem ledelsen og den ansatte)",(R39+X39)/4,0)</f>
        <v>0</v>
      </c>
      <c r="ED39">
        <f>IF(AND(Stamoplysninger!$B$22="Ulempetillæg afspadseres med 25%(Kræver en aftale imellem ledelsen og den ansatte)",I39="X"),K39/4,0)</f>
        <v>0</v>
      </c>
      <c r="EE39">
        <f>IF(AND(Stamoplysninger!$B$22="Ulempetillæg afspadseres med 25%(Kræver en aftale imellem ledelsen og den ansatte)",I39="X"),V39/4,0)</f>
        <v>0</v>
      </c>
      <c r="EF39">
        <f>IF(AND(AND(Stamoplysninger!$B$22="Ulempetillæg udbetales med 25% af nettotimelønnen.",AG39="X",W39="X")),AJ39/4,0)</f>
        <v>0</v>
      </c>
      <c r="EG39" s="671">
        <f>IF(AND(Stamoplysninger!$B$22="Ulempetillæg afspadseres med 25%(Kræver en aftale imellem ledelsen og den ansatte)",C39="ikke relevant"),(R39+X39)/4,0)</f>
        <v>0</v>
      </c>
      <c r="EH39" s="671">
        <f>IF(AND(AND(Stamoplysninger!$B$22="Ulempetillæg afspadseres med 25%(Kræver en aftale imellem ledelsen og den ansatte)",I39="X",C39="Ikke relevant")),K39/4,0)</f>
        <v>0</v>
      </c>
      <c r="EI39" s="671">
        <f>IF(AND(AND(Stamoplysninger!$B$22="Ulempetillæg afspadseres med 25%(Kræver en aftale imellem ledelsen og den ansatte)",I39="X",C39="Ikke relevant")),V39/4,0)</f>
        <v>0</v>
      </c>
      <c r="EJ39" s="671">
        <f>IF(AND(AND(Stamoplysninger!$B$22="Ulempetillæg afspadseres med 25%(Kræver en aftale imellem ledelsen og den ansatte)",J39="X",D39="Ikke relevant")),W39/4,0)</f>
        <v>0</v>
      </c>
      <c r="EK39" s="283">
        <f>IF(AND(Stamoplysninger!$B$26="Weekendtimer og weekendtillæg afspadseres.",I39="X"),K39+V39,0)</f>
        <v>0</v>
      </c>
      <c r="EL39" s="251">
        <f>IF(AND(Stamoplysninger!$B$26="Weekendtimer og weekendtillæg afspadseres.",J39="X"),(L39+W39)/2,0)</f>
        <v>0</v>
      </c>
      <c r="EM39" s="674">
        <f>IF(AND(AND(Stamoplysninger!$B$26="Weekendtimer og weekendtillæg afspadseres.",I39="X",C39="ikke relevant")),K39+V39,0)</f>
        <v>0</v>
      </c>
      <c r="EN39" s="675">
        <f>IF(AND(AND(Stamoplysninger!$B$26="Weekendtimer og weekendtillæg afspadseres.",I39="X",C39="ikke relevant")),(K39+V39)/2,0)</f>
        <v>0</v>
      </c>
      <c r="EO39" s="283">
        <f>IF(AND(Stamoplysninger!$B$26="Weekendtimer og weekendtillæg udbetales.",I39="X"),K39+V39,0)</f>
        <v>0</v>
      </c>
      <c r="EP39" s="251">
        <f>IF(AND(Stamoplysninger!$B$26="Weekendtimer og weekendtillæg udbetales.",I39="X"),(K39+V39)/2,0)</f>
        <v>0</v>
      </c>
      <c r="EQ39" s="674">
        <f>IF(AND(AND(Stamoplysninger!$B$26="Weekendtimer og weekendtillæg udbetales.",I39="X",C39="ikke relevant")),K39+V39,0)</f>
        <v>0</v>
      </c>
      <c r="ER39" s="675">
        <f>IF(AND(AND(Stamoplysninger!$B$26="Weekendtimer og weekendtillæg udbetales.",I39="X",C39="ikke relevant")),(K39+V39)/2,0)</f>
        <v>0</v>
      </c>
      <c r="ES39" s="283">
        <f>IF(AND(Stamoplysninger!$B$26="Weekendtimer og weekendtillæg udbetales.",M39="X"),O39+Z39,0)</f>
        <v>0</v>
      </c>
      <c r="ET39" s="251">
        <f>IF(AND(Stamoplysninger!$B$26="Weekendtimer og weekendtillæg udbetales.",M39="X"),(O39+Z39)/2,0)</f>
        <v>0</v>
      </c>
      <c r="EU39" s="674">
        <f>IF(AND(AND(Stamoplysninger!$B$26="Weekendtimer og weekendtillæg udbetales.",M39="X",G39="ikke relevant")),O39+Z39,0)</f>
        <v>0</v>
      </c>
      <c r="EV39" s="675">
        <f>IF(AND(AND(Stamoplysninger!$B$26="Weekendtimer og weekendtillæg udbetales.",M39="X",G39="ikke relevant")),(O39+Z39)/2,0)</f>
        <v>0</v>
      </c>
      <c r="EW39" s="283">
        <f>IF(AND(Stamoplysninger!$B$26="Der er indgået lokalaftale omkring weekendtimer(Kræver aftale med TR/FSL). Weekendtillæg udbetales.",I39="X"),K39*0.5,0)</f>
        <v>0</v>
      </c>
      <c r="EX39" s="251">
        <f>IF(AND(AND(Stamoplysninger!$B$26="Der er indgået lokalaftale omkring weekendtimer(Kræver aftale med TR/FSL). Weekendtillæg udbetales.",I39="X",S39="X")),V39*0.5,0)</f>
        <v>0</v>
      </c>
      <c r="EY39" s="674">
        <f>IF(AND(AND(Stamoplysninger!$B$26="Der er indgået lokalaftale omkring weekendtimer(Kræver aftale med TR/FSL). Weekendtillæg udbetales.",I39="X",C39="ikke relevant")),K39*0.5,0)</f>
        <v>0</v>
      </c>
      <c r="EZ39" s="675">
        <f>IF(AND(AND(AND(Stamoplysninger!$B$26="Der er indgået lokalaftale omkring weekendtimer(Kræver aftale med TR/FSL). Weekendtillæg udbetales.",I39="X",C39="ikke relevant",S39="X"))),(V39*0.5),0)</f>
        <v>0</v>
      </c>
      <c r="FA39" s="283">
        <f>IF(AND(Stamoplysninger!$B$26="Der er indgået lokalaftale omkring weekendtimer(Kræver aftale med TR/FSL). Weekendtillæg udbetales.",M39="X"),O39*0.5,0)</f>
        <v>0</v>
      </c>
      <c r="FB39" s="251">
        <f>IF(AND(AND(Stamoplysninger!$B$26="Der er indgået lokalaftale omkring weekendtimer(Kræver aftale med TR/FSL). Weekendtillæg udbetales.",M39="X",W39="X")),Z39*0.5,0)</f>
        <v>0</v>
      </c>
      <c r="FC39" s="674">
        <f>IF(AND(AND(Stamoplysninger!$B$26="Der er indgået lokalaftale omkring weekendtimer(Kræver aftale med TR/FSL). Weekendtillæg udbetales.",M39="X",G39="ikke relevant")),O39*0.5,0)</f>
        <v>0</v>
      </c>
      <c r="FD39" s="675">
        <f>IF(AND(AND(AND(Stamoplysninger!$B$26="Der er indgået lokalaftale omkring weekendtimer(Kræver aftale med TR/FSL). Weekendtillæg udbetales.",M39="X",G39="ikke relevant",W39="X"))),(Z39*0.5),0)</f>
        <v>0</v>
      </c>
      <c r="FE39" s="283">
        <f>IF(AND(Stamoplysninger!$B$26="Der er indgået lokalaftale omkring weekendtimer(Kræver aftale med TR/FSL). Weekendtillæg udbetales.",Q39="X"),S39*0.5,0)</f>
        <v>0</v>
      </c>
      <c r="FF39" s="251">
        <f>IF(AND(AND(Stamoplysninger!$B$26="Der er indgået lokalaftale omkring weekendtimer(Kræver aftale med TR/FSL). Weekendtillæg udbetales.",Q39="X",AA39="X")),AD39*0.5,0)</f>
        <v>0</v>
      </c>
      <c r="FG39" s="674">
        <f>IF(AND(AND(Stamoplysninger!$B$26="Der er indgået lokalaftale omkring weekendtimer(Kræver aftale med TR/FSL). Weekendtillæg udbetales.",Q39="X",K39="ikke relevant")),S39*0.5,0)</f>
        <v>0</v>
      </c>
      <c r="FH39" s="675">
        <f>IF(AND(AND(AND(Stamoplysninger!$B$26="Der er indgået lokalaftale omkring weekendtimer(Kræver aftale med TR/FSL). Weekendtillæg udbetales.",Q39="X",K39="ikke relevant",AA39="X"))),(AD39*0.5),0)</f>
        <v>0</v>
      </c>
      <c r="FI39" s="283">
        <f>IF(AND(Stamoplysninger!$B$26="Weekendtimer og weekendtillæg afspadseres.",I39="X"),K39,0)</f>
        <v>0</v>
      </c>
      <c r="FJ39" s="251">
        <f>IF(AND(Stamoplysninger!$B$26="Weekendtimer og weekendtillæg afspadseres.",Y39="X"),(AA39+AL39)/2,0)</f>
        <v>0</v>
      </c>
      <c r="FK39" s="674">
        <f>IF(AND(AND(Stamoplysninger!$B$26="Weekendtimer og weekendtillæg afspadseres.",I39="X",C39="ikke relevant")),K39,0)</f>
        <v>0</v>
      </c>
      <c r="FL39" s="675">
        <f>IF(AND(AND(Stamoplysninger!$B$26="Weekendtimer og weekendtillæg afspadseres.",Y39="X",S39="ikke relevant")),(AA39+AL39)/2,0)</f>
        <v>0</v>
      </c>
      <c r="FM39" s="283">
        <f>IF(AND(Stamoplysninger!$B$26="Der er indgået lokalaftale omkring weekendtillæg(Kræver aftale med TR/FSL). Weekendtimerne afspadseres.",I39="X"),K39,0)</f>
        <v>0</v>
      </c>
      <c r="FN39" s="674">
        <f>IF(AND(AND(Stamoplysninger!$B$26="Der er indgået lokalaftale omkring weekendtillæg(Kræver aftale med TR/FSL). Weekendtimerne afspadseres.",I39="X",C39="ikke relevant")),K39,0)</f>
        <v>0</v>
      </c>
      <c r="FO39" s="283">
        <f>IF(AND(Stamoplysninger!$B$26="Weekendtimer og weekendtillæg udbetales.",I39="X"),K39,0)</f>
        <v>0</v>
      </c>
      <c r="FP39" s="251">
        <f>IF(AND(Stamoplysninger!$B$26="Weekendtimer og weekendtillæg udbetales.",AA39="X"),(AC39+AN39)/2,0)</f>
        <v>0</v>
      </c>
      <c r="FQ39" s="674">
        <f>IF(AND(AND(Stamoplysninger!$B$26="Weekendtimer og weekendtillæg udbetales.",I39="X",C39="ikke relevant")),K39,0)</f>
        <v>0</v>
      </c>
      <c r="FR39" s="688">
        <f>IF(AND(AND(Stamoplysninger!$B$26="Weekendtimer og weekendtillæg udbetales.",AA39="X",U39="ikke relevant")),(AC39+AN39)/2,0)</f>
        <v>0</v>
      </c>
      <c r="FS39" s="283">
        <f>IF(AND(I39="X",S39="X"),V39,0)</f>
        <v>0</v>
      </c>
      <c r="FT39" s="658">
        <f>IF(AND(AND(C39="ikke relevant",I39="X",S39="X")),V39,0)</f>
        <v>0</v>
      </c>
      <c r="FU39">
        <f t="shared" si="31"/>
        <v>0</v>
      </c>
      <c r="FV39" s="283">
        <f>IF(AND(Stamoplysninger!$B$26="Der er indgået lokalaftale omkring weekendtimer.(Kræver aftale med TR/FSL) Weekendtillæg afspadseres.",I39="X"),K39,0)</f>
        <v>0</v>
      </c>
      <c r="FW39" s="674">
        <f>IF(AND(AND(Stamoplysninger!$B$26="Der er indgået lokalaftale omkring weekendtimer.(Kræver aftale med TR/FSL) Weekendtillæg afspadseres.",I39="X",C39="ikke relevant")),K39,0)</f>
        <v>0</v>
      </c>
      <c r="FX39" s="283">
        <f>IF(AND(Stamoplysninger!$B$26="Der er indgået lokalaftale omkring weekendtimer(Kræver aftale med TR/FSL). Weekendtillæg udbetales.",I39="X"),K39,0)</f>
        <v>0</v>
      </c>
      <c r="FY39" s="674">
        <f>IF(AND(AND(Stamoplysninger!$B$26="Der er indgået lokalaftale omkring weekendtimer(Kræver aftale med TR/FSL). Weekendtillæg udbetales.",I39="X",C39="ikke relevant")),K39,0)</f>
        <v>0</v>
      </c>
      <c r="FZ39" s="283">
        <f>IF(AND(Stamoplysninger!$B$26="Der er indgået lokalaftale omkring weekendtillæg(Kræver aftale med TR/FSL). Weekendtimerne udbetales.",I39="X"),K39,0)</f>
        <v>0</v>
      </c>
      <c r="GA39" s="674">
        <f>IF(AND(AND(Stamoplysninger!$B$26="Der er indgået lokalaftale omkring weekendtillæg(Kræver aftale med TR/FSL). Weekendtimerne udbetales.",I39="X",C39="ikke relevant")),K39,0)</f>
        <v>0</v>
      </c>
      <c r="GB39" s="283">
        <f>IF(AND(Stamoplysninger!$B$26="Der er indgået lokalaftale omkring weekendtimer og weekendtillæg.(Kræver aftale med TR/FSL).",I39="X"),K39,0)</f>
        <v>0</v>
      </c>
      <c r="GC39" s="674">
        <f>IF(AND(AND(Stamoplysninger!$B$26="Der er indgået lokalaftale omkring weekendtimer og weekendtillæg.(Kræver aftale med TR/FSL).",I39="X",C39="ikke relevant")),K39,0)</f>
        <v>0</v>
      </c>
    </row>
    <row r="40" spans="1:185" ht="17" thickBot="1">
      <c r="A40" s="972" t="s">
        <v>260</v>
      </c>
      <c r="B40" s="973"/>
      <c r="C40" s="973"/>
      <c r="D40" s="973"/>
      <c r="E40" s="973"/>
      <c r="F40" s="973"/>
      <c r="G40" s="973"/>
      <c r="H40" s="973"/>
      <c r="I40" s="974"/>
      <c r="J40" s="313"/>
      <c r="K40" s="321"/>
      <c r="L40" s="321"/>
      <c r="M40" s="321"/>
      <c r="N40" s="322">
        <f>SUM(N9:N39)</f>
        <v>155</v>
      </c>
      <c r="O40" s="322">
        <f>SUM(O9:O39)</f>
        <v>70</v>
      </c>
      <c r="P40" s="322">
        <f>SUM(P9:P39)</f>
        <v>20.666666666666664</v>
      </c>
      <c r="Q40" s="322">
        <f>SUM(Q9:Q39)</f>
        <v>64.333333333333329</v>
      </c>
      <c r="R40" s="32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5</v>
      </c>
      <c r="S40" s="432"/>
      <c r="T40" s="433"/>
      <c r="U40" s="433"/>
      <c r="V40" s="43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3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3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1">
        <f>SUM(Y9:Y39)</f>
        <v>0</v>
      </c>
      <c r="Z40" s="398">
        <f>Z9+Z10+Z11+Z12+Z13+Z14+Z15+Z16+Z17+Z18+Z19+Z20+Z21+Z22+Z23+Z24+Z25+Z26+Z27+Z28+Z29+Z30+Z31+Z32+Z33+Z34+Z35+Z36+Z37+Z38+Z39</f>
        <v>0</v>
      </c>
      <c r="AA40" s="235">
        <f t="shared" ref="AA40:AF40" si="32">SUM(AA9:AA39)</f>
        <v>0</v>
      </c>
      <c r="AB40" s="235">
        <f t="shared" si="32"/>
        <v>0</v>
      </c>
      <c r="AC40" s="235">
        <f t="shared" si="32"/>
        <v>0</v>
      </c>
      <c r="AD40" s="235">
        <f t="shared" si="32"/>
        <v>0</v>
      </c>
      <c r="AE40" s="235">
        <f t="shared" si="32"/>
        <v>0</v>
      </c>
      <c r="AF40" s="235">
        <f t="shared" si="32"/>
        <v>0</v>
      </c>
      <c r="BA40" s="1">
        <f>SUM(BA9:BA39)</f>
        <v>155</v>
      </c>
      <c r="BB40" s="112"/>
      <c r="BC40" s="235">
        <f>SUM(BC9:BC39)</f>
        <v>0</v>
      </c>
      <c r="BD40" s="235">
        <f>SUM(BD9:BD39)</f>
        <v>0</v>
      </c>
      <c r="BE40" s="235">
        <f>SUM(BE9:BE39)</f>
        <v>0</v>
      </c>
      <c r="BF40" s="235">
        <f>SUM(BF9:BF39)</f>
        <v>0</v>
      </c>
      <c r="CA40" s="235">
        <f>SUM(CA9:CA39)</f>
        <v>70</v>
      </c>
      <c r="CB40" s="235">
        <f>SUM(CB9:CB39)</f>
        <v>0</v>
      </c>
      <c r="CC40" s="235">
        <f>SUM(CC9:CC39)</f>
        <v>0</v>
      </c>
      <c r="CX40" s="249"/>
      <c r="CY40" s="249">
        <f t="shared" ref="CY40:DG40" si="33">SUM(CY9:CY39)</f>
        <v>0</v>
      </c>
      <c r="CZ40" s="249">
        <f t="shared" si="33"/>
        <v>0</v>
      </c>
      <c r="DA40" s="249">
        <f t="shared" si="33"/>
        <v>0</v>
      </c>
      <c r="DB40" s="249">
        <f t="shared" si="33"/>
        <v>0</v>
      </c>
      <c r="DC40" s="249">
        <f t="shared" si="33"/>
        <v>0</v>
      </c>
      <c r="DD40" s="249">
        <f t="shared" si="33"/>
        <v>0</v>
      </c>
      <c r="DE40" s="249">
        <f t="shared" si="33"/>
        <v>0</v>
      </c>
      <c r="DF40" s="249">
        <f t="shared" si="33"/>
        <v>0</v>
      </c>
      <c r="DG40" s="249">
        <f t="shared" si="33"/>
        <v>0</v>
      </c>
      <c r="DO40" s="669">
        <f>SUM(DO9:DO39)</f>
        <v>1.25</v>
      </c>
      <c r="DP40" s="670">
        <f t="shared" ref="DP40:GC40" si="34">SUM(DP9:DP39)</f>
        <v>0</v>
      </c>
      <c r="DQ40" s="670">
        <f t="shared" si="34"/>
        <v>0</v>
      </c>
      <c r="DR40" s="670">
        <f t="shared" si="34"/>
        <v>0</v>
      </c>
      <c r="DS40" s="673">
        <f t="shared" si="34"/>
        <v>0</v>
      </c>
      <c r="DT40" s="673">
        <f t="shared" si="34"/>
        <v>0</v>
      </c>
      <c r="DU40" s="670">
        <f t="shared" si="34"/>
        <v>0</v>
      </c>
      <c r="DV40" s="673">
        <f t="shared" si="34"/>
        <v>0</v>
      </c>
      <c r="DW40" s="669">
        <f t="shared" ref="DW40:EB40" si="35">SUM(DW9:DW39)</f>
        <v>0</v>
      </c>
      <c r="DX40" s="670">
        <f t="shared" si="35"/>
        <v>0</v>
      </c>
      <c r="DY40" s="670">
        <f t="shared" si="35"/>
        <v>0</v>
      </c>
      <c r="DZ40" s="673">
        <f t="shared" si="35"/>
        <v>0</v>
      </c>
      <c r="EA40" s="673">
        <f t="shared" si="35"/>
        <v>0</v>
      </c>
      <c r="EB40" s="673">
        <f t="shared" si="35"/>
        <v>0</v>
      </c>
      <c r="EC40" s="670">
        <f t="shared" si="34"/>
        <v>0</v>
      </c>
      <c r="ED40" s="670">
        <f t="shared" si="34"/>
        <v>0</v>
      </c>
      <c r="EE40" s="670">
        <f t="shared" si="34"/>
        <v>0</v>
      </c>
      <c r="EF40" s="670">
        <f t="shared" si="34"/>
        <v>0</v>
      </c>
      <c r="EG40" s="673">
        <f t="shared" si="34"/>
        <v>0</v>
      </c>
      <c r="EH40" s="673">
        <f t="shared" si="34"/>
        <v>0</v>
      </c>
      <c r="EI40" s="673">
        <f t="shared" si="34"/>
        <v>0</v>
      </c>
      <c r="EJ40" s="673">
        <f t="shared" si="34"/>
        <v>0</v>
      </c>
      <c r="EK40" s="670">
        <f t="shared" si="34"/>
        <v>0</v>
      </c>
      <c r="EL40" s="670">
        <f t="shared" si="34"/>
        <v>0</v>
      </c>
      <c r="EM40" s="673">
        <f t="shared" si="34"/>
        <v>0</v>
      </c>
      <c r="EN40" s="673">
        <f t="shared" si="34"/>
        <v>0</v>
      </c>
      <c r="EO40" s="670">
        <f t="shared" si="34"/>
        <v>0</v>
      </c>
      <c r="EP40" s="670">
        <f t="shared" si="34"/>
        <v>0</v>
      </c>
      <c r="EQ40" s="673">
        <f t="shared" si="34"/>
        <v>0</v>
      </c>
      <c r="ER40" s="676">
        <f t="shared" si="34"/>
        <v>0</v>
      </c>
      <c r="ES40" s="670">
        <f t="shared" si="34"/>
        <v>0</v>
      </c>
      <c r="ET40" s="670">
        <f t="shared" si="34"/>
        <v>0</v>
      </c>
      <c r="EU40" s="673">
        <f t="shared" si="34"/>
        <v>0</v>
      </c>
      <c r="EV40" s="676">
        <f t="shared" si="34"/>
        <v>0</v>
      </c>
      <c r="EW40" s="670">
        <f t="shared" si="34"/>
        <v>0</v>
      </c>
      <c r="EX40" s="670">
        <f t="shared" si="34"/>
        <v>0</v>
      </c>
      <c r="EY40" s="673">
        <f t="shared" si="34"/>
        <v>0</v>
      </c>
      <c r="EZ40" s="676">
        <f t="shared" si="34"/>
        <v>0</v>
      </c>
      <c r="FA40" s="670">
        <f t="shared" si="34"/>
        <v>0</v>
      </c>
      <c r="FB40" s="670">
        <f t="shared" si="34"/>
        <v>0</v>
      </c>
      <c r="FC40" s="673">
        <f t="shared" si="34"/>
        <v>0</v>
      </c>
      <c r="FD40" s="676">
        <f t="shared" si="34"/>
        <v>0</v>
      </c>
      <c r="FE40" s="670">
        <f t="shared" si="34"/>
        <v>0</v>
      </c>
      <c r="FF40" s="670">
        <f t="shared" si="34"/>
        <v>0</v>
      </c>
      <c r="FG40" s="673">
        <f t="shared" si="34"/>
        <v>0</v>
      </c>
      <c r="FH40" s="676">
        <f t="shared" si="34"/>
        <v>0</v>
      </c>
      <c r="FI40" s="685">
        <f t="shared" si="34"/>
        <v>0</v>
      </c>
      <c r="FJ40" s="670">
        <f t="shared" si="34"/>
        <v>0</v>
      </c>
      <c r="FK40" s="685">
        <f t="shared" si="34"/>
        <v>0</v>
      </c>
      <c r="FL40" s="673">
        <f t="shared" si="34"/>
        <v>0</v>
      </c>
      <c r="FM40" s="685">
        <f t="shared" si="34"/>
        <v>0</v>
      </c>
      <c r="FN40" s="685">
        <f t="shared" si="34"/>
        <v>0</v>
      </c>
      <c r="FO40" s="685">
        <f t="shared" si="34"/>
        <v>0</v>
      </c>
      <c r="FP40" s="670">
        <f t="shared" si="34"/>
        <v>0</v>
      </c>
      <c r="FQ40" s="685">
        <f t="shared" si="34"/>
        <v>0</v>
      </c>
      <c r="FR40" s="676">
        <f t="shared" si="34"/>
        <v>0</v>
      </c>
      <c r="FS40" s="689">
        <f t="shared" si="34"/>
        <v>0</v>
      </c>
      <c r="FT40" s="690">
        <f t="shared" si="34"/>
        <v>0</v>
      </c>
      <c r="FU40" s="690">
        <f t="shared" si="34"/>
        <v>0</v>
      </c>
      <c r="FV40" s="689">
        <f>SUM(FV9:FV39)</f>
        <v>0</v>
      </c>
      <c r="FW40" s="690">
        <f t="shared" si="34"/>
        <v>0</v>
      </c>
      <c r="FX40" s="689">
        <f t="shared" si="34"/>
        <v>0</v>
      </c>
      <c r="FY40" s="690">
        <f t="shared" si="34"/>
        <v>0</v>
      </c>
      <c r="FZ40" s="685">
        <f t="shared" si="34"/>
        <v>0</v>
      </c>
      <c r="GA40" s="685">
        <f t="shared" si="34"/>
        <v>0</v>
      </c>
      <c r="GB40" s="685">
        <f t="shared" si="34"/>
        <v>0</v>
      </c>
      <c r="GC40" s="685">
        <f t="shared" si="34"/>
        <v>0</v>
      </c>
    </row>
    <row r="41" spans="1:185" ht="26" thickBot="1">
      <c r="A41" s="232"/>
      <c r="B41" s="232"/>
      <c r="C41" s="232"/>
      <c r="D41" s="232"/>
      <c r="E41" s="232"/>
      <c r="F41" s="232"/>
      <c r="G41" s="232"/>
      <c r="H41" s="232"/>
      <c r="I41" s="232"/>
      <c r="J41" s="232"/>
      <c r="K41" s="239"/>
      <c r="L41" s="239"/>
      <c r="M41" s="239"/>
      <c r="N41" s="239"/>
      <c r="O41" s="239"/>
      <c r="P41" s="239"/>
      <c r="Q41" s="239"/>
      <c r="R41" s="239"/>
      <c r="S41" s="446"/>
      <c r="T41" s="446"/>
      <c r="U41" s="446"/>
      <c r="V41" s="446"/>
      <c r="W41" s="446"/>
      <c r="X41" s="446"/>
      <c r="Y41" s="235"/>
      <c r="Z41" s="211"/>
      <c r="AA41" s="235"/>
      <c r="AB41" s="211"/>
      <c r="AC41" s="211"/>
      <c r="AD41" s="235"/>
      <c r="AE41" s="235"/>
      <c r="AG41" s="235"/>
      <c r="BC41" s="235"/>
      <c r="BD41" s="235"/>
      <c r="BE41" s="235"/>
      <c r="BF41" s="235"/>
      <c r="BG41" s="112"/>
      <c r="CB41" s="235"/>
      <c r="CC41" s="235"/>
      <c r="CD41" s="112"/>
      <c r="CX41" s="248"/>
      <c r="CZ41"/>
    </row>
    <row r="42" spans="1:185" ht="70" customHeight="1">
      <c r="A42" s="958" t="str">
        <f>"Arbejdstid for "&amp;A7&amp;" måned:"</f>
        <v>Arbejdstid for Januar måned:</v>
      </c>
      <c r="B42" s="959"/>
      <c r="C42" s="959"/>
      <c r="D42" s="959"/>
      <c r="E42" s="959"/>
      <c r="F42" s="959"/>
      <c r="G42" s="959"/>
      <c r="H42" s="330" t="s">
        <v>255</v>
      </c>
      <c r="I42" s="959" t="s">
        <v>221</v>
      </c>
      <c r="J42" s="960"/>
      <c r="K42" s="961"/>
      <c r="L42" s="262"/>
      <c r="M42" s="1011" t="str">
        <f>"Ulempetimer og weekendtimer i "&amp;A5&amp;""</f>
        <v>Ulempetimer og weekendtimer i Januar måneds kalender for: Beate Simonsen. Måneden vedr. normperioden: 01.08.2024 - 31.07.2025.</v>
      </c>
      <c r="N42" s="989"/>
      <c r="O42" s="989"/>
      <c r="P42" s="989"/>
      <c r="Q42" s="989"/>
      <c r="R42" s="989"/>
      <c r="S42" s="989"/>
      <c r="T42" s="989"/>
      <c r="U42" s="989"/>
      <c r="V42" s="989"/>
      <c r="W42" s="989"/>
      <c r="X42" s="990"/>
      <c r="Y42" s="239"/>
      <c r="Z42" s="239"/>
      <c r="AD42" s="90"/>
      <c r="AE42" s="90"/>
      <c r="BM42" s="1"/>
      <c r="CJ42" s="1"/>
      <c r="CU42" s="248"/>
      <c r="CV42" s="248"/>
      <c r="CY42"/>
      <c r="CZ42"/>
    </row>
    <row r="43" spans="1:185">
      <c r="A43" s="962" t="s">
        <v>534</v>
      </c>
      <c r="B43" s="963"/>
      <c r="C43" s="963"/>
      <c r="D43" s="963"/>
      <c r="E43" s="963"/>
      <c r="F43" s="963"/>
      <c r="G43" s="963"/>
      <c r="H43" s="256">
        <f>D78</f>
        <v>23</v>
      </c>
      <c r="I43" s="975">
        <f>IF(Stamoplysninger!$E$12="Ja",1924/Arbejdstidsoversigt!$K$9*Stamoplysninger!$E$15*H43,H43*7.4*Stamoplysninger!$E$15)</f>
        <v>169.54789272030652</v>
      </c>
      <c r="J43" s="976"/>
      <c r="K43" s="977"/>
      <c r="L43" s="258"/>
      <c r="M43" s="1012" t="s">
        <v>497</v>
      </c>
      <c r="N43" s="1013"/>
      <c r="O43" s="1013"/>
      <c r="P43" s="1013"/>
      <c r="Q43" s="1013"/>
      <c r="R43" s="1013"/>
      <c r="S43" s="1013"/>
      <c r="T43" s="1013"/>
      <c r="U43" s="1014"/>
      <c r="V43" s="1093">
        <f>P65+P69+P72+P74</f>
        <v>1.25</v>
      </c>
      <c r="W43" s="1093"/>
      <c r="X43" s="1094"/>
      <c r="Y43" s="239"/>
      <c r="Z43" s="239"/>
      <c r="AD43" s="90"/>
      <c r="AE43" s="90"/>
      <c r="BM43" s="1"/>
      <c r="CJ43" s="1"/>
      <c r="CU43" s="248"/>
      <c r="CV43" s="248"/>
      <c r="CY43"/>
      <c r="CZ43"/>
    </row>
    <row r="44" spans="1:185">
      <c r="A44" s="962" t="str">
        <f>"Ferie "&amp;A7&amp;" måned"</f>
        <v>Ferie Januar måned</v>
      </c>
      <c r="B44" s="963"/>
      <c r="C44" s="963"/>
      <c r="D44" s="963"/>
      <c r="E44" s="963"/>
      <c r="F44" s="963"/>
      <c r="G44" s="963"/>
      <c r="H44" s="257" t="str">
        <f>IF(D73&gt;0,$D$73,"0")</f>
        <v>0</v>
      </c>
      <c r="I44" s="964">
        <f>H44*7.4*Stamoplysninger!$E$15</f>
        <v>0</v>
      </c>
      <c r="J44" s="965"/>
      <c r="K44" s="966"/>
      <c r="L44" s="258"/>
      <c r="M44" s="1018" t="s">
        <v>259</v>
      </c>
      <c r="N44" s="1019"/>
      <c r="O44" s="1019"/>
      <c r="P44" s="1019"/>
      <c r="Q44" s="1019"/>
      <c r="R44" s="1019"/>
      <c r="S44" s="1019"/>
      <c r="T44" s="1019"/>
      <c r="U44" s="1020"/>
      <c r="V44" s="1095">
        <f>Q66+Q68+Q71+Q73</f>
        <v>0</v>
      </c>
      <c r="W44" s="1095"/>
      <c r="X44" s="1096"/>
      <c r="Y44" s="239"/>
      <c r="Z44" s="239"/>
      <c r="AD44" s="90"/>
      <c r="AE44" s="90"/>
      <c r="BM44" s="1"/>
      <c r="CJ44" s="1"/>
      <c r="CU44" s="248"/>
      <c r="CV44" s="248"/>
      <c r="CY44"/>
      <c r="CZ44"/>
    </row>
    <row r="45" spans="1:185">
      <c r="A45" s="962" t="str">
        <f>"Søgnehelligdage i "&amp;A7&amp;" måned"</f>
        <v>Søgnehelligdage i Januar måned</v>
      </c>
      <c r="B45" s="963"/>
      <c r="C45" s="963"/>
      <c r="D45" s="963"/>
      <c r="E45" s="963"/>
      <c r="F45" s="963"/>
      <c r="G45" s="963"/>
      <c r="H45" s="257">
        <f>IF(D72&gt;0,D72,0)</f>
        <v>1</v>
      </c>
      <c r="I45" s="964">
        <f>H45*7.4*Stamoplysninger!$E$15</f>
        <v>7.4</v>
      </c>
      <c r="J45" s="965"/>
      <c r="K45" s="966"/>
      <c r="L45" s="259"/>
      <c r="M45" s="1128" t="s">
        <v>295</v>
      </c>
      <c r="N45" s="1129"/>
      <c r="O45" s="1129"/>
      <c r="P45" s="1129"/>
      <c r="Q45" s="1129"/>
      <c r="R45" s="1129"/>
      <c r="S45" s="1129"/>
      <c r="T45" s="1129"/>
      <c r="U45" s="1130"/>
      <c r="V45" s="1133">
        <f>December!V53</f>
        <v>0</v>
      </c>
      <c r="W45" s="1134"/>
      <c r="X45" s="1135"/>
      <c r="Y45" s="239"/>
      <c r="Z45" s="239"/>
      <c r="AD45" s="90"/>
      <c r="AE45" s="90"/>
      <c r="BM45" s="1"/>
      <c r="CJ45" s="1"/>
      <c r="CU45" s="248"/>
      <c r="CV45" s="248"/>
      <c r="CY45"/>
      <c r="CZ45"/>
    </row>
    <row r="46" spans="1:185">
      <c r="A46" s="962" t="str">
        <f>"Nettoarbejdstid ialt i "&amp;A7&amp;" måned"</f>
        <v>Nettoarbejdstid ialt i Januar måned</v>
      </c>
      <c r="B46" s="963"/>
      <c r="C46" s="963"/>
      <c r="D46" s="963"/>
      <c r="E46" s="963"/>
      <c r="F46" s="963"/>
      <c r="G46" s="963"/>
      <c r="H46" s="260">
        <f>H43-H44-H45</f>
        <v>22</v>
      </c>
      <c r="I46" s="964">
        <f>I43-I44-I45</f>
        <v>162.14789272030652</v>
      </c>
      <c r="J46" s="965"/>
      <c r="K46" s="966"/>
      <c r="L46" s="259"/>
      <c r="M46" s="1026" t="s">
        <v>302</v>
      </c>
      <c r="N46" s="1027"/>
      <c r="O46" s="1027"/>
      <c r="P46" s="1027"/>
      <c r="Q46" s="1027"/>
      <c r="R46" s="1027"/>
      <c r="S46" s="1027"/>
      <c r="T46" s="1027"/>
      <c r="U46" s="1028"/>
      <c r="V46" s="1029">
        <f>V44+V45</f>
        <v>0</v>
      </c>
      <c r="W46" s="1030"/>
      <c r="X46" s="1136"/>
      <c r="Y46" s="239"/>
      <c r="Z46" s="239"/>
      <c r="AD46" s="90"/>
      <c r="AE46" s="90"/>
      <c r="BM46" s="1"/>
      <c r="CJ46" s="1"/>
      <c r="CU46" s="248"/>
      <c r="CV46" s="248"/>
      <c r="CY46"/>
      <c r="CZ46"/>
    </row>
    <row r="47" spans="1:185">
      <c r="A47" s="978" t="str">
        <f>"Planlagt arbejdstid efter ovennstående "&amp;A7&amp;" måned kalender"</f>
        <v>Planlagt arbejdstid efter ovennstående Januar måned kalender</v>
      </c>
      <c r="B47" s="979"/>
      <c r="C47" s="979"/>
      <c r="D47" s="979"/>
      <c r="E47" s="979"/>
      <c r="F47" s="979"/>
      <c r="G47" s="979"/>
      <c r="H47" s="475">
        <f>D64+D65+D66+D67+D68+D69+D70</f>
        <v>20</v>
      </c>
      <c r="I47" s="980">
        <f>N40+R40+V106</f>
        <v>160</v>
      </c>
      <c r="J47" s="981"/>
      <c r="K47" s="982"/>
      <c r="L47" s="387"/>
      <c r="M47" s="1038" t="s">
        <v>293</v>
      </c>
      <c r="N47" s="1039"/>
      <c r="O47" s="1039"/>
      <c r="P47" s="1039"/>
      <c r="Q47" s="1039"/>
      <c r="R47" s="1039"/>
      <c r="S47" s="1039"/>
      <c r="T47" s="1039"/>
      <c r="U47" s="1039"/>
      <c r="V47" s="1039"/>
      <c r="W47" s="1039"/>
      <c r="X47" s="1131"/>
      <c r="Y47" s="239"/>
      <c r="Z47" s="239"/>
      <c r="AD47" s="90"/>
      <c r="AE47" s="90"/>
      <c r="BM47" s="1"/>
      <c r="CJ47" s="1"/>
      <c r="CU47" s="248"/>
      <c r="CV47" s="248"/>
      <c r="CY47"/>
      <c r="CZ47"/>
    </row>
    <row r="48" spans="1:185">
      <c r="A48" s="986" t="s">
        <v>452</v>
      </c>
      <c r="B48" s="987"/>
      <c r="C48" s="987"/>
      <c r="D48" s="987"/>
      <c r="E48" s="987"/>
      <c r="F48" s="987"/>
      <c r="G48" s="987"/>
      <c r="H48" s="988"/>
      <c r="I48" s="983">
        <f>(FI40+FM40+FO40+FV40+FX40+FZ40+GB40)*-1+FK40+FN40+FQ40+FW40+FY40+GA40+GC40+FU40</f>
        <v>0</v>
      </c>
      <c r="J48" s="984"/>
      <c r="K48" s="985"/>
      <c r="L48" s="388"/>
      <c r="M48" s="1041" t="s">
        <v>463</v>
      </c>
      <c r="N48" s="1042"/>
      <c r="O48" s="1042"/>
      <c r="P48" s="1042"/>
      <c r="Q48" s="1042"/>
      <c r="R48" s="1042"/>
      <c r="S48" s="1042"/>
      <c r="T48" s="1042"/>
      <c r="U48" s="1043"/>
      <c r="V48" s="1044" t="s">
        <v>221</v>
      </c>
      <c r="W48" s="1045"/>
      <c r="X48" s="1132"/>
      <c r="Y48" s="239"/>
      <c r="Z48" s="239"/>
      <c r="AD48" s="90"/>
      <c r="AE48" s="90"/>
      <c r="BM48" s="1"/>
      <c r="CJ48" s="1"/>
      <c r="CU48" s="248"/>
      <c r="CV48" s="248"/>
      <c r="CY48"/>
      <c r="CZ48"/>
    </row>
    <row r="49" spans="1:110">
      <c r="A49" s="1005" t="str">
        <f>"Arbejde særligt planlagt for "&amp;A7&amp;" måned efter fanen skemaoplysninger"</f>
        <v>Arbejde særligt planlagt for Januar måned efter fanen skemaoplysninger</v>
      </c>
      <c r="B49" s="1006"/>
      <c r="C49" s="1006"/>
      <c r="D49" s="1006"/>
      <c r="E49" s="1006"/>
      <c r="F49" s="1006"/>
      <c r="G49" s="1006"/>
      <c r="H49" s="1007"/>
      <c r="I49" s="981">
        <f>Skemaoplysninger!P91</f>
        <v>12</v>
      </c>
      <c r="J49" s="1003"/>
      <c r="K49" s="1004"/>
      <c r="L49" s="389"/>
      <c r="M49" s="867"/>
      <c r="N49" s="868"/>
      <c r="O49" s="868"/>
      <c r="P49" s="868"/>
      <c r="Q49" s="868"/>
      <c r="R49" s="868"/>
      <c r="S49" s="868"/>
      <c r="T49" s="868"/>
      <c r="U49" s="869"/>
      <c r="V49" s="1047"/>
      <c r="W49" s="1047"/>
      <c r="X49" s="1048"/>
      <c r="Y49"/>
      <c r="Z49" s="239"/>
      <c r="AA49" s="239"/>
      <c r="AG49" s="90"/>
      <c r="AH49" s="90"/>
      <c r="BA49" s="239"/>
      <c r="BO49" s="1"/>
      <c r="CL49" s="1"/>
      <c r="CV49" s="248"/>
      <c r="CW49" s="248"/>
      <c r="CY49"/>
      <c r="CZ49"/>
    </row>
    <row r="50" spans="1:110">
      <c r="A50" s="967" t="s">
        <v>291</v>
      </c>
      <c r="B50" s="968"/>
      <c r="C50" s="968"/>
      <c r="D50" s="968"/>
      <c r="E50" s="968"/>
      <c r="F50" s="968"/>
      <c r="G50" s="968"/>
      <c r="H50" s="968"/>
      <c r="I50" s="969">
        <f>V40+X40-FA40+R106</f>
        <v>0</v>
      </c>
      <c r="J50" s="970"/>
      <c r="K50" s="971"/>
      <c r="L50" s="241"/>
      <c r="M50" s="867"/>
      <c r="N50" s="868"/>
      <c r="O50" s="868"/>
      <c r="P50" s="868"/>
      <c r="Q50" s="868"/>
      <c r="R50" s="868"/>
      <c r="S50" s="868"/>
      <c r="T50" s="868"/>
      <c r="U50" s="869"/>
      <c r="V50" s="870"/>
      <c r="W50" s="871"/>
      <c r="X50" s="872"/>
      <c r="Y50"/>
      <c r="Z50" s="239"/>
      <c r="AA50" s="239"/>
      <c r="AE50" s="90"/>
      <c r="AF50" s="247"/>
      <c r="AG50" s="90"/>
      <c r="BN50" s="1"/>
      <c r="CK50" s="1"/>
      <c r="CV50" s="248"/>
      <c r="CW50" s="248"/>
      <c r="CY50"/>
      <c r="CZ50"/>
    </row>
    <row r="51" spans="1:110" ht="17" thickBot="1">
      <c r="A51" s="261" t="str">
        <f>"Faktisk arbejdstid ialt i "&amp;A7&amp;" måned"</f>
        <v>Faktisk arbejdstid ialt i Januar måned</v>
      </c>
      <c r="B51" s="314"/>
      <c r="C51" s="315"/>
      <c r="D51" s="315"/>
      <c r="E51" s="315"/>
      <c r="F51" s="315"/>
      <c r="G51" s="315"/>
      <c r="H51" s="316"/>
      <c r="I51" s="1008">
        <f>I47+I50+I49+I48</f>
        <v>172</v>
      </c>
      <c r="J51" s="1009"/>
      <c r="K51" s="1010"/>
      <c r="L51" s="241"/>
      <c r="M51" s="867"/>
      <c r="N51" s="868"/>
      <c r="O51" s="868"/>
      <c r="P51" s="868"/>
      <c r="Q51" s="868"/>
      <c r="R51" s="868"/>
      <c r="S51" s="868"/>
      <c r="T51" s="868"/>
      <c r="U51" s="869"/>
      <c r="V51" s="870"/>
      <c r="W51" s="871"/>
      <c r="X51" s="872"/>
      <c r="Y51" s="239"/>
      <c r="Z51" s="239"/>
      <c r="AA51" s="214"/>
      <c r="AB51" s="247"/>
      <c r="AC51" s="247"/>
      <c r="AD51" s="247"/>
      <c r="AE51" s="239"/>
      <c r="AF51" s="247"/>
      <c r="AH51" s="239"/>
      <c r="AI51" s="239"/>
      <c r="AM51" s="90"/>
      <c r="AN51" s="90"/>
      <c r="BU51" s="1"/>
      <c r="CR51" s="1"/>
      <c r="CY51"/>
      <c r="CZ51"/>
      <c r="DC51" s="248"/>
      <c r="DD51" s="248"/>
    </row>
    <row r="52" spans="1:110" ht="17" thickBot="1">
      <c r="A52" s="255"/>
      <c r="B52" s="255"/>
      <c r="C52" s="255"/>
      <c r="D52" s="255"/>
      <c r="E52" s="255"/>
      <c r="F52" s="255"/>
      <c r="G52" s="255"/>
      <c r="H52" s="255"/>
      <c r="I52" s="522"/>
      <c r="J52" s="522"/>
      <c r="K52" s="522"/>
      <c r="L52" s="500"/>
      <c r="M52" s="867"/>
      <c r="N52" s="868"/>
      <c r="O52" s="868"/>
      <c r="P52" s="868"/>
      <c r="Q52" s="868"/>
      <c r="R52" s="868"/>
      <c r="S52" s="868"/>
      <c r="T52" s="868"/>
      <c r="U52" s="869"/>
      <c r="V52" s="870"/>
      <c r="W52" s="871"/>
      <c r="X52" s="872"/>
      <c r="Y52" s="239"/>
      <c r="Z52" s="239"/>
      <c r="AA52" s="239"/>
      <c r="AB52" s="239"/>
      <c r="AC52" s="214"/>
      <c r="AD52" s="247"/>
      <c r="AE52" s="247"/>
      <c r="AF52" s="247"/>
      <c r="AG52" s="247"/>
      <c r="AH52" s="239"/>
      <c r="AJ52" s="239"/>
      <c r="AK52" s="239"/>
      <c r="AO52" s="90"/>
      <c r="AP52" s="90"/>
      <c r="BW52" s="1"/>
      <c r="CT52" s="1"/>
      <c r="CY52"/>
      <c r="CZ52"/>
      <c r="DE52" s="248"/>
      <c r="DF52" s="248"/>
    </row>
    <row r="53" spans="1:110" ht="25" thickBot="1">
      <c r="A53" s="958" t="s">
        <v>479</v>
      </c>
      <c r="B53" s="959"/>
      <c r="C53" s="959"/>
      <c r="D53" s="959"/>
      <c r="E53" s="959"/>
      <c r="F53" s="959"/>
      <c r="G53" s="959"/>
      <c r="H53" s="707" t="s">
        <v>740</v>
      </c>
      <c r="I53" s="1118" t="s">
        <v>478</v>
      </c>
      <c r="J53" s="1118"/>
      <c r="K53" s="1119"/>
      <c r="L53" s="500"/>
      <c r="M53" s="1032" t="s">
        <v>294</v>
      </c>
      <c r="N53" s="1033"/>
      <c r="O53" s="1033"/>
      <c r="P53" s="1033"/>
      <c r="Q53" s="1033"/>
      <c r="R53" s="1033"/>
      <c r="S53" s="1033"/>
      <c r="T53" s="1033"/>
      <c r="U53" s="1034"/>
      <c r="V53" s="1081">
        <f>V46-SUM(V49:X52)</f>
        <v>0</v>
      </c>
      <c r="W53" s="1082"/>
      <c r="X53" s="1083"/>
      <c r="Y53" s="239"/>
      <c r="Z53" s="239"/>
      <c r="AA53" s="239"/>
      <c r="AB53" s="239"/>
      <c r="AC53" s="214"/>
      <c r="AD53" s="247"/>
      <c r="AE53" s="247"/>
      <c r="AF53" s="247"/>
      <c r="AG53" s="247"/>
      <c r="AH53" s="239"/>
      <c r="AJ53" s="239"/>
      <c r="AK53" s="239"/>
      <c r="AO53" s="90"/>
      <c r="AP53" s="90"/>
      <c r="BW53" s="1"/>
      <c r="CT53" s="1"/>
      <c r="CY53"/>
      <c r="CZ53"/>
      <c r="DE53" s="248"/>
      <c r="DF53" s="248"/>
    </row>
    <row r="54" spans="1:110" ht="16" customHeight="1">
      <c r="A54" s="993"/>
      <c r="B54" s="994"/>
      <c r="C54" s="994"/>
      <c r="D54" s="994"/>
      <c r="E54" s="994"/>
      <c r="F54" s="994"/>
      <c r="G54" s="994"/>
      <c r="H54" s="603"/>
      <c r="I54" s="1084">
        <f>December!I62</f>
        <v>0</v>
      </c>
      <c r="J54" s="1084"/>
      <c r="K54" s="1085"/>
      <c r="L54" s="500"/>
      <c r="M54" s="523"/>
      <c r="N54" s="523"/>
      <c r="O54" s="523"/>
      <c r="P54" s="523"/>
      <c r="Q54" s="524"/>
      <c r="R54" s="525"/>
      <c r="S54" s="525"/>
      <c r="T54" s="525"/>
      <c r="U54" s="525"/>
      <c r="V54" s="523"/>
      <c r="W54" s="526"/>
      <c r="X54" s="523"/>
      <c r="Y54" s="239"/>
      <c r="Z54" s="239"/>
      <c r="AA54" s="239"/>
      <c r="AB54" s="239"/>
      <c r="AC54" s="214"/>
      <c r="AD54" s="247"/>
      <c r="AE54" s="247"/>
      <c r="AF54" s="247"/>
      <c r="AG54" s="247"/>
      <c r="AH54" s="239"/>
      <c r="AJ54" s="239"/>
      <c r="AK54" s="239"/>
      <c r="AO54" s="90"/>
      <c r="AP54" s="90"/>
      <c r="BW54" s="1"/>
      <c r="CT54" s="1"/>
      <c r="CY54"/>
      <c r="CZ54"/>
      <c r="DE54" s="248"/>
      <c r="DF54" s="248"/>
    </row>
    <row r="55" spans="1:110" ht="16" customHeight="1">
      <c r="A55" s="1069" t="s">
        <v>482</v>
      </c>
      <c r="B55" s="1070"/>
      <c r="C55" s="1070"/>
      <c r="D55" s="1070"/>
      <c r="E55" s="1070"/>
      <c r="F55" s="1070"/>
      <c r="G55" s="1071"/>
      <c r="H55" s="603"/>
      <c r="I55" s="1072"/>
      <c r="J55" s="1073"/>
      <c r="K55" s="1074"/>
      <c r="L55" s="500"/>
      <c r="M55" s="523"/>
      <c r="N55" s="523"/>
      <c r="O55" s="523"/>
      <c r="P55" s="523"/>
      <c r="Q55" s="524"/>
      <c r="R55" s="525"/>
      <c r="S55" s="525"/>
      <c r="T55" s="525"/>
      <c r="U55" s="525"/>
      <c r="V55" s="523"/>
      <c r="W55" s="526"/>
      <c r="X55" s="523"/>
      <c r="Y55" s="239"/>
      <c r="Z55" s="239"/>
      <c r="AA55" s="239"/>
      <c r="AB55" s="239"/>
      <c r="AC55" s="214"/>
      <c r="AD55" s="247"/>
      <c r="AE55" s="247"/>
      <c r="AF55" s="247"/>
      <c r="AG55" s="247"/>
      <c r="AH55" s="239"/>
      <c r="AJ55" s="239"/>
      <c r="AK55" s="239"/>
      <c r="AO55" s="90"/>
      <c r="AP55" s="90"/>
      <c r="BW55" s="1"/>
      <c r="CT55" s="1"/>
      <c r="CY55"/>
      <c r="CZ55"/>
      <c r="DE55" s="248"/>
      <c r="DF55" s="248"/>
    </row>
    <row r="56" spans="1:110" ht="37" customHeight="1">
      <c r="A56" s="864" t="s">
        <v>741</v>
      </c>
      <c r="B56" s="865"/>
      <c r="C56" s="865"/>
      <c r="D56" s="865"/>
      <c r="E56" s="865"/>
      <c r="F56" s="865"/>
      <c r="G56" s="865"/>
      <c r="H56" s="865"/>
      <c r="I56" s="865"/>
      <c r="J56" s="865"/>
      <c r="K56" s="866"/>
      <c r="L56" s="500"/>
      <c r="M56" s="523"/>
      <c r="N56" s="523"/>
      <c r="O56" s="523"/>
      <c r="P56" s="523"/>
      <c r="Q56" s="524"/>
      <c r="R56" s="525"/>
      <c r="S56" s="525"/>
      <c r="T56" s="525"/>
      <c r="U56" s="525"/>
      <c r="V56" s="523"/>
      <c r="W56" s="526"/>
      <c r="X56" s="523"/>
      <c r="Y56" s="239"/>
      <c r="Z56" s="239"/>
      <c r="AA56" s="239"/>
      <c r="AB56" s="239"/>
      <c r="AC56" s="214"/>
      <c r="AD56" s="247"/>
      <c r="AE56" s="247"/>
      <c r="AF56" s="247"/>
      <c r="AG56" s="247"/>
      <c r="AH56" s="239"/>
      <c r="AJ56" s="239"/>
      <c r="AK56" s="239"/>
      <c r="AO56" s="90"/>
      <c r="AP56" s="90"/>
      <c r="BW56" s="1"/>
      <c r="CT56" s="1"/>
      <c r="CY56"/>
      <c r="CZ56"/>
      <c r="DE56" s="248"/>
      <c r="DF56" s="248"/>
    </row>
    <row r="57" spans="1:110" ht="35" customHeight="1">
      <c r="A57" s="995" t="s">
        <v>742</v>
      </c>
      <c r="B57" s="996"/>
      <c r="C57" s="898" t="s">
        <v>510</v>
      </c>
      <c r="D57" s="899"/>
      <c r="E57" s="900" t="s">
        <v>511</v>
      </c>
      <c r="F57" s="865"/>
      <c r="G57" s="901"/>
      <c r="H57" s="910" t="s">
        <v>480</v>
      </c>
      <c r="I57" s="910"/>
      <c r="J57" s="910"/>
      <c r="K57" s="911"/>
      <c r="L57" s="500"/>
      <c r="M57" s="523"/>
      <c r="N57" s="523"/>
      <c r="O57" s="523"/>
      <c r="P57" s="523"/>
      <c r="Q57" s="524"/>
      <c r="R57" s="525"/>
      <c r="S57" s="525"/>
      <c r="T57" s="525"/>
      <c r="U57" s="525"/>
      <c r="V57" s="523"/>
      <c r="W57" s="526"/>
      <c r="X57" s="523"/>
      <c r="Y57" s="239"/>
      <c r="Z57" s="239"/>
      <c r="AA57" s="239"/>
      <c r="AB57" s="239"/>
      <c r="AC57" s="214"/>
      <c r="AD57" s="247"/>
      <c r="AE57" s="247"/>
      <c r="AF57" s="247"/>
      <c r="AG57" s="247"/>
      <c r="AH57" s="239"/>
      <c r="AJ57" s="239"/>
      <c r="AK57" s="239"/>
      <c r="AO57" s="90"/>
      <c r="AP57" s="90"/>
      <c r="BW57" s="1"/>
      <c r="CT57" s="1"/>
      <c r="CY57"/>
      <c r="CZ57"/>
      <c r="DE57" s="248"/>
      <c r="DF57" s="248"/>
    </row>
    <row r="58" spans="1:110">
      <c r="A58" s="902"/>
      <c r="B58" s="903"/>
      <c r="C58" s="906"/>
      <c r="D58" s="905"/>
      <c r="E58" s="907"/>
      <c r="F58" s="908"/>
      <c r="G58" s="909"/>
      <c r="H58" s="604"/>
      <c r="I58" s="896"/>
      <c r="J58" s="896"/>
      <c r="K58" s="897"/>
      <c r="L58" s="500"/>
      <c r="M58" s="523"/>
      <c r="N58" s="523"/>
      <c r="O58" s="523"/>
      <c r="P58" s="523"/>
      <c r="Q58" s="524"/>
      <c r="R58" s="525"/>
      <c r="S58" s="525"/>
      <c r="T58" s="525"/>
      <c r="U58" s="525"/>
      <c r="V58" s="523"/>
      <c r="W58" s="526"/>
      <c r="X58" s="523"/>
      <c r="Y58" s="239"/>
      <c r="Z58" s="239"/>
      <c r="AA58" s="239"/>
      <c r="AB58" s="239"/>
      <c r="AC58" s="214"/>
      <c r="AD58" s="247"/>
      <c r="AE58" s="247"/>
      <c r="AF58" s="247"/>
      <c r="AG58" s="247"/>
      <c r="AH58" s="239"/>
      <c r="AJ58" s="239"/>
      <c r="AK58" s="239"/>
      <c r="AO58" s="90"/>
      <c r="AP58" s="90"/>
      <c r="BW58" s="1"/>
      <c r="CT58" s="1"/>
      <c r="CY58"/>
      <c r="CZ58"/>
      <c r="DE58" s="248"/>
      <c r="DF58" s="248"/>
    </row>
    <row r="59" spans="1:110">
      <c r="A59" s="904"/>
      <c r="B59" s="905"/>
      <c r="C59" s="906"/>
      <c r="D59" s="905"/>
      <c r="E59" s="907"/>
      <c r="F59" s="908"/>
      <c r="G59" s="909"/>
      <c r="H59" s="604"/>
      <c r="I59" s="896"/>
      <c r="J59" s="896"/>
      <c r="K59" s="897"/>
      <c r="L59" s="500"/>
      <c r="M59" s="523"/>
      <c r="N59" s="523"/>
      <c r="O59" s="523"/>
      <c r="P59" s="523"/>
      <c r="Q59" s="524"/>
      <c r="R59" s="525"/>
      <c r="S59" s="525"/>
      <c r="T59" s="525"/>
      <c r="U59" s="525"/>
      <c r="V59" s="523"/>
      <c r="W59" s="526"/>
      <c r="X59" s="523"/>
      <c r="Y59" s="239"/>
      <c r="Z59" s="239"/>
      <c r="AA59" s="239"/>
      <c r="AB59" s="239"/>
      <c r="AC59" s="214"/>
      <c r="AD59" s="247"/>
      <c r="AE59" s="247"/>
      <c r="AF59" s="247"/>
      <c r="AG59" s="247"/>
      <c r="AH59" s="239"/>
      <c r="AJ59" s="239"/>
      <c r="AK59" s="239"/>
      <c r="AO59" s="90"/>
      <c r="AP59" s="90"/>
      <c r="BW59" s="1"/>
      <c r="CT59" s="1"/>
      <c r="CY59"/>
      <c r="CZ59"/>
      <c r="DE59" s="248"/>
      <c r="DF59" s="248"/>
    </row>
    <row r="60" spans="1:110">
      <c r="A60" s="904"/>
      <c r="B60" s="905"/>
      <c r="C60" s="906"/>
      <c r="D60" s="905"/>
      <c r="E60" s="907"/>
      <c r="F60" s="908"/>
      <c r="G60" s="909"/>
      <c r="H60" s="604"/>
      <c r="I60" s="896"/>
      <c r="J60" s="896"/>
      <c r="K60" s="897"/>
      <c r="L60" s="500"/>
      <c r="M60" s="523"/>
      <c r="N60" s="523"/>
      <c r="O60" s="523"/>
      <c r="P60" s="523"/>
      <c r="Q60" s="524"/>
      <c r="R60" s="525"/>
      <c r="S60" s="525"/>
      <c r="T60" s="525"/>
      <c r="U60" s="525"/>
      <c r="V60" s="523"/>
      <c r="W60" s="526"/>
      <c r="X60" s="523"/>
      <c r="Y60" s="239"/>
      <c r="Z60" s="239"/>
      <c r="AA60" s="239"/>
      <c r="AB60" s="239"/>
      <c r="AC60" s="214"/>
      <c r="AD60" s="247"/>
      <c r="AE60" s="247"/>
      <c r="AF60" s="247"/>
      <c r="AG60" s="247"/>
      <c r="AH60" s="239"/>
      <c r="AJ60" s="239"/>
      <c r="AK60" s="239"/>
      <c r="AO60" s="90"/>
      <c r="AP60" s="90"/>
      <c r="BW60" s="1"/>
      <c r="CT60" s="1"/>
      <c r="CY60"/>
      <c r="CZ60"/>
      <c r="DE60" s="248"/>
      <c r="DF60" s="248"/>
    </row>
    <row r="61" spans="1:110">
      <c r="A61" s="904"/>
      <c r="B61" s="905"/>
      <c r="C61" s="906"/>
      <c r="D61" s="905"/>
      <c r="E61" s="907"/>
      <c r="F61" s="908"/>
      <c r="G61" s="909"/>
      <c r="H61" s="604"/>
      <c r="I61" s="896"/>
      <c r="J61" s="896"/>
      <c r="K61" s="897"/>
      <c r="L61" s="500"/>
      <c r="M61" s="523"/>
      <c r="N61" s="523"/>
      <c r="O61" s="523"/>
      <c r="P61" s="523"/>
      <c r="Q61" s="524"/>
      <c r="R61" s="525"/>
      <c r="S61" s="525"/>
      <c r="T61" s="525"/>
      <c r="U61" s="525"/>
      <c r="V61" s="523"/>
      <c r="W61" s="526"/>
      <c r="X61" s="523"/>
      <c r="Y61" s="239"/>
      <c r="Z61" s="239"/>
      <c r="AA61" s="239"/>
      <c r="AB61" s="239"/>
      <c r="AC61" s="214"/>
      <c r="AD61" s="247"/>
      <c r="AE61" s="247"/>
      <c r="AF61" s="247"/>
      <c r="AG61" s="247"/>
      <c r="AH61" s="239"/>
      <c r="AJ61" s="239"/>
      <c r="AK61" s="239"/>
      <c r="AO61" s="90"/>
      <c r="AP61" s="90"/>
      <c r="BW61" s="1"/>
      <c r="CT61" s="1"/>
      <c r="CY61"/>
      <c r="CZ61"/>
      <c r="DE61" s="248"/>
      <c r="DF61" s="248"/>
    </row>
    <row r="62" spans="1:110" ht="17" thickBot="1">
      <c r="A62" s="893" t="s">
        <v>481</v>
      </c>
      <c r="B62" s="894"/>
      <c r="C62" s="895"/>
      <c r="D62" s="895"/>
      <c r="E62" s="895"/>
      <c r="F62" s="895"/>
      <c r="G62" s="895"/>
      <c r="H62" s="606">
        <f>H55+H54-SUM(H58:H61)</f>
        <v>0</v>
      </c>
      <c r="I62" s="912">
        <f>I54+I55-SUM(I58:K61)</f>
        <v>0</v>
      </c>
      <c r="J62" s="913"/>
      <c r="K62" s="914"/>
      <c r="L62" s="500"/>
      <c r="M62" s="523"/>
      <c r="N62" s="523"/>
      <c r="O62" s="523"/>
      <c r="P62" s="523"/>
      <c r="Q62" s="524"/>
      <c r="R62" s="525"/>
      <c r="S62" s="525"/>
      <c r="T62" s="525"/>
      <c r="U62" s="525"/>
      <c r="V62" s="523"/>
      <c r="W62" s="526"/>
      <c r="X62" s="523"/>
      <c r="Y62" s="239"/>
      <c r="Z62" s="239"/>
      <c r="AA62" s="239"/>
      <c r="AB62" s="239"/>
      <c r="AC62" s="214"/>
      <c r="AD62" s="247"/>
      <c r="AE62" s="247"/>
      <c r="AF62" s="247"/>
      <c r="AG62" s="247"/>
      <c r="AH62" s="239"/>
      <c r="AJ62" s="239"/>
      <c r="AK62" s="239"/>
      <c r="AO62" s="90"/>
      <c r="AP62" s="90"/>
      <c r="BW62" s="1"/>
      <c r="CT62" s="1"/>
      <c r="CY62"/>
      <c r="CZ62"/>
      <c r="DE62" s="248"/>
      <c r="DF62" s="248"/>
    </row>
    <row r="63" spans="1:110" hidden="1">
      <c r="A63" s="255"/>
      <c r="B63" s="255"/>
      <c r="C63" s="255"/>
      <c r="D63" s="255"/>
      <c r="E63" s="255"/>
      <c r="F63" s="255"/>
      <c r="G63" s="255"/>
      <c r="H63" s="450"/>
      <c r="I63" s="506"/>
      <c r="J63" s="506"/>
      <c r="K63" s="496"/>
      <c r="L63" s="659"/>
      <c r="M63" s="659"/>
      <c r="N63" s="659"/>
      <c r="O63" s="659"/>
      <c r="P63" s="659"/>
      <c r="Q63" s="524"/>
      <c r="R63" s="525"/>
      <c r="S63" s="525"/>
      <c r="T63" s="525"/>
      <c r="U63" s="525"/>
      <c r="V63" s="523" t="s">
        <v>583</v>
      </c>
      <c r="W63" s="526"/>
      <c r="X63" s="523"/>
      <c r="Y63"/>
      <c r="Z63"/>
      <c r="AA63" s="90"/>
      <c r="AB63" s="90"/>
      <c r="BI63" s="1"/>
      <c r="CF63" s="1"/>
      <c r="CQ63" s="248"/>
      <c r="CR63" s="248"/>
      <c r="CY63"/>
      <c r="CZ63"/>
    </row>
    <row r="64" spans="1:110" hidden="1">
      <c r="A64" s="498" t="s">
        <v>206</v>
      </c>
      <c r="B64" s="498"/>
      <c r="C64" s="498"/>
      <c r="D64" s="498">
        <f>COUNTIF([0]!Januar,"Skema 1")</f>
        <v>0</v>
      </c>
      <c r="E64" s="499"/>
      <c r="F64" s="498" t="s">
        <v>186</v>
      </c>
      <c r="G64" s="498">
        <f>COUNTIFS($B$9:$B$39,"ma",[0]!Januar,"Skema 1")</f>
        <v>0</v>
      </c>
      <c r="H64" s="123"/>
      <c r="I64" s="511"/>
      <c r="J64" s="659"/>
      <c r="K64" s="659"/>
      <c r="L64" s="511"/>
      <c r="M64" s="660"/>
      <c r="N64" s="659"/>
      <c r="O64" s="660"/>
      <c r="P64" s="678" t="s">
        <v>601</v>
      </c>
      <c r="Q64" s="680" t="s">
        <v>612</v>
      </c>
      <c r="R64" s="230"/>
      <c r="S64" s="230"/>
      <c r="T64" s="230"/>
      <c r="U64" s="230"/>
      <c r="V64" s="230"/>
      <c r="W64" s="118"/>
      <c r="X64" s="118"/>
      <c r="Y64"/>
      <c r="Z64"/>
      <c r="AA64" s="90"/>
      <c r="AB64" s="90"/>
      <c r="BI64" s="1"/>
      <c r="CF64" s="1"/>
      <c r="CQ64" s="248"/>
      <c r="CR64" s="248"/>
      <c r="CY64"/>
      <c r="CZ64"/>
    </row>
    <row r="65" spans="1:109" hidden="1">
      <c r="A65" s="1113" t="s">
        <v>207</v>
      </c>
      <c r="B65" s="1113"/>
      <c r="C65" s="1113"/>
      <c r="D65" s="498">
        <f>COUNTIF([0]!Januar,"Skema 2")</f>
        <v>20</v>
      </c>
      <c r="E65" s="499"/>
      <c r="F65" s="498" t="s">
        <v>187</v>
      </c>
      <c r="G65" s="498">
        <f>COUNTIFS($B$9:$B$39,"ti",[0]!Januar,"Skema 1")</f>
        <v>0</v>
      </c>
      <c r="H65" s="123"/>
      <c r="I65" s="511" t="s">
        <v>602</v>
      </c>
      <c r="J65" s="659"/>
      <c r="K65" s="511"/>
      <c r="L65" s="662"/>
      <c r="M65" s="660"/>
      <c r="N65" s="660"/>
      <c r="O65" s="663"/>
      <c r="P65" s="678">
        <f>IF(Stamoplysninger!$B$22="Ulempetillæg udbetales med 25% af nettotimelønnen.",SUM(DO40:DR40)-SUM(DS40:DV40),0)</f>
        <v>1.25</v>
      </c>
      <c r="Q65" s="680"/>
      <c r="R65" s="230"/>
      <c r="S65" s="230"/>
      <c r="T65" s="230"/>
      <c r="U65" s="230"/>
      <c r="V65" s="230"/>
      <c r="W65" s="118"/>
      <c r="X65" s="118"/>
      <c r="Y65"/>
      <c r="Z65"/>
      <c r="AA65" s="90"/>
      <c r="AB65" s="90"/>
      <c r="BI65" s="1"/>
      <c r="CF65" s="1"/>
      <c r="CQ65" s="248"/>
      <c r="CR65" s="248"/>
      <c r="CY65"/>
      <c r="CZ65"/>
    </row>
    <row r="66" spans="1:109" hidden="1">
      <c r="A66" s="1113" t="s">
        <v>208</v>
      </c>
      <c r="B66" s="1113"/>
      <c r="C66" s="1113"/>
      <c r="D66" s="498">
        <f>COUNTIF([0]!Januar,"Skema 3")</f>
        <v>0</v>
      </c>
      <c r="E66" s="499"/>
      <c r="F66" s="498" t="s">
        <v>188</v>
      </c>
      <c r="G66" s="498">
        <f>COUNTIFS($B$9:$B$39,"on",[0]!Januar,"Skema 1")</f>
        <v>0</v>
      </c>
      <c r="H66" s="498"/>
      <c r="I66" s="677" t="s">
        <v>603</v>
      </c>
      <c r="J66" s="659"/>
      <c r="K66" s="511"/>
      <c r="L66" s="662"/>
      <c r="M66" s="660"/>
      <c r="N66" s="660"/>
      <c r="O66" s="660"/>
      <c r="P66" s="678"/>
      <c r="Q66" s="680">
        <f>IF(Stamoplysninger!$B$22="Ulempetillæg afspadseres med 25%(Kræver en aftale imellem ledelsen og den ansatte)",EC40+ED40+EE40+EF40-EG40-EH40-EI40-EJ40,0)</f>
        <v>0</v>
      </c>
      <c r="R66" s="230"/>
      <c r="S66" s="230"/>
      <c r="T66" s="230"/>
      <c r="U66" s="230"/>
      <c r="V66" s="230"/>
      <c r="W66" s="118"/>
      <c r="X66" s="118"/>
      <c r="Y66"/>
      <c r="Z66"/>
      <c r="AA66" s="90"/>
      <c r="AB66" s="90"/>
      <c r="BI66" s="1"/>
      <c r="CF66" s="1"/>
      <c r="CQ66" s="248"/>
      <c r="CR66" s="248"/>
      <c r="CY66"/>
      <c r="CZ66"/>
    </row>
    <row r="67" spans="1:109" hidden="1">
      <c r="A67" s="1113" t="s">
        <v>209</v>
      </c>
      <c r="B67" s="1113"/>
      <c r="C67" s="1113"/>
      <c r="D67" s="498">
        <f>COUNTIF([0]!Januar,"Skema 4")</f>
        <v>0</v>
      </c>
      <c r="E67" s="499"/>
      <c r="F67" s="498" t="s">
        <v>190</v>
      </c>
      <c r="G67" s="498">
        <f>COUNTIFS($B$9:$B$39,"to",[0]!Januar,"Skema 1")</f>
        <v>0</v>
      </c>
      <c r="H67" s="498"/>
      <c r="I67" s="677" t="s">
        <v>604</v>
      </c>
      <c r="J67" s="659"/>
      <c r="K67" s="511"/>
      <c r="L67" s="662"/>
      <c r="M67" s="665"/>
      <c r="N67" s="665"/>
      <c r="O67" s="4"/>
      <c r="P67" s="678"/>
      <c r="Q67" s="680"/>
      <c r="R67" s="230"/>
      <c r="S67" s="230"/>
      <c r="T67" s="230"/>
      <c r="U67" s="230"/>
      <c r="V67" s="230"/>
      <c r="W67" s="118"/>
      <c r="X67" s="118"/>
      <c r="Y67" s="239"/>
      <c r="Z67" s="239"/>
      <c r="AA67" s="239"/>
      <c r="AB67" s="214"/>
      <c r="AC67" s="247"/>
      <c r="AD67" s="247"/>
      <c r="AE67" s="247"/>
      <c r="AF67" s="214"/>
      <c r="AG67" s="239"/>
      <c r="AI67" s="239"/>
      <c r="AJ67" s="239"/>
      <c r="AN67" s="90"/>
      <c r="AO67" s="90"/>
      <c r="BV67" s="1"/>
      <c r="CS67" s="1"/>
      <c r="CY67"/>
      <c r="CZ67"/>
      <c r="DD67" s="248"/>
      <c r="DE67" s="248"/>
    </row>
    <row r="68" spans="1:109" hidden="1">
      <c r="A68" s="498" t="s">
        <v>112</v>
      </c>
      <c r="B68" s="498"/>
      <c r="C68" s="498"/>
      <c r="D68" s="498">
        <f>COUNTIF([0]!Januar,"Fagdag")+COUNTIF([0]!Januar,"emnedag")</f>
        <v>0</v>
      </c>
      <c r="E68" s="499"/>
      <c r="F68" s="498" t="s">
        <v>189</v>
      </c>
      <c r="G68" s="498">
        <f>COUNTIFS($B$9:$B$39,"fr",[0]!Januar,"Skema 1")</f>
        <v>0</v>
      </c>
      <c r="H68" s="498"/>
      <c r="I68" s="662" t="s">
        <v>605</v>
      </c>
      <c r="J68" s="659"/>
      <c r="K68" s="511"/>
      <c r="L68" s="662"/>
      <c r="M68" s="665"/>
      <c r="N68" s="665"/>
      <c r="O68" s="4"/>
      <c r="P68" s="678"/>
      <c r="Q68" s="680">
        <f>IF(Stamoplysninger!$B$26="Weekendtimer og weekendtillæg afspadseres.",EK40+EL40-EM40-EN40,0)</f>
        <v>0</v>
      </c>
      <c r="R68" s="230"/>
      <c r="S68" s="230"/>
      <c r="T68" s="230"/>
      <c r="U68" s="230"/>
      <c r="V68" s="230"/>
      <c r="W68" s="118"/>
      <c r="X68" s="118"/>
      <c r="Y68" s="239"/>
      <c r="Z68" s="239"/>
      <c r="AA68" s="239"/>
      <c r="AB68" s="214"/>
      <c r="AC68" s="247"/>
      <c r="AD68" s="247"/>
      <c r="AE68" s="247"/>
      <c r="AF68" s="214"/>
      <c r="AG68" s="239"/>
      <c r="AI68" s="239"/>
      <c r="AJ68" s="239"/>
      <c r="AN68" s="90"/>
      <c r="AO68" s="90"/>
      <c r="BV68" s="1"/>
      <c r="CS68" s="1"/>
      <c r="CY68"/>
      <c r="CZ68"/>
      <c r="DD68" s="248"/>
      <c r="DE68" s="248"/>
    </row>
    <row r="69" spans="1:109" hidden="1">
      <c r="A69" s="502" t="s">
        <v>111</v>
      </c>
      <c r="B69" s="498"/>
      <c r="C69" s="498"/>
      <c r="D69" s="498">
        <f>COUNTIF([0]!Januar,"Lejrskole")+COUNTIF([0]!Januar,"Ekskursion")</f>
        <v>0</v>
      </c>
      <c r="E69" s="499"/>
      <c r="F69" s="498"/>
      <c r="G69" s="498"/>
      <c r="H69" s="498"/>
      <c r="I69" s="662" t="s">
        <v>606</v>
      </c>
      <c r="J69" s="662"/>
      <c r="K69" s="662"/>
      <c r="L69" s="662"/>
      <c r="M69" s="666"/>
      <c r="N69" s="666"/>
      <c r="O69" s="4"/>
      <c r="P69" s="679">
        <f>IF(Stamoplysninger!$B$26="Weekendtimer og weekendtillæg udbetales.",EO40+EP40-EQ40-ER40,0)</f>
        <v>0</v>
      </c>
      <c r="Q69" s="680"/>
      <c r="R69" s="230"/>
      <c r="S69" s="230"/>
      <c r="T69" s="230"/>
      <c r="U69" s="230"/>
      <c r="V69" s="230"/>
      <c r="W69" s="118"/>
      <c r="X69" s="118"/>
      <c r="Y69" s="239"/>
      <c r="Z69" s="239"/>
      <c r="AA69" s="239"/>
      <c r="AB69" s="214"/>
      <c r="AC69" s="247"/>
      <c r="AD69" s="247"/>
      <c r="AE69" s="247"/>
      <c r="AF69" s="214"/>
      <c r="AG69" s="239"/>
      <c r="AI69" s="239"/>
      <c r="AJ69" s="239"/>
      <c r="AN69" s="90"/>
      <c r="AO69" s="90"/>
      <c r="BV69" s="1"/>
      <c r="CS69" s="1"/>
      <c r="CY69"/>
      <c r="CZ69"/>
      <c r="DD69" s="248"/>
      <c r="DE69" s="248"/>
    </row>
    <row r="70" spans="1:109" hidden="1">
      <c r="A70" s="498" t="s">
        <v>110</v>
      </c>
      <c r="B70" s="498"/>
      <c r="C70" s="498"/>
      <c r="D70" s="498">
        <f>COUNTIF([0]!Januar,"Pæd.dag")</f>
        <v>0</v>
      </c>
      <c r="E70" s="499"/>
      <c r="F70" s="498" t="s">
        <v>191</v>
      </c>
      <c r="G70" s="498">
        <f>COUNTIFS($B$9:$B$39,"ma",[0]!Januar,"Skema 2")</f>
        <v>4</v>
      </c>
      <c r="H70" s="498"/>
      <c r="I70" s="662" t="s">
        <v>607</v>
      </c>
      <c r="J70" s="662"/>
      <c r="K70" s="662"/>
      <c r="L70" s="662"/>
      <c r="M70" s="666"/>
      <c r="N70" s="666"/>
      <c r="O70" s="4"/>
      <c r="P70" s="678"/>
      <c r="Q70" s="680"/>
      <c r="R70" s="230"/>
      <c r="S70" s="230"/>
      <c r="T70" s="230"/>
      <c r="U70" s="230"/>
      <c r="V70" s="230"/>
      <c r="W70" s="118"/>
      <c r="X70" s="118"/>
      <c r="Y70" s="239"/>
      <c r="Z70" s="239"/>
      <c r="AA70" s="239"/>
      <c r="AB70" s="214"/>
      <c r="AC70" s="247"/>
      <c r="AD70" s="247"/>
      <c r="AE70" s="247"/>
      <c r="AG70" s="239"/>
      <c r="AI70" s="239"/>
      <c r="AJ70" s="239"/>
      <c r="AN70" s="90"/>
      <c r="AO70" s="90"/>
      <c r="BV70" s="1"/>
      <c r="CS70" s="1"/>
      <c r="CY70"/>
      <c r="CZ70"/>
      <c r="DD70" s="248"/>
      <c r="DE70" s="248"/>
    </row>
    <row r="71" spans="1:109" hidden="1">
      <c r="A71" s="498" t="s">
        <v>120</v>
      </c>
      <c r="B71" s="498"/>
      <c r="C71" s="498"/>
      <c r="D71" s="498">
        <f>COUNTIF([0]!Januar,"Weekend")</f>
        <v>8</v>
      </c>
      <c r="E71" s="499"/>
      <c r="F71" s="498" t="s">
        <v>192</v>
      </c>
      <c r="G71" s="498">
        <f>COUNTIFS($B$9:$B$39,"ti",[0]!Januar,"Skema 2")</f>
        <v>4</v>
      </c>
      <c r="H71" s="498"/>
      <c r="I71" s="662" t="s">
        <v>608</v>
      </c>
      <c r="J71" s="662"/>
      <c r="K71" s="662"/>
      <c r="L71" s="662"/>
      <c r="M71" s="667"/>
      <c r="N71" s="667"/>
      <c r="O71" s="4"/>
      <c r="P71" s="678"/>
      <c r="Q71" s="681">
        <f>IF(Stamoplysninger!$B$26="Der er indgået lokalaftale omkring weekendtimer.(Kræver aftale med TR/FSL) Weekendtillæg afspadseres.",ES40+ET40-EU40-EV40,0)</f>
        <v>0</v>
      </c>
      <c r="R71" s="230"/>
      <c r="S71" s="230"/>
      <c r="T71" s="230"/>
      <c r="U71" s="230"/>
      <c r="V71" s="230"/>
      <c r="W71" s="118"/>
      <c r="X71" s="118"/>
      <c r="Y71"/>
      <c r="Z71"/>
      <c r="AM71" s="1"/>
      <c r="BJ71" s="1"/>
      <c r="BU71" s="248"/>
      <c r="BV71" s="248"/>
      <c r="CY71"/>
      <c r="CZ71"/>
    </row>
    <row r="72" spans="1:109" hidden="1">
      <c r="A72" s="498" t="s">
        <v>127</v>
      </c>
      <c r="B72" s="498"/>
      <c r="C72" s="498"/>
      <c r="D72" s="498">
        <f>COUNTIF([0]!Januar,"SH-dag")</f>
        <v>1</v>
      </c>
      <c r="E72" s="499"/>
      <c r="F72" s="498" t="s">
        <v>193</v>
      </c>
      <c r="G72" s="498">
        <f>COUNTIFS($B$9:$B$39,"on",[0]!Januar,"Skema 2")</f>
        <v>4</v>
      </c>
      <c r="H72" s="498"/>
      <c r="I72" s="662" t="s">
        <v>609</v>
      </c>
      <c r="J72" s="662"/>
      <c r="K72" s="662"/>
      <c r="L72" s="662"/>
      <c r="M72" s="667"/>
      <c r="N72" s="667"/>
      <c r="O72" s="4"/>
      <c r="P72" s="678">
        <f>IF(Stamoplysninger!$B$26="Der er indgået lokalaftale omkring weekendtimer(Kræver aftale med TR/FSL). Weekendtillæg udbetales.",EW40+EX40-EY40-EZ40,0)</f>
        <v>0</v>
      </c>
      <c r="Q72" s="680"/>
      <c r="R72" s="230"/>
      <c r="S72" s="230"/>
      <c r="T72" s="230"/>
      <c r="U72" s="230"/>
      <c r="V72" s="230"/>
      <c r="W72" s="118"/>
      <c r="X72" s="118"/>
      <c r="Y72"/>
      <c r="Z72"/>
      <c r="AM72" s="1"/>
      <c r="BJ72" s="1"/>
      <c r="BU72" s="248"/>
      <c r="BV72" s="248"/>
      <c r="CY72"/>
      <c r="CZ72"/>
    </row>
    <row r="73" spans="1:109" hidden="1">
      <c r="A73" s="498" t="s">
        <v>109</v>
      </c>
      <c r="B73" s="498"/>
      <c r="C73" s="498"/>
      <c r="D73" s="498">
        <f>COUNTIF([0]!Januar,"Feriedag")</f>
        <v>0</v>
      </c>
      <c r="E73" s="499"/>
      <c r="F73" s="498" t="s">
        <v>194</v>
      </c>
      <c r="G73" s="498">
        <f>COUNTIFS($B$9:$B$39,"to",[0]!Januar,"Skema 2")</f>
        <v>4</v>
      </c>
      <c r="H73" s="498"/>
      <c r="I73" s="662" t="s">
        <v>610</v>
      </c>
      <c r="J73" s="662"/>
      <c r="K73" s="662"/>
      <c r="L73" s="662"/>
      <c r="M73" s="667"/>
      <c r="N73" s="667"/>
      <c r="O73" s="4"/>
      <c r="P73" s="678"/>
      <c r="Q73" s="629">
        <f>IF(Stamoplysninger!$B$26="Der er indgået lokalaftale omkring weekendtillæg(Kræver aftale med TR/FSL). Weekendtimerne afspadseres.",FA40+FB40-FC40-FD40,0)</f>
        <v>0</v>
      </c>
      <c r="R73" s="41"/>
      <c r="S73" s="41"/>
      <c r="T73" s="41"/>
      <c r="Y73"/>
      <c r="Z73"/>
      <c r="AM73" s="1"/>
      <c r="BJ73" s="1"/>
      <c r="BU73" s="248"/>
      <c r="BV73" s="248"/>
      <c r="CY73"/>
      <c r="CZ73"/>
    </row>
    <row r="74" spans="1:109" hidden="1">
      <c r="A74" s="498" t="s">
        <v>178</v>
      </c>
      <c r="B74" s="498"/>
      <c r="C74" s="498"/>
      <c r="D74" s="498">
        <f>COUNTIF([0]!Januar,"Nul-dag")</f>
        <v>2</v>
      </c>
      <c r="E74" s="499"/>
      <c r="F74" s="498" t="s">
        <v>195</v>
      </c>
      <c r="G74" s="498">
        <f>COUNTIFS($B$9:$B$39,"fr",[0]!Januar,"Skema 2")</f>
        <v>4</v>
      </c>
      <c r="H74" s="498"/>
      <c r="I74" s="662" t="s">
        <v>611</v>
      </c>
      <c r="J74" s="662"/>
      <c r="K74" s="662"/>
      <c r="L74" s="662"/>
      <c r="M74" s="667"/>
      <c r="N74" s="667"/>
      <c r="O74" s="4"/>
      <c r="P74" s="678">
        <f>IF(Stamoplysninger!$B$26="Der er indgået lokalaftale omkring weekendtillæg(Kræver aftale med TR/FSL). Weekendtimerne udbetales.",FE40+FF40-FG40-FH40,0)</f>
        <v>0</v>
      </c>
      <c r="Q74" s="629"/>
      <c r="V74" t="s">
        <v>618</v>
      </c>
      <c r="Y74"/>
      <c r="Z74"/>
      <c r="AM74" s="1"/>
      <c r="BJ74" s="1"/>
      <c r="BU74" s="248"/>
      <c r="BV74" s="248"/>
      <c r="CY74"/>
      <c r="CZ74"/>
    </row>
    <row r="75" spans="1:109" hidden="1">
      <c r="A75" s="503" t="s">
        <v>416</v>
      </c>
      <c r="B75" s="498"/>
      <c r="C75" s="498"/>
      <c r="D75" s="498">
        <f>COUNTIF([0]!Januar,"Orlov")</f>
        <v>0</v>
      </c>
      <c r="E75" s="499"/>
      <c r="F75" s="504"/>
      <c r="G75" s="504"/>
      <c r="H75" s="504"/>
      <c r="I75" s="662" t="s">
        <v>617</v>
      </c>
      <c r="J75" s="662"/>
      <c r="K75" s="662"/>
      <c r="L75" s="662"/>
      <c r="M75" s="668"/>
      <c r="N75" s="668"/>
      <c r="O75" s="4"/>
      <c r="P75" s="661"/>
      <c r="R75">
        <f>IF(C10="ikke relevant",V10*-1+X10*-1,0)</f>
        <v>0</v>
      </c>
      <c r="S75" t="s">
        <v>623</v>
      </c>
      <c r="V75">
        <f>IF(C10="ikke relevant",R10*-1,0)</f>
        <v>0</v>
      </c>
      <c r="Y75"/>
      <c r="Z75"/>
      <c r="AM75" s="1"/>
      <c r="BJ75" s="1"/>
      <c r="BU75" s="248"/>
      <c r="BV75" s="248"/>
      <c r="CY75"/>
      <c r="CZ75"/>
    </row>
    <row r="76" spans="1:109" hidden="1">
      <c r="A76" s="498" t="s">
        <v>160</v>
      </c>
      <c r="B76" s="498"/>
      <c r="C76" s="498"/>
      <c r="D76" s="498">
        <f>COUNTIF([0]!Januar,"Ikke relevant")</f>
        <v>0</v>
      </c>
      <c r="E76" s="499"/>
      <c r="F76" s="498" t="s">
        <v>196</v>
      </c>
      <c r="G76" s="498">
        <f>COUNTIFS($B$9:$B$39,"ma",[0]!Januar,"Skema 3")</f>
        <v>0</v>
      </c>
      <c r="H76" s="498"/>
      <c r="I76" s="662"/>
      <c r="J76" s="662"/>
      <c r="K76" s="662"/>
      <c r="L76" s="511"/>
      <c r="M76" s="668"/>
      <c r="N76" s="668"/>
      <c r="O76" s="4"/>
      <c r="P76" s="661"/>
      <c r="R76">
        <f>IF(C11="ikke relevant",V11*-1+X11*-1,0)</f>
        <v>0</v>
      </c>
      <c r="V76">
        <f>IF(C11="ikke relevant",R11*-1,0)</f>
        <v>0</v>
      </c>
      <c r="Y76"/>
      <c r="Z76"/>
      <c r="AM76" s="1"/>
      <c r="BJ76" s="1"/>
      <c r="BU76" s="248"/>
      <c r="BV76" s="248"/>
      <c r="CY76"/>
      <c r="CZ76"/>
    </row>
    <row r="77" spans="1:109" hidden="1">
      <c r="A77" s="498" t="s">
        <v>108</v>
      </c>
      <c r="B77" s="498"/>
      <c r="C77" s="498"/>
      <c r="D77" s="498">
        <f>SUM(D64:D76)</f>
        <v>31</v>
      </c>
      <c r="E77" s="498"/>
      <c r="F77" s="498" t="s">
        <v>197</v>
      </c>
      <c r="G77" s="498">
        <f>COUNTIFS($B$9:$B$39,"ti",[0]!Januar,"Skema 3")</f>
        <v>0</v>
      </c>
      <c r="H77" s="498"/>
      <c r="I77" s="662"/>
      <c r="J77" s="662"/>
      <c r="K77" s="662"/>
      <c r="L77" s="511"/>
      <c r="M77" s="668"/>
      <c r="N77" s="668"/>
      <c r="O77" s="4"/>
      <c r="P77" s="661"/>
      <c r="R77">
        <f t="shared" ref="R77:R105" si="36">IF(C12="ikke relevant",V12*-1+X12*-1,0)</f>
        <v>0</v>
      </c>
      <c r="V77">
        <f t="shared" ref="V77:V105" si="37">IF(C12="ikke relevant",R12*-1,0)</f>
        <v>0</v>
      </c>
      <c r="Y77"/>
      <c r="Z77" s="1"/>
      <c r="AX77" s="1"/>
      <c r="BI77" s="248"/>
      <c r="BJ77" s="248"/>
      <c r="CY77"/>
      <c r="CZ77"/>
    </row>
    <row r="78" spans="1:109" hidden="1">
      <c r="A78" s="498" t="s">
        <v>239</v>
      </c>
      <c r="B78" s="498"/>
      <c r="C78" s="498"/>
      <c r="D78" s="498">
        <f>D77-D71-A87-D76</f>
        <v>23</v>
      </c>
      <c r="E78" s="505"/>
      <c r="F78" s="498" t="s">
        <v>198</v>
      </c>
      <c r="G78" s="498">
        <f>COUNTIFS($B$9:$B$39,"on",[0]!Januar,"Skema 3")</f>
        <v>0</v>
      </c>
      <c r="H78" s="498"/>
      <c r="I78" s="662"/>
      <c r="J78" s="662"/>
      <c r="K78" s="662"/>
      <c r="L78" s="511"/>
      <c r="M78" s="668"/>
      <c r="N78" s="668"/>
      <c r="O78" s="4"/>
      <c r="P78" s="661"/>
      <c r="R78">
        <f t="shared" si="36"/>
        <v>0</v>
      </c>
      <c r="V78">
        <f t="shared" si="37"/>
        <v>0</v>
      </c>
      <c r="Y78"/>
      <c r="Z78" s="1"/>
      <c r="AO78" s="1"/>
      <c r="BL78" s="1"/>
      <c r="BW78" s="248"/>
      <c r="BX78" s="248"/>
      <c r="CY78"/>
      <c r="CZ78"/>
    </row>
    <row r="79" spans="1:109" hidden="1">
      <c r="A79" s="498"/>
      <c r="B79" s="498"/>
      <c r="C79" s="498"/>
      <c r="D79" s="498"/>
      <c r="E79" s="498"/>
      <c r="F79" s="498" t="s">
        <v>199</v>
      </c>
      <c r="G79" s="498">
        <f>COUNTIFS($B$9:$B$39,"to",[0]!Januar,"Skema 3")</f>
        <v>0</v>
      </c>
      <c r="H79" s="498"/>
      <c r="I79" s="664"/>
      <c r="J79" s="662"/>
      <c r="K79" s="662"/>
      <c r="L79" s="511"/>
      <c r="M79" s="660"/>
      <c r="N79" s="660"/>
      <c r="O79" s="4"/>
      <c r="P79" s="661"/>
      <c r="R79">
        <f t="shared" si="36"/>
        <v>0</v>
      </c>
      <c r="V79">
        <f t="shared" si="37"/>
        <v>0</v>
      </c>
      <c r="Y79"/>
      <c r="Z79" s="1"/>
      <c r="AO79" s="1"/>
      <c r="BL79" s="1"/>
      <c r="BW79" s="248"/>
      <c r="BX79" s="248"/>
      <c r="CY79"/>
      <c r="CZ79"/>
    </row>
    <row r="80" spans="1:109" hidden="1">
      <c r="A80" s="498"/>
      <c r="B80" s="498"/>
      <c r="C80" s="498"/>
      <c r="D80" s="498"/>
      <c r="E80" s="498"/>
      <c r="F80" s="498" t="s">
        <v>200</v>
      </c>
      <c r="G80" s="498">
        <f>COUNTIFS($B$9:$B$39,"fr",[0]!Januar,"Skema 3")</f>
        <v>0</v>
      </c>
      <c r="H80" s="498"/>
      <c r="I80" s="506"/>
      <c r="J80" s="511"/>
      <c r="K80" s="511"/>
      <c r="L80" s="511"/>
      <c r="M80" s="4"/>
      <c r="N80" s="4"/>
      <c r="O80" s="4"/>
      <c r="P80" s="4"/>
      <c r="R80">
        <f t="shared" si="36"/>
        <v>0</v>
      </c>
      <c r="V80">
        <f t="shared" si="37"/>
        <v>0</v>
      </c>
      <c r="Y80"/>
      <c r="Z80" s="1"/>
      <c r="AO80" s="1"/>
      <c r="BL80" s="1"/>
      <c r="BW80" s="248"/>
      <c r="BX80" s="248"/>
      <c r="CY80"/>
      <c r="CZ80"/>
    </row>
    <row r="81" spans="1:111" hidden="1">
      <c r="A81" s="498" t="s">
        <v>292</v>
      </c>
      <c r="B81" s="498"/>
      <c r="C81" s="498"/>
      <c r="D81" s="498"/>
      <c r="E81" s="498"/>
      <c r="F81" s="498"/>
      <c r="G81" s="498"/>
      <c r="H81" s="498"/>
      <c r="I81" s="506"/>
      <c r="J81" s="511"/>
      <c r="K81" s="511"/>
      <c r="L81" s="511"/>
      <c r="M81" s="4"/>
      <c r="N81" s="4"/>
      <c r="O81" s="4"/>
      <c r="P81" s="4"/>
      <c r="R81">
        <f t="shared" si="36"/>
        <v>0</v>
      </c>
      <c r="V81">
        <f t="shared" si="37"/>
        <v>0</v>
      </c>
      <c r="Y81"/>
      <c r="Z81" s="1"/>
      <c r="AO81" s="1"/>
      <c r="BL81" s="1"/>
      <c r="BW81" s="248"/>
      <c r="BX81" s="248"/>
      <c r="CY81"/>
      <c r="CZ81"/>
    </row>
    <row r="82" spans="1:111" hidden="1">
      <c r="A82" s="498">
        <f>COUNTIF($C$12:$C$13,"Skema 1")+COUNTIF($C$12:$C$13,"Skema 2")+COUNTIF($C$12:$C$13,"Skema 3")+COUNTIF($C$12:$C$13,"Skema 4")+COUNTIF($C$12:$C$13,"Fagdag")+COUNTIF($C$12:$C$13,"Emnedag")+COUNTIF($C$12:$C$13,"Lejrskole")+COUNTIF($C$12:$C$13,"Ekskursion")+COUNTIF($C$12:$C$13,"Pæd.dag")</f>
        <v>0</v>
      </c>
      <c r="B82" s="498"/>
      <c r="C82" s="498"/>
      <c r="D82" s="498"/>
      <c r="E82" s="498"/>
      <c r="F82" s="498" t="s">
        <v>201</v>
      </c>
      <c r="G82" s="498">
        <f>COUNTIFS($B$9:$B$39,"ma",[0]!Januar,"Skema 4")</f>
        <v>0</v>
      </c>
      <c r="H82" s="498"/>
      <c r="I82" s="506"/>
      <c r="J82" s="511"/>
      <c r="K82" s="511"/>
      <c r="L82" s="511"/>
      <c r="M82" s="4"/>
      <c r="N82" s="4"/>
      <c r="O82" s="4"/>
      <c r="P82" s="4"/>
      <c r="R82">
        <f t="shared" si="36"/>
        <v>0</v>
      </c>
      <c r="V82">
        <f t="shared" si="37"/>
        <v>0</v>
      </c>
      <c r="Y82"/>
      <c r="Z82" s="1"/>
      <c r="AO82" s="1"/>
      <c r="BL82" s="1"/>
      <c r="BW82" s="248"/>
      <c r="BX82" s="248"/>
      <c r="CY82"/>
      <c r="CZ82"/>
    </row>
    <row r="83" spans="1:111" hidden="1">
      <c r="A83" s="498">
        <f>COUNTIF($C$19:$C$20,"Skema 1")+COUNTIF($C$19:$C$20,"Skema 2")+COUNTIF($C$19:$C$20,"Skema 3")+COUNTIF($C$19:$C$20,"Skema 4")+COUNTIF($C$19:$C$20,"Fagdag")+COUNTIF($C$19:$C$20,"Emnedag")+COUNTIF($C$19:$C$20,"Lejrskole")+COUNTIF($C$19:$C$20,"Ekskursion")+COUNTIF($C$19:$C$20,"Pæd.dag")</f>
        <v>0</v>
      </c>
      <c r="B83" s="498"/>
      <c r="C83" s="498"/>
      <c r="D83" s="498"/>
      <c r="E83" s="498"/>
      <c r="F83" s="498" t="s">
        <v>202</v>
      </c>
      <c r="G83" s="498">
        <f>COUNTIFS($B$9:$B$39,"ti",[0]!Januar,"Skema 4")</f>
        <v>0</v>
      </c>
      <c r="H83" s="498"/>
      <c r="I83" s="506"/>
      <c r="J83" s="511"/>
      <c r="K83" s="511"/>
      <c r="L83" s="511"/>
      <c r="M83" s="4"/>
      <c r="N83" s="4"/>
      <c r="O83" s="4"/>
      <c r="P83" s="4"/>
      <c r="R83">
        <f t="shared" si="36"/>
        <v>0</v>
      </c>
      <c r="V83">
        <f t="shared" si="37"/>
        <v>0</v>
      </c>
      <c r="Y83"/>
      <c r="Z83" s="1"/>
      <c r="AO83" s="1"/>
      <c r="BL83" s="1"/>
      <c r="BW83" s="248"/>
      <c r="BX83" s="248"/>
      <c r="CY83"/>
      <c r="CZ83"/>
    </row>
    <row r="84" spans="1:111" hidden="1">
      <c r="A84" s="498">
        <f>COUNTIF($C$26:$C$27,"Skema 1")+COUNTIF($C$26:$C$27,"Skema 2")+COUNTIF($C$26:$C$27,"Skema 3")+COUNTIF($C$26:$C$27,"Skema 4")+COUNTIF($C$26:$C$27,"Fagdag")+COUNTIF($C$26:$C$27,"Emnedag")+COUNTIF($C$26:$C$27,"Lejrskole")+COUNTIF($C$26:$C$27,"Ekskursion")+COUNTIF($C$26:$C$27,"Pæd.dag")</f>
        <v>0</v>
      </c>
      <c r="B84" s="498"/>
      <c r="C84" s="498"/>
      <c r="D84" s="498"/>
      <c r="E84" s="498"/>
      <c r="F84" s="498" t="s">
        <v>203</v>
      </c>
      <c r="G84" s="498">
        <f>COUNTIFS($B$9:$B$39,"on",[0]!Januar,"Skema 4")</f>
        <v>0</v>
      </c>
      <c r="H84" s="498"/>
      <c r="I84" s="506"/>
      <c r="J84" s="511"/>
      <c r="K84" s="511"/>
      <c r="L84" s="511"/>
      <c r="M84" s="4"/>
      <c r="N84" s="4"/>
      <c r="O84" s="4"/>
      <c r="P84" s="4"/>
      <c r="R84">
        <f t="shared" si="36"/>
        <v>0</v>
      </c>
      <c r="V84">
        <f t="shared" si="37"/>
        <v>0</v>
      </c>
      <c r="Y84"/>
      <c r="Z84" s="1"/>
      <c r="AO84" s="1"/>
      <c r="BL84" s="1"/>
      <c r="BW84" s="248"/>
      <c r="BX84" s="248"/>
      <c r="CY84"/>
      <c r="CZ84"/>
    </row>
    <row r="85" spans="1:111" hidden="1">
      <c r="A85" s="498">
        <f>COUNTIF($C$33:$C$34,"Skema 1")+COUNTIF($C$33:$C$34,"Skema 2")+COUNTIF($C$33:$C$34,"Skema 3")+COUNTIF($C$33:$C$34,"Skema 4")+COUNTIF($C$33:$C$34,"Fagdag")+COUNTIF($C$33:$C$34,"Emnedag")+COUNTIF($C$33:$C$34,"Lejrskole")+COUNTIF($C$33:$C$34,"Ekskursion")+COUNTIF($C$33:$C$34,"Pæd.dag")</f>
        <v>0</v>
      </c>
      <c r="B85" s="498"/>
      <c r="C85" s="498"/>
      <c r="D85" s="498"/>
      <c r="E85" s="498"/>
      <c r="F85" s="498" t="s">
        <v>204</v>
      </c>
      <c r="G85" s="498">
        <f>COUNTIFS($B$9:$B$39,"to",[0]!Januar,"Skema 4")</f>
        <v>0</v>
      </c>
      <c r="H85" s="498"/>
      <c r="I85" s="506"/>
      <c r="J85" s="511"/>
      <c r="K85" s="511"/>
      <c r="L85" s="511"/>
      <c r="M85" s="4"/>
      <c r="N85" s="4"/>
      <c r="O85" s="4"/>
      <c r="P85" s="4"/>
      <c r="R85">
        <f t="shared" si="36"/>
        <v>0</v>
      </c>
      <c r="V85">
        <f t="shared" si="37"/>
        <v>0</v>
      </c>
      <c r="Y85"/>
      <c r="Z85"/>
      <c r="AO85" s="1">
        <f>SUM(N85:AN85)</f>
        <v>0</v>
      </c>
      <c r="BL85" s="1">
        <f>SUM(AI85:BK85)</f>
        <v>0</v>
      </c>
      <c r="BW85" s="248"/>
      <c r="BX85" s="248"/>
      <c r="CY85"/>
      <c r="CZ85"/>
    </row>
    <row r="86" spans="1:111" hidden="1">
      <c r="A86" s="498"/>
      <c r="B86" s="498"/>
      <c r="C86" s="498"/>
      <c r="D86" s="498"/>
      <c r="E86" s="498"/>
      <c r="F86" s="498" t="s">
        <v>205</v>
      </c>
      <c r="G86" s="498">
        <f>COUNTIFS($B$9:$B$39,"fr",[0]!Januar,"Skema 4")</f>
        <v>0</v>
      </c>
      <c r="H86" s="498"/>
      <c r="I86" s="498"/>
      <c r="J86" s="501"/>
      <c r="K86" s="501"/>
      <c r="L86" s="41"/>
      <c r="R86">
        <f t="shared" si="36"/>
        <v>0</v>
      </c>
      <c r="V86">
        <f t="shared" si="37"/>
        <v>0</v>
      </c>
      <c r="Y86"/>
      <c r="Z86"/>
      <c r="AO86" s="1">
        <f>SUM(N86:AN86)</f>
        <v>0</v>
      </c>
      <c r="BL86" s="1">
        <f>SUM(AI86:BK86)</f>
        <v>0</v>
      </c>
      <c r="BW86" s="248"/>
      <c r="BX86" s="248"/>
      <c r="CY86"/>
      <c r="CZ86"/>
    </row>
    <row r="87" spans="1:111" hidden="1">
      <c r="A87" s="498">
        <f>SUM(A82:A86)</f>
        <v>0</v>
      </c>
      <c r="B87" s="498"/>
      <c r="C87" s="498"/>
      <c r="D87" s="498"/>
      <c r="E87" s="498"/>
      <c r="F87" s="498"/>
      <c r="G87" s="503">
        <f>SUM(G64:G86)</f>
        <v>20</v>
      </c>
      <c r="H87" s="501"/>
      <c r="I87" s="498"/>
      <c r="J87" s="501"/>
      <c r="K87" s="501"/>
      <c r="L87" s="41"/>
      <c r="R87">
        <f t="shared" si="36"/>
        <v>0</v>
      </c>
      <c r="V87">
        <f t="shared" si="37"/>
        <v>0</v>
      </c>
      <c r="Y87"/>
      <c r="Z87"/>
      <c r="AO87" s="1">
        <f>SUM(N87:AN87)</f>
        <v>0</v>
      </c>
      <c r="BL87" s="1">
        <f>SUM(AI87:BK87)</f>
        <v>0</v>
      </c>
      <c r="BW87" s="248"/>
      <c r="BX87" s="248"/>
      <c r="CY87"/>
      <c r="CZ87"/>
    </row>
    <row r="88" spans="1:111" hidden="1">
      <c r="A88" s="501"/>
      <c r="B88" s="501"/>
      <c r="C88" s="501"/>
      <c r="D88" s="501"/>
      <c r="E88" s="498"/>
      <c r="F88" s="498"/>
      <c r="G88" s="498"/>
      <c r="H88" s="41"/>
      <c r="I88" s="501"/>
      <c r="J88" s="501"/>
      <c r="K88" s="501"/>
      <c r="L88" s="41"/>
      <c r="R88">
        <f t="shared" si="36"/>
        <v>0</v>
      </c>
      <c r="V88">
        <f t="shared" si="37"/>
        <v>0</v>
      </c>
      <c r="Y88"/>
      <c r="Z88"/>
      <c r="AO88" s="1">
        <f>SUM(N88:AN88)</f>
        <v>0</v>
      </c>
      <c r="BL88" s="1">
        <f>SUM(AI88:BK88)</f>
        <v>0</v>
      </c>
      <c r="BW88" s="248"/>
      <c r="BX88" s="248"/>
      <c r="CY88"/>
      <c r="CZ88"/>
    </row>
    <row r="89" spans="1:111" hidden="1">
      <c r="A89" s="501"/>
      <c r="B89" s="501"/>
      <c r="C89" s="501"/>
      <c r="D89" s="501"/>
      <c r="E89" s="498"/>
      <c r="F89" s="498"/>
      <c r="G89" s="498"/>
      <c r="H89" s="41"/>
      <c r="I89" s="41"/>
      <c r="J89" s="501"/>
      <c r="K89" s="501"/>
      <c r="L89" s="41"/>
      <c r="R89">
        <f t="shared" si="36"/>
        <v>0</v>
      </c>
      <c r="V89">
        <f t="shared" si="37"/>
        <v>0</v>
      </c>
      <c r="Y89"/>
      <c r="Z89"/>
      <c r="BW89" s="248"/>
      <c r="BX89" s="248"/>
      <c r="CY89"/>
      <c r="CZ89"/>
    </row>
    <row r="90" spans="1:111" hidden="1">
      <c r="A90" s="501"/>
      <c r="B90" s="501"/>
      <c r="C90" s="501"/>
      <c r="D90" s="501"/>
      <c r="E90" s="498"/>
      <c r="F90" s="498"/>
      <c r="G90" s="498"/>
      <c r="H90" s="41"/>
      <c r="I90" s="41"/>
      <c r="J90" s="41"/>
      <c r="K90" s="41"/>
      <c r="L90" s="41"/>
      <c r="R90">
        <f t="shared" si="36"/>
        <v>0</v>
      </c>
      <c r="V90">
        <f t="shared" si="37"/>
        <v>0</v>
      </c>
      <c r="Y90"/>
      <c r="Z90"/>
      <c r="BW90" s="248"/>
      <c r="BX90" s="248"/>
      <c r="CY90"/>
      <c r="CZ90"/>
    </row>
    <row r="91" spans="1:111" hidden="1">
      <c r="A91" s="501"/>
      <c r="B91" s="501"/>
      <c r="C91" s="501"/>
      <c r="D91" s="501"/>
      <c r="E91" s="498"/>
      <c r="F91" s="498"/>
      <c r="G91" s="498"/>
      <c r="H91" s="41"/>
      <c r="I91" s="41"/>
      <c r="J91" s="41"/>
      <c r="K91" s="41"/>
      <c r="L91" s="41"/>
      <c r="R91">
        <f t="shared" si="36"/>
        <v>0</v>
      </c>
      <c r="V91">
        <f t="shared" si="37"/>
        <v>0</v>
      </c>
      <c r="Y91"/>
      <c r="Z91"/>
      <c r="BW91" s="248"/>
      <c r="BX91" s="248"/>
      <c r="CY91"/>
      <c r="CZ91"/>
    </row>
    <row r="92" spans="1:111" hidden="1">
      <c r="A92" s="501"/>
      <c r="B92" s="501"/>
      <c r="C92" s="501"/>
      <c r="D92" s="501"/>
      <c r="E92" s="498"/>
      <c r="F92" s="498"/>
      <c r="G92" s="498"/>
      <c r="I92" s="41"/>
      <c r="J92" s="41"/>
      <c r="K92" s="41"/>
      <c r="L92" s="41"/>
      <c r="R92">
        <f t="shared" si="36"/>
        <v>0</v>
      </c>
      <c r="V92">
        <f t="shared" si="37"/>
        <v>0</v>
      </c>
      <c r="Y92"/>
      <c r="Z92"/>
      <c r="BW92" s="248"/>
      <c r="BX92" s="248"/>
      <c r="CY92"/>
      <c r="CZ92"/>
    </row>
    <row r="93" spans="1:111" hidden="1">
      <c r="A93" s="501"/>
      <c r="B93" s="501"/>
      <c r="C93" s="501"/>
      <c r="D93" s="501"/>
      <c r="E93" s="498"/>
      <c r="F93" s="498"/>
      <c r="G93" s="498"/>
      <c r="I93" s="41"/>
      <c r="J93" s="41"/>
      <c r="K93" s="41"/>
      <c r="L93" s="41"/>
      <c r="R93">
        <f t="shared" si="36"/>
        <v>0</v>
      </c>
      <c r="V93">
        <f t="shared" si="37"/>
        <v>0</v>
      </c>
      <c r="Y93"/>
      <c r="Z93"/>
      <c r="AF93" s="231"/>
      <c r="BW93" s="248"/>
      <c r="BX93" s="248"/>
      <c r="CY93"/>
      <c r="CZ93"/>
    </row>
    <row r="94" spans="1:111" hidden="1">
      <c r="A94" s="501"/>
      <c r="B94" s="501"/>
      <c r="C94" s="501"/>
      <c r="D94" s="501"/>
      <c r="E94" s="498"/>
      <c r="F94" s="498"/>
      <c r="G94" s="498"/>
      <c r="I94" s="41"/>
      <c r="J94" s="41"/>
      <c r="K94" s="41"/>
      <c r="L94" s="41"/>
      <c r="R94">
        <f t="shared" si="36"/>
        <v>0</v>
      </c>
      <c r="V94">
        <f t="shared" si="37"/>
        <v>0</v>
      </c>
      <c r="Y94"/>
      <c r="Z94"/>
      <c r="AD94" s="4"/>
      <c r="AE94" s="231"/>
      <c r="AF94" s="231"/>
      <c r="AG94" s="231"/>
      <c r="AH94" s="231"/>
      <c r="CY94"/>
      <c r="CZ94"/>
      <c r="DF94" s="248"/>
      <c r="DG94" s="248"/>
    </row>
    <row r="95" spans="1:111" hidden="1">
      <c r="A95" s="501"/>
      <c r="B95" s="501"/>
      <c r="C95" s="501"/>
      <c r="D95" s="501"/>
      <c r="E95" s="498"/>
      <c r="F95" s="498"/>
      <c r="G95" s="498"/>
      <c r="I95" s="41"/>
      <c r="J95" s="41"/>
      <c r="K95" s="41"/>
      <c r="L95" s="41"/>
      <c r="R95">
        <f t="shared" si="36"/>
        <v>0</v>
      </c>
      <c r="V95">
        <f t="shared" si="37"/>
        <v>0</v>
      </c>
      <c r="Y95"/>
      <c r="Z95"/>
      <c r="AD95" s="4"/>
      <c r="AE95" s="231"/>
      <c r="AG95" s="231"/>
      <c r="AH95" s="231"/>
      <c r="CY95"/>
      <c r="CZ95"/>
      <c r="DF95" s="248"/>
      <c r="DG95" s="248"/>
    </row>
    <row r="96" spans="1:111" hidden="1">
      <c r="A96" s="501"/>
      <c r="B96" s="501"/>
      <c r="C96" s="501"/>
      <c r="D96" s="501"/>
      <c r="E96" s="498"/>
      <c r="F96" s="498"/>
      <c r="G96" s="498"/>
      <c r="I96" s="41"/>
      <c r="J96" s="41"/>
      <c r="K96" s="41"/>
      <c r="L96" s="41"/>
      <c r="R96">
        <f t="shared" si="36"/>
        <v>0</v>
      </c>
      <c r="V96">
        <f t="shared" si="37"/>
        <v>0</v>
      </c>
    </row>
    <row r="97" spans="5:22" hidden="1">
      <c r="E97" s="90"/>
      <c r="F97" s="90"/>
      <c r="G97" s="90"/>
      <c r="I97" s="41"/>
      <c r="J97" s="41"/>
      <c r="K97" s="41"/>
      <c r="L97" s="41"/>
      <c r="R97">
        <f t="shared" si="36"/>
        <v>0</v>
      </c>
      <c r="V97">
        <f t="shared" si="37"/>
        <v>0</v>
      </c>
    </row>
    <row r="98" spans="5:22" hidden="1">
      <c r="I98" s="41"/>
      <c r="J98" s="41"/>
      <c r="K98" s="41"/>
      <c r="L98" s="41"/>
      <c r="R98">
        <f t="shared" si="36"/>
        <v>0</v>
      </c>
      <c r="V98">
        <f t="shared" si="37"/>
        <v>0</v>
      </c>
    </row>
    <row r="99" spans="5:22" hidden="1">
      <c r="I99" s="41"/>
      <c r="J99" s="41"/>
      <c r="K99" s="41"/>
      <c r="L99" s="41"/>
      <c r="R99">
        <f t="shared" si="36"/>
        <v>0</v>
      </c>
      <c r="V99">
        <f t="shared" si="37"/>
        <v>0</v>
      </c>
    </row>
    <row r="100" spans="5:22" hidden="1">
      <c r="I100" s="41"/>
      <c r="J100" s="41"/>
      <c r="K100" s="41"/>
      <c r="L100" s="445"/>
      <c r="R100">
        <f t="shared" si="36"/>
        <v>0</v>
      </c>
      <c r="V100">
        <f t="shared" si="37"/>
        <v>0</v>
      </c>
    </row>
    <row r="101" spans="5:22" hidden="1">
      <c r="I101" s="41"/>
      <c r="J101" s="41"/>
      <c r="K101" s="41"/>
      <c r="L101" s="445"/>
      <c r="R101">
        <f t="shared" si="36"/>
        <v>0</v>
      </c>
      <c r="V101">
        <f t="shared" si="37"/>
        <v>0</v>
      </c>
    </row>
    <row r="102" spans="5:22" hidden="1">
      <c r="I102" s="41"/>
      <c r="J102" s="41"/>
      <c r="K102" s="41"/>
      <c r="L102" s="445"/>
      <c r="R102">
        <f t="shared" si="36"/>
        <v>0</v>
      </c>
      <c r="V102">
        <f t="shared" si="37"/>
        <v>0</v>
      </c>
    </row>
    <row r="103" spans="5:22" hidden="1">
      <c r="I103" s="445"/>
      <c r="J103" s="41"/>
      <c r="K103" s="41"/>
      <c r="L103" s="445"/>
      <c r="R103">
        <f t="shared" si="36"/>
        <v>0</v>
      </c>
      <c r="V103">
        <f t="shared" si="37"/>
        <v>0</v>
      </c>
    </row>
    <row r="104" spans="5:22" hidden="1">
      <c r="I104" s="445"/>
      <c r="J104" s="445"/>
      <c r="K104" s="445"/>
      <c r="L104" s="445"/>
      <c r="R104">
        <f t="shared" si="36"/>
        <v>0</v>
      </c>
      <c r="V104">
        <f t="shared" si="37"/>
        <v>0</v>
      </c>
    </row>
    <row r="105" spans="5:22" ht="17" hidden="1" thickBot="1">
      <c r="I105" s="445"/>
      <c r="J105" s="445"/>
      <c r="K105" s="445"/>
      <c r="L105" s="445"/>
      <c r="R105">
        <f t="shared" si="36"/>
        <v>0</v>
      </c>
      <c r="V105">
        <f t="shared" si="37"/>
        <v>0</v>
      </c>
    </row>
    <row r="106" spans="5:22" ht="17" hidden="1" thickBot="1">
      <c r="I106" s="445"/>
      <c r="J106" s="445"/>
      <c r="K106" s="445"/>
      <c r="L106" s="445"/>
      <c r="R106" s="693">
        <f>SUM(R75:R105)+FB40</f>
        <v>0</v>
      </c>
      <c r="V106">
        <f>SUM(V75:V105)</f>
        <v>0</v>
      </c>
    </row>
    <row r="107" spans="5:22" hidden="1">
      <c r="I107" s="445"/>
      <c r="J107" s="445"/>
      <c r="K107" s="445"/>
      <c r="L107" s="445"/>
    </row>
    <row r="108" spans="5:22" hidden="1"/>
  </sheetData>
  <sheetProtection sheet="1" objects="1" scenarios="1"/>
  <mergeCells count="174">
    <mergeCell ref="FQ8:FR8"/>
    <mergeCell ref="DS8:DV8"/>
    <mergeCell ref="DZ8:EB8"/>
    <mergeCell ref="EG8:EI8"/>
    <mergeCell ref="EM8:EN8"/>
    <mergeCell ref="EQ8:ER8"/>
    <mergeCell ref="EU8:EV8"/>
    <mergeCell ref="FC8:FD8"/>
    <mergeCell ref="FG8:FH8"/>
    <mergeCell ref="FK8:FL8"/>
    <mergeCell ref="EY8:EZ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EW6:EZ6"/>
    <mergeCell ref="A62:G62"/>
    <mergeCell ref="I62:K62"/>
    <mergeCell ref="E36:G36"/>
    <mergeCell ref="E37:G37"/>
    <mergeCell ref="E38:G38"/>
    <mergeCell ref="E39:G39"/>
    <mergeCell ref="A40:I40"/>
    <mergeCell ref="M47:X47"/>
    <mergeCell ref="M48:U48"/>
    <mergeCell ref="V48:X48"/>
    <mergeCell ref="M49:U49"/>
    <mergeCell ref="V49:X49"/>
    <mergeCell ref="I44:K44"/>
    <mergeCell ref="A45:G45"/>
    <mergeCell ref="I45:K45"/>
    <mergeCell ref="A48:H48"/>
    <mergeCell ref="I48:K48"/>
    <mergeCell ref="M50:U50"/>
    <mergeCell ref="V50:X50"/>
    <mergeCell ref="A42:G42"/>
    <mergeCell ref="I42:K42"/>
    <mergeCell ref="A43:G43"/>
    <mergeCell ref="I43:K43"/>
    <mergeCell ref="M42:X42"/>
    <mergeCell ref="M43:U43"/>
    <mergeCell ref="V43:X43"/>
    <mergeCell ref="M44:U44"/>
    <mergeCell ref="V44:X44"/>
    <mergeCell ref="M45:U45"/>
    <mergeCell ref="V45:X45"/>
    <mergeCell ref="M46:U46"/>
    <mergeCell ref="V46:X46"/>
    <mergeCell ref="A49:H49"/>
    <mergeCell ref="I49:K49"/>
    <mergeCell ref="A50:H50"/>
    <mergeCell ref="I50:K50"/>
    <mergeCell ref="A46:G46"/>
    <mergeCell ref="I46:K46"/>
    <mergeCell ref="A47:G47"/>
    <mergeCell ref="I47:K47"/>
    <mergeCell ref="A44:G44"/>
    <mergeCell ref="I51:K51"/>
    <mergeCell ref="M51:U51"/>
    <mergeCell ref="V51:X51"/>
    <mergeCell ref="A67:C67"/>
    <mergeCell ref="A65:C65"/>
    <mergeCell ref="A66:C66"/>
    <mergeCell ref="M52:U52"/>
    <mergeCell ref="V52:X52"/>
    <mergeCell ref="A53:G54"/>
    <mergeCell ref="I53:K53"/>
    <mergeCell ref="M53:U53"/>
    <mergeCell ref="V53:X53"/>
    <mergeCell ref="I54:K54"/>
    <mergeCell ref="A55:G55"/>
    <mergeCell ref="A56:K56"/>
    <mergeCell ref="A57:B57"/>
    <mergeCell ref="C57:D57"/>
    <mergeCell ref="E57:G57"/>
    <mergeCell ref="H57:K57"/>
    <mergeCell ref="A58:B58"/>
    <mergeCell ref="C58:D58"/>
    <mergeCell ref="E58:G58"/>
    <mergeCell ref="I58:K58"/>
    <mergeCell ref="A59:B59"/>
    <mergeCell ref="I55:K55"/>
    <mergeCell ref="C59:D59"/>
    <mergeCell ref="E35:G35"/>
    <mergeCell ref="E23:G23"/>
    <mergeCell ref="E24:G24"/>
    <mergeCell ref="E25:G25"/>
    <mergeCell ref="E26:G26"/>
    <mergeCell ref="E27:G27"/>
    <mergeCell ref="E28:G28"/>
    <mergeCell ref="E17:G17"/>
    <mergeCell ref="E18:G18"/>
    <mergeCell ref="E19:G19"/>
    <mergeCell ref="E20:G20"/>
    <mergeCell ref="E21:G21"/>
    <mergeCell ref="E22:G22"/>
    <mergeCell ref="E29:G29"/>
    <mergeCell ref="E30:G30"/>
    <mergeCell ref="E31:G31"/>
    <mergeCell ref="E33:G33"/>
    <mergeCell ref="E34:G34"/>
    <mergeCell ref="E32:G32"/>
    <mergeCell ref="B2:E2"/>
    <mergeCell ref="E4:G4"/>
    <mergeCell ref="K4:L4"/>
    <mergeCell ref="A5:R5"/>
    <mergeCell ref="P6:P7"/>
    <mergeCell ref="Q6:Q7"/>
    <mergeCell ref="R6:R7"/>
    <mergeCell ref="A4:D4"/>
    <mergeCell ref="S5:X5"/>
    <mergeCell ref="A3:X3"/>
    <mergeCell ref="E6:G8"/>
    <mergeCell ref="K6:L6"/>
    <mergeCell ref="N6:N7"/>
    <mergeCell ref="O6:O7"/>
    <mergeCell ref="K8:R8"/>
    <mergeCell ref="I6:I7"/>
    <mergeCell ref="J6:J7"/>
    <mergeCell ref="S6:X6"/>
    <mergeCell ref="S8:U8"/>
    <mergeCell ref="V8:X8"/>
    <mergeCell ref="A7:D8"/>
    <mergeCell ref="H7:H8"/>
    <mergeCell ref="I8:J8"/>
    <mergeCell ref="E59:G59"/>
    <mergeCell ref="I59:K59"/>
    <mergeCell ref="A60:B60"/>
    <mergeCell ref="C60:D60"/>
    <mergeCell ref="E60:G60"/>
    <mergeCell ref="I60:K60"/>
    <mergeCell ref="A61:B61"/>
    <mergeCell ref="C61:D61"/>
    <mergeCell ref="E61:G61"/>
    <mergeCell ref="I61:K61"/>
    <mergeCell ref="AG6:AK6"/>
    <mergeCell ref="E11:G11"/>
    <mergeCell ref="E12:G12"/>
    <mergeCell ref="E13:G13"/>
    <mergeCell ref="E14:G14"/>
    <mergeCell ref="E15:G15"/>
    <mergeCell ref="E16:G16"/>
    <mergeCell ref="DA6:DE6"/>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AA6:AE6"/>
  </mergeCells>
  <conditionalFormatting sqref="A9:H9 D10:H31 A10:C39 D32:E32 H32 D33:H39">
    <cfRule type="expression" dxfId="669" priority="56">
      <formula>OR($C9="ekskursion")</formula>
    </cfRule>
    <cfRule type="expression" dxfId="668" priority="62" stopIfTrue="1">
      <formula>OR($C9="Orlov")</formula>
    </cfRule>
    <cfRule type="expression" dxfId="667" priority="61">
      <formula>OR($C9="weekend")</formula>
    </cfRule>
    <cfRule type="expression" dxfId="666" priority="60">
      <formula>OR($C9="feriedag")</formula>
    </cfRule>
    <cfRule type="expression" dxfId="665" priority="59">
      <formula>OR($C9="fagdag")</formula>
    </cfRule>
    <cfRule type="expression" dxfId="664" priority="58">
      <formula>OR($C9="emnedag")</formula>
    </cfRule>
    <cfRule type="expression" dxfId="663" priority="57">
      <formula>OR($C9="lejrskole")</formula>
    </cfRule>
    <cfRule type="expression" dxfId="662" priority="55">
      <formula>OR($C9="SH-dag")</formula>
    </cfRule>
    <cfRule type="expression" dxfId="661" priority="54">
      <formula>OR($C9="nul-dag")</formula>
    </cfRule>
    <cfRule type="expression" dxfId="660" priority="53">
      <formula>OR($C9="pæd.dag")</formula>
    </cfRule>
    <cfRule type="expression" dxfId="659" priority="52">
      <formula>OR($C9="Ikke relevant")</formula>
    </cfRule>
    <cfRule type="expression" dxfId="658" priority="48">
      <formula>OR($C9="Skema 1")</formula>
    </cfRule>
    <cfRule type="expression" dxfId="657" priority="49">
      <formula>OR($C9="skema 2")</formula>
    </cfRule>
    <cfRule type="expression" dxfId="656" priority="50">
      <formula>OR($C9="Skema 3")</formula>
    </cfRule>
    <cfRule type="expression" dxfId="655" priority="51">
      <formula>OR($C9="Skema 4")</formula>
    </cfRule>
  </conditionalFormatting>
  <conditionalFormatting sqref="E20">
    <cfRule type="expression" dxfId="654" priority="64">
      <formula>OR($D19="nul-dag")</formula>
    </cfRule>
    <cfRule type="expression" dxfId="653" priority="65">
      <formula>OR($D19="SH-dag")</formula>
    </cfRule>
    <cfRule type="expression" dxfId="652" priority="66">
      <formula>OR($D19="ekskursion")</formula>
    </cfRule>
    <cfRule type="expression" dxfId="651" priority="67">
      <formula>OR($D19="lejrskole")</formula>
    </cfRule>
    <cfRule type="expression" dxfId="650" priority="63">
      <formula>OR($D19="pæd.dag")</formula>
    </cfRule>
    <cfRule type="expression" dxfId="649" priority="68">
      <formula>OR($D19="emnedag")</formula>
    </cfRule>
    <cfRule type="expression" dxfId="648" priority="69">
      <formula>OR($D19="fagdag")</formula>
    </cfRule>
    <cfRule type="expression" dxfId="647" priority="70">
      <formula>OR($D19="feriedag")</formula>
    </cfRule>
    <cfRule type="expression" dxfId="646" priority="71">
      <formula>OR($D19="weekend")</formula>
    </cfRule>
    <cfRule type="expression" dxfId="645" priority="72" stopIfTrue="1">
      <formula>OR($D19="skoledag")</formula>
    </cfRule>
    <cfRule type="expression" dxfId="644" priority="73">
      <formula>OR($D19="Ikke relevant")</formula>
    </cfRule>
  </conditionalFormatting>
  <conditionalFormatting sqref="H58:H61">
    <cfRule type="expression" dxfId="643" priority="1">
      <formula>OR($A58&gt;0,)</formula>
    </cfRule>
  </conditionalFormatting>
  <conditionalFormatting sqref="I58:I61">
    <cfRule type="expression" dxfId="642" priority="2">
      <formula>OR($C58&gt;0,)</formula>
    </cfRule>
  </conditionalFormatting>
  <conditionalFormatting sqref="K9:K39">
    <cfRule type="expression" dxfId="641" priority="45">
      <formula>OR($C9="Pæd.dag",)</formula>
    </cfRule>
  </conditionalFormatting>
  <conditionalFormatting sqref="K9:L39">
    <cfRule type="expression" dxfId="640" priority="47">
      <formula>OR($C9="Ekskursion",)</formula>
    </cfRule>
    <cfRule type="expression" dxfId="639" priority="46">
      <formula>OR($C9="Lejrskole",)</formula>
    </cfRule>
  </conditionalFormatting>
  <conditionalFormatting sqref="K9:M39">
    <cfRule type="expression" dxfId="638" priority="44">
      <formula>OR($C9="emnedag",)</formula>
    </cfRule>
    <cfRule type="expression" dxfId="637" priority="43">
      <formula>OR($C9="fagdag",)</formula>
    </cfRule>
  </conditionalFormatting>
  <conditionalFormatting sqref="R9:R39">
    <cfRule type="expression" dxfId="636" priority="74">
      <formula>OR($H9&gt;"0",)</formula>
    </cfRule>
  </conditionalFormatting>
  <conditionalFormatting sqref="V9:V39">
    <cfRule type="expression" dxfId="635" priority="10">
      <formula>OR($S9="X",)</formula>
    </cfRule>
  </conditionalFormatting>
  <conditionalFormatting sqref="V49:X52">
    <cfRule type="expression" dxfId="634" priority="3">
      <formula>OR($M49&gt;0,)</formula>
    </cfRule>
  </conditionalFormatting>
  <conditionalFormatting sqref="W9:W39">
    <cfRule type="expression" dxfId="633" priority="9">
      <formula>OR($T9="X",)</formula>
    </cfRule>
  </conditionalFormatting>
  <conditionalFormatting sqref="X9:X39">
    <cfRule type="expression" dxfId="632" priority="8">
      <formula>OR($U9="X",)</formula>
    </cfRule>
  </conditionalFormatting>
  <dataValidations count="3">
    <dataValidation type="list" allowBlank="1" showInputMessage="1" showErrorMessage="1" sqref="S9:T39 U9:U37 A58:D61" xr:uid="{EFFC1661-37AB-2243-AA06-C616F29CF368}">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9 I19:I20 I26:I27 I33:I34 I12:I13" xr:uid="{F9E3C8A6-48AE-AE4A-84D9-68CE920C5FFF}">
      <formula1>$W$1:$W$2</formula1>
    </dataValidation>
    <dataValidation type="list" allowBlank="1" showInputMessage="1" showErrorMessage="1" promptTitle="OBS:" prompt="Ved arrangementer med overnatning ydes istedet for ulempe- og weekendgodtgørelse på hhv. 25% og 50% faste tillæg pr. påbegyndt dag. " sqref="J9:J39" xr:uid="{EA6878DF-81FA-864D-B82A-981E985E6445}">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E6625806-53BB-7E43-BA78-1A10D5E9B8F4}">
          <x14:formula1>
            <xm:f>August!$A$89:$A$103</xm:f>
          </x14:formula1>
          <xm:sqref>C9:C39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C4DB2-C5D5-C248-B4EF-D7B4F6B3C5D9}">
  <sheetPr>
    <tabColor theme="4" tint="-0.249977111117893"/>
    <pageSetUpPr fitToPage="1"/>
  </sheetPr>
  <dimension ref="A1:GC106"/>
  <sheetViews>
    <sheetView topLeftCell="A7" zoomScale="92" workbookViewId="0">
      <selection activeCell="J24" sqref="J2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1" hidden="1" customWidth="1"/>
    <col min="26" max="26" width="7" style="231"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8" hidden="1" customWidth="1"/>
    <col min="105" max="119" width="10.83203125" hidden="1" customWidth="1"/>
    <col min="120" max="185" width="0" hidden="1" customWidth="1"/>
  </cols>
  <sheetData>
    <row r="1" spans="1:185" ht="16" customHeight="1">
      <c r="A1" s="93"/>
      <c r="B1" s="90"/>
      <c r="C1" s="90"/>
      <c r="D1" s="90"/>
      <c r="E1" s="90"/>
      <c r="F1" s="90"/>
      <c r="G1" s="90"/>
      <c r="H1" s="279"/>
      <c r="I1" s="278"/>
      <c r="J1" s="90"/>
      <c r="K1" s="230"/>
      <c r="L1" s="230"/>
      <c r="M1" s="230"/>
      <c r="N1" s="230"/>
      <c r="O1" s="230"/>
      <c r="P1" s="90"/>
      <c r="Q1" s="90"/>
      <c r="R1" s="90"/>
      <c r="S1" s="90"/>
      <c r="T1" s="90"/>
      <c r="U1" s="90"/>
      <c r="V1" s="90"/>
      <c r="W1" s="90"/>
      <c r="X1" s="90"/>
      <c r="Y1"/>
      <c r="Z1" s="90"/>
      <c r="AB1" s="90"/>
      <c r="AC1" s="90"/>
      <c r="AH1" s="90"/>
      <c r="AI1" s="90"/>
      <c r="CX1" s="248"/>
      <c r="CZ1"/>
    </row>
    <row r="2" spans="1:185" ht="21" thickBot="1">
      <c r="A2" s="92">
        <v>2</v>
      </c>
      <c r="B2" s="1086"/>
      <c r="C2" s="1086"/>
      <c r="D2" s="1086"/>
      <c r="E2" s="1086"/>
      <c r="F2" s="90"/>
      <c r="G2" s="90"/>
      <c r="H2" s="279"/>
      <c r="I2" s="278"/>
      <c r="J2" s="230"/>
      <c r="K2" s="230"/>
      <c r="L2" s="230"/>
      <c r="M2" s="230"/>
      <c r="N2" s="230"/>
      <c r="O2" s="230"/>
      <c r="P2" s="90"/>
      <c r="Q2" s="90"/>
      <c r="R2" s="90"/>
      <c r="S2" s="90"/>
      <c r="T2" s="90"/>
      <c r="U2" s="90"/>
      <c r="V2" s="90"/>
      <c r="W2" s="123" t="s">
        <v>31</v>
      </c>
      <c r="X2" s="123" t="s">
        <v>31</v>
      </c>
      <c r="Y2"/>
      <c r="Z2" s="90"/>
      <c r="AA2" s="90"/>
      <c r="AE2" s="90"/>
      <c r="AG2" s="90"/>
      <c r="CV2" s="248"/>
      <c r="CW2" s="248"/>
      <c r="CY2"/>
      <c r="CZ2"/>
    </row>
    <row r="3" spans="1:185" ht="17" thickBot="1">
      <c r="A3" s="1115" t="s">
        <v>310</v>
      </c>
      <c r="B3" s="1116"/>
      <c r="C3" s="1116"/>
      <c r="D3" s="1116"/>
      <c r="E3" s="1116"/>
      <c r="F3" s="1116"/>
      <c r="G3" s="1116"/>
      <c r="H3" s="1116"/>
      <c r="I3" s="1116"/>
      <c r="J3" s="1116"/>
      <c r="K3" s="1116"/>
      <c r="L3" s="1116"/>
      <c r="M3" s="1116"/>
      <c r="N3" s="1116"/>
      <c r="O3" s="1116"/>
      <c r="P3" s="1116"/>
      <c r="Q3" s="1116"/>
      <c r="R3" s="1116"/>
      <c r="S3" s="1116"/>
      <c r="T3" s="1116"/>
      <c r="U3" s="1116"/>
      <c r="V3" s="1116"/>
      <c r="W3" s="1116"/>
      <c r="X3" s="1117"/>
      <c r="Y3" s="90"/>
      <c r="Z3"/>
      <c r="AC3" s="90"/>
      <c r="AD3" s="90"/>
      <c r="AF3" s="90"/>
      <c r="CT3" s="248"/>
      <c r="CU3" s="248"/>
      <c r="CY3"/>
      <c r="CZ3"/>
      <c r="FI3" s="878" t="s">
        <v>636</v>
      </c>
      <c r="FJ3" s="879"/>
      <c r="FK3" s="879"/>
      <c r="FL3" s="879"/>
      <c r="FM3" s="879"/>
      <c r="FN3" s="879"/>
      <c r="FO3" s="879"/>
      <c r="FP3" s="879"/>
      <c r="FQ3" s="879"/>
      <c r="FR3" s="879"/>
      <c r="FS3" s="879"/>
      <c r="FT3" s="879"/>
      <c r="FU3" s="879"/>
      <c r="FV3" s="879"/>
      <c r="FW3" s="879"/>
      <c r="FX3" s="879"/>
      <c r="FY3" s="879"/>
      <c r="FZ3" s="879"/>
      <c r="GA3" s="879"/>
      <c r="GB3" s="879"/>
      <c r="GC3" s="880"/>
    </row>
    <row r="4" spans="1:185" ht="254" customHeight="1" thickBot="1">
      <c r="A4" s="915" t="s">
        <v>432</v>
      </c>
      <c r="B4" s="916"/>
      <c r="C4" s="916"/>
      <c r="D4" s="916"/>
      <c r="E4" s="920" t="s">
        <v>311</v>
      </c>
      <c r="F4" s="920"/>
      <c r="G4" s="920"/>
      <c r="H4" s="280" t="s">
        <v>414</v>
      </c>
      <c r="I4" s="438" t="s">
        <v>467</v>
      </c>
      <c r="J4" s="438" t="s">
        <v>468</v>
      </c>
      <c r="K4" s="931" t="s">
        <v>515</v>
      </c>
      <c r="L4" s="931"/>
      <c r="M4" s="486" t="s">
        <v>457</v>
      </c>
      <c r="N4" s="486" t="s">
        <v>433</v>
      </c>
      <c r="O4" s="486" t="s">
        <v>434</v>
      </c>
      <c r="P4" s="487" t="s">
        <v>458</v>
      </c>
      <c r="Q4" s="487" t="s">
        <v>309</v>
      </c>
      <c r="R4" s="487" t="s">
        <v>435</v>
      </c>
      <c r="S4" s="488" t="s">
        <v>465</v>
      </c>
      <c r="T4" s="488" t="s">
        <v>436</v>
      </c>
      <c r="U4" s="488" t="s">
        <v>437</v>
      </c>
      <c r="V4" s="489" t="s">
        <v>459</v>
      </c>
      <c r="W4" s="489" t="s">
        <v>400</v>
      </c>
      <c r="X4" s="490" t="s">
        <v>399</v>
      </c>
      <c r="Y4" s="246"/>
      <c r="Z4" s="90"/>
      <c r="AB4" s="90"/>
      <c r="AC4" s="90"/>
      <c r="AH4" s="90"/>
      <c r="AI4" s="90"/>
      <c r="CX4" s="248"/>
      <c r="CZ4"/>
      <c r="FI4" s="730" t="s">
        <v>634</v>
      </c>
      <c r="FJ4" s="730"/>
      <c r="FK4" s="730"/>
      <c r="FL4" s="730"/>
      <c r="FM4" t="s">
        <v>627</v>
      </c>
      <c r="FO4" s="730" t="s">
        <v>633</v>
      </c>
      <c r="FP4" s="730"/>
      <c r="FQ4" s="730"/>
      <c r="FR4" s="730"/>
    </row>
    <row r="5" spans="1:185" ht="26" thickBot="1">
      <c r="A5" s="932" t="str">
        <f>""&amp;A7&amp;" måneds kalender for: "&amp;Stamoplysninger!E8&amp;". Måneden vedr. normperioden: "&amp;Stamoplysninger!E11&amp;" - "&amp;Stamoplysninger!G11&amp;"."</f>
        <v>Februar måneds kalender for: Beate Simonsen. Måneden vedr. normperioden: 01.08.2024 - 31.07.2025.</v>
      </c>
      <c r="B5" s="933"/>
      <c r="C5" s="933"/>
      <c r="D5" s="933"/>
      <c r="E5" s="933"/>
      <c r="F5" s="933"/>
      <c r="G5" s="933"/>
      <c r="H5" s="933"/>
      <c r="I5" s="933"/>
      <c r="J5" s="933"/>
      <c r="K5" s="933"/>
      <c r="L5" s="933"/>
      <c r="M5" s="933"/>
      <c r="N5" s="933"/>
      <c r="O5" s="933"/>
      <c r="P5" s="933"/>
      <c r="Q5" s="933"/>
      <c r="R5" s="933"/>
      <c r="S5" s="925" t="s">
        <v>397</v>
      </c>
      <c r="T5" s="926"/>
      <c r="U5" s="926"/>
      <c r="V5" s="926"/>
      <c r="W5" s="926"/>
      <c r="X5" s="927"/>
      <c r="Y5" s="246"/>
      <c r="Z5" s="90"/>
      <c r="AB5" s="90"/>
      <c r="AC5" s="90"/>
      <c r="AH5" s="90"/>
      <c r="AI5" s="90"/>
      <c r="CX5" s="248"/>
      <c r="CZ5"/>
      <c r="FI5" s="881" t="s">
        <v>620</v>
      </c>
      <c r="FJ5" s="881"/>
      <c r="FK5" s="881"/>
      <c r="FL5" s="881"/>
      <c r="FM5" s="881"/>
      <c r="FN5" s="881"/>
      <c r="FO5" s="881"/>
      <c r="FP5" s="881"/>
      <c r="FQ5" s="881"/>
      <c r="FR5" s="881"/>
      <c r="FU5" t="s">
        <v>635</v>
      </c>
      <c r="FV5" t="s">
        <v>628</v>
      </c>
      <c r="FX5" t="s">
        <v>629</v>
      </c>
      <c r="FZ5" t="s">
        <v>630</v>
      </c>
      <c r="GB5" s="526" t="s">
        <v>631</v>
      </c>
    </row>
    <row r="6" spans="1:185" ht="47" customHeight="1">
      <c r="A6" s="329">
        <f>Januar!A6</f>
        <v>2025</v>
      </c>
      <c r="B6" s="242"/>
      <c r="C6" s="243"/>
      <c r="D6" s="244"/>
      <c r="E6" s="940" t="s">
        <v>471</v>
      </c>
      <c r="F6" s="941"/>
      <c r="G6" s="942"/>
      <c r="H6" s="326" t="s">
        <v>324</v>
      </c>
      <c r="I6" s="888" t="s">
        <v>466</v>
      </c>
      <c r="J6" s="938" t="s">
        <v>487</v>
      </c>
      <c r="K6" s="934" t="s">
        <v>303</v>
      </c>
      <c r="L6" s="935"/>
      <c r="M6" s="327" t="s">
        <v>304</v>
      </c>
      <c r="N6" s="888" t="s">
        <v>447</v>
      </c>
      <c r="O6" s="888" t="s">
        <v>308</v>
      </c>
      <c r="P6" s="888" t="s">
        <v>456</v>
      </c>
      <c r="Q6" s="888" t="s">
        <v>387</v>
      </c>
      <c r="R6" s="891" t="s">
        <v>516</v>
      </c>
      <c r="S6" s="953" t="s">
        <v>305</v>
      </c>
      <c r="T6" s="954"/>
      <c r="U6" s="954"/>
      <c r="V6" s="954"/>
      <c r="W6" s="954"/>
      <c r="X6" s="955"/>
      <c r="Y6" s="212"/>
      <c r="Z6" s="212"/>
      <c r="AA6" s="890" t="s">
        <v>261</v>
      </c>
      <c r="AB6" s="890"/>
      <c r="AC6" s="890"/>
      <c r="AD6" s="890"/>
      <c r="AE6" s="890"/>
      <c r="AF6" s="209"/>
      <c r="AG6" s="890" t="s">
        <v>222</v>
      </c>
      <c r="AH6" s="890"/>
      <c r="AI6" s="890"/>
      <c r="AJ6" s="890"/>
      <c r="AK6" s="890"/>
      <c r="AL6" s="890" t="s">
        <v>223</v>
      </c>
      <c r="AM6" s="890"/>
      <c r="AN6" s="890"/>
      <c r="AO6" s="890"/>
      <c r="AP6" s="890"/>
      <c r="AQ6" s="890" t="s">
        <v>224</v>
      </c>
      <c r="AR6" s="890"/>
      <c r="AS6" s="890"/>
      <c r="AT6" s="890"/>
      <c r="AU6" s="890"/>
      <c r="AV6" s="890" t="s">
        <v>225</v>
      </c>
      <c r="AW6" s="890"/>
      <c r="AX6" s="890"/>
      <c r="AY6" s="890"/>
      <c r="AZ6" s="890"/>
      <c r="BA6" s="299"/>
      <c r="BB6" s="209"/>
      <c r="BC6" s="890" t="s">
        <v>264</v>
      </c>
      <c r="BD6" s="890"/>
      <c r="BE6" s="890"/>
      <c r="BF6" s="890"/>
      <c r="BG6" s="890" t="s">
        <v>227</v>
      </c>
      <c r="BH6" s="890"/>
      <c r="BI6" s="890"/>
      <c r="BJ6" s="890"/>
      <c r="BK6" s="890"/>
      <c r="BL6" s="890" t="s">
        <v>228</v>
      </c>
      <c r="BM6" s="890"/>
      <c r="BN6" s="890"/>
      <c r="BO6" s="890"/>
      <c r="BP6" s="890"/>
      <c r="BQ6" s="890" t="s">
        <v>229</v>
      </c>
      <c r="BR6" s="890"/>
      <c r="BS6" s="890"/>
      <c r="BT6" s="890"/>
      <c r="BU6" s="890"/>
      <c r="BV6" s="890" t="s">
        <v>230</v>
      </c>
      <c r="BW6" s="890"/>
      <c r="BX6" s="890"/>
      <c r="BY6" s="890"/>
      <c r="BZ6" s="890"/>
      <c r="CD6" s="890" t="s">
        <v>265</v>
      </c>
      <c r="CE6" s="890"/>
      <c r="CF6" s="890"/>
      <c r="CG6" s="890"/>
      <c r="CH6" s="890"/>
      <c r="CI6" s="890" t="s">
        <v>267</v>
      </c>
      <c r="CJ6" s="890"/>
      <c r="CK6" s="890"/>
      <c r="CL6" s="890"/>
      <c r="CM6" s="890"/>
      <c r="CN6" s="890" t="s">
        <v>266</v>
      </c>
      <c r="CO6" s="890"/>
      <c r="CP6" s="890"/>
      <c r="CQ6" s="890"/>
      <c r="CR6" s="890"/>
      <c r="CS6" s="890" t="s">
        <v>268</v>
      </c>
      <c r="CT6" s="890"/>
      <c r="CU6" s="890"/>
      <c r="CV6" s="890"/>
      <c r="CW6" s="890"/>
      <c r="CX6" s="248"/>
      <c r="CZ6"/>
      <c r="DA6" s="730" t="s">
        <v>212</v>
      </c>
      <c r="DB6" s="730"/>
      <c r="DC6" s="730"/>
      <c r="DD6" s="730"/>
      <c r="DE6" s="730"/>
      <c r="DO6" s="1049" t="s">
        <v>320</v>
      </c>
      <c r="DP6" s="1050"/>
      <c r="DQ6" s="1050"/>
      <c r="DR6" s="1050"/>
      <c r="DS6" s="1050"/>
      <c r="DT6" s="1050"/>
      <c r="DU6" s="1050"/>
      <c r="DV6" s="1051"/>
      <c r="DW6" s="1052" t="s">
        <v>320</v>
      </c>
      <c r="DX6" s="1053"/>
      <c r="DY6" s="1053"/>
      <c r="DZ6" s="1053"/>
      <c r="EA6" s="1053"/>
      <c r="EB6" s="1054"/>
      <c r="EC6" s="1055" t="s">
        <v>376</v>
      </c>
      <c r="ED6" s="1056"/>
      <c r="EE6" s="1056"/>
      <c r="EF6" s="1056"/>
      <c r="EG6" s="1056"/>
      <c r="EH6" s="1056"/>
      <c r="EI6" s="1056"/>
      <c r="EJ6" s="1057"/>
      <c r="EK6" s="1058" t="s">
        <v>321</v>
      </c>
      <c r="EL6" s="1059"/>
      <c r="EM6" s="1059"/>
      <c r="EN6" s="1060"/>
      <c r="EO6" s="1058" t="s">
        <v>325</v>
      </c>
      <c r="EP6" s="1059"/>
      <c r="EQ6" s="1059"/>
      <c r="ER6" s="1060"/>
      <c r="ES6" s="873" t="s">
        <v>379</v>
      </c>
      <c r="ET6" s="874"/>
      <c r="EU6" s="874"/>
      <c r="EV6" s="875"/>
      <c r="EW6" s="873" t="s">
        <v>380</v>
      </c>
      <c r="EX6" s="874"/>
      <c r="EY6" s="874"/>
      <c r="EZ6" s="875"/>
      <c r="FA6" s="873" t="s">
        <v>381</v>
      </c>
      <c r="FB6" s="874"/>
      <c r="FC6" s="874"/>
      <c r="FD6" s="875"/>
      <c r="FE6" s="873" t="s">
        <v>382</v>
      </c>
      <c r="FF6" s="874"/>
      <c r="FG6" s="874"/>
      <c r="FH6" s="875"/>
      <c r="FI6" s="883" t="s">
        <v>605</v>
      </c>
      <c r="FJ6" s="884"/>
      <c r="FK6" s="884"/>
      <c r="FL6" s="1061"/>
      <c r="FM6" s="882" t="s">
        <v>381</v>
      </c>
      <c r="FN6" s="882"/>
      <c r="FO6" s="883" t="s">
        <v>632</v>
      </c>
      <c r="FP6" s="884"/>
      <c r="FQ6" s="884"/>
      <c r="FR6" s="885"/>
      <c r="FS6" s="886" t="s">
        <v>622</v>
      </c>
      <c r="FT6" s="887"/>
      <c r="FU6" t="s">
        <v>625</v>
      </c>
      <c r="FV6" s="882" t="s">
        <v>379</v>
      </c>
      <c r="FW6" s="882"/>
      <c r="FX6" s="882" t="s">
        <v>380</v>
      </c>
      <c r="FY6" s="882"/>
      <c r="FZ6" s="882" t="s">
        <v>382</v>
      </c>
      <c r="GA6" s="882"/>
      <c r="GB6" s="882" t="s">
        <v>378</v>
      </c>
      <c r="GC6" s="882"/>
    </row>
    <row r="7" spans="1:185" ht="197" customHeight="1">
      <c r="A7" s="997" t="s">
        <v>284</v>
      </c>
      <c r="B7" s="998"/>
      <c r="C7" s="998"/>
      <c r="D7" s="999"/>
      <c r="E7" s="943"/>
      <c r="F7" s="944"/>
      <c r="G7" s="945"/>
      <c r="H7" s="952" t="s">
        <v>486</v>
      </c>
      <c r="I7" s="937"/>
      <c r="J7" s="939"/>
      <c r="K7" s="328" t="s">
        <v>517</v>
      </c>
      <c r="L7" s="328" t="s">
        <v>518</v>
      </c>
      <c r="M7" s="328" t="s">
        <v>519</v>
      </c>
      <c r="N7" s="889"/>
      <c r="O7" s="889"/>
      <c r="P7" s="889"/>
      <c r="Q7" s="889"/>
      <c r="R7" s="892"/>
      <c r="S7" s="492" t="s">
        <v>738</v>
      </c>
      <c r="T7" s="327" t="s">
        <v>307</v>
      </c>
      <c r="U7" s="327" t="s">
        <v>401</v>
      </c>
      <c r="V7" s="443" t="s">
        <v>439</v>
      </c>
      <c r="W7" s="443" t="s">
        <v>438</v>
      </c>
      <c r="X7" s="444" t="s">
        <v>398</v>
      </c>
      <c r="Y7" s="212" t="s">
        <v>279</v>
      </c>
      <c r="Z7" s="436" t="s">
        <v>280</v>
      </c>
      <c r="AA7" s="300" t="s">
        <v>211</v>
      </c>
      <c r="AB7" t="s">
        <v>136</v>
      </c>
      <c r="AC7" t="s">
        <v>139</v>
      </c>
      <c r="AD7" t="s">
        <v>138</v>
      </c>
      <c r="AE7" t="s">
        <v>137</v>
      </c>
      <c r="AF7" t="s">
        <v>416</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8"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2" t="s">
        <v>231</v>
      </c>
      <c r="CB7" s="234" t="s">
        <v>251</v>
      </c>
      <c r="CC7" s="300"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8" t="s">
        <v>277</v>
      </c>
      <c r="CY7" s="248" t="s">
        <v>269</v>
      </c>
      <c r="CZ7" s="248" t="s">
        <v>270</v>
      </c>
      <c r="DA7" s="248" t="s">
        <v>271</v>
      </c>
      <c r="DB7" s="248" t="s">
        <v>272</v>
      </c>
      <c r="DC7" s="248" t="s">
        <v>273</v>
      </c>
      <c r="DD7" s="248" t="s">
        <v>274</v>
      </c>
      <c r="DE7" s="248" t="s">
        <v>275</v>
      </c>
      <c r="DF7" s="248" t="s">
        <v>276</v>
      </c>
      <c r="DG7" s="248"/>
      <c r="DO7" s="649" t="s">
        <v>720</v>
      </c>
      <c r="DP7" s="300" t="s">
        <v>721</v>
      </c>
      <c r="DQ7" s="703" t="s">
        <v>725</v>
      </c>
      <c r="DR7" s="703" t="s">
        <v>722</v>
      </c>
      <c r="DS7" s="650" t="s">
        <v>727</v>
      </c>
      <c r="DT7" s="650" t="str">
        <f>DP7</f>
        <v>Ulempetillæg på weekenddage - kræver der er sat kryds i weekendarbejde. KOLONNE I</v>
      </c>
      <c r="DU7" s="705" t="s">
        <v>728</v>
      </c>
      <c r="DV7" s="704" t="str">
        <f>DR7</f>
        <v>Ulempetillæg ændringer på weekenddage. Kræver der er sat kryds i ændring i timetal og at det er en weekeend. KOLONNE I OG S</v>
      </c>
      <c r="DW7" s="649" t="s">
        <v>598</v>
      </c>
      <c r="DX7" s="300" t="s">
        <v>596</v>
      </c>
      <c r="DY7" s="300" t="s">
        <v>597</v>
      </c>
      <c r="DZ7" s="650" t="str">
        <f>DW7</f>
        <v>17-06 timer til udbetaling inkl. ændringer 17-06</v>
      </c>
      <c r="EA7" s="650" t="str">
        <f>DX7</f>
        <v>Ulempetillæg på weekenddage</v>
      </c>
      <c r="EB7" s="651" t="str">
        <f>DY7</f>
        <v>Ulempetillæg ændringer på weekenddage</v>
      </c>
      <c r="EC7" s="706" t="s">
        <v>723</v>
      </c>
      <c r="ED7" s="703" t="s">
        <v>724</v>
      </c>
      <c r="EE7" s="703" t="s">
        <v>726</v>
      </c>
      <c r="EF7" s="703" t="s">
        <v>722</v>
      </c>
      <c r="EG7" s="650" t="s">
        <v>727</v>
      </c>
      <c r="EH7" s="705" t="str">
        <f>ED7</f>
        <v>Ulempetillæg på weekenddage til afspadsering. Kræver der er sat kryds i weekendarb. KOLONNE I</v>
      </c>
      <c r="EI7" s="705" t="s">
        <v>728</v>
      </c>
      <c r="EJ7" s="704" t="str">
        <f>EF7</f>
        <v>Ulempetillæg ændringer på weekenddage. Kræver der er sat kryds i ændring i timetal og at det er en weekeend. KOLONNE I OG S</v>
      </c>
      <c r="EK7" s="656" t="s">
        <v>730</v>
      </c>
      <c r="EL7" s="654" t="s">
        <v>729</v>
      </c>
      <c r="EM7" s="655" t="s">
        <v>733</v>
      </c>
      <c r="EN7" s="657" t="s">
        <v>732</v>
      </c>
      <c r="EO7" s="656" t="s">
        <v>730</v>
      </c>
      <c r="EP7" s="654" t="s">
        <v>729</v>
      </c>
      <c r="EQ7" s="655" t="s">
        <v>733</v>
      </c>
      <c r="ER7" s="657" t="s">
        <v>732</v>
      </c>
      <c r="ES7" s="656" t="s">
        <v>734</v>
      </c>
      <c r="ET7" s="654" t="s">
        <v>735</v>
      </c>
      <c r="EU7" s="655" t="s">
        <v>731</v>
      </c>
      <c r="EV7" s="657" t="s">
        <v>736</v>
      </c>
      <c r="EW7" s="656" t="s">
        <v>734</v>
      </c>
      <c r="EX7" s="654" t="s">
        <v>735</v>
      </c>
      <c r="EY7" s="655" t="s">
        <v>731</v>
      </c>
      <c r="EZ7" s="657" t="s">
        <v>736</v>
      </c>
      <c r="FA7" s="656" t="s">
        <v>737</v>
      </c>
      <c r="FB7" s="654" t="s">
        <v>735</v>
      </c>
      <c r="FC7" s="655" t="s">
        <v>731</v>
      </c>
      <c r="FD7" s="657" t="s">
        <v>736</v>
      </c>
      <c r="FE7" s="656" t="str">
        <f>FA7</f>
        <v>Weekendtimer på weekenddage</v>
      </c>
      <c r="FF7" s="654" t="s">
        <v>735</v>
      </c>
      <c r="FG7" s="655" t="s">
        <v>731</v>
      </c>
      <c r="FH7" s="657" t="s">
        <v>736</v>
      </c>
      <c r="FI7" s="682" t="s">
        <v>619</v>
      </c>
      <c r="FJ7" s="654" t="s">
        <v>600</v>
      </c>
      <c r="FK7" s="682" t="s">
        <v>619</v>
      </c>
      <c r="FL7" s="657" t="s">
        <v>600</v>
      </c>
      <c r="FM7" s="683" t="s">
        <v>613</v>
      </c>
      <c r="FN7" s="684" t="s">
        <v>614</v>
      </c>
      <c r="FO7" s="682" t="s">
        <v>599</v>
      </c>
      <c r="FP7" s="654" t="s">
        <v>600</v>
      </c>
      <c r="FQ7" s="686" t="s">
        <v>599</v>
      </c>
      <c r="FR7" s="687" t="s">
        <v>600</v>
      </c>
      <c r="FS7" s="691" t="s">
        <v>621</v>
      </c>
      <c r="FT7" s="684" t="s">
        <v>621</v>
      </c>
      <c r="FU7" s="300" t="s">
        <v>624</v>
      </c>
      <c r="FV7" s="683" t="s">
        <v>626</v>
      </c>
      <c r="FW7" s="683" t="s">
        <v>626</v>
      </c>
      <c r="FX7" s="683" t="s">
        <v>626</v>
      </c>
      <c r="FY7" s="683" t="s">
        <v>626</v>
      </c>
      <c r="FZ7" s="683" t="s">
        <v>615</v>
      </c>
      <c r="GA7" s="684" t="s">
        <v>616</v>
      </c>
      <c r="GB7" s="683" t="s">
        <v>615</v>
      </c>
      <c r="GC7" s="684" t="s">
        <v>616</v>
      </c>
    </row>
    <row r="8" spans="1:185" ht="20" customHeight="1">
      <c r="A8" s="1000"/>
      <c r="B8" s="1001"/>
      <c r="C8" s="1001"/>
      <c r="D8" s="1002"/>
      <c r="E8" s="946"/>
      <c r="F8" s="947"/>
      <c r="G8" s="948"/>
      <c r="H8" s="889"/>
      <c r="I8" s="928" t="s">
        <v>383</v>
      </c>
      <c r="J8" s="936"/>
      <c r="K8" s="928" t="s">
        <v>326</v>
      </c>
      <c r="L8" s="929"/>
      <c r="M8" s="929"/>
      <c r="N8" s="929"/>
      <c r="O8" s="929"/>
      <c r="P8" s="929"/>
      <c r="Q8" s="929"/>
      <c r="R8" s="929"/>
      <c r="S8" s="956" t="s">
        <v>383</v>
      </c>
      <c r="T8" s="929"/>
      <c r="U8" s="936"/>
      <c r="V8" s="1090" t="s">
        <v>384</v>
      </c>
      <c r="W8" s="1091"/>
      <c r="X8" s="1092"/>
      <c r="Y8" s="212"/>
      <c r="Z8" s="436"/>
      <c r="AA8" s="300"/>
      <c r="BB8" s="228"/>
      <c r="CA8" s="112"/>
      <c r="CB8" s="234"/>
      <c r="CC8" s="300"/>
      <c r="CX8" s="248"/>
      <c r="DA8" s="248"/>
      <c r="DB8" s="248"/>
      <c r="DC8" s="248"/>
      <c r="DD8" s="248"/>
      <c r="DE8" s="248"/>
      <c r="DF8" s="248"/>
      <c r="DG8" s="248"/>
      <c r="DH8" t="s">
        <v>493</v>
      </c>
      <c r="DI8" t="s">
        <v>494</v>
      </c>
      <c r="DJ8" t="s">
        <v>495</v>
      </c>
      <c r="DO8" s="652"/>
      <c r="DS8" s="1063" t="s">
        <v>162</v>
      </c>
      <c r="DT8" s="1063"/>
      <c r="DU8" s="1063"/>
      <c r="DV8" s="1064"/>
      <c r="DW8" s="652"/>
      <c r="DZ8" s="1065" t="s">
        <v>162</v>
      </c>
      <c r="EA8" s="1065"/>
      <c r="EB8" s="1066"/>
      <c r="EG8" s="1065" t="s">
        <v>162</v>
      </c>
      <c r="EH8" s="1065"/>
      <c r="EI8" s="1065"/>
      <c r="EJ8" s="653"/>
      <c r="EK8" s="283"/>
      <c r="EL8" s="251"/>
      <c r="EM8" s="876" t="s">
        <v>162</v>
      </c>
      <c r="EN8" s="877"/>
      <c r="EO8" s="283"/>
      <c r="EP8" s="251"/>
      <c r="EQ8" s="876" t="s">
        <v>162</v>
      </c>
      <c r="ER8" s="877"/>
      <c r="ES8" s="283"/>
      <c r="ET8" s="251"/>
      <c r="EU8" s="876" t="s">
        <v>162</v>
      </c>
      <c r="EV8" s="877"/>
      <c r="EW8" s="283"/>
      <c r="EX8" s="251"/>
      <c r="EY8" s="876" t="s">
        <v>162</v>
      </c>
      <c r="EZ8" s="877"/>
      <c r="FA8" s="283"/>
      <c r="FB8" s="251"/>
      <c r="FC8" s="876" t="s">
        <v>162</v>
      </c>
      <c r="FD8" s="877"/>
      <c r="FE8" s="283"/>
      <c r="FF8" s="251"/>
      <c r="FG8" s="876" t="s">
        <v>162</v>
      </c>
      <c r="FH8" s="877"/>
      <c r="FI8" s="283"/>
      <c r="FJ8" s="251"/>
      <c r="FK8" s="876" t="s">
        <v>162</v>
      </c>
      <c r="FL8" s="877"/>
      <c r="FN8" s="645" t="s">
        <v>160</v>
      </c>
      <c r="FO8" s="283"/>
      <c r="FP8" s="251"/>
      <c r="FQ8" s="876" t="s">
        <v>162</v>
      </c>
      <c r="FR8" s="1062"/>
      <c r="FS8" s="283"/>
      <c r="FT8" s="692" t="s">
        <v>160</v>
      </c>
      <c r="FW8" s="645" t="s">
        <v>160</v>
      </c>
      <c r="FY8" s="645" t="s">
        <v>160</v>
      </c>
      <c r="GA8" s="645" t="s">
        <v>160</v>
      </c>
      <c r="GC8" s="645" t="s">
        <v>160</v>
      </c>
    </row>
    <row r="9" spans="1:185">
      <c r="A9" s="245">
        <f>IF(ISNUMBER(A7),A7+1,1)</f>
        <v>1</v>
      </c>
      <c r="B9" s="128" t="str">
        <f t="shared" ref="B9:B36" si="0">CHOOSE(MOD(WEEKDAY(DATE(A$6,A$2,A9)),7)+1,"lø","sø","ma","ti","on","to","fr",)</f>
        <v>lø</v>
      </c>
      <c r="C9" s="129" t="s">
        <v>120</v>
      </c>
      <c r="D9" s="130" t="str">
        <f t="shared" ref="D9:D36" si="1">IF(B9="ma",(DATE(A$6,A$2,A9)-DATE(A$6,1,1)+7)/7,"")</f>
        <v/>
      </c>
      <c r="E9" s="917"/>
      <c r="F9" s="918"/>
      <c r="G9" s="919"/>
      <c r="H9" s="298"/>
      <c r="I9" s="413"/>
      <c r="J9" s="413"/>
      <c r="K9" s="380"/>
      <c r="L9" s="380"/>
      <c r="M9" s="380"/>
      <c r="N9" s="318">
        <f>BA9</f>
        <v>0</v>
      </c>
      <c r="O9" s="318">
        <f>CA9</f>
        <v>0</v>
      </c>
      <c r="P9" s="318">
        <f>IF(Stamoplysninger!$H$29="JA",Februar!DG9,CX9)</f>
        <v>0</v>
      </c>
      <c r="Q9" s="318">
        <f>IF(OR(C9="Lejrskole",C9="Ekskursion"),0,N9-O9-P9)</f>
        <v>0</v>
      </c>
      <c r="R9" s="319"/>
      <c r="S9" s="324"/>
      <c r="T9" s="325"/>
      <c r="U9" s="325"/>
      <c r="V9" s="435"/>
      <c r="W9" s="435"/>
      <c r="X9" s="644"/>
      <c r="Y9">
        <f>IF($S$9="x",V9-N9,0)</f>
        <v>0</v>
      </c>
      <c r="Z9" s="437">
        <f>W9</f>
        <v>0</v>
      </c>
      <c r="AA9" s="1">
        <f>IF(C9="emnedag",K9,0)</f>
        <v>0</v>
      </c>
      <c r="AB9" s="1">
        <f t="shared" ref="AB9:AB35" si="2">IF(C9="fagdag",K9,0)</f>
        <v>0</v>
      </c>
      <c r="AC9" s="1">
        <f t="shared" ref="AC9:AC35" si="3">IF(C9="Pæd.dag",K9,0)</f>
        <v>0</v>
      </c>
      <c r="AD9" s="1">
        <f t="shared" ref="AD9:AD35" si="4">IF(C9="Ekskursion",K9,0)</f>
        <v>0</v>
      </c>
      <c r="AE9" s="1">
        <f t="shared" ref="AE9:AE35" si="5">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9">
        <f t="shared" ref="BB9:BB34" si="6">SUM(AG9:AK9)*24</f>
        <v>0</v>
      </c>
      <c r="BC9" s="1">
        <f>IF($C$9="Lejrskole",$L$9,0)</f>
        <v>0</v>
      </c>
      <c r="BD9" s="1">
        <f t="shared" ref="BD9:BD34" si="7">IF(C9="Ekskursion",L9,0)</f>
        <v>0</v>
      </c>
      <c r="BE9" s="1">
        <f t="shared" ref="BE9:BE34" si="8">IF(C9="fagdag",L9,0)</f>
        <v>0</v>
      </c>
      <c r="BF9" s="1">
        <f t="shared" ref="BF9:BF34" si="9">IF(C9="emnedag",L9,0)</f>
        <v>0</v>
      </c>
      <c r="BG9" s="210" t="str">
        <f>IF(AND(C9="Skema 1",B9="ma"),Skemaoplysninger!$E$30,"")</f>
        <v/>
      </c>
      <c r="BH9" s="210" t="str">
        <f>IF(AND(C9="Skema 1",B9="ti"),Skemaoplysninger!$G$30,"")</f>
        <v/>
      </c>
      <c r="BI9" s="210" t="str">
        <f>IF(AND(C9="Skema 1",B9="on"),Skemaoplysninger!$I$30,"")</f>
        <v/>
      </c>
      <c r="BJ9" s="210" t="str">
        <f>IF(AND(C9="Skema 1",B9="to"),Skemaoplysninger!$K$30,"")</f>
        <v/>
      </c>
      <c r="BK9" s="210" t="str">
        <f>IF(AND(C9="Skema 1",B9="fr"),Skemaoplysninger!$M$30,"")</f>
        <v/>
      </c>
      <c r="BL9" s="210" t="str">
        <f>IF(AND(C9="Skema 2",B9="ma"),Skemaoplysninger!$S$30,"")</f>
        <v/>
      </c>
      <c r="BM9" s="210" t="str">
        <f>IF(AND(C9="Skema 2",B9="ti"),Skemaoplysninger!$U$30,"")</f>
        <v/>
      </c>
      <c r="BN9" s="210" t="str">
        <f>IF(AND(C9="Skema 2",B9="on"),Skemaoplysninger!$W$30,"")</f>
        <v/>
      </c>
      <c r="BO9" s="210" t="str">
        <f>IF(AND(C9="Skema 2",B9="to"),Skemaoplysninger!$Y$30,"")</f>
        <v/>
      </c>
      <c r="BP9" s="210" t="str">
        <f>IF(AND(C9="Skema 2",B9="fr"),Skemaoplysninger!$AA$30,"")</f>
        <v/>
      </c>
      <c r="BQ9" s="210" t="str">
        <f>IF(AND(C9="Skema 3",B9="ma"),Skemaoplysninger!$AG$30,"")</f>
        <v/>
      </c>
      <c r="BR9" s="210" t="str">
        <f>IF(AND(C9="Skema 3",B9="ti"),Skemaoplysninger!$AI$30,"")</f>
        <v/>
      </c>
      <c r="BS9" s="210" t="str">
        <f>IF(AND(C9="Skema 3",B9="on"),Skemaoplysninger!$AK$30,"")</f>
        <v/>
      </c>
      <c r="BT9" s="210" t="str">
        <f>IF(AND(C9="Skema 3",B9="to"),Skemaoplysninger!$AM$30,"")</f>
        <v/>
      </c>
      <c r="BU9" s="210" t="str">
        <f>IF(AND(C9="Skema 3",B9="fr"),Skemaoplysninger!$AO$30,"")</f>
        <v/>
      </c>
      <c r="BV9" s="210" t="str">
        <f>IF(AND(C9="Skema 4",B9="ma"),Skemaoplysninger!$AU$30,"")</f>
        <v/>
      </c>
      <c r="BW9" s="210" t="str">
        <f>IF(AND(C9="Skema 4",B9="ti"),Skemaoplysninger!$AW$30,"")</f>
        <v/>
      </c>
      <c r="BX9" s="210" t="str">
        <f>IF(AND(C9="Skema 4",B9="on"),Skemaoplysninger!$AY$30,"")</f>
        <v/>
      </c>
      <c r="BY9" s="210" t="str">
        <f>IF(AND(C9="Skema 4",B9="to"),Skemaoplysninger!$BA$30,"")</f>
        <v/>
      </c>
      <c r="BZ9" s="210" t="str">
        <f>IF(AND(C9="Skema 4",B9="fr"),Skemaoplysninger!$BC$30,"")</f>
        <v/>
      </c>
      <c r="CA9" s="1">
        <f>SUM(BG9:BZ9)*24+SUM(BC9:BF9)</f>
        <v>0</v>
      </c>
      <c r="CB9" s="1">
        <f t="shared" ref="CB9:CB34" si="10">IF(C9="fagdag",M9,0)</f>
        <v>0</v>
      </c>
      <c r="CC9" s="1">
        <f t="shared" ref="CC9:CC34" si="11">IF(C9="emnedag",M9,0)</f>
        <v>0</v>
      </c>
      <c r="CD9" s="210" t="str">
        <f>IF(AND(C9="Skema 1",B9="ma"),Skemaoplysninger!$E$31,"")</f>
        <v/>
      </c>
      <c r="CE9" s="210" t="str">
        <f>IF(AND(C9="Skema 1",B9="ti"),Skemaoplysninger!$G$31,"")</f>
        <v/>
      </c>
      <c r="CF9" s="210" t="str">
        <f>IF(AND(C9="Skema 1",B9="on"),Skemaoplysninger!$I$31,"")</f>
        <v/>
      </c>
      <c r="CG9" s="210" t="str">
        <f>IF(AND(C9="Skema 1",B9="to"),Skemaoplysninger!$K$31,"")</f>
        <v/>
      </c>
      <c r="CH9" s="210" t="str">
        <f>IF(AND(C9="Skema 1",B9="fr"),Skemaoplysninger!$M$31,"")</f>
        <v/>
      </c>
      <c r="CI9" s="210" t="str">
        <f>IF(AND(C9="Skema 2",B9="ma"),Skemaoplysninger!$S$31,"")</f>
        <v/>
      </c>
      <c r="CJ9" s="210" t="str">
        <f>IF(AND(C9="Skema 2",B9="ti"),Skemaoplysninger!$U$31,"")</f>
        <v/>
      </c>
      <c r="CK9" s="210" t="str">
        <f>IF(AND(C9="Skema 2",B9="on"),Skemaoplysninger!$W$31,"")</f>
        <v/>
      </c>
      <c r="CL9" s="210" t="str">
        <f>IF(AND(C9="Skema 2",B9="to"),Skemaoplysninger!$Y$31,"")</f>
        <v/>
      </c>
      <c r="CM9" s="210" t="str">
        <f>IF(AND(C9="Skema 2",B9="fr"),Skemaoplysninger!$AA$31,"")</f>
        <v/>
      </c>
      <c r="CN9" s="210" t="str">
        <f>IF(AND(C9="Skema 3",B9="ma"),Skemaoplysninger!$AG$31,"")</f>
        <v/>
      </c>
      <c r="CO9" s="210" t="str">
        <f>IF(AND(C9="Skema 3",B9="ti"),Skemaoplysninger!$AI$31,"")</f>
        <v/>
      </c>
      <c r="CP9" s="210" t="str">
        <f>IF(AND(C9="Skema 3",B9="on"),Skemaoplysninger!$AK$31,"")</f>
        <v/>
      </c>
      <c r="CQ9" s="210" t="str">
        <f>IF(AND(C9="Skema 3",B9="to"),Skemaoplysninger!$AM$31,"")</f>
        <v/>
      </c>
      <c r="CR9" s="210" t="str">
        <f>IF(AND(C9="Skema 3",B9="fr"),Skemaoplysninger!$AO$31,"")</f>
        <v/>
      </c>
      <c r="CS9" s="210" t="str">
        <f>IF(AND(C9="Skema 4",B9="ma"),Skemaoplysninger!$AU$31,"")</f>
        <v/>
      </c>
      <c r="CT9" s="210" t="str">
        <f>IF(AND(C9="Skema 4",B9="ti"),Skemaoplysninger!$AW$31,"")</f>
        <v/>
      </c>
      <c r="CU9" s="210" t="str">
        <f>IF(AND(C9="Skema 4",B9="on"),Skemaoplysninger!$AY$31,"")</f>
        <v/>
      </c>
      <c r="CV9" s="210" t="str">
        <f>IF(AND(C9="Skema 4",B9="to"),Skemaoplysninger!$BA$31,"")</f>
        <v/>
      </c>
      <c r="CW9" s="210" t="str">
        <f>IF(AND(C9="Skema 4",B9="fr"),Skemaoplysninger!$BC$31,"")</f>
        <v/>
      </c>
      <c r="CX9" s="249">
        <f>IF(Stamoplysninger!$H$29="NEJ",SUM(CD9:CW9)*24+CB9+CC9,0)</f>
        <v>0</v>
      </c>
      <c r="CY9" s="249">
        <f>IF(C9="Skema 1",Stamoplysninger!$H$30/200,0)</f>
        <v>0</v>
      </c>
      <c r="CZ9" s="249">
        <f>IF(C9="Skema 2",Stamoplysninger!$H$30/200,0)</f>
        <v>0</v>
      </c>
      <c r="DA9" s="249">
        <f>IF(C9="Skema 3",Stamoplysninger!$H$30/200,0)</f>
        <v>0</v>
      </c>
      <c r="DB9" s="249">
        <f>IF(C9="Skema 4",Stamoplysninger!$H$30/200,0)</f>
        <v>0</v>
      </c>
      <c r="DC9" s="249">
        <f>IF(C9="fagdag",Stamoplysninger!$H$30/200,0)</f>
        <v>0</v>
      </c>
      <c r="DD9" s="249">
        <f>IF(C9="emnedag",Stamoplysninger!$H$30/200,0)</f>
        <v>0</v>
      </c>
      <c r="DE9" s="249">
        <f>IF(C9="lejrskole",Stamoplysninger!$H$30/200,0)</f>
        <v>0</v>
      </c>
      <c r="DF9" s="249">
        <f>IF(C9="ekskursion",Stamoplysninger!$H$30/200,0)</f>
        <v>0</v>
      </c>
      <c r="DG9" s="249">
        <f>SUM(CY9:DF9)</f>
        <v>0</v>
      </c>
      <c r="DH9" t="str">
        <f>IF(AND(E9&gt;0,H9&gt;0),""&amp;E9&amp;" og "&amp;H9&amp;"","")</f>
        <v/>
      </c>
      <c r="DI9">
        <f>IF(H9="",E9,"")</f>
        <v>0</v>
      </c>
      <c r="DJ9">
        <f>IF(E9="",H9,"")</f>
        <v>0</v>
      </c>
      <c r="DK9" t="str">
        <f t="shared" ref="DK9:DM35" si="12">IF(DH9=0,"",DH9)</f>
        <v/>
      </c>
      <c r="DL9" t="str">
        <f>IF(DI9=0,"",DI9)</f>
        <v/>
      </c>
      <c r="DM9" t="str">
        <f>IF(DJ9=0,"",DJ9)</f>
        <v/>
      </c>
      <c r="DN9" t="str">
        <f>DK9&amp;""&amp;DL9&amp;""&amp;DM9</f>
        <v/>
      </c>
      <c r="DO9" s="652">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71">
        <f>IF(AND(Stamoplysninger!$B$22="Ulempetillæg udbetales med 25% af nettotimelønnen.",C9="ikke relevant"),(R9)/4,0)</f>
        <v>0</v>
      </c>
      <c r="DT9" s="671">
        <f>IF(AND(AND(Stamoplysninger!$B$22="Ulempetillæg udbetales med 25% af nettotimelønnen.",I9="X",C9="Ikke relevant")),K9/4,0)</f>
        <v>0</v>
      </c>
      <c r="DU9" s="671">
        <f>IF(AND(AND(Stamoplysninger!$B$22="Ulempetillæg udbetales med 25% af nettotimelønnen.",C9="ikke relevant",U9="X")),(X9/4),0)</f>
        <v>0</v>
      </c>
      <c r="DV9" s="672">
        <f>IF(AND(AND(AND(Stamoplysninger!$B$22="Ulempetillæg udbetales med 25% af nettotimelønnen.",I9="X",C9="Ikke relevant",S9="X"))),V9/4,0)</f>
        <v>0</v>
      </c>
      <c r="DW9" s="652"/>
      <c r="DZ9" s="671"/>
      <c r="EA9" s="671"/>
      <c r="EB9" s="672"/>
      <c r="EC9" s="652">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71">
        <f>IF(AND(Stamoplysninger!$B$22="Ulempetillæg afspadseres med 25%(Kræver en aftale imellem ledelsen og den ansatte)",C9="ikke relevant"),(R9)/4,0)</f>
        <v>0</v>
      </c>
      <c r="EH9" s="671">
        <f>IF(AND(AND(Stamoplysninger!$B$22="Ulempetillæg afspadseres med 25%(Kræver en aftale imellem ledelsen og den ansatte)",I9="X",C9="Ikke relevant")),K9/4,0)</f>
        <v>0</v>
      </c>
      <c r="EI9" s="671">
        <f>IF(AND(AND(Stamoplysninger!$B$22="Ulempetillæg afspadseres med 25%(Kræver en aftale imellem ledelsen og den ansatte)",U9="X",C9="Ikke relevant")),X9/4,0)</f>
        <v>0</v>
      </c>
      <c r="EJ9" s="671">
        <f>IF(AND(AND(AND(Stamoplysninger!$B$22="Ulempetillæg afspadseres med 25%(Kræver en aftale imellem ledelsen og den ansatte)",I9="X",C9="Ikke relevant",S9="X"))),V9/4,0)</f>
        <v>0</v>
      </c>
      <c r="EK9" s="283">
        <f>IF(AND(Stamoplysninger!$B$26="Weekendtimer og weekendtillæg afspadseres.",$I$9="X"),$K$9*1.5,0)</f>
        <v>0</v>
      </c>
      <c r="EL9" s="251">
        <f>IF(AND(AND(Stamoplysninger!$B$26="Weekendtimer og weekendtillæg afspadseres.",$I$9="X",$S$9="X")),$V$9*1.5,0)</f>
        <v>0</v>
      </c>
      <c r="EM9" s="674">
        <f>IF(AND(AND(Stamoplysninger!$B$26="Weekendtimer og weekendtillæg afspadseres.",$I$9="X",$C$9="ikke relevant")),$K$9*1.5,0)</f>
        <v>0</v>
      </c>
      <c r="EN9" s="675">
        <f>IF(AND(AND(AND(Stamoplysninger!$B$26="Weekendtimer og weekendtillæg afspadseres.",$I$9="X",$C$9="ikke relevant",$S$9="X"))),($V$9*1.5),0)</f>
        <v>0</v>
      </c>
      <c r="EO9" s="283">
        <f>IF(AND(Stamoplysninger!$B$26="Weekendtimer og weekendtillæg udbetales.",$I$9="X"),$K$9*1.5,0)</f>
        <v>0</v>
      </c>
      <c r="EP9" s="251">
        <f>IF(AND(AND(Stamoplysninger!$B$26="Weekendtimer og weekendtillæg udbetales.",$I$9="X",$S$9="X")),$V$9*1.5,0)</f>
        <v>0</v>
      </c>
      <c r="EQ9" s="674">
        <f>IF(AND(AND(Stamoplysninger!$B$26="Weekendtimer og weekendtillæg udbetales.",$I$9="X",$C$9="ikke relevant")),$K$9*1.5,0)</f>
        <v>0</v>
      </c>
      <c r="ER9" s="675">
        <f>IF(AND(AND(AND(Stamoplysninger!$B$26="Weekendtimer og weekendtillæg udbetales.",$I$9="X",$C$9="ikke relevant",$S$9="X"))),($V$9*1.5),0)</f>
        <v>0</v>
      </c>
      <c r="ES9" s="283">
        <f>IF(AND(Stamoplysninger!$B$26="Der er indgået lokalaftale omkring weekendtimer.(Kræver aftale med TR/FSL) Weekendtillæg afspadseres.",$I$9="X"),$K$9*0.5,0)</f>
        <v>0</v>
      </c>
      <c r="ET9" s="251">
        <f>IF(AND(AND(Stamoplysninger!$B$26="Der er indgået lokalaftale omkring weekendtimer.(Kræver aftale med TR/FSL) Weekendtillæg afspadseres.",$I$9="X",$S$9="X")),$V$9*0.5,0)</f>
        <v>0</v>
      </c>
      <c r="EU9" s="674">
        <f>IF(AND(AND(Stamoplysninger!$B$26="Der er indgået lokalaftale omkring weekendtimer.(Kræver aftale med TR/FSL) Weekendtillæg afspadseres.",$I$9="X",$C$9="ikke relevant")),$K$9*0.5,0)</f>
        <v>0</v>
      </c>
      <c r="EV9" s="675">
        <f>IF(AND(AND(AND(Stamoplysninger!$B$26="Der er indgået lokalaftale omkring weekendtimer.(Kræver aftale med TR/FSL) Weekendtillæg afspadseres.",$I$9="X",$C$9="ikke relevant",$S$9="X"))),($V$9*0.5),0)</f>
        <v>0</v>
      </c>
      <c r="EW9" s="283">
        <f>IF(AND(Stamoplysninger!$B$26="Der er indgået lokalaftale omkring weekendtimer(Kræver aftale med TR/FSL). Weekendtillæg udbetales.",$I$9="X"),$K$9*0.5,0)</f>
        <v>0</v>
      </c>
      <c r="EX9" s="251">
        <f>IF(AND(AND(Stamoplysninger!$B$26="Der er indgået lokalaftale omkring weekendtimer(Kræver aftale med TR/FSL). Weekendtillæg udbetales.",$I$9="X",$S$9="X")),$V$9*0.5,0)</f>
        <v>0</v>
      </c>
      <c r="EY9" s="674">
        <f>IF(AND(AND(Stamoplysninger!$B$26="Der er indgået lokalaftale omkring weekendtimer(Kræver aftale med TR/FSL). Weekendtillæg udbetales.",$I$9="X",$C$9="ikke relevant")),$K$9*0.5,0)</f>
        <v>0</v>
      </c>
      <c r="EZ9" s="675">
        <f>IF(AND(AND(AND(Stamoplysninger!$B$26="Der er indgået lokalaftale omkring weekendtimer(Kræver aftale med TR/FSL). Weekendtillæg udbetales.",$I$9="X",$C$9="ikke relevant",$S$9="X"))),($V$9*0.5),0)</f>
        <v>0</v>
      </c>
      <c r="FA9" s="283">
        <f>IF(AND(Stamoplysninger!$B$26="Der er indgået lokalaftale omkring weekendtillæg(Kræver aftale med TR/FSL). Weekendtimerne afspadseres.",I9="X"),K9,0)</f>
        <v>0</v>
      </c>
      <c r="FB9" s="251">
        <f>IF(AND(AND(Stamoplysninger!$B$26="Der er indgået lokalaftale omkring weekendtillæg(Kræver aftale med TR/FSL). Weekendtimerne afspadseres.",I9="X",S9="X")),V9,0)</f>
        <v>0</v>
      </c>
      <c r="FC9" s="674">
        <f>IF(AND(AND(Stamoplysninger!$B$26="Der er indgået lokalaftale omkring weekendtillæg(Kræver aftale med TR/FSL). Weekendtimerne afspadseres..",I9="X",C9="ikke relevant")),K9,0)</f>
        <v>0</v>
      </c>
      <c r="FD9" s="675">
        <f>IF(AND(AND(AND(Stamoplysninger!$B$26="Der er indgået lokalaftale omkring weekendtillæg(Kræver aftale med TR/FSL). Weekendtimerne afspadseres.",I9="X",C9="ikke relevant",S9="X"))),(V9),0)</f>
        <v>0</v>
      </c>
      <c r="FE9" s="283">
        <f>IF(AND(Stamoplysninger!$B$26="Der er indgået lokalaftale omkring weekendtillæg(Kræver aftale med TR/FSL). Weekendtimerne udbetales.",I9="X"),K9,0)</f>
        <v>0</v>
      </c>
      <c r="FF9" s="251">
        <f>IF(AND(AND(Stamoplysninger!$B$26="Der er indgået lokalaftale omkring weekendtillæg(Kræver aftale med TR/FSL). Weekendtimerne udbetales.",I9="X",S9="X")),V9,0)</f>
        <v>0</v>
      </c>
      <c r="FG9" s="674">
        <f>IF(AND(AND(Stamoplysninger!$B$26="Der er indgået lokalaftale omkring weekendtillæg(Kræver aftale med TR/FSL). Weekendtimerne udbetales.",I9="X",C9="ikke relevant")),K9,0)</f>
        <v>0</v>
      </c>
      <c r="FH9" s="675">
        <f>IF(AND(AND(AND(Stamoplysninger!$B$26="Der er indgået lokalaftale omkring weekendtillæg(Kræver aftale med TR/FSL). Weekendtimerne udbetales.",I9="X",C9="ikke relevant",S9="X"))),(V9),0)</f>
        <v>0</v>
      </c>
      <c r="FI9" s="283">
        <f>IF(AND(Stamoplysninger!$B$26="Weekendtimer og weekendtillæg afspadseres.",I9="X"),K9,0)</f>
        <v>0</v>
      </c>
      <c r="FJ9" s="251">
        <f>IF(AND(Stamoplysninger!$B$26="Weekendtimer og weekendtillæg afspadseres.",I9="X"),(K9+V9)/2,0)</f>
        <v>0</v>
      </c>
      <c r="FK9" s="674">
        <f>IF(AND(AND(Stamoplysninger!$B$26="Weekendtimer og weekendtillæg afspadseres.",I9="X",C9="ikke relevant")),K9,0)</f>
        <v>0</v>
      </c>
      <c r="FL9" s="675">
        <f>IF(AND(AND(Stamoplysninger!$B$26="Weekendtimer og weekendtillæg afspadseres.",I9="X",C9="ikke relevant")),(K9+V9)/2,0)</f>
        <v>0</v>
      </c>
      <c r="FM9" s="283">
        <f>IF(AND(Stamoplysninger!$B$26="Der er indgået lokalaftale omkring weekendtillæg(Kræver aftale med TR/FSL). Weekendtimerne afspadseres.",I9="X"),K9,0)</f>
        <v>0</v>
      </c>
      <c r="FN9" s="674">
        <f>IF(AND(AND(Stamoplysninger!$B$26="Der er indgået lokalaftale omkring weekendtillæg(Kræver aftale med TR/FSL). Weekendtimerne afspadseres.",I9="X",C9="ikke relevant")),K9,0)</f>
        <v>0</v>
      </c>
      <c r="FO9" s="283">
        <f>IF(AND(Stamoplysninger!$B$26="Weekendtimer og weekendtillæg udbetales.",I9="X"),K9,0)</f>
        <v>0</v>
      </c>
      <c r="FP9" s="251">
        <f>IF(AND(Stamoplysninger!$B$26="Weekendtimer og weekendtillæg udbetales.",AA9="X"),(AC9+AN9)/2,0)</f>
        <v>0</v>
      </c>
      <c r="FQ9" s="674">
        <f>IF(AND(AND(Stamoplysninger!$B$26="Weekendtimer og weekendtillæg udbetales.",I9="X",C9="ikke relevant")),K9,0)</f>
        <v>0</v>
      </c>
      <c r="FR9" s="688">
        <f>IF(AND(AND(Stamoplysninger!$B$26="Weekendtimer og weekendtillæg udbetales.",AA9="X",U9="ikke relevant")),(AC9+AN9)/2,0)</f>
        <v>0</v>
      </c>
      <c r="FS9" s="283">
        <f t="shared" ref="FS9:FS37" si="13">IF(AND(I9="X",S9="X"),V9,0)</f>
        <v>0</v>
      </c>
      <c r="FT9" s="658">
        <f t="shared" ref="FT9:FT37" si="14">IF(AND(AND(C9="ikke relevant",I9="X",S9="X")),V9,0)</f>
        <v>0</v>
      </c>
      <c r="FU9">
        <f t="shared" ref="FU9:FU28" si="15">IF(AND(C9="weekend",I9="X"),K9,0)</f>
        <v>0</v>
      </c>
      <c r="FV9" s="283">
        <f>IF(AND(Stamoplysninger!$B$26="Der er indgået lokalaftale omkring weekendtimer.(Kræver aftale med TR/FSL) Weekendtillæg afspadseres.",I9="X"),K9,0)</f>
        <v>0</v>
      </c>
      <c r="FW9" s="674">
        <f>IF(AND(AND(Stamoplysninger!$B$26="Der er indgået lokalaftale omkring weekendtimer.(Kræver aftale med TR/FSL) Weekendtillæg afspadseres.",I9="X",C9="ikke relevant")),K9,0)</f>
        <v>0</v>
      </c>
      <c r="FX9" s="283">
        <f>IF(AND(Stamoplysninger!$B$26="Der er indgået lokalaftale omkring weekendtimer(Kræver aftale med TR/FSL). Weekendtillæg udbetales.",I9="X"),K9,0)</f>
        <v>0</v>
      </c>
      <c r="FY9" s="674">
        <f>IF(AND(AND(Stamoplysninger!$B$26="Der er indgået lokalaftale omkring weekendtimer(Kræver aftale med TR/FSL). Weekendtillæg udbetales.",I9="X",C9="ikke relevant")),K9,0)</f>
        <v>0</v>
      </c>
      <c r="FZ9" s="283">
        <f>IF(AND(Stamoplysninger!$B$26="Der er indgået lokalaftale omkring weekendtillæg(Kræver aftale med TR/FSL). Weekendtimerne udbetales.",I9="X"),K9,0)</f>
        <v>0</v>
      </c>
      <c r="GA9" s="674">
        <f>IF(AND(AND(Stamoplysninger!$B$26="Der er indgået lokalaftale omkring weekendtillæg(Kræver aftale med TR/FSL). Weekendtimerne udbetales.",I9="X",C9="ikke relevant")),K9,0)</f>
        <v>0</v>
      </c>
      <c r="GB9" s="283">
        <f>IF(AND(Stamoplysninger!$B$26="Der er indgået lokalaftale omkring weekendtimer og weekendtillæg.(Kræver aftale med TR/FSL).",I9="X"),K9,0)</f>
        <v>0</v>
      </c>
      <c r="GC9" s="674">
        <f>IF(AND(AND(Stamoplysninger!$B$26="Der er indgået lokalaftale omkring weekendtimer og weekendtillæg.(Kræver aftale med TR/FSL).",I9="X",C9="ikke relevant")),K9,0)</f>
        <v>0</v>
      </c>
    </row>
    <row r="10" spans="1:185">
      <c r="A10" s="245">
        <f t="shared" ref="A10:A36" si="16">IF(ISNUMBER(A9),A9+1,1)</f>
        <v>2</v>
      </c>
      <c r="B10" s="128" t="str">
        <f t="shared" si="0"/>
        <v>sø</v>
      </c>
      <c r="C10" s="129" t="s">
        <v>120</v>
      </c>
      <c r="D10" s="130" t="str">
        <f t="shared" si="1"/>
        <v/>
      </c>
      <c r="E10" s="917"/>
      <c r="F10" s="918"/>
      <c r="G10" s="919"/>
      <c r="H10" s="298"/>
      <c r="I10" s="413"/>
      <c r="J10" s="413"/>
      <c r="K10" s="380"/>
      <c r="L10" s="380"/>
      <c r="M10" s="380"/>
      <c r="N10" s="318">
        <f t="shared" ref="N10:N36" si="17">BA10</f>
        <v>0</v>
      </c>
      <c r="O10" s="318">
        <f t="shared" ref="O10:O36" si="18">CA10</f>
        <v>0</v>
      </c>
      <c r="P10" s="318">
        <f>IF(Stamoplysninger!$H$29="JA",Februar!DG10,CX10)</f>
        <v>0</v>
      </c>
      <c r="Q10" s="318">
        <f t="shared" ref="Q10:Q36" si="19">IF(OR(C10="Lejrskole",C10="Ekskursion"),0,N10-O10-P10)</f>
        <v>0</v>
      </c>
      <c r="R10" s="319"/>
      <c r="S10" s="324"/>
      <c r="T10" s="325"/>
      <c r="U10" s="325"/>
      <c r="V10" s="435"/>
      <c r="W10" s="435"/>
      <c r="X10" s="644"/>
      <c r="Y10">
        <f t="shared" ref="Y10:Y37" si="20">IF(S10="x",V10-N10,0)</f>
        <v>0</v>
      </c>
      <c r="Z10" s="437">
        <f t="shared" ref="Z10:Z35" si="21">W10</f>
        <v>0</v>
      </c>
      <c r="AA10" s="1">
        <f t="shared" ref="AA10:AA35" si="22">IF(C10="emnedag",K10,0)</f>
        <v>0</v>
      </c>
      <c r="AB10" s="1">
        <f t="shared" si="2"/>
        <v>0</v>
      </c>
      <c r="AC10" s="1">
        <f t="shared" si="3"/>
        <v>0</v>
      </c>
      <c r="AD10" s="1">
        <f t="shared" si="4"/>
        <v>0</v>
      </c>
      <c r="AE10" s="1">
        <f t="shared" si="5"/>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4" si="23">SUM(AA10:AZ10)</f>
        <v>0</v>
      </c>
      <c r="BB10" s="229">
        <f t="shared" si="6"/>
        <v>0</v>
      </c>
      <c r="BC10" s="1">
        <f t="shared" ref="BC10:BC34" si="24">IF(C10="Lejrskole",L10,0)</f>
        <v>0</v>
      </c>
      <c r="BD10" s="1">
        <f t="shared" si="7"/>
        <v>0</v>
      </c>
      <c r="BE10" s="1">
        <f t="shared" si="8"/>
        <v>0</v>
      </c>
      <c r="BF10" s="1">
        <f t="shared" si="9"/>
        <v>0</v>
      </c>
      <c r="BG10" s="210" t="str">
        <f>IF(AND(C10="Skema 1",B10="ma"),Skemaoplysninger!$E$30,"")</f>
        <v/>
      </c>
      <c r="BH10" s="210" t="str">
        <f>IF(AND(C10="Skema 1",B10="ti"),Skemaoplysninger!$G$30,"")</f>
        <v/>
      </c>
      <c r="BI10" s="210" t="str">
        <f>IF(AND(C10="Skema 1",B10="on"),Skemaoplysninger!$I$30,"")</f>
        <v/>
      </c>
      <c r="BJ10" s="210" t="str">
        <f>IF(AND(C10="Skema 1",B10="to"),Skemaoplysninger!$K$30,"")</f>
        <v/>
      </c>
      <c r="BK10" s="210" t="str">
        <f>IF(AND(C10="Skema 1",B10="fr"),Skemaoplysninger!$M$30,"")</f>
        <v/>
      </c>
      <c r="BL10" s="210" t="str">
        <f>IF(AND(C10="Skema 2",B10="ma"),Skemaoplysninger!$S$30,"")</f>
        <v/>
      </c>
      <c r="BM10" s="210" t="str">
        <f>IF(AND(C10="Skema 2",B10="ti"),Skemaoplysninger!$U$30,"")</f>
        <v/>
      </c>
      <c r="BN10" s="210" t="str">
        <f>IF(AND(C10="Skema 2",B10="on"),Skemaoplysninger!$W$30,"")</f>
        <v/>
      </c>
      <c r="BO10" s="210" t="str">
        <f>IF(AND(C10="Skema 2",B10="to"),Skemaoplysninger!$Y$30,"")</f>
        <v/>
      </c>
      <c r="BP10" s="210" t="str">
        <f>IF(AND(C10="Skema 2",B10="fr"),Skemaoplysninger!$AA$30,"")</f>
        <v/>
      </c>
      <c r="BQ10" s="210" t="str">
        <f>IF(AND(C10="Skema 3",B10="ma"),Skemaoplysninger!$AG$30,"")</f>
        <v/>
      </c>
      <c r="BR10" s="210" t="str">
        <f>IF(AND(C10="Skema 3",B10="ti"),Skemaoplysninger!$AI$30,"")</f>
        <v/>
      </c>
      <c r="BS10" s="210" t="str">
        <f>IF(AND(C10="Skema 3",B10="on"),Skemaoplysninger!$AK$30,"")</f>
        <v/>
      </c>
      <c r="BT10" s="210" t="str">
        <f>IF(AND(C10="Skema 3",B10="to"),Skemaoplysninger!$AM$30,"")</f>
        <v/>
      </c>
      <c r="BU10" s="210" t="str">
        <f>IF(AND(C10="Skema 3",B10="fr"),Skemaoplysninger!$AO$30,"")</f>
        <v/>
      </c>
      <c r="BV10" s="210" t="str">
        <f>IF(AND(C10="Skema 4",B10="ma"),Skemaoplysninger!$AU$30,"")</f>
        <v/>
      </c>
      <c r="BW10" s="210" t="str">
        <f>IF(AND(C10="Skema 4",B10="ti"),Skemaoplysninger!$AW$30,"")</f>
        <v/>
      </c>
      <c r="BX10" s="210" t="str">
        <f>IF(AND(C10="Skema 4",B10="on"),Skemaoplysninger!$AY$30,"")</f>
        <v/>
      </c>
      <c r="BY10" s="210" t="str">
        <f>IF(AND(C10="Skema 4",B10="to"),Skemaoplysninger!$BA$30,"")</f>
        <v/>
      </c>
      <c r="BZ10" s="210" t="str">
        <f>IF(AND(C10="Skema 4",B10="fr"),Skemaoplysninger!$BC$30,"")</f>
        <v/>
      </c>
      <c r="CA10" s="1">
        <f t="shared" ref="CA10:CA34" si="25">SUM(BG10:BZ10)*24+SUM(BC10:BF10)</f>
        <v>0</v>
      </c>
      <c r="CB10" s="1">
        <f t="shared" si="10"/>
        <v>0</v>
      </c>
      <c r="CC10" s="1">
        <f t="shared" si="11"/>
        <v>0</v>
      </c>
      <c r="CD10" s="210" t="str">
        <f>IF(AND(C10="Skema 1",B10="ma"),Skemaoplysninger!$E$31,"")</f>
        <v/>
      </c>
      <c r="CE10" s="210" t="str">
        <f>IF(AND(C10="Skema 1",B10="ti"),Skemaoplysninger!$G$31,"")</f>
        <v/>
      </c>
      <c r="CF10" s="210" t="str">
        <f>IF(AND(C10="Skema 1",B10="on"),Skemaoplysninger!$I$31,"")</f>
        <v/>
      </c>
      <c r="CG10" s="210" t="str">
        <f>IF(AND(C10="Skema 1",B10="to"),Skemaoplysninger!$K$31,"")</f>
        <v/>
      </c>
      <c r="CH10" s="210" t="str">
        <f>IF(AND(C10="Skema 1",B10="fr"),Skemaoplysninger!$M$31,"")</f>
        <v/>
      </c>
      <c r="CI10" s="210" t="str">
        <f>IF(AND(C10="Skema 2",B10="ma"),Skemaoplysninger!$S$31,"")</f>
        <v/>
      </c>
      <c r="CJ10" s="210" t="str">
        <f>IF(AND(C10="Skema 2",B10="ti"),Skemaoplysninger!$U$31,"")</f>
        <v/>
      </c>
      <c r="CK10" s="210" t="str">
        <f>IF(AND(C10="Skema 2",B10="on"),Skemaoplysninger!$W$31,"")</f>
        <v/>
      </c>
      <c r="CL10" s="210" t="str">
        <f>IF(AND(C10="Skema 2",B10="to"),Skemaoplysninger!$Y$31,"")</f>
        <v/>
      </c>
      <c r="CM10" s="210" t="str">
        <f>IF(AND(C10="Skema 2",B10="fr"),Skemaoplysninger!$AA$31,"")</f>
        <v/>
      </c>
      <c r="CN10" s="210" t="str">
        <f>IF(AND(C10="Skema 3",B10="ma"),Skemaoplysninger!$AG$31,"")</f>
        <v/>
      </c>
      <c r="CO10" s="210" t="str">
        <f>IF(AND(C10="Skema 3",B10="ti"),Skemaoplysninger!$AI$31,"")</f>
        <v/>
      </c>
      <c r="CP10" s="210" t="str">
        <f>IF(AND(C10="Skema 3",B10="on"),Skemaoplysninger!$AK$31,"")</f>
        <v/>
      </c>
      <c r="CQ10" s="210" t="str">
        <f>IF(AND(C10="Skema 3",B10="to"),Skemaoplysninger!$AM$31,"")</f>
        <v/>
      </c>
      <c r="CR10" s="210" t="str">
        <f>IF(AND(C10="Skema 3",B10="fr"),Skemaoplysninger!$AO$31,"")</f>
        <v/>
      </c>
      <c r="CS10" s="210" t="str">
        <f>IF(AND(C10="Skema 4",B10="ma"),Skemaoplysninger!$AU$31,"")</f>
        <v/>
      </c>
      <c r="CT10" s="210" t="str">
        <f>IF(AND(C10="Skema 4",B10="ti"),Skemaoplysninger!$AW$31,"")</f>
        <v/>
      </c>
      <c r="CU10" s="210" t="str">
        <f>IF(AND(C10="Skema 4",B10="on"),Skemaoplysninger!$AY$31,"")</f>
        <v/>
      </c>
      <c r="CV10" s="210" t="str">
        <f>IF(AND(C10="Skema 4",B10="to"),Skemaoplysninger!$BA$31,"")</f>
        <v/>
      </c>
      <c r="CW10" s="210" t="str">
        <f>IF(AND(C10="Skema 4",B10="fr"),Skemaoplysninger!$BC$31,"")</f>
        <v/>
      </c>
      <c r="CX10" s="249">
        <f>IF(Stamoplysninger!$H$29="NEJ",SUM(CD10:CW10)*24+CB10+CC10,0)</f>
        <v>0</v>
      </c>
      <c r="CY10" s="249">
        <f>IF(C10="Skema 1",Stamoplysninger!$H$30/200,0)</f>
        <v>0</v>
      </c>
      <c r="CZ10" s="249">
        <f>IF(C10="Skema 2",Stamoplysninger!$H$30/200,0)</f>
        <v>0</v>
      </c>
      <c r="DA10" s="249">
        <f>IF(C10="Skema 3",Stamoplysninger!$H$30/200,0)</f>
        <v>0</v>
      </c>
      <c r="DB10" s="249">
        <f>IF(C10="Skema 4",Stamoplysninger!$H$30/200,0)</f>
        <v>0</v>
      </c>
      <c r="DC10" s="249">
        <f>IF(C10="fagdag",Stamoplysninger!$H$30/200,0)</f>
        <v>0</v>
      </c>
      <c r="DD10" s="249">
        <f>IF(C10="emnedag",Stamoplysninger!$H$30/200,0)</f>
        <v>0</v>
      </c>
      <c r="DE10" s="249">
        <f>IF(C10="lejrskole",Stamoplysninger!$H$30/200,0)</f>
        <v>0</v>
      </c>
      <c r="DF10" s="249">
        <f>IF(C10="ekskursion",Stamoplysninger!$H$30/200,0)</f>
        <v>0</v>
      </c>
      <c r="DG10" s="249">
        <f t="shared" ref="DG10:DG34" si="26">SUM(CY10:DF10)</f>
        <v>0</v>
      </c>
      <c r="DH10" t="str">
        <f t="shared" ref="DH10:DH39" si="27">IF(AND(E10&gt;0,H10&gt;0),""&amp;E10&amp;" og "&amp;H10&amp;"","")</f>
        <v/>
      </c>
      <c r="DI10">
        <f t="shared" ref="DI10:DI35" si="28">IF(H10="",E10,"")</f>
        <v>0</v>
      </c>
      <c r="DJ10">
        <f t="shared" ref="DJ10:DJ35" si="29">IF(E10="",H10,"")</f>
        <v>0</v>
      </c>
      <c r="DK10" t="str">
        <f t="shared" si="12"/>
        <v/>
      </c>
      <c r="DL10" t="str">
        <f t="shared" si="12"/>
        <v/>
      </c>
      <c r="DM10" t="str">
        <f t="shared" si="12"/>
        <v/>
      </c>
      <c r="DN10" t="str">
        <f t="shared" ref="DN10:DN39" si="30">DK10&amp;""&amp;DL10&amp;""&amp;DM10</f>
        <v/>
      </c>
      <c r="DO10" s="652">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71">
        <f>IF(AND(Stamoplysninger!$B$22="Ulempetillæg udbetales med 25% af nettotimelønnen.",C10="ikke relevant"),(R10)/4,0)</f>
        <v>0</v>
      </c>
      <c r="DT10" s="671">
        <f>IF(AND(AND(Stamoplysninger!$B$22="Ulempetillæg udbetales med 25% af nettotimelønnen.",I10="X",C10="Ikke relevant")),K10/4,0)</f>
        <v>0</v>
      </c>
      <c r="DU10" s="671">
        <f>IF(AND(AND(Stamoplysninger!$B$22="Ulempetillæg udbetales med 25% af nettotimelønnen.",C10="ikke relevant",U10="X")),(X10/4),0)</f>
        <v>0</v>
      </c>
      <c r="DV10" s="672">
        <f>IF(AND(AND(AND(Stamoplysninger!$B$22="Ulempetillæg udbetales med 25% af nettotimelønnen.",I10="X",C10="Ikke relevant",S10="X"))),V10/4,0)</f>
        <v>0</v>
      </c>
      <c r="DW10" s="652"/>
      <c r="DZ10" s="671"/>
      <c r="EA10" s="671"/>
      <c r="EB10" s="672"/>
      <c r="EC10" s="652">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71">
        <f>IF(AND(Stamoplysninger!$B$22="Ulempetillæg afspadseres med 25%(Kræver en aftale imellem ledelsen og den ansatte)",C10="ikke relevant"),(R10)/4,0)</f>
        <v>0</v>
      </c>
      <c r="EH10" s="671">
        <f>IF(AND(AND(Stamoplysninger!$B$22="Ulempetillæg afspadseres med 25%(Kræver en aftale imellem ledelsen og den ansatte)",I10="X",C10="Ikke relevant")),K10/4,0)</f>
        <v>0</v>
      </c>
      <c r="EI10" s="671">
        <f>IF(AND(AND(Stamoplysninger!$B$22="Ulempetillæg afspadseres med 25%(Kræver en aftale imellem ledelsen og den ansatte)",U10="X",C10="Ikke relevant")),X10/4,0)</f>
        <v>0</v>
      </c>
      <c r="EJ10" s="671">
        <f>IF(AND(AND(AND(Stamoplysninger!$B$22="Ulempetillæg afspadseres med 25%(Kræver en aftale imellem ledelsen og den ansatte)",I10="X",C10="Ikke relevant",S10="X"))),V10/4,0)</f>
        <v>0</v>
      </c>
      <c r="EK10" s="283">
        <f>IF(AND(Stamoplysninger!$B$26="Weekendtimer og weekendtillæg afspadseres.",I10="X"),K10*1.5,0)</f>
        <v>0</v>
      </c>
      <c r="EL10" s="251">
        <f>IF(AND(AND(Stamoplysninger!$B$26="Weekendtimer og weekendtillæg afspadseres.",I10="X",S10="X")),V10*1.5,0)</f>
        <v>0</v>
      </c>
      <c r="EM10" s="674">
        <f>IF(AND(AND(Stamoplysninger!$B$26="Weekendtimer og weekendtillæg afspadseres.",I10="X",C10="ikke relevant")),K10*1.5,0)</f>
        <v>0</v>
      </c>
      <c r="EN10" s="675">
        <f>IF(AND(AND(AND(Stamoplysninger!$B$26="Weekendtimer og weekendtillæg afspadseres.",I10="X",C10="ikke relevant",S10="X"))),(V10*1.5),0)</f>
        <v>0</v>
      </c>
      <c r="EO10" s="283">
        <f>IF(AND(Stamoplysninger!$B$26="Weekendtimer og weekendtillæg udbetales.",I10="X"),K10*1.5,0)</f>
        <v>0</v>
      </c>
      <c r="EP10" s="251">
        <f>IF(AND(AND(Stamoplysninger!$B$26="Weekendtimer og weekendtillæg udbetales.",I10="X",S10="X")),V10*1.5,0)</f>
        <v>0</v>
      </c>
      <c r="EQ10" s="674">
        <f>IF(AND(AND(Stamoplysninger!$B$26="Weekendtimer og weekendtillæg udbetales.",I10="X",C10="ikke relevant")),K10*1.5,0)</f>
        <v>0</v>
      </c>
      <c r="ER10" s="675">
        <f>IF(AND(AND(AND(Stamoplysninger!$B$26="Weekendtimer og weekendtillæg udbetales.",I10="X",C10="ikke relevant",S10="X"))),(V10*1.5),0)</f>
        <v>0</v>
      </c>
      <c r="ES10" s="283">
        <f>IF(AND(Stamoplysninger!$B$26="Der er indgået lokalaftale omkring weekendtimer.(Kræver aftale med TR/FSL) Weekendtillæg afspadseres.",I10="X"),K10*0.5,0)</f>
        <v>0</v>
      </c>
      <c r="ET10" s="251">
        <f>IF(AND(AND(Stamoplysninger!$B$26="Der er indgået lokalaftale omkring weekendtimer.(Kræver aftale med TR/FSL) Weekendtillæg afspadseres.",I10="X",S10="X")),V10*0.5,0)</f>
        <v>0</v>
      </c>
      <c r="EU10" s="674">
        <f>IF(AND(AND(Stamoplysninger!$B$26="Der er indgået lokalaftale omkring weekendtimer.(Kræver aftale med TR/FSL) Weekendtillæg afspadseres.",I10="X",C10="ikke relevant")),K10*0.5,0)</f>
        <v>0</v>
      </c>
      <c r="EV10" s="675">
        <f>IF(AND(AND(AND(Stamoplysninger!$B$26="Der er indgået lokalaftale omkring weekendtimer.(Kræver aftale med TR/FSL) Weekendtillæg afspadseres.",I10="X",C10="ikke relevant",S10="X"))),(V10*0.5),0)</f>
        <v>0</v>
      </c>
      <c r="EW10" s="283">
        <f>IF(AND(Stamoplysninger!$B$26="Der er indgået lokalaftale omkring weekendtimer(Kræver aftale med TR/FSL). Weekendtillæg udbetales.",I10="X"),K10*0.5,0)</f>
        <v>0</v>
      </c>
      <c r="EX10" s="251">
        <f>IF(AND(AND(Stamoplysninger!$B$26="Der er indgået lokalaftale omkring weekendtimer(Kræver aftale med TR/FSL). Weekendtillæg udbetales.",I10="X",S10="X")),V10*0.5,0)</f>
        <v>0</v>
      </c>
      <c r="EY10" s="674">
        <f>IF(AND(AND(Stamoplysninger!$B$26="Der er indgået lokalaftale omkring weekendtimer(Kræver aftale med TR/FSL). Weekendtillæg udbetales.",I10="X",C10="ikke relevant")),K10*0.5,0)</f>
        <v>0</v>
      </c>
      <c r="EZ10" s="675">
        <f>IF(AND(AND(AND(Stamoplysninger!$B$26="Der er indgået lokalaftale omkring weekendtimer(Kræver aftale med TR/FSL). Weekendtillæg udbetales.",I10="X",C10="ikke relevant",S10="X"))),(V10*0.5),0)</f>
        <v>0</v>
      </c>
      <c r="FA10" s="283">
        <f>IF(AND(Stamoplysninger!$B$26="Der er indgået lokalaftale omkring weekendtillæg(Kræver aftale med TR/FSL). Weekendtimerne afspadseres.",I10="X"),K10,0)</f>
        <v>0</v>
      </c>
      <c r="FB10" s="251">
        <f>IF(AND(AND(Stamoplysninger!$B$26="Der er indgået lokalaftale omkring weekendtillæg(Kræver aftale med TR/FSL). Weekendtimerne afspadseres.",I10="X",S10="X")),V10,0)</f>
        <v>0</v>
      </c>
      <c r="FC10" s="674">
        <f>IF(AND(AND(Stamoplysninger!$B$26="Der er indgået lokalaftale omkring weekendtillæg(Kræver aftale med TR/FSL). Weekendtimerne afspadseres..",I10="X",C10="ikke relevant")),K10,0)</f>
        <v>0</v>
      </c>
      <c r="FD10" s="675">
        <f>IF(AND(AND(AND(Stamoplysninger!$B$26="Der er indgået lokalaftale omkring weekendtillæg(Kræver aftale med TR/FSL). Weekendtimerne afspadseres.",I10="X",C10="ikke relevant",S10="X"))),(V10),0)</f>
        <v>0</v>
      </c>
      <c r="FE10" s="283">
        <f>IF(AND(Stamoplysninger!$B$26="Der er indgået lokalaftale omkring weekendtillæg(Kræver aftale med TR/FSL). Weekendtimerne udbetales.",I10="X"),K10,0)</f>
        <v>0</v>
      </c>
      <c r="FF10" s="251">
        <f>IF(AND(AND(Stamoplysninger!$B$26="Der er indgået lokalaftale omkring weekendtillæg(Kræver aftale med TR/FSL). Weekendtimerne udbetales.",I10="X",S10="X")),V10,0)</f>
        <v>0</v>
      </c>
      <c r="FG10" s="674">
        <f>IF(AND(AND(Stamoplysninger!$B$26="Der er indgået lokalaftale omkring weekendtillæg(Kræver aftale med TR/FSL). Weekendtimerne udbetales.",I10="X",C10="ikke relevant")),K10,0)</f>
        <v>0</v>
      </c>
      <c r="FH10" s="675">
        <f>IF(AND(AND(AND(Stamoplysninger!$B$26="Der er indgået lokalaftale omkring weekendtillæg(Kræver aftale med TR/FSL). Weekendtimerne udbetales.",I10="X",C10="ikke relevant",S10="X"))),(V10),0)</f>
        <v>0</v>
      </c>
      <c r="FI10" s="283">
        <f>IF(AND(Stamoplysninger!$B$26="Weekendtimer og weekendtillæg afspadseres.",I10="X"),K10,0)</f>
        <v>0</v>
      </c>
      <c r="FJ10" s="251">
        <f>IF(AND(Stamoplysninger!$B$26="Weekendtimer og weekendtillæg afspadseres.",Y10="X"),(AA10+AL10)/2,0)</f>
        <v>0</v>
      </c>
      <c r="FK10" s="674">
        <f>IF(AND(AND(Stamoplysninger!$B$26="Weekendtimer og weekendtillæg afspadseres.",I10="X",C10="ikke relevant")),K10,0)</f>
        <v>0</v>
      </c>
      <c r="FL10" s="675">
        <f>IF(AND(AND(Stamoplysninger!$B$26="Weekendtimer og weekendtillæg afspadseres.",Y10="X",S10="ikke relevant")),(AA10+AL10)/2,0)</f>
        <v>0</v>
      </c>
      <c r="FM10" s="283">
        <f>IF(AND(Stamoplysninger!$B$26="Der er indgået lokalaftale omkring weekendtillæg(Kræver aftale med TR/FSL). Weekendtimerne afspadseres.",I10="X"),K10,0)</f>
        <v>0</v>
      </c>
      <c r="FN10" s="674">
        <f>IF(AND(AND(Stamoplysninger!$B$26="Der er indgået lokalaftale omkring weekendtillæg(Kræver aftale med TR/FSL). Weekendtimerne afspadseres.",I10="X",C10="ikke relevant")),K10,0)</f>
        <v>0</v>
      </c>
      <c r="FO10" s="283">
        <f>IF(AND(Stamoplysninger!$B$26="Weekendtimer og weekendtillæg udbetales.",I10="X"),K10,0)</f>
        <v>0</v>
      </c>
      <c r="FP10" s="251">
        <f>IF(AND(Stamoplysninger!$B$26="Weekendtimer og weekendtillæg udbetales.",AA10="X"),(AC10+AN10)/2,0)</f>
        <v>0</v>
      </c>
      <c r="FQ10" s="674">
        <f>IF(AND(AND(Stamoplysninger!$B$26="Weekendtimer og weekendtillæg udbetales.",I10="X",C10="ikke relevant")),K10,0)</f>
        <v>0</v>
      </c>
      <c r="FR10" s="688">
        <f>IF(AND(AND(Stamoplysninger!$B$26="Weekendtimer og weekendtillæg udbetales.",AA10="X",U10="ikke relevant")),(AC10+AN10)/2,0)</f>
        <v>0</v>
      </c>
      <c r="FS10" s="283">
        <f t="shared" si="13"/>
        <v>0</v>
      </c>
      <c r="FT10" s="658">
        <f t="shared" si="14"/>
        <v>0</v>
      </c>
      <c r="FU10">
        <f t="shared" si="15"/>
        <v>0</v>
      </c>
      <c r="FV10" s="283">
        <f>IF(AND(Stamoplysninger!$B$26="Der er indgået lokalaftale omkring weekendtimer.(Kræver aftale med TR/FSL) Weekendtillæg afspadseres.",I10="X"),K10,0)</f>
        <v>0</v>
      </c>
      <c r="FW10" s="674">
        <f>IF(AND(AND(Stamoplysninger!$B$26="Der er indgået lokalaftale omkring weekendtimer.(Kræver aftale med TR/FSL) Weekendtillæg afspadseres.",I10="X",C10="ikke relevant")),K10,0)</f>
        <v>0</v>
      </c>
      <c r="FX10" s="283">
        <f>IF(AND(Stamoplysninger!$B$26="Der er indgået lokalaftale omkring weekendtimer(Kræver aftale med TR/FSL). Weekendtillæg udbetales.",I10="X"),K10,0)</f>
        <v>0</v>
      </c>
      <c r="FY10" s="674">
        <f>IF(AND(AND(Stamoplysninger!$B$26="Der er indgået lokalaftale omkring weekendtimer(Kræver aftale med TR/FSL). Weekendtillæg udbetales.",I10="X",C10="ikke relevant")),K10,0)</f>
        <v>0</v>
      </c>
      <c r="FZ10" s="283">
        <f>IF(AND(Stamoplysninger!$B$26="Der er indgået lokalaftale omkring weekendtillæg(Kræver aftale med TR/FSL). Weekendtimerne udbetales.",I10="X"),K10,0)</f>
        <v>0</v>
      </c>
      <c r="GA10" s="674">
        <f>IF(AND(AND(Stamoplysninger!$B$26="Der er indgået lokalaftale omkring weekendtillæg(Kræver aftale med TR/FSL). Weekendtimerne udbetales.",I10="X",C10="ikke relevant")),K10,0)</f>
        <v>0</v>
      </c>
      <c r="GB10" s="283">
        <f>IF(AND(Stamoplysninger!$B$26="Der er indgået lokalaftale omkring weekendtimer og weekendtillæg.(Kræver aftale med TR/FSL).",I10="X"),K10,0)</f>
        <v>0</v>
      </c>
      <c r="GC10" s="674">
        <f>IF(AND(AND(Stamoplysninger!$B$26="Der er indgået lokalaftale omkring weekendtimer og weekendtillæg.(Kræver aftale med TR/FSL).",I10="X",C10="ikke relevant")),K10,0)</f>
        <v>0</v>
      </c>
    </row>
    <row r="11" spans="1:185">
      <c r="A11" s="245">
        <f t="shared" si="16"/>
        <v>3</v>
      </c>
      <c r="B11" s="128" t="str">
        <f t="shared" si="0"/>
        <v>ma</v>
      </c>
      <c r="C11" s="129" t="s">
        <v>207</v>
      </c>
      <c r="D11" s="130">
        <f t="shared" si="1"/>
        <v>5.7142857142857144</v>
      </c>
      <c r="E11" s="917"/>
      <c r="F11" s="918"/>
      <c r="G11" s="919"/>
      <c r="H11" s="298"/>
      <c r="I11" s="527"/>
      <c r="J11" s="413"/>
      <c r="K11" s="380"/>
      <c r="L11" s="380"/>
      <c r="M11" s="380"/>
      <c r="N11" s="318">
        <f t="shared" si="17"/>
        <v>7.75</v>
      </c>
      <c r="O11" s="318">
        <f t="shared" si="18"/>
        <v>3.4999999999999996</v>
      </c>
      <c r="P11" s="318">
        <f>IF(Stamoplysninger!$H$29="JA",Februar!DG11,CX11)</f>
        <v>1</v>
      </c>
      <c r="Q11" s="318">
        <f t="shared" si="19"/>
        <v>3.25</v>
      </c>
      <c r="R11" s="319"/>
      <c r="S11" s="324"/>
      <c r="T11" s="325"/>
      <c r="U11" s="325"/>
      <c r="V11" s="435"/>
      <c r="W11" s="435"/>
      <c r="X11" s="644"/>
      <c r="Y11">
        <f t="shared" si="20"/>
        <v>0</v>
      </c>
      <c r="Z11" s="437">
        <f t="shared" si="21"/>
        <v>0</v>
      </c>
      <c r="AA11" s="1">
        <f t="shared" si="22"/>
        <v>0</v>
      </c>
      <c r="AB11" s="1">
        <f t="shared" si="2"/>
        <v>0</v>
      </c>
      <c r="AC11" s="1">
        <f t="shared" si="3"/>
        <v>0</v>
      </c>
      <c r="AD11" s="1">
        <f t="shared" si="4"/>
        <v>0</v>
      </c>
      <c r="AE11" s="1">
        <f t="shared" si="5"/>
        <v>0</v>
      </c>
      <c r="AF11" s="1">
        <f>IF(C11="Orlov",7.4*Stamoplysninger!$E$15,0)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f>IF(AND(C11="Skema 2",B11="ma"),Arbejdstidsoversigt!$E$81,"")</f>
        <v>7.75</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7.75</v>
      </c>
      <c r="BB11" s="229">
        <f t="shared" si="6"/>
        <v>0</v>
      </c>
      <c r="BC11" s="1">
        <f t="shared" si="24"/>
        <v>0</v>
      </c>
      <c r="BD11" s="1">
        <f t="shared" si="7"/>
        <v>0</v>
      </c>
      <c r="BE11" s="1">
        <f t="shared" si="8"/>
        <v>0</v>
      </c>
      <c r="BF11" s="1">
        <f t="shared" si="9"/>
        <v>0</v>
      </c>
      <c r="BG11" s="210" t="str">
        <f>IF(AND(C11="Skema 1",B11="ma"),Skemaoplysninger!$E$30,"")</f>
        <v/>
      </c>
      <c r="BH11" s="210" t="str">
        <f>IF(AND(C11="Skema 1",B11="ti"),Skemaoplysninger!$G$30,"")</f>
        <v/>
      </c>
      <c r="BI11" s="210" t="str">
        <f>IF(AND(C11="Skema 1",B11="on"),Skemaoplysninger!$I$30,"")</f>
        <v/>
      </c>
      <c r="BJ11" s="210" t="str">
        <f>IF(AND(C11="Skema 1",B11="to"),Skemaoplysninger!$K$30,"")</f>
        <v/>
      </c>
      <c r="BK11" s="210" t="str">
        <f>IF(AND(C11="Skema 1",B11="fr"),Skemaoplysninger!$M$30,"")</f>
        <v/>
      </c>
      <c r="BL11" s="210">
        <f>IF(AND(C11="Skema 2",B11="ma"),Skemaoplysninger!$S$30,"")</f>
        <v>0.14583333333333331</v>
      </c>
      <c r="BM11" s="210" t="str">
        <f>IF(AND(C11="Skema 2",B11="ti"),Skemaoplysninger!$U$30,"")</f>
        <v/>
      </c>
      <c r="BN11" s="210" t="str">
        <f>IF(AND(C11="Skema 2",B11="on"),Skemaoplysninger!$W$30,"")</f>
        <v/>
      </c>
      <c r="BO11" s="210" t="str">
        <f>IF(AND(C11="Skema 2",B11="to"),Skemaoplysninger!$Y$30,"")</f>
        <v/>
      </c>
      <c r="BP11" s="210" t="str">
        <f>IF(AND(C11="Skema 2",B11="fr"),Skemaoplysninger!$AA$30,"")</f>
        <v/>
      </c>
      <c r="BQ11" s="210" t="str">
        <f>IF(AND(C11="Skema 3",B11="ma"),Skemaoplysninger!$AG$30,"")</f>
        <v/>
      </c>
      <c r="BR11" s="210" t="str">
        <f>IF(AND(C11="Skema 3",B11="ti"),Skemaoplysninger!$AI$30,"")</f>
        <v/>
      </c>
      <c r="BS11" s="210" t="str">
        <f>IF(AND(C11="Skema 3",B11="on"),Skemaoplysninger!$AK$30,"")</f>
        <v/>
      </c>
      <c r="BT11" s="210" t="str">
        <f>IF(AND(C11="Skema 3",B11="to"),Skemaoplysninger!$AM$30,"")</f>
        <v/>
      </c>
      <c r="BU11" s="210" t="str">
        <f>IF(AND(C11="Skema 3",B11="fr"),Skemaoplysninger!$AO$30,"")</f>
        <v/>
      </c>
      <c r="BV11" s="210" t="str">
        <f>IF(AND(C11="Skema 4",B11="ma"),Skemaoplysninger!$AU$30,"")</f>
        <v/>
      </c>
      <c r="BW11" s="210" t="str">
        <f>IF(AND(C11="Skema 4",B11="ti"),Skemaoplysninger!$AW$30,"")</f>
        <v/>
      </c>
      <c r="BX11" s="210" t="str">
        <f>IF(AND(C11="Skema 4",B11="on"),Skemaoplysninger!$AY$30,"")</f>
        <v/>
      </c>
      <c r="BY11" s="210" t="str">
        <f>IF(AND(C11="Skema 4",B11="to"),Skemaoplysninger!$BA$30,"")</f>
        <v/>
      </c>
      <c r="BZ11" s="210" t="str">
        <f>IF(AND(C11="Skema 4",B11="fr"),Skemaoplysninger!$BC$30,"")</f>
        <v/>
      </c>
      <c r="CA11" s="1">
        <f t="shared" si="25"/>
        <v>3.4999999999999996</v>
      </c>
      <c r="CB11" s="1">
        <f t="shared" si="10"/>
        <v>0</v>
      </c>
      <c r="CC11" s="1">
        <f t="shared" si="11"/>
        <v>0</v>
      </c>
      <c r="CD11" s="210" t="str">
        <f>IF(AND(C11="Skema 1",B11="ma"),Skemaoplysninger!$E$31,"")</f>
        <v/>
      </c>
      <c r="CE11" s="210" t="str">
        <f>IF(AND(C11="Skema 1",B11="ti"),Skemaoplysninger!$G$31,"")</f>
        <v/>
      </c>
      <c r="CF11" s="210" t="str">
        <f>IF(AND(C11="Skema 1",B11="on"),Skemaoplysninger!$I$31,"")</f>
        <v/>
      </c>
      <c r="CG11" s="210" t="str">
        <f>IF(AND(C11="Skema 1",B11="to"),Skemaoplysninger!$K$31,"")</f>
        <v/>
      </c>
      <c r="CH11" s="210" t="str">
        <f>IF(AND(C11="Skema 1",B11="fr"),Skemaoplysninger!$M$31,"")</f>
        <v/>
      </c>
      <c r="CI11" s="210">
        <f>IF(AND(C11="Skema 2",B11="ma"),Skemaoplysninger!$S$31,"")</f>
        <v>4.1666666666666671E-2</v>
      </c>
      <c r="CJ11" s="210" t="str">
        <f>IF(AND(C11="Skema 2",B11="ti"),Skemaoplysninger!$U$31,"")</f>
        <v/>
      </c>
      <c r="CK11" s="210" t="str">
        <f>IF(AND(C11="Skema 2",B11="on"),Skemaoplysninger!$W$31,"")</f>
        <v/>
      </c>
      <c r="CL11" s="210" t="str">
        <f>IF(AND(C11="Skema 2",B11="to"),Skemaoplysninger!$Y$31,"")</f>
        <v/>
      </c>
      <c r="CM11" s="210" t="str">
        <f>IF(AND(C11="Skema 2",B11="fr"),Skemaoplysninger!$AA$31,"")</f>
        <v/>
      </c>
      <c r="CN11" s="210" t="str">
        <f>IF(AND(C11="Skema 3",B11="ma"),Skemaoplysninger!$AG$31,"")</f>
        <v/>
      </c>
      <c r="CO11" s="210" t="str">
        <f>IF(AND(C11="Skema 3",B11="ti"),Skemaoplysninger!$AI$31,"")</f>
        <v/>
      </c>
      <c r="CP11" s="210" t="str">
        <f>IF(AND(C11="Skema 3",B11="on"),Skemaoplysninger!$AK$31,"")</f>
        <v/>
      </c>
      <c r="CQ11" s="210" t="str">
        <f>IF(AND(C11="Skema 3",B11="to"),Skemaoplysninger!$AM$31,"")</f>
        <v/>
      </c>
      <c r="CR11" s="210" t="str">
        <f>IF(AND(C11="Skema 3",B11="fr"),Skemaoplysninger!$AO$31,"")</f>
        <v/>
      </c>
      <c r="CS11" s="210" t="str">
        <f>IF(AND(C11="Skema 4",B11="ma"),Skemaoplysninger!$AU$31,"")</f>
        <v/>
      </c>
      <c r="CT11" s="210" t="str">
        <f>IF(AND(C11="Skema 4",B11="ti"),Skemaoplysninger!$AW$31,"")</f>
        <v/>
      </c>
      <c r="CU11" s="210" t="str">
        <f>IF(AND(C11="Skema 4",B11="on"),Skemaoplysninger!$AY$31,"")</f>
        <v/>
      </c>
      <c r="CV11" s="210" t="str">
        <f>IF(AND(C11="Skema 4",B11="to"),Skemaoplysninger!$BA$31,"")</f>
        <v/>
      </c>
      <c r="CW11" s="210" t="str">
        <f>IF(AND(C11="Skema 4",B11="fr"),Skemaoplysninger!$BC$31,"")</f>
        <v/>
      </c>
      <c r="CX11" s="249">
        <f>IF(Stamoplysninger!$H$29="NEJ",SUM(CD11:CW11)*24+CB11+CC11,0)</f>
        <v>1</v>
      </c>
      <c r="CY11" s="249">
        <f>IF(C11="Skema 1",Stamoplysninger!$H$30/200,0)</f>
        <v>0</v>
      </c>
      <c r="CZ11" s="249">
        <f>IF(C11="Skema 2",Stamoplysninger!$H$30/200,0)</f>
        <v>0</v>
      </c>
      <c r="DA11" s="249">
        <f>IF(C11="Skema 3",Stamoplysninger!$H$30/200,0)</f>
        <v>0</v>
      </c>
      <c r="DB11" s="249">
        <f>IF(C11="Skema 4",Stamoplysninger!$H$30/200,0)</f>
        <v>0</v>
      </c>
      <c r="DC11" s="249">
        <f>IF(C11="fagdag",Stamoplysninger!$H$30/200,0)</f>
        <v>0</v>
      </c>
      <c r="DD11" s="249">
        <f>IF(C11="emnedag",Stamoplysninger!$H$30/200,0)</f>
        <v>0</v>
      </c>
      <c r="DE11" s="249">
        <f>IF(C11="lejrskole",Stamoplysninger!$H$30/200,0)</f>
        <v>0</v>
      </c>
      <c r="DF11" s="249">
        <f>IF(C11="ekskursion",Stamoplysninger!$H$30/200,0)</f>
        <v>0</v>
      </c>
      <c r="DG11" s="249">
        <f t="shared" si="26"/>
        <v>0</v>
      </c>
      <c r="DH11" t="str">
        <f t="shared" si="27"/>
        <v/>
      </c>
      <c r="DI11">
        <f t="shared" si="28"/>
        <v>0</v>
      </c>
      <c r="DJ11">
        <f t="shared" si="29"/>
        <v>0</v>
      </c>
      <c r="DK11" t="str">
        <f t="shared" si="12"/>
        <v/>
      </c>
      <c r="DL11" t="str">
        <f t="shared" si="12"/>
        <v/>
      </c>
      <c r="DM11" t="str">
        <f t="shared" si="12"/>
        <v/>
      </c>
      <c r="DN11" t="str">
        <f t="shared" si="30"/>
        <v/>
      </c>
      <c r="DO11" s="652">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71">
        <f>IF(AND(Stamoplysninger!$B$22="Ulempetillæg udbetales med 25% af nettotimelønnen.",C11="ikke relevant"),(R11)/4,0)</f>
        <v>0</v>
      </c>
      <c r="DT11" s="671">
        <f>IF(AND(AND(Stamoplysninger!$B$22="Ulempetillæg udbetales med 25% af nettotimelønnen.",I11="X",C11="Ikke relevant")),K11/4,0)</f>
        <v>0</v>
      </c>
      <c r="DU11" s="671">
        <f>IF(AND(AND(Stamoplysninger!$B$22="Ulempetillæg udbetales med 25% af nettotimelønnen.",C11="ikke relevant",U11="X")),(X11/4),0)</f>
        <v>0</v>
      </c>
      <c r="DV11" s="672">
        <f>IF(AND(AND(AND(Stamoplysninger!$B$22="Ulempetillæg udbetales med 25% af nettotimelønnen.",I11="X",C11="Ikke relevant",S11="X"))),V11/4,0)</f>
        <v>0</v>
      </c>
      <c r="DW11" s="652"/>
      <c r="DZ11" s="671"/>
      <c r="EA11" s="671"/>
      <c r="EB11" s="672"/>
      <c r="EC11" s="652">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71">
        <f>IF(AND(Stamoplysninger!$B$22="Ulempetillæg afspadseres med 25%(Kræver en aftale imellem ledelsen og den ansatte)",C11="ikke relevant"),(R11)/4,0)</f>
        <v>0</v>
      </c>
      <c r="EH11" s="671">
        <f>IF(AND(AND(Stamoplysninger!$B$22="Ulempetillæg afspadseres med 25%(Kræver en aftale imellem ledelsen og den ansatte)",I11="X",C11="Ikke relevant")),K11/4,0)</f>
        <v>0</v>
      </c>
      <c r="EI11" s="671">
        <f>IF(AND(AND(Stamoplysninger!$B$22="Ulempetillæg afspadseres med 25%(Kræver en aftale imellem ledelsen og den ansatte)",U11="X",C11="Ikke relevant")),X11/4,0)</f>
        <v>0</v>
      </c>
      <c r="EJ11" s="671">
        <f>IF(AND(AND(AND(Stamoplysninger!$B$22="Ulempetillæg afspadseres med 25%(Kræver en aftale imellem ledelsen og den ansatte)",I11="X",C11="Ikke relevant",S11="X"))),V11/4,0)</f>
        <v>0</v>
      </c>
      <c r="EK11" s="283">
        <f>IF(AND(Stamoplysninger!$B$26="Weekendtimer og weekendtillæg afspadseres.",I11="X"),K11*1.5,0)</f>
        <v>0</v>
      </c>
      <c r="EL11" s="251">
        <f>IF(AND(AND(Stamoplysninger!$B$26="Weekendtimer og weekendtillæg afspadseres.",I11="X",S11="X")),V11*1.5,0)</f>
        <v>0</v>
      </c>
      <c r="EM11" s="674">
        <f>IF(AND(AND(Stamoplysninger!$B$26="Weekendtimer og weekendtillæg afspadseres.",I11="X",C11="ikke relevant")),K11*1.5,0)</f>
        <v>0</v>
      </c>
      <c r="EN11" s="675">
        <f>IF(AND(AND(AND(Stamoplysninger!$B$26="Weekendtimer og weekendtillæg afspadseres.",I11="X",C11="ikke relevant",S11="X"))),(V11*1.5),0)</f>
        <v>0</v>
      </c>
      <c r="EO11" s="283">
        <f>IF(AND(Stamoplysninger!$B$26="Weekendtimer og weekendtillæg udbetales.",I11="X"),K11*1.5,0)</f>
        <v>0</v>
      </c>
      <c r="EP11" s="251">
        <f>IF(AND(AND(Stamoplysninger!$B$26="Weekendtimer og weekendtillæg udbetales.",I11="X",S11="X")),V11*1.5,0)</f>
        <v>0</v>
      </c>
      <c r="EQ11" s="674">
        <f>IF(AND(AND(Stamoplysninger!$B$26="Weekendtimer og weekendtillæg udbetales.",I11="X",C11="ikke relevant")),K11*1.5,0)</f>
        <v>0</v>
      </c>
      <c r="ER11" s="675">
        <f>IF(AND(AND(AND(Stamoplysninger!$B$26="Weekendtimer og weekendtillæg udbetales.",I11="X",C11="ikke relevant",S11="X"))),(V11*1.5),0)</f>
        <v>0</v>
      </c>
      <c r="ES11" s="283">
        <f>IF(AND(Stamoplysninger!$B$26="Der er indgået lokalaftale omkring weekendtimer.(Kræver aftale med TR/FSL) Weekendtillæg afspadseres.",I11="X"),K11*0.5,0)</f>
        <v>0</v>
      </c>
      <c r="ET11" s="251">
        <f>IF(AND(AND(Stamoplysninger!$B$26="Der er indgået lokalaftale omkring weekendtimer.(Kræver aftale med TR/FSL) Weekendtillæg afspadseres.",I11="X",S11="X")),V11*0.5,0)</f>
        <v>0</v>
      </c>
      <c r="EU11" s="674">
        <f>IF(AND(AND(Stamoplysninger!$B$26="Der er indgået lokalaftale omkring weekendtimer.(Kræver aftale med TR/FSL) Weekendtillæg afspadseres.",I11="X",C11="ikke relevant")),K11*0.5,0)</f>
        <v>0</v>
      </c>
      <c r="EV11" s="675">
        <f>IF(AND(AND(AND(Stamoplysninger!$B$26="Der er indgået lokalaftale omkring weekendtimer.(Kræver aftale med TR/FSL) Weekendtillæg afspadseres.",I11="X",C11="ikke relevant",S11="X"))),(V11*0.5),0)</f>
        <v>0</v>
      </c>
      <c r="EW11" s="283">
        <f>IF(AND(Stamoplysninger!$B$26="Der er indgået lokalaftale omkring weekendtimer(Kræver aftale med TR/FSL). Weekendtillæg udbetales.",I11="X"),K11*0.5,0)</f>
        <v>0</v>
      </c>
      <c r="EX11" s="251">
        <f>IF(AND(AND(Stamoplysninger!$B$26="Der er indgået lokalaftale omkring weekendtimer(Kræver aftale med TR/FSL). Weekendtillæg udbetales.",I11="X",S11="X")),V11*0.5,0)</f>
        <v>0</v>
      </c>
      <c r="EY11" s="674">
        <f>IF(AND(AND(Stamoplysninger!$B$26="Der er indgået lokalaftale omkring weekendtimer(Kræver aftale med TR/FSL). Weekendtillæg udbetales.",I11="X",C11="ikke relevant")),K11*0.5,0)</f>
        <v>0</v>
      </c>
      <c r="EZ11" s="675">
        <f>IF(AND(AND(AND(Stamoplysninger!$B$26="Der er indgået lokalaftale omkring weekendtimer(Kræver aftale med TR/FSL). Weekendtillæg udbetales.",I11="X",C11="ikke relevant",S11="X"))),(V11*0.5),0)</f>
        <v>0</v>
      </c>
      <c r="FA11" s="283">
        <f>IF(AND(Stamoplysninger!$B$26="Der er indgået lokalaftale omkring weekendtillæg(Kræver aftale med TR/FSL). Weekendtimerne afspadseres.",I11="X"),K11,0)</f>
        <v>0</v>
      </c>
      <c r="FB11" s="251">
        <f>IF(AND(AND(Stamoplysninger!$B$26="Der er indgået lokalaftale omkring weekendtillæg(Kræver aftale med TR/FSL). Weekendtimerne afspadseres.",I11="X",S11="X")),V11,0)</f>
        <v>0</v>
      </c>
      <c r="FC11" s="674">
        <f>IF(AND(AND(Stamoplysninger!$B$26="Der er indgået lokalaftale omkring weekendtillæg(Kræver aftale med TR/FSL). Weekendtimerne afspadseres..",I11="X",C11="ikke relevant")),K11,0)</f>
        <v>0</v>
      </c>
      <c r="FD11" s="675">
        <f>IF(AND(AND(AND(Stamoplysninger!$B$26="Der er indgået lokalaftale omkring weekendtillæg(Kræver aftale med TR/FSL). Weekendtimerne afspadseres.",I11="X",C11="ikke relevant",S11="X"))),(V11),0)</f>
        <v>0</v>
      </c>
      <c r="FE11" s="283">
        <f>IF(AND(Stamoplysninger!$B$26="Der er indgået lokalaftale omkring weekendtillæg(Kræver aftale med TR/FSL). Weekendtimerne udbetales.",I11="X"),K11,0)</f>
        <v>0</v>
      </c>
      <c r="FF11" s="251">
        <f>IF(AND(AND(Stamoplysninger!$B$26="Der er indgået lokalaftale omkring weekendtillæg(Kræver aftale med TR/FSL). Weekendtimerne udbetales.",I11="X",S11="X")),V11,0)</f>
        <v>0</v>
      </c>
      <c r="FG11" s="674">
        <f>IF(AND(AND(Stamoplysninger!$B$26="Der er indgået lokalaftale omkring weekendtillæg(Kræver aftale med TR/FSL). Weekendtimerne udbetales.",I11="X",C11="ikke relevant")),K11,0)</f>
        <v>0</v>
      </c>
      <c r="FH11" s="675">
        <f>IF(AND(AND(AND(Stamoplysninger!$B$26="Der er indgået lokalaftale omkring weekendtillæg(Kræver aftale med TR/FSL). Weekendtimerne udbetales.",I11="X",C11="ikke relevant",S11="X"))),(V11),0)</f>
        <v>0</v>
      </c>
      <c r="FI11" s="283">
        <f>IF(AND(Stamoplysninger!$B$26="Weekendtimer og weekendtillæg afspadseres.",I11="X"),K11,0)</f>
        <v>0</v>
      </c>
      <c r="FJ11" s="251">
        <f>IF(AND(Stamoplysninger!$B$26="Weekendtimer og weekendtillæg afspadseres.",Y11="X"),(AA11+AL11)/2,0)</f>
        <v>0</v>
      </c>
      <c r="FK11" s="674">
        <f>IF(AND(AND(Stamoplysninger!$B$26="Weekendtimer og weekendtillæg afspadseres.",I11="X",C11="ikke relevant")),K11,0)</f>
        <v>0</v>
      </c>
      <c r="FL11" s="675">
        <f>IF(AND(AND(Stamoplysninger!$B$26="Weekendtimer og weekendtillæg afspadseres.",Y11="X",S11="ikke relevant")),(AA11+AL11)/2,0)</f>
        <v>0</v>
      </c>
      <c r="FM11" s="283">
        <f>IF(AND(Stamoplysninger!$B$26="Der er indgået lokalaftale omkring weekendtillæg(Kræver aftale med TR/FSL). Weekendtimerne afspadseres.",I11="X"),K11,0)</f>
        <v>0</v>
      </c>
      <c r="FN11" s="674">
        <f>IF(AND(AND(Stamoplysninger!$B$26="Der er indgået lokalaftale omkring weekendtillæg(Kræver aftale med TR/FSL). Weekendtimerne afspadseres.",I11="X",C11="ikke relevant")),K11,0)</f>
        <v>0</v>
      </c>
      <c r="FO11" s="283">
        <f>IF(AND(Stamoplysninger!$B$26="Weekendtimer og weekendtillæg udbetales.",I11="X"),K11,0)</f>
        <v>0</v>
      </c>
      <c r="FP11" s="251">
        <f>IF(AND(Stamoplysninger!$B$26="Weekendtimer og weekendtillæg udbetales.",AA11="X"),(AC11+AN11)/2,0)</f>
        <v>0</v>
      </c>
      <c r="FQ11" s="674">
        <f>IF(AND(AND(Stamoplysninger!$B$26="Weekendtimer og weekendtillæg udbetales.",I11="X",C11="ikke relevant")),K11,0)</f>
        <v>0</v>
      </c>
      <c r="FR11" s="688">
        <f>IF(AND(AND(Stamoplysninger!$B$26="Weekendtimer og weekendtillæg udbetales.",AA11="X",U11="ikke relevant")),(AC11+AN11)/2,0)</f>
        <v>0</v>
      </c>
      <c r="FS11" s="283">
        <f t="shared" si="13"/>
        <v>0</v>
      </c>
      <c r="FT11" s="658">
        <f t="shared" si="14"/>
        <v>0</v>
      </c>
      <c r="FU11">
        <f t="shared" si="15"/>
        <v>0</v>
      </c>
      <c r="FV11" s="283">
        <f>IF(AND(Stamoplysninger!$B$26="Der er indgået lokalaftale omkring weekendtimer.(Kræver aftale med TR/FSL) Weekendtillæg afspadseres.",I11="X"),K11,0)</f>
        <v>0</v>
      </c>
      <c r="FW11" s="674">
        <f>IF(AND(AND(Stamoplysninger!$B$26="Der er indgået lokalaftale omkring weekendtimer.(Kræver aftale med TR/FSL) Weekendtillæg afspadseres.",I11="X",C11="ikke relevant")),K11,0)</f>
        <v>0</v>
      </c>
      <c r="FX11" s="283">
        <f>IF(AND(Stamoplysninger!$B$26="Der er indgået lokalaftale omkring weekendtimer(Kræver aftale med TR/FSL). Weekendtillæg udbetales.",I11="X"),K11,0)</f>
        <v>0</v>
      </c>
      <c r="FY11" s="674">
        <f>IF(AND(AND(Stamoplysninger!$B$26="Der er indgået lokalaftale omkring weekendtimer(Kræver aftale med TR/FSL). Weekendtillæg udbetales.",I11="X",C11="ikke relevant")),K11,0)</f>
        <v>0</v>
      </c>
      <c r="FZ11" s="283">
        <f>IF(AND(Stamoplysninger!$B$26="Der er indgået lokalaftale omkring weekendtillæg(Kræver aftale med TR/FSL). Weekendtimerne udbetales.",I11="X"),K11,0)</f>
        <v>0</v>
      </c>
      <c r="GA11" s="674">
        <f>IF(AND(AND(Stamoplysninger!$B$26="Der er indgået lokalaftale omkring weekendtillæg(Kræver aftale med TR/FSL). Weekendtimerne udbetales.",I11="X",C11="ikke relevant")),K11,0)</f>
        <v>0</v>
      </c>
      <c r="GB11" s="283">
        <f>IF(AND(Stamoplysninger!$B$26="Der er indgået lokalaftale omkring weekendtimer og weekendtillæg.(Kræver aftale med TR/FSL).",I11="X"),K11,0)</f>
        <v>0</v>
      </c>
      <c r="GC11" s="674">
        <f>IF(AND(AND(Stamoplysninger!$B$26="Der er indgået lokalaftale omkring weekendtimer og weekendtillæg.(Kræver aftale med TR/FSL).",I11="X",C11="ikke relevant")),K11,0)</f>
        <v>0</v>
      </c>
    </row>
    <row r="12" spans="1:185">
      <c r="A12" s="245">
        <f t="shared" si="16"/>
        <v>4</v>
      </c>
      <c r="B12" s="128" t="str">
        <f t="shared" si="0"/>
        <v>ti</v>
      </c>
      <c r="C12" s="129" t="s">
        <v>207</v>
      </c>
      <c r="D12" s="130" t="str">
        <f t="shared" si="1"/>
        <v/>
      </c>
      <c r="E12" s="917"/>
      <c r="F12" s="918"/>
      <c r="G12" s="919"/>
      <c r="H12" s="298"/>
      <c r="I12" s="527"/>
      <c r="J12" s="413"/>
      <c r="K12" s="380"/>
      <c r="L12" s="380"/>
      <c r="M12" s="380"/>
      <c r="N12" s="318">
        <f t="shared" si="17"/>
        <v>8.5</v>
      </c>
      <c r="O12" s="318">
        <f t="shared" si="18"/>
        <v>3.75</v>
      </c>
      <c r="P12" s="318">
        <f>IF(Stamoplysninger!$H$29="JA",Februar!DG12,CX12)</f>
        <v>1.5</v>
      </c>
      <c r="Q12" s="318">
        <f t="shared" si="19"/>
        <v>3.25</v>
      </c>
      <c r="R12" s="319"/>
      <c r="S12" s="324"/>
      <c r="T12" s="325"/>
      <c r="U12" s="325"/>
      <c r="V12" s="435"/>
      <c r="W12" s="435"/>
      <c r="X12" s="644"/>
      <c r="Y12">
        <f t="shared" si="20"/>
        <v>0</v>
      </c>
      <c r="Z12" s="437">
        <f t="shared" si="21"/>
        <v>0</v>
      </c>
      <c r="AA12" s="1">
        <f t="shared" si="22"/>
        <v>0</v>
      </c>
      <c r="AB12" s="1">
        <f t="shared" si="2"/>
        <v>0</v>
      </c>
      <c r="AC12" s="1">
        <f t="shared" si="3"/>
        <v>0</v>
      </c>
      <c r="AD12" s="1">
        <f t="shared" si="4"/>
        <v>0</v>
      </c>
      <c r="AE12" s="1">
        <f t="shared" si="5"/>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f>IF(AND(C12="Skema 2",B12="ti"),Arbejdstidsoversigt!$E$82,"")</f>
        <v>8.5</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8.5</v>
      </c>
      <c r="BB12" s="229">
        <f t="shared" si="6"/>
        <v>0</v>
      </c>
      <c r="BC12" s="1">
        <f t="shared" si="24"/>
        <v>0</v>
      </c>
      <c r="BD12" s="1">
        <f t="shared" si="7"/>
        <v>0</v>
      </c>
      <c r="BE12" s="1">
        <f t="shared" si="8"/>
        <v>0</v>
      </c>
      <c r="BF12" s="1">
        <f t="shared" si="9"/>
        <v>0</v>
      </c>
      <c r="BG12" s="210" t="str">
        <f>IF(AND(C12="Skema 1",B12="ma"),Skemaoplysninger!$E$30,"")</f>
        <v/>
      </c>
      <c r="BH12" s="210" t="str">
        <f>IF(AND(C12="Skema 1",B12="ti"),Skemaoplysninger!$G$30,"")</f>
        <v/>
      </c>
      <c r="BI12" s="210" t="str">
        <f>IF(AND(C12="Skema 1",B12="on"),Skemaoplysninger!$I$30,"")</f>
        <v/>
      </c>
      <c r="BJ12" s="210" t="str">
        <f>IF(AND(C12="Skema 1",B12="to"),Skemaoplysninger!$K$30,"")</f>
        <v/>
      </c>
      <c r="BK12" s="210" t="str">
        <f>IF(AND(C12="Skema 1",B12="fr"),Skemaoplysninger!$M$30,"")</f>
        <v/>
      </c>
      <c r="BL12" s="210" t="str">
        <f>IF(AND(C12="Skema 2",B12="ma"),Skemaoplysninger!$S$30,"")</f>
        <v/>
      </c>
      <c r="BM12" s="210">
        <f>IF(AND(C12="Skema 2",B12="ti"),Skemaoplysninger!$U$30,"")</f>
        <v>0.15625</v>
      </c>
      <c r="BN12" s="210" t="str">
        <f>IF(AND(C12="Skema 2",B12="on"),Skemaoplysninger!$W$30,"")</f>
        <v/>
      </c>
      <c r="BO12" s="210" t="str">
        <f>IF(AND(C12="Skema 2",B12="to"),Skemaoplysninger!$Y$30,"")</f>
        <v/>
      </c>
      <c r="BP12" s="210" t="str">
        <f>IF(AND(C12="Skema 2",B12="fr"),Skemaoplysninger!$AA$30,"")</f>
        <v/>
      </c>
      <c r="BQ12" s="210" t="str">
        <f>IF(AND(C12="Skema 3",B12="ma"),Skemaoplysninger!$AG$30,"")</f>
        <v/>
      </c>
      <c r="BR12" s="210" t="str">
        <f>IF(AND(C12="Skema 3",B12="ti"),Skemaoplysninger!$AI$30,"")</f>
        <v/>
      </c>
      <c r="BS12" s="210" t="str">
        <f>IF(AND(C12="Skema 3",B12="on"),Skemaoplysninger!$AK$30,"")</f>
        <v/>
      </c>
      <c r="BT12" s="210" t="str">
        <f>IF(AND(C12="Skema 3",B12="to"),Skemaoplysninger!$AM$30,"")</f>
        <v/>
      </c>
      <c r="BU12" s="210" t="str">
        <f>IF(AND(C12="Skema 3",B12="fr"),Skemaoplysninger!$AO$30,"")</f>
        <v/>
      </c>
      <c r="BV12" s="210" t="str">
        <f>IF(AND(C12="Skema 4",B12="ma"),Skemaoplysninger!$AU$30,"")</f>
        <v/>
      </c>
      <c r="BW12" s="210" t="str">
        <f>IF(AND(C12="Skema 4",B12="ti"),Skemaoplysninger!$AW$30,"")</f>
        <v/>
      </c>
      <c r="BX12" s="210" t="str">
        <f>IF(AND(C12="Skema 4",B12="on"),Skemaoplysninger!$AY$30,"")</f>
        <v/>
      </c>
      <c r="BY12" s="210" t="str">
        <f>IF(AND(C12="Skema 4",B12="to"),Skemaoplysninger!$BA$30,"")</f>
        <v/>
      </c>
      <c r="BZ12" s="210" t="str">
        <f>IF(AND(C12="Skema 4",B12="fr"),Skemaoplysninger!$BC$30,"")</f>
        <v/>
      </c>
      <c r="CA12" s="1">
        <f t="shared" si="25"/>
        <v>3.75</v>
      </c>
      <c r="CB12" s="1">
        <f t="shared" si="10"/>
        <v>0</v>
      </c>
      <c r="CC12" s="1">
        <f t="shared" si="11"/>
        <v>0</v>
      </c>
      <c r="CD12" s="210" t="str">
        <f>IF(AND(C12="Skema 1",B12="ma"),Skemaoplysninger!$E$31,"")</f>
        <v/>
      </c>
      <c r="CE12" s="210" t="str">
        <f>IF(AND(C12="Skema 1",B12="ti"),Skemaoplysninger!$G$31,"")</f>
        <v/>
      </c>
      <c r="CF12" s="210" t="str">
        <f>IF(AND(C12="Skema 1",B12="on"),Skemaoplysninger!$I$31,"")</f>
        <v/>
      </c>
      <c r="CG12" s="210" t="str">
        <f>IF(AND(C12="Skema 1",B12="to"),Skemaoplysninger!$K$31,"")</f>
        <v/>
      </c>
      <c r="CH12" s="210" t="str">
        <f>IF(AND(C12="Skema 1",B12="fr"),Skemaoplysninger!$M$31,"")</f>
        <v/>
      </c>
      <c r="CI12" s="210" t="str">
        <f>IF(AND(C12="Skema 2",B12="ma"),Skemaoplysninger!$S$31,"")</f>
        <v/>
      </c>
      <c r="CJ12" s="210">
        <f>IF(AND(C12="Skema 2",B12="ti"),Skemaoplysninger!$U$31,"")</f>
        <v>6.25E-2</v>
      </c>
      <c r="CK12" s="210" t="str">
        <f>IF(AND(C12="Skema 2",B12="on"),Skemaoplysninger!$W$31,"")</f>
        <v/>
      </c>
      <c r="CL12" s="210" t="str">
        <f>IF(AND(C12="Skema 2",B12="to"),Skemaoplysninger!$Y$31,"")</f>
        <v/>
      </c>
      <c r="CM12" s="210" t="str">
        <f>IF(AND(C12="Skema 2",B12="fr"),Skemaoplysninger!$AA$31,"")</f>
        <v/>
      </c>
      <c r="CN12" s="210" t="str">
        <f>IF(AND(C12="Skema 3",B12="ma"),Skemaoplysninger!$AG$31,"")</f>
        <v/>
      </c>
      <c r="CO12" s="210" t="str">
        <f>IF(AND(C12="Skema 3",B12="ti"),Skemaoplysninger!$AI$31,"")</f>
        <v/>
      </c>
      <c r="CP12" s="210" t="str">
        <f>IF(AND(C12="Skema 3",B12="on"),Skemaoplysninger!$AK$31,"")</f>
        <v/>
      </c>
      <c r="CQ12" s="210" t="str">
        <f>IF(AND(C12="Skema 3",B12="to"),Skemaoplysninger!$AM$31,"")</f>
        <v/>
      </c>
      <c r="CR12" s="210" t="str">
        <f>IF(AND(C12="Skema 3",B12="fr"),Skemaoplysninger!$AO$31,"")</f>
        <v/>
      </c>
      <c r="CS12" s="210" t="str">
        <f>IF(AND(C12="Skema 4",B12="ma"),Skemaoplysninger!$AU$31,"")</f>
        <v/>
      </c>
      <c r="CT12" s="210" t="str">
        <f>IF(AND(C12="Skema 4",B12="ti"),Skemaoplysninger!$AW$31,"")</f>
        <v/>
      </c>
      <c r="CU12" s="210" t="str">
        <f>IF(AND(C12="Skema 4",B12="on"),Skemaoplysninger!$AY$31,"")</f>
        <v/>
      </c>
      <c r="CV12" s="210" t="str">
        <f>IF(AND(C12="Skema 4",B12="to"),Skemaoplysninger!$BA$31,"")</f>
        <v/>
      </c>
      <c r="CW12" s="210" t="str">
        <f>IF(AND(C12="Skema 4",B12="fr"),Skemaoplysninger!$BC$31,"")</f>
        <v/>
      </c>
      <c r="CX12" s="249">
        <f>IF(Stamoplysninger!$H$29="NEJ",SUM(CD12:CW12)*24+CB12+CC12,0)</f>
        <v>1.5</v>
      </c>
      <c r="CY12" s="249">
        <f>IF(C12="Skema 1",Stamoplysninger!$H$30/200,0)</f>
        <v>0</v>
      </c>
      <c r="CZ12" s="249">
        <f>IF(C12="Skema 2",Stamoplysninger!$H$30/200,0)</f>
        <v>0</v>
      </c>
      <c r="DA12" s="249">
        <f>IF(C12="Skema 3",Stamoplysninger!$H$30/200,0)</f>
        <v>0</v>
      </c>
      <c r="DB12" s="249">
        <f>IF(C12="Skema 4",Stamoplysninger!$H$30/200,0)</f>
        <v>0</v>
      </c>
      <c r="DC12" s="249">
        <f>IF(C12="fagdag",Stamoplysninger!$H$30/200,0)</f>
        <v>0</v>
      </c>
      <c r="DD12" s="249">
        <f>IF(C12="emnedag",Stamoplysninger!$H$30/200,0)</f>
        <v>0</v>
      </c>
      <c r="DE12" s="249">
        <f>IF(C12="lejrskole",Stamoplysninger!$H$30/200,0)</f>
        <v>0</v>
      </c>
      <c r="DF12" s="249">
        <f>IF(C12="ekskursion",Stamoplysninger!$H$30/200,0)</f>
        <v>0</v>
      </c>
      <c r="DG12" s="249">
        <f t="shared" si="26"/>
        <v>0</v>
      </c>
      <c r="DH12" t="str">
        <f t="shared" si="27"/>
        <v/>
      </c>
      <c r="DI12">
        <f t="shared" si="28"/>
        <v>0</v>
      </c>
      <c r="DJ12">
        <f>IF(E12="",H12,"")</f>
        <v>0</v>
      </c>
      <c r="DK12" t="str">
        <f t="shared" si="12"/>
        <v/>
      </c>
      <c r="DL12" t="str">
        <f t="shared" si="12"/>
        <v/>
      </c>
      <c r="DM12" t="str">
        <f t="shared" si="12"/>
        <v/>
      </c>
      <c r="DN12" t="str">
        <f t="shared" si="30"/>
        <v/>
      </c>
      <c r="DO12" s="652">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71">
        <f>IF(AND(Stamoplysninger!$B$22="Ulempetillæg udbetales med 25% af nettotimelønnen.",C12="ikke relevant"),(R12)/4,0)</f>
        <v>0</v>
      </c>
      <c r="DT12" s="671">
        <f>IF(AND(AND(Stamoplysninger!$B$22="Ulempetillæg udbetales med 25% af nettotimelønnen.",I12="X",C12="Ikke relevant")),K12/4,0)</f>
        <v>0</v>
      </c>
      <c r="DU12" s="671">
        <f>IF(AND(AND(Stamoplysninger!$B$22="Ulempetillæg udbetales med 25% af nettotimelønnen.",C12="ikke relevant",U12="X")),(X12/4),0)</f>
        <v>0</v>
      </c>
      <c r="DV12" s="672">
        <f>IF(AND(AND(AND(Stamoplysninger!$B$22="Ulempetillæg udbetales med 25% af nettotimelønnen.",I12="X",C12="Ikke relevant",S12="X"))),V12/4,0)</f>
        <v>0</v>
      </c>
      <c r="DW12" s="652"/>
      <c r="DZ12" s="671"/>
      <c r="EA12" s="671"/>
      <c r="EB12" s="672"/>
      <c r="EC12" s="652">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71">
        <f>IF(AND(Stamoplysninger!$B$22="Ulempetillæg afspadseres med 25%(Kræver en aftale imellem ledelsen og den ansatte)",C12="ikke relevant"),(R12)/4,0)</f>
        <v>0</v>
      </c>
      <c r="EH12" s="671">
        <f>IF(AND(AND(Stamoplysninger!$B$22="Ulempetillæg afspadseres med 25%(Kræver en aftale imellem ledelsen og den ansatte)",I12="X",C12="Ikke relevant")),K12/4,0)</f>
        <v>0</v>
      </c>
      <c r="EI12" s="671">
        <f>IF(AND(AND(Stamoplysninger!$B$22="Ulempetillæg afspadseres med 25%(Kræver en aftale imellem ledelsen og den ansatte)",U12="X",C12="Ikke relevant")),X12/4,0)</f>
        <v>0</v>
      </c>
      <c r="EJ12" s="671">
        <f>IF(AND(AND(AND(Stamoplysninger!$B$22="Ulempetillæg afspadseres med 25%(Kræver en aftale imellem ledelsen og den ansatte)",I12="X",C12="Ikke relevant",S12="X"))),V12/4,0)</f>
        <v>0</v>
      </c>
      <c r="EK12" s="283">
        <f>IF(AND(Stamoplysninger!$B$26="Weekendtimer og weekendtillæg afspadseres.",I12="X"),K12*1.5,0)</f>
        <v>0</v>
      </c>
      <c r="EL12" s="251">
        <f>IF(AND(AND(Stamoplysninger!$B$26="Weekendtimer og weekendtillæg afspadseres.",I12="X",S12="X")),V12*1.5,0)</f>
        <v>0</v>
      </c>
      <c r="EM12" s="674">
        <f>IF(AND(AND(Stamoplysninger!$B$26="Weekendtimer og weekendtillæg afspadseres.",I12="X",C12="ikke relevant")),K12*1.5,0)</f>
        <v>0</v>
      </c>
      <c r="EN12" s="675">
        <f>IF(AND(AND(AND(Stamoplysninger!$B$26="Weekendtimer og weekendtillæg afspadseres.",I12="X",C12="ikke relevant",S12="X"))),(V12*1.5),0)</f>
        <v>0</v>
      </c>
      <c r="EO12" s="283">
        <f>IF(AND(Stamoplysninger!$B$26="Weekendtimer og weekendtillæg udbetales.",I12="X"),K12*1.5,0)</f>
        <v>0</v>
      </c>
      <c r="EP12" s="251">
        <f>IF(AND(AND(Stamoplysninger!$B$26="Weekendtimer og weekendtillæg udbetales.",I12="X",S12="X")),V12*1.5,0)</f>
        <v>0</v>
      </c>
      <c r="EQ12" s="674">
        <f>IF(AND(AND(Stamoplysninger!$B$26="Weekendtimer og weekendtillæg udbetales.",I12="X",C12="ikke relevant")),K12*1.5,0)</f>
        <v>0</v>
      </c>
      <c r="ER12" s="675">
        <f>IF(AND(AND(AND(Stamoplysninger!$B$26="Weekendtimer og weekendtillæg udbetales.",I12="X",C12="ikke relevant",S12="X"))),(V12*1.5),0)</f>
        <v>0</v>
      </c>
      <c r="ES12" s="283">
        <f>IF(AND(Stamoplysninger!$B$26="Der er indgået lokalaftale omkring weekendtimer.(Kræver aftale med TR/FSL) Weekendtillæg afspadseres.",I12="X"),K12*0.5,0)</f>
        <v>0</v>
      </c>
      <c r="ET12" s="251">
        <f>IF(AND(AND(Stamoplysninger!$B$26="Der er indgået lokalaftale omkring weekendtimer.(Kræver aftale med TR/FSL) Weekendtillæg afspadseres.",I12="X",S12="X")),V12*0.5,0)</f>
        <v>0</v>
      </c>
      <c r="EU12" s="674">
        <f>IF(AND(AND(Stamoplysninger!$B$26="Der er indgået lokalaftale omkring weekendtimer.(Kræver aftale med TR/FSL) Weekendtillæg afspadseres.",I12="X",C12="ikke relevant")),K12*0.5,0)</f>
        <v>0</v>
      </c>
      <c r="EV12" s="675">
        <f>IF(AND(AND(AND(Stamoplysninger!$B$26="Der er indgået lokalaftale omkring weekendtimer.(Kræver aftale med TR/FSL) Weekendtillæg afspadseres.",I12="X",C12="ikke relevant",S12="X"))),(V12*0.5),0)</f>
        <v>0</v>
      </c>
      <c r="EW12" s="283">
        <f>IF(AND(Stamoplysninger!$B$26="Der er indgået lokalaftale omkring weekendtimer(Kræver aftale med TR/FSL). Weekendtillæg udbetales.",I12="X"),K12*0.5,0)</f>
        <v>0</v>
      </c>
      <c r="EX12" s="251">
        <f>IF(AND(AND(Stamoplysninger!$B$26="Der er indgået lokalaftale omkring weekendtimer(Kræver aftale med TR/FSL). Weekendtillæg udbetales.",I12="X",S12="X")),V12*0.5,0)</f>
        <v>0</v>
      </c>
      <c r="EY12" s="674">
        <f>IF(AND(AND(Stamoplysninger!$B$26="Der er indgået lokalaftale omkring weekendtimer(Kræver aftale med TR/FSL). Weekendtillæg udbetales.",I12="X",C12="ikke relevant")),K12*0.5,0)</f>
        <v>0</v>
      </c>
      <c r="EZ12" s="675">
        <f>IF(AND(AND(AND(Stamoplysninger!$B$26="Der er indgået lokalaftale omkring weekendtimer(Kræver aftale med TR/FSL). Weekendtillæg udbetales.",I12="X",C12="ikke relevant",S12="X"))),(V12*0.5),0)</f>
        <v>0</v>
      </c>
      <c r="FA12" s="283">
        <f>IF(AND(Stamoplysninger!$B$26="Der er indgået lokalaftale omkring weekendtillæg(Kræver aftale med TR/FSL). Weekendtimerne afspadseres.",I12="X"),K12,0)</f>
        <v>0</v>
      </c>
      <c r="FB12" s="251">
        <f>IF(AND(AND(Stamoplysninger!$B$26="Der er indgået lokalaftale omkring weekendtillæg(Kræver aftale med TR/FSL). Weekendtimerne afspadseres.",I12="X",S12="X")),V12,0)</f>
        <v>0</v>
      </c>
      <c r="FC12" s="674">
        <f>IF(AND(AND(Stamoplysninger!$B$26="Der er indgået lokalaftale omkring weekendtillæg(Kræver aftale med TR/FSL). Weekendtimerne afspadseres..",I12="X",C12="ikke relevant")),K12,0)</f>
        <v>0</v>
      </c>
      <c r="FD12" s="675">
        <f>IF(AND(AND(AND(Stamoplysninger!$B$26="Der er indgået lokalaftale omkring weekendtillæg(Kræver aftale med TR/FSL). Weekendtimerne afspadseres.",I12="X",C12="ikke relevant",S12="X"))),(V12),0)</f>
        <v>0</v>
      </c>
      <c r="FE12" s="283">
        <f>IF(AND(Stamoplysninger!$B$26="Der er indgået lokalaftale omkring weekendtillæg(Kræver aftale med TR/FSL). Weekendtimerne udbetales.",I12="X"),K12,0)</f>
        <v>0</v>
      </c>
      <c r="FF12" s="251">
        <f>IF(AND(AND(Stamoplysninger!$B$26="Der er indgået lokalaftale omkring weekendtillæg(Kræver aftale med TR/FSL). Weekendtimerne udbetales.",I12="X",S12="X")),V12,0)</f>
        <v>0</v>
      </c>
      <c r="FG12" s="674">
        <f>IF(AND(AND(Stamoplysninger!$B$26="Der er indgået lokalaftale omkring weekendtillæg(Kræver aftale med TR/FSL). Weekendtimerne udbetales.",I12="X",C12="ikke relevant")),K12,0)</f>
        <v>0</v>
      </c>
      <c r="FH12" s="675">
        <f>IF(AND(AND(AND(Stamoplysninger!$B$26="Der er indgået lokalaftale omkring weekendtillæg(Kræver aftale med TR/FSL). Weekendtimerne udbetales.",I12="X",C12="ikke relevant",S12="X"))),(V12),0)</f>
        <v>0</v>
      </c>
      <c r="FI12" s="283">
        <f>IF(AND(Stamoplysninger!$B$26="Weekendtimer og weekendtillæg afspadseres.",I12="X"),K12,0)</f>
        <v>0</v>
      </c>
      <c r="FJ12" s="251">
        <f>IF(AND(Stamoplysninger!$B$26="Weekendtimer og weekendtillæg afspadseres.",Y12="X"),(AA12+AL12)/2,0)</f>
        <v>0</v>
      </c>
      <c r="FK12" s="674">
        <f>IF(AND(AND(Stamoplysninger!$B$26="Weekendtimer og weekendtillæg afspadseres.",I12="X",C12="ikke relevant")),K12,0)</f>
        <v>0</v>
      </c>
      <c r="FL12" s="675">
        <f>IF(AND(AND(Stamoplysninger!$B$26="Weekendtimer og weekendtillæg afspadseres.",Y12="X",S12="ikke relevant")),(AA12+AL12)/2,0)</f>
        <v>0</v>
      </c>
      <c r="FM12" s="283">
        <f>IF(AND(Stamoplysninger!$B$26="Der er indgået lokalaftale omkring weekendtillæg(Kræver aftale med TR/FSL). Weekendtimerne afspadseres.",I12="X"),K12,0)</f>
        <v>0</v>
      </c>
      <c r="FN12" s="674">
        <f>IF(AND(AND(Stamoplysninger!$B$26="Der er indgået lokalaftale omkring weekendtillæg(Kræver aftale med TR/FSL). Weekendtimerne afspadseres.",I12="X",C12="ikke relevant")),K12,0)</f>
        <v>0</v>
      </c>
      <c r="FO12" s="283">
        <f>IF(AND(Stamoplysninger!$B$26="Weekendtimer og weekendtillæg udbetales.",I12="X"),K12,0)</f>
        <v>0</v>
      </c>
      <c r="FP12" s="251">
        <f>IF(AND(Stamoplysninger!$B$26="Weekendtimer og weekendtillæg udbetales.",AA12="X"),(AC12+AN12)/2,0)</f>
        <v>0</v>
      </c>
      <c r="FQ12" s="674">
        <f>IF(AND(AND(Stamoplysninger!$B$26="Weekendtimer og weekendtillæg udbetales.",I12="X",C12="ikke relevant")),K12,0)</f>
        <v>0</v>
      </c>
      <c r="FR12" s="688">
        <f>IF(AND(AND(Stamoplysninger!$B$26="Weekendtimer og weekendtillæg udbetales.",AA12="X",U12="ikke relevant")),(AC12+AN12)/2,0)</f>
        <v>0</v>
      </c>
      <c r="FS12" s="283">
        <f t="shared" si="13"/>
        <v>0</v>
      </c>
      <c r="FT12" s="658">
        <f t="shared" si="14"/>
        <v>0</v>
      </c>
      <c r="FU12">
        <f t="shared" si="15"/>
        <v>0</v>
      </c>
      <c r="FV12" s="283">
        <f>IF(AND(Stamoplysninger!$B$26="Der er indgået lokalaftale omkring weekendtimer.(Kræver aftale med TR/FSL) Weekendtillæg afspadseres.",I12="X"),K12,0)</f>
        <v>0</v>
      </c>
      <c r="FW12" s="674">
        <f>IF(AND(AND(Stamoplysninger!$B$26="Der er indgået lokalaftale omkring weekendtimer.(Kræver aftale med TR/FSL) Weekendtillæg afspadseres.",I12="X",C12="ikke relevant")),K12,0)</f>
        <v>0</v>
      </c>
      <c r="FX12" s="283">
        <f>IF(AND(Stamoplysninger!$B$26="Der er indgået lokalaftale omkring weekendtimer(Kræver aftale med TR/FSL). Weekendtillæg udbetales.",I12="X"),K12,0)</f>
        <v>0</v>
      </c>
      <c r="FY12" s="674">
        <f>IF(AND(AND(Stamoplysninger!$B$26="Der er indgået lokalaftale omkring weekendtimer(Kræver aftale med TR/FSL). Weekendtillæg udbetales.",I12="X",C12="ikke relevant")),K12,0)</f>
        <v>0</v>
      </c>
      <c r="FZ12" s="283">
        <f>IF(AND(Stamoplysninger!$B$26="Der er indgået lokalaftale omkring weekendtillæg(Kræver aftale med TR/FSL). Weekendtimerne udbetales.",I12="X"),K12,0)</f>
        <v>0</v>
      </c>
      <c r="GA12" s="674">
        <f>IF(AND(AND(Stamoplysninger!$B$26="Der er indgået lokalaftale omkring weekendtillæg(Kræver aftale med TR/FSL). Weekendtimerne udbetales.",I12="X",C12="ikke relevant")),K12,0)</f>
        <v>0</v>
      </c>
      <c r="GB12" s="283">
        <f>IF(AND(Stamoplysninger!$B$26="Der er indgået lokalaftale omkring weekendtimer og weekendtillæg.(Kræver aftale med TR/FSL).",I12="X"),K12,0)</f>
        <v>0</v>
      </c>
      <c r="GC12" s="674">
        <f>IF(AND(AND(Stamoplysninger!$B$26="Der er indgået lokalaftale omkring weekendtimer og weekendtillæg.(Kræver aftale med TR/FSL).",I12="X",C12="ikke relevant")),K12,0)</f>
        <v>0</v>
      </c>
    </row>
    <row r="13" spans="1:185">
      <c r="A13" s="245">
        <f t="shared" si="16"/>
        <v>5</v>
      </c>
      <c r="B13" s="128" t="str">
        <f t="shared" si="0"/>
        <v>on</v>
      </c>
      <c r="C13" s="129" t="s">
        <v>207</v>
      </c>
      <c r="D13" s="130" t="str">
        <f t="shared" si="1"/>
        <v/>
      </c>
      <c r="E13" s="917"/>
      <c r="F13" s="918"/>
      <c r="G13" s="919"/>
      <c r="H13" s="298"/>
      <c r="I13" s="527"/>
      <c r="J13" s="413"/>
      <c r="K13" s="380"/>
      <c r="L13" s="380"/>
      <c r="M13" s="380"/>
      <c r="N13" s="318">
        <f t="shared" si="17"/>
        <v>7.75</v>
      </c>
      <c r="O13" s="318">
        <f t="shared" si="18"/>
        <v>4.25</v>
      </c>
      <c r="P13" s="318">
        <f>IF(Stamoplysninger!$H$29="JA",Februar!DG13,CX13)</f>
        <v>1</v>
      </c>
      <c r="Q13" s="318">
        <f t="shared" si="19"/>
        <v>2.5</v>
      </c>
      <c r="R13" s="319"/>
      <c r="S13" s="324"/>
      <c r="T13" s="325"/>
      <c r="U13" s="325"/>
      <c r="V13" s="435"/>
      <c r="W13" s="435"/>
      <c r="X13" s="644"/>
      <c r="Y13">
        <f t="shared" si="20"/>
        <v>0</v>
      </c>
      <c r="Z13" s="437">
        <f t="shared" si="21"/>
        <v>0</v>
      </c>
      <c r="AA13" s="1">
        <f t="shared" si="22"/>
        <v>0</v>
      </c>
      <c r="AB13" s="1">
        <f t="shared" si="2"/>
        <v>0</v>
      </c>
      <c r="AC13" s="1">
        <f t="shared" si="3"/>
        <v>0</v>
      </c>
      <c r="AD13" s="1">
        <f t="shared" si="4"/>
        <v>0</v>
      </c>
      <c r="AE13" s="1">
        <f t="shared" si="5"/>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f>IF(AND(C13="Skema 2",B13="on"),Arbejdstidsoversigt!$E$83,"")</f>
        <v>7.75</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7.75</v>
      </c>
      <c r="BB13" s="229">
        <f t="shared" si="6"/>
        <v>0</v>
      </c>
      <c r="BC13" s="1">
        <f t="shared" si="24"/>
        <v>0</v>
      </c>
      <c r="BD13" s="1">
        <f t="shared" si="7"/>
        <v>0</v>
      </c>
      <c r="BE13" s="1">
        <f t="shared" si="8"/>
        <v>0</v>
      </c>
      <c r="BF13" s="1">
        <f t="shared" si="9"/>
        <v>0</v>
      </c>
      <c r="BG13" s="210" t="str">
        <f>IF(AND(C13="Skema 1",B13="ma"),Skemaoplysninger!$E$30,"")</f>
        <v/>
      </c>
      <c r="BH13" s="210" t="str">
        <f>IF(AND(C13="Skema 1",B13="ti"),Skemaoplysninger!$G$30,"")</f>
        <v/>
      </c>
      <c r="BI13" s="210" t="str">
        <f>IF(AND(C13="Skema 1",B13="on"),Skemaoplysninger!$I$30,"")</f>
        <v/>
      </c>
      <c r="BJ13" s="210" t="str">
        <f>IF(AND(C13="Skema 1",B13="to"),Skemaoplysninger!$K$30,"")</f>
        <v/>
      </c>
      <c r="BK13" s="210" t="str">
        <f>IF(AND(C13="Skema 1",B13="fr"),Skemaoplysninger!$M$30,"")</f>
        <v/>
      </c>
      <c r="BL13" s="210" t="str">
        <f>IF(AND(C13="Skema 2",B13="ma"),Skemaoplysninger!$S$30,"")</f>
        <v/>
      </c>
      <c r="BM13" s="210" t="str">
        <f>IF(AND(C13="Skema 2",B13="ti"),Skemaoplysninger!$U$30,"")</f>
        <v/>
      </c>
      <c r="BN13" s="210">
        <f>IF(AND(C13="Skema 2",B13="on"),Skemaoplysninger!$W$30,"")</f>
        <v>0.17708333333333331</v>
      </c>
      <c r="BO13" s="210" t="str">
        <f>IF(AND(C13="Skema 2",B13="to"),Skemaoplysninger!$Y$30,"")</f>
        <v/>
      </c>
      <c r="BP13" s="210" t="str">
        <f>IF(AND(C13="Skema 2",B13="fr"),Skemaoplysninger!$AA$30,"")</f>
        <v/>
      </c>
      <c r="BQ13" s="210" t="str">
        <f>IF(AND(C13="Skema 3",B13="ma"),Skemaoplysninger!$AG$30,"")</f>
        <v/>
      </c>
      <c r="BR13" s="210" t="str">
        <f>IF(AND(C13="Skema 3",B13="ti"),Skemaoplysninger!$AI$30,"")</f>
        <v/>
      </c>
      <c r="BS13" s="210" t="str">
        <f>IF(AND(C13="Skema 3",B13="on"),Skemaoplysninger!$AK$30,"")</f>
        <v/>
      </c>
      <c r="BT13" s="210" t="str">
        <f>IF(AND(C13="Skema 3",B13="to"),Skemaoplysninger!$AM$30,"")</f>
        <v/>
      </c>
      <c r="BU13" s="210" t="str">
        <f>IF(AND(C13="Skema 3",B13="fr"),Skemaoplysninger!$AO$30,"")</f>
        <v/>
      </c>
      <c r="BV13" s="210" t="str">
        <f>IF(AND(C13="Skema 4",B13="ma"),Skemaoplysninger!$AU$30,"")</f>
        <v/>
      </c>
      <c r="BW13" s="210" t="str">
        <f>IF(AND(C13="Skema 4",B13="ti"),Skemaoplysninger!$AW$30,"")</f>
        <v/>
      </c>
      <c r="BX13" s="210" t="str">
        <f>IF(AND(C13="Skema 4",B13="on"),Skemaoplysninger!$AY$30,"")</f>
        <v/>
      </c>
      <c r="BY13" s="210" t="str">
        <f>IF(AND(C13="Skema 4",B13="to"),Skemaoplysninger!$BA$30,"")</f>
        <v/>
      </c>
      <c r="BZ13" s="210" t="str">
        <f>IF(AND(C13="Skema 4",B13="fr"),Skemaoplysninger!$BC$30,"")</f>
        <v/>
      </c>
      <c r="CA13" s="1">
        <f t="shared" si="25"/>
        <v>4.25</v>
      </c>
      <c r="CB13" s="1">
        <f t="shared" si="10"/>
        <v>0</v>
      </c>
      <c r="CC13" s="1">
        <f t="shared" si="11"/>
        <v>0</v>
      </c>
      <c r="CD13" s="210" t="str">
        <f>IF(AND(C13="Skema 1",B13="ma"),Skemaoplysninger!$E$31,"")</f>
        <v/>
      </c>
      <c r="CE13" s="210" t="str">
        <f>IF(AND(C13="Skema 1",B13="ti"),Skemaoplysninger!$G$31,"")</f>
        <v/>
      </c>
      <c r="CF13" s="210" t="str">
        <f>IF(AND(C13="Skema 1",B13="on"),Skemaoplysninger!$I$31,"")</f>
        <v/>
      </c>
      <c r="CG13" s="210" t="str">
        <f>IF(AND(C13="Skema 1",B13="to"),Skemaoplysninger!$K$31,"")</f>
        <v/>
      </c>
      <c r="CH13" s="210" t="str">
        <f>IF(AND(C13="Skema 1",B13="fr"),Skemaoplysninger!$M$31,"")</f>
        <v/>
      </c>
      <c r="CI13" s="210" t="str">
        <f>IF(AND(C13="Skema 2",B13="ma"),Skemaoplysninger!$S$31,"")</f>
        <v/>
      </c>
      <c r="CJ13" s="210" t="str">
        <f>IF(AND(C13="Skema 2",B13="ti"),Skemaoplysninger!$U$31,"")</f>
        <v/>
      </c>
      <c r="CK13" s="210">
        <f>IF(AND(C13="Skema 2",B13="on"),Skemaoplysninger!$W$31,"")</f>
        <v>4.1666666666666664E-2</v>
      </c>
      <c r="CL13" s="210" t="str">
        <f>IF(AND(C13="Skema 2",B13="to"),Skemaoplysninger!$Y$31,"")</f>
        <v/>
      </c>
      <c r="CM13" s="210" t="str">
        <f>IF(AND(C13="Skema 2",B13="fr"),Skemaoplysninger!$AA$31,"")</f>
        <v/>
      </c>
      <c r="CN13" s="210" t="str">
        <f>IF(AND(C13="Skema 3",B13="ma"),Skemaoplysninger!$AG$31,"")</f>
        <v/>
      </c>
      <c r="CO13" s="210" t="str">
        <f>IF(AND(C13="Skema 3",B13="ti"),Skemaoplysninger!$AI$31,"")</f>
        <v/>
      </c>
      <c r="CP13" s="210" t="str">
        <f>IF(AND(C13="Skema 3",B13="on"),Skemaoplysninger!$AK$31,"")</f>
        <v/>
      </c>
      <c r="CQ13" s="210" t="str">
        <f>IF(AND(C13="Skema 3",B13="to"),Skemaoplysninger!$AM$31,"")</f>
        <v/>
      </c>
      <c r="CR13" s="210" t="str">
        <f>IF(AND(C13="Skema 3",B13="fr"),Skemaoplysninger!$AO$31,"")</f>
        <v/>
      </c>
      <c r="CS13" s="210" t="str">
        <f>IF(AND(C13="Skema 4",B13="ma"),Skemaoplysninger!$AU$31,"")</f>
        <v/>
      </c>
      <c r="CT13" s="210" t="str">
        <f>IF(AND(C13="Skema 4",B13="ti"),Skemaoplysninger!$AW$31,"")</f>
        <v/>
      </c>
      <c r="CU13" s="210" t="str">
        <f>IF(AND(C13="Skema 4",B13="on"),Skemaoplysninger!$AY$31,"")</f>
        <v/>
      </c>
      <c r="CV13" s="210" t="str">
        <f>IF(AND(C13="Skema 4",B13="to"),Skemaoplysninger!$BA$31,"")</f>
        <v/>
      </c>
      <c r="CW13" s="210" t="str">
        <f>IF(AND(C13="Skema 4",B13="fr"),Skemaoplysninger!$BC$31,"")</f>
        <v/>
      </c>
      <c r="CX13" s="249">
        <f>IF(Stamoplysninger!$H$29="NEJ",SUM(CD13:CW13)*24+CB13+CC13,0)</f>
        <v>1</v>
      </c>
      <c r="CY13" s="249">
        <f>IF(C13="Skema 1",Stamoplysninger!$H$30/200,0)</f>
        <v>0</v>
      </c>
      <c r="CZ13" s="249">
        <f>IF(C13="Skema 2",Stamoplysninger!$H$30/200,0)</f>
        <v>0</v>
      </c>
      <c r="DA13" s="249">
        <f>IF(C13="Skema 3",Stamoplysninger!$H$30/200,0)</f>
        <v>0</v>
      </c>
      <c r="DB13" s="249">
        <f>IF(C13="Skema 4",Stamoplysninger!$H$30/200,0)</f>
        <v>0</v>
      </c>
      <c r="DC13" s="249">
        <f>IF(C13="fagdag",Stamoplysninger!$H$30/200,0)</f>
        <v>0</v>
      </c>
      <c r="DD13" s="249">
        <f>IF(C13="emnedag",Stamoplysninger!$H$30/200,0)</f>
        <v>0</v>
      </c>
      <c r="DE13" s="249">
        <f>IF(C13="lejrskole",Stamoplysninger!$H$30/200,0)</f>
        <v>0</v>
      </c>
      <c r="DF13" s="249">
        <f>IF(C13="ekskursion",Stamoplysninger!$H$30/200,0)</f>
        <v>0</v>
      </c>
      <c r="DG13" s="249">
        <f t="shared" si="26"/>
        <v>0</v>
      </c>
      <c r="DH13" t="str">
        <f t="shared" si="27"/>
        <v/>
      </c>
      <c r="DI13">
        <f t="shared" si="28"/>
        <v>0</v>
      </c>
      <c r="DJ13">
        <f t="shared" si="29"/>
        <v>0</v>
      </c>
      <c r="DK13" t="str">
        <f t="shared" si="12"/>
        <v/>
      </c>
      <c r="DL13" t="str">
        <f t="shared" si="12"/>
        <v/>
      </c>
      <c r="DM13" t="str">
        <f t="shared" si="12"/>
        <v/>
      </c>
      <c r="DN13" t="str">
        <f t="shared" si="30"/>
        <v/>
      </c>
      <c r="DO13" s="652">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71">
        <f>IF(AND(Stamoplysninger!$B$22="Ulempetillæg udbetales med 25% af nettotimelønnen.",C13="ikke relevant"),(R13)/4,0)</f>
        <v>0</v>
      </c>
      <c r="DT13" s="671">
        <f>IF(AND(AND(Stamoplysninger!$B$22="Ulempetillæg udbetales med 25% af nettotimelønnen.",I13="X",C13="Ikke relevant")),K13/4,0)</f>
        <v>0</v>
      </c>
      <c r="DU13" s="671">
        <f>IF(AND(AND(Stamoplysninger!$B$22="Ulempetillæg udbetales med 25% af nettotimelønnen.",C13="ikke relevant",U13="X")),(X13/4),0)</f>
        <v>0</v>
      </c>
      <c r="DV13" s="672">
        <f>IF(AND(AND(AND(Stamoplysninger!$B$22="Ulempetillæg udbetales med 25% af nettotimelønnen.",I13="X",C13="Ikke relevant",S13="X"))),V13/4,0)</f>
        <v>0</v>
      </c>
      <c r="DW13" s="652"/>
      <c r="DZ13" s="671"/>
      <c r="EA13" s="671"/>
      <c r="EB13" s="672"/>
      <c r="EC13" s="652">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71">
        <f>IF(AND(Stamoplysninger!$B$22="Ulempetillæg afspadseres med 25%(Kræver en aftale imellem ledelsen og den ansatte)",C13="ikke relevant"),(R13)/4,0)</f>
        <v>0</v>
      </c>
      <c r="EH13" s="671">
        <f>IF(AND(AND(Stamoplysninger!$B$22="Ulempetillæg afspadseres med 25%(Kræver en aftale imellem ledelsen og den ansatte)",I13="X",C13="Ikke relevant")),K13/4,0)</f>
        <v>0</v>
      </c>
      <c r="EI13" s="671">
        <f>IF(AND(AND(Stamoplysninger!$B$22="Ulempetillæg afspadseres med 25%(Kræver en aftale imellem ledelsen og den ansatte)",U13="X",C13="Ikke relevant")),X13/4,0)</f>
        <v>0</v>
      </c>
      <c r="EJ13" s="671">
        <f>IF(AND(AND(AND(Stamoplysninger!$B$22="Ulempetillæg afspadseres med 25%(Kræver en aftale imellem ledelsen og den ansatte)",I13="X",C13="Ikke relevant",S13="X"))),V13/4,0)</f>
        <v>0</v>
      </c>
      <c r="EK13" s="283">
        <f>IF(AND(Stamoplysninger!$B$26="Weekendtimer og weekendtillæg afspadseres.",I13="X"),K13*1.5,0)</f>
        <v>0</v>
      </c>
      <c r="EL13" s="251">
        <f>IF(AND(AND(Stamoplysninger!$B$26="Weekendtimer og weekendtillæg afspadseres.",I13="X",S13="X")),V13*1.5,0)</f>
        <v>0</v>
      </c>
      <c r="EM13" s="674">
        <f>IF(AND(AND(Stamoplysninger!$B$26="Weekendtimer og weekendtillæg afspadseres.",I13="X",C13="ikke relevant")),K13*1.5,0)</f>
        <v>0</v>
      </c>
      <c r="EN13" s="675">
        <f>IF(AND(AND(AND(Stamoplysninger!$B$26="Weekendtimer og weekendtillæg afspadseres.",I13="X",C13="ikke relevant",S13="X"))),(V13*1.5),0)</f>
        <v>0</v>
      </c>
      <c r="EO13" s="283">
        <f>IF(AND(Stamoplysninger!$B$26="Weekendtimer og weekendtillæg udbetales.",I13="X"),K13*1.5,0)</f>
        <v>0</v>
      </c>
      <c r="EP13" s="251">
        <f>IF(AND(AND(Stamoplysninger!$B$26="Weekendtimer og weekendtillæg udbetales.",I13="X",S13="X")),V13*1.5,0)</f>
        <v>0</v>
      </c>
      <c r="EQ13" s="674">
        <f>IF(AND(AND(Stamoplysninger!$B$26="Weekendtimer og weekendtillæg udbetales.",I13="X",C13="ikke relevant")),K13*1.5,0)</f>
        <v>0</v>
      </c>
      <c r="ER13" s="675">
        <f>IF(AND(AND(AND(Stamoplysninger!$B$26="Weekendtimer og weekendtillæg udbetales.",I13="X",C13="ikke relevant",S13="X"))),(V13*1.5),0)</f>
        <v>0</v>
      </c>
      <c r="ES13" s="283">
        <f>IF(AND(Stamoplysninger!$B$26="Der er indgået lokalaftale omkring weekendtimer.(Kræver aftale med TR/FSL) Weekendtillæg afspadseres.",I13="X"),K13*0.5,0)</f>
        <v>0</v>
      </c>
      <c r="ET13" s="251">
        <f>IF(AND(AND(Stamoplysninger!$B$26="Der er indgået lokalaftale omkring weekendtimer.(Kræver aftale med TR/FSL) Weekendtillæg afspadseres.",I13="X",S13="X")),V13*0.5,0)</f>
        <v>0</v>
      </c>
      <c r="EU13" s="674">
        <f>IF(AND(AND(Stamoplysninger!$B$26="Der er indgået lokalaftale omkring weekendtimer.(Kræver aftale med TR/FSL) Weekendtillæg afspadseres.",I13="X",C13="ikke relevant")),K13*0.5,0)</f>
        <v>0</v>
      </c>
      <c r="EV13" s="675">
        <f>IF(AND(AND(AND(Stamoplysninger!$B$26="Der er indgået lokalaftale omkring weekendtimer.(Kræver aftale med TR/FSL) Weekendtillæg afspadseres.",I13="X",C13="ikke relevant",S13="X"))),(V13*0.5),0)</f>
        <v>0</v>
      </c>
      <c r="EW13" s="283">
        <f>IF(AND(Stamoplysninger!$B$26="Der er indgået lokalaftale omkring weekendtimer(Kræver aftale med TR/FSL). Weekendtillæg udbetales.",I13="X"),K13*0.5,0)</f>
        <v>0</v>
      </c>
      <c r="EX13" s="251">
        <f>IF(AND(AND(Stamoplysninger!$B$26="Der er indgået lokalaftale omkring weekendtimer(Kræver aftale med TR/FSL). Weekendtillæg udbetales.",I13="X",S13="X")),V13*0.5,0)</f>
        <v>0</v>
      </c>
      <c r="EY13" s="674">
        <f>IF(AND(AND(Stamoplysninger!$B$26="Der er indgået lokalaftale omkring weekendtimer(Kræver aftale med TR/FSL). Weekendtillæg udbetales.",I13="X",C13="ikke relevant")),K13*0.5,0)</f>
        <v>0</v>
      </c>
      <c r="EZ13" s="675">
        <f>IF(AND(AND(AND(Stamoplysninger!$B$26="Der er indgået lokalaftale omkring weekendtimer(Kræver aftale med TR/FSL). Weekendtillæg udbetales.",I13="X",C13="ikke relevant",S13="X"))),(V13*0.5),0)</f>
        <v>0</v>
      </c>
      <c r="FA13" s="283">
        <f>IF(AND(Stamoplysninger!$B$26="Der er indgået lokalaftale omkring weekendtillæg(Kræver aftale med TR/FSL). Weekendtimerne afspadseres.",I13="X"),K13,0)</f>
        <v>0</v>
      </c>
      <c r="FB13" s="251">
        <f>IF(AND(AND(Stamoplysninger!$B$26="Der er indgået lokalaftale omkring weekendtillæg(Kræver aftale med TR/FSL). Weekendtimerne afspadseres.",I13="X",S13="X")),V13,0)</f>
        <v>0</v>
      </c>
      <c r="FC13" s="674">
        <f>IF(AND(AND(Stamoplysninger!$B$26="Der er indgået lokalaftale omkring weekendtillæg(Kræver aftale med TR/FSL). Weekendtimerne afspadseres..",I13="X",C13="ikke relevant")),K13,0)</f>
        <v>0</v>
      </c>
      <c r="FD13" s="675">
        <f>IF(AND(AND(AND(Stamoplysninger!$B$26="Der er indgået lokalaftale omkring weekendtillæg(Kræver aftale med TR/FSL). Weekendtimerne afspadseres.",I13="X",C13="ikke relevant",S13="X"))),(V13),0)</f>
        <v>0</v>
      </c>
      <c r="FE13" s="283">
        <f>IF(AND(Stamoplysninger!$B$26="Der er indgået lokalaftale omkring weekendtillæg(Kræver aftale med TR/FSL). Weekendtimerne udbetales.",I13="X"),K13,0)</f>
        <v>0</v>
      </c>
      <c r="FF13" s="251">
        <f>IF(AND(AND(Stamoplysninger!$B$26="Der er indgået lokalaftale omkring weekendtillæg(Kræver aftale med TR/FSL). Weekendtimerne udbetales.",I13="X",S13="X")),V13,0)</f>
        <v>0</v>
      </c>
      <c r="FG13" s="674">
        <f>IF(AND(AND(Stamoplysninger!$B$26="Der er indgået lokalaftale omkring weekendtillæg(Kræver aftale med TR/FSL). Weekendtimerne udbetales.",I13="X",C13="ikke relevant")),K13,0)</f>
        <v>0</v>
      </c>
      <c r="FH13" s="675">
        <f>IF(AND(AND(AND(Stamoplysninger!$B$26="Der er indgået lokalaftale omkring weekendtillæg(Kræver aftale med TR/FSL). Weekendtimerne udbetales.",I13="X",C13="ikke relevant",S13="X"))),(V13),0)</f>
        <v>0</v>
      </c>
      <c r="FI13" s="283">
        <f>IF(AND(Stamoplysninger!$B$26="Weekendtimer og weekendtillæg afspadseres.",I13="X"),K13,0)</f>
        <v>0</v>
      </c>
      <c r="FJ13" s="251">
        <f>IF(AND(Stamoplysninger!$B$26="Weekendtimer og weekendtillæg afspadseres.",Y13="X"),(AA13+AL13)/2,0)</f>
        <v>0</v>
      </c>
      <c r="FK13" s="674">
        <f>IF(AND(AND(Stamoplysninger!$B$26="Weekendtimer og weekendtillæg afspadseres.",I13="X",C13="ikke relevant")),K13,0)</f>
        <v>0</v>
      </c>
      <c r="FL13" s="675">
        <f>IF(AND(AND(Stamoplysninger!$B$26="Weekendtimer og weekendtillæg afspadseres.",Y13="X",S13="ikke relevant")),(AA13+AL13)/2,0)</f>
        <v>0</v>
      </c>
      <c r="FM13" s="283">
        <f>IF(AND(Stamoplysninger!$B$26="Der er indgået lokalaftale omkring weekendtillæg(Kræver aftale med TR/FSL). Weekendtimerne afspadseres.",I13="X"),K13,0)</f>
        <v>0</v>
      </c>
      <c r="FN13" s="674">
        <f>IF(AND(AND(Stamoplysninger!$B$26="Der er indgået lokalaftale omkring weekendtillæg(Kræver aftale med TR/FSL). Weekendtimerne afspadseres.",I13="X",C13="ikke relevant")),K13,0)</f>
        <v>0</v>
      </c>
      <c r="FO13" s="283">
        <f>IF(AND(Stamoplysninger!$B$26="Weekendtimer og weekendtillæg udbetales.",I13="X"),K13,0)</f>
        <v>0</v>
      </c>
      <c r="FP13" s="251">
        <f>IF(AND(Stamoplysninger!$B$26="Weekendtimer og weekendtillæg udbetales.",AA13="X"),(AC13+AN13)/2,0)</f>
        <v>0</v>
      </c>
      <c r="FQ13" s="674">
        <f>IF(AND(AND(Stamoplysninger!$B$26="Weekendtimer og weekendtillæg udbetales.",I13="X",C13="ikke relevant")),K13,0)</f>
        <v>0</v>
      </c>
      <c r="FR13" s="688">
        <f>IF(AND(AND(Stamoplysninger!$B$26="Weekendtimer og weekendtillæg udbetales.",AA13="X",U13="ikke relevant")),(AC13+AN13)/2,0)</f>
        <v>0</v>
      </c>
      <c r="FS13" s="283">
        <f t="shared" si="13"/>
        <v>0</v>
      </c>
      <c r="FT13" s="658">
        <f t="shared" si="14"/>
        <v>0</v>
      </c>
      <c r="FU13">
        <f t="shared" si="15"/>
        <v>0</v>
      </c>
      <c r="FV13" s="283">
        <f>IF(AND(Stamoplysninger!$B$26="Der er indgået lokalaftale omkring weekendtimer.(Kræver aftale med TR/FSL) Weekendtillæg afspadseres.",I13="X"),K13,0)</f>
        <v>0</v>
      </c>
      <c r="FW13" s="674">
        <f>IF(AND(AND(Stamoplysninger!$B$26="Der er indgået lokalaftale omkring weekendtimer.(Kræver aftale med TR/FSL) Weekendtillæg afspadseres.",I13="X",C13="ikke relevant")),K13,0)</f>
        <v>0</v>
      </c>
      <c r="FX13" s="283">
        <f>IF(AND(Stamoplysninger!$B$26="Der er indgået lokalaftale omkring weekendtimer(Kræver aftale med TR/FSL). Weekendtillæg udbetales.",I13="X"),K13,0)</f>
        <v>0</v>
      </c>
      <c r="FY13" s="674">
        <f>IF(AND(AND(Stamoplysninger!$B$26="Der er indgået lokalaftale omkring weekendtimer(Kræver aftale med TR/FSL). Weekendtillæg udbetales.",I13="X",C13="ikke relevant")),K13,0)</f>
        <v>0</v>
      </c>
      <c r="FZ13" s="283">
        <f>IF(AND(Stamoplysninger!$B$26="Der er indgået lokalaftale omkring weekendtillæg(Kræver aftale med TR/FSL). Weekendtimerne udbetales.",I13="X"),K13,0)</f>
        <v>0</v>
      </c>
      <c r="GA13" s="674">
        <f>IF(AND(AND(Stamoplysninger!$B$26="Der er indgået lokalaftale omkring weekendtillæg(Kræver aftale med TR/FSL). Weekendtimerne udbetales.",I13="X",C13="ikke relevant")),K13,0)</f>
        <v>0</v>
      </c>
      <c r="GB13" s="283">
        <f>IF(AND(Stamoplysninger!$B$26="Der er indgået lokalaftale omkring weekendtimer og weekendtillæg.(Kræver aftale med TR/FSL).",I13="X"),K13,0)</f>
        <v>0</v>
      </c>
      <c r="GC13" s="674">
        <f>IF(AND(AND(Stamoplysninger!$B$26="Der er indgået lokalaftale omkring weekendtimer og weekendtillæg.(Kræver aftale med TR/FSL).",I13="X",C13="ikke relevant")),K13,0)</f>
        <v>0</v>
      </c>
    </row>
    <row r="14" spans="1:185" ht="16" customHeight="1">
      <c r="A14" s="245">
        <f t="shared" si="16"/>
        <v>6</v>
      </c>
      <c r="B14" s="128" t="str">
        <f t="shared" si="0"/>
        <v>to</v>
      </c>
      <c r="C14" s="129" t="s">
        <v>207</v>
      </c>
      <c r="D14" s="130" t="str">
        <f t="shared" si="1"/>
        <v/>
      </c>
      <c r="E14" s="917"/>
      <c r="F14" s="918"/>
      <c r="G14" s="919"/>
      <c r="H14" s="298"/>
      <c r="I14" s="527"/>
      <c r="J14" s="413"/>
      <c r="K14" s="380"/>
      <c r="L14" s="380"/>
      <c r="M14" s="380"/>
      <c r="N14" s="318">
        <f t="shared" si="17"/>
        <v>7.75</v>
      </c>
      <c r="O14" s="318">
        <f t="shared" si="18"/>
        <v>3</v>
      </c>
      <c r="P14" s="318">
        <f>IF(Stamoplysninger!$H$29="JA",Februar!DG14,CX14)</f>
        <v>0.83333333333333337</v>
      </c>
      <c r="Q14" s="318">
        <f t="shared" si="19"/>
        <v>3.9166666666666665</v>
      </c>
      <c r="R14" s="319"/>
      <c r="S14" s="324"/>
      <c r="T14" s="325"/>
      <c r="U14" s="325"/>
      <c r="V14" s="435"/>
      <c r="W14" s="435"/>
      <c r="X14" s="644"/>
      <c r="Y14">
        <f t="shared" si="20"/>
        <v>0</v>
      </c>
      <c r="Z14" s="437">
        <f t="shared" si="21"/>
        <v>0</v>
      </c>
      <c r="AA14" s="1">
        <f t="shared" si="22"/>
        <v>0</v>
      </c>
      <c r="AB14" s="1">
        <f t="shared" si="2"/>
        <v>0</v>
      </c>
      <c r="AC14" s="1">
        <f t="shared" si="3"/>
        <v>0</v>
      </c>
      <c r="AD14" s="1">
        <f t="shared" si="4"/>
        <v>0</v>
      </c>
      <c r="AE14" s="1">
        <f t="shared" si="5"/>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f>IF(AND(C14="Skema 2",B14="to"),Arbejdstidsoversigt!$E$84,"")</f>
        <v>7.75</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7.75</v>
      </c>
      <c r="BB14" s="229">
        <f t="shared" si="6"/>
        <v>0</v>
      </c>
      <c r="BC14" s="1">
        <f t="shared" si="24"/>
        <v>0</v>
      </c>
      <c r="BD14" s="1">
        <f t="shared" si="7"/>
        <v>0</v>
      </c>
      <c r="BE14" s="1">
        <f t="shared" si="8"/>
        <v>0</v>
      </c>
      <c r="BF14" s="1">
        <f t="shared" si="9"/>
        <v>0</v>
      </c>
      <c r="BG14" s="210" t="str">
        <f>IF(AND(C14="Skema 1",B14="ma"),Skemaoplysninger!$E$30,"")</f>
        <v/>
      </c>
      <c r="BH14" s="210" t="str">
        <f>IF(AND(C14="Skema 1",B14="ti"),Skemaoplysninger!$G$30,"")</f>
        <v/>
      </c>
      <c r="BI14" s="210" t="str">
        <f>IF(AND(C14="Skema 1",B14="on"),Skemaoplysninger!$I$30,"")</f>
        <v/>
      </c>
      <c r="BJ14" s="210" t="str">
        <f>IF(AND(C14="Skema 1",B14="to"),Skemaoplysninger!$K$30,"")</f>
        <v/>
      </c>
      <c r="BK14" s="210" t="str">
        <f>IF(AND(C14="Skema 1",B14="fr"),Skemaoplysninger!$M$30,"")</f>
        <v/>
      </c>
      <c r="BL14" s="210" t="str">
        <f>IF(AND(C14="Skema 2",B14="ma"),Skemaoplysninger!$S$30,"")</f>
        <v/>
      </c>
      <c r="BM14" s="210" t="str">
        <f>IF(AND(C14="Skema 2",B14="ti"),Skemaoplysninger!$U$30,"")</f>
        <v/>
      </c>
      <c r="BN14" s="210" t="str">
        <f>IF(AND(C14="Skema 2",B14="on"),Skemaoplysninger!$W$30,"")</f>
        <v/>
      </c>
      <c r="BO14" s="210">
        <f>IF(AND(C14="Skema 2",B14="to"),Skemaoplysninger!$Y$30,"")</f>
        <v>0.125</v>
      </c>
      <c r="BP14" s="210" t="str">
        <f>IF(AND(C14="Skema 2",B14="fr"),Skemaoplysninger!$AA$30,"")</f>
        <v/>
      </c>
      <c r="BQ14" s="210" t="str">
        <f>IF(AND(C14="Skema 3",B14="ma"),Skemaoplysninger!$AG$30,"")</f>
        <v/>
      </c>
      <c r="BR14" s="210" t="str">
        <f>IF(AND(C14="Skema 3",B14="ti"),Skemaoplysninger!$AI$30,"")</f>
        <v/>
      </c>
      <c r="BS14" s="210" t="str">
        <f>IF(AND(C14="Skema 3",B14="on"),Skemaoplysninger!$AK$30,"")</f>
        <v/>
      </c>
      <c r="BT14" s="210" t="str">
        <f>IF(AND(C14="Skema 3",B14="to"),Skemaoplysninger!$AM$30,"")</f>
        <v/>
      </c>
      <c r="BU14" s="210" t="str">
        <f>IF(AND(C14="Skema 3",B14="fr"),Skemaoplysninger!$AO$30,"")</f>
        <v/>
      </c>
      <c r="BV14" s="210" t="str">
        <f>IF(AND(C14="Skema 4",B14="ma"),Skemaoplysninger!$AU$30,"")</f>
        <v/>
      </c>
      <c r="BW14" s="210" t="str">
        <f>IF(AND(C14="Skema 4",B14="ti"),Skemaoplysninger!$AW$30,"")</f>
        <v/>
      </c>
      <c r="BX14" s="210" t="str">
        <f>IF(AND(C14="Skema 4",B14="on"),Skemaoplysninger!$AY$30,"")</f>
        <v/>
      </c>
      <c r="BY14" s="210" t="str">
        <f>IF(AND(C14="Skema 4",B14="to"),Skemaoplysninger!$BA$30,"")</f>
        <v/>
      </c>
      <c r="BZ14" s="210" t="str">
        <f>IF(AND(C14="Skema 4",B14="fr"),Skemaoplysninger!$BC$30,"")</f>
        <v/>
      </c>
      <c r="CA14" s="1">
        <f t="shared" si="25"/>
        <v>3</v>
      </c>
      <c r="CB14" s="1">
        <f t="shared" si="10"/>
        <v>0</v>
      </c>
      <c r="CC14" s="1">
        <f t="shared" si="11"/>
        <v>0</v>
      </c>
      <c r="CD14" s="210" t="str">
        <f>IF(AND(C14="Skema 1",B14="ma"),Skemaoplysninger!$E$31,"")</f>
        <v/>
      </c>
      <c r="CE14" s="210" t="str">
        <f>IF(AND(C14="Skema 1",B14="ti"),Skemaoplysninger!$G$31,"")</f>
        <v/>
      </c>
      <c r="CF14" s="210" t="str">
        <f>IF(AND(C14="Skema 1",B14="on"),Skemaoplysninger!$I$31,"")</f>
        <v/>
      </c>
      <c r="CG14" s="210" t="str">
        <f>IF(AND(C14="Skema 1",B14="to"),Skemaoplysninger!$K$31,"")</f>
        <v/>
      </c>
      <c r="CH14" s="210" t="str">
        <f>IF(AND(C14="Skema 1",B14="fr"),Skemaoplysninger!$M$31,"")</f>
        <v/>
      </c>
      <c r="CI14" s="210" t="str">
        <f>IF(AND(C14="Skema 2",B14="ma"),Skemaoplysninger!$S$31,"")</f>
        <v/>
      </c>
      <c r="CJ14" s="210" t="str">
        <f>IF(AND(C14="Skema 2",B14="ti"),Skemaoplysninger!$U$31,"")</f>
        <v/>
      </c>
      <c r="CK14" s="210" t="str">
        <f>IF(AND(C14="Skema 2",B14="on"),Skemaoplysninger!$W$31,"")</f>
        <v/>
      </c>
      <c r="CL14" s="210">
        <f>IF(AND(C14="Skema 2",B14="to"),Skemaoplysninger!$Y$31,"")</f>
        <v>3.4722222222222224E-2</v>
      </c>
      <c r="CM14" s="210" t="str">
        <f>IF(AND(C14="Skema 2",B14="fr"),Skemaoplysninger!$AA$31,"")</f>
        <v/>
      </c>
      <c r="CN14" s="210" t="str">
        <f>IF(AND(C14="Skema 3",B14="ma"),Skemaoplysninger!$AG$31,"")</f>
        <v/>
      </c>
      <c r="CO14" s="210" t="str">
        <f>IF(AND(C14="Skema 3",B14="ti"),Skemaoplysninger!$AI$31,"")</f>
        <v/>
      </c>
      <c r="CP14" s="210" t="str">
        <f>IF(AND(C14="Skema 3",B14="on"),Skemaoplysninger!$AK$31,"")</f>
        <v/>
      </c>
      <c r="CQ14" s="210" t="str">
        <f>IF(AND(C14="Skema 3",B14="to"),Skemaoplysninger!$AM$31,"")</f>
        <v/>
      </c>
      <c r="CR14" s="210" t="str">
        <f>IF(AND(C14="Skema 3",B14="fr"),Skemaoplysninger!$AO$31,"")</f>
        <v/>
      </c>
      <c r="CS14" s="210" t="str">
        <f>IF(AND(C14="Skema 4",B14="ma"),Skemaoplysninger!$AU$31,"")</f>
        <v/>
      </c>
      <c r="CT14" s="210" t="str">
        <f>IF(AND(C14="Skema 4",B14="ti"),Skemaoplysninger!$AW$31,"")</f>
        <v/>
      </c>
      <c r="CU14" s="210" t="str">
        <f>IF(AND(C14="Skema 4",B14="on"),Skemaoplysninger!$AY$31,"")</f>
        <v/>
      </c>
      <c r="CV14" s="210" t="str">
        <f>IF(AND(C14="Skema 4",B14="to"),Skemaoplysninger!$BA$31,"")</f>
        <v/>
      </c>
      <c r="CW14" s="210" t="str">
        <f>IF(AND(C14="Skema 4",B14="fr"),Skemaoplysninger!$BC$31,"")</f>
        <v/>
      </c>
      <c r="CX14" s="249">
        <f>IF(Stamoplysninger!$H$29="NEJ",SUM(CD14:CW14)*24+CB14+CC14,0)</f>
        <v>0.83333333333333337</v>
      </c>
      <c r="CY14" s="249">
        <f>IF(C14="Skema 1",Stamoplysninger!$H$30/200,0)</f>
        <v>0</v>
      </c>
      <c r="CZ14" s="249">
        <f>IF(C14="Skema 2",Stamoplysninger!$H$30/200,0)</f>
        <v>0</v>
      </c>
      <c r="DA14" s="249">
        <f>IF(C14="Skema 3",Stamoplysninger!$H$30/200,0)</f>
        <v>0</v>
      </c>
      <c r="DB14" s="249">
        <f>IF(C14="Skema 4",Stamoplysninger!$H$30/200,0)</f>
        <v>0</v>
      </c>
      <c r="DC14" s="249">
        <f>IF(C14="fagdag",Stamoplysninger!$H$30/200,0)</f>
        <v>0</v>
      </c>
      <c r="DD14" s="249">
        <f>IF(C14="emnedag",Stamoplysninger!$H$30/200,0)</f>
        <v>0</v>
      </c>
      <c r="DE14" s="249">
        <f>IF(C14="lejrskole",Stamoplysninger!$H$30/200,0)</f>
        <v>0</v>
      </c>
      <c r="DF14" s="249">
        <f>IF(C14="ekskursion",Stamoplysninger!$H$30/200,0)</f>
        <v>0</v>
      </c>
      <c r="DG14" s="249">
        <f t="shared" si="26"/>
        <v>0</v>
      </c>
      <c r="DH14" t="str">
        <f t="shared" si="27"/>
        <v/>
      </c>
      <c r="DI14">
        <f t="shared" si="28"/>
        <v>0</v>
      </c>
      <c r="DJ14">
        <f t="shared" si="29"/>
        <v>0</v>
      </c>
      <c r="DK14" t="str">
        <f t="shared" si="12"/>
        <v/>
      </c>
      <c r="DL14" t="str">
        <f t="shared" si="12"/>
        <v/>
      </c>
      <c r="DM14" t="str">
        <f t="shared" si="12"/>
        <v/>
      </c>
      <c r="DN14" t="str">
        <f t="shared" si="30"/>
        <v/>
      </c>
      <c r="DO14" s="652">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71">
        <f>IF(AND(Stamoplysninger!$B$22="Ulempetillæg udbetales med 25% af nettotimelønnen.",C14="ikke relevant"),(R14)/4,0)</f>
        <v>0</v>
      </c>
      <c r="DT14" s="671">
        <f>IF(AND(AND(Stamoplysninger!$B$22="Ulempetillæg udbetales med 25% af nettotimelønnen.",I14="X",C14="Ikke relevant")),K14/4,0)</f>
        <v>0</v>
      </c>
      <c r="DU14" s="671">
        <f>IF(AND(AND(Stamoplysninger!$B$22="Ulempetillæg udbetales med 25% af nettotimelønnen.",C14="ikke relevant",U14="X")),(X14/4),0)</f>
        <v>0</v>
      </c>
      <c r="DV14" s="672">
        <f>IF(AND(AND(AND(Stamoplysninger!$B$22="Ulempetillæg udbetales med 25% af nettotimelønnen.",I14="X",C14="Ikke relevant",S14="X"))),V14/4,0)</f>
        <v>0</v>
      </c>
      <c r="DW14" s="652"/>
      <c r="DZ14" s="671"/>
      <c r="EA14" s="671"/>
      <c r="EB14" s="672"/>
      <c r="EC14" s="652">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71">
        <f>IF(AND(Stamoplysninger!$B$22="Ulempetillæg afspadseres med 25%(Kræver en aftale imellem ledelsen og den ansatte)",C14="ikke relevant"),(R14)/4,0)</f>
        <v>0</v>
      </c>
      <c r="EH14" s="671">
        <f>IF(AND(AND(Stamoplysninger!$B$22="Ulempetillæg afspadseres med 25%(Kræver en aftale imellem ledelsen og den ansatte)",I14="X",C14="Ikke relevant")),K14/4,0)</f>
        <v>0</v>
      </c>
      <c r="EI14" s="671">
        <f>IF(AND(AND(Stamoplysninger!$B$22="Ulempetillæg afspadseres med 25%(Kræver en aftale imellem ledelsen og den ansatte)",U14="X",C14="Ikke relevant")),X14/4,0)</f>
        <v>0</v>
      </c>
      <c r="EJ14" s="671">
        <f>IF(AND(AND(AND(Stamoplysninger!$B$22="Ulempetillæg afspadseres med 25%(Kræver en aftale imellem ledelsen og den ansatte)",I14="X",C14="Ikke relevant",S14="X"))),V14/4,0)</f>
        <v>0</v>
      </c>
      <c r="EK14" s="283">
        <f>IF(AND(Stamoplysninger!$B$26="Weekendtimer og weekendtillæg afspadseres.",I14="X"),K14*1.5,0)</f>
        <v>0</v>
      </c>
      <c r="EL14" s="251">
        <f>IF(AND(AND(Stamoplysninger!$B$26="Weekendtimer og weekendtillæg afspadseres.",I14="X",S14="X")),V14*1.5,0)</f>
        <v>0</v>
      </c>
      <c r="EM14" s="674">
        <f>IF(AND(AND(Stamoplysninger!$B$26="Weekendtimer og weekendtillæg afspadseres.",I14="X",C14="ikke relevant")),K14*1.5,0)</f>
        <v>0</v>
      </c>
      <c r="EN14" s="675">
        <f>IF(AND(AND(AND(Stamoplysninger!$B$26="Weekendtimer og weekendtillæg afspadseres.",I14="X",C14="ikke relevant",S14="X"))),(V14*1.5),0)</f>
        <v>0</v>
      </c>
      <c r="EO14" s="283">
        <f>IF(AND(Stamoplysninger!$B$26="Weekendtimer og weekendtillæg udbetales.",I14="X"),K14*1.5,0)</f>
        <v>0</v>
      </c>
      <c r="EP14" s="251">
        <f>IF(AND(AND(Stamoplysninger!$B$26="Weekendtimer og weekendtillæg udbetales.",I14="X",S14="X")),V14*1.5,0)</f>
        <v>0</v>
      </c>
      <c r="EQ14" s="674">
        <f>IF(AND(AND(Stamoplysninger!$B$26="Weekendtimer og weekendtillæg udbetales.",I14="X",C14="ikke relevant")),K14*1.5,0)</f>
        <v>0</v>
      </c>
      <c r="ER14" s="675">
        <f>IF(AND(AND(AND(Stamoplysninger!$B$26="Weekendtimer og weekendtillæg udbetales.",I14="X",C14="ikke relevant",S14="X"))),(V14*1.5),0)</f>
        <v>0</v>
      </c>
      <c r="ES14" s="283">
        <f>IF(AND(Stamoplysninger!$B$26="Der er indgået lokalaftale omkring weekendtimer.(Kræver aftale med TR/FSL) Weekendtillæg afspadseres.",I14="X"),K14*0.5,0)</f>
        <v>0</v>
      </c>
      <c r="ET14" s="251">
        <f>IF(AND(AND(Stamoplysninger!$B$26="Der er indgået lokalaftale omkring weekendtimer.(Kræver aftale med TR/FSL) Weekendtillæg afspadseres.",I14="X",S14="X")),V14*0.5,0)</f>
        <v>0</v>
      </c>
      <c r="EU14" s="674">
        <f>IF(AND(AND(Stamoplysninger!$B$26="Der er indgået lokalaftale omkring weekendtimer.(Kræver aftale med TR/FSL) Weekendtillæg afspadseres.",I14="X",C14="ikke relevant")),K14*0.5,0)</f>
        <v>0</v>
      </c>
      <c r="EV14" s="675">
        <f>IF(AND(AND(AND(Stamoplysninger!$B$26="Der er indgået lokalaftale omkring weekendtimer.(Kræver aftale med TR/FSL) Weekendtillæg afspadseres.",I14="X",C14="ikke relevant",S14="X"))),(V14*0.5),0)</f>
        <v>0</v>
      </c>
      <c r="EW14" s="283">
        <f>IF(AND(Stamoplysninger!$B$26="Der er indgået lokalaftale omkring weekendtimer(Kræver aftale med TR/FSL). Weekendtillæg udbetales.",I14="X"),K14*0.5,0)</f>
        <v>0</v>
      </c>
      <c r="EX14" s="251">
        <f>IF(AND(AND(Stamoplysninger!$B$26="Der er indgået lokalaftale omkring weekendtimer(Kræver aftale med TR/FSL). Weekendtillæg udbetales.",I14="X",S14="X")),V14*0.5,0)</f>
        <v>0</v>
      </c>
      <c r="EY14" s="674">
        <f>IF(AND(AND(Stamoplysninger!$B$26="Der er indgået lokalaftale omkring weekendtimer(Kræver aftale med TR/FSL). Weekendtillæg udbetales.",I14="X",C14="ikke relevant")),K14*0.5,0)</f>
        <v>0</v>
      </c>
      <c r="EZ14" s="675">
        <f>IF(AND(AND(AND(Stamoplysninger!$B$26="Der er indgået lokalaftale omkring weekendtimer(Kræver aftale med TR/FSL). Weekendtillæg udbetales.",I14="X",C14="ikke relevant",S14="X"))),(V14*0.5),0)</f>
        <v>0</v>
      </c>
      <c r="FA14" s="283">
        <f>IF(AND(Stamoplysninger!$B$26="Der er indgået lokalaftale omkring weekendtillæg(Kræver aftale med TR/FSL). Weekendtimerne afspadseres.",I14="X"),K14,0)</f>
        <v>0</v>
      </c>
      <c r="FB14" s="251">
        <f>IF(AND(AND(Stamoplysninger!$B$26="Der er indgået lokalaftale omkring weekendtillæg(Kræver aftale med TR/FSL). Weekendtimerne afspadseres.",I14="X",S14="X")),V14,0)</f>
        <v>0</v>
      </c>
      <c r="FC14" s="674">
        <f>IF(AND(AND(Stamoplysninger!$B$26="Der er indgået lokalaftale omkring weekendtillæg(Kræver aftale med TR/FSL). Weekendtimerne afspadseres..",I14="X",C14="ikke relevant")),K14,0)</f>
        <v>0</v>
      </c>
      <c r="FD14" s="675">
        <f>IF(AND(AND(AND(Stamoplysninger!$B$26="Der er indgået lokalaftale omkring weekendtillæg(Kræver aftale med TR/FSL). Weekendtimerne afspadseres.",I14="X",C14="ikke relevant",S14="X"))),(V14),0)</f>
        <v>0</v>
      </c>
      <c r="FE14" s="283">
        <f>IF(AND(Stamoplysninger!$B$26="Der er indgået lokalaftale omkring weekendtillæg(Kræver aftale med TR/FSL). Weekendtimerne udbetales.",I14="X"),K14,0)</f>
        <v>0</v>
      </c>
      <c r="FF14" s="251">
        <f>IF(AND(AND(Stamoplysninger!$B$26="Der er indgået lokalaftale omkring weekendtillæg(Kræver aftale med TR/FSL). Weekendtimerne udbetales.",I14="X",S14="X")),V14,0)</f>
        <v>0</v>
      </c>
      <c r="FG14" s="674">
        <f>IF(AND(AND(Stamoplysninger!$B$26="Der er indgået lokalaftale omkring weekendtillæg(Kræver aftale med TR/FSL). Weekendtimerne udbetales.",I14="X",C14="ikke relevant")),K14,0)</f>
        <v>0</v>
      </c>
      <c r="FH14" s="675">
        <f>IF(AND(AND(AND(Stamoplysninger!$B$26="Der er indgået lokalaftale omkring weekendtillæg(Kræver aftale med TR/FSL). Weekendtimerne udbetales.",I14="X",C14="ikke relevant",S14="X"))),(V14),0)</f>
        <v>0</v>
      </c>
      <c r="FI14" s="283">
        <f>IF(AND(Stamoplysninger!$B$26="Weekendtimer og weekendtillæg afspadseres.",I14="X"),K14,0)</f>
        <v>0</v>
      </c>
      <c r="FJ14" s="251">
        <f>IF(AND(Stamoplysninger!$B$26="Weekendtimer og weekendtillæg afspadseres.",Y14="X"),(AA14+AL14)/2,0)</f>
        <v>0</v>
      </c>
      <c r="FK14" s="674">
        <f>IF(AND(AND(Stamoplysninger!$B$26="Weekendtimer og weekendtillæg afspadseres.",I14="X",C14="ikke relevant")),K14,0)</f>
        <v>0</v>
      </c>
      <c r="FL14" s="675">
        <f>IF(AND(AND(Stamoplysninger!$B$26="Weekendtimer og weekendtillæg afspadseres.",Y14="X",S14="ikke relevant")),(AA14+AL14)/2,0)</f>
        <v>0</v>
      </c>
      <c r="FM14" s="283">
        <f>IF(AND(Stamoplysninger!$B$26="Der er indgået lokalaftale omkring weekendtillæg(Kræver aftale med TR/FSL). Weekendtimerne afspadseres.",I14="X"),K14,0)</f>
        <v>0</v>
      </c>
      <c r="FN14" s="674">
        <f>IF(AND(AND(Stamoplysninger!$B$26="Der er indgået lokalaftale omkring weekendtillæg(Kræver aftale med TR/FSL). Weekendtimerne afspadseres.",I14="X",C14="ikke relevant")),K14,0)</f>
        <v>0</v>
      </c>
      <c r="FO14" s="283">
        <f>IF(AND(Stamoplysninger!$B$26="Weekendtimer og weekendtillæg udbetales.",I14="X"),K14,0)</f>
        <v>0</v>
      </c>
      <c r="FP14" s="251">
        <f>IF(AND(Stamoplysninger!$B$26="Weekendtimer og weekendtillæg udbetales.",AA14="X"),(AC14+AN14)/2,0)</f>
        <v>0</v>
      </c>
      <c r="FQ14" s="674">
        <f>IF(AND(AND(Stamoplysninger!$B$26="Weekendtimer og weekendtillæg udbetales.",I14="X",C14="ikke relevant")),K14,0)</f>
        <v>0</v>
      </c>
      <c r="FR14" s="688">
        <f>IF(AND(AND(Stamoplysninger!$B$26="Weekendtimer og weekendtillæg udbetales.",AA14="X",U14="ikke relevant")),(AC14+AN14)/2,0)</f>
        <v>0</v>
      </c>
      <c r="FS14" s="283">
        <f t="shared" si="13"/>
        <v>0</v>
      </c>
      <c r="FT14" s="658">
        <f t="shared" si="14"/>
        <v>0</v>
      </c>
      <c r="FU14">
        <f t="shared" si="15"/>
        <v>0</v>
      </c>
      <c r="FV14" s="283">
        <f>IF(AND(Stamoplysninger!$B$26="Der er indgået lokalaftale omkring weekendtimer.(Kræver aftale med TR/FSL) Weekendtillæg afspadseres.",I14="X"),K14,0)</f>
        <v>0</v>
      </c>
      <c r="FW14" s="674">
        <f>IF(AND(AND(Stamoplysninger!$B$26="Der er indgået lokalaftale omkring weekendtimer.(Kræver aftale med TR/FSL) Weekendtillæg afspadseres.",I14="X",C14="ikke relevant")),K14,0)</f>
        <v>0</v>
      </c>
      <c r="FX14" s="283">
        <f>IF(AND(Stamoplysninger!$B$26="Der er indgået lokalaftale omkring weekendtimer(Kræver aftale med TR/FSL). Weekendtillæg udbetales.",I14="X"),K14,0)</f>
        <v>0</v>
      </c>
      <c r="FY14" s="674">
        <f>IF(AND(AND(Stamoplysninger!$B$26="Der er indgået lokalaftale omkring weekendtimer(Kræver aftale med TR/FSL). Weekendtillæg udbetales.",I14="X",C14="ikke relevant")),K14,0)</f>
        <v>0</v>
      </c>
      <c r="FZ14" s="283">
        <f>IF(AND(Stamoplysninger!$B$26="Der er indgået lokalaftale omkring weekendtillæg(Kræver aftale med TR/FSL). Weekendtimerne udbetales.",I14="X"),K14,0)</f>
        <v>0</v>
      </c>
      <c r="GA14" s="674">
        <f>IF(AND(AND(Stamoplysninger!$B$26="Der er indgået lokalaftale omkring weekendtillæg(Kræver aftale med TR/FSL). Weekendtimerne udbetales.",I14="X",C14="ikke relevant")),K14,0)</f>
        <v>0</v>
      </c>
      <c r="GB14" s="283">
        <f>IF(AND(Stamoplysninger!$B$26="Der er indgået lokalaftale omkring weekendtimer og weekendtillæg.(Kræver aftale med TR/FSL).",I14="X"),K14,0)</f>
        <v>0</v>
      </c>
      <c r="GC14" s="674">
        <f>IF(AND(AND(Stamoplysninger!$B$26="Der er indgået lokalaftale omkring weekendtimer og weekendtillæg.(Kræver aftale med TR/FSL).",I14="X",C14="ikke relevant")),K14,0)</f>
        <v>0</v>
      </c>
    </row>
    <row r="15" spans="1:185" ht="16" customHeight="1">
      <c r="A15" s="245">
        <f t="shared" si="16"/>
        <v>7</v>
      </c>
      <c r="B15" s="128" t="str">
        <f t="shared" si="0"/>
        <v>fr</v>
      </c>
      <c r="C15" s="129" t="s">
        <v>207</v>
      </c>
      <c r="D15" s="130" t="str">
        <f t="shared" si="1"/>
        <v/>
      </c>
      <c r="E15" s="917"/>
      <c r="F15" s="918"/>
      <c r="G15" s="919"/>
      <c r="H15" s="298"/>
      <c r="I15" s="527"/>
      <c r="J15" s="413"/>
      <c r="K15" s="380"/>
      <c r="L15" s="380"/>
      <c r="M15" s="380"/>
      <c r="N15" s="318">
        <f t="shared" si="17"/>
        <v>7</v>
      </c>
      <c r="O15" s="318">
        <f t="shared" si="18"/>
        <v>3</v>
      </c>
      <c r="P15" s="318">
        <f>IF(Stamoplysninger!$H$29="JA",Februar!DG15,CX15)</f>
        <v>0.83333333333333337</v>
      </c>
      <c r="Q15" s="318">
        <f t="shared" si="19"/>
        <v>3.1666666666666665</v>
      </c>
      <c r="R15" s="319"/>
      <c r="S15" s="324"/>
      <c r="T15" s="325"/>
      <c r="U15" s="325"/>
      <c r="V15" s="435"/>
      <c r="W15" s="435"/>
      <c r="X15" s="644"/>
      <c r="Y15">
        <f t="shared" si="20"/>
        <v>0</v>
      </c>
      <c r="Z15" s="437">
        <f t="shared" si="21"/>
        <v>0</v>
      </c>
      <c r="AA15" s="1">
        <f t="shared" si="22"/>
        <v>0</v>
      </c>
      <c r="AB15" s="1">
        <f t="shared" si="2"/>
        <v>0</v>
      </c>
      <c r="AC15" s="1">
        <f t="shared" si="3"/>
        <v>0</v>
      </c>
      <c r="AD15" s="1">
        <f t="shared" si="4"/>
        <v>0</v>
      </c>
      <c r="AE15" s="1">
        <f t="shared" si="5"/>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f>IF(AND(C15="Skema 2",B15="fr"),Arbejdstidsoversigt!$E$85,"")</f>
        <v>7</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7</v>
      </c>
      <c r="BB15" s="229">
        <f t="shared" si="6"/>
        <v>0</v>
      </c>
      <c r="BC15" s="1">
        <f t="shared" si="24"/>
        <v>0</v>
      </c>
      <c r="BD15" s="1">
        <f t="shared" si="7"/>
        <v>0</v>
      </c>
      <c r="BE15" s="1">
        <f t="shared" si="8"/>
        <v>0</v>
      </c>
      <c r="BF15" s="1">
        <f t="shared" si="9"/>
        <v>0</v>
      </c>
      <c r="BG15" s="210" t="str">
        <f>IF(AND(C15="Skema 1",B15="ma"),Skemaoplysninger!$E$30,"")</f>
        <v/>
      </c>
      <c r="BH15" s="210" t="str">
        <f>IF(AND(C15="Skema 1",B15="ti"),Skemaoplysninger!$G$30,"")</f>
        <v/>
      </c>
      <c r="BI15" s="210" t="str">
        <f>IF(AND(C15="Skema 1",B15="on"),Skemaoplysninger!$I$30,"")</f>
        <v/>
      </c>
      <c r="BJ15" s="210" t="str">
        <f>IF(AND(C15="Skema 1",B15="to"),Skemaoplysninger!$K$30,"")</f>
        <v/>
      </c>
      <c r="BK15" s="210" t="str">
        <f>IF(AND(C15="Skema 1",B15="fr"),Skemaoplysninger!$M$30,"")</f>
        <v/>
      </c>
      <c r="BL15" s="210" t="str">
        <f>IF(AND(C15="Skema 2",B15="ma"),Skemaoplysninger!$S$30,"")</f>
        <v/>
      </c>
      <c r="BM15" s="210" t="str">
        <f>IF(AND(C15="Skema 2",B15="ti"),Skemaoplysninger!$U$30,"")</f>
        <v/>
      </c>
      <c r="BN15" s="210" t="str">
        <f>IF(AND(C15="Skema 2",B15="on"),Skemaoplysninger!$W$30,"")</f>
        <v/>
      </c>
      <c r="BO15" s="210" t="str">
        <f>IF(AND(C15="Skema 2",B15="to"),Skemaoplysninger!$Y$30,"")</f>
        <v/>
      </c>
      <c r="BP15" s="210">
        <f>IF(AND(C15="Skema 2",B15="fr"),Skemaoplysninger!$AA$30,"")</f>
        <v>0.125</v>
      </c>
      <c r="BQ15" s="210" t="str">
        <f>IF(AND(C15="Skema 3",B15="ma"),Skemaoplysninger!$AG$30,"")</f>
        <v/>
      </c>
      <c r="BR15" s="210" t="str">
        <f>IF(AND(C15="Skema 3",B15="ti"),Skemaoplysninger!$AI$30,"")</f>
        <v/>
      </c>
      <c r="BS15" s="210" t="str">
        <f>IF(AND(C15="Skema 3",B15="on"),Skemaoplysninger!$AK$30,"")</f>
        <v/>
      </c>
      <c r="BT15" s="210" t="str">
        <f>IF(AND(C15="Skema 3",B15="to"),Skemaoplysninger!$AM$30,"")</f>
        <v/>
      </c>
      <c r="BU15" s="210" t="str">
        <f>IF(AND(C15="Skema 3",B15="fr"),Skemaoplysninger!$AO$30,"")</f>
        <v/>
      </c>
      <c r="BV15" s="210" t="str">
        <f>IF(AND(C15="Skema 4",B15="ma"),Skemaoplysninger!$AU$30,"")</f>
        <v/>
      </c>
      <c r="BW15" s="210" t="str">
        <f>IF(AND(C15="Skema 4",B15="ti"),Skemaoplysninger!$AW$30,"")</f>
        <v/>
      </c>
      <c r="BX15" s="210" t="str">
        <f>IF(AND(C15="Skema 4",B15="on"),Skemaoplysninger!$AY$30,"")</f>
        <v/>
      </c>
      <c r="BY15" s="210" t="str">
        <f>IF(AND(C15="Skema 4",B15="to"),Skemaoplysninger!$BA$30,"")</f>
        <v/>
      </c>
      <c r="BZ15" s="210" t="str">
        <f>IF(AND(C15="Skema 4",B15="fr"),Skemaoplysninger!$BC$30,"")</f>
        <v/>
      </c>
      <c r="CA15" s="1">
        <f t="shared" si="25"/>
        <v>3</v>
      </c>
      <c r="CB15" s="1">
        <f t="shared" si="10"/>
        <v>0</v>
      </c>
      <c r="CC15" s="1">
        <f t="shared" si="11"/>
        <v>0</v>
      </c>
      <c r="CD15" s="210" t="str">
        <f>IF(AND(C15="Skema 1",B15="ma"),Skemaoplysninger!$E$31,"")</f>
        <v/>
      </c>
      <c r="CE15" s="210" t="str">
        <f>IF(AND(C15="Skema 1",B15="ti"),Skemaoplysninger!$G$31,"")</f>
        <v/>
      </c>
      <c r="CF15" s="210" t="str">
        <f>IF(AND(C15="Skema 1",B15="on"),Skemaoplysninger!$I$31,"")</f>
        <v/>
      </c>
      <c r="CG15" s="210" t="str">
        <f>IF(AND(C15="Skema 1",B15="to"),Skemaoplysninger!$K$31,"")</f>
        <v/>
      </c>
      <c r="CH15" s="210" t="str">
        <f>IF(AND(C15="Skema 1",B15="fr"),Skemaoplysninger!$M$31,"")</f>
        <v/>
      </c>
      <c r="CI15" s="210" t="str">
        <f>IF(AND(C15="Skema 2",B15="ma"),Skemaoplysninger!$S$31,"")</f>
        <v/>
      </c>
      <c r="CJ15" s="210" t="str">
        <f>IF(AND(C15="Skema 2",B15="ti"),Skemaoplysninger!$U$31,"")</f>
        <v/>
      </c>
      <c r="CK15" s="210" t="str">
        <f>IF(AND(C15="Skema 2",B15="on"),Skemaoplysninger!$W$31,"")</f>
        <v/>
      </c>
      <c r="CL15" s="210" t="str">
        <f>IF(AND(C15="Skema 2",B15="to"),Skemaoplysninger!$Y$31,"")</f>
        <v/>
      </c>
      <c r="CM15" s="210">
        <f>IF(AND(C15="Skema 2",B15="fr"),Skemaoplysninger!$AA$31,"")</f>
        <v>3.4722222222222224E-2</v>
      </c>
      <c r="CN15" s="210" t="str">
        <f>IF(AND(C15="Skema 3",B15="ma"),Skemaoplysninger!$AG$31,"")</f>
        <v/>
      </c>
      <c r="CO15" s="210" t="str">
        <f>IF(AND(C15="Skema 3",B15="ti"),Skemaoplysninger!$AI$31,"")</f>
        <v/>
      </c>
      <c r="CP15" s="210" t="str">
        <f>IF(AND(C15="Skema 3",B15="on"),Skemaoplysninger!$AK$31,"")</f>
        <v/>
      </c>
      <c r="CQ15" s="210" t="str">
        <f>IF(AND(C15="Skema 3",B15="to"),Skemaoplysninger!$AM$31,"")</f>
        <v/>
      </c>
      <c r="CR15" s="210" t="str">
        <f>IF(AND(C15="Skema 3",B15="fr"),Skemaoplysninger!$AO$31,"")</f>
        <v/>
      </c>
      <c r="CS15" s="210" t="str">
        <f>IF(AND(C15="Skema 4",B15="ma"),Skemaoplysninger!$AU$31,"")</f>
        <v/>
      </c>
      <c r="CT15" s="210" t="str">
        <f>IF(AND(C15="Skema 4",B15="ti"),Skemaoplysninger!$AW$31,"")</f>
        <v/>
      </c>
      <c r="CU15" s="210" t="str">
        <f>IF(AND(C15="Skema 4",B15="on"),Skemaoplysninger!$AY$31,"")</f>
        <v/>
      </c>
      <c r="CV15" s="210" t="str">
        <f>IF(AND(C15="Skema 4",B15="to"),Skemaoplysninger!$BA$31,"")</f>
        <v/>
      </c>
      <c r="CW15" s="210" t="str">
        <f>IF(AND(C15="Skema 4",B15="fr"),Skemaoplysninger!$BC$31,"")</f>
        <v/>
      </c>
      <c r="CX15" s="249">
        <f>IF(Stamoplysninger!$H$29="NEJ",SUM(CD15:CW15)*24+CB15+CC15,0)</f>
        <v>0.83333333333333337</v>
      </c>
      <c r="CY15" s="249">
        <f>IF(C15="Skema 1",Stamoplysninger!$H$30/200,0)</f>
        <v>0</v>
      </c>
      <c r="CZ15" s="249">
        <f>IF(C15="Skema 2",Stamoplysninger!$H$30/200,0)</f>
        <v>0</v>
      </c>
      <c r="DA15" s="249">
        <f>IF(C15="Skema 3",Stamoplysninger!$H$30/200,0)</f>
        <v>0</v>
      </c>
      <c r="DB15" s="249">
        <f>IF(C15="Skema 4",Stamoplysninger!$H$30/200,0)</f>
        <v>0</v>
      </c>
      <c r="DC15" s="249">
        <f>IF(C15="fagdag",Stamoplysninger!$H$30/200,0)</f>
        <v>0</v>
      </c>
      <c r="DD15" s="249">
        <f>IF(C15="emnedag",Stamoplysninger!$H$30/200,0)</f>
        <v>0</v>
      </c>
      <c r="DE15" s="249">
        <f>IF(C15="lejrskole",Stamoplysninger!$H$30/200,0)</f>
        <v>0</v>
      </c>
      <c r="DF15" s="249">
        <f>IF(C15="ekskursion",Stamoplysninger!$H$30/200,0)</f>
        <v>0</v>
      </c>
      <c r="DG15" s="249">
        <f t="shared" si="26"/>
        <v>0</v>
      </c>
      <c r="DH15" t="str">
        <f t="shared" si="27"/>
        <v/>
      </c>
      <c r="DI15">
        <f t="shared" si="28"/>
        <v>0</v>
      </c>
      <c r="DJ15">
        <f t="shared" si="29"/>
        <v>0</v>
      </c>
      <c r="DK15" t="str">
        <f t="shared" si="12"/>
        <v/>
      </c>
      <c r="DL15" t="str">
        <f t="shared" si="12"/>
        <v/>
      </c>
      <c r="DM15" t="str">
        <f t="shared" si="12"/>
        <v/>
      </c>
      <c r="DN15" t="str">
        <f t="shared" si="30"/>
        <v/>
      </c>
      <c r="DO15" s="652">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71">
        <f>IF(AND(Stamoplysninger!$B$22="Ulempetillæg udbetales med 25% af nettotimelønnen.",C15="ikke relevant"),(R15)/4,0)</f>
        <v>0</v>
      </c>
      <c r="DT15" s="671">
        <f>IF(AND(AND(Stamoplysninger!$B$22="Ulempetillæg udbetales med 25% af nettotimelønnen.",I15="X",C15="Ikke relevant")),K15/4,0)</f>
        <v>0</v>
      </c>
      <c r="DU15" s="671">
        <f>IF(AND(AND(Stamoplysninger!$B$22="Ulempetillæg udbetales med 25% af nettotimelønnen.",C15="ikke relevant",U15="X")),(X15/4),0)</f>
        <v>0</v>
      </c>
      <c r="DV15" s="672">
        <f>IF(AND(AND(AND(Stamoplysninger!$B$22="Ulempetillæg udbetales med 25% af nettotimelønnen.",I15="X",C15="Ikke relevant",S15="X"))),V15/4,0)</f>
        <v>0</v>
      </c>
      <c r="DW15" s="652"/>
      <c r="DZ15" s="671"/>
      <c r="EA15" s="671"/>
      <c r="EB15" s="672"/>
      <c r="EC15" s="652">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71">
        <f>IF(AND(Stamoplysninger!$B$22="Ulempetillæg afspadseres med 25%(Kræver en aftale imellem ledelsen og den ansatte)",C15="ikke relevant"),(R15)/4,0)</f>
        <v>0</v>
      </c>
      <c r="EH15" s="671">
        <f>IF(AND(AND(Stamoplysninger!$B$22="Ulempetillæg afspadseres med 25%(Kræver en aftale imellem ledelsen og den ansatte)",I15="X",C15="Ikke relevant")),K15/4,0)</f>
        <v>0</v>
      </c>
      <c r="EI15" s="671">
        <f>IF(AND(AND(Stamoplysninger!$B$22="Ulempetillæg afspadseres med 25%(Kræver en aftale imellem ledelsen og den ansatte)",U15="X",C15="Ikke relevant")),X15/4,0)</f>
        <v>0</v>
      </c>
      <c r="EJ15" s="671">
        <f>IF(AND(AND(AND(Stamoplysninger!$B$22="Ulempetillæg afspadseres med 25%(Kræver en aftale imellem ledelsen og den ansatte)",I15="X",C15="Ikke relevant",S15="X"))),V15/4,0)</f>
        <v>0</v>
      </c>
      <c r="EK15" s="283">
        <f>IF(AND(Stamoplysninger!$B$26="Weekendtimer og weekendtillæg afspadseres.",I15="X"),K15*1.5,0)</f>
        <v>0</v>
      </c>
      <c r="EL15" s="251">
        <f>IF(AND(AND(Stamoplysninger!$B$26="Weekendtimer og weekendtillæg afspadseres.",I15="X",S15="X")),V15*1.5,0)</f>
        <v>0</v>
      </c>
      <c r="EM15" s="674">
        <f>IF(AND(AND(Stamoplysninger!$B$26="Weekendtimer og weekendtillæg afspadseres.",I15="X",C15="ikke relevant")),K15*1.5,0)</f>
        <v>0</v>
      </c>
      <c r="EN15" s="675">
        <f>IF(AND(AND(AND(Stamoplysninger!$B$26="Weekendtimer og weekendtillæg afspadseres.",I15="X",C15="ikke relevant",S15="X"))),(V15*1.5),0)</f>
        <v>0</v>
      </c>
      <c r="EO15" s="283">
        <f>IF(AND(Stamoplysninger!$B$26="Weekendtimer og weekendtillæg udbetales.",I15="X"),K15*1.5,0)</f>
        <v>0</v>
      </c>
      <c r="EP15" s="251">
        <f>IF(AND(AND(Stamoplysninger!$B$26="Weekendtimer og weekendtillæg udbetales.",I15="X",S15="X")),V15*1.5,0)</f>
        <v>0</v>
      </c>
      <c r="EQ15" s="674">
        <f>IF(AND(AND(Stamoplysninger!$B$26="Weekendtimer og weekendtillæg udbetales.",I15="X",C15="ikke relevant")),K15*1.5,0)</f>
        <v>0</v>
      </c>
      <c r="ER15" s="675">
        <f>IF(AND(AND(AND(Stamoplysninger!$B$26="Weekendtimer og weekendtillæg udbetales.",I15="X",C15="ikke relevant",S15="X"))),(V15*1.5),0)</f>
        <v>0</v>
      </c>
      <c r="ES15" s="283">
        <f>IF(AND(Stamoplysninger!$B$26="Der er indgået lokalaftale omkring weekendtimer.(Kræver aftale med TR/FSL) Weekendtillæg afspadseres.",I15="X"),K15*0.5,0)</f>
        <v>0</v>
      </c>
      <c r="ET15" s="251">
        <f>IF(AND(AND(Stamoplysninger!$B$26="Der er indgået lokalaftale omkring weekendtimer.(Kræver aftale med TR/FSL) Weekendtillæg afspadseres.",I15="X",S15="X")),V15*0.5,0)</f>
        <v>0</v>
      </c>
      <c r="EU15" s="674">
        <f>IF(AND(AND(Stamoplysninger!$B$26="Der er indgået lokalaftale omkring weekendtimer.(Kræver aftale med TR/FSL) Weekendtillæg afspadseres.",I15="X",C15="ikke relevant")),K15*0.5,0)</f>
        <v>0</v>
      </c>
      <c r="EV15" s="675">
        <f>IF(AND(AND(AND(Stamoplysninger!$B$26="Der er indgået lokalaftale omkring weekendtimer.(Kræver aftale med TR/FSL) Weekendtillæg afspadseres.",I15="X",C15="ikke relevant",S15="X"))),(V15*0.5),0)</f>
        <v>0</v>
      </c>
      <c r="EW15" s="283">
        <f>IF(AND(Stamoplysninger!$B$26="Der er indgået lokalaftale omkring weekendtimer(Kræver aftale med TR/FSL). Weekendtillæg udbetales.",I15="X"),K15*0.5,0)</f>
        <v>0</v>
      </c>
      <c r="EX15" s="251">
        <f>IF(AND(AND(Stamoplysninger!$B$26="Der er indgået lokalaftale omkring weekendtimer(Kræver aftale med TR/FSL). Weekendtillæg udbetales.",I15="X",S15="X")),V15*0.5,0)</f>
        <v>0</v>
      </c>
      <c r="EY15" s="674">
        <f>IF(AND(AND(Stamoplysninger!$B$26="Der er indgået lokalaftale omkring weekendtimer(Kræver aftale med TR/FSL). Weekendtillæg udbetales.",I15="X",C15="ikke relevant")),K15*0.5,0)</f>
        <v>0</v>
      </c>
      <c r="EZ15" s="675">
        <f>IF(AND(AND(AND(Stamoplysninger!$B$26="Der er indgået lokalaftale omkring weekendtimer(Kræver aftale med TR/FSL). Weekendtillæg udbetales.",I15="X",C15="ikke relevant",S15="X"))),(V15*0.5),0)</f>
        <v>0</v>
      </c>
      <c r="FA15" s="283">
        <f>IF(AND(Stamoplysninger!$B$26="Der er indgået lokalaftale omkring weekendtillæg(Kræver aftale med TR/FSL). Weekendtimerne afspadseres.",I15="X"),K15,0)</f>
        <v>0</v>
      </c>
      <c r="FB15" s="251">
        <f>IF(AND(AND(Stamoplysninger!$B$26="Der er indgået lokalaftale omkring weekendtillæg(Kræver aftale med TR/FSL). Weekendtimerne afspadseres.",I15="X",S15="X")),V15,0)</f>
        <v>0</v>
      </c>
      <c r="FC15" s="674">
        <f>IF(AND(AND(Stamoplysninger!$B$26="Der er indgået lokalaftale omkring weekendtillæg(Kræver aftale med TR/FSL). Weekendtimerne afspadseres..",I15="X",C15="ikke relevant")),K15,0)</f>
        <v>0</v>
      </c>
      <c r="FD15" s="675">
        <f>IF(AND(AND(AND(Stamoplysninger!$B$26="Der er indgået lokalaftale omkring weekendtillæg(Kræver aftale med TR/FSL). Weekendtimerne afspadseres.",I15="X",C15="ikke relevant",S15="X"))),(V15),0)</f>
        <v>0</v>
      </c>
      <c r="FE15" s="283">
        <f>IF(AND(Stamoplysninger!$B$26="Der er indgået lokalaftale omkring weekendtillæg(Kræver aftale med TR/FSL). Weekendtimerne udbetales.",I15="X"),K15,0)</f>
        <v>0</v>
      </c>
      <c r="FF15" s="251">
        <f>IF(AND(AND(Stamoplysninger!$B$26="Der er indgået lokalaftale omkring weekendtillæg(Kræver aftale med TR/FSL). Weekendtimerne udbetales.",I15="X",S15="X")),V15,0)</f>
        <v>0</v>
      </c>
      <c r="FG15" s="674">
        <f>IF(AND(AND(Stamoplysninger!$B$26="Der er indgået lokalaftale omkring weekendtillæg(Kræver aftale med TR/FSL). Weekendtimerne udbetales.",I15="X",C15="ikke relevant")),K15,0)</f>
        <v>0</v>
      </c>
      <c r="FH15" s="675">
        <f>IF(AND(AND(AND(Stamoplysninger!$B$26="Der er indgået lokalaftale omkring weekendtillæg(Kræver aftale med TR/FSL). Weekendtimerne udbetales.",I15="X",C15="ikke relevant",S15="X"))),(V15),0)</f>
        <v>0</v>
      </c>
      <c r="FI15" s="283">
        <f>IF(AND(Stamoplysninger!$B$26="Weekendtimer og weekendtillæg afspadseres.",I15="X"),K15,0)</f>
        <v>0</v>
      </c>
      <c r="FJ15" s="251">
        <f>IF(AND(Stamoplysninger!$B$26="Weekendtimer og weekendtillæg afspadseres.",Y15="X"),(AA15+AL15)/2,0)</f>
        <v>0</v>
      </c>
      <c r="FK15" s="674">
        <f>IF(AND(AND(Stamoplysninger!$B$26="Weekendtimer og weekendtillæg afspadseres.",I15="X",C15="ikke relevant")),K15,0)</f>
        <v>0</v>
      </c>
      <c r="FL15" s="675">
        <f>IF(AND(AND(Stamoplysninger!$B$26="Weekendtimer og weekendtillæg afspadseres.",Y15="X",S15="ikke relevant")),(AA15+AL15)/2,0)</f>
        <v>0</v>
      </c>
      <c r="FM15" s="283">
        <f>IF(AND(Stamoplysninger!$B$26="Der er indgået lokalaftale omkring weekendtillæg(Kræver aftale med TR/FSL). Weekendtimerne afspadseres.",I15="X"),K15,0)</f>
        <v>0</v>
      </c>
      <c r="FN15" s="674">
        <f>IF(AND(AND(Stamoplysninger!$B$26="Der er indgået lokalaftale omkring weekendtillæg(Kræver aftale med TR/FSL). Weekendtimerne afspadseres.",I15="X",C15="ikke relevant")),K15,0)</f>
        <v>0</v>
      </c>
      <c r="FO15" s="283">
        <f>IF(AND(Stamoplysninger!$B$26="Weekendtimer og weekendtillæg udbetales.",I15="X"),K15,0)</f>
        <v>0</v>
      </c>
      <c r="FP15" s="251">
        <f>IF(AND(Stamoplysninger!$B$26="Weekendtimer og weekendtillæg udbetales.",AA15="X"),(AC15+AN15)/2,0)</f>
        <v>0</v>
      </c>
      <c r="FQ15" s="674">
        <f>IF(AND(AND(Stamoplysninger!$B$26="Weekendtimer og weekendtillæg udbetales.",I15="X",C15="ikke relevant")),K15,0)</f>
        <v>0</v>
      </c>
      <c r="FR15" s="688">
        <f>IF(AND(AND(Stamoplysninger!$B$26="Weekendtimer og weekendtillæg udbetales.",AA15="X",U15="ikke relevant")),(AC15+AN15)/2,0)</f>
        <v>0</v>
      </c>
      <c r="FS15" s="283">
        <f t="shared" si="13"/>
        <v>0</v>
      </c>
      <c r="FT15" s="658">
        <f t="shared" si="14"/>
        <v>0</v>
      </c>
      <c r="FU15">
        <f t="shared" si="15"/>
        <v>0</v>
      </c>
      <c r="FV15" s="283">
        <f>IF(AND(Stamoplysninger!$B$26="Der er indgået lokalaftale omkring weekendtimer.(Kræver aftale med TR/FSL) Weekendtillæg afspadseres.",I15="X"),K15,0)</f>
        <v>0</v>
      </c>
      <c r="FW15" s="674">
        <f>IF(AND(AND(Stamoplysninger!$B$26="Der er indgået lokalaftale omkring weekendtimer.(Kræver aftale med TR/FSL) Weekendtillæg afspadseres.",I15="X",C15="ikke relevant")),K15,0)</f>
        <v>0</v>
      </c>
      <c r="FX15" s="283">
        <f>IF(AND(Stamoplysninger!$B$26="Der er indgået lokalaftale omkring weekendtimer(Kræver aftale med TR/FSL). Weekendtillæg udbetales.",I15="X"),K15,0)</f>
        <v>0</v>
      </c>
      <c r="FY15" s="674">
        <f>IF(AND(AND(Stamoplysninger!$B$26="Der er indgået lokalaftale omkring weekendtimer(Kræver aftale med TR/FSL). Weekendtillæg udbetales.",I15="X",C15="ikke relevant")),K15,0)</f>
        <v>0</v>
      </c>
      <c r="FZ15" s="283">
        <f>IF(AND(Stamoplysninger!$B$26="Der er indgået lokalaftale omkring weekendtillæg(Kræver aftale med TR/FSL). Weekendtimerne udbetales.",I15="X"),K15,0)</f>
        <v>0</v>
      </c>
      <c r="GA15" s="674">
        <f>IF(AND(AND(Stamoplysninger!$B$26="Der er indgået lokalaftale omkring weekendtillæg(Kræver aftale med TR/FSL). Weekendtimerne udbetales.",I15="X",C15="ikke relevant")),K15,0)</f>
        <v>0</v>
      </c>
      <c r="GB15" s="283">
        <f>IF(AND(Stamoplysninger!$B$26="Der er indgået lokalaftale omkring weekendtimer og weekendtillæg.(Kræver aftale med TR/FSL).",I15="X"),K15,0)</f>
        <v>0</v>
      </c>
      <c r="GC15" s="674">
        <f>IF(AND(AND(Stamoplysninger!$B$26="Der er indgået lokalaftale omkring weekendtimer og weekendtillæg.(Kræver aftale med TR/FSL).",I15="X",C15="ikke relevant")),K15,0)</f>
        <v>0</v>
      </c>
    </row>
    <row r="16" spans="1:185">
      <c r="A16" s="245">
        <f t="shared" si="16"/>
        <v>8</v>
      </c>
      <c r="B16" s="128" t="str">
        <f t="shared" si="0"/>
        <v>lø</v>
      </c>
      <c r="C16" s="129" t="s">
        <v>120</v>
      </c>
      <c r="D16" s="130" t="str">
        <f t="shared" si="1"/>
        <v/>
      </c>
      <c r="E16" s="917"/>
      <c r="F16" s="918"/>
      <c r="G16" s="919"/>
      <c r="H16" s="298"/>
      <c r="I16" s="413"/>
      <c r="J16" s="413"/>
      <c r="K16" s="380"/>
      <c r="L16" s="380"/>
      <c r="M16" s="380"/>
      <c r="N16" s="318">
        <f t="shared" si="17"/>
        <v>0</v>
      </c>
      <c r="O16" s="318">
        <f t="shared" si="18"/>
        <v>0</v>
      </c>
      <c r="P16" s="318">
        <f>IF(Stamoplysninger!$H$29="JA",Februar!DG16,CX16)</f>
        <v>0</v>
      </c>
      <c r="Q16" s="318">
        <f t="shared" si="19"/>
        <v>0</v>
      </c>
      <c r="R16" s="319"/>
      <c r="S16" s="324"/>
      <c r="T16" s="325"/>
      <c r="U16" s="325"/>
      <c r="V16" s="435"/>
      <c r="W16" s="435"/>
      <c r="X16" s="644"/>
      <c r="Y16">
        <f t="shared" si="20"/>
        <v>0</v>
      </c>
      <c r="Z16" s="437">
        <f t="shared" si="21"/>
        <v>0</v>
      </c>
      <c r="AA16" s="1">
        <f t="shared" si="22"/>
        <v>0</v>
      </c>
      <c r="AB16" s="1">
        <f t="shared" si="2"/>
        <v>0</v>
      </c>
      <c r="AC16" s="1">
        <f t="shared" si="3"/>
        <v>0</v>
      </c>
      <c r="AD16" s="1">
        <f t="shared" si="4"/>
        <v>0</v>
      </c>
      <c r="AE16" s="1">
        <f t="shared" si="5"/>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9">
        <f t="shared" si="6"/>
        <v>0</v>
      </c>
      <c r="BC16" s="1">
        <f t="shared" si="24"/>
        <v>0</v>
      </c>
      <c r="BD16" s="1">
        <f t="shared" si="7"/>
        <v>0</v>
      </c>
      <c r="BE16" s="1">
        <f t="shared" si="8"/>
        <v>0</v>
      </c>
      <c r="BF16" s="1">
        <f t="shared" si="9"/>
        <v>0</v>
      </c>
      <c r="BG16" s="210" t="str">
        <f>IF(AND(C16="Skema 1",B16="ma"),Skemaoplysninger!$E$30,"")</f>
        <v/>
      </c>
      <c r="BH16" s="210" t="str">
        <f>IF(AND(C16="Skema 1",B16="ti"),Skemaoplysninger!$G$30,"")</f>
        <v/>
      </c>
      <c r="BI16" s="210" t="str">
        <f>IF(AND(C16="Skema 1",B16="on"),Skemaoplysninger!$I$30,"")</f>
        <v/>
      </c>
      <c r="BJ16" s="210" t="str">
        <f>IF(AND(C16="Skema 1",B16="to"),Skemaoplysninger!$K$30,"")</f>
        <v/>
      </c>
      <c r="BK16" s="210" t="str">
        <f>IF(AND(C16="Skema 1",B16="fr"),Skemaoplysninger!$M$30,"")</f>
        <v/>
      </c>
      <c r="BL16" s="210" t="str">
        <f>IF(AND(C16="Skema 2",B16="ma"),Skemaoplysninger!$S$30,"")</f>
        <v/>
      </c>
      <c r="BM16" s="210" t="str">
        <f>IF(AND(C16="Skema 2",B16="ti"),Skemaoplysninger!$U$30,"")</f>
        <v/>
      </c>
      <c r="BN16" s="210" t="str">
        <f>IF(AND(C16="Skema 2",B16="on"),Skemaoplysninger!$W$30,"")</f>
        <v/>
      </c>
      <c r="BO16" s="210" t="str">
        <f>IF(AND(C16="Skema 2",B16="to"),Skemaoplysninger!$Y$30,"")</f>
        <v/>
      </c>
      <c r="BP16" s="210" t="str">
        <f>IF(AND(C16="Skema 2",B16="fr"),Skemaoplysninger!$AA$30,"")</f>
        <v/>
      </c>
      <c r="BQ16" s="210" t="str">
        <f>IF(AND(C16="Skema 3",B16="ma"),Skemaoplysninger!$AG$30,"")</f>
        <v/>
      </c>
      <c r="BR16" s="210" t="str">
        <f>IF(AND(C16="Skema 3",B16="ti"),Skemaoplysninger!$AI$30,"")</f>
        <v/>
      </c>
      <c r="BS16" s="210" t="str">
        <f>IF(AND(C16="Skema 3",B16="on"),Skemaoplysninger!$AK$30,"")</f>
        <v/>
      </c>
      <c r="BT16" s="210" t="str">
        <f>IF(AND(C16="Skema 3",B16="to"),Skemaoplysninger!$AM$30,"")</f>
        <v/>
      </c>
      <c r="BU16" s="210" t="str">
        <f>IF(AND(C16="Skema 3",B16="fr"),Skemaoplysninger!$AO$30,"")</f>
        <v/>
      </c>
      <c r="BV16" s="210" t="str">
        <f>IF(AND(C16="Skema 4",B16="ma"),Skemaoplysninger!$AU$30,"")</f>
        <v/>
      </c>
      <c r="BW16" s="210" t="str">
        <f>IF(AND(C16="Skema 4",B16="ti"),Skemaoplysninger!$AW$30,"")</f>
        <v/>
      </c>
      <c r="BX16" s="210" t="str">
        <f>IF(AND(C16="Skema 4",B16="on"),Skemaoplysninger!$AY$30,"")</f>
        <v/>
      </c>
      <c r="BY16" s="210" t="str">
        <f>IF(AND(C16="Skema 4",B16="to"),Skemaoplysninger!$BA$30,"")</f>
        <v/>
      </c>
      <c r="BZ16" s="210" t="str">
        <f>IF(AND(C16="Skema 4",B16="fr"),Skemaoplysninger!$BC$30,"")</f>
        <v/>
      </c>
      <c r="CA16" s="1">
        <f t="shared" si="25"/>
        <v>0</v>
      </c>
      <c r="CB16" s="1">
        <f t="shared" si="10"/>
        <v>0</v>
      </c>
      <c r="CC16" s="1">
        <f t="shared" si="11"/>
        <v>0</v>
      </c>
      <c r="CD16" s="210" t="str">
        <f>IF(AND(C16="Skema 1",B16="ma"),Skemaoplysninger!$E$31,"")</f>
        <v/>
      </c>
      <c r="CE16" s="210" t="str">
        <f>IF(AND(C16="Skema 1",B16="ti"),Skemaoplysninger!$G$31,"")</f>
        <v/>
      </c>
      <c r="CF16" s="210" t="str">
        <f>IF(AND(C16="Skema 1",B16="on"),Skemaoplysninger!$I$31,"")</f>
        <v/>
      </c>
      <c r="CG16" s="210" t="str">
        <f>IF(AND(C16="Skema 1",B16="to"),Skemaoplysninger!$K$31,"")</f>
        <v/>
      </c>
      <c r="CH16" s="210" t="str">
        <f>IF(AND(C16="Skema 1",B16="fr"),Skemaoplysninger!$M$31,"")</f>
        <v/>
      </c>
      <c r="CI16" s="210" t="str">
        <f>IF(AND(C16="Skema 2",B16="ma"),Skemaoplysninger!$S$31,"")</f>
        <v/>
      </c>
      <c r="CJ16" s="210" t="str">
        <f>IF(AND(C16="Skema 2",B16="ti"),Skemaoplysninger!$U$31,"")</f>
        <v/>
      </c>
      <c r="CK16" s="210" t="str">
        <f>IF(AND(C16="Skema 2",B16="on"),Skemaoplysninger!$W$31,"")</f>
        <v/>
      </c>
      <c r="CL16" s="210" t="str">
        <f>IF(AND(C16="Skema 2",B16="to"),Skemaoplysninger!$Y$31,"")</f>
        <v/>
      </c>
      <c r="CM16" s="210" t="str">
        <f>IF(AND(C16="Skema 2",B16="fr"),Skemaoplysninger!$AA$31,"")</f>
        <v/>
      </c>
      <c r="CN16" s="210" t="str">
        <f>IF(AND(C16="Skema 3",B16="ma"),Skemaoplysninger!$AG$31,"")</f>
        <v/>
      </c>
      <c r="CO16" s="210" t="str">
        <f>IF(AND(C16="Skema 3",B16="ti"),Skemaoplysninger!$AI$31,"")</f>
        <v/>
      </c>
      <c r="CP16" s="210" t="str">
        <f>IF(AND(C16="Skema 3",B16="on"),Skemaoplysninger!$AK$31,"")</f>
        <v/>
      </c>
      <c r="CQ16" s="210" t="str">
        <f>IF(AND(C16="Skema 3",B16="to"),Skemaoplysninger!$AM$31,"")</f>
        <v/>
      </c>
      <c r="CR16" s="210" t="str">
        <f>IF(AND(C16="Skema 3",B16="fr"),Skemaoplysninger!$AO$31,"")</f>
        <v/>
      </c>
      <c r="CS16" s="210" t="str">
        <f>IF(AND(C16="Skema 4",B16="ma"),Skemaoplysninger!$AU$31,"")</f>
        <v/>
      </c>
      <c r="CT16" s="210" t="str">
        <f>IF(AND(C16="Skema 4",B16="ti"),Skemaoplysninger!$AW$31,"")</f>
        <v/>
      </c>
      <c r="CU16" s="210" t="str">
        <f>IF(AND(C16="Skema 4",B16="on"),Skemaoplysninger!$AY$31,"")</f>
        <v/>
      </c>
      <c r="CV16" s="210" t="str">
        <f>IF(AND(C16="Skema 4",B16="to"),Skemaoplysninger!$BA$31,"")</f>
        <v/>
      </c>
      <c r="CW16" s="210" t="str">
        <f>IF(AND(C16="Skema 4",B16="fr"),Skemaoplysninger!$BC$31,"")</f>
        <v/>
      </c>
      <c r="CX16" s="249">
        <f>IF(Stamoplysninger!$H$29="NEJ",SUM(CD16:CW16)*24+CB16+CC16,0)</f>
        <v>0</v>
      </c>
      <c r="CY16" s="249">
        <f>IF(C16="Skema 1",Stamoplysninger!$H$30/200,0)</f>
        <v>0</v>
      </c>
      <c r="CZ16" s="249">
        <f>IF(C16="Skema 2",Stamoplysninger!$H$30/200,0)</f>
        <v>0</v>
      </c>
      <c r="DA16" s="249">
        <f>IF(C16="Skema 3",Stamoplysninger!$H$30/200,0)</f>
        <v>0</v>
      </c>
      <c r="DB16" s="249">
        <f>IF(C16="Skema 4",Stamoplysninger!$H$30/200,0)</f>
        <v>0</v>
      </c>
      <c r="DC16" s="249">
        <f>IF(C16="fagdag",Stamoplysninger!$H$30/200,0)</f>
        <v>0</v>
      </c>
      <c r="DD16" s="249">
        <f>IF(C16="emnedag",Stamoplysninger!$H$30/200,0)</f>
        <v>0</v>
      </c>
      <c r="DE16" s="249">
        <f>IF(C16="lejrskole",Stamoplysninger!$H$30/200,0)</f>
        <v>0</v>
      </c>
      <c r="DF16" s="249">
        <f>IF(C16="ekskursion",Stamoplysninger!$H$30/200,0)</f>
        <v>0</v>
      </c>
      <c r="DG16" s="249">
        <f t="shared" si="26"/>
        <v>0</v>
      </c>
      <c r="DH16" t="str">
        <f t="shared" si="27"/>
        <v/>
      </c>
      <c r="DI16">
        <f t="shared" si="28"/>
        <v>0</v>
      </c>
      <c r="DJ16">
        <f t="shared" si="29"/>
        <v>0</v>
      </c>
      <c r="DK16" t="str">
        <f t="shared" si="12"/>
        <v/>
      </c>
      <c r="DL16" t="str">
        <f t="shared" si="12"/>
        <v/>
      </c>
      <c r="DM16" t="str">
        <f t="shared" si="12"/>
        <v/>
      </c>
      <c r="DN16" t="str">
        <f t="shared" si="30"/>
        <v/>
      </c>
      <c r="DO16" s="652">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71">
        <f>IF(AND(Stamoplysninger!$B$22="Ulempetillæg udbetales med 25% af nettotimelønnen.",C16="ikke relevant"),(R16)/4,0)</f>
        <v>0</v>
      </c>
      <c r="DT16" s="671">
        <f>IF(AND(AND(Stamoplysninger!$B$22="Ulempetillæg udbetales med 25% af nettotimelønnen.",I16="X",C16="Ikke relevant")),K16/4,0)</f>
        <v>0</v>
      </c>
      <c r="DU16" s="671">
        <f>IF(AND(AND(Stamoplysninger!$B$22="Ulempetillæg udbetales med 25% af nettotimelønnen.",C16="ikke relevant",U16="X")),(X16/4),0)</f>
        <v>0</v>
      </c>
      <c r="DV16" s="672">
        <f>IF(AND(AND(AND(Stamoplysninger!$B$22="Ulempetillæg udbetales med 25% af nettotimelønnen.",I16="X",C16="Ikke relevant",S16="X"))),V16/4,0)</f>
        <v>0</v>
      </c>
      <c r="DW16" s="652"/>
      <c r="DZ16" s="671"/>
      <c r="EA16" s="671"/>
      <c r="EB16" s="672"/>
      <c r="EC16" s="652">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71">
        <f>IF(AND(Stamoplysninger!$B$22="Ulempetillæg afspadseres med 25%(Kræver en aftale imellem ledelsen og den ansatte)",C16="ikke relevant"),(R16)/4,0)</f>
        <v>0</v>
      </c>
      <c r="EH16" s="671">
        <f>IF(AND(AND(Stamoplysninger!$B$22="Ulempetillæg afspadseres med 25%(Kræver en aftale imellem ledelsen og den ansatte)",I16="X",C16="Ikke relevant")),K16/4,0)</f>
        <v>0</v>
      </c>
      <c r="EI16" s="671">
        <f>IF(AND(AND(Stamoplysninger!$B$22="Ulempetillæg afspadseres med 25%(Kræver en aftale imellem ledelsen og den ansatte)",U16="X",C16="Ikke relevant")),X16/4,0)</f>
        <v>0</v>
      </c>
      <c r="EJ16" s="671">
        <f>IF(AND(AND(AND(Stamoplysninger!$B$22="Ulempetillæg afspadseres med 25%(Kræver en aftale imellem ledelsen og den ansatte)",I16="X",C16="Ikke relevant",S16="X"))),V16/4,0)</f>
        <v>0</v>
      </c>
      <c r="EK16" s="283">
        <f>IF(AND(Stamoplysninger!$B$26="Weekendtimer og weekendtillæg afspadseres.",I16="X"),K16*1.5,0)</f>
        <v>0</v>
      </c>
      <c r="EL16" s="251">
        <f>IF(AND(AND(Stamoplysninger!$B$26="Weekendtimer og weekendtillæg afspadseres.",I16="X",S16="X")),V16*1.5,0)</f>
        <v>0</v>
      </c>
      <c r="EM16" s="674">
        <f>IF(AND(AND(Stamoplysninger!$B$26="Weekendtimer og weekendtillæg afspadseres.",I16="X",C16="ikke relevant")),K16*1.5,0)</f>
        <v>0</v>
      </c>
      <c r="EN16" s="675">
        <f>IF(AND(AND(AND(Stamoplysninger!$B$26="Weekendtimer og weekendtillæg afspadseres.",I16="X",C16="ikke relevant",S16="X"))),(V16*1.5),0)</f>
        <v>0</v>
      </c>
      <c r="EO16" s="283">
        <f>IF(AND(Stamoplysninger!$B$26="Weekendtimer og weekendtillæg udbetales.",I16="X"),K16*1.5,0)</f>
        <v>0</v>
      </c>
      <c r="EP16" s="251">
        <f>IF(AND(AND(Stamoplysninger!$B$26="Weekendtimer og weekendtillæg udbetales.",I16="X",S16="X")),V16*1.5,0)</f>
        <v>0</v>
      </c>
      <c r="EQ16" s="674">
        <f>IF(AND(AND(Stamoplysninger!$B$26="Weekendtimer og weekendtillæg udbetales.",I16="X",C16="ikke relevant")),K16*1.5,0)</f>
        <v>0</v>
      </c>
      <c r="ER16" s="675">
        <f>IF(AND(AND(AND(Stamoplysninger!$B$26="Weekendtimer og weekendtillæg udbetales.",I16="X",C16="ikke relevant",S16="X"))),(V16*1.5),0)</f>
        <v>0</v>
      </c>
      <c r="ES16" s="283">
        <f>IF(AND(Stamoplysninger!$B$26="Der er indgået lokalaftale omkring weekendtimer.(Kræver aftale med TR/FSL) Weekendtillæg afspadseres.",I16="X"),K16*0.5,0)</f>
        <v>0</v>
      </c>
      <c r="ET16" s="251">
        <f>IF(AND(AND(Stamoplysninger!$B$26="Der er indgået lokalaftale omkring weekendtimer.(Kræver aftale med TR/FSL) Weekendtillæg afspadseres.",I16="X",S16="X")),V16*0.5,0)</f>
        <v>0</v>
      </c>
      <c r="EU16" s="674">
        <f>IF(AND(AND(Stamoplysninger!$B$26="Der er indgået lokalaftale omkring weekendtimer.(Kræver aftale med TR/FSL) Weekendtillæg afspadseres.",I16="X",C16="ikke relevant")),K16*0.5,0)</f>
        <v>0</v>
      </c>
      <c r="EV16" s="675">
        <f>IF(AND(AND(AND(Stamoplysninger!$B$26="Der er indgået lokalaftale omkring weekendtimer.(Kræver aftale med TR/FSL) Weekendtillæg afspadseres.",I16="X",C16="ikke relevant",S16="X"))),(V16*0.5),0)</f>
        <v>0</v>
      </c>
      <c r="EW16" s="283">
        <f>IF(AND(Stamoplysninger!$B$26="Der er indgået lokalaftale omkring weekendtimer(Kræver aftale med TR/FSL). Weekendtillæg udbetales.",I16="X"),K16*0.5,0)</f>
        <v>0</v>
      </c>
      <c r="EX16" s="251">
        <f>IF(AND(AND(Stamoplysninger!$B$26="Der er indgået lokalaftale omkring weekendtimer(Kræver aftale med TR/FSL). Weekendtillæg udbetales.",I16="X",S16="X")),V16*0.5,0)</f>
        <v>0</v>
      </c>
      <c r="EY16" s="674">
        <f>IF(AND(AND(Stamoplysninger!$B$26="Der er indgået lokalaftale omkring weekendtimer(Kræver aftale med TR/FSL). Weekendtillæg udbetales.",I16="X",C16="ikke relevant")),K16*0.5,0)</f>
        <v>0</v>
      </c>
      <c r="EZ16" s="675">
        <f>IF(AND(AND(AND(Stamoplysninger!$B$26="Der er indgået lokalaftale omkring weekendtimer(Kræver aftale med TR/FSL). Weekendtillæg udbetales.",I16="X",C16="ikke relevant",S16="X"))),(V16*0.5),0)</f>
        <v>0</v>
      </c>
      <c r="FA16" s="283">
        <f>IF(AND(Stamoplysninger!$B$26="Der er indgået lokalaftale omkring weekendtillæg(Kræver aftale med TR/FSL). Weekendtimerne afspadseres.",I16="X"),K16,0)</f>
        <v>0</v>
      </c>
      <c r="FB16" s="251">
        <f>IF(AND(AND(Stamoplysninger!$B$26="Der er indgået lokalaftale omkring weekendtillæg(Kræver aftale med TR/FSL). Weekendtimerne afspadseres.",I16="X",S16="X")),V16,0)</f>
        <v>0</v>
      </c>
      <c r="FC16" s="674">
        <f>IF(AND(AND(Stamoplysninger!$B$26="Der er indgået lokalaftale omkring weekendtillæg(Kræver aftale med TR/FSL). Weekendtimerne afspadseres..",I16="X",C16="ikke relevant")),K16,0)</f>
        <v>0</v>
      </c>
      <c r="FD16" s="675">
        <f>IF(AND(AND(AND(Stamoplysninger!$B$26="Der er indgået lokalaftale omkring weekendtillæg(Kræver aftale med TR/FSL). Weekendtimerne afspadseres.",I16="X",C16="ikke relevant",S16="X"))),(V16),0)</f>
        <v>0</v>
      </c>
      <c r="FE16" s="283">
        <f>IF(AND(Stamoplysninger!$B$26="Der er indgået lokalaftale omkring weekendtillæg(Kræver aftale med TR/FSL). Weekendtimerne udbetales.",I16="X"),K16,0)</f>
        <v>0</v>
      </c>
      <c r="FF16" s="251">
        <f>IF(AND(AND(Stamoplysninger!$B$26="Der er indgået lokalaftale omkring weekendtillæg(Kræver aftale med TR/FSL). Weekendtimerne udbetales.",I16="X",S16="X")),V16,0)</f>
        <v>0</v>
      </c>
      <c r="FG16" s="674">
        <f>IF(AND(AND(Stamoplysninger!$B$26="Der er indgået lokalaftale omkring weekendtillæg(Kræver aftale med TR/FSL). Weekendtimerne udbetales.",I16="X",C16="ikke relevant")),K16,0)</f>
        <v>0</v>
      </c>
      <c r="FH16" s="675">
        <f>IF(AND(AND(AND(Stamoplysninger!$B$26="Der er indgået lokalaftale omkring weekendtillæg(Kræver aftale med TR/FSL). Weekendtimerne udbetales.",I16="X",C16="ikke relevant",S16="X"))),(V16),0)</f>
        <v>0</v>
      </c>
      <c r="FI16" s="283">
        <f>IF(AND(Stamoplysninger!$B$26="Weekendtimer og weekendtillæg afspadseres.",I16="X"),K16,0)</f>
        <v>0</v>
      </c>
      <c r="FJ16" s="251">
        <f>IF(AND(Stamoplysninger!$B$26="Weekendtimer og weekendtillæg afspadseres.",Y16="X"),(AA16+AL16)/2,0)</f>
        <v>0</v>
      </c>
      <c r="FK16" s="674">
        <f>IF(AND(AND(Stamoplysninger!$B$26="Weekendtimer og weekendtillæg afspadseres.",I16="X",C16="ikke relevant")),K16,0)</f>
        <v>0</v>
      </c>
      <c r="FL16" s="675">
        <f>IF(AND(AND(Stamoplysninger!$B$26="Weekendtimer og weekendtillæg afspadseres.",Y16="X",S16="ikke relevant")),(AA16+AL16)/2,0)</f>
        <v>0</v>
      </c>
      <c r="FM16" s="283">
        <f>IF(AND(Stamoplysninger!$B$26="Der er indgået lokalaftale omkring weekendtillæg(Kræver aftale med TR/FSL). Weekendtimerne afspadseres.",I16="X"),K16,0)</f>
        <v>0</v>
      </c>
      <c r="FN16" s="674">
        <f>IF(AND(AND(Stamoplysninger!$B$26="Der er indgået lokalaftale omkring weekendtillæg(Kræver aftale med TR/FSL). Weekendtimerne afspadseres.",I16="X",C16="ikke relevant")),K16,0)</f>
        <v>0</v>
      </c>
      <c r="FO16" s="283">
        <f>IF(AND(Stamoplysninger!$B$26="Weekendtimer og weekendtillæg udbetales.",I16="X"),K16,0)</f>
        <v>0</v>
      </c>
      <c r="FP16" s="251">
        <f>IF(AND(Stamoplysninger!$B$26="Weekendtimer og weekendtillæg udbetales.",AA16="X"),(AC16+AN16)/2,0)</f>
        <v>0</v>
      </c>
      <c r="FQ16" s="674">
        <f>IF(AND(AND(Stamoplysninger!$B$26="Weekendtimer og weekendtillæg udbetales.",I16="X",C16="ikke relevant")),K16,0)</f>
        <v>0</v>
      </c>
      <c r="FR16" s="688">
        <f>IF(AND(AND(Stamoplysninger!$B$26="Weekendtimer og weekendtillæg udbetales.",AA16="X",U16="ikke relevant")),(AC16+AN16)/2,0)</f>
        <v>0</v>
      </c>
      <c r="FS16" s="283">
        <f t="shared" si="13"/>
        <v>0</v>
      </c>
      <c r="FT16" s="658">
        <f t="shared" si="14"/>
        <v>0</v>
      </c>
      <c r="FU16">
        <f t="shared" si="15"/>
        <v>0</v>
      </c>
      <c r="FV16" s="283">
        <f>IF(AND(Stamoplysninger!$B$26="Der er indgået lokalaftale omkring weekendtimer.(Kræver aftale med TR/FSL) Weekendtillæg afspadseres.",I16="X"),K16,0)</f>
        <v>0</v>
      </c>
      <c r="FW16" s="674">
        <f>IF(AND(AND(Stamoplysninger!$B$26="Der er indgået lokalaftale omkring weekendtimer.(Kræver aftale med TR/FSL) Weekendtillæg afspadseres.",I16="X",C16="ikke relevant")),K16,0)</f>
        <v>0</v>
      </c>
      <c r="FX16" s="283">
        <f>IF(AND(Stamoplysninger!$B$26="Der er indgået lokalaftale omkring weekendtimer(Kræver aftale med TR/FSL). Weekendtillæg udbetales.",I16="X"),K16,0)</f>
        <v>0</v>
      </c>
      <c r="FY16" s="674">
        <f>IF(AND(AND(Stamoplysninger!$B$26="Der er indgået lokalaftale omkring weekendtimer(Kræver aftale med TR/FSL). Weekendtillæg udbetales.",I16="X",C16="ikke relevant")),K16,0)</f>
        <v>0</v>
      </c>
      <c r="FZ16" s="283">
        <f>IF(AND(Stamoplysninger!$B$26="Der er indgået lokalaftale omkring weekendtillæg(Kræver aftale med TR/FSL). Weekendtimerne udbetales.",I16="X"),K16,0)</f>
        <v>0</v>
      </c>
      <c r="GA16" s="674">
        <f>IF(AND(AND(Stamoplysninger!$B$26="Der er indgået lokalaftale omkring weekendtillæg(Kræver aftale med TR/FSL). Weekendtimerne udbetales.",I16="X",C16="ikke relevant")),K16,0)</f>
        <v>0</v>
      </c>
      <c r="GB16" s="283">
        <f>IF(AND(Stamoplysninger!$B$26="Der er indgået lokalaftale omkring weekendtimer og weekendtillæg.(Kræver aftale med TR/FSL).",I16="X"),K16,0)</f>
        <v>0</v>
      </c>
      <c r="GC16" s="674">
        <f>IF(AND(AND(Stamoplysninger!$B$26="Der er indgået lokalaftale omkring weekendtimer og weekendtillæg.(Kræver aftale med TR/FSL).",I16="X",C16="ikke relevant")),K16,0)</f>
        <v>0</v>
      </c>
    </row>
    <row r="17" spans="1:185">
      <c r="A17" s="245">
        <f t="shared" si="16"/>
        <v>9</v>
      </c>
      <c r="B17" s="128" t="str">
        <f t="shared" si="0"/>
        <v>sø</v>
      </c>
      <c r="C17" s="129" t="s">
        <v>120</v>
      </c>
      <c r="D17" s="130" t="str">
        <f t="shared" si="1"/>
        <v/>
      </c>
      <c r="E17" s="917"/>
      <c r="F17" s="918"/>
      <c r="G17" s="919"/>
      <c r="H17" s="298"/>
      <c r="I17" s="413"/>
      <c r="J17" s="413"/>
      <c r="K17" s="380"/>
      <c r="L17" s="380"/>
      <c r="M17" s="380"/>
      <c r="N17" s="318">
        <f t="shared" si="17"/>
        <v>0</v>
      </c>
      <c r="O17" s="318">
        <f t="shared" si="18"/>
        <v>0</v>
      </c>
      <c r="P17" s="318">
        <f>IF(Stamoplysninger!$H$29="JA",Februar!DG17,CX17)</f>
        <v>0</v>
      </c>
      <c r="Q17" s="318">
        <f t="shared" si="19"/>
        <v>0</v>
      </c>
      <c r="R17" s="319"/>
      <c r="S17" s="324"/>
      <c r="T17" s="325"/>
      <c r="U17" s="325"/>
      <c r="V17" s="435"/>
      <c r="W17" s="435"/>
      <c r="X17" s="644"/>
      <c r="Y17">
        <f t="shared" si="20"/>
        <v>0</v>
      </c>
      <c r="Z17" s="437">
        <f t="shared" si="21"/>
        <v>0</v>
      </c>
      <c r="AA17" s="1">
        <f t="shared" si="22"/>
        <v>0</v>
      </c>
      <c r="AB17" s="1">
        <f t="shared" si="2"/>
        <v>0</v>
      </c>
      <c r="AC17" s="1">
        <f t="shared" si="3"/>
        <v>0</v>
      </c>
      <c r="AD17" s="1">
        <f t="shared" si="4"/>
        <v>0</v>
      </c>
      <c r="AE17" s="1">
        <f t="shared" si="5"/>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9">
        <f t="shared" si="6"/>
        <v>0</v>
      </c>
      <c r="BC17" s="1">
        <f t="shared" si="24"/>
        <v>0</v>
      </c>
      <c r="BD17" s="1">
        <f t="shared" si="7"/>
        <v>0</v>
      </c>
      <c r="BE17" s="1">
        <f t="shared" si="8"/>
        <v>0</v>
      </c>
      <c r="BF17" s="1">
        <f t="shared" si="9"/>
        <v>0</v>
      </c>
      <c r="BG17" s="210" t="str">
        <f>IF(AND(C17="Skema 1",B17="ma"),Skemaoplysninger!$E$30,"")</f>
        <v/>
      </c>
      <c r="BH17" s="210" t="str">
        <f>IF(AND(C17="Skema 1",B17="ti"),Skemaoplysninger!$G$30,"")</f>
        <v/>
      </c>
      <c r="BI17" s="210" t="str">
        <f>IF(AND(C17="Skema 1",B17="on"),Skemaoplysninger!$I$30,"")</f>
        <v/>
      </c>
      <c r="BJ17" s="210" t="str">
        <f>IF(AND(C17="Skema 1",B17="to"),Skemaoplysninger!$K$30,"")</f>
        <v/>
      </c>
      <c r="BK17" s="210" t="str">
        <f>IF(AND(C17="Skema 1",B17="fr"),Skemaoplysninger!$M$30,"")</f>
        <v/>
      </c>
      <c r="BL17" s="210" t="str">
        <f>IF(AND(C17="Skema 2",B17="ma"),Skemaoplysninger!$S$30,"")</f>
        <v/>
      </c>
      <c r="BM17" s="210" t="str">
        <f>IF(AND(C17="Skema 2",B17="ti"),Skemaoplysninger!$U$30,"")</f>
        <v/>
      </c>
      <c r="BN17" s="210" t="str">
        <f>IF(AND(C17="Skema 2",B17="on"),Skemaoplysninger!$W$30,"")</f>
        <v/>
      </c>
      <c r="BO17" s="210" t="str">
        <f>IF(AND(C17="Skema 2",B17="to"),Skemaoplysninger!$Y$30,"")</f>
        <v/>
      </c>
      <c r="BP17" s="210" t="str">
        <f>IF(AND(C17="Skema 2",B17="fr"),Skemaoplysninger!$AA$30,"")</f>
        <v/>
      </c>
      <c r="BQ17" s="210" t="str">
        <f>IF(AND(C17="Skema 3",B17="ma"),Skemaoplysninger!$AG$30,"")</f>
        <v/>
      </c>
      <c r="BR17" s="210" t="str">
        <f>IF(AND(C17="Skema 3",B17="ti"),Skemaoplysninger!$AI$30,"")</f>
        <v/>
      </c>
      <c r="BS17" s="210" t="str">
        <f>IF(AND(C17="Skema 3",B17="on"),Skemaoplysninger!$AK$30,"")</f>
        <v/>
      </c>
      <c r="BT17" s="210" t="str">
        <f>IF(AND(C17="Skema 3",B17="to"),Skemaoplysninger!$AM$30,"")</f>
        <v/>
      </c>
      <c r="BU17" s="210" t="str">
        <f>IF(AND(C17="Skema 3",B17="fr"),Skemaoplysninger!$AO$30,"")</f>
        <v/>
      </c>
      <c r="BV17" s="210" t="str">
        <f>IF(AND(C17="Skema 4",B17="ma"),Skemaoplysninger!$AU$30,"")</f>
        <v/>
      </c>
      <c r="BW17" s="210" t="str">
        <f>IF(AND(C17="Skema 4",B17="ti"),Skemaoplysninger!$AW$30,"")</f>
        <v/>
      </c>
      <c r="BX17" s="210" t="str">
        <f>IF(AND(C17="Skema 4",B17="on"),Skemaoplysninger!$AY$30,"")</f>
        <v/>
      </c>
      <c r="BY17" s="210" t="str">
        <f>IF(AND(C17="Skema 4",B17="to"),Skemaoplysninger!$BA$30,"")</f>
        <v/>
      </c>
      <c r="BZ17" s="210" t="str">
        <f>IF(AND(C17="Skema 4",B17="fr"),Skemaoplysninger!$BC$30,"")</f>
        <v/>
      </c>
      <c r="CA17" s="1">
        <f t="shared" si="25"/>
        <v>0</v>
      </c>
      <c r="CB17" s="1">
        <f t="shared" si="10"/>
        <v>0</v>
      </c>
      <c r="CC17" s="1">
        <f t="shared" si="11"/>
        <v>0</v>
      </c>
      <c r="CD17" s="210" t="str">
        <f>IF(AND(C17="Skema 1",B17="ma"),Skemaoplysninger!$E$31,"")</f>
        <v/>
      </c>
      <c r="CE17" s="210" t="str">
        <f>IF(AND(C17="Skema 1",B17="ti"),Skemaoplysninger!$G$31,"")</f>
        <v/>
      </c>
      <c r="CF17" s="210" t="str">
        <f>IF(AND(C17="Skema 1",B17="on"),Skemaoplysninger!$I$31,"")</f>
        <v/>
      </c>
      <c r="CG17" s="210" t="str">
        <f>IF(AND(C17="Skema 1",B17="to"),Skemaoplysninger!$K$31,"")</f>
        <v/>
      </c>
      <c r="CH17" s="210" t="str">
        <f>IF(AND(C17="Skema 1",B17="fr"),Skemaoplysninger!$M$31,"")</f>
        <v/>
      </c>
      <c r="CI17" s="210" t="str">
        <f>IF(AND(C17="Skema 2",B17="ma"),Skemaoplysninger!$S$31,"")</f>
        <v/>
      </c>
      <c r="CJ17" s="210" t="str">
        <f>IF(AND(C17="Skema 2",B17="ti"),Skemaoplysninger!$U$31,"")</f>
        <v/>
      </c>
      <c r="CK17" s="210" t="str">
        <f>IF(AND(C17="Skema 2",B17="on"),Skemaoplysninger!$W$31,"")</f>
        <v/>
      </c>
      <c r="CL17" s="210" t="str">
        <f>IF(AND(C17="Skema 2",B17="to"),Skemaoplysninger!$Y$31,"")</f>
        <v/>
      </c>
      <c r="CM17" s="210" t="str">
        <f>IF(AND(C17="Skema 2",B17="fr"),Skemaoplysninger!$AA$31,"")</f>
        <v/>
      </c>
      <c r="CN17" s="210" t="str">
        <f>IF(AND(C17="Skema 3",B17="ma"),Skemaoplysninger!$AG$31,"")</f>
        <v/>
      </c>
      <c r="CO17" s="210" t="str">
        <f>IF(AND(C17="Skema 3",B17="ti"),Skemaoplysninger!$AI$31,"")</f>
        <v/>
      </c>
      <c r="CP17" s="210" t="str">
        <f>IF(AND(C17="Skema 3",B17="on"),Skemaoplysninger!$AK$31,"")</f>
        <v/>
      </c>
      <c r="CQ17" s="210" t="str">
        <f>IF(AND(C17="Skema 3",B17="to"),Skemaoplysninger!$AM$31,"")</f>
        <v/>
      </c>
      <c r="CR17" s="210" t="str">
        <f>IF(AND(C17="Skema 3",B17="fr"),Skemaoplysninger!$AO$31,"")</f>
        <v/>
      </c>
      <c r="CS17" s="210" t="str">
        <f>IF(AND(C17="Skema 4",B17="ma"),Skemaoplysninger!$AU$31,"")</f>
        <v/>
      </c>
      <c r="CT17" s="210" t="str">
        <f>IF(AND(C17="Skema 4",B17="ti"),Skemaoplysninger!$AW$31,"")</f>
        <v/>
      </c>
      <c r="CU17" s="210" t="str">
        <f>IF(AND(C17="Skema 4",B17="on"),Skemaoplysninger!$AY$31,"")</f>
        <v/>
      </c>
      <c r="CV17" s="210" t="str">
        <f>IF(AND(C17="Skema 4",B17="to"),Skemaoplysninger!$BA$31,"")</f>
        <v/>
      </c>
      <c r="CW17" s="210" t="str">
        <f>IF(AND(C17="Skema 4",B17="fr"),Skemaoplysninger!$BC$31,"")</f>
        <v/>
      </c>
      <c r="CX17" s="249">
        <f>IF(Stamoplysninger!$H$29="NEJ",SUM(CD17:CW17)*24+CB17+CC17,0)</f>
        <v>0</v>
      </c>
      <c r="CY17" s="249">
        <f>IF(C17="Skema 1",Stamoplysninger!$H$30/200,0)</f>
        <v>0</v>
      </c>
      <c r="CZ17" s="249">
        <f>IF(C17="Skema 2",Stamoplysninger!$H$30/200,0)</f>
        <v>0</v>
      </c>
      <c r="DA17" s="249">
        <f>IF(C17="Skema 3",Stamoplysninger!$H$30/200,0)</f>
        <v>0</v>
      </c>
      <c r="DB17" s="249">
        <f>IF(C17="Skema 4",Stamoplysninger!$H$30/200,0)</f>
        <v>0</v>
      </c>
      <c r="DC17" s="249">
        <f>IF(C17="fagdag",Stamoplysninger!$H$30/200,0)</f>
        <v>0</v>
      </c>
      <c r="DD17" s="249">
        <f>IF(C17="emnedag",Stamoplysninger!$H$30/200,0)</f>
        <v>0</v>
      </c>
      <c r="DE17" s="249">
        <f>IF(C17="lejrskole",Stamoplysninger!$H$30/200,0)</f>
        <v>0</v>
      </c>
      <c r="DF17" s="249">
        <f>IF(C17="ekskursion",Stamoplysninger!$H$30/200,0)</f>
        <v>0</v>
      </c>
      <c r="DG17" s="249">
        <f t="shared" si="26"/>
        <v>0</v>
      </c>
      <c r="DH17" t="str">
        <f t="shared" si="27"/>
        <v/>
      </c>
      <c r="DI17">
        <f t="shared" si="28"/>
        <v>0</v>
      </c>
      <c r="DJ17">
        <f t="shared" si="29"/>
        <v>0</v>
      </c>
      <c r="DK17" t="str">
        <f t="shared" si="12"/>
        <v/>
      </c>
      <c r="DL17" t="str">
        <f t="shared" si="12"/>
        <v/>
      </c>
      <c r="DM17" t="str">
        <f t="shared" si="12"/>
        <v/>
      </c>
      <c r="DN17" t="str">
        <f t="shared" si="30"/>
        <v/>
      </c>
      <c r="DO17" s="652">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71">
        <f>IF(AND(Stamoplysninger!$B$22="Ulempetillæg udbetales med 25% af nettotimelønnen.",C17="ikke relevant"),(R17)/4,0)</f>
        <v>0</v>
      </c>
      <c r="DT17" s="671">
        <f>IF(AND(AND(Stamoplysninger!$B$22="Ulempetillæg udbetales med 25% af nettotimelønnen.",I17="X",C17="Ikke relevant")),K17/4,0)</f>
        <v>0</v>
      </c>
      <c r="DU17" s="671">
        <f>IF(AND(AND(Stamoplysninger!$B$22="Ulempetillæg udbetales med 25% af nettotimelønnen.",C17="ikke relevant",U17="X")),(X17/4),0)</f>
        <v>0</v>
      </c>
      <c r="DV17" s="672">
        <f>IF(AND(AND(AND(Stamoplysninger!$B$22="Ulempetillæg udbetales med 25% af nettotimelønnen.",I17="X",C17="Ikke relevant",S17="X"))),V17/4,0)</f>
        <v>0</v>
      </c>
      <c r="DW17" s="652"/>
      <c r="DZ17" s="671"/>
      <c r="EA17" s="671"/>
      <c r="EB17" s="672"/>
      <c r="EC17" s="652">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71">
        <f>IF(AND(Stamoplysninger!$B$22="Ulempetillæg afspadseres med 25%(Kræver en aftale imellem ledelsen og den ansatte)",C17="ikke relevant"),(R17)/4,0)</f>
        <v>0</v>
      </c>
      <c r="EH17" s="671">
        <f>IF(AND(AND(Stamoplysninger!$B$22="Ulempetillæg afspadseres med 25%(Kræver en aftale imellem ledelsen og den ansatte)",I17="X",C17="Ikke relevant")),K17/4,0)</f>
        <v>0</v>
      </c>
      <c r="EI17" s="671">
        <f>IF(AND(AND(Stamoplysninger!$B$22="Ulempetillæg afspadseres med 25%(Kræver en aftale imellem ledelsen og den ansatte)",U17="X",C17="Ikke relevant")),X17/4,0)</f>
        <v>0</v>
      </c>
      <c r="EJ17" s="671">
        <f>IF(AND(AND(AND(Stamoplysninger!$B$22="Ulempetillæg afspadseres med 25%(Kræver en aftale imellem ledelsen og den ansatte)",I17="X",C17="Ikke relevant",S17="X"))),V17/4,0)</f>
        <v>0</v>
      </c>
      <c r="EK17" s="283">
        <f>IF(AND(Stamoplysninger!$B$26="Weekendtimer og weekendtillæg afspadseres.",I17="X"),K17*1.5,0)</f>
        <v>0</v>
      </c>
      <c r="EL17" s="251">
        <f>IF(AND(AND(Stamoplysninger!$B$26="Weekendtimer og weekendtillæg afspadseres.",I17="X",S17="X")),V17*1.5,0)</f>
        <v>0</v>
      </c>
      <c r="EM17" s="674">
        <f>IF(AND(AND(Stamoplysninger!$B$26="Weekendtimer og weekendtillæg afspadseres.",I17="X",C17="ikke relevant")),K17*1.5,0)</f>
        <v>0</v>
      </c>
      <c r="EN17" s="675">
        <f>IF(AND(AND(AND(Stamoplysninger!$B$26="Weekendtimer og weekendtillæg afspadseres.",I17="X",C17="ikke relevant",S17="X"))),(V17*1.5),0)</f>
        <v>0</v>
      </c>
      <c r="EO17" s="283">
        <f>IF(AND(Stamoplysninger!$B$26="Weekendtimer og weekendtillæg udbetales.",I17="X"),K17*1.5,0)</f>
        <v>0</v>
      </c>
      <c r="EP17" s="251">
        <f>IF(AND(AND(Stamoplysninger!$B$26="Weekendtimer og weekendtillæg udbetales.",I17="X",S17="X")),V17*1.5,0)</f>
        <v>0</v>
      </c>
      <c r="EQ17" s="674">
        <f>IF(AND(AND(Stamoplysninger!$B$26="Weekendtimer og weekendtillæg udbetales.",I17="X",C17="ikke relevant")),K17*1.5,0)</f>
        <v>0</v>
      </c>
      <c r="ER17" s="675">
        <f>IF(AND(AND(AND(Stamoplysninger!$B$26="Weekendtimer og weekendtillæg udbetales.",I17="X",C17="ikke relevant",S17="X"))),(V17*1.5),0)</f>
        <v>0</v>
      </c>
      <c r="ES17" s="283">
        <f>IF(AND(Stamoplysninger!$B$26="Der er indgået lokalaftale omkring weekendtimer.(Kræver aftale med TR/FSL) Weekendtillæg afspadseres.",I17="X"),K17*0.5,0)</f>
        <v>0</v>
      </c>
      <c r="ET17" s="251">
        <f>IF(AND(AND(Stamoplysninger!$B$26="Der er indgået lokalaftale omkring weekendtimer.(Kræver aftale med TR/FSL) Weekendtillæg afspadseres.",I17="X",S17="X")),V17*0.5,0)</f>
        <v>0</v>
      </c>
      <c r="EU17" s="674">
        <f>IF(AND(AND(Stamoplysninger!$B$26="Der er indgået lokalaftale omkring weekendtimer.(Kræver aftale med TR/FSL) Weekendtillæg afspadseres.",I17="X",C17="ikke relevant")),K17*0.5,0)</f>
        <v>0</v>
      </c>
      <c r="EV17" s="675">
        <f>IF(AND(AND(AND(Stamoplysninger!$B$26="Der er indgået lokalaftale omkring weekendtimer.(Kræver aftale med TR/FSL) Weekendtillæg afspadseres.",I17="X",C17="ikke relevant",S17="X"))),(V17*0.5),0)</f>
        <v>0</v>
      </c>
      <c r="EW17" s="283">
        <f>IF(AND(Stamoplysninger!$B$26="Der er indgået lokalaftale omkring weekendtimer(Kræver aftale med TR/FSL). Weekendtillæg udbetales.",I17="X"),K17*0.5,0)</f>
        <v>0</v>
      </c>
      <c r="EX17" s="251">
        <f>IF(AND(AND(Stamoplysninger!$B$26="Der er indgået lokalaftale omkring weekendtimer(Kræver aftale med TR/FSL). Weekendtillæg udbetales.",I17="X",S17="X")),V17*0.5,0)</f>
        <v>0</v>
      </c>
      <c r="EY17" s="674">
        <f>IF(AND(AND(Stamoplysninger!$B$26="Der er indgået lokalaftale omkring weekendtimer(Kræver aftale med TR/FSL). Weekendtillæg udbetales.",I17="X",C17="ikke relevant")),K17*0.5,0)</f>
        <v>0</v>
      </c>
      <c r="EZ17" s="675">
        <f>IF(AND(AND(AND(Stamoplysninger!$B$26="Der er indgået lokalaftale omkring weekendtimer(Kræver aftale med TR/FSL). Weekendtillæg udbetales.",I17="X",C17="ikke relevant",S17="X"))),(V17*0.5),0)</f>
        <v>0</v>
      </c>
      <c r="FA17" s="283">
        <f>IF(AND(Stamoplysninger!$B$26="Der er indgået lokalaftale omkring weekendtillæg(Kræver aftale med TR/FSL). Weekendtimerne afspadseres.",I17="X"),K17,0)</f>
        <v>0</v>
      </c>
      <c r="FB17" s="251">
        <f>IF(AND(AND(Stamoplysninger!$B$26="Der er indgået lokalaftale omkring weekendtillæg(Kræver aftale med TR/FSL). Weekendtimerne afspadseres.",I17="X",S17="X")),V17,0)</f>
        <v>0</v>
      </c>
      <c r="FC17" s="674">
        <f>IF(AND(AND(Stamoplysninger!$B$26="Der er indgået lokalaftale omkring weekendtillæg(Kræver aftale med TR/FSL). Weekendtimerne afspadseres..",I17="X",C17="ikke relevant")),K17,0)</f>
        <v>0</v>
      </c>
      <c r="FD17" s="675">
        <f>IF(AND(AND(AND(Stamoplysninger!$B$26="Der er indgået lokalaftale omkring weekendtillæg(Kræver aftale med TR/FSL). Weekendtimerne afspadseres.",I17="X",C17="ikke relevant",S17="X"))),(V17),0)</f>
        <v>0</v>
      </c>
      <c r="FE17" s="283">
        <f>IF(AND(Stamoplysninger!$B$26="Der er indgået lokalaftale omkring weekendtillæg(Kræver aftale med TR/FSL). Weekendtimerne udbetales.",I17="X"),K17,0)</f>
        <v>0</v>
      </c>
      <c r="FF17" s="251">
        <f>IF(AND(AND(Stamoplysninger!$B$26="Der er indgået lokalaftale omkring weekendtillæg(Kræver aftale med TR/FSL). Weekendtimerne udbetales.",I17="X",S17="X")),V17,0)</f>
        <v>0</v>
      </c>
      <c r="FG17" s="674">
        <f>IF(AND(AND(Stamoplysninger!$B$26="Der er indgået lokalaftale omkring weekendtillæg(Kræver aftale med TR/FSL). Weekendtimerne udbetales.",I17="X",C17="ikke relevant")),K17,0)</f>
        <v>0</v>
      </c>
      <c r="FH17" s="675">
        <f>IF(AND(AND(AND(Stamoplysninger!$B$26="Der er indgået lokalaftale omkring weekendtillæg(Kræver aftale med TR/FSL). Weekendtimerne udbetales.",I17="X",C17="ikke relevant",S17="X"))),(V17),0)</f>
        <v>0</v>
      </c>
      <c r="FI17" s="283">
        <f>IF(AND(Stamoplysninger!$B$26="Weekendtimer og weekendtillæg afspadseres.",I17="X"),K17,0)</f>
        <v>0</v>
      </c>
      <c r="FJ17" s="251">
        <f>IF(AND(Stamoplysninger!$B$26="Weekendtimer og weekendtillæg afspadseres.",Y17="X"),(AA17+AL17)/2,0)</f>
        <v>0</v>
      </c>
      <c r="FK17" s="674">
        <f>IF(AND(AND(Stamoplysninger!$B$26="Weekendtimer og weekendtillæg afspadseres.",I17="X",C17="ikke relevant")),K17,0)</f>
        <v>0</v>
      </c>
      <c r="FL17" s="675">
        <f>IF(AND(AND(Stamoplysninger!$B$26="Weekendtimer og weekendtillæg afspadseres.",Y17="X",S17="ikke relevant")),(AA17+AL17)/2,0)</f>
        <v>0</v>
      </c>
      <c r="FM17" s="283">
        <f>IF(AND(Stamoplysninger!$B$26="Der er indgået lokalaftale omkring weekendtillæg(Kræver aftale med TR/FSL). Weekendtimerne afspadseres.",I17="X"),K17,0)</f>
        <v>0</v>
      </c>
      <c r="FN17" s="674">
        <f>IF(AND(AND(Stamoplysninger!$B$26="Der er indgået lokalaftale omkring weekendtillæg(Kræver aftale med TR/FSL). Weekendtimerne afspadseres.",I17="X",C17="ikke relevant")),K17,0)</f>
        <v>0</v>
      </c>
      <c r="FO17" s="283">
        <f>IF(AND(Stamoplysninger!$B$26="Weekendtimer og weekendtillæg udbetales.",I17="X"),K17,0)</f>
        <v>0</v>
      </c>
      <c r="FP17" s="251">
        <f>IF(AND(Stamoplysninger!$B$26="Weekendtimer og weekendtillæg udbetales.",AA17="X"),(AC17+AN17)/2,0)</f>
        <v>0</v>
      </c>
      <c r="FQ17" s="674">
        <f>IF(AND(AND(Stamoplysninger!$B$26="Weekendtimer og weekendtillæg udbetales.",I17="X",C17="ikke relevant")),K17,0)</f>
        <v>0</v>
      </c>
      <c r="FR17" s="688">
        <f>IF(AND(AND(Stamoplysninger!$B$26="Weekendtimer og weekendtillæg udbetales.",AA17="X",U17="ikke relevant")),(AC17+AN17)/2,0)</f>
        <v>0</v>
      </c>
      <c r="FS17" s="283">
        <f t="shared" si="13"/>
        <v>0</v>
      </c>
      <c r="FT17" s="658">
        <f t="shared" si="14"/>
        <v>0</v>
      </c>
      <c r="FU17">
        <f t="shared" si="15"/>
        <v>0</v>
      </c>
      <c r="FV17" s="283">
        <f>IF(AND(Stamoplysninger!$B$26="Der er indgået lokalaftale omkring weekendtimer.(Kræver aftale med TR/FSL) Weekendtillæg afspadseres.",I17="X"),K17,0)</f>
        <v>0</v>
      </c>
      <c r="FW17" s="674">
        <f>IF(AND(AND(Stamoplysninger!$B$26="Der er indgået lokalaftale omkring weekendtimer.(Kræver aftale med TR/FSL) Weekendtillæg afspadseres.",I17="X",C17="ikke relevant")),K17,0)</f>
        <v>0</v>
      </c>
      <c r="FX17" s="283">
        <f>IF(AND(Stamoplysninger!$B$26="Der er indgået lokalaftale omkring weekendtimer(Kræver aftale med TR/FSL). Weekendtillæg udbetales.",I17="X"),K17,0)</f>
        <v>0</v>
      </c>
      <c r="FY17" s="674">
        <f>IF(AND(AND(Stamoplysninger!$B$26="Der er indgået lokalaftale omkring weekendtimer(Kræver aftale med TR/FSL). Weekendtillæg udbetales.",I17="X",C17="ikke relevant")),K17,0)</f>
        <v>0</v>
      </c>
      <c r="FZ17" s="283">
        <f>IF(AND(Stamoplysninger!$B$26="Der er indgået lokalaftale omkring weekendtillæg(Kræver aftale med TR/FSL). Weekendtimerne udbetales.",I17="X"),K17,0)</f>
        <v>0</v>
      </c>
      <c r="GA17" s="674">
        <f>IF(AND(AND(Stamoplysninger!$B$26="Der er indgået lokalaftale omkring weekendtillæg(Kræver aftale med TR/FSL). Weekendtimerne udbetales.",I17="X",C17="ikke relevant")),K17,0)</f>
        <v>0</v>
      </c>
      <c r="GB17" s="283">
        <f>IF(AND(Stamoplysninger!$B$26="Der er indgået lokalaftale omkring weekendtimer og weekendtillæg.(Kræver aftale med TR/FSL).",I17="X"),K17,0)</f>
        <v>0</v>
      </c>
      <c r="GC17" s="674">
        <f>IF(AND(AND(Stamoplysninger!$B$26="Der er indgået lokalaftale omkring weekendtimer og weekendtillæg.(Kræver aftale med TR/FSL).",I17="X",C17="ikke relevant")),K17,0)</f>
        <v>0</v>
      </c>
    </row>
    <row r="18" spans="1:185">
      <c r="A18" s="245">
        <f t="shared" si="16"/>
        <v>10</v>
      </c>
      <c r="B18" s="128" t="str">
        <f t="shared" si="0"/>
        <v>ma</v>
      </c>
      <c r="C18" s="129" t="s">
        <v>128</v>
      </c>
      <c r="D18" s="130">
        <f t="shared" si="1"/>
        <v>6.7142857142857144</v>
      </c>
      <c r="E18" s="917" t="s">
        <v>131</v>
      </c>
      <c r="F18" s="918"/>
      <c r="G18" s="919"/>
      <c r="H18" s="298"/>
      <c r="I18" s="527"/>
      <c r="J18" s="413"/>
      <c r="K18" s="380"/>
      <c r="L18" s="380"/>
      <c r="M18" s="380"/>
      <c r="N18" s="318">
        <f t="shared" si="17"/>
        <v>0</v>
      </c>
      <c r="O18" s="318">
        <f t="shared" si="18"/>
        <v>0</v>
      </c>
      <c r="P18" s="318">
        <f>IF(Stamoplysninger!$H$29="JA",Februar!DG18,CX18)</f>
        <v>0</v>
      </c>
      <c r="Q18" s="318">
        <f t="shared" si="19"/>
        <v>0</v>
      </c>
      <c r="R18" s="319"/>
      <c r="S18" s="324"/>
      <c r="T18" s="325"/>
      <c r="U18" s="325"/>
      <c r="V18" s="435"/>
      <c r="W18" s="435"/>
      <c r="X18" s="644"/>
      <c r="Y18">
        <f t="shared" si="20"/>
        <v>0</v>
      </c>
      <c r="Z18" s="437">
        <f t="shared" si="21"/>
        <v>0</v>
      </c>
      <c r="AA18" s="1">
        <f t="shared" si="22"/>
        <v>0</v>
      </c>
      <c r="AB18" s="1">
        <f t="shared" si="2"/>
        <v>0</v>
      </c>
      <c r="AC18" s="1">
        <f t="shared" si="3"/>
        <v>0</v>
      </c>
      <c r="AD18" s="1">
        <f t="shared" si="4"/>
        <v>0</v>
      </c>
      <c r="AE18" s="1">
        <f t="shared" si="5"/>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9">
        <f t="shared" si="6"/>
        <v>0</v>
      </c>
      <c r="BC18" s="1">
        <f t="shared" si="24"/>
        <v>0</v>
      </c>
      <c r="BD18" s="1">
        <f t="shared" si="7"/>
        <v>0</v>
      </c>
      <c r="BE18" s="1">
        <f t="shared" si="8"/>
        <v>0</v>
      </c>
      <c r="BF18" s="1">
        <f t="shared" si="9"/>
        <v>0</v>
      </c>
      <c r="BG18" s="210" t="str">
        <f>IF(AND(C18="Skema 1",B18="ma"),Skemaoplysninger!$E$30,"")</f>
        <v/>
      </c>
      <c r="BH18" s="210" t="str">
        <f>IF(AND(C18="Skema 1",B18="ti"),Skemaoplysninger!$G$30,"")</f>
        <v/>
      </c>
      <c r="BI18" s="210" t="str">
        <f>IF(AND(C18="Skema 1",B18="on"),Skemaoplysninger!$I$30,"")</f>
        <v/>
      </c>
      <c r="BJ18" s="210" t="str">
        <f>IF(AND(C18="Skema 1",B18="to"),Skemaoplysninger!$K$30,"")</f>
        <v/>
      </c>
      <c r="BK18" s="210" t="str">
        <f>IF(AND(C18="Skema 1",B18="fr"),Skemaoplysninger!$M$30,"")</f>
        <v/>
      </c>
      <c r="BL18" s="210" t="str">
        <f>IF(AND(C18="Skema 2",B18="ma"),Skemaoplysninger!$S$30,"")</f>
        <v/>
      </c>
      <c r="BM18" s="210" t="str">
        <f>IF(AND(C18="Skema 2",B18="ti"),Skemaoplysninger!$U$30,"")</f>
        <v/>
      </c>
      <c r="BN18" s="210" t="str">
        <f>IF(AND(C18="Skema 2",B18="on"),Skemaoplysninger!$W$30,"")</f>
        <v/>
      </c>
      <c r="BO18" s="210" t="str">
        <f>IF(AND(C18="Skema 2",B18="to"),Skemaoplysninger!$Y$30,"")</f>
        <v/>
      </c>
      <c r="BP18" s="210" t="str">
        <f>IF(AND(C18="Skema 2",B18="fr"),Skemaoplysninger!$AA$30,"")</f>
        <v/>
      </c>
      <c r="BQ18" s="210" t="str">
        <f>IF(AND(C18="Skema 3",B18="ma"),Skemaoplysninger!$AG$30,"")</f>
        <v/>
      </c>
      <c r="BR18" s="210" t="str">
        <f>IF(AND(C18="Skema 3",B18="ti"),Skemaoplysninger!$AI$30,"")</f>
        <v/>
      </c>
      <c r="BS18" s="210" t="str">
        <f>IF(AND(C18="Skema 3",B18="on"),Skemaoplysninger!$AK$30,"")</f>
        <v/>
      </c>
      <c r="BT18" s="210" t="str">
        <f>IF(AND(C18="Skema 3",B18="to"),Skemaoplysninger!$AM$30,"")</f>
        <v/>
      </c>
      <c r="BU18" s="210" t="str">
        <f>IF(AND(C18="Skema 3",B18="fr"),Skemaoplysninger!$AO$30,"")</f>
        <v/>
      </c>
      <c r="BV18" s="210" t="str">
        <f>IF(AND(C18="Skema 4",B18="ma"),Skemaoplysninger!$AU$30,"")</f>
        <v/>
      </c>
      <c r="BW18" s="210" t="str">
        <f>IF(AND(C18="Skema 4",B18="ti"),Skemaoplysninger!$AW$30,"")</f>
        <v/>
      </c>
      <c r="BX18" s="210" t="str">
        <f>IF(AND(C18="Skema 4",B18="on"),Skemaoplysninger!$AY$30,"")</f>
        <v/>
      </c>
      <c r="BY18" s="210" t="str">
        <f>IF(AND(C18="Skema 4",B18="to"),Skemaoplysninger!$BA$30,"")</f>
        <v/>
      </c>
      <c r="BZ18" s="210" t="str">
        <f>IF(AND(C18="Skema 4",B18="fr"),Skemaoplysninger!$BC$30,"")</f>
        <v/>
      </c>
      <c r="CA18" s="1">
        <f t="shared" si="25"/>
        <v>0</v>
      </c>
      <c r="CB18" s="1">
        <f t="shared" si="10"/>
        <v>0</v>
      </c>
      <c r="CC18" s="1">
        <f t="shared" si="11"/>
        <v>0</v>
      </c>
      <c r="CD18" s="210" t="str">
        <f>IF(AND(C18="Skema 1",B18="ma"),Skemaoplysninger!$E$31,"")</f>
        <v/>
      </c>
      <c r="CE18" s="210" t="str">
        <f>IF(AND(C18="Skema 1",B18="ti"),Skemaoplysninger!$G$31,"")</f>
        <v/>
      </c>
      <c r="CF18" s="210" t="str">
        <f>IF(AND(C18="Skema 1",B18="on"),Skemaoplysninger!$I$31,"")</f>
        <v/>
      </c>
      <c r="CG18" s="210" t="str">
        <f>IF(AND(C18="Skema 1",B18="to"),Skemaoplysninger!$K$31,"")</f>
        <v/>
      </c>
      <c r="CH18" s="210" t="str">
        <f>IF(AND(C18="Skema 1",B18="fr"),Skemaoplysninger!$M$31,"")</f>
        <v/>
      </c>
      <c r="CI18" s="210" t="str">
        <f>IF(AND(C18="Skema 2",B18="ma"),Skemaoplysninger!$S$31,"")</f>
        <v/>
      </c>
      <c r="CJ18" s="210" t="str">
        <f>IF(AND(C18="Skema 2",B18="ti"),Skemaoplysninger!$U$31,"")</f>
        <v/>
      </c>
      <c r="CK18" s="210" t="str">
        <f>IF(AND(C18="Skema 2",B18="on"),Skemaoplysninger!$W$31,"")</f>
        <v/>
      </c>
      <c r="CL18" s="210" t="str">
        <f>IF(AND(C18="Skema 2",B18="to"),Skemaoplysninger!$Y$31,"")</f>
        <v/>
      </c>
      <c r="CM18" s="210" t="str">
        <f>IF(AND(C18="Skema 2",B18="fr"),Skemaoplysninger!$AA$31,"")</f>
        <v/>
      </c>
      <c r="CN18" s="210" t="str">
        <f>IF(AND(C18="Skema 3",B18="ma"),Skemaoplysninger!$AG$31,"")</f>
        <v/>
      </c>
      <c r="CO18" s="210" t="str">
        <f>IF(AND(C18="Skema 3",B18="ti"),Skemaoplysninger!$AI$31,"")</f>
        <v/>
      </c>
      <c r="CP18" s="210" t="str">
        <f>IF(AND(C18="Skema 3",B18="on"),Skemaoplysninger!$AK$31,"")</f>
        <v/>
      </c>
      <c r="CQ18" s="210" t="str">
        <f>IF(AND(C18="Skema 3",B18="to"),Skemaoplysninger!$AM$31,"")</f>
        <v/>
      </c>
      <c r="CR18" s="210" t="str">
        <f>IF(AND(C18="Skema 3",B18="fr"),Skemaoplysninger!$AO$31,"")</f>
        <v/>
      </c>
      <c r="CS18" s="210" t="str">
        <f>IF(AND(C18="Skema 4",B18="ma"),Skemaoplysninger!$AU$31,"")</f>
        <v/>
      </c>
      <c r="CT18" s="210" t="str">
        <f>IF(AND(C18="Skema 4",B18="ti"),Skemaoplysninger!$AW$31,"")</f>
        <v/>
      </c>
      <c r="CU18" s="210" t="str">
        <f>IF(AND(C18="Skema 4",B18="on"),Skemaoplysninger!$AY$31,"")</f>
        <v/>
      </c>
      <c r="CV18" s="210" t="str">
        <f>IF(AND(C18="Skema 4",B18="to"),Skemaoplysninger!$BA$31,"")</f>
        <v/>
      </c>
      <c r="CW18" s="210" t="str">
        <f>IF(AND(C18="Skema 4",B18="fr"),Skemaoplysninger!$BC$31,"")</f>
        <v/>
      </c>
      <c r="CX18" s="249">
        <f>IF(Stamoplysninger!$H$29="NEJ",SUM(CD18:CW18)*24+CB18+CC18,0)</f>
        <v>0</v>
      </c>
      <c r="CY18" s="249">
        <f>IF(C18="Skema 1",Stamoplysninger!$H$30/200,0)</f>
        <v>0</v>
      </c>
      <c r="CZ18" s="249">
        <f>IF(C18="Skema 2",Stamoplysninger!$H$30/200,0)</f>
        <v>0</v>
      </c>
      <c r="DA18" s="249">
        <f>IF(C18="Skema 3",Stamoplysninger!$H$30/200,0)</f>
        <v>0</v>
      </c>
      <c r="DB18" s="249">
        <f>IF(C18="Skema 4",Stamoplysninger!$H$30/200,0)</f>
        <v>0</v>
      </c>
      <c r="DC18" s="249">
        <f>IF(C18="fagdag",Stamoplysninger!$H$30/200,0)</f>
        <v>0</v>
      </c>
      <c r="DD18" s="249">
        <f>IF(C18="emnedag",Stamoplysninger!$H$30/200,0)</f>
        <v>0</v>
      </c>
      <c r="DE18" s="249">
        <f>IF(C18="lejrskole",Stamoplysninger!$H$30/200,0)</f>
        <v>0</v>
      </c>
      <c r="DF18" s="249">
        <f>IF(C18="ekskursion",Stamoplysninger!$H$30/200,0)</f>
        <v>0</v>
      </c>
      <c r="DG18" s="249">
        <f t="shared" si="26"/>
        <v>0</v>
      </c>
      <c r="DH18" t="str">
        <f t="shared" si="27"/>
        <v/>
      </c>
      <c r="DI18" t="str">
        <f t="shared" si="28"/>
        <v>Elevernes vinterferie</v>
      </c>
      <c r="DJ18" t="str">
        <f t="shared" si="29"/>
        <v/>
      </c>
      <c r="DK18" t="str">
        <f t="shared" si="12"/>
        <v/>
      </c>
      <c r="DL18" t="str">
        <f t="shared" si="12"/>
        <v>Elevernes vinterferie</v>
      </c>
      <c r="DM18" t="str">
        <f t="shared" si="12"/>
        <v/>
      </c>
      <c r="DN18" t="str">
        <f t="shared" si="30"/>
        <v>Elevernes vinterferie</v>
      </c>
      <c r="DO18" s="652">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71">
        <f>IF(AND(Stamoplysninger!$B$22="Ulempetillæg udbetales med 25% af nettotimelønnen.",C18="ikke relevant"),(R18)/4,0)</f>
        <v>0</v>
      </c>
      <c r="DT18" s="671">
        <f>IF(AND(AND(Stamoplysninger!$B$22="Ulempetillæg udbetales med 25% af nettotimelønnen.",I18="X",C18="Ikke relevant")),K18/4,0)</f>
        <v>0</v>
      </c>
      <c r="DU18" s="671">
        <f>IF(AND(AND(Stamoplysninger!$B$22="Ulempetillæg udbetales med 25% af nettotimelønnen.",C18="ikke relevant",U18="X")),(X18/4),0)</f>
        <v>0</v>
      </c>
      <c r="DV18" s="672">
        <f>IF(AND(AND(AND(Stamoplysninger!$B$22="Ulempetillæg udbetales med 25% af nettotimelønnen.",I18="X",C18="Ikke relevant",S18="X"))),V18/4,0)</f>
        <v>0</v>
      </c>
      <c r="DW18" s="652"/>
      <c r="DZ18" s="671"/>
      <c r="EA18" s="671"/>
      <c r="EB18" s="672"/>
      <c r="EC18" s="652">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71">
        <f>IF(AND(Stamoplysninger!$B$22="Ulempetillæg afspadseres med 25%(Kræver en aftale imellem ledelsen og den ansatte)",C18="ikke relevant"),(R18)/4,0)</f>
        <v>0</v>
      </c>
      <c r="EH18" s="671">
        <f>IF(AND(AND(Stamoplysninger!$B$22="Ulempetillæg afspadseres med 25%(Kræver en aftale imellem ledelsen og den ansatte)",I18="X",C18="Ikke relevant")),K18/4,0)</f>
        <v>0</v>
      </c>
      <c r="EI18" s="671">
        <f>IF(AND(AND(Stamoplysninger!$B$22="Ulempetillæg afspadseres med 25%(Kræver en aftale imellem ledelsen og den ansatte)",U18="X",C18="Ikke relevant")),X18/4,0)</f>
        <v>0</v>
      </c>
      <c r="EJ18" s="671">
        <f>IF(AND(AND(AND(Stamoplysninger!$B$22="Ulempetillæg afspadseres med 25%(Kræver en aftale imellem ledelsen og den ansatte)",I18="X",C18="Ikke relevant",S18="X"))),V18/4,0)</f>
        <v>0</v>
      </c>
      <c r="EK18" s="283">
        <f>IF(AND(Stamoplysninger!$B$26="Weekendtimer og weekendtillæg afspadseres.",I18="X"),K18*1.5,0)</f>
        <v>0</v>
      </c>
      <c r="EL18" s="251">
        <f>IF(AND(AND(Stamoplysninger!$B$26="Weekendtimer og weekendtillæg afspadseres.",I18="X",S18="X")),V18*1.5,0)</f>
        <v>0</v>
      </c>
      <c r="EM18" s="674">
        <f>IF(AND(AND(Stamoplysninger!$B$26="Weekendtimer og weekendtillæg afspadseres.",I18="X",C18="ikke relevant")),K18*1.5,0)</f>
        <v>0</v>
      </c>
      <c r="EN18" s="675">
        <f>IF(AND(AND(AND(Stamoplysninger!$B$26="Weekendtimer og weekendtillæg afspadseres.",I18="X",C18="ikke relevant",S18="X"))),(V18*1.5),0)</f>
        <v>0</v>
      </c>
      <c r="EO18" s="283">
        <f>IF(AND(Stamoplysninger!$B$26="Weekendtimer og weekendtillæg udbetales.",I18="X"),K18*1.5,0)</f>
        <v>0</v>
      </c>
      <c r="EP18" s="251">
        <f>IF(AND(AND(Stamoplysninger!$B$26="Weekendtimer og weekendtillæg udbetales.",I18="X",S18="X")),V18*1.5,0)</f>
        <v>0</v>
      </c>
      <c r="EQ18" s="674">
        <f>IF(AND(AND(Stamoplysninger!$B$26="Weekendtimer og weekendtillæg udbetales.",I18="X",C18="ikke relevant")),K18*1.5,0)</f>
        <v>0</v>
      </c>
      <c r="ER18" s="675">
        <f>IF(AND(AND(AND(Stamoplysninger!$B$26="Weekendtimer og weekendtillæg udbetales.",I18="X",C18="ikke relevant",S18="X"))),(V18*1.5),0)</f>
        <v>0</v>
      </c>
      <c r="ES18" s="283">
        <f>IF(AND(Stamoplysninger!$B$26="Der er indgået lokalaftale omkring weekendtimer.(Kræver aftale med TR/FSL) Weekendtillæg afspadseres.",I18="X"),K18*0.5,0)</f>
        <v>0</v>
      </c>
      <c r="ET18" s="251">
        <f>IF(AND(AND(Stamoplysninger!$B$26="Der er indgået lokalaftale omkring weekendtimer.(Kræver aftale med TR/FSL) Weekendtillæg afspadseres.",I18="X",S18="X")),V18*0.5,0)</f>
        <v>0</v>
      </c>
      <c r="EU18" s="674">
        <f>IF(AND(AND(Stamoplysninger!$B$26="Der er indgået lokalaftale omkring weekendtimer.(Kræver aftale med TR/FSL) Weekendtillæg afspadseres.",I18="X",C18="ikke relevant")),K18*0.5,0)</f>
        <v>0</v>
      </c>
      <c r="EV18" s="675">
        <f>IF(AND(AND(AND(Stamoplysninger!$B$26="Der er indgået lokalaftale omkring weekendtimer.(Kræver aftale med TR/FSL) Weekendtillæg afspadseres.",I18="X",C18="ikke relevant",S18="X"))),(V18*0.5),0)</f>
        <v>0</v>
      </c>
      <c r="EW18" s="283">
        <f>IF(AND(Stamoplysninger!$B$26="Der er indgået lokalaftale omkring weekendtimer(Kræver aftale med TR/FSL). Weekendtillæg udbetales.",I18="X"),K18*0.5,0)</f>
        <v>0</v>
      </c>
      <c r="EX18" s="251">
        <f>IF(AND(AND(Stamoplysninger!$B$26="Der er indgået lokalaftale omkring weekendtimer(Kræver aftale med TR/FSL). Weekendtillæg udbetales.",I18="X",S18="X")),V18*0.5,0)</f>
        <v>0</v>
      </c>
      <c r="EY18" s="674">
        <f>IF(AND(AND(Stamoplysninger!$B$26="Der er indgået lokalaftale omkring weekendtimer(Kræver aftale med TR/FSL). Weekendtillæg udbetales.",I18="X",C18="ikke relevant")),K18*0.5,0)</f>
        <v>0</v>
      </c>
      <c r="EZ18" s="675">
        <f>IF(AND(AND(AND(Stamoplysninger!$B$26="Der er indgået lokalaftale omkring weekendtimer(Kræver aftale med TR/FSL). Weekendtillæg udbetales.",I18="X",C18="ikke relevant",S18="X"))),(V18*0.5),0)</f>
        <v>0</v>
      </c>
      <c r="FA18" s="283">
        <f>IF(AND(Stamoplysninger!$B$26="Der er indgået lokalaftale omkring weekendtillæg(Kræver aftale med TR/FSL). Weekendtimerne afspadseres.",I18="X"),K18,0)</f>
        <v>0</v>
      </c>
      <c r="FB18" s="251">
        <f>IF(AND(AND(Stamoplysninger!$B$26="Der er indgået lokalaftale omkring weekendtillæg(Kræver aftale med TR/FSL). Weekendtimerne afspadseres.",I18="X",S18="X")),V18,0)</f>
        <v>0</v>
      </c>
      <c r="FC18" s="674">
        <f>IF(AND(AND(Stamoplysninger!$B$26="Der er indgået lokalaftale omkring weekendtillæg(Kræver aftale med TR/FSL). Weekendtimerne afspadseres..",I18="X",C18="ikke relevant")),K18,0)</f>
        <v>0</v>
      </c>
      <c r="FD18" s="675">
        <f>IF(AND(AND(AND(Stamoplysninger!$B$26="Der er indgået lokalaftale omkring weekendtillæg(Kræver aftale med TR/FSL). Weekendtimerne afspadseres.",I18="X",C18="ikke relevant",S18="X"))),(V18),0)</f>
        <v>0</v>
      </c>
      <c r="FE18" s="283">
        <f>IF(AND(Stamoplysninger!$B$26="Der er indgået lokalaftale omkring weekendtillæg(Kræver aftale med TR/FSL). Weekendtimerne udbetales.",I18="X"),K18,0)</f>
        <v>0</v>
      </c>
      <c r="FF18" s="251">
        <f>IF(AND(AND(Stamoplysninger!$B$26="Der er indgået lokalaftale omkring weekendtillæg(Kræver aftale med TR/FSL). Weekendtimerne udbetales.",I18="X",S18="X")),V18,0)</f>
        <v>0</v>
      </c>
      <c r="FG18" s="674">
        <f>IF(AND(AND(Stamoplysninger!$B$26="Der er indgået lokalaftale omkring weekendtillæg(Kræver aftale med TR/FSL). Weekendtimerne udbetales.",I18="X",C18="ikke relevant")),K18,0)</f>
        <v>0</v>
      </c>
      <c r="FH18" s="675">
        <f>IF(AND(AND(AND(Stamoplysninger!$B$26="Der er indgået lokalaftale omkring weekendtillæg(Kræver aftale med TR/FSL). Weekendtimerne udbetales.",I18="X",C18="ikke relevant",S18="X"))),(V18),0)</f>
        <v>0</v>
      </c>
      <c r="FI18" s="283">
        <f>IF(AND(Stamoplysninger!$B$26="Weekendtimer og weekendtillæg afspadseres.",I18="X"),K18,0)</f>
        <v>0</v>
      </c>
      <c r="FJ18" s="251">
        <f>IF(AND(Stamoplysninger!$B$26="Weekendtimer og weekendtillæg afspadseres.",Y18="X"),(AA18+AL18)/2,0)</f>
        <v>0</v>
      </c>
      <c r="FK18" s="674">
        <f>IF(AND(AND(Stamoplysninger!$B$26="Weekendtimer og weekendtillæg afspadseres.",I18="X",C18="ikke relevant")),K18,0)</f>
        <v>0</v>
      </c>
      <c r="FL18" s="675">
        <f>IF(AND(AND(Stamoplysninger!$B$26="Weekendtimer og weekendtillæg afspadseres.",Y18="X",S18="ikke relevant")),(AA18+AL18)/2,0)</f>
        <v>0</v>
      </c>
      <c r="FM18" s="283">
        <f>IF(AND(Stamoplysninger!$B$26="Der er indgået lokalaftale omkring weekendtillæg(Kræver aftale med TR/FSL). Weekendtimerne afspadseres.",I18="X"),K18,0)</f>
        <v>0</v>
      </c>
      <c r="FN18" s="674">
        <f>IF(AND(AND(Stamoplysninger!$B$26="Der er indgået lokalaftale omkring weekendtillæg(Kræver aftale med TR/FSL). Weekendtimerne afspadseres.",I18="X",C18="ikke relevant")),K18,0)</f>
        <v>0</v>
      </c>
      <c r="FO18" s="283">
        <f>IF(AND(Stamoplysninger!$B$26="Weekendtimer og weekendtillæg udbetales.",I18="X"),K18,0)</f>
        <v>0</v>
      </c>
      <c r="FP18" s="251">
        <f>IF(AND(Stamoplysninger!$B$26="Weekendtimer og weekendtillæg udbetales.",AA18="X"),(AC18+AN18)/2,0)</f>
        <v>0</v>
      </c>
      <c r="FQ18" s="674">
        <f>IF(AND(AND(Stamoplysninger!$B$26="Weekendtimer og weekendtillæg udbetales.",I18="X",C18="ikke relevant")),K18,0)</f>
        <v>0</v>
      </c>
      <c r="FR18" s="688">
        <f>IF(AND(AND(Stamoplysninger!$B$26="Weekendtimer og weekendtillæg udbetales.",AA18="X",U18="ikke relevant")),(AC18+AN18)/2,0)</f>
        <v>0</v>
      </c>
      <c r="FS18" s="283">
        <f t="shared" si="13"/>
        <v>0</v>
      </c>
      <c r="FT18" s="658">
        <f t="shared" si="14"/>
        <v>0</v>
      </c>
      <c r="FU18">
        <f t="shared" si="15"/>
        <v>0</v>
      </c>
      <c r="FV18" s="283">
        <f>IF(AND(Stamoplysninger!$B$26="Der er indgået lokalaftale omkring weekendtimer.(Kræver aftale med TR/FSL) Weekendtillæg afspadseres.",I18="X"),K18,0)</f>
        <v>0</v>
      </c>
      <c r="FW18" s="674">
        <f>IF(AND(AND(Stamoplysninger!$B$26="Der er indgået lokalaftale omkring weekendtimer.(Kræver aftale med TR/FSL) Weekendtillæg afspadseres.",I18="X",C18="ikke relevant")),K18,0)</f>
        <v>0</v>
      </c>
      <c r="FX18" s="283">
        <f>IF(AND(Stamoplysninger!$B$26="Der er indgået lokalaftale omkring weekendtimer(Kræver aftale med TR/FSL). Weekendtillæg udbetales.",I18="X"),K18,0)</f>
        <v>0</v>
      </c>
      <c r="FY18" s="674">
        <f>IF(AND(AND(Stamoplysninger!$B$26="Der er indgået lokalaftale omkring weekendtimer(Kræver aftale med TR/FSL). Weekendtillæg udbetales.",I18="X",C18="ikke relevant")),K18,0)</f>
        <v>0</v>
      </c>
      <c r="FZ18" s="283">
        <f>IF(AND(Stamoplysninger!$B$26="Der er indgået lokalaftale omkring weekendtillæg(Kræver aftale med TR/FSL). Weekendtimerne udbetales.",I18="X"),K18,0)</f>
        <v>0</v>
      </c>
      <c r="GA18" s="674">
        <f>IF(AND(AND(Stamoplysninger!$B$26="Der er indgået lokalaftale omkring weekendtillæg(Kræver aftale med TR/FSL). Weekendtimerne udbetales.",I18="X",C18="ikke relevant")),K18,0)</f>
        <v>0</v>
      </c>
      <c r="GB18" s="283">
        <f>IF(AND(Stamoplysninger!$B$26="Der er indgået lokalaftale omkring weekendtimer og weekendtillæg.(Kræver aftale med TR/FSL).",I18="X"),K18,0)</f>
        <v>0</v>
      </c>
      <c r="GC18" s="674">
        <f>IF(AND(AND(Stamoplysninger!$B$26="Der er indgået lokalaftale omkring weekendtimer og weekendtillæg.(Kræver aftale med TR/FSL).",I18="X",C18="ikke relevant")),K18,0)</f>
        <v>0</v>
      </c>
    </row>
    <row r="19" spans="1:185">
      <c r="A19" s="245">
        <f t="shared" si="16"/>
        <v>11</v>
      </c>
      <c r="B19" s="128" t="str">
        <f t="shared" si="0"/>
        <v>ti</v>
      </c>
      <c r="C19" s="129" t="s">
        <v>128</v>
      </c>
      <c r="D19" s="130" t="str">
        <f t="shared" si="1"/>
        <v/>
      </c>
      <c r="E19" s="917" t="s">
        <v>131</v>
      </c>
      <c r="F19" s="918"/>
      <c r="G19" s="919"/>
      <c r="H19" s="298"/>
      <c r="I19" s="527"/>
      <c r="J19" s="413"/>
      <c r="K19" s="380"/>
      <c r="L19" s="380"/>
      <c r="M19" s="380"/>
      <c r="N19" s="318">
        <f t="shared" si="17"/>
        <v>0</v>
      </c>
      <c r="O19" s="318">
        <f t="shared" si="18"/>
        <v>0</v>
      </c>
      <c r="P19" s="318">
        <f>IF(Stamoplysninger!$H$29="JA",Februar!DG19,CX19)</f>
        <v>0</v>
      </c>
      <c r="Q19" s="318">
        <f t="shared" si="19"/>
        <v>0</v>
      </c>
      <c r="R19" s="319"/>
      <c r="S19" s="324"/>
      <c r="T19" s="325"/>
      <c r="U19" s="325"/>
      <c r="V19" s="435"/>
      <c r="W19" s="435"/>
      <c r="X19" s="644"/>
      <c r="Y19">
        <f t="shared" si="20"/>
        <v>0</v>
      </c>
      <c r="Z19" s="437">
        <f t="shared" si="21"/>
        <v>0</v>
      </c>
      <c r="AA19" s="1">
        <f t="shared" si="22"/>
        <v>0</v>
      </c>
      <c r="AB19" s="1">
        <f t="shared" si="2"/>
        <v>0</v>
      </c>
      <c r="AC19" s="1">
        <f t="shared" si="3"/>
        <v>0</v>
      </c>
      <c r="AD19" s="1">
        <f t="shared" si="4"/>
        <v>0</v>
      </c>
      <c r="AE19" s="1">
        <f t="shared" si="5"/>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9">
        <f t="shared" si="6"/>
        <v>0</v>
      </c>
      <c r="BC19" s="1">
        <f t="shared" si="24"/>
        <v>0</v>
      </c>
      <c r="BD19" s="1">
        <f t="shared" si="7"/>
        <v>0</v>
      </c>
      <c r="BE19" s="1">
        <f t="shared" si="8"/>
        <v>0</v>
      </c>
      <c r="BF19" s="1">
        <f t="shared" si="9"/>
        <v>0</v>
      </c>
      <c r="BG19" s="210" t="str">
        <f>IF(AND(C19="Skema 1",B19="ma"),Skemaoplysninger!$E$30,"")</f>
        <v/>
      </c>
      <c r="BH19" s="210" t="str">
        <f>IF(AND(C19="Skema 1",B19="ti"),Skemaoplysninger!$G$30,"")</f>
        <v/>
      </c>
      <c r="BI19" s="210" t="str">
        <f>IF(AND(C19="Skema 1",B19="on"),Skemaoplysninger!$I$30,"")</f>
        <v/>
      </c>
      <c r="BJ19" s="210" t="str">
        <f>IF(AND(C19="Skema 1",B19="to"),Skemaoplysninger!$K$30,"")</f>
        <v/>
      </c>
      <c r="BK19" s="210" t="str">
        <f>IF(AND(C19="Skema 1",B19="fr"),Skemaoplysninger!$M$30,"")</f>
        <v/>
      </c>
      <c r="BL19" s="210" t="str">
        <f>IF(AND(C19="Skema 2",B19="ma"),Skemaoplysninger!$S$30,"")</f>
        <v/>
      </c>
      <c r="BM19" s="210" t="str">
        <f>IF(AND(C19="Skema 2",B19="ti"),Skemaoplysninger!$U$30,"")</f>
        <v/>
      </c>
      <c r="BN19" s="210" t="str">
        <f>IF(AND(C19="Skema 2",B19="on"),Skemaoplysninger!$W$30,"")</f>
        <v/>
      </c>
      <c r="BO19" s="210" t="str">
        <f>IF(AND(C19="Skema 2",B19="to"),Skemaoplysninger!$Y$30,"")</f>
        <v/>
      </c>
      <c r="BP19" s="210" t="str">
        <f>IF(AND(C19="Skema 2",B19="fr"),Skemaoplysninger!$AA$30,"")</f>
        <v/>
      </c>
      <c r="BQ19" s="210" t="str">
        <f>IF(AND(C19="Skema 3",B19="ma"),Skemaoplysninger!$AG$30,"")</f>
        <v/>
      </c>
      <c r="BR19" s="210" t="str">
        <f>IF(AND(C19="Skema 3",B19="ti"),Skemaoplysninger!$AI$30,"")</f>
        <v/>
      </c>
      <c r="BS19" s="210" t="str">
        <f>IF(AND(C19="Skema 3",B19="on"),Skemaoplysninger!$AK$30,"")</f>
        <v/>
      </c>
      <c r="BT19" s="210" t="str">
        <f>IF(AND(C19="Skema 3",B19="to"),Skemaoplysninger!$AM$30,"")</f>
        <v/>
      </c>
      <c r="BU19" s="210" t="str">
        <f>IF(AND(C19="Skema 3",B19="fr"),Skemaoplysninger!$AO$30,"")</f>
        <v/>
      </c>
      <c r="BV19" s="210" t="str">
        <f>IF(AND(C19="Skema 4",B19="ma"),Skemaoplysninger!$AU$30,"")</f>
        <v/>
      </c>
      <c r="BW19" s="210" t="str">
        <f>IF(AND(C19="Skema 4",B19="ti"),Skemaoplysninger!$AW$30,"")</f>
        <v/>
      </c>
      <c r="BX19" s="210" t="str">
        <f>IF(AND(C19="Skema 4",B19="on"),Skemaoplysninger!$AY$30,"")</f>
        <v/>
      </c>
      <c r="BY19" s="210" t="str">
        <f>IF(AND(C19="Skema 4",B19="to"),Skemaoplysninger!$BA$30,"")</f>
        <v/>
      </c>
      <c r="BZ19" s="210" t="str">
        <f>IF(AND(C19="Skema 4",B19="fr"),Skemaoplysninger!$BC$30,"")</f>
        <v/>
      </c>
      <c r="CA19" s="1">
        <f t="shared" si="25"/>
        <v>0</v>
      </c>
      <c r="CB19" s="1">
        <f t="shared" si="10"/>
        <v>0</v>
      </c>
      <c r="CC19" s="1">
        <f t="shared" si="11"/>
        <v>0</v>
      </c>
      <c r="CD19" s="210" t="str">
        <f>IF(AND(C19="Skema 1",B19="ma"),Skemaoplysninger!$E$31,"")</f>
        <v/>
      </c>
      <c r="CE19" s="210" t="str">
        <f>IF(AND(C19="Skema 1",B19="ti"),Skemaoplysninger!$G$31,"")</f>
        <v/>
      </c>
      <c r="CF19" s="210" t="str">
        <f>IF(AND(C19="Skema 1",B19="on"),Skemaoplysninger!$I$31,"")</f>
        <v/>
      </c>
      <c r="CG19" s="210" t="str">
        <f>IF(AND(C19="Skema 1",B19="to"),Skemaoplysninger!$K$31,"")</f>
        <v/>
      </c>
      <c r="CH19" s="210" t="str">
        <f>IF(AND(C19="Skema 1",B19="fr"),Skemaoplysninger!$M$31,"")</f>
        <v/>
      </c>
      <c r="CI19" s="210" t="str">
        <f>IF(AND(C19="Skema 2",B19="ma"),Skemaoplysninger!$S$31,"")</f>
        <v/>
      </c>
      <c r="CJ19" s="210" t="str">
        <f>IF(AND(C19="Skema 2",B19="ti"),Skemaoplysninger!$U$31,"")</f>
        <v/>
      </c>
      <c r="CK19" s="210" t="str">
        <f>IF(AND(C19="Skema 2",B19="on"),Skemaoplysninger!$W$31,"")</f>
        <v/>
      </c>
      <c r="CL19" s="210" t="str">
        <f>IF(AND(C19="Skema 2",B19="to"),Skemaoplysninger!$Y$31,"")</f>
        <v/>
      </c>
      <c r="CM19" s="210" t="str">
        <f>IF(AND(C19="Skema 2",B19="fr"),Skemaoplysninger!$AA$31,"")</f>
        <v/>
      </c>
      <c r="CN19" s="210" t="str">
        <f>IF(AND(C19="Skema 3",B19="ma"),Skemaoplysninger!$AG$31,"")</f>
        <v/>
      </c>
      <c r="CO19" s="210" t="str">
        <f>IF(AND(C19="Skema 3",B19="ti"),Skemaoplysninger!$AI$31,"")</f>
        <v/>
      </c>
      <c r="CP19" s="210" t="str">
        <f>IF(AND(C19="Skema 3",B19="on"),Skemaoplysninger!$AK$31,"")</f>
        <v/>
      </c>
      <c r="CQ19" s="210" t="str">
        <f>IF(AND(C19="Skema 3",B19="to"),Skemaoplysninger!$AM$31,"")</f>
        <v/>
      </c>
      <c r="CR19" s="210" t="str">
        <f>IF(AND(C19="Skema 3",B19="fr"),Skemaoplysninger!$AO$31,"")</f>
        <v/>
      </c>
      <c r="CS19" s="210" t="str">
        <f>IF(AND(C19="Skema 4",B19="ma"),Skemaoplysninger!$AU$31,"")</f>
        <v/>
      </c>
      <c r="CT19" s="210" t="str">
        <f>IF(AND(C19="Skema 4",B19="ti"),Skemaoplysninger!$AW$31,"")</f>
        <v/>
      </c>
      <c r="CU19" s="210" t="str">
        <f>IF(AND(C19="Skema 4",B19="on"),Skemaoplysninger!$AY$31,"")</f>
        <v/>
      </c>
      <c r="CV19" s="210" t="str">
        <f>IF(AND(C19="Skema 4",B19="to"),Skemaoplysninger!$BA$31,"")</f>
        <v/>
      </c>
      <c r="CW19" s="210" t="str">
        <f>IF(AND(C19="Skema 4",B19="fr"),Skemaoplysninger!$BC$31,"")</f>
        <v/>
      </c>
      <c r="CX19" s="249">
        <f>IF(Stamoplysninger!$H$29="NEJ",SUM(CD19:CW19)*24+CB19+CC19,0)</f>
        <v>0</v>
      </c>
      <c r="CY19" s="249">
        <f>IF(C19="Skema 1",Stamoplysninger!$H$30/200,0)</f>
        <v>0</v>
      </c>
      <c r="CZ19" s="249">
        <f>IF(C19="Skema 2",Stamoplysninger!$H$30/200,0)</f>
        <v>0</v>
      </c>
      <c r="DA19" s="249">
        <f>IF(C19="Skema 3",Stamoplysninger!$H$30/200,0)</f>
        <v>0</v>
      </c>
      <c r="DB19" s="249">
        <f>IF(C19="Skema 4",Stamoplysninger!$H$30/200,0)</f>
        <v>0</v>
      </c>
      <c r="DC19" s="249">
        <f>IF(C19="fagdag",Stamoplysninger!$H$30/200,0)</f>
        <v>0</v>
      </c>
      <c r="DD19" s="249">
        <f>IF(C19="emnedag",Stamoplysninger!$H$30/200,0)</f>
        <v>0</v>
      </c>
      <c r="DE19" s="249">
        <f>IF(C19="lejrskole",Stamoplysninger!$H$30/200,0)</f>
        <v>0</v>
      </c>
      <c r="DF19" s="249">
        <f>IF(C19="ekskursion",Stamoplysninger!$H$30/200,0)</f>
        <v>0</v>
      </c>
      <c r="DG19" s="249">
        <f t="shared" si="26"/>
        <v>0</v>
      </c>
      <c r="DH19" t="str">
        <f t="shared" si="27"/>
        <v/>
      </c>
      <c r="DI19" t="str">
        <f t="shared" si="28"/>
        <v>Elevernes vinterferie</v>
      </c>
      <c r="DJ19" t="str">
        <f t="shared" si="29"/>
        <v/>
      </c>
      <c r="DK19" t="str">
        <f t="shared" si="12"/>
        <v/>
      </c>
      <c r="DL19" t="str">
        <f t="shared" si="12"/>
        <v>Elevernes vinterferie</v>
      </c>
      <c r="DM19" t="str">
        <f t="shared" si="12"/>
        <v/>
      </c>
      <c r="DN19" t="str">
        <f t="shared" si="30"/>
        <v>Elevernes vinterferie</v>
      </c>
      <c r="DO19" s="652">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71">
        <f>IF(AND(Stamoplysninger!$B$22="Ulempetillæg udbetales med 25% af nettotimelønnen.",C19="ikke relevant"),(R19)/4,0)</f>
        <v>0</v>
      </c>
      <c r="DT19" s="671">
        <f>IF(AND(AND(Stamoplysninger!$B$22="Ulempetillæg udbetales med 25% af nettotimelønnen.",I19="X",C19="Ikke relevant")),K19/4,0)</f>
        <v>0</v>
      </c>
      <c r="DU19" s="671">
        <f>IF(AND(AND(Stamoplysninger!$B$22="Ulempetillæg udbetales med 25% af nettotimelønnen.",C19="ikke relevant",U19="X")),(X19/4),0)</f>
        <v>0</v>
      </c>
      <c r="DV19" s="672">
        <f>IF(AND(AND(AND(Stamoplysninger!$B$22="Ulempetillæg udbetales med 25% af nettotimelønnen.",I19="X",C19="Ikke relevant",S19="X"))),V19/4,0)</f>
        <v>0</v>
      </c>
      <c r="DW19" s="652"/>
      <c r="DZ19" s="671"/>
      <c r="EA19" s="671"/>
      <c r="EB19" s="672"/>
      <c r="EC19" s="652">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71">
        <f>IF(AND(Stamoplysninger!$B$22="Ulempetillæg afspadseres med 25%(Kræver en aftale imellem ledelsen og den ansatte)",C19="ikke relevant"),(R19)/4,0)</f>
        <v>0</v>
      </c>
      <c r="EH19" s="671">
        <f>IF(AND(AND(Stamoplysninger!$B$22="Ulempetillæg afspadseres med 25%(Kræver en aftale imellem ledelsen og den ansatte)",I19="X",C19="Ikke relevant")),K19/4,0)</f>
        <v>0</v>
      </c>
      <c r="EI19" s="671">
        <f>IF(AND(AND(Stamoplysninger!$B$22="Ulempetillæg afspadseres med 25%(Kræver en aftale imellem ledelsen og den ansatte)",U19="X",C19="Ikke relevant")),X19/4,0)</f>
        <v>0</v>
      </c>
      <c r="EJ19" s="671">
        <f>IF(AND(AND(AND(Stamoplysninger!$B$22="Ulempetillæg afspadseres med 25%(Kræver en aftale imellem ledelsen og den ansatte)",I19="X",C19="Ikke relevant",S19="X"))),V19/4,0)</f>
        <v>0</v>
      </c>
      <c r="EK19" s="283">
        <f>IF(AND(Stamoplysninger!$B$26="Weekendtimer og weekendtillæg afspadseres.",I19="X"),K19*1.5,0)</f>
        <v>0</v>
      </c>
      <c r="EL19" s="251">
        <f>IF(AND(AND(Stamoplysninger!$B$26="Weekendtimer og weekendtillæg afspadseres.",I19="X",S19="X")),V19*1.5,0)</f>
        <v>0</v>
      </c>
      <c r="EM19" s="674">
        <f>IF(AND(AND(Stamoplysninger!$B$26="Weekendtimer og weekendtillæg afspadseres.",I19="X",C19="ikke relevant")),K19*1.5,0)</f>
        <v>0</v>
      </c>
      <c r="EN19" s="675">
        <f>IF(AND(AND(AND(Stamoplysninger!$B$26="Weekendtimer og weekendtillæg afspadseres.",I19="X",C19="ikke relevant",S19="X"))),(V19*1.5),0)</f>
        <v>0</v>
      </c>
      <c r="EO19" s="283">
        <f>IF(AND(Stamoplysninger!$B$26="Weekendtimer og weekendtillæg udbetales.",I19="X"),K19*1.5,0)</f>
        <v>0</v>
      </c>
      <c r="EP19" s="251">
        <f>IF(AND(AND(Stamoplysninger!$B$26="Weekendtimer og weekendtillæg udbetales.",I19="X",S19="X")),V19*1.5,0)</f>
        <v>0</v>
      </c>
      <c r="EQ19" s="674">
        <f>IF(AND(AND(Stamoplysninger!$B$26="Weekendtimer og weekendtillæg udbetales.",I19="X",C19="ikke relevant")),K19*1.5,0)</f>
        <v>0</v>
      </c>
      <c r="ER19" s="675">
        <f>IF(AND(AND(AND(Stamoplysninger!$B$26="Weekendtimer og weekendtillæg udbetales.",I19="X",C19="ikke relevant",S19="X"))),(V19*1.5),0)</f>
        <v>0</v>
      </c>
      <c r="ES19" s="283">
        <f>IF(AND(Stamoplysninger!$B$26="Der er indgået lokalaftale omkring weekendtimer.(Kræver aftale med TR/FSL) Weekendtillæg afspadseres.",I19="X"),K19*0.5,0)</f>
        <v>0</v>
      </c>
      <c r="ET19" s="251">
        <f>IF(AND(AND(Stamoplysninger!$B$26="Der er indgået lokalaftale omkring weekendtimer.(Kræver aftale med TR/FSL) Weekendtillæg afspadseres.",I19="X",S19="X")),V19*0.5,0)</f>
        <v>0</v>
      </c>
      <c r="EU19" s="674">
        <f>IF(AND(AND(Stamoplysninger!$B$26="Der er indgået lokalaftale omkring weekendtimer.(Kræver aftale med TR/FSL) Weekendtillæg afspadseres.",I19="X",C19="ikke relevant")),K19*0.5,0)</f>
        <v>0</v>
      </c>
      <c r="EV19" s="675">
        <f>IF(AND(AND(AND(Stamoplysninger!$B$26="Der er indgået lokalaftale omkring weekendtimer.(Kræver aftale med TR/FSL) Weekendtillæg afspadseres.",I19="X",C19="ikke relevant",S19="X"))),(V19*0.5),0)</f>
        <v>0</v>
      </c>
      <c r="EW19" s="283">
        <f>IF(AND(Stamoplysninger!$B$26="Der er indgået lokalaftale omkring weekendtimer(Kræver aftale med TR/FSL). Weekendtillæg udbetales.",I19="X"),K19*0.5,0)</f>
        <v>0</v>
      </c>
      <c r="EX19" s="251">
        <f>IF(AND(AND(Stamoplysninger!$B$26="Der er indgået lokalaftale omkring weekendtimer(Kræver aftale med TR/FSL). Weekendtillæg udbetales.",I19="X",S19="X")),V19*0.5,0)</f>
        <v>0</v>
      </c>
      <c r="EY19" s="674">
        <f>IF(AND(AND(Stamoplysninger!$B$26="Der er indgået lokalaftale omkring weekendtimer(Kræver aftale med TR/FSL). Weekendtillæg udbetales.",I19="X",C19="ikke relevant")),K19*0.5,0)</f>
        <v>0</v>
      </c>
      <c r="EZ19" s="675">
        <f>IF(AND(AND(AND(Stamoplysninger!$B$26="Der er indgået lokalaftale omkring weekendtimer(Kræver aftale med TR/FSL). Weekendtillæg udbetales.",I19="X",C19="ikke relevant",S19="X"))),(V19*0.5),0)</f>
        <v>0</v>
      </c>
      <c r="FA19" s="283">
        <f>IF(AND(Stamoplysninger!$B$26="Der er indgået lokalaftale omkring weekendtillæg(Kræver aftale med TR/FSL). Weekendtimerne afspadseres.",I19="X"),K19,0)</f>
        <v>0</v>
      </c>
      <c r="FB19" s="251">
        <f>IF(AND(AND(Stamoplysninger!$B$26="Der er indgået lokalaftale omkring weekendtillæg(Kræver aftale med TR/FSL). Weekendtimerne afspadseres.",I19="X",S19="X")),V19,0)</f>
        <v>0</v>
      </c>
      <c r="FC19" s="674">
        <f>IF(AND(AND(Stamoplysninger!$B$26="Der er indgået lokalaftale omkring weekendtillæg(Kræver aftale med TR/FSL). Weekendtimerne afspadseres..",I19="X",C19="ikke relevant")),K19,0)</f>
        <v>0</v>
      </c>
      <c r="FD19" s="675">
        <f>IF(AND(AND(AND(Stamoplysninger!$B$26="Der er indgået lokalaftale omkring weekendtillæg(Kræver aftale med TR/FSL). Weekendtimerne afspadseres.",I19="X",C19="ikke relevant",S19="X"))),(V19),0)</f>
        <v>0</v>
      </c>
      <c r="FE19" s="283">
        <f>IF(AND(Stamoplysninger!$B$26="Der er indgået lokalaftale omkring weekendtillæg(Kræver aftale med TR/FSL). Weekendtimerne udbetales.",I19="X"),K19,0)</f>
        <v>0</v>
      </c>
      <c r="FF19" s="251">
        <f>IF(AND(AND(Stamoplysninger!$B$26="Der er indgået lokalaftale omkring weekendtillæg(Kræver aftale med TR/FSL). Weekendtimerne udbetales.",I19="X",S19="X")),V19,0)</f>
        <v>0</v>
      </c>
      <c r="FG19" s="674">
        <f>IF(AND(AND(Stamoplysninger!$B$26="Der er indgået lokalaftale omkring weekendtillæg(Kræver aftale med TR/FSL). Weekendtimerne udbetales.",I19="X",C19="ikke relevant")),K19,0)</f>
        <v>0</v>
      </c>
      <c r="FH19" s="675">
        <f>IF(AND(AND(AND(Stamoplysninger!$B$26="Der er indgået lokalaftale omkring weekendtillæg(Kræver aftale med TR/FSL). Weekendtimerne udbetales.",I19="X",C19="ikke relevant",S19="X"))),(V19),0)</f>
        <v>0</v>
      </c>
      <c r="FI19" s="283">
        <f>IF(AND(Stamoplysninger!$B$26="Weekendtimer og weekendtillæg afspadseres.",I19="X"),K19,0)</f>
        <v>0</v>
      </c>
      <c r="FJ19" s="251">
        <f>IF(AND(Stamoplysninger!$B$26="Weekendtimer og weekendtillæg afspadseres.",Y19="X"),(AA19+AL19)/2,0)</f>
        <v>0</v>
      </c>
      <c r="FK19" s="674">
        <f>IF(AND(AND(Stamoplysninger!$B$26="Weekendtimer og weekendtillæg afspadseres.",I19="X",C19="ikke relevant")),K19,0)</f>
        <v>0</v>
      </c>
      <c r="FL19" s="675">
        <f>IF(AND(AND(Stamoplysninger!$B$26="Weekendtimer og weekendtillæg afspadseres.",Y19="X",S19="ikke relevant")),(AA19+AL19)/2,0)</f>
        <v>0</v>
      </c>
      <c r="FM19" s="283">
        <f>IF(AND(Stamoplysninger!$B$26="Der er indgået lokalaftale omkring weekendtillæg(Kræver aftale med TR/FSL). Weekendtimerne afspadseres.",I19="X"),K19,0)</f>
        <v>0</v>
      </c>
      <c r="FN19" s="674">
        <f>IF(AND(AND(Stamoplysninger!$B$26="Der er indgået lokalaftale omkring weekendtillæg(Kræver aftale med TR/FSL). Weekendtimerne afspadseres.",I19="X",C19="ikke relevant")),K19,0)</f>
        <v>0</v>
      </c>
      <c r="FO19" s="283">
        <f>IF(AND(Stamoplysninger!$B$26="Weekendtimer og weekendtillæg udbetales.",I19="X"),K19,0)</f>
        <v>0</v>
      </c>
      <c r="FP19" s="251">
        <f>IF(AND(Stamoplysninger!$B$26="Weekendtimer og weekendtillæg udbetales.",AA19="X"),(AC19+AN19)/2,0)</f>
        <v>0</v>
      </c>
      <c r="FQ19" s="674">
        <f>IF(AND(AND(Stamoplysninger!$B$26="Weekendtimer og weekendtillæg udbetales.",I19="X",C19="ikke relevant")),K19,0)</f>
        <v>0</v>
      </c>
      <c r="FR19" s="688">
        <f>IF(AND(AND(Stamoplysninger!$B$26="Weekendtimer og weekendtillæg udbetales.",AA19="X",U19="ikke relevant")),(AC19+AN19)/2,0)</f>
        <v>0</v>
      </c>
      <c r="FS19" s="283">
        <f t="shared" si="13"/>
        <v>0</v>
      </c>
      <c r="FT19" s="658">
        <f t="shared" si="14"/>
        <v>0</v>
      </c>
      <c r="FU19">
        <f t="shared" si="15"/>
        <v>0</v>
      </c>
      <c r="FV19" s="283">
        <f>IF(AND(Stamoplysninger!$B$26="Der er indgået lokalaftale omkring weekendtimer.(Kræver aftale med TR/FSL) Weekendtillæg afspadseres.",I19="X"),K19,0)</f>
        <v>0</v>
      </c>
      <c r="FW19" s="674">
        <f>IF(AND(AND(Stamoplysninger!$B$26="Der er indgået lokalaftale omkring weekendtimer.(Kræver aftale med TR/FSL) Weekendtillæg afspadseres.",I19="X",C19="ikke relevant")),K19,0)</f>
        <v>0</v>
      </c>
      <c r="FX19" s="283">
        <f>IF(AND(Stamoplysninger!$B$26="Der er indgået lokalaftale omkring weekendtimer(Kræver aftale med TR/FSL). Weekendtillæg udbetales.",I19="X"),K19,0)</f>
        <v>0</v>
      </c>
      <c r="FY19" s="674">
        <f>IF(AND(AND(Stamoplysninger!$B$26="Der er indgået lokalaftale omkring weekendtimer(Kræver aftale med TR/FSL). Weekendtillæg udbetales.",I19="X",C19="ikke relevant")),K19,0)</f>
        <v>0</v>
      </c>
      <c r="FZ19" s="283">
        <f>IF(AND(Stamoplysninger!$B$26="Der er indgået lokalaftale omkring weekendtillæg(Kræver aftale med TR/FSL). Weekendtimerne udbetales.",I19="X"),K19,0)</f>
        <v>0</v>
      </c>
      <c r="GA19" s="674">
        <f>IF(AND(AND(Stamoplysninger!$B$26="Der er indgået lokalaftale omkring weekendtillæg(Kræver aftale med TR/FSL). Weekendtimerne udbetales.",I19="X",C19="ikke relevant")),K19,0)</f>
        <v>0</v>
      </c>
      <c r="GB19" s="283">
        <f>IF(AND(Stamoplysninger!$B$26="Der er indgået lokalaftale omkring weekendtimer og weekendtillæg.(Kræver aftale med TR/FSL).",I19="X"),K19,0)</f>
        <v>0</v>
      </c>
      <c r="GC19" s="674">
        <f>IF(AND(AND(Stamoplysninger!$B$26="Der er indgået lokalaftale omkring weekendtimer og weekendtillæg.(Kræver aftale med TR/FSL).",I19="X",C19="ikke relevant")),K19,0)</f>
        <v>0</v>
      </c>
    </row>
    <row r="20" spans="1:185">
      <c r="A20" s="245">
        <f>IF(ISNUMBER(A19),A19+1,1)</f>
        <v>12</v>
      </c>
      <c r="B20" s="128" t="str">
        <f t="shared" si="0"/>
        <v>on</v>
      </c>
      <c r="C20" s="129" t="s">
        <v>128</v>
      </c>
      <c r="D20" s="130" t="str">
        <f t="shared" si="1"/>
        <v/>
      </c>
      <c r="E20" s="917" t="s">
        <v>131</v>
      </c>
      <c r="F20" s="918"/>
      <c r="G20" s="919"/>
      <c r="H20" s="298"/>
      <c r="I20" s="527"/>
      <c r="J20" s="413"/>
      <c r="K20" s="380"/>
      <c r="L20" s="380"/>
      <c r="M20" s="380"/>
      <c r="N20" s="318">
        <f t="shared" si="17"/>
        <v>0</v>
      </c>
      <c r="O20" s="318">
        <f t="shared" si="18"/>
        <v>0</v>
      </c>
      <c r="P20" s="318">
        <f>IF(Stamoplysninger!$H$29="JA",Februar!DG20,CX20)</f>
        <v>0</v>
      </c>
      <c r="Q20" s="318">
        <f t="shared" si="19"/>
        <v>0</v>
      </c>
      <c r="R20" s="319"/>
      <c r="S20" s="324"/>
      <c r="T20" s="325"/>
      <c r="U20" s="325"/>
      <c r="V20" s="435"/>
      <c r="W20" s="435"/>
      <c r="X20" s="644"/>
      <c r="Y20">
        <f t="shared" si="20"/>
        <v>0</v>
      </c>
      <c r="Z20" s="437">
        <f t="shared" si="21"/>
        <v>0</v>
      </c>
      <c r="AA20" s="1">
        <f t="shared" si="22"/>
        <v>0</v>
      </c>
      <c r="AB20" s="1">
        <f t="shared" si="2"/>
        <v>0</v>
      </c>
      <c r="AC20" s="1">
        <f t="shared" si="3"/>
        <v>0</v>
      </c>
      <c r="AD20" s="1">
        <f t="shared" si="4"/>
        <v>0</v>
      </c>
      <c r="AE20" s="1">
        <f t="shared" si="5"/>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9">
        <f t="shared" si="6"/>
        <v>0</v>
      </c>
      <c r="BC20" s="1">
        <f t="shared" si="24"/>
        <v>0</v>
      </c>
      <c r="BD20" s="1">
        <f t="shared" si="7"/>
        <v>0</v>
      </c>
      <c r="BE20" s="1">
        <f t="shared" si="8"/>
        <v>0</v>
      </c>
      <c r="BF20" s="1">
        <f t="shared" si="9"/>
        <v>0</v>
      </c>
      <c r="BG20" s="210" t="str">
        <f>IF(AND(C20="Skema 1",B20="ma"),Skemaoplysninger!$E$30,"")</f>
        <v/>
      </c>
      <c r="BH20" s="210" t="str">
        <f>IF(AND(C20="Skema 1",B20="ti"),Skemaoplysninger!$G$30,"")</f>
        <v/>
      </c>
      <c r="BI20" s="210" t="str">
        <f>IF(AND(C20="Skema 1",B20="on"),Skemaoplysninger!$I$30,"")</f>
        <v/>
      </c>
      <c r="BJ20" s="210" t="str">
        <f>IF(AND(C20="Skema 1",B20="to"),Skemaoplysninger!$K$30,"")</f>
        <v/>
      </c>
      <c r="BK20" s="210" t="str">
        <f>IF(AND(C20="Skema 1",B20="fr"),Skemaoplysninger!$M$30,"")</f>
        <v/>
      </c>
      <c r="BL20" s="210" t="str">
        <f>IF(AND(C20="Skema 2",B20="ma"),Skemaoplysninger!$S$30,"")</f>
        <v/>
      </c>
      <c r="BM20" s="210" t="str">
        <f>IF(AND(C20="Skema 2",B20="ti"),Skemaoplysninger!$U$30,"")</f>
        <v/>
      </c>
      <c r="BN20" s="210" t="str">
        <f>IF(AND(C20="Skema 2",B20="on"),Skemaoplysninger!$W$30,"")</f>
        <v/>
      </c>
      <c r="BO20" s="210" t="str">
        <f>IF(AND(C20="Skema 2",B20="to"),Skemaoplysninger!$Y$30,"")</f>
        <v/>
      </c>
      <c r="BP20" s="210" t="str">
        <f>IF(AND(C20="Skema 2",B20="fr"),Skemaoplysninger!$AA$30,"")</f>
        <v/>
      </c>
      <c r="BQ20" s="210" t="str">
        <f>IF(AND(C20="Skema 3",B20="ma"),Skemaoplysninger!$AG$30,"")</f>
        <v/>
      </c>
      <c r="BR20" s="210" t="str">
        <f>IF(AND(C20="Skema 3",B20="ti"),Skemaoplysninger!$AI$30,"")</f>
        <v/>
      </c>
      <c r="BS20" s="210" t="str">
        <f>IF(AND(C20="Skema 3",B20="on"),Skemaoplysninger!$AK$30,"")</f>
        <v/>
      </c>
      <c r="BT20" s="210" t="str">
        <f>IF(AND(C20="Skema 3",B20="to"),Skemaoplysninger!$AM$30,"")</f>
        <v/>
      </c>
      <c r="BU20" s="210" t="str">
        <f>IF(AND(C20="Skema 3",B20="fr"),Skemaoplysninger!$AO$30,"")</f>
        <v/>
      </c>
      <c r="BV20" s="210" t="str">
        <f>IF(AND(C20="Skema 4",B20="ma"),Skemaoplysninger!$AU$30,"")</f>
        <v/>
      </c>
      <c r="BW20" s="210" t="str">
        <f>IF(AND(C20="Skema 4",B20="ti"),Skemaoplysninger!$AW$30,"")</f>
        <v/>
      </c>
      <c r="BX20" s="210" t="str">
        <f>IF(AND(C20="Skema 4",B20="on"),Skemaoplysninger!$AY$30,"")</f>
        <v/>
      </c>
      <c r="BY20" s="210" t="str">
        <f>IF(AND(C20="Skema 4",B20="to"),Skemaoplysninger!$BA$30,"")</f>
        <v/>
      </c>
      <c r="BZ20" s="210" t="str">
        <f>IF(AND(C20="Skema 4",B20="fr"),Skemaoplysninger!$BC$30,"")</f>
        <v/>
      </c>
      <c r="CA20" s="1">
        <f t="shared" si="25"/>
        <v>0</v>
      </c>
      <c r="CB20" s="1">
        <f t="shared" si="10"/>
        <v>0</v>
      </c>
      <c r="CC20" s="1">
        <f t="shared" si="11"/>
        <v>0</v>
      </c>
      <c r="CD20" s="210" t="str">
        <f>IF(AND(C20="Skema 1",B20="ma"),Skemaoplysninger!$E$31,"")</f>
        <v/>
      </c>
      <c r="CE20" s="210" t="str">
        <f>IF(AND(C20="Skema 1",B20="ti"),Skemaoplysninger!$G$31,"")</f>
        <v/>
      </c>
      <c r="CF20" s="210" t="str">
        <f>IF(AND(C20="Skema 1",B20="on"),Skemaoplysninger!$I$31,"")</f>
        <v/>
      </c>
      <c r="CG20" s="210" t="str">
        <f>IF(AND(C20="Skema 1",B20="to"),Skemaoplysninger!$K$31,"")</f>
        <v/>
      </c>
      <c r="CH20" s="210" t="str">
        <f>IF(AND(C20="Skema 1",B20="fr"),Skemaoplysninger!$M$31,"")</f>
        <v/>
      </c>
      <c r="CI20" s="210" t="str">
        <f>IF(AND(C20="Skema 2",B20="ma"),Skemaoplysninger!$S$31,"")</f>
        <v/>
      </c>
      <c r="CJ20" s="210" t="str">
        <f>IF(AND(C20="Skema 2",B20="ti"),Skemaoplysninger!$U$31,"")</f>
        <v/>
      </c>
      <c r="CK20" s="210" t="str">
        <f>IF(AND(C20="Skema 2",B20="on"),Skemaoplysninger!$W$31,"")</f>
        <v/>
      </c>
      <c r="CL20" s="210" t="str">
        <f>IF(AND(C20="Skema 2",B20="to"),Skemaoplysninger!$Y$31,"")</f>
        <v/>
      </c>
      <c r="CM20" s="210" t="str">
        <f>IF(AND(C20="Skema 2",B20="fr"),Skemaoplysninger!$AA$31,"")</f>
        <v/>
      </c>
      <c r="CN20" s="210" t="str">
        <f>IF(AND(C20="Skema 3",B20="ma"),Skemaoplysninger!$AG$31,"")</f>
        <v/>
      </c>
      <c r="CO20" s="210" t="str">
        <f>IF(AND(C20="Skema 3",B20="ti"),Skemaoplysninger!$AI$31,"")</f>
        <v/>
      </c>
      <c r="CP20" s="210" t="str">
        <f>IF(AND(C20="Skema 3",B20="on"),Skemaoplysninger!$AK$31,"")</f>
        <v/>
      </c>
      <c r="CQ20" s="210" t="str">
        <f>IF(AND(C20="Skema 3",B20="to"),Skemaoplysninger!$AM$31,"")</f>
        <v/>
      </c>
      <c r="CR20" s="210" t="str">
        <f>IF(AND(C20="Skema 3",B20="fr"),Skemaoplysninger!$AO$31,"")</f>
        <v/>
      </c>
      <c r="CS20" s="210" t="str">
        <f>IF(AND(C20="Skema 4",B20="ma"),Skemaoplysninger!$AU$31,"")</f>
        <v/>
      </c>
      <c r="CT20" s="210" t="str">
        <f>IF(AND(C20="Skema 4",B20="ti"),Skemaoplysninger!$AW$31,"")</f>
        <v/>
      </c>
      <c r="CU20" s="210" t="str">
        <f>IF(AND(C20="Skema 4",B20="on"),Skemaoplysninger!$AY$31,"")</f>
        <v/>
      </c>
      <c r="CV20" s="210" t="str">
        <f>IF(AND(C20="Skema 4",B20="to"),Skemaoplysninger!$BA$31,"")</f>
        <v/>
      </c>
      <c r="CW20" s="210" t="str">
        <f>IF(AND(C20="Skema 4",B20="fr"),Skemaoplysninger!$BC$31,"")</f>
        <v/>
      </c>
      <c r="CX20" s="249">
        <f>IF(Stamoplysninger!$H$29="NEJ",SUM(CD20:CW20)*24+CB20+CC20,0)</f>
        <v>0</v>
      </c>
      <c r="CY20" s="249">
        <f>IF(C20="Skema 1",Stamoplysninger!$H$30/200,0)</f>
        <v>0</v>
      </c>
      <c r="CZ20" s="249">
        <f>IF(C20="Skema 2",Stamoplysninger!$H$30/200,0)</f>
        <v>0</v>
      </c>
      <c r="DA20" s="249">
        <f>IF(C20="Skema 3",Stamoplysninger!$H$30/200,0)</f>
        <v>0</v>
      </c>
      <c r="DB20" s="249">
        <f>IF(C20="Skema 4",Stamoplysninger!$H$30/200,0)</f>
        <v>0</v>
      </c>
      <c r="DC20" s="249">
        <f>IF(C20="fagdag",Stamoplysninger!$H$30/200,0)</f>
        <v>0</v>
      </c>
      <c r="DD20" s="249">
        <f>IF(C20="emnedag",Stamoplysninger!$H$30/200,0)</f>
        <v>0</v>
      </c>
      <c r="DE20" s="249">
        <f>IF(C20="lejrskole",Stamoplysninger!$H$30/200,0)</f>
        <v>0</v>
      </c>
      <c r="DF20" s="249">
        <f>IF(C20="ekskursion",Stamoplysninger!$H$30/200,0)</f>
        <v>0</v>
      </c>
      <c r="DG20" s="249">
        <f t="shared" si="26"/>
        <v>0</v>
      </c>
      <c r="DH20" t="str">
        <f t="shared" si="27"/>
        <v/>
      </c>
      <c r="DI20" t="str">
        <f t="shared" si="28"/>
        <v>Elevernes vinterferie</v>
      </c>
      <c r="DJ20" t="str">
        <f t="shared" si="29"/>
        <v/>
      </c>
      <c r="DK20" t="str">
        <f t="shared" si="12"/>
        <v/>
      </c>
      <c r="DL20" t="str">
        <f t="shared" si="12"/>
        <v>Elevernes vinterferie</v>
      </c>
      <c r="DM20" t="str">
        <f t="shared" si="12"/>
        <v/>
      </c>
      <c r="DN20" t="str">
        <f t="shared" si="30"/>
        <v>Elevernes vinterferie</v>
      </c>
      <c r="DO20" s="652">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71">
        <f>IF(AND(Stamoplysninger!$B$22="Ulempetillæg udbetales med 25% af nettotimelønnen.",C20="ikke relevant"),(R20)/4,0)</f>
        <v>0</v>
      </c>
      <c r="DT20" s="671">
        <f>IF(AND(AND(Stamoplysninger!$B$22="Ulempetillæg udbetales med 25% af nettotimelønnen.",I20="X",C20="Ikke relevant")),K20/4,0)</f>
        <v>0</v>
      </c>
      <c r="DU20" s="671">
        <f>IF(AND(AND(Stamoplysninger!$B$22="Ulempetillæg udbetales med 25% af nettotimelønnen.",C20="ikke relevant",U20="X")),(X20/4),0)</f>
        <v>0</v>
      </c>
      <c r="DV20" s="672">
        <f>IF(AND(AND(AND(Stamoplysninger!$B$22="Ulempetillæg udbetales med 25% af nettotimelønnen.",I20="X",C20="Ikke relevant",S20="X"))),V20/4,0)</f>
        <v>0</v>
      </c>
      <c r="DW20" s="652"/>
      <c r="DZ20" s="671"/>
      <c r="EA20" s="671"/>
      <c r="EB20" s="672"/>
      <c r="EC20" s="652">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71">
        <f>IF(AND(Stamoplysninger!$B$22="Ulempetillæg afspadseres med 25%(Kræver en aftale imellem ledelsen og den ansatte)",C20="ikke relevant"),(R20)/4,0)</f>
        <v>0</v>
      </c>
      <c r="EH20" s="671">
        <f>IF(AND(AND(Stamoplysninger!$B$22="Ulempetillæg afspadseres med 25%(Kræver en aftale imellem ledelsen og den ansatte)",I20="X",C20="Ikke relevant")),K20/4,0)</f>
        <v>0</v>
      </c>
      <c r="EI20" s="671">
        <f>IF(AND(AND(Stamoplysninger!$B$22="Ulempetillæg afspadseres med 25%(Kræver en aftale imellem ledelsen og den ansatte)",U20="X",C20="Ikke relevant")),X20/4,0)</f>
        <v>0</v>
      </c>
      <c r="EJ20" s="671">
        <f>IF(AND(AND(AND(Stamoplysninger!$B$22="Ulempetillæg afspadseres med 25%(Kræver en aftale imellem ledelsen og den ansatte)",I20="X",C20="Ikke relevant",S20="X"))),V20/4,0)</f>
        <v>0</v>
      </c>
      <c r="EK20" s="283">
        <f>IF(AND(Stamoplysninger!$B$26="Weekendtimer og weekendtillæg afspadseres.",I20="X"),K20*1.5,0)</f>
        <v>0</v>
      </c>
      <c r="EL20" s="251">
        <f>IF(AND(AND(Stamoplysninger!$B$26="Weekendtimer og weekendtillæg afspadseres.",I20="X",S20="X")),V20*1.5,0)</f>
        <v>0</v>
      </c>
      <c r="EM20" s="674">
        <f>IF(AND(AND(Stamoplysninger!$B$26="Weekendtimer og weekendtillæg afspadseres.",I20="X",C20="ikke relevant")),K20*1.5,0)</f>
        <v>0</v>
      </c>
      <c r="EN20" s="675">
        <f>IF(AND(AND(AND(Stamoplysninger!$B$26="Weekendtimer og weekendtillæg afspadseres.",I20="X",C20="ikke relevant",S20="X"))),(V20*1.5),0)</f>
        <v>0</v>
      </c>
      <c r="EO20" s="283">
        <f>IF(AND(Stamoplysninger!$B$26="Weekendtimer og weekendtillæg udbetales.",I20="X"),K20*1.5,0)</f>
        <v>0</v>
      </c>
      <c r="EP20" s="251">
        <f>IF(AND(AND(Stamoplysninger!$B$26="Weekendtimer og weekendtillæg udbetales.",I20="X",S20="X")),V20*1.5,0)</f>
        <v>0</v>
      </c>
      <c r="EQ20" s="674">
        <f>IF(AND(AND(Stamoplysninger!$B$26="Weekendtimer og weekendtillæg udbetales.",I20="X",C20="ikke relevant")),K20*1.5,0)</f>
        <v>0</v>
      </c>
      <c r="ER20" s="675">
        <f>IF(AND(AND(AND(Stamoplysninger!$B$26="Weekendtimer og weekendtillæg udbetales.",I20="X",C20="ikke relevant",S20="X"))),(V20*1.5),0)</f>
        <v>0</v>
      </c>
      <c r="ES20" s="283">
        <f>IF(AND(Stamoplysninger!$B$26="Der er indgået lokalaftale omkring weekendtimer.(Kræver aftale med TR/FSL) Weekendtillæg afspadseres.",I20="X"),K20*0.5,0)</f>
        <v>0</v>
      </c>
      <c r="ET20" s="251">
        <f>IF(AND(AND(Stamoplysninger!$B$26="Der er indgået lokalaftale omkring weekendtimer.(Kræver aftale med TR/FSL) Weekendtillæg afspadseres.",I20="X",S20="X")),V20*0.5,0)</f>
        <v>0</v>
      </c>
      <c r="EU20" s="674">
        <f>IF(AND(AND(Stamoplysninger!$B$26="Der er indgået lokalaftale omkring weekendtimer.(Kræver aftale med TR/FSL) Weekendtillæg afspadseres.",I20="X",C20="ikke relevant")),K20*0.5,0)</f>
        <v>0</v>
      </c>
      <c r="EV20" s="675">
        <f>IF(AND(AND(AND(Stamoplysninger!$B$26="Der er indgået lokalaftale omkring weekendtimer.(Kræver aftale med TR/FSL) Weekendtillæg afspadseres.",I20="X",C20="ikke relevant",S20="X"))),(V20*0.5),0)</f>
        <v>0</v>
      </c>
      <c r="EW20" s="283">
        <f>IF(AND(Stamoplysninger!$B$26="Der er indgået lokalaftale omkring weekendtimer(Kræver aftale med TR/FSL). Weekendtillæg udbetales.",I20="X"),K20*0.5,0)</f>
        <v>0</v>
      </c>
      <c r="EX20" s="251">
        <f>IF(AND(AND(Stamoplysninger!$B$26="Der er indgået lokalaftale omkring weekendtimer(Kræver aftale med TR/FSL). Weekendtillæg udbetales.",I20="X",S20="X")),V20*0.5,0)</f>
        <v>0</v>
      </c>
      <c r="EY20" s="674">
        <f>IF(AND(AND(Stamoplysninger!$B$26="Der er indgået lokalaftale omkring weekendtimer(Kræver aftale med TR/FSL). Weekendtillæg udbetales.",I20="X",C20="ikke relevant")),K20*0.5,0)</f>
        <v>0</v>
      </c>
      <c r="EZ20" s="675">
        <f>IF(AND(AND(AND(Stamoplysninger!$B$26="Der er indgået lokalaftale omkring weekendtimer(Kræver aftale med TR/FSL). Weekendtillæg udbetales.",I20="X",C20="ikke relevant",S20="X"))),(V20*0.5),0)</f>
        <v>0</v>
      </c>
      <c r="FA20" s="283">
        <f>IF(AND(Stamoplysninger!$B$26="Der er indgået lokalaftale omkring weekendtillæg(Kræver aftale med TR/FSL). Weekendtimerne afspadseres.",I20="X"),K20,0)</f>
        <v>0</v>
      </c>
      <c r="FB20" s="251">
        <f>IF(AND(AND(Stamoplysninger!$B$26="Der er indgået lokalaftale omkring weekendtillæg(Kræver aftale med TR/FSL). Weekendtimerne afspadseres.",I20="X",S20="X")),V20,0)</f>
        <v>0</v>
      </c>
      <c r="FC20" s="674">
        <f>IF(AND(AND(Stamoplysninger!$B$26="Der er indgået lokalaftale omkring weekendtillæg(Kræver aftale med TR/FSL). Weekendtimerne afspadseres..",I20="X",C20="ikke relevant")),K20,0)</f>
        <v>0</v>
      </c>
      <c r="FD20" s="675">
        <f>IF(AND(AND(AND(Stamoplysninger!$B$26="Der er indgået lokalaftale omkring weekendtillæg(Kræver aftale med TR/FSL). Weekendtimerne afspadseres.",I20="X",C20="ikke relevant",S20="X"))),(V20),0)</f>
        <v>0</v>
      </c>
      <c r="FE20" s="283">
        <f>IF(AND(Stamoplysninger!$B$26="Der er indgået lokalaftale omkring weekendtillæg(Kræver aftale med TR/FSL). Weekendtimerne udbetales.",I20="X"),K20,0)</f>
        <v>0</v>
      </c>
      <c r="FF20" s="251">
        <f>IF(AND(AND(Stamoplysninger!$B$26="Der er indgået lokalaftale omkring weekendtillæg(Kræver aftale med TR/FSL). Weekendtimerne udbetales.",I20="X",S20="X")),V20,0)</f>
        <v>0</v>
      </c>
      <c r="FG20" s="674">
        <f>IF(AND(AND(Stamoplysninger!$B$26="Der er indgået lokalaftale omkring weekendtillæg(Kræver aftale med TR/FSL). Weekendtimerne udbetales.",I20="X",C20="ikke relevant")),K20,0)</f>
        <v>0</v>
      </c>
      <c r="FH20" s="675">
        <f>IF(AND(AND(AND(Stamoplysninger!$B$26="Der er indgået lokalaftale omkring weekendtillæg(Kræver aftale med TR/FSL). Weekendtimerne udbetales.",I20="X",C20="ikke relevant",S20="X"))),(V20),0)</f>
        <v>0</v>
      </c>
      <c r="FI20" s="283">
        <f>IF(AND(Stamoplysninger!$B$26="Weekendtimer og weekendtillæg afspadseres.",I20="X"),K20,0)</f>
        <v>0</v>
      </c>
      <c r="FJ20" s="251">
        <f>IF(AND(Stamoplysninger!$B$26="Weekendtimer og weekendtillæg afspadseres.",Y20="X"),(AA20+AL20)/2,0)</f>
        <v>0</v>
      </c>
      <c r="FK20" s="674">
        <f>IF(AND(AND(Stamoplysninger!$B$26="Weekendtimer og weekendtillæg afspadseres.",I20="X",C20="ikke relevant")),K20,0)</f>
        <v>0</v>
      </c>
      <c r="FL20" s="675">
        <f>IF(AND(AND(Stamoplysninger!$B$26="Weekendtimer og weekendtillæg afspadseres.",Y20="X",S20="ikke relevant")),(AA20+AL20)/2,0)</f>
        <v>0</v>
      </c>
      <c r="FM20" s="283">
        <f>IF(AND(Stamoplysninger!$B$26="Der er indgået lokalaftale omkring weekendtillæg(Kræver aftale med TR/FSL). Weekendtimerne afspadseres.",I20="X"),K20,0)</f>
        <v>0</v>
      </c>
      <c r="FN20" s="674">
        <f>IF(AND(AND(Stamoplysninger!$B$26="Der er indgået lokalaftale omkring weekendtillæg(Kræver aftale med TR/FSL). Weekendtimerne afspadseres.",I20="X",C20="ikke relevant")),K20,0)</f>
        <v>0</v>
      </c>
      <c r="FO20" s="283">
        <f>IF(AND(Stamoplysninger!$B$26="Weekendtimer og weekendtillæg udbetales.",I20="X"),K20,0)</f>
        <v>0</v>
      </c>
      <c r="FP20" s="251">
        <f>IF(AND(Stamoplysninger!$B$26="Weekendtimer og weekendtillæg udbetales.",AA20="X"),(AC20+AN20)/2,0)</f>
        <v>0</v>
      </c>
      <c r="FQ20" s="674">
        <f>IF(AND(AND(Stamoplysninger!$B$26="Weekendtimer og weekendtillæg udbetales.",I20="X",C20="ikke relevant")),K20,0)</f>
        <v>0</v>
      </c>
      <c r="FR20" s="688">
        <f>IF(AND(AND(Stamoplysninger!$B$26="Weekendtimer og weekendtillæg udbetales.",AA20="X",U20="ikke relevant")),(AC20+AN20)/2,0)</f>
        <v>0</v>
      </c>
      <c r="FS20" s="283">
        <f t="shared" si="13"/>
        <v>0</v>
      </c>
      <c r="FT20" s="658">
        <f t="shared" si="14"/>
        <v>0</v>
      </c>
      <c r="FU20">
        <f t="shared" si="15"/>
        <v>0</v>
      </c>
      <c r="FV20" s="283">
        <f>IF(AND(Stamoplysninger!$B$26="Der er indgået lokalaftale omkring weekendtimer.(Kræver aftale med TR/FSL) Weekendtillæg afspadseres.",I20="X"),K20,0)</f>
        <v>0</v>
      </c>
      <c r="FW20" s="674">
        <f>IF(AND(AND(Stamoplysninger!$B$26="Der er indgået lokalaftale omkring weekendtimer.(Kræver aftale med TR/FSL) Weekendtillæg afspadseres.",I20="X",C20="ikke relevant")),K20,0)</f>
        <v>0</v>
      </c>
      <c r="FX20" s="283">
        <f>IF(AND(Stamoplysninger!$B$26="Der er indgået lokalaftale omkring weekendtimer(Kræver aftale med TR/FSL). Weekendtillæg udbetales.",I20="X"),K20,0)</f>
        <v>0</v>
      </c>
      <c r="FY20" s="674">
        <f>IF(AND(AND(Stamoplysninger!$B$26="Der er indgået lokalaftale omkring weekendtimer(Kræver aftale med TR/FSL). Weekendtillæg udbetales.",I20="X",C20="ikke relevant")),K20,0)</f>
        <v>0</v>
      </c>
      <c r="FZ20" s="283">
        <f>IF(AND(Stamoplysninger!$B$26="Der er indgået lokalaftale omkring weekendtillæg(Kræver aftale med TR/FSL). Weekendtimerne udbetales.",I20="X"),K20,0)</f>
        <v>0</v>
      </c>
      <c r="GA20" s="674">
        <f>IF(AND(AND(Stamoplysninger!$B$26="Der er indgået lokalaftale omkring weekendtillæg(Kræver aftale med TR/FSL). Weekendtimerne udbetales.",I20="X",C20="ikke relevant")),K20,0)</f>
        <v>0</v>
      </c>
      <c r="GB20" s="283">
        <f>IF(AND(Stamoplysninger!$B$26="Der er indgået lokalaftale omkring weekendtimer og weekendtillæg.(Kræver aftale med TR/FSL).",I20="X"),K20,0)</f>
        <v>0</v>
      </c>
      <c r="GC20" s="674">
        <f>IF(AND(AND(Stamoplysninger!$B$26="Der er indgået lokalaftale omkring weekendtimer og weekendtillæg.(Kræver aftale med TR/FSL).",I20="X",C20="ikke relevant")),K20,0)</f>
        <v>0</v>
      </c>
    </row>
    <row r="21" spans="1:185">
      <c r="A21" s="245">
        <f>IF(ISNUMBER(A20),A20+1,1)</f>
        <v>13</v>
      </c>
      <c r="B21" s="128" t="str">
        <f t="shared" si="0"/>
        <v>to</v>
      </c>
      <c r="C21" s="129" t="s">
        <v>128</v>
      </c>
      <c r="D21" s="130" t="str">
        <f t="shared" si="1"/>
        <v/>
      </c>
      <c r="E21" s="949" t="s">
        <v>131</v>
      </c>
      <c r="F21" s="950"/>
      <c r="G21" s="951"/>
      <c r="H21" s="297"/>
      <c r="I21" s="527"/>
      <c r="J21" s="413"/>
      <c r="K21" s="380"/>
      <c r="L21" s="380"/>
      <c r="M21" s="380"/>
      <c r="N21" s="318">
        <f t="shared" si="17"/>
        <v>0</v>
      </c>
      <c r="O21" s="318">
        <f t="shared" si="18"/>
        <v>0</v>
      </c>
      <c r="P21" s="318">
        <f>IF(Stamoplysninger!$H$29="JA",Februar!DG21,CX21)</f>
        <v>0</v>
      </c>
      <c r="Q21" s="318">
        <f t="shared" si="19"/>
        <v>0</v>
      </c>
      <c r="R21" s="319"/>
      <c r="S21" s="324"/>
      <c r="T21" s="325"/>
      <c r="U21" s="325"/>
      <c r="V21" s="435"/>
      <c r="W21" s="435"/>
      <c r="X21" s="644"/>
      <c r="Y21">
        <f t="shared" si="20"/>
        <v>0</v>
      </c>
      <c r="Z21" s="437">
        <f t="shared" si="21"/>
        <v>0</v>
      </c>
      <c r="AA21" s="1">
        <f t="shared" si="22"/>
        <v>0</v>
      </c>
      <c r="AB21" s="1">
        <f t="shared" si="2"/>
        <v>0</v>
      </c>
      <c r="AC21" s="1">
        <f t="shared" si="3"/>
        <v>0</v>
      </c>
      <c r="AD21" s="1">
        <f t="shared" si="4"/>
        <v>0</v>
      </c>
      <c r="AE21" s="1">
        <f t="shared" si="5"/>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9">
        <f t="shared" si="6"/>
        <v>0</v>
      </c>
      <c r="BC21" s="1">
        <f t="shared" si="24"/>
        <v>0</v>
      </c>
      <c r="BD21" s="1">
        <f t="shared" si="7"/>
        <v>0</v>
      </c>
      <c r="BE21" s="1">
        <f t="shared" si="8"/>
        <v>0</v>
      </c>
      <c r="BF21" s="1">
        <f t="shared" si="9"/>
        <v>0</v>
      </c>
      <c r="BG21" s="210" t="str">
        <f>IF(AND(C21="Skema 1",B21="ma"),Skemaoplysninger!$E$30,"")</f>
        <v/>
      </c>
      <c r="BH21" s="210" t="str">
        <f>IF(AND(C21="Skema 1",B21="ti"),Skemaoplysninger!$G$30,"")</f>
        <v/>
      </c>
      <c r="BI21" s="210" t="str">
        <f>IF(AND(C21="Skema 1",B21="on"),Skemaoplysninger!$I$30,"")</f>
        <v/>
      </c>
      <c r="BJ21" s="210" t="str">
        <f>IF(AND(C21="Skema 1",B21="to"),Skemaoplysninger!$K$30,"")</f>
        <v/>
      </c>
      <c r="BK21" s="210" t="str">
        <f>IF(AND(C21="Skema 1",B21="fr"),Skemaoplysninger!$M$30,"")</f>
        <v/>
      </c>
      <c r="BL21" s="210" t="str">
        <f>IF(AND(C21="Skema 2",B21="ma"),Skemaoplysninger!$S$30,"")</f>
        <v/>
      </c>
      <c r="BM21" s="210" t="str">
        <f>IF(AND(C21="Skema 2",B21="ti"),Skemaoplysninger!$U$30,"")</f>
        <v/>
      </c>
      <c r="BN21" s="210" t="str">
        <f>IF(AND(C21="Skema 2",B21="on"),Skemaoplysninger!$W$30,"")</f>
        <v/>
      </c>
      <c r="BO21" s="210" t="str">
        <f>IF(AND(C21="Skema 2",B21="to"),Skemaoplysninger!$Y$30,"")</f>
        <v/>
      </c>
      <c r="BP21" s="210" t="str">
        <f>IF(AND(C21="Skema 2",B21="fr"),Skemaoplysninger!$AA$30,"")</f>
        <v/>
      </c>
      <c r="BQ21" s="210" t="str">
        <f>IF(AND(C21="Skema 3",B21="ma"),Skemaoplysninger!$AG$30,"")</f>
        <v/>
      </c>
      <c r="BR21" s="210" t="str">
        <f>IF(AND(C21="Skema 3",B21="ti"),Skemaoplysninger!$AI$30,"")</f>
        <v/>
      </c>
      <c r="BS21" s="210" t="str">
        <f>IF(AND(C21="Skema 3",B21="on"),Skemaoplysninger!$AK$30,"")</f>
        <v/>
      </c>
      <c r="BT21" s="210" t="str">
        <f>IF(AND(C21="Skema 3",B21="to"),Skemaoplysninger!$AM$30,"")</f>
        <v/>
      </c>
      <c r="BU21" s="210" t="str">
        <f>IF(AND(C21="Skema 3",B21="fr"),Skemaoplysninger!$AO$30,"")</f>
        <v/>
      </c>
      <c r="BV21" s="210" t="str">
        <f>IF(AND(C21="Skema 4",B21="ma"),Skemaoplysninger!$AU$30,"")</f>
        <v/>
      </c>
      <c r="BW21" s="210" t="str">
        <f>IF(AND(C21="Skema 4",B21="ti"),Skemaoplysninger!$AW$30,"")</f>
        <v/>
      </c>
      <c r="BX21" s="210" t="str">
        <f>IF(AND(C21="Skema 4",B21="on"),Skemaoplysninger!$AY$30,"")</f>
        <v/>
      </c>
      <c r="BY21" s="210" t="str">
        <f>IF(AND(C21="Skema 4",B21="to"),Skemaoplysninger!$BA$30,"")</f>
        <v/>
      </c>
      <c r="BZ21" s="210" t="str">
        <f>IF(AND(C21="Skema 4",B21="fr"),Skemaoplysninger!$BC$30,"")</f>
        <v/>
      </c>
      <c r="CA21" s="1">
        <f t="shared" si="25"/>
        <v>0</v>
      </c>
      <c r="CB21" s="1">
        <f t="shared" si="10"/>
        <v>0</v>
      </c>
      <c r="CC21" s="1">
        <f t="shared" si="11"/>
        <v>0</v>
      </c>
      <c r="CD21" s="210" t="str">
        <f>IF(AND(C21="Skema 1",B21="ma"),Skemaoplysninger!$E$31,"")</f>
        <v/>
      </c>
      <c r="CE21" s="210" t="str">
        <f>IF(AND(C21="Skema 1",B21="ti"),Skemaoplysninger!$G$31,"")</f>
        <v/>
      </c>
      <c r="CF21" s="210" t="str">
        <f>IF(AND(C21="Skema 1",B21="on"),Skemaoplysninger!$I$31,"")</f>
        <v/>
      </c>
      <c r="CG21" s="210" t="str">
        <f>IF(AND(C21="Skema 1",B21="to"),Skemaoplysninger!$K$31,"")</f>
        <v/>
      </c>
      <c r="CH21" s="210" t="str">
        <f>IF(AND(C21="Skema 1",B21="fr"),Skemaoplysninger!$M$31,"")</f>
        <v/>
      </c>
      <c r="CI21" s="210" t="str">
        <f>IF(AND(C21="Skema 2",B21="ma"),Skemaoplysninger!$S$31,"")</f>
        <v/>
      </c>
      <c r="CJ21" s="210" t="str">
        <f>IF(AND(C21="Skema 2",B21="ti"),Skemaoplysninger!$U$31,"")</f>
        <v/>
      </c>
      <c r="CK21" s="210" t="str">
        <f>IF(AND(C21="Skema 2",B21="on"),Skemaoplysninger!$W$31,"")</f>
        <v/>
      </c>
      <c r="CL21" s="210" t="str">
        <f>IF(AND(C21="Skema 2",B21="to"),Skemaoplysninger!$Y$31,"")</f>
        <v/>
      </c>
      <c r="CM21" s="210" t="str">
        <f>IF(AND(C21="Skema 2",B21="fr"),Skemaoplysninger!$AA$31,"")</f>
        <v/>
      </c>
      <c r="CN21" s="210" t="str">
        <f>IF(AND(C21="Skema 3",B21="ma"),Skemaoplysninger!$AG$31,"")</f>
        <v/>
      </c>
      <c r="CO21" s="210" t="str">
        <f>IF(AND(C21="Skema 3",B21="ti"),Skemaoplysninger!$AI$31,"")</f>
        <v/>
      </c>
      <c r="CP21" s="210" t="str">
        <f>IF(AND(C21="Skema 3",B21="on"),Skemaoplysninger!$AK$31,"")</f>
        <v/>
      </c>
      <c r="CQ21" s="210" t="str">
        <f>IF(AND(C21="Skema 3",B21="to"),Skemaoplysninger!$AM$31,"")</f>
        <v/>
      </c>
      <c r="CR21" s="210" t="str">
        <f>IF(AND(C21="Skema 3",B21="fr"),Skemaoplysninger!$AO$31,"")</f>
        <v/>
      </c>
      <c r="CS21" s="210" t="str">
        <f>IF(AND(C21="Skema 4",B21="ma"),Skemaoplysninger!$AU$31,"")</f>
        <v/>
      </c>
      <c r="CT21" s="210" t="str">
        <f>IF(AND(C21="Skema 4",B21="ti"),Skemaoplysninger!$AW$31,"")</f>
        <v/>
      </c>
      <c r="CU21" s="210" t="str">
        <f>IF(AND(C21="Skema 4",B21="on"),Skemaoplysninger!$AY$31,"")</f>
        <v/>
      </c>
      <c r="CV21" s="210" t="str">
        <f>IF(AND(C21="Skema 4",B21="to"),Skemaoplysninger!$BA$31,"")</f>
        <v/>
      </c>
      <c r="CW21" s="210" t="str">
        <f>IF(AND(C21="Skema 4",B21="fr"),Skemaoplysninger!$BC$31,"")</f>
        <v/>
      </c>
      <c r="CX21" s="249">
        <f>IF(Stamoplysninger!$H$29="NEJ",SUM(CD21:CW21)*24+CB21+CC21,0)</f>
        <v>0</v>
      </c>
      <c r="CY21" s="249">
        <f>IF(C21="Skema 1",Stamoplysninger!$H$30/200,0)</f>
        <v>0</v>
      </c>
      <c r="CZ21" s="249">
        <f>IF(C21="Skema 2",Stamoplysninger!$H$30/200,0)</f>
        <v>0</v>
      </c>
      <c r="DA21" s="249">
        <f>IF(C21="Skema 3",Stamoplysninger!$H$30/200,0)</f>
        <v>0</v>
      </c>
      <c r="DB21" s="249">
        <f>IF(C21="Skema 4",Stamoplysninger!$H$30/200,0)</f>
        <v>0</v>
      </c>
      <c r="DC21" s="249">
        <f>IF(C21="fagdag",Stamoplysninger!$H$30/200,0)</f>
        <v>0</v>
      </c>
      <c r="DD21" s="249">
        <f>IF(C21="emnedag",Stamoplysninger!$H$30/200,0)</f>
        <v>0</v>
      </c>
      <c r="DE21" s="249">
        <f>IF(C21="lejrskole",Stamoplysninger!$H$30/200,0)</f>
        <v>0</v>
      </c>
      <c r="DF21" s="249">
        <f>IF(C21="ekskursion",Stamoplysninger!$H$30/200,0)</f>
        <v>0</v>
      </c>
      <c r="DG21" s="249">
        <f t="shared" si="26"/>
        <v>0</v>
      </c>
      <c r="DH21" t="str">
        <f t="shared" si="27"/>
        <v/>
      </c>
      <c r="DI21" t="str">
        <f t="shared" si="28"/>
        <v>Elevernes vinterferie</v>
      </c>
      <c r="DJ21" t="str">
        <f t="shared" si="29"/>
        <v/>
      </c>
      <c r="DK21" t="str">
        <f t="shared" si="12"/>
        <v/>
      </c>
      <c r="DL21" t="str">
        <f t="shared" si="12"/>
        <v>Elevernes vinterferie</v>
      </c>
      <c r="DM21" t="str">
        <f t="shared" si="12"/>
        <v/>
      </c>
      <c r="DN21" t="str">
        <f t="shared" si="30"/>
        <v>Elevernes vinterferie</v>
      </c>
      <c r="DO21" s="652">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71">
        <f>IF(AND(Stamoplysninger!$B$22="Ulempetillæg udbetales med 25% af nettotimelønnen.",C21="ikke relevant"),(R21)/4,0)</f>
        <v>0</v>
      </c>
      <c r="DT21" s="671">
        <f>IF(AND(AND(Stamoplysninger!$B$22="Ulempetillæg udbetales med 25% af nettotimelønnen.",I21="X",C21="Ikke relevant")),K21/4,0)</f>
        <v>0</v>
      </c>
      <c r="DU21" s="671">
        <f>IF(AND(AND(Stamoplysninger!$B$22="Ulempetillæg udbetales med 25% af nettotimelønnen.",C21="ikke relevant",U21="X")),(X21/4),0)</f>
        <v>0</v>
      </c>
      <c r="DV21" s="672">
        <f>IF(AND(AND(AND(Stamoplysninger!$B$22="Ulempetillæg udbetales med 25% af nettotimelønnen.",I21="X",C21="Ikke relevant",S21="X"))),V21/4,0)</f>
        <v>0</v>
      </c>
      <c r="DW21" s="652"/>
      <c r="DZ21" s="671"/>
      <c r="EA21" s="671"/>
      <c r="EB21" s="672"/>
      <c r="EC21" s="652">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71">
        <f>IF(AND(Stamoplysninger!$B$22="Ulempetillæg afspadseres med 25%(Kræver en aftale imellem ledelsen og den ansatte)",C21="ikke relevant"),(R21)/4,0)</f>
        <v>0</v>
      </c>
      <c r="EH21" s="671">
        <f>IF(AND(AND(Stamoplysninger!$B$22="Ulempetillæg afspadseres med 25%(Kræver en aftale imellem ledelsen og den ansatte)",I21="X",C21="Ikke relevant")),K21/4,0)</f>
        <v>0</v>
      </c>
      <c r="EI21" s="671">
        <f>IF(AND(AND(Stamoplysninger!$B$22="Ulempetillæg afspadseres med 25%(Kræver en aftale imellem ledelsen og den ansatte)",U21="X",C21="Ikke relevant")),X21/4,0)</f>
        <v>0</v>
      </c>
      <c r="EJ21" s="671">
        <f>IF(AND(AND(AND(Stamoplysninger!$B$22="Ulempetillæg afspadseres med 25%(Kræver en aftale imellem ledelsen og den ansatte)",I21="X",C21="Ikke relevant",S21="X"))),V21/4,0)</f>
        <v>0</v>
      </c>
      <c r="EK21" s="283">
        <f>IF(AND(Stamoplysninger!$B$26="Weekendtimer og weekendtillæg afspadseres.",I21="X"),K21*1.5,0)</f>
        <v>0</v>
      </c>
      <c r="EL21" s="251">
        <f>IF(AND(AND(Stamoplysninger!$B$26="Weekendtimer og weekendtillæg afspadseres.",I21="X",S21="X")),V21*1.5,0)</f>
        <v>0</v>
      </c>
      <c r="EM21" s="674">
        <f>IF(AND(AND(Stamoplysninger!$B$26="Weekendtimer og weekendtillæg afspadseres.",I21="X",C21="ikke relevant")),K21*1.5,0)</f>
        <v>0</v>
      </c>
      <c r="EN21" s="675">
        <f>IF(AND(AND(AND(Stamoplysninger!$B$26="Weekendtimer og weekendtillæg afspadseres.",I21="X",C21="ikke relevant",S21="X"))),(V21*1.5),0)</f>
        <v>0</v>
      </c>
      <c r="EO21" s="283">
        <f>IF(AND(Stamoplysninger!$B$26="Weekendtimer og weekendtillæg udbetales.",I21="X"),K21*1.5,0)</f>
        <v>0</v>
      </c>
      <c r="EP21" s="251">
        <f>IF(AND(AND(Stamoplysninger!$B$26="Weekendtimer og weekendtillæg udbetales.",I21="X",S21="X")),V21*1.5,0)</f>
        <v>0</v>
      </c>
      <c r="EQ21" s="674">
        <f>IF(AND(AND(Stamoplysninger!$B$26="Weekendtimer og weekendtillæg udbetales.",I21="X",C21="ikke relevant")),K21*1.5,0)</f>
        <v>0</v>
      </c>
      <c r="ER21" s="675">
        <f>IF(AND(AND(AND(Stamoplysninger!$B$26="Weekendtimer og weekendtillæg udbetales.",I21="X",C21="ikke relevant",S21="X"))),(V21*1.5),0)</f>
        <v>0</v>
      </c>
      <c r="ES21" s="283">
        <f>IF(AND(Stamoplysninger!$B$26="Der er indgået lokalaftale omkring weekendtimer.(Kræver aftale med TR/FSL) Weekendtillæg afspadseres.",I21="X"),K21*0.5,0)</f>
        <v>0</v>
      </c>
      <c r="ET21" s="251">
        <f>IF(AND(AND(Stamoplysninger!$B$26="Der er indgået lokalaftale omkring weekendtimer.(Kræver aftale med TR/FSL) Weekendtillæg afspadseres.",I21="X",S21="X")),V21*0.5,0)</f>
        <v>0</v>
      </c>
      <c r="EU21" s="674">
        <f>IF(AND(AND(Stamoplysninger!$B$26="Der er indgået lokalaftale omkring weekendtimer.(Kræver aftale med TR/FSL) Weekendtillæg afspadseres.",I21="X",C21="ikke relevant")),K21*0.5,0)</f>
        <v>0</v>
      </c>
      <c r="EV21" s="675">
        <f>IF(AND(AND(AND(Stamoplysninger!$B$26="Der er indgået lokalaftale omkring weekendtimer.(Kræver aftale med TR/FSL) Weekendtillæg afspadseres.",I21="X",C21="ikke relevant",S21="X"))),(V21*0.5),0)</f>
        <v>0</v>
      </c>
      <c r="EW21" s="283">
        <f>IF(AND(Stamoplysninger!$B$26="Der er indgået lokalaftale omkring weekendtimer(Kræver aftale med TR/FSL). Weekendtillæg udbetales.",I21="X"),K21*0.5,0)</f>
        <v>0</v>
      </c>
      <c r="EX21" s="251">
        <f>IF(AND(AND(Stamoplysninger!$B$26="Der er indgået lokalaftale omkring weekendtimer(Kræver aftale med TR/FSL). Weekendtillæg udbetales.",I21="X",S21="X")),V21*0.5,0)</f>
        <v>0</v>
      </c>
      <c r="EY21" s="674">
        <f>IF(AND(AND(Stamoplysninger!$B$26="Der er indgået lokalaftale omkring weekendtimer(Kræver aftale med TR/FSL). Weekendtillæg udbetales.",I21="X",C21="ikke relevant")),K21*0.5,0)</f>
        <v>0</v>
      </c>
      <c r="EZ21" s="675">
        <f>IF(AND(AND(AND(Stamoplysninger!$B$26="Der er indgået lokalaftale omkring weekendtimer(Kræver aftale med TR/FSL). Weekendtillæg udbetales.",I21="X",C21="ikke relevant",S21="X"))),(V21*0.5),0)</f>
        <v>0</v>
      </c>
      <c r="FA21" s="283">
        <f>IF(AND(Stamoplysninger!$B$26="Der er indgået lokalaftale omkring weekendtillæg(Kræver aftale med TR/FSL). Weekendtimerne afspadseres.",I21="X"),K21,0)</f>
        <v>0</v>
      </c>
      <c r="FB21" s="251">
        <f>IF(AND(AND(Stamoplysninger!$B$26="Der er indgået lokalaftale omkring weekendtillæg(Kræver aftale med TR/FSL). Weekendtimerne afspadseres.",I21="X",S21="X")),V21,0)</f>
        <v>0</v>
      </c>
      <c r="FC21" s="674">
        <f>IF(AND(AND(Stamoplysninger!$B$26="Der er indgået lokalaftale omkring weekendtillæg(Kræver aftale med TR/FSL). Weekendtimerne afspadseres..",I21="X",C21="ikke relevant")),K21,0)</f>
        <v>0</v>
      </c>
      <c r="FD21" s="675">
        <f>IF(AND(AND(AND(Stamoplysninger!$B$26="Der er indgået lokalaftale omkring weekendtillæg(Kræver aftale med TR/FSL). Weekendtimerne afspadseres.",I21="X",C21="ikke relevant",S21="X"))),(V21),0)</f>
        <v>0</v>
      </c>
      <c r="FE21" s="283">
        <f>IF(AND(Stamoplysninger!$B$26="Der er indgået lokalaftale omkring weekendtillæg(Kræver aftale med TR/FSL). Weekendtimerne udbetales.",I21="X"),K21,0)</f>
        <v>0</v>
      </c>
      <c r="FF21" s="251">
        <f>IF(AND(AND(Stamoplysninger!$B$26="Der er indgået lokalaftale omkring weekendtillæg(Kræver aftale med TR/FSL). Weekendtimerne udbetales.",I21="X",S21="X")),V21,0)</f>
        <v>0</v>
      </c>
      <c r="FG21" s="674">
        <f>IF(AND(AND(Stamoplysninger!$B$26="Der er indgået lokalaftale omkring weekendtillæg(Kræver aftale med TR/FSL). Weekendtimerne udbetales.",I21="X",C21="ikke relevant")),K21,0)</f>
        <v>0</v>
      </c>
      <c r="FH21" s="675">
        <f>IF(AND(AND(AND(Stamoplysninger!$B$26="Der er indgået lokalaftale omkring weekendtillæg(Kræver aftale med TR/FSL). Weekendtimerne udbetales.",I21="X",C21="ikke relevant",S21="X"))),(V21),0)</f>
        <v>0</v>
      </c>
      <c r="FI21" s="283">
        <f>IF(AND(Stamoplysninger!$B$26="Weekendtimer og weekendtillæg afspadseres.",I21="X"),K21,0)</f>
        <v>0</v>
      </c>
      <c r="FJ21" s="251">
        <f>IF(AND(Stamoplysninger!$B$26="Weekendtimer og weekendtillæg afspadseres.",Y21="X"),(AA21+AL21)/2,0)</f>
        <v>0</v>
      </c>
      <c r="FK21" s="674">
        <f>IF(AND(AND(Stamoplysninger!$B$26="Weekendtimer og weekendtillæg afspadseres.",I21="X",C21="ikke relevant")),K21,0)</f>
        <v>0</v>
      </c>
      <c r="FL21" s="675">
        <f>IF(AND(AND(Stamoplysninger!$B$26="Weekendtimer og weekendtillæg afspadseres.",Y21="X",S21="ikke relevant")),(AA21+AL21)/2,0)</f>
        <v>0</v>
      </c>
      <c r="FM21" s="283">
        <f>IF(AND(Stamoplysninger!$B$26="Der er indgået lokalaftale omkring weekendtillæg(Kræver aftale med TR/FSL). Weekendtimerne afspadseres.",I21="X"),K21,0)</f>
        <v>0</v>
      </c>
      <c r="FN21" s="674">
        <f>IF(AND(AND(Stamoplysninger!$B$26="Der er indgået lokalaftale omkring weekendtillæg(Kræver aftale med TR/FSL). Weekendtimerne afspadseres.",I21="X",C21="ikke relevant")),K21,0)</f>
        <v>0</v>
      </c>
      <c r="FO21" s="283">
        <f>IF(AND(Stamoplysninger!$B$26="Weekendtimer og weekendtillæg udbetales.",I21="X"),K21,0)</f>
        <v>0</v>
      </c>
      <c r="FP21" s="251">
        <f>IF(AND(Stamoplysninger!$B$26="Weekendtimer og weekendtillæg udbetales.",AA21="X"),(AC21+AN21)/2,0)</f>
        <v>0</v>
      </c>
      <c r="FQ21" s="674">
        <f>IF(AND(AND(Stamoplysninger!$B$26="Weekendtimer og weekendtillæg udbetales.",I21="X",C21="ikke relevant")),K21,0)</f>
        <v>0</v>
      </c>
      <c r="FR21" s="688">
        <f>IF(AND(AND(Stamoplysninger!$B$26="Weekendtimer og weekendtillæg udbetales.",AA21="X",U21="ikke relevant")),(AC21+AN21)/2,0)</f>
        <v>0</v>
      </c>
      <c r="FS21" s="283">
        <f t="shared" si="13"/>
        <v>0</v>
      </c>
      <c r="FT21" s="658">
        <f t="shared" si="14"/>
        <v>0</v>
      </c>
      <c r="FU21">
        <f t="shared" si="15"/>
        <v>0</v>
      </c>
      <c r="FV21" s="283">
        <f>IF(AND(Stamoplysninger!$B$26="Der er indgået lokalaftale omkring weekendtimer.(Kræver aftale med TR/FSL) Weekendtillæg afspadseres.",I21="X"),K21,0)</f>
        <v>0</v>
      </c>
      <c r="FW21" s="674">
        <f>IF(AND(AND(Stamoplysninger!$B$26="Der er indgået lokalaftale omkring weekendtimer.(Kræver aftale med TR/FSL) Weekendtillæg afspadseres.",I21="X",C21="ikke relevant")),K21,0)</f>
        <v>0</v>
      </c>
      <c r="FX21" s="283">
        <f>IF(AND(Stamoplysninger!$B$26="Der er indgået lokalaftale omkring weekendtimer(Kræver aftale med TR/FSL). Weekendtillæg udbetales.",I21="X"),K21,0)</f>
        <v>0</v>
      </c>
      <c r="FY21" s="674">
        <f>IF(AND(AND(Stamoplysninger!$B$26="Der er indgået lokalaftale omkring weekendtimer(Kræver aftale med TR/FSL). Weekendtillæg udbetales.",I21="X",C21="ikke relevant")),K21,0)</f>
        <v>0</v>
      </c>
      <c r="FZ21" s="283">
        <f>IF(AND(Stamoplysninger!$B$26="Der er indgået lokalaftale omkring weekendtillæg(Kræver aftale med TR/FSL). Weekendtimerne udbetales.",I21="X"),K21,0)</f>
        <v>0</v>
      </c>
      <c r="GA21" s="674">
        <f>IF(AND(AND(Stamoplysninger!$B$26="Der er indgået lokalaftale omkring weekendtillæg(Kræver aftale med TR/FSL). Weekendtimerne udbetales.",I21="X",C21="ikke relevant")),K21,0)</f>
        <v>0</v>
      </c>
      <c r="GB21" s="283">
        <f>IF(AND(Stamoplysninger!$B$26="Der er indgået lokalaftale omkring weekendtimer og weekendtillæg.(Kræver aftale med TR/FSL).",I21="X"),K21,0)</f>
        <v>0</v>
      </c>
      <c r="GC21" s="674">
        <f>IF(AND(AND(Stamoplysninger!$B$26="Der er indgået lokalaftale omkring weekendtimer og weekendtillæg.(Kræver aftale med TR/FSL).",I21="X",C21="ikke relevant")),K21,0)</f>
        <v>0</v>
      </c>
    </row>
    <row r="22" spans="1:185">
      <c r="A22" s="245">
        <f t="shared" si="16"/>
        <v>14</v>
      </c>
      <c r="B22" s="128" t="str">
        <f t="shared" si="0"/>
        <v>fr</v>
      </c>
      <c r="C22" s="129" t="s">
        <v>128</v>
      </c>
      <c r="D22" s="130" t="str">
        <f t="shared" si="1"/>
        <v/>
      </c>
      <c r="E22" s="949" t="s">
        <v>131</v>
      </c>
      <c r="F22" s="950"/>
      <c r="G22" s="951"/>
      <c r="H22" s="297"/>
      <c r="I22" s="527"/>
      <c r="J22" s="413"/>
      <c r="K22" s="380"/>
      <c r="L22" s="380"/>
      <c r="M22" s="380"/>
      <c r="N22" s="318">
        <f t="shared" si="17"/>
        <v>0</v>
      </c>
      <c r="O22" s="318">
        <f t="shared" si="18"/>
        <v>0</v>
      </c>
      <c r="P22" s="318">
        <f>IF(Stamoplysninger!$H$29="JA",Februar!DG22,CX22)</f>
        <v>0</v>
      </c>
      <c r="Q22" s="318">
        <f t="shared" si="19"/>
        <v>0</v>
      </c>
      <c r="R22" s="319"/>
      <c r="S22" s="324"/>
      <c r="T22" s="325"/>
      <c r="U22" s="325"/>
      <c r="V22" s="435"/>
      <c r="W22" s="435"/>
      <c r="X22" s="644"/>
      <c r="Y22">
        <f t="shared" si="20"/>
        <v>0</v>
      </c>
      <c r="Z22" s="437">
        <f t="shared" si="21"/>
        <v>0</v>
      </c>
      <c r="AA22" s="1">
        <f t="shared" si="22"/>
        <v>0</v>
      </c>
      <c r="AB22" s="1">
        <f t="shared" si="2"/>
        <v>0</v>
      </c>
      <c r="AC22" s="1">
        <f t="shared" si="3"/>
        <v>0</v>
      </c>
      <c r="AD22" s="1">
        <f t="shared" si="4"/>
        <v>0</v>
      </c>
      <c r="AE22" s="1">
        <f t="shared" si="5"/>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9">
        <f t="shared" si="6"/>
        <v>0</v>
      </c>
      <c r="BC22" s="1">
        <f t="shared" si="24"/>
        <v>0</v>
      </c>
      <c r="BD22" s="1">
        <f t="shared" si="7"/>
        <v>0</v>
      </c>
      <c r="BE22" s="1">
        <f t="shared" si="8"/>
        <v>0</v>
      </c>
      <c r="BF22" s="1">
        <f t="shared" si="9"/>
        <v>0</v>
      </c>
      <c r="BG22" s="210" t="str">
        <f>IF(AND(C22="Skema 1",B22="ma"),Skemaoplysninger!$E$30,"")</f>
        <v/>
      </c>
      <c r="BH22" s="210" t="str">
        <f>IF(AND(C22="Skema 1",B22="ti"),Skemaoplysninger!$G$30,"")</f>
        <v/>
      </c>
      <c r="BI22" s="210" t="str">
        <f>IF(AND(C22="Skema 1",B22="on"),Skemaoplysninger!$I$30,"")</f>
        <v/>
      </c>
      <c r="BJ22" s="210" t="str">
        <f>IF(AND(C22="Skema 1",B22="to"),Skemaoplysninger!$K$30,"")</f>
        <v/>
      </c>
      <c r="BK22" s="210" t="str">
        <f>IF(AND(C22="Skema 1",B22="fr"),Skemaoplysninger!$M$30,"")</f>
        <v/>
      </c>
      <c r="BL22" s="210" t="str">
        <f>IF(AND(C22="Skema 2",B22="ma"),Skemaoplysninger!$S$30,"")</f>
        <v/>
      </c>
      <c r="BM22" s="210" t="str">
        <f>IF(AND(C22="Skema 2",B22="ti"),Skemaoplysninger!$U$30,"")</f>
        <v/>
      </c>
      <c r="BN22" s="210" t="str">
        <f>IF(AND(C22="Skema 2",B22="on"),Skemaoplysninger!$W$30,"")</f>
        <v/>
      </c>
      <c r="BO22" s="210" t="str">
        <f>IF(AND(C22="Skema 2",B22="to"),Skemaoplysninger!$Y$30,"")</f>
        <v/>
      </c>
      <c r="BP22" s="210" t="str">
        <f>IF(AND(C22="Skema 2",B22="fr"),Skemaoplysninger!$AA$30,"")</f>
        <v/>
      </c>
      <c r="BQ22" s="210" t="str">
        <f>IF(AND(C22="Skema 3",B22="ma"),Skemaoplysninger!$AG$30,"")</f>
        <v/>
      </c>
      <c r="BR22" s="210" t="str">
        <f>IF(AND(C22="Skema 3",B22="ti"),Skemaoplysninger!$AI$30,"")</f>
        <v/>
      </c>
      <c r="BS22" s="210" t="str">
        <f>IF(AND(C22="Skema 3",B22="on"),Skemaoplysninger!$AK$30,"")</f>
        <v/>
      </c>
      <c r="BT22" s="210" t="str">
        <f>IF(AND(C22="Skema 3",B22="to"),Skemaoplysninger!$AM$30,"")</f>
        <v/>
      </c>
      <c r="BU22" s="210" t="str">
        <f>IF(AND(C22="Skema 3",B22="fr"),Skemaoplysninger!$AO$30,"")</f>
        <v/>
      </c>
      <c r="BV22" s="210" t="str">
        <f>IF(AND(C22="Skema 4",B22="ma"),Skemaoplysninger!$AU$30,"")</f>
        <v/>
      </c>
      <c r="BW22" s="210" t="str">
        <f>IF(AND(C22="Skema 4",B22="ti"),Skemaoplysninger!$AW$30,"")</f>
        <v/>
      </c>
      <c r="BX22" s="210" t="str">
        <f>IF(AND(C22="Skema 4",B22="on"),Skemaoplysninger!$AY$30,"")</f>
        <v/>
      </c>
      <c r="BY22" s="210" t="str">
        <f>IF(AND(C22="Skema 4",B22="to"),Skemaoplysninger!$BA$30,"")</f>
        <v/>
      </c>
      <c r="BZ22" s="210" t="str">
        <f>IF(AND(C22="Skema 4",B22="fr"),Skemaoplysninger!$BC$30,"")</f>
        <v/>
      </c>
      <c r="CA22" s="1">
        <f t="shared" si="25"/>
        <v>0</v>
      </c>
      <c r="CB22" s="1">
        <f t="shared" si="10"/>
        <v>0</v>
      </c>
      <c r="CC22" s="1">
        <f t="shared" si="11"/>
        <v>0</v>
      </c>
      <c r="CD22" s="210" t="str">
        <f>IF(AND(C22="Skema 1",B22="ma"),Skemaoplysninger!$E$31,"")</f>
        <v/>
      </c>
      <c r="CE22" s="210" t="str">
        <f>IF(AND(C22="Skema 1",B22="ti"),Skemaoplysninger!$G$31,"")</f>
        <v/>
      </c>
      <c r="CF22" s="210" t="str">
        <f>IF(AND(C22="Skema 1",B22="on"),Skemaoplysninger!$I$31,"")</f>
        <v/>
      </c>
      <c r="CG22" s="210" t="str">
        <f>IF(AND(C22="Skema 1",B22="to"),Skemaoplysninger!$K$31,"")</f>
        <v/>
      </c>
      <c r="CH22" s="210" t="str">
        <f>IF(AND(C22="Skema 1",B22="fr"),Skemaoplysninger!$M$31,"")</f>
        <v/>
      </c>
      <c r="CI22" s="210" t="str">
        <f>IF(AND(C22="Skema 2",B22="ma"),Skemaoplysninger!$S$31,"")</f>
        <v/>
      </c>
      <c r="CJ22" s="210" t="str">
        <f>IF(AND(C22="Skema 2",B22="ti"),Skemaoplysninger!$U$31,"")</f>
        <v/>
      </c>
      <c r="CK22" s="210" t="str">
        <f>IF(AND(C22="Skema 2",B22="on"),Skemaoplysninger!$W$31,"")</f>
        <v/>
      </c>
      <c r="CL22" s="210" t="str">
        <f>IF(AND(C22="Skema 2",B22="to"),Skemaoplysninger!$Y$31,"")</f>
        <v/>
      </c>
      <c r="CM22" s="210" t="str">
        <f>IF(AND(C22="Skema 2",B22="fr"),Skemaoplysninger!$AA$31,"")</f>
        <v/>
      </c>
      <c r="CN22" s="210" t="str">
        <f>IF(AND(C22="Skema 3",B22="ma"),Skemaoplysninger!$AG$31,"")</f>
        <v/>
      </c>
      <c r="CO22" s="210" t="str">
        <f>IF(AND(C22="Skema 3",B22="ti"),Skemaoplysninger!$AI$31,"")</f>
        <v/>
      </c>
      <c r="CP22" s="210" t="str">
        <f>IF(AND(C22="Skema 3",B22="on"),Skemaoplysninger!$AK$31,"")</f>
        <v/>
      </c>
      <c r="CQ22" s="210" t="str">
        <f>IF(AND(C22="Skema 3",B22="to"),Skemaoplysninger!$AM$31,"")</f>
        <v/>
      </c>
      <c r="CR22" s="210" t="str">
        <f>IF(AND(C22="Skema 3",B22="fr"),Skemaoplysninger!$AO$31,"")</f>
        <v/>
      </c>
      <c r="CS22" s="210" t="str">
        <f>IF(AND(C22="Skema 4",B22="ma"),Skemaoplysninger!$AU$31,"")</f>
        <v/>
      </c>
      <c r="CT22" s="210" t="str">
        <f>IF(AND(C22="Skema 4",B22="ti"),Skemaoplysninger!$AW$31,"")</f>
        <v/>
      </c>
      <c r="CU22" s="210" t="str">
        <f>IF(AND(C22="Skema 4",B22="on"),Skemaoplysninger!$AY$31,"")</f>
        <v/>
      </c>
      <c r="CV22" s="210" t="str">
        <f>IF(AND(C22="Skema 4",B22="to"),Skemaoplysninger!$BA$31,"")</f>
        <v/>
      </c>
      <c r="CW22" s="210" t="str">
        <f>IF(AND(C22="Skema 4",B22="fr"),Skemaoplysninger!$BC$31,"")</f>
        <v/>
      </c>
      <c r="CX22" s="249">
        <f>IF(Stamoplysninger!$H$29="NEJ",SUM(CD22:CW22)*24+CB22+CC22,0)</f>
        <v>0</v>
      </c>
      <c r="CY22" s="249">
        <f>IF(C22="Skema 1",Stamoplysninger!$H$30/200,0)</f>
        <v>0</v>
      </c>
      <c r="CZ22" s="249">
        <f>IF(C22="Skema 2",Stamoplysninger!$H$30/200,0)</f>
        <v>0</v>
      </c>
      <c r="DA22" s="249">
        <f>IF(C22="Skema 3",Stamoplysninger!$H$30/200,0)</f>
        <v>0</v>
      </c>
      <c r="DB22" s="249">
        <f>IF(C22="Skema 4",Stamoplysninger!$H$30/200,0)</f>
        <v>0</v>
      </c>
      <c r="DC22" s="249">
        <f>IF(C22="fagdag",Stamoplysninger!$H$30/200,0)</f>
        <v>0</v>
      </c>
      <c r="DD22" s="249">
        <f>IF(C22="emnedag",Stamoplysninger!$H$30/200,0)</f>
        <v>0</v>
      </c>
      <c r="DE22" s="249">
        <f>IF(C22="lejrskole",Stamoplysninger!$H$30/200,0)</f>
        <v>0</v>
      </c>
      <c r="DF22" s="249">
        <f>IF(C22="ekskursion",Stamoplysninger!$H$30/200,0)</f>
        <v>0</v>
      </c>
      <c r="DG22" s="249">
        <f t="shared" si="26"/>
        <v>0</v>
      </c>
      <c r="DH22" t="str">
        <f t="shared" si="27"/>
        <v/>
      </c>
      <c r="DI22" t="str">
        <f t="shared" si="28"/>
        <v>Elevernes vinterferie</v>
      </c>
      <c r="DJ22" t="str">
        <f t="shared" si="29"/>
        <v/>
      </c>
      <c r="DK22" t="str">
        <f t="shared" si="12"/>
        <v/>
      </c>
      <c r="DL22" t="str">
        <f t="shared" si="12"/>
        <v>Elevernes vinterferie</v>
      </c>
      <c r="DM22" t="str">
        <f t="shared" si="12"/>
        <v/>
      </c>
      <c r="DN22" t="str">
        <f t="shared" si="30"/>
        <v>Elevernes vinterferie</v>
      </c>
      <c r="DO22" s="652">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71">
        <f>IF(AND(Stamoplysninger!$B$22="Ulempetillæg udbetales med 25% af nettotimelønnen.",C22="ikke relevant"),(R22)/4,0)</f>
        <v>0</v>
      </c>
      <c r="DT22" s="671">
        <f>IF(AND(AND(Stamoplysninger!$B$22="Ulempetillæg udbetales med 25% af nettotimelønnen.",I22="X",C22="Ikke relevant")),K22/4,0)</f>
        <v>0</v>
      </c>
      <c r="DU22" s="671">
        <f>IF(AND(AND(Stamoplysninger!$B$22="Ulempetillæg udbetales med 25% af nettotimelønnen.",C22="ikke relevant",U22="X")),(X22/4),0)</f>
        <v>0</v>
      </c>
      <c r="DV22" s="672">
        <f>IF(AND(AND(AND(Stamoplysninger!$B$22="Ulempetillæg udbetales med 25% af nettotimelønnen.",I22="X",C22="Ikke relevant",S22="X"))),V22/4,0)</f>
        <v>0</v>
      </c>
      <c r="DW22" s="652"/>
      <c r="DZ22" s="671"/>
      <c r="EA22" s="671"/>
      <c r="EB22" s="672"/>
      <c r="EC22" s="652">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71">
        <f>IF(AND(Stamoplysninger!$B$22="Ulempetillæg afspadseres med 25%(Kræver en aftale imellem ledelsen og den ansatte)",C22="ikke relevant"),(R22)/4,0)</f>
        <v>0</v>
      </c>
      <c r="EH22" s="671">
        <f>IF(AND(AND(Stamoplysninger!$B$22="Ulempetillæg afspadseres med 25%(Kræver en aftale imellem ledelsen og den ansatte)",I22="X",C22="Ikke relevant")),K22/4,0)</f>
        <v>0</v>
      </c>
      <c r="EI22" s="671">
        <f>IF(AND(AND(Stamoplysninger!$B$22="Ulempetillæg afspadseres med 25%(Kræver en aftale imellem ledelsen og den ansatte)",U22="X",C22="Ikke relevant")),X22/4,0)</f>
        <v>0</v>
      </c>
      <c r="EJ22" s="671">
        <f>IF(AND(AND(AND(Stamoplysninger!$B$22="Ulempetillæg afspadseres med 25%(Kræver en aftale imellem ledelsen og den ansatte)",I22="X",C22="Ikke relevant",S22="X"))),V22/4,0)</f>
        <v>0</v>
      </c>
      <c r="EK22" s="283">
        <f>IF(AND(Stamoplysninger!$B$26="Weekendtimer og weekendtillæg afspadseres.",I22="X"),K22*1.5,0)</f>
        <v>0</v>
      </c>
      <c r="EL22" s="251">
        <f>IF(AND(AND(Stamoplysninger!$B$26="Weekendtimer og weekendtillæg afspadseres.",I22="X",S22="X")),V22*1.5,0)</f>
        <v>0</v>
      </c>
      <c r="EM22" s="674">
        <f>IF(AND(AND(Stamoplysninger!$B$26="Weekendtimer og weekendtillæg afspadseres.",I22="X",C22="ikke relevant")),K22*1.5,0)</f>
        <v>0</v>
      </c>
      <c r="EN22" s="675">
        <f>IF(AND(AND(AND(Stamoplysninger!$B$26="Weekendtimer og weekendtillæg afspadseres.",I22="X",C22="ikke relevant",S22="X"))),(V22*1.5),0)</f>
        <v>0</v>
      </c>
      <c r="EO22" s="283">
        <f>IF(AND(Stamoplysninger!$B$26="Weekendtimer og weekendtillæg udbetales.",I22="X"),K22*1.5,0)</f>
        <v>0</v>
      </c>
      <c r="EP22" s="251">
        <f>IF(AND(AND(Stamoplysninger!$B$26="Weekendtimer og weekendtillæg udbetales.",I22="X",S22="X")),V22*1.5,0)</f>
        <v>0</v>
      </c>
      <c r="EQ22" s="674">
        <f>IF(AND(AND(Stamoplysninger!$B$26="Weekendtimer og weekendtillæg udbetales.",I22="X",C22="ikke relevant")),K22*1.5,0)</f>
        <v>0</v>
      </c>
      <c r="ER22" s="675">
        <f>IF(AND(AND(AND(Stamoplysninger!$B$26="Weekendtimer og weekendtillæg udbetales.",I22="X",C22="ikke relevant",S22="X"))),(V22*1.5),0)</f>
        <v>0</v>
      </c>
      <c r="ES22" s="283">
        <f>IF(AND(Stamoplysninger!$B$26="Der er indgået lokalaftale omkring weekendtimer.(Kræver aftale med TR/FSL) Weekendtillæg afspadseres.",I22="X"),K22*0.5,0)</f>
        <v>0</v>
      </c>
      <c r="ET22" s="251">
        <f>IF(AND(AND(Stamoplysninger!$B$26="Der er indgået lokalaftale omkring weekendtimer.(Kræver aftale med TR/FSL) Weekendtillæg afspadseres.",I22="X",S22="X")),V22*0.5,0)</f>
        <v>0</v>
      </c>
      <c r="EU22" s="674">
        <f>IF(AND(AND(Stamoplysninger!$B$26="Der er indgået lokalaftale omkring weekendtimer.(Kræver aftale med TR/FSL) Weekendtillæg afspadseres.",I22="X",C22="ikke relevant")),K22*0.5,0)</f>
        <v>0</v>
      </c>
      <c r="EV22" s="675">
        <f>IF(AND(AND(AND(Stamoplysninger!$B$26="Der er indgået lokalaftale omkring weekendtimer.(Kræver aftale med TR/FSL) Weekendtillæg afspadseres.",I22="X",C22="ikke relevant",S22="X"))),(V22*0.5),0)</f>
        <v>0</v>
      </c>
      <c r="EW22" s="283">
        <f>IF(AND(Stamoplysninger!$B$26="Der er indgået lokalaftale omkring weekendtimer(Kræver aftale med TR/FSL). Weekendtillæg udbetales.",I22="X"),K22*0.5,0)</f>
        <v>0</v>
      </c>
      <c r="EX22" s="251">
        <f>IF(AND(AND(Stamoplysninger!$B$26="Der er indgået lokalaftale omkring weekendtimer(Kræver aftale med TR/FSL). Weekendtillæg udbetales.",I22="X",S22="X")),V22*0.5,0)</f>
        <v>0</v>
      </c>
      <c r="EY22" s="674">
        <f>IF(AND(AND(Stamoplysninger!$B$26="Der er indgået lokalaftale omkring weekendtimer(Kræver aftale med TR/FSL). Weekendtillæg udbetales.",I22="X",C22="ikke relevant")),K22*0.5,0)</f>
        <v>0</v>
      </c>
      <c r="EZ22" s="675">
        <f>IF(AND(AND(AND(Stamoplysninger!$B$26="Der er indgået lokalaftale omkring weekendtimer(Kræver aftale med TR/FSL). Weekendtillæg udbetales.",I22="X",C22="ikke relevant",S22="X"))),(V22*0.5),0)</f>
        <v>0</v>
      </c>
      <c r="FA22" s="283">
        <f>IF(AND(Stamoplysninger!$B$26="Der er indgået lokalaftale omkring weekendtillæg(Kræver aftale med TR/FSL). Weekendtimerne afspadseres.",I22="X"),K22,0)</f>
        <v>0</v>
      </c>
      <c r="FB22" s="251">
        <f>IF(AND(AND(Stamoplysninger!$B$26="Der er indgået lokalaftale omkring weekendtillæg(Kræver aftale med TR/FSL). Weekendtimerne afspadseres.",I22="X",S22="X")),V22,0)</f>
        <v>0</v>
      </c>
      <c r="FC22" s="674">
        <f>IF(AND(AND(Stamoplysninger!$B$26="Der er indgået lokalaftale omkring weekendtillæg(Kræver aftale med TR/FSL). Weekendtimerne afspadseres..",I22="X",C22="ikke relevant")),K22,0)</f>
        <v>0</v>
      </c>
      <c r="FD22" s="675">
        <f>IF(AND(AND(AND(Stamoplysninger!$B$26="Der er indgået lokalaftale omkring weekendtillæg(Kræver aftale med TR/FSL). Weekendtimerne afspadseres.",I22="X",C22="ikke relevant",S22="X"))),(V22),0)</f>
        <v>0</v>
      </c>
      <c r="FE22" s="283">
        <f>IF(AND(Stamoplysninger!$B$26="Der er indgået lokalaftale omkring weekendtillæg(Kræver aftale med TR/FSL). Weekendtimerne udbetales.",I22="X"),K22,0)</f>
        <v>0</v>
      </c>
      <c r="FF22" s="251">
        <f>IF(AND(AND(Stamoplysninger!$B$26="Der er indgået lokalaftale omkring weekendtillæg(Kræver aftale med TR/FSL). Weekendtimerne udbetales.",I22="X",S22="X")),V22,0)</f>
        <v>0</v>
      </c>
      <c r="FG22" s="674">
        <f>IF(AND(AND(Stamoplysninger!$B$26="Der er indgået lokalaftale omkring weekendtillæg(Kræver aftale med TR/FSL). Weekendtimerne udbetales.",I22="X",C22="ikke relevant")),K22,0)</f>
        <v>0</v>
      </c>
      <c r="FH22" s="675">
        <f>IF(AND(AND(AND(Stamoplysninger!$B$26="Der er indgået lokalaftale omkring weekendtillæg(Kræver aftale med TR/FSL). Weekendtimerne udbetales.",I22="X",C22="ikke relevant",S22="X"))),(V22),0)</f>
        <v>0</v>
      </c>
      <c r="FI22" s="283">
        <f>IF(AND(Stamoplysninger!$B$26="Weekendtimer og weekendtillæg afspadseres.",I22="X"),K22,0)</f>
        <v>0</v>
      </c>
      <c r="FJ22" s="251">
        <f>IF(AND(Stamoplysninger!$B$26="Weekendtimer og weekendtillæg afspadseres.",Y22="X"),(AA22+AL22)/2,0)</f>
        <v>0</v>
      </c>
      <c r="FK22" s="674">
        <f>IF(AND(AND(Stamoplysninger!$B$26="Weekendtimer og weekendtillæg afspadseres.",I22="X",C22="ikke relevant")),K22,0)</f>
        <v>0</v>
      </c>
      <c r="FL22" s="675">
        <f>IF(AND(AND(Stamoplysninger!$B$26="Weekendtimer og weekendtillæg afspadseres.",Y22="X",S22="ikke relevant")),(AA22+AL22)/2,0)</f>
        <v>0</v>
      </c>
      <c r="FM22" s="283">
        <f>IF(AND(Stamoplysninger!$B$26="Der er indgået lokalaftale omkring weekendtillæg(Kræver aftale med TR/FSL). Weekendtimerne afspadseres.",I22="X"),K22,0)</f>
        <v>0</v>
      </c>
      <c r="FN22" s="674">
        <f>IF(AND(AND(Stamoplysninger!$B$26="Der er indgået lokalaftale omkring weekendtillæg(Kræver aftale med TR/FSL). Weekendtimerne afspadseres.",I22="X",C22="ikke relevant")),K22,0)</f>
        <v>0</v>
      </c>
      <c r="FO22" s="283">
        <f>IF(AND(Stamoplysninger!$B$26="Weekendtimer og weekendtillæg udbetales.",I22="X"),K22,0)</f>
        <v>0</v>
      </c>
      <c r="FP22" s="251">
        <f>IF(AND(Stamoplysninger!$B$26="Weekendtimer og weekendtillæg udbetales.",AA22="X"),(AC22+AN22)/2,0)</f>
        <v>0</v>
      </c>
      <c r="FQ22" s="674">
        <f>IF(AND(AND(Stamoplysninger!$B$26="Weekendtimer og weekendtillæg udbetales.",I22="X",C22="ikke relevant")),K22,0)</f>
        <v>0</v>
      </c>
      <c r="FR22" s="688">
        <f>IF(AND(AND(Stamoplysninger!$B$26="Weekendtimer og weekendtillæg udbetales.",AA22="X",U22="ikke relevant")),(AC22+AN22)/2,0)</f>
        <v>0</v>
      </c>
      <c r="FS22" s="283">
        <f t="shared" si="13"/>
        <v>0</v>
      </c>
      <c r="FT22" s="658">
        <f t="shared" si="14"/>
        <v>0</v>
      </c>
      <c r="FU22">
        <f t="shared" si="15"/>
        <v>0</v>
      </c>
      <c r="FV22" s="283">
        <f>IF(AND(Stamoplysninger!$B$26="Der er indgået lokalaftale omkring weekendtimer.(Kræver aftale med TR/FSL) Weekendtillæg afspadseres.",I22="X"),K22,0)</f>
        <v>0</v>
      </c>
      <c r="FW22" s="674">
        <f>IF(AND(AND(Stamoplysninger!$B$26="Der er indgået lokalaftale omkring weekendtimer.(Kræver aftale med TR/FSL) Weekendtillæg afspadseres.",I22="X",C22="ikke relevant")),K22,0)</f>
        <v>0</v>
      </c>
      <c r="FX22" s="283">
        <f>IF(AND(Stamoplysninger!$B$26="Der er indgået lokalaftale omkring weekendtimer(Kræver aftale med TR/FSL). Weekendtillæg udbetales.",I22="X"),K22,0)</f>
        <v>0</v>
      </c>
      <c r="FY22" s="674">
        <f>IF(AND(AND(Stamoplysninger!$B$26="Der er indgået lokalaftale omkring weekendtimer(Kræver aftale med TR/FSL). Weekendtillæg udbetales.",I22="X",C22="ikke relevant")),K22,0)</f>
        <v>0</v>
      </c>
      <c r="FZ22" s="283">
        <f>IF(AND(Stamoplysninger!$B$26="Der er indgået lokalaftale omkring weekendtillæg(Kræver aftale med TR/FSL). Weekendtimerne udbetales.",I22="X"),K22,0)</f>
        <v>0</v>
      </c>
      <c r="GA22" s="674">
        <f>IF(AND(AND(Stamoplysninger!$B$26="Der er indgået lokalaftale omkring weekendtillæg(Kræver aftale med TR/FSL). Weekendtimerne udbetales.",I22="X",C22="ikke relevant")),K22,0)</f>
        <v>0</v>
      </c>
      <c r="GB22" s="283">
        <f>IF(AND(Stamoplysninger!$B$26="Der er indgået lokalaftale omkring weekendtimer og weekendtillæg.(Kræver aftale med TR/FSL).",I22="X"),K22,0)</f>
        <v>0</v>
      </c>
      <c r="GC22" s="674">
        <f>IF(AND(AND(Stamoplysninger!$B$26="Der er indgået lokalaftale omkring weekendtimer og weekendtillæg.(Kræver aftale med TR/FSL).",I22="X",C22="ikke relevant")),K22,0)</f>
        <v>0</v>
      </c>
    </row>
    <row r="23" spans="1:185">
      <c r="A23" s="245">
        <f t="shared" si="16"/>
        <v>15</v>
      </c>
      <c r="B23" s="128" t="str">
        <f t="shared" si="0"/>
        <v>lø</v>
      </c>
      <c r="C23" s="129" t="s">
        <v>120</v>
      </c>
      <c r="D23" s="130" t="str">
        <f t="shared" si="1"/>
        <v/>
      </c>
      <c r="E23" s="949"/>
      <c r="F23" s="950"/>
      <c r="G23" s="951"/>
      <c r="H23" s="297"/>
      <c r="I23" s="413"/>
      <c r="J23" s="413"/>
      <c r="K23" s="380"/>
      <c r="L23" s="380"/>
      <c r="M23" s="380"/>
      <c r="N23" s="318">
        <f t="shared" si="17"/>
        <v>0</v>
      </c>
      <c r="O23" s="318">
        <f t="shared" si="18"/>
        <v>0</v>
      </c>
      <c r="P23" s="318">
        <f>IF(Stamoplysninger!$H$29="JA",Februar!DG23,CX23)</f>
        <v>0</v>
      </c>
      <c r="Q23" s="318">
        <f t="shared" si="19"/>
        <v>0</v>
      </c>
      <c r="R23" s="319"/>
      <c r="S23" s="324"/>
      <c r="T23" s="325"/>
      <c r="U23" s="325"/>
      <c r="V23" s="435"/>
      <c r="W23" s="435"/>
      <c r="X23" s="644"/>
      <c r="Y23">
        <f t="shared" si="20"/>
        <v>0</v>
      </c>
      <c r="Z23" s="437">
        <f t="shared" si="21"/>
        <v>0</v>
      </c>
      <c r="AA23" s="1">
        <f t="shared" si="22"/>
        <v>0</v>
      </c>
      <c r="AB23" s="1">
        <f t="shared" si="2"/>
        <v>0</v>
      </c>
      <c r="AC23" s="1">
        <f t="shared" si="3"/>
        <v>0</v>
      </c>
      <c r="AD23" s="1">
        <f t="shared" si="4"/>
        <v>0</v>
      </c>
      <c r="AE23" s="1">
        <f t="shared" si="5"/>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9">
        <f t="shared" si="6"/>
        <v>0</v>
      </c>
      <c r="BC23" s="1">
        <f t="shared" si="24"/>
        <v>0</v>
      </c>
      <c r="BD23" s="1">
        <f t="shared" si="7"/>
        <v>0</v>
      </c>
      <c r="BE23" s="1">
        <f t="shared" si="8"/>
        <v>0</v>
      </c>
      <c r="BF23" s="1">
        <f t="shared" si="9"/>
        <v>0</v>
      </c>
      <c r="BG23" s="210" t="str">
        <f>IF(AND(C23="Skema 1",B23="ma"),Skemaoplysninger!$E$30,"")</f>
        <v/>
      </c>
      <c r="BH23" s="210" t="str">
        <f>IF(AND(C23="Skema 1",B23="ti"),Skemaoplysninger!$G$30,"")</f>
        <v/>
      </c>
      <c r="BI23" s="210" t="str">
        <f>IF(AND(C23="Skema 1",B23="on"),Skemaoplysninger!$I$30,"")</f>
        <v/>
      </c>
      <c r="BJ23" s="210" t="str">
        <f>IF(AND(C23="Skema 1",B23="to"),Skemaoplysninger!$K$30,"")</f>
        <v/>
      </c>
      <c r="BK23" s="210" t="str">
        <f>IF(AND(C23="Skema 1",B23="fr"),Skemaoplysninger!$M$30,"")</f>
        <v/>
      </c>
      <c r="BL23" s="210" t="str">
        <f>IF(AND(C23="Skema 2",B23="ma"),Skemaoplysninger!$S$30,"")</f>
        <v/>
      </c>
      <c r="BM23" s="210" t="str">
        <f>IF(AND(C23="Skema 2",B23="ti"),Skemaoplysninger!$U$30,"")</f>
        <v/>
      </c>
      <c r="BN23" s="210" t="str">
        <f>IF(AND(C23="Skema 2",B23="on"),Skemaoplysninger!$W$30,"")</f>
        <v/>
      </c>
      <c r="BO23" s="210" t="str">
        <f>IF(AND(C23="Skema 2",B23="to"),Skemaoplysninger!$Y$30,"")</f>
        <v/>
      </c>
      <c r="BP23" s="210" t="str">
        <f>IF(AND(C23="Skema 2",B23="fr"),Skemaoplysninger!$AA$30,"")</f>
        <v/>
      </c>
      <c r="BQ23" s="210" t="str">
        <f>IF(AND(C23="Skema 3",B23="ma"),Skemaoplysninger!$AG$30,"")</f>
        <v/>
      </c>
      <c r="BR23" s="210" t="str">
        <f>IF(AND(C23="Skema 3",B23="ti"),Skemaoplysninger!$AI$30,"")</f>
        <v/>
      </c>
      <c r="BS23" s="210" t="str">
        <f>IF(AND(C23="Skema 3",B23="on"),Skemaoplysninger!$AK$30,"")</f>
        <v/>
      </c>
      <c r="BT23" s="210" t="str">
        <f>IF(AND(C23="Skema 3",B23="to"),Skemaoplysninger!$AM$30,"")</f>
        <v/>
      </c>
      <c r="BU23" s="210" t="str">
        <f>IF(AND(C23="Skema 3",B23="fr"),Skemaoplysninger!$AO$30,"")</f>
        <v/>
      </c>
      <c r="BV23" s="210" t="str">
        <f>IF(AND(C23="Skema 4",B23="ma"),Skemaoplysninger!$AU$30,"")</f>
        <v/>
      </c>
      <c r="BW23" s="210" t="str">
        <f>IF(AND(C23="Skema 4",B23="ti"),Skemaoplysninger!$AW$30,"")</f>
        <v/>
      </c>
      <c r="BX23" s="210" t="str">
        <f>IF(AND(C23="Skema 4",B23="on"),Skemaoplysninger!$AY$30,"")</f>
        <v/>
      </c>
      <c r="BY23" s="210" t="str">
        <f>IF(AND(C23="Skema 4",B23="to"),Skemaoplysninger!$BA$30,"")</f>
        <v/>
      </c>
      <c r="BZ23" s="210" t="str">
        <f>IF(AND(C23="Skema 4",B23="fr"),Skemaoplysninger!$BC$30,"")</f>
        <v/>
      </c>
      <c r="CA23" s="1">
        <f t="shared" si="25"/>
        <v>0</v>
      </c>
      <c r="CB23" s="1">
        <f t="shared" si="10"/>
        <v>0</v>
      </c>
      <c r="CC23" s="1">
        <f t="shared" si="11"/>
        <v>0</v>
      </c>
      <c r="CD23" s="210" t="str">
        <f>IF(AND(C23="Skema 1",B23="ma"),Skemaoplysninger!$E$31,"")</f>
        <v/>
      </c>
      <c r="CE23" s="210" t="str">
        <f>IF(AND(C23="Skema 1",B23="ti"),Skemaoplysninger!$G$31,"")</f>
        <v/>
      </c>
      <c r="CF23" s="210" t="str">
        <f>IF(AND(C23="Skema 1",B23="on"),Skemaoplysninger!$I$31,"")</f>
        <v/>
      </c>
      <c r="CG23" s="210" t="str">
        <f>IF(AND(C23="Skema 1",B23="to"),Skemaoplysninger!$K$31,"")</f>
        <v/>
      </c>
      <c r="CH23" s="210" t="str">
        <f>IF(AND(C23="Skema 1",B23="fr"),Skemaoplysninger!$M$31,"")</f>
        <v/>
      </c>
      <c r="CI23" s="210" t="str">
        <f>IF(AND(C23="Skema 2",B23="ma"),Skemaoplysninger!$S$31,"")</f>
        <v/>
      </c>
      <c r="CJ23" s="210" t="str">
        <f>IF(AND(C23="Skema 2",B23="ti"),Skemaoplysninger!$U$31,"")</f>
        <v/>
      </c>
      <c r="CK23" s="210" t="str">
        <f>IF(AND(C23="Skema 2",B23="on"),Skemaoplysninger!$W$31,"")</f>
        <v/>
      </c>
      <c r="CL23" s="210" t="str">
        <f>IF(AND(C23="Skema 2",B23="to"),Skemaoplysninger!$Y$31,"")</f>
        <v/>
      </c>
      <c r="CM23" s="210" t="str">
        <f>IF(AND(C23="Skema 2",B23="fr"),Skemaoplysninger!$AA$31,"")</f>
        <v/>
      </c>
      <c r="CN23" s="210" t="str">
        <f>IF(AND(C23="Skema 3",B23="ma"),Skemaoplysninger!$AG$31,"")</f>
        <v/>
      </c>
      <c r="CO23" s="210" t="str">
        <f>IF(AND(C23="Skema 3",B23="ti"),Skemaoplysninger!$AI$31,"")</f>
        <v/>
      </c>
      <c r="CP23" s="210" t="str">
        <f>IF(AND(C23="Skema 3",B23="on"),Skemaoplysninger!$AK$31,"")</f>
        <v/>
      </c>
      <c r="CQ23" s="210" t="str">
        <f>IF(AND(C23="Skema 3",B23="to"),Skemaoplysninger!$AM$31,"")</f>
        <v/>
      </c>
      <c r="CR23" s="210" t="str">
        <f>IF(AND(C23="Skema 3",B23="fr"),Skemaoplysninger!$AO$31,"")</f>
        <v/>
      </c>
      <c r="CS23" s="210" t="str">
        <f>IF(AND(C23="Skema 4",B23="ma"),Skemaoplysninger!$AU$31,"")</f>
        <v/>
      </c>
      <c r="CT23" s="210" t="str">
        <f>IF(AND(C23="Skema 4",B23="ti"),Skemaoplysninger!$AW$31,"")</f>
        <v/>
      </c>
      <c r="CU23" s="210" t="str">
        <f>IF(AND(C23="Skema 4",B23="on"),Skemaoplysninger!$AY$31,"")</f>
        <v/>
      </c>
      <c r="CV23" s="210" t="str">
        <f>IF(AND(C23="Skema 4",B23="to"),Skemaoplysninger!$BA$31,"")</f>
        <v/>
      </c>
      <c r="CW23" s="210" t="str">
        <f>IF(AND(C23="Skema 4",B23="fr"),Skemaoplysninger!$BC$31,"")</f>
        <v/>
      </c>
      <c r="CX23" s="249">
        <f>IF(Stamoplysninger!$H$29="NEJ",SUM(CD23:CW23)*24+CB23+CC23,0)</f>
        <v>0</v>
      </c>
      <c r="CY23" s="249">
        <f>IF(C23="Skema 1",Stamoplysninger!$H$30/200,0)</f>
        <v>0</v>
      </c>
      <c r="CZ23" s="249">
        <f>IF(C23="Skema 2",Stamoplysninger!$H$30/200,0)</f>
        <v>0</v>
      </c>
      <c r="DA23" s="249">
        <f>IF(C23="Skema 3",Stamoplysninger!$H$30/200,0)</f>
        <v>0</v>
      </c>
      <c r="DB23" s="249">
        <f>IF(C23="Skema 4",Stamoplysninger!$H$30/200,0)</f>
        <v>0</v>
      </c>
      <c r="DC23" s="249">
        <f>IF(C23="fagdag",Stamoplysninger!$H$30/200,0)</f>
        <v>0</v>
      </c>
      <c r="DD23" s="249">
        <f>IF(C23="emnedag",Stamoplysninger!$H$30/200,0)</f>
        <v>0</v>
      </c>
      <c r="DE23" s="249">
        <f>IF(C23="lejrskole",Stamoplysninger!$H$30/200,0)</f>
        <v>0</v>
      </c>
      <c r="DF23" s="249">
        <f>IF(C23="ekskursion",Stamoplysninger!$H$30/200,0)</f>
        <v>0</v>
      </c>
      <c r="DG23" s="249">
        <f t="shared" si="26"/>
        <v>0</v>
      </c>
      <c r="DH23" t="str">
        <f t="shared" si="27"/>
        <v/>
      </c>
      <c r="DI23">
        <f t="shared" si="28"/>
        <v>0</v>
      </c>
      <c r="DJ23">
        <f t="shared" si="29"/>
        <v>0</v>
      </c>
      <c r="DK23" t="str">
        <f t="shared" si="12"/>
        <v/>
      </c>
      <c r="DL23" t="str">
        <f t="shared" si="12"/>
        <v/>
      </c>
      <c r="DM23" t="str">
        <f t="shared" si="12"/>
        <v/>
      </c>
      <c r="DN23" t="str">
        <f t="shared" si="30"/>
        <v/>
      </c>
      <c r="DO23" s="652">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71">
        <f>IF(AND(Stamoplysninger!$B$22="Ulempetillæg udbetales med 25% af nettotimelønnen.",C23="ikke relevant"),(R23)/4,0)</f>
        <v>0</v>
      </c>
      <c r="DT23" s="671">
        <f>IF(AND(AND(Stamoplysninger!$B$22="Ulempetillæg udbetales med 25% af nettotimelønnen.",I23="X",C23="Ikke relevant")),K23/4,0)</f>
        <v>0</v>
      </c>
      <c r="DU23" s="671">
        <f>IF(AND(AND(Stamoplysninger!$B$22="Ulempetillæg udbetales med 25% af nettotimelønnen.",C23="ikke relevant",U23="X")),(X23/4),0)</f>
        <v>0</v>
      </c>
      <c r="DV23" s="672">
        <f>IF(AND(AND(AND(Stamoplysninger!$B$22="Ulempetillæg udbetales med 25% af nettotimelønnen.",I23="X",C23="Ikke relevant",S23="X"))),V23/4,0)</f>
        <v>0</v>
      </c>
      <c r="DW23" s="652"/>
      <c r="DZ23" s="671"/>
      <c r="EA23" s="671"/>
      <c r="EB23" s="672"/>
      <c r="EC23" s="652">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71">
        <f>IF(AND(Stamoplysninger!$B$22="Ulempetillæg afspadseres med 25%(Kræver en aftale imellem ledelsen og den ansatte)",C23="ikke relevant"),(R23)/4,0)</f>
        <v>0</v>
      </c>
      <c r="EH23" s="671">
        <f>IF(AND(AND(Stamoplysninger!$B$22="Ulempetillæg afspadseres med 25%(Kræver en aftale imellem ledelsen og den ansatte)",I23="X",C23="Ikke relevant")),K23/4,0)</f>
        <v>0</v>
      </c>
      <c r="EI23" s="671">
        <f>IF(AND(AND(Stamoplysninger!$B$22="Ulempetillæg afspadseres med 25%(Kræver en aftale imellem ledelsen og den ansatte)",U23="X",C23="Ikke relevant")),X23/4,0)</f>
        <v>0</v>
      </c>
      <c r="EJ23" s="671">
        <f>IF(AND(AND(AND(Stamoplysninger!$B$22="Ulempetillæg afspadseres med 25%(Kræver en aftale imellem ledelsen og den ansatte)",I23="X",C23="Ikke relevant",S23="X"))),V23/4,0)</f>
        <v>0</v>
      </c>
      <c r="EK23" s="283">
        <f>IF(AND(Stamoplysninger!$B$26="Weekendtimer og weekendtillæg afspadseres.",I23="X"),K23*1.5,0)</f>
        <v>0</v>
      </c>
      <c r="EL23" s="251">
        <f>IF(AND(AND(Stamoplysninger!$B$26="Weekendtimer og weekendtillæg afspadseres.",I23="X",S23="X")),V23*1.5,0)</f>
        <v>0</v>
      </c>
      <c r="EM23" s="674">
        <f>IF(AND(AND(Stamoplysninger!$B$26="Weekendtimer og weekendtillæg afspadseres.",I23="X",C23="ikke relevant")),K23*1.5,0)</f>
        <v>0</v>
      </c>
      <c r="EN23" s="675">
        <f>IF(AND(AND(AND(Stamoplysninger!$B$26="Weekendtimer og weekendtillæg afspadseres.",I23="X",C23="ikke relevant",S23="X"))),(V23*1.5),0)</f>
        <v>0</v>
      </c>
      <c r="EO23" s="283">
        <f>IF(AND(Stamoplysninger!$B$26="Weekendtimer og weekendtillæg udbetales.",I23="X"),K23*1.5,0)</f>
        <v>0</v>
      </c>
      <c r="EP23" s="251">
        <f>IF(AND(AND(Stamoplysninger!$B$26="Weekendtimer og weekendtillæg udbetales.",I23="X",S23="X")),V23*1.5,0)</f>
        <v>0</v>
      </c>
      <c r="EQ23" s="674">
        <f>IF(AND(AND(Stamoplysninger!$B$26="Weekendtimer og weekendtillæg udbetales.",I23="X",C23="ikke relevant")),K23*1.5,0)</f>
        <v>0</v>
      </c>
      <c r="ER23" s="675">
        <f>IF(AND(AND(AND(Stamoplysninger!$B$26="Weekendtimer og weekendtillæg udbetales.",I23="X",C23="ikke relevant",S23="X"))),(V23*1.5),0)</f>
        <v>0</v>
      </c>
      <c r="ES23" s="283">
        <f>IF(AND(Stamoplysninger!$B$26="Der er indgået lokalaftale omkring weekendtimer.(Kræver aftale med TR/FSL) Weekendtillæg afspadseres.",I23="X"),K23*0.5,0)</f>
        <v>0</v>
      </c>
      <c r="ET23" s="251">
        <f>IF(AND(AND(Stamoplysninger!$B$26="Der er indgået lokalaftale omkring weekendtimer.(Kræver aftale med TR/FSL) Weekendtillæg afspadseres.",I23="X",S23="X")),V23*0.5,0)</f>
        <v>0</v>
      </c>
      <c r="EU23" s="674">
        <f>IF(AND(AND(Stamoplysninger!$B$26="Der er indgået lokalaftale omkring weekendtimer.(Kræver aftale med TR/FSL) Weekendtillæg afspadseres.",I23="X",C23="ikke relevant")),K23*0.5,0)</f>
        <v>0</v>
      </c>
      <c r="EV23" s="675">
        <f>IF(AND(AND(AND(Stamoplysninger!$B$26="Der er indgået lokalaftale omkring weekendtimer.(Kræver aftale med TR/FSL) Weekendtillæg afspadseres.",I23="X",C23="ikke relevant",S23="X"))),(V23*0.5),0)</f>
        <v>0</v>
      </c>
      <c r="EW23" s="283">
        <f>IF(AND(Stamoplysninger!$B$26="Der er indgået lokalaftale omkring weekendtimer(Kræver aftale med TR/FSL). Weekendtillæg udbetales.",I23="X"),K23*0.5,0)</f>
        <v>0</v>
      </c>
      <c r="EX23" s="251">
        <f>IF(AND(AND(Stamoplysninger!$B$26="Der er indgået lokalaftale omkring weekendtimer(Kræver aftale med TR/FSL). Weekendtillæg udbetales.",I23="X",S23="X")),V23*0.5,0)</f>
        <v>0</v>
      </c>
      <c r="EY23" s="674">
        <f>IF(AND(AND(Stamoplysninger!$B$26="Der er indgået lokalaftale omkring weekendtimer(Kræver aftale med TR/FSL). Weekendtillæg udbetales.",I23="X",C23="ikke relevant")),K23*0.5,0)</f>
        <v>0</v>
      </c>
      <c r="EZ23" s="675">
        <f>IF(AND(AND(AND(Stamoplysninger!$B$26="Der er indgået lokalaftale omkring weekendtimer(Kræver aftale med TR/FSL). Weekendtillæg udbetales.",I23="X",C23="ikke relevant",S23="X"))),(V23*0.5),0)</f>
        <v>0</v>
      </c>
      <c r="FA23" s="283">
        <f>IF(AND(Stamoplysninger!$B$26="Der er indgået lokalaftale omkring weekendtillæg(Kræver aftale med TR/FSL). Weekendtimerne afspadseres.",I23="X"),K23,0)</f>
        <v>0</v>
      </c>
      <c r="FB23" s="251">
        <f>IF(AND(AND(Stamoplysninger!$B$26="Der er indgået lokalaftale omkring weekendtillæg(Kræver aftale med TR/FSL). Weekendtimerne afspadseres.",I23="X",S23="X")),V23,0)</f>
        <v>0</v>
      </c>
      <c r="FC23" s="674">
        <f>IF(AND(AND(Stamoplysninger!$B$26="Der er indgået lokalaftale omkring weekendtillæg(Kræver aftale med TR/FSL). Weekendtimerne afspadseres..",I23="X",C23="ikke relevant")),K23,0)</f>
        <v>0</v>
      </c>
      <c r="FD23" s="675">
        <f>IF(AND(AND(AND(Stamoplysninger!$B$26="Der er indgået lokalaftale omkring weekendtillæg(Kræver aftale med TR/FSL). Weekendtimerne afspadseres.",I23="X",C23="ikke relevant",S23="X"))),(V23),0)</f>
        <v>0</v>
      </c>
      <c r="FE23" s="283">
        <f>IF(AND(Stamoplysninger!$B$26="Der er indgået lokalaftale omkring weekendtillæg(Kræver aftale med TR/FSL). Weekendtimerne udbetales.",I23="X"),K23,0)</f>
        <v>0</v>
      </c>
      <c r="FF23" s="251">
        <f>IF(AND(AND(Stamoplysninger!$B$26="Der er indgået lokalaftale omkring weekendtillæg(Kræver aftale med TR/FSL). Weekendtimerne udbetales.",I23="X",S23="X")),V23,0)</f>
        <v>0</v>
      </c>
      <c r="FG23" s="674">
        <f>IF(AND(AND(Stamoplysninger!$B$26="Der er indgået lokalaftale omkring weekendtillæg(Kræver aftale med TR/FSL). Weekendtimerne udbetales.",I23="X",C23="ikke relevant")),K23,0)</f>
        <v>0</v>
      </c>
      <c r="FH23" s="675">
        <f>IF(AND(AND(AND(Stamoplysninger!$B$26="Der er indgået lokalaftale omkring weekendtillæg(Kræver aftale med TR/FSL). Weekendtimerne udbetales.",I23="X",C23="ikke relevant",S23="X"))),(V23),0)</f>
        <v>0</v>
      </c>
      <c r="FI23" s="283">
        <f>IF(AND(Stamoplysninger!$B$26="Weekendtimer og weekendtillæg afspadseres.",I23="X"),K23,0)</f>
        <v>0</v>
      </c>
      <c r="FJ23" s="251">
        <f>IF(AND(Stamoplysninger!$B$26="Weekendtimer og weekendtillæg afspadseres.",Y23="X"),(AA23+AL23)/2,0)</f>
        <v>0</v>
      </c>
      <c r="FK23" s="674">
        <f>IF(AND(AND(Stamoplysninger!$B$26="Weekendtimer og weekendtillæg afspadseres.",I23="X",C23="ikke relevant")),K23,0)</f>
        <v>0</v>
      </c>
      <c r="FL23" s="675">
        <f>IF(AND(AND(Stamoplysninger!$B$26="Weekendtimer og weekendtillæg afspadseres.",Y23="X",S23="ikke relevant")),(AA23+AL23)/2,0)</f>
        <v>0</v>
      </c>
      <c r="FM23" s="283">
        <f>IF(AND(Stamoplysninger!$B$26="Der er indgået lokalaftale omkring weekendtillæg(Kræver aftale med TR/FSL). Weekendtimerne afspadseres.",I23="X"),K23,0)</f>
        <v>0</v>
      </c>
      <c r="FN23" s="674">
        <f>IF(AND(AND(Stamoplysninger!$B$26="Der er indgået lokalaftale omkring weekendtillæg(Kræver aftale med TR/FSL). Weekendtimerne afspadseres.",I23="X",C23="ikke relevant")),K23,0)</f>
        <v>0</v>
      </c>
      <c r="FO23" s="283">
        <f>IF(AND(Stamoplysninger!$B$26="Weekendtimer og weekendtillæg udbetales.",I23="X"),K23,0)</f>
        <v>0</v>
      </c>
      <c r="FP23" s="251">
        <f>IF(AND(Stamoplysninger!$B$26="Weekendtimer og weekendtillæg udbetales.",AA23="X"),(AC23+AN23)/2,0)</f>
        <v>0</v>
      </c>
      <c r="FQ23" s="674">
        <f>IF(AND(AND(Stamoplysninger!$B$26="Weekendtimer og weekendtillæg udbetales.",I23="X",C23="ikke relevant")),K23,0)</f>
        <v>0</v>
      </c>
      <c r="FR23" s="688">
        <f>IF(AND(AND(Stamoplysninger!$B$26="Weekendtimer og weekendtillæg udbetales.",AA23="X",U23="ikke relevant")),(AC23+AN23)/2,0)</f>
        <v>0</v>
      </c>
      <c r="FS23" s="283">
        <f t="shared" si="13"/>
        <v>0</v>
      </c>
      <c r="FT23" s="658">
        <f t="shared" si="14"/>
        <v>0</v>
      </c>
      <c r="FU23">
        <f t="shared" si="15"/>
        <v>0</v>
      </c>
      <c r="FV23" s="283">
        <f>IF(AND(Stamoplysninger!$B$26="Der er indgået lokalaftale omkring weekendtimer.(Kræver aftale med TR/FSL) Weekendtillæg afspadseres.",I23="X"),K23,0)</f>
        <v>0</v>
      </c>
      <c r="FW23" s="674">
        <f>IF(AND(AND(Stamoplysninger!$B$26="Der er indgået lokalaftale omkring weekendtimer.(Kræver aftale med TR/FSL) Weekendtillæg afspadseres.",I23="X",C23="ikke relevant")),K23,0)</f>
        <v>0</v>
      </c>
      <c r="FX23" s="283">
        <f>IF(AND(Stamoplysninger!$B$26="Der er indgået lokalaftale omkring weekendtimer(Kræver aftale med TR/FSL). Weekendtillæg udbetales.",I23="X"),K23,0)</f>
        <v>0</v>
      </c>
      <c r="FY23" s="674">
        <f>IF(AND(AND(Stamoplysninger!$B$26="Der er indgået lokalaftale omkring weekendtimer(Kræver aftale med TR/FSL). Weekendtillæg udbetales.",I23="X",C23="ikke relevant")),K23,0)</f>
        <v>0</v>
      </c>
      <c r="FZ23" s="283">
        <f>IF(AND(Stamoplysninger!$B$26="Der er indgået lokalaftale omkring weekendtillæg(Kræver aftale med TR/FSL). Weekendtimerne udbetales.",I23="X"),K23,0)</f>
        <v>0</v>
      </c>
      <c r="GA23" s="674">
        <f>IF(AND(AND(Stamoplysninger!$B$26="Der er indgået lokalaftale omkring weekendtillæg(Kræver aftale med TR/FSL). Weekendtimerne udbetales.",I23="X",C23="ikke relevant")),K23,0)</f>
        <v>0</v>
      </c>
      <c r="GB23" s="283">
        <f>IF(AND(Stamoplysninger!$B$26="Der er indgået lokalaftale omkring weekendtimer og weekendtillæg.(Kræver aftale med TR/FSL).",I23="X"),K23,0)</f>
        <v>0</v>
      </c>
      <c r="GC23" s="674">
        <f>IF(AND(AND(Stamoplysninger!$B$26="Der er indgået lokalaftale omkring weekendtimer og weekendtillæg.(Kræver aftale med TR/FSL).",I23="X",C23="ikke relevant")),K23,0)</f>
        <v>0</v>
      </c>
    </row>
    <row r="24" spans="1:185">
      <c r="A24" s="245">
        <f>IF(ISNUMBER(A23),A23+1,1)</f>
        <v>16</v>
      </c>
      <c r="B24" s="128" t="str">
        <f t="shared" si="0"/>
        <v>sø</v>
      </c>
      <c r="C24" s="129" t="s">
        <v>120</v>
      </c>
      <c r="D24" s="130" t="str">
        <f t="shared" si="1"/>
        <v/>
      </c>
      <c r="E24" s="917"/>
      <c r="F24" s="918"/>
      <c r="G24" s="919"/>
      <c r="H24" s="298"/>
      <c r="I24" s="413"/>
      <c r="J24" s="413"/>
      <c r="K24" s="380"/>
      <c r="L24" s="380"/>
      <c r="M24" s="380"/>
      <c r="N24" s="318">
        <f t="shared" si="17"/>
        <v>0</v>
      </c>
      <c r="O24" s="318">
        <f t="shared" si="18"/>
        <v>0</v>
      </c>
      <c r="P24" s="318">
        <f>IF(Stamoplysninger!$H$29="JA",Februar!DG24,CX24)</f>
        <v>0</v>
      </c>
      <c r="Q24" s="318">
        <f t="shared" si="19"/>
        <v>0</v>
      </c>
      <c r="R24" s="319"/>
      <c r="S24" s="324"/>
      <c r="T24" s="325"/>
      <c r="U24" s="325"/>
      <c r="V24" s="435"/>
      <c r="W24" s="435"/>
      <c r="X24" s="644"/>
      <c r="Y24">
        <f t="shared" si="20"/>
        <v>0</v>
      </c>
      <c r="Z24" s="437">
        <f t="shared" si="21"/>
        <v>0</v>
      </c>
      <c r="AA24" s="1">
        <f t="shared" si="22"/>
        <v>0</v>
      </c>
      <c r="AB24" s="1">
        <f t="shared" si="2"/>
        <v>0</v>
      </c>
      <c r="AC24" s="1">
        <f t="shared" si="3"/>
        <v>0</v>
      </c>
      <c r="AD24" s="1">
        <f t="shared" si="4"/>
        <v>0</v>
      </c>
      <c r="AE24" s="1">
        <f t="shared" si="5"/>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9">
        <f t="shared" si="6"/>
        <v>0</v>
      </c>
      <c r="BC24" s="1">
        <f t="shared" si="24"/>
        <v>0</v>
      </c>
      <c r="BD24" s="1">
        <f t="shared" si="7"/>
        <v>0</v>
      </c>
      <c r="BE24" s="1">
        <f t="shared" si="8"/>
        <v>0</v>
      </c>
      <c r="BF24" s="1">
        <f t="shared" si="9"/>
        <v>0</v>
      </c>
      <c r="BG24" s="210" t="str">
        <f>IF(AND(C24="Skema 1",B24="ma"),Skemaoplysninger!$E$30,"")</f>
        <v/>
      </c>
      <c r="BH24" s="210" t="str">
        <f>IF(AND(C24="Skema 1",B24="ti"),Skemaoplysninger!$G$30,"")</f>
        <v/>
      </c>
      <c r="BI24" s="210" t="str">
        <f>IF(AND(C24="Skema 1",B24="on"),Skemaoplysninger!$I$30,"")</f>
        <v/>
      </c>
      <c r="BJ24" s="210" t="str">
        <f>IF(AND(C24="Skema 1",B24="to"),Skemaoplysninger!$K$30,"")</f>
        <v/>
      </c>
      <c r="BK24" s="210" t="str">
        <f>IF(AND(C24="Skema 1",B24="fr"),Skemaoplysninger!$M$30,"")</f>
        <v/>
      </c>
      <c r="BL24" s="210" t="str">
        <f>IF(AND(C24="Skema 2",B24="ma"),Skemaoplysninger!$S$30,"")</f>
        <v/>
      </c>
      <c r="BM24" s="210" t="str">
        <f>IF(AND(C24="Skema 2",B24="ti"),Skemaoplysninger!$U$30,"")</f>
        <v/>
      </c>
      <c r="BN24" s="210" t="str">
        <f>IF(AND(C24="Skema 2",B24="on"),Skemaoplysninger!$W$30,"")</f>
        <v/>
      </c>
      <c r="BO24" s="210" t="str">
        <f>IF(AND(C24="Skema 2",B24="to"),Skemaoplysninger!$Y$30,"")</f>
        <v/>
      </c>
      <c r="BP24" s="210" t="str">
        <f>IF(AND(C24="Skema 2",B24="fr"),Skemaoplysninger!$AA$30,"")</f>
        <v/>
      </c>
      <c r="BQ24" s="210" t="str">
        <f>IF(AND(C24="Skema 3",B24="ma"),Skemaoplysninger!$AG$30,"")</f>
        <v/>
      </c>
      <c r="BR24" s="210" t="str">
        <f>IF(AND(C24="Skema 3",B24="ti"),Skemaoplysninger!$AI$30,"")</f>
        <v/>
      </c>
      <c r="BS24" s="210" t="str">
        <f>IF(AND(C24="Skema 3",B24="on"),Skemaoplysninger!$AK$30,"")</f>
        <v/>
      </c>
      <c r="BT24" s="210" t="str">
        <f>IF(AND(C24="Skema 3",B24="to"),Skemaoplysninger!$AM$30,"")</f>
        <v/>
      </c>
      <c r="BU24" s="210" t="str">
        <f>IF(AND(C24="Skema 3",B24="fr"),Skemaoplysninger!$AO$30,"")</f>
        <v/>
      </c>
      <c r="BV24" s="210" t="str">
        <f>IF(AND(C24="Skema 4",B24="ma"),Skemaoplysninger!$AU$30,"")</f>
        <v/>
      </c>
      <c r="BW24" s="210" t="str">
        <f>IF(AND(C24="Skema 4",B24="ti"),Skemaoplysninger!$AW$30,"")</f>
        <v/>
      </c>
      <c r="BX24" s="210" t="str">
        <f>IF(AND(C24="Skema 4",B24="on"),Skemaoplysninger!$AY$30,"")</f>
        <v/>
      </c>
      <c r="BY24" s="210" t="str">
        <f>IF(AND(C24="Skema 4",B24="to"),Skemaoplysninger!$BA$30,"")</f>
        <v/>
      </c>
      <c r="BZ24" s="210" t="str">
        <f>IF(AND(C24="Skema 4",B24="fr"),Skemaoplysninger!$BC$30,"")</f>
        <v/>
      </c>
      <c r="CA24" s="1">
        <f t="shared" si="25"/>
        <v>0</v>
      </c>
      <c r="CB24" s="1">
        <f t="shared" si="10"/>
        <v>0</v>
      </c>
      <c r="CC24" s="1">
        <f t="shared" si="11"/>
        <v>0</v>
      </c>
      <c r="CD24" s="210" t="str">
        <f>IF(AND(C24="Skema 1",B24="ma"),Skemaoplysninger!$E$31,"")</f>
        <v/>
      </c>
      <c r="CE24" s="210" t="str">
        <f>IF(AND(C24="Skema 1",B24="ti"),Skemaoplysninger!$G$31,"")</f>
        <v/>
      </c>
      <c r="CF24" s="210" t="str">
        <f>IF(AND(C24="Skema 1",B24="on"),Skemaoplysninger!$I$31,"")</f>
        <v/>
      </c>
      <c r="CG24" s="210" t="str">
        <f>IF(AND(C24="Skema 1",B24="to"),Skemaoplysninger!$K$31,"")</f>
        <v/>
      </c>
      <c r="CH24" s="210" t="str">
        <f>IF(AND(C24="Skema 1",B24="fr"),Skemaoplysninger!$M$31,"")</f>
        <v/>
      </c>
      <c r="CI24" s="210" t="str">
        <f>IF(AND(C24="Skema 2",B24="ma"),Skemaoplysninger!$S$31,"")</f>
        <v/>
      </c>
      <c r="CJ24" s="210" t="str">
        <f>IF(AND(C24="Skema 2",B24="ti"),Skemaoplysninger!$U$31,"")</f>
        <v/>
      </c>
      <c r="CK24" s="210" t="str">
        <f>IF(AND(C24="Skema 2",B24="on"),Skemaoplysninger!$W$31,"")</f>
        <v/>
      </c>
      <c r="CL24" s="210" t="str">
        <f>IF(AND(C24="Skema 2",B24="to"),Skemaoplysninger!$Y$31,"")</f>
        <v/>
      </c>
      <c r="CM24" s="210" t="str">
        <f>IF(AND(C24="Skema 2",B24="fr"),Skemaoplysninger!$AA$31,"")</f>
        <v/>
      </c>
      <c r="CN24" s="210" t="str">
        <f>IF(AND(C24="Skema 3",B24="ma"),Skemaoplysninger!$AG$31,"")</f>
        <v/>
      </c>
      <c r="CO24" s="210" t="str">
        <f>IF(AND(C24="Skema 3",B24="ti"),Skemaoplysninger!$AI$31,"")</f>
        <v/>
      </c>
      <c r="CP24" s="210" t="str">
        <f>IF(AND(C24="Skema 3",B24="on"),Skemaoplysninger!$AK$31,"")</f>
        <v/>
      </c>
      <c r="CQ24" s="210" t="str">
        <f>IF(AND(C24="Skema 3",B24="to"),Skemaoplysninger!$AM$31,"")</f>
        <v/>
      </c>
      <c r="CR24" s="210" t="str">
        <f>IF(AND(C24="Skema 3",B24="fr"),Skemaoplysninger!$AO$31,"")</f>
        <v/>
      </c>
      <c r="CS24" s="210" t="str">
        <f>IF(AND(C24="Skema 4",B24="ma"),Skemaoplysninger!$AU$31,"")</f>
        <v/>
      </c>
      <c r="CT24" s="210" t="str">
        <f>IF(AND(C24="Skema 4",B24="ti"),Skemaoplysninger!$AW$31,"")</f>
        <v/>
      </c>
      <c r="CU24" s="210" t="str">
        <f>IF(AND(C24="Skema 4",B24="on"),Skemaoplysninger!$AY$31,"")</f>
        <v/>
      </c>
      <c r="CV24" s="210" t="str">
        <f>IF(AND(C24="Skema 4",B24="to"),Skemaoplysninger!$BA$31,"")</f>
        <v/>
      </c>
      <c r="CW24" s="210" t="str">
        <f>IF(AND(C24="Skema 4",B24="fr"),Skemaoplysninger!$BC$31,"")</f>
        <v/>
      </c>
      <c r="CX24" s="249">
        <f>IF(Stamoplysninger!$H$29="NEJ",SUM(CD24:CW24)*24+CB24+CC24,0)</f>
        <v>0</v>
      </c>
      <c r="CY24" s="249">
        <f>IF(C24="Skema 1",Stamoplysninger!$H$30/200,0)</f>
        <v>0</v>
      </c>
      <c r="CZ24" s="249">
        <f>IF(C24="Skema 2",Stamoplysninger!$H$30/200,0)</f>
        <v>0</v>
      </c>
      <c r="DA24" s="249">
        <f>IF(C24="Skema 3",Stamoplysninger!$H$30/200,0)</f>
        <v>0</v>
      </c>
      <c r="DB24" s="249">
        <f>IF(C24="Skema 4",Stamoplysninger!$H$30/200,0)</f>
        <v>0</v>
      </c>
      <c r="DC24" s="249">
        <f>IF(C24="fagdag",Stamoplysninger!$H$30/200,0)</f>
        <v>0</v>
      </c>
      <c r="DD24" s="249">
        <f>IF(C24="emnedag",Stamoplysninger!$H$30/200,0)</f>
        <v>0</v>
      </c>
      <c r="DE24" s="249">
        <f>IF(C24="lejrskole",Stamoplysninger!$H$30/200,0)</f>
        <v>0</v>
      </c>
      <c r="DF24" s="249">
        <f>IF(C24="ekskursion",Stamoplysninger!$H$30/200,0)</f>
        <v>0</v>
      </c>
      <c r="DG24" s="249">
        <f t="shared" si="26"/>
        <v>0</v>
      </c>
      <c r="DH24" t="str">
        <f t="shared" si="27"/>
        <v/>
      </c>
      <c r="DI24">
        <f t="shared" si="28"/>
        <v>0</v>
      </c>
      <c r="DJ24">
        <f t="shared" si="29"/>
        <v>0</v>
      </c>
      <c r="DK24" t="str">
        <f t="shared" si="12"/>
        <v/>
      </c>
      <c r="DL24" t="str">
        <f t="shared" si="12"/>
        <v/>
      </c>
      <c r="DM24" t="str">
        <f t="shared" si="12"/>
        <v/>
      </c>
      <c r="DN24" t="str">
        <f t="shared" si="30"/>
        <v/>
      </c>
      <c r="DO24" s="652">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71">
        <f>IF(AND(Stamoplysninger!$B$22="Ulempetillæg udbetales med 25% af nettotimelønnen.",C24="ikke relevant"),(R24)/4,0)</f>
        <v>0</v>
      </c>
      <c r="DT24" s="671">
        <f>IF(AND(AND(Stamoplysninger!$B$22="Ulempetillæg udbetales med 25% af nettotimelønnen.",I24="X",C24="Ikke relevant")),K24/4,0)</f>
        <v>0</v>
      </c>
      <c r="DU24" s="671">
        <f>IF(AND(AND(Stamoplysninger!$B$22="Ulempetillæg udbetales med 25% af nettotimelønnen.",C24="ikke relevant",U24="X")),(X24/4),0)</f>
        <v>0</v>
      </c>
      <c r="DV24" s="672">
        <f>IF(AND(AND(AND(Stamoplysninger!$B$22="Ulempetillæg udbetales med 25% af nettotimelønnen.",I24="X",C24="Ikke relevant",S24="X"))),V24/4,0)</f>
        <v>0</v>
      </c>
      <c r="DW24" s="652"/>
      <c r="DZ24" s="671"/>
      <c r="EA24" s="671"/>
      <c r="EB24" s="672"/>
      <c r="EC24" s="652">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71">
        <f>IF(AND(Stamoplysninger!$B$22="Ulempetillæg afspadseres med 25%(Kræver en aftale imellem ledelsen og den ansatte)",C24="ikke relevant"),(R24)/4,0)</f>
        <v>0</v>
      </c>
      <c r="EH24" s="671">
        <f>IF(AND(AND(Stamoplysninger!$B$22="Ulempetillæg afspadseres med 25%(Kræver en aftale imellem ledelsen og den ansatte)",I24="X",C24="Ikke relevant")),K24/4,0)</f>
        <v>0</v>
      </c>
      <c r="EI24" s="671">
        <f>IF(AND(AND(Stamoplysninger!$B$22="Ulempetillæg afspadseres med 25%(Kræver en aftale imellem ledelsen og den ansatte)",U24="X",C24="Ikke relevant")),X24/4,0)</f>
        <v>0</v>
      </c>
      <c r="EJ24" s="671">
        <f>IF(AND(AND(AND(Stamoplysninger!$B$22="Ulempetillæg afspadseres med 25%(Kræver en aftale imellem ledelsen og den ansatte)",I24="X",C24="Ikke relevant",S24="X"))),V24/4,0)</f>
        <v>0</v>
      </c>
      <c r="EK24" s="283">
        <f>IF(AND(Stamoplysninger!$B$26="Weekendtimer og weekendtillæg afspadseres.",I24="X"),K24*1.5,0)</f>
        <v>0</v>
      </c>
      <c r="EL24" s="251">
        <f>IF(AND(AND(Stamoplysninger!$B$26="Weekendtimer og weekendtillæg afspadseres.",I24="X",S24="X")),V24*1.5,0)</f>
        <v>0</v>
      </c>
      <c r="EM24" s="674">
        <f>IF(AND(AND(Stamoplysninger!$B$26="Weekendtimer og weekendtillæg afspadseres.",I24="X",C24="ikke relevant")),K24*1.5,0)</f>
        <v>0</v>
      </c>
      <c r="EN24" s="675">
        <f>IF(AND(AND(AND(Stamoplysninger!$B$26="Weekendtimer og weekendtillæg afspadseres.",I24="X",C24="ikke relevant",S24="X"))),(V24*1.5),0)</f>
        <v>0</v>
      </c>
      <c r="EO24" s="283">
        <f>IF(AND(Stamoplysninger!$B$26="Weekendtimer og weekendtillæg udbetales.",I24="X"),K24*1.5,0)</f>
        <v>0</v>
      </c>
      <c r="EP24" s="251">
        <f>IF(AND(AND(Stamoplysninger!$B$26="Weekendtimer og weekendtillæg udbetales.",I24="X",S24="X")),V24*1.5,0)</f>
        <v>0</v>
      </c>
      <c r="EQ24" s="674">
        <f>IF(AND(AND(Stamoplysninger!$B$26="Weekendtimer og weekendtillæg udbetales.",I24="X",C24="ikke relevant")),K24*1.5,0)</f>
        <v>0</v>
      </c>
      <c r="ER24" s="675">
        <f>IF(AND(AND(AND(Stamoplysninger!$B$26="Weekendtimer og weekendtillæg udbetales.",I24="X",C24="ikke relevant",S24="X"))),(V24*1.5),0)</f>
        <v>0</v>
      </c>
      <c r="ES24" s="283">
        <f>IF(AND(Stamoplysninger!$B$26="Der er indgået lokalaftale omkring weekendtimer.(Kræver aftale med TR/FSL) Weekendtillæg afspadseres.",I24="X"),K24*0.5,0)</f>
        <v>0</v>
      </c>
      <c r="ET24" s="251">
        <f>IF(AND(AND(Stamoplysninger!$B$26="Der er indgået lokalaftale omkring weekendtimer.(Kræver aftale med TR/FSL) Weekendtillæg afspadseres.",I24="X",S24="X")),V24*0.5,0)</f>
        <v>0</v>
      </c>
      <c r="EU24" s="674">
        <f>IF(AND(AND(Stamoplysninger!$B$26="Der er indgået lokalaftale omkring weekendtimer.(Kræver aftale med TR/FSL) Weekendtillæg afspadseres.",I24="X",C24="ikke relevant")),K24*0.5,0)</f>
        <v>0</v>
      </c>
      <c r="EV24" s="675">
        <f>IF(AND(AND(AND(Stamoplysninger!$B$26="Der er indgået lokalaftale omkring weekendtimer.(Kræver aftale med TR/FSL) Weekendtillæg afspadseres.",I24="X",C24="ikke relevant",S24="X"))),(V24*0.5),0)</f>
        <v>0</v>
      </c>
      <c r="EW24" s="283">
        <f>IF(AND(Stamoplysninger!$B$26="Der er indgået lokalaftale omkring weekendtimer(Kræver aftale med TR/FSL). Weekendtillæg udbetales.",I24="X"),K24*0.5,0)</f>
        <v>0</v>
      </c>
      <c r="EX24" s="251">
        <f>IF(AND(AND(Stamoplysninger!$B$26="Der er indgået lokalaftale omkring weekendtimer(Kræver aftale med TR/FSL). Weekendtillæg udbetales.",I24="X",S24="X")),V24*0.5,0)</f>
        <v>0</v>
      </c>
      <c r="EY24" s="674">
        <f>IF(AND(AND(Stamoplysninger!$B$26="Der er indgået lokalaftale omkring weekendtimer(Kræver aftale med TR/FSL). Weekendtillæg udbetales.",I24="X",C24="ikke relevant")),K24*0.5,0)</f>
        <v>0</v>
      </c>
      <c r="EZ24" s="675">
        <f>IF(AND(AND(AND(Stamoplysninger!$B$26="Der er indgået lokalaftale omkring weekendtimer(Kræver aftale med TR/FSL). Weekendtillæg udbetales.",I24="X",C24="ikke relevant",S24="X"))),(V24*0.5),0)</f>
        <v>0</v>
      </c>
      <c r="FA24" s="283">
        <f>IF(AND(Stamoplysninger!$B$26="Der er indgået lokalaftale omkring weekendtillæg(Kræver aftale med TR/FSL). Weekendtimerne afspadseres.",I24="X"),K24,0)</f>
        <v>0</v>
      </c>
      <c r="FB24" s="251">
        <f>IF(AND(AND(Stamoplysninger!$B$26="Der er indgået lokalaftale omkring weekendtillæg(Kræver aftale med TR/FSL). Weekendtimerne afspadseres.",I24="X",S24="X")),V24,0)</f>
        <v>0</v>
      </c>
      <c r="FC24" s="674">
        <f>IF(AND(AND(Stamoplysninger!$B$26="Der er indgået lokalaftale omkring weekendtillæg(Kræver aftale med TR/FSL). Weekendtimerne afspadseres..",I24="X",C24="ikke relevant")),K24,0)</f>
        <v>0</v>
      </c>
      <c r="FD24" s="675">
        <f>IF(AND(AND(AND(Stamoplysninger!$B$26="Der er indgået lokalaftale omkring weekendtillæg(Kræver aftale med TR/FSL). Weekendtimerne afspadseres.",I24="X",C24="ikke relevant",S24="X"))),(V24),0)</f>
        <v>0</v>
      </c>
      <c r="FE24" s="283">
        <f>IF(AND(Stamoplysninger!$B$26="Der er indgået lokalaftale omkring weekendtillæg(Kræver aftale med TR/FSL). Weekendtimerne udbetales.",I24="X"),K24,0)</f>
        <v>0</v>
      </c>
      <c r="FF24" s="251">
        <f>IF(AND(AND(Stamoplysninger!$B$26="Der er indgået lokalaftale omkring weekendtillæg(Kræver aftale med TR/FSL). Weekendtimerne udbetales.",I24="X",S24="X")),V24,0)</f>
        <v>0</v>
      </c>
      <c r="FG24" s="674">
        <f>IF(AND(AND(Stamoplysninger!$B$26="Der er indgået lokalaftale omkring weekendtillæg(Kræver aftale med TR/FSL). Weekendtimerne udbetales.",I24="X",C24="ikke relevant")),K24,0)</f>
        <v>0</v>
      </c>
      <c r="FH24" s="675">
        <f>IF(AND(AND(AND(Stamoplysninger!$B$26="Der er indgået lokalaftale omkring weekendtillæg(Kræver aftale med TR/FSL). Weekendtimerne udbetales.",I24="X",C24="ikke relevant",S24="X"))),(V24),0)</f>
        <v>0</v>
      </c>
      <c r="FI24" s="283">
        <f>IF(AND(Stamoplysninger!$B$26="Weekendtimer og weekendtillæg afspadseres.",I24="X"),K24,0)</f>
        <v>0</v>
      </c>
      <c r="FJ24" s="251">
        <f>IF(AND(Stamoplysninger!$B$26="Weekendtimer og weekendtillæg afspadseres.",Y24="X"),(AA24+AL24)/2,0)</f>
        <v>0</v>
      </c>
      <c r="FK24" s="674">
        <f>IF(AND(AND(Stamoplysninger!$B$26="Weekendtimer og weekendtillæg afspadseres.",I24="X",C24="ikke relevant")),K24,0)</f>
        <v>0</v>
      </c>
      <c r="FL24" s="675">
        <f>IF(AND(AND(Stamoplysninger!$B$26="Weekendtimer og weekendtillæg afspadseres.",Y24="X",S24="ikke relevant")),(AA24+AL24)/2,0)</f>
        <v>0</v>
      </c>
      <c r="FM24" s="283">
        <f>IF(AND(Stamoplysninger!$B$26="Der er indgået lokalaftale omkring weekendtillæg(Kræver aftale med TR/FSL). Weekendtimerne afspadseres.",I24="X"),K24,0)</f>
        <v>0</v>
      </c>
      <c r="FN24" s="674">
        <f>IF(AND(AND(Stamoplysninger!$B$26="Der er indgået lokalaftale omkring weekendtillæg(Kræver aftale med TR/FSL). Weekendtimerne afspadseres.",I24="X",C24="ikke relevant")),K24,0)</f>
        <v>0</v>
      </c>
      <c r="FO24" s="283">
        <f>IF(AND(Stamoplysninger!$B$26="Weekendtimer og weekendtillæg udbetales.",I24="X"),K24,0)</f>
        <v>0</v>
      </c>
      <c r="FP24" s="251">
        <f>IF(AND(Stamoplysninger!$B$26="Weekendtimer og weekendtillæg udbetales.",AA24="X"),(AC24+AN24)/2,0)</f>
        <v>0</v>
      </c>
      <c r="FQ24" s="674">
        <f>IF(AND(AND(Stamoplysninger!$B$26="Weekendtimer og weekendtillæg udbetales.",I24="X",C24="ikke relevant")),K24,0)</f>
        <v>0</v>
      </c>
      <c r="FR24" s="688">
        <f>IF(AND(AND(Stamoplysninger!$B$26="Weekendtimer og weekendtillæg udbetales.",AA24="X",U24="ikke relevant")),(AC24+AN24)/2,0)</f>
        <v>0</v>
      </c>
      <c r="FS24" s="283">
        <f t="shared" si="13"/>
        <v>0</v>
      </c>
      <c r="FT24" s="658">
        <f t="shared" si="14"/>
        <v>0</v>
      </c>
      <c r="FU24">
        <f t="shared" si="15"/>
        <v>0</v>
      </c>
      <c r="FV24" s="283">
        <f>IF(AND(Stamoplysninger!$B$26="Der er indgået lokalaftale omkring weekendtimer.(Kræver aftale med TR/FSL) Weekendtillæg afspadseres.",I24="X"),K24,0)</f>
        <v>0</v>
      </c>
      <c r="FW24" s="674">
        <f>IF(AND(AND(Stamoplysninger!$B$26="Der er indgået lokalaftale omkring weekendtimer.(Kræver aftale med TR/FSL) Weekendtillæg afspadseres.",I24="X",C24="ikke relevant")),K24,0)</f>
        <v>0</v>
      </c>
      <c r="FX24" s="283">
        <f>IF(AND(Stamoplysninger!$B$26="Der er indgået lokalaftale omkring weekendtimer(Kræver aftale med TR/FSL). Weekendtillæg udbetales.",I24="X"),K24,0)</f>
        <v>0</v>
      </c>
      <c r="FY24" s="674">
        <f>IF(AND(AND(Stamoplysninger!$B$26="Der er indgået lokalaftale omkring weekendtimer(Kræver aftale med TR/FSL). Weekendtillæg udbetales.",I24="X",C24="ikke relevant")),K24,0)</f>
        <v>0</v>
      </c>
      <c r="FZ24" s="283">
        <f>IF(AND(Stamoplysninger!$B$26="Der er indgået lokalaftale omkring weekendtillæg(Kræver aftale med TR/FSL). Weekendtimerne udbetales.",I24="X"),K24,0)</f>
        <v>0</v>
      </c>
      <c r="GA24" s="674">
        <f>IF(AND(AND(Stamoplysninger!$B$26="Der er indgået lokalaftale omkring weekendtillæg(Kræver aftale med TR/FSL). Weekendtimerne udbetales.",I24="X",C24="ikke relevant")),K24,0)</f>
        <v>0</v>
      </c>
      <c r="GB24" s="283">
        <f>IF(AND(Stamoplysninger!$B$26="Der er indgået lokalaftale omkring weekendtimer og weekendtillæg.(Kræver aftale med TR/FSL).",I24="X"),K24,0)</f>
        <v>0</v>
      </c>
      <c r="GC24" s="674">
        <f>IF(AND(AND(Stamoplysninger!$B$26="Der er indgået lokalaftale omkring weekendtimer og weekendtillæg.(Kræver aftale med TR/FSL).",I24="X",C24="ikke relevant")),K24,0)</f>
        <v>0</v>
      </c>
    </row>
    <row r="25" spans="1:185">
      <c r="A25" s="245">
        <f t="shared" si="16"/>
        <v>17</v>
      </c>
      <c r="B25" s="128" t="str">
        <f t="shared" si="0"/>
        <v>ma</v>
      </c>
      <c r="C25" s="129" t="s">
        <v>207</v>
      </c>
      <c r="D25" s="130">
        <f t="shared" si="1"/>
        <v>7.7142857142857144</v>
      </c>
      <c r="E25" s="917"/>
      <c r="F25" s="918"/>
      <c r="G25" s="919"/>
      <c r="H25" s="298"/>
      <c r="I25" s="527"/>
      <c r="J25" s="413"/>
      <c r="K25" s="380"/>
      <c r="L25" s="380"/>
      <c r="M25" s="380"/>
      <c r="N25" s="318">
        <f t="shared" si="17"/>
        <v>7.75</v>
      </c>
      <c r="O25" s="318">
        <f t="shared" si="18"/>
        <v>3.4999999999999996</v>
      </c>
      <c r="P25" s="318">
        <f>IF(Stamoplysninger!$H$29="JA",Februar!DG25,CX25)</f>
        <v>1</v>
      </c>
      <c r="Q25" s="318">
        <f t="shared" si="19"/>
        <v>3.25</v>
      </c>
      <c r="R25" s="319"/>
      <c r="S25" s="324"/>
      <c r="T25" s="325"/>
      <c r="U25" s="325"/>
      <c r="V25" s="435"/>
      <c r="W25" s="435"/>
      <c r="X25" s="644"/>
      <c r="Y25">
        <f t="shared" si="20"/>
        <v>0</v>
      </c>
      <c r="Z25" s="437">
        <f t="shared" si="21"/>
        <v>0</v>
      </c>
      <c r="AA25" s="1">
        <f t="shared" si="22"/>
        <v>0</v>
      </c>
      <c r="AB25" s="1">
        <f t="shared" si="2"/>
        <v>0</v>
      </c>
      <c r="AC25" s="1">
        <f t="shared" si="3"/>
        <v>0</v>
      </c>
      <c r="AD25" s="1">
        <f t="shared" si="4"/>
        <v>0</v>
      </c>
      <c r="AE25" s="1">
        <f t="shared" si="5"/>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f>IF(AND(C25="Skema 2",B25="ma"),Arbejdstidsoversigt!$E$81,"")</f>
        <v>7.75</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7.75</v>
      </c>
      <c r="BB25" s="229">
        <f t="shared" si="6"/>
        <v>0</v>
      </c>
      <c r="BC25" s="1">
        <f t="shared" si="24"/>
        <v>0</v>
      </c>
      <c r="BD25" s="1">
        <f t="shared" si="7"/>
        <v>0</v>
      </c>
      <c r="BE25" s="1">
        <f t="shared" si="8"/>
        <v>0</v>
      </c>
      <c r="BF25" s="1">
        <f t="shared" si="9"/>
        <v>0</v>
      </c>
      <c r="BG25" s="210" t="str">
        <f>IF(AND(C25="Skema 1",B25="ma"),Skemaoplysninger!$E$30,"")</f>
        <v/>
      </c>
      <c r="BH25" s="210" t="str">
        <f>IF(AND(C25="Skema 1",B25="ti"),Skemaoplysninger!$G$30,"")</f>
        <v/>
      </c>
      <c r="BI25" s="210" t="str">
        <f>IF(AND(C25="Skema 1",B25="on"),Skemaoplysninger!$I$30,"")</f>
        <v/>
      </c>
      <c r="BJ25" s="210" t="str">
        <f>IF(AND(C25="Skema 1",B25="to"),Skemaoplysninger!$K$30,"")</f>
        <v/>
      </c>
      <c r="BK25" s="210" t="str">
        <f>IF(AND(C25="Skema 1",B25="fr"),Skemaoplysninger!$M$30,"")</f>
        <v/>
      </c>
      <c r="BL25" s="210">
        <f>IF(AND(C25="Skema 2",B25="ma"),Skemaoplysninger!$S$30,"")</f>
        <v>0.14583333333333331</v>
      </c>
      <c r="BM25" s="210" t="str">
        <f>IF(AND(C25="Skema 2",B25="ti"),Skemaoplysninger!$U$30,"")</f>
        <v/>
      </c>
      <c r="BN25" s="210" t="str">
        <f>IF(AND(C25="Skema 2",B25="on"),Skemaoplysninger!$W$30,"")</f>
        <v/>
      </c>
      <c r="BO25" s="210" t="str">
        <f>IF(AND(C25="Skema 2",B25="to"),Skemaoplysninger!$Y$30,"")</f>
        <v/>
      </c>
      <c r="BP25" s="210" t="str">
        <f>IF(AND(C25="Skema 2",B25="fr"),Skemaoplysninger!$AA$30,"")</f>
        <v/>
      </c>
      <c r="BQ25" s="210" t="str">
        <f>IF(AND(C25="Skema 3",B25="ma"),Skemaoplysninger!$AG$30,"")</f>
        <v/>
      </c>
      <c r="BR25" s="210" t="str">
        <f>IF(AND(C25="Skema 3",B25="ti"),Skemaoplysninger!$AI$30,"")</f>
        <v/>
      </c>
      <c r="BS25" s="210" t="str">
        <f>IF(AND(C25="Skema 3",B25="on"),Skemaoplysninger!$AK$30,"")</f>
        <v/>
      </c>
      <c r="BT25" s="210" t="str">
        <f>IF(AND(C25="Skema 3",B25="to"),Skemaoplysninger!$AM$30,"")</f>
        <v/>
      </c>
      <c r="BU25" s="210" t="str">
        <f>IF(AND(C25="Skema 3",B25="fr"),Skemaoplysninger!$AO$30,"")</f>
        <v/>
      </c>
      <c r="BV25" s="210" t="str">
        <f>IF(AND(C25="Skema 4",B25="ma"),Skemaoplysninger!$AU$30,"")</f>
        <v/>
      </c>
      <c r="BW25" s="210" t="str">
        <f>IF(AND(C25="Skema 4",B25="ti"),Skemaoplysninger!$AW$30,"")</f>
        <v/>
      </c>
      <c r="BX25" s="210" t="str">
        <f>IF(AND(C25="Skema 4",B25="on"),Skemaoplysninger!$AY$30,"")</f>
        <v/>
      </c>
      <c r="BY25" s="210" t="str">
        <f>IF(AND(C25="Skema 4",B25="to"),Skemaoplysninger!$BA$30,"")</f>
        <v/>
      </c>
      <c r="BZ25" s="210" t="str">
        <f>IF(AND(C25="Skema 4",B25="fr"),Skemaoplysninger!$BC$30,"")</f>
        <v/>
      </c>
      <c r="CA25" s="1">
        <f t="shared" si="25"/>
        <v>3.4999999999999996</v>
      </c>
      <c r="CB25" s="1">
        <f t="shared" si="10"/>
        <v>0</v>
      </c>
      <c r="CC25" s="1">
        <f t="shared" si="11"/>
        <v>0</v>
      </c>
      <c r="CD25" s="210" t="str">
        <f>IF(AND(C25="Skema 1",B25="ma"),Skemaoplysninger!$E$31,"")</f>
        <v/>
      </c>
      <c r="CE25" s="210" t="str">
        <f>IF(AND(C25="Skema 1",B25="ti"),Skemaoplysninger!$G$31,"")</f>
        <v/>
      </c>
      <c r="CF25" s="210" t="str">
        <f>IF(AND(C25="Skema 1",B25="on"),Skemaoplysninger!$I$31,"")</f>
        <v/>
      </c>
      <c r="CG25" s="210" t="str">
        <f>IF(AND(C25="Skema 1",B25="to"),Skemaoplysninger!$K$31,"")</f>
        <v/>
      </c>
      <c r="CH25" s="210" t="str">
        <f>IF(AND(C25="Skema 1",B25="fr"),Skemaoplysninger!$M$31,"")</f>
        <v/>
      </c>
      <c r="CI25" s="210">
        <f>IF(AND(C25="Skema 2",B25="ma"),Skemaoplysninger!$S$31,"")</f>
        <v>4.1666666666666671E-2</v>
      </c>
      <c r="CJ25" s="210" t="str">
        <f>IF(AND(C25="Skema 2",B25="ti"),Skemaoplysninger!$U$31,"")</f>
        <v/>
      </c>
      <c r="CK25" s="210" t="str">
        <f>IF(AND(C25="Skema 2",B25="on"),Skemaoplysninger!$W$31,"")</f>
        <v/>
      </c>
      <c r="CL25" s="210" t="str">
        <f>IF(AND(C25="Skema 2",B25="to"),Skemaoplysninger!$Y$31,"")</f>
        <v/>
      </c>
      <c r="CM25" s="210" t="str">
        <f>IF(AND(C25="Skema 2",B25="fr"),Skemaoplysninger!$AA$31,"")</f>
        <v/>
      </c>
      <c r="CN25" s="210" t="str">
        <f>IF(AND(C25="Skema 3",B25="ma"),Skemaoplysninger!$AG$31,"")</f>
        <v/>
      </c>
      <c r="CO25" s="210" t="str">
        <f>IF(AND(C25="Skema 3",B25="ti"),Skemaoplysninger!$AI$31,"")</f>
        <v/>
      </c>
      <c r="CP25" s="210" t="str">
        <f>IF(AND(C25="Skema 3",B25="on"),Skemaoplysninger!$AK$31,"")</f>
        <v/>
      </c>
      <c r="CQ25" s="210" t="str">
        <f>IF(AND(C25="Skema 3",B25="to"),Skemaoplysninger!$AM$31,"")</f>
        <v/>
      </c>
      <c r="CR25" s="210" t="str">
        <f>IF(AND(C25="Skema 3",B25="fr"),Skemaoplysninger!$AO$31,"")</f>
        <v/>
      </c>
      <c r="CS25" s="210" t="str">
        <f>IF(AND(C25="Skema 4",B25="ma"),Skemaoplysninger!$AU$31,"")</f>
        <v/>
      </c>
      <c r="CT25" s="210" t="str">
        <f>IF(AND(C25="Skema 4",B25="ti"),Skemaoplysninger!$AW$31,"")</f>
        <v/>
      </c>
      <c r="CU25" s="210" t="str">
        <f>IF(AND(C25="Skema 4",B25="on"),Skemaoplysninger!$AY$31,"")</f>
        <v/>
      </c>
      <c r="CV25" s="210" t="str">
        <f>IF(AND(C25="Skema 4",B25="to"),Skemaoplysninger!$BA$31,"")</f>
        <v/>
      </c>
      <c r="CW25" s="210" t="str">
        <f>IF(AND(C25="Skema 4",B25="fr"),Skemaoplysninger!$BC$31,"")</f>
        <v/>
      </c>
      <c r="CX25" s="249">
        <f>IF(Stamoplysninger!$H$29="NEJ",SUM(CD25:CW25)*24+CB25+CC25,0)</f>
        <v>1</v>
      </c>
      <c r="CY25" s="249">
        <f>IF(C25="Skema 1",Stamoplysninger!$H$30/200,0)</f>
        <v>0</v>
      </c>
      <c r="CZ25" s="249">
        <f>IF(C25="Skema 2",Stamoplysninger!$H$30/200,0)</f>
        <v>0</v>
      </c>
      <c r="DA25" s="249">
        <f>IF(C25="Skema 3",Stamoplysninger!$H$30/200,0)</f>
        <v>0</v>
      </c>
      <c r="DB25" s="249">
        <f>IF(C25="Skema 4",Stamoplysninger!$H$30/200,0)</f>
        <v>0</v>
      </c>
      <c r="DC25" s="249">
        <f>IF(C25="fagdag",Stamoplysninger!$H$30/200,0)</f>
        <v>0</v>
      </c>
      <c r="DD25" s="249">
        <f>IF(C25="emnedag",Stamoplysninger!$H$30/200,0)</f>
        <v>0</v>
      </c>
      <c r="DE25" s="249">
        <f>IF(C25="lejrskole",Stamoplysninger!$H$30/200,0)</f>
        <v>0</v>
      </c>
      <c r="DF25" s="249">
        <f>IF(C25="ekskursion",Stamoplysninger!$H$30/200,0)</f>
        <v>0</v>
      </c>
      <c r="DG25" s="249">
        <f t="shared" si="26"/>
        <v>0</v>
      </c>
      <c r="DH25" t="str">
        <f t="shared" si="27"/>
        <v/>
      </c>
      <c r="DI25">
        <f t="shared" si="28"/>
        <v>0</v>
      </c>
      <c r="DJ25">
        <f t="shared" si="29"/>
        <v>0</v>
      </c>
      <c r="DK25" t="str">
        <f t="shared" si="12"/>
        <v/>
      </c>
      <c r="DL25" t="str">
        <f t="shared" si="12"/>
        <v/>
      </c>
      <c r="DM25" t="str">
        <f t="shared" si="12"/>
        <v/>
      </c>
      <c r="DN25" t="str">
        <f t="shared" si="30"/>
        <v/>
      </c>
      <c r="DO25" s="652">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71">
        <f>IF(AND(Stamoplysninger!$B$22="Ulempetillæg udbetales med 25% af nettotimelønnen.",C25="ikke relevant"),(R25)/4,0)</f>
        <v>0</v>
      </c>
      <c r="DT25" s="671">
        <f>IF(AND(AND(Stamoplysninger!$B$22="Ulempetillæg udbetales med 25% af nettotimelønnen.",I25="X",C25="Ikke relevant")),K25/4,0)</f>
        <v>0</v>
      </c>
      <c r="DU25" s="671">
        <f>IF(AND(AND(Stamoplysninger!$B$22="Ulempetillæg udbetales med 25% af nettotimelønnen.",C25="ikke relevant",U25="X")),(X25/4),0)</f>
        <v>0</v>
      </c>
      <c r="DV25" s="672">
        <f>IF(AND(AND(AND(Stamoplysninger!$B$22="Ulempetillæg udbetales med 25% af nettotimelønnen.",I25="X",C25="Ikke relevant",S25="X"))),V25/4,0)</f>
        <v>0</v>
      </c>
      <c r="DW25" s="652"/>
      <c r="DZ25" s="671"/>
      <c r="EA25" s="671"/>
      <c r="EB25" s="672"/>
      <c r="EC25" s="652">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71">
        <f>IF(AND(Stamoplysninger!$B$22="Ulempetillæg afspadseres med 25%(Kræver en aftale imellem ledelsen og den ansatte)",C25="ikke relevant"),(R25)/4,0)</f>
        <v>0</v>
      </c>
      <c r="EH25" s="671">
        <f>IF(AND(AND(Stamoplysninger!$B$22="Ulempetillæg afspadseres med 25%(Kræver en aftale imellem ledelsen og den ansatte)",I25="X",C25="Ikke relevant")),K25/4,0)</f>
        <v>0</v>
      </c>
      <c r="EI25" s="671">
        <f>IF(AND(AND(Stamoplysninger!$B$22="Ulempetillæg afspadseres med 25%(Kræver en aftale imellem ledelsen og den ansatte)",U25="X",C25="Ikke relevant")),X25/4,0)</f>
        <v>0</v>
      </c>
      <c r="EJ25" s="671">
        <f>IF(AND(AND(AND(Stamoplysninger!$B$22="Ulempetillæg afspadseres med 25%(Kræver en aftale imellem ledelsen og den ansatte)",I25="X",C25="Ikke relevant",S25="X"))),V25/4,0)</f>
        <v>0</v>
      </c>
      <c r="EK25" s="283">
        <f>IF(AND(Stamoplysninger!$B$26="Weekendtimer og weekendtillæg afspadseres.",I25="X"),K25*1.5,0)</f>
        <v>0</v>
      </c>
      <c r="EL25" s="251">
        <f>IF(AND(AND(Stamoplysninger!$B$26="Weekendtimer og weekendtillæg afspadseres.",I25="X",S25="X")),V25*1.5,0)</f>
        <v>0</v>
      </c>
      <c r="EM25" s="674">
        <f>IF(AND(AND(Stamoplysninger!$B$26="Weekendtimer og weekendtillæg afspadseres.",I25="X",C25="ikke relevant")),K25*1.5,0)</f>
        <v>0</v>
      </c>
      <c r="EN25" s="675">
        <f>IF(AND(AND(AND(Stamoplysninger!$B$26="Weekendtimer og weekendtillæg afspadseres.",I25="X",C25="ikke relevant",S25="X"))),(V25*1.5),0)</f>
        <v>0</v>
      </c>
      <c r="EO25" s="283">
        <f>IF(AND(Stamoplysninger!$B$26="Weekendtimer og weekendtillæg udbetales.",I25="X"),K25*1.5,0)</f>
        <v>0</v>
      </c>
      <c r="EP25" s="251">
        <f>IF(AND(AND(Stamoplysninger!$B$26="Weekendtimer og weekendtillæg udbetales.",I25="X",S25="X")),V25*1.5,0)</f>
        <v>0</v>
      </c>
      <c r="EQ25" s="674">
        <f>IF(AND(AND(Stamoplysninger!$B$26="Weekendtimer og weekendtillæg udbetales.",I25="X",C25="ikke relevant")),K25*1.5,0)</f>
        <v>0</v>
      </c>
      <c r="ER25" s="675">
        <f>IF(AND(AND(AND(Stamoplysninger!$B$26="Weekendtimer og weekendtillæg udbetales.",I25="X",C25="ikke relevant",S25="X"))),(V25*1.5),0)</f>
        <v>0</v>
      </c>
      <c r="ES25" s="283">
        <f>IF(AND(Stamoplysninger!$B$26="Der er indgået lokalaftale omkring weekendtimer.(Kræver aftale med TR/FSL) Weekendtillæg afspadseres.",I25="X"),K25*0.5,0)</f>
        <v>0</v>
      </c>
      <c r="ET25" s="251">
        <f>IF(AND(AND(Stamoplysninger!$B$26="Der er indgået lokalaftale omkring weekendtimer.(Kræver aftale med TR/FSL) Weekendtillæg afspadseres.",I25="X",S25="X")),V25*0.5,0)</f>
        <v>0</v>
      </c>
      <c r="EU25" s="674">
        <f>IF(AND(AND(Stamoplysninger!$B$26="Der er indgået lokalaftale omkring weekendtimer.(Kræver aftale med TR/FSL) Weekendtillæg afspadseres.",I25="X",C25="ikke relevant")),K25*0.5,0)</f>
        <v>0</v>
      </c>
      <c r="EV25" s="675">
        <f>IF(AND(AND(AND(Stamoplysninger!$B$26="Der er indgået lokalaftale omkring weekendtimer.(Kræver aftale med TR/FSL) Weekendtillæg afspadseres.",I25="X",C25="ikke relevant",S25="X"))),(V25*0.5),0)</f>
        <v>0</v>
      </c>
      <c r="EW25" s="283">
        <f>IF(AND(Stamoplysninger!$B$26="Der er indgået lokalaftale omkring weekendtimer(Kræver aftale med TR/FSL). Weekendtillæg udbetales.",I25="X"),K25*0.5,0)</f>
        <v>0</v>
      </c>
      <c r="EX25" s="251">
        <f>IF(AND(AND(Stamoplysninger!$B$26="Der er indgået lokalaftale omkring weekendtimer(Kræver aftale med TR/FSL). Weekendtillæg udbetales.",I25="X",S25="X")),V25*0.5,0)</f>
        <v>0</v>
      </c>
      <c r="EY25" s="674">
        <f>IF(AND(AND(Stamoplysninger!$B$26="Der er indgået lokalaftale omkring weekendtimer(Kræver aftale med TR/FSL). Weekendtillæg udbetales.",I25="X",C25="ikke relevant")),K25*0.5,0)</f>
        <v>0</v>
      </c>
      <c r="EZ25" s="675">
        <f>IF(AND(AND(AND(Stamoplysninger!$B$26="Der er indgået lokalaftale omkring weekendtimer(Kræver aftale med TR/FSL). Weekendtillæg udbetales.",I25="X",C25="ikke relevant",S25="X"))),(V25*0.5),0)</f>
        <v>0</v>
      </c>
      <c r="FA25" s="283">
        <f>IF(AND(Stamoplysninger!$B$26="Der er indgået lokalaftale omkring weekendtillæg(Kræver aftale med TR/FSL). Weekendtimerne afspadseres.",I25="X"),K25,0)</f>
        <v>0</v>
      </c>
      <c r="FB25" s="251">
        <f>IF(AND(AND(Stamoplysninger!$B$26="Der er indgået lokalaftale omkring weekendtillæg(Kræver aftale med TR/FSL). Weekendtimerne afspadseres.",I25="X",S25="X")),V25,0)</f>
        <v>0</v>
      </c>
      <c r="FC25" s="674">
        <f>IF(AND(AND(Stamoplysninger!$B$26="Der er indgået lokalaftale omkring weekendtillæg(Kræver aftale med TR/FSL). Weekendtimerne afspadseres..",I25="X",C25="ikke relevant")),K25,0)</f>
        <v>0</v>
      </c>
      <c r="FD25" s="675">
        <f>IF(AND(AND(AND(Stamoplysninger!$B$26="Der er indgået lokalaftale omkring weekendtillæg(Kræver aftale med TR/FSL). Weekendtimerne afspadseres.",I25="X",C25="ikke relevant",S25="X"))),(V25),0)</f>
        <v>0</v>
      </c>
      <c r="FE25" s="283">
        <f>IF(AND(Stamoplysninger!$B$26="Der er indgået lokalaftale omkring weekendtillæg(Kræver aftale med TR/FSL). Weekendtimerne udbetales.",I25="X"),K25,0)</f>
        <v>0</v>
      </c>
      <c r="FF25" s="251">
        <f>IF(AND(AND(Stamoplysninger!$B$26="Der er indgået lokalaftale omkring weekendtillæg(Kræver aftale med TR/FSL). Weekendtimerne udbetales.",I25="X",S25="X")),V25,0)</f>
        <v>0</v>
      </c>
      <c r="FG25" s="674">
        <f>IF(AND(AND(Stamoplysninger!$B$26="Der er indgået lokalaftale omkring weekendtillæg(Kræver aftale med TR/FSL). Weekendtimerne udbetales.",I25="X",C25="ikke relevant")),K25,0)</f>
        <v>0</v>
      </c>
      <c r="FH25" s="675">
        <f>IF(AND(AND(AND(Stamoplysninger!$B$26="Der er indgået lokalaftale omkring weekendtillæg(Kræver aftale med TR/FSL). Weekendtimerne udbetales.",I25="X",C25="ikke relevant",S25="X"))),(V25),0)</f>
        <v>0</v>
      </c>
      <c r="FI25" s="283">
        <f>IF(AND(Stamoplysninger!$B$26="Weekendtimer og weekendtillæg afspadseres.",I25="X"),K25,0)</f>
        <v>0</v>
      </c>
      <c r="FJ25" s="251">
        <f>IF(AND(Stamoplysninger!$B$26="Weekendtimer og weekendtillæg afspadseres.",Y25="X"),(AA25+AL25)/2,0)</f>
        <v>0</v>
      </c>
      <c r="FK25" s="674">
        <f>IF(AND(AND(Stamoplysninger!$B$26="Weekendtimer og weekendtillæg afspadseres.",I25="X",C25="ikke relevant")),K25,0)</f>
        <v>0</v>
      </c>
      <c r="FL25" s="675">
        <f>IF(AND(AND(Stamoplysninger!$B$26="Weekendtimer og weekendtillæg afspadseres.",Y25="X",S25="ikke relevant")),(AA25+AL25)/2,0)</f>
        <v>0</v>
      </c>
      <c r="FM25" s="283">
        <f>IF(AND(Stamoplysninger!$B$26="Der er indgået lokalaftale omkring weekendtillæg(Kræver aftale med TR/FSL). Weekendtimerne afspadseres.",I25="X"),K25,0)</f>
        <v>0</v>
      </c>
      <c r="FN25" s="674">
        <f>IF(AND(AND(Stamoplysninger!$B$26="Der er indgået lokalaftale omkring weekendtillæg(Kræver aftale med TR/FSL). Weekendtimerne afspadseres.",I25="X",C25="ikke relevant")),K25,0)</f>
        <v>0</v>
      </c>
      <c r="FO25" s="283">
        <f>IF(AND(Stamoplysninger!$B$26="Weekendtimer og weekendtillæg udbetales.",I25="X"),K25,0)</f>
        <v>0</v>
      </c>
      <c r="FP25" s="251">
        <f>IF(AND(Stamoplysninger!$B$26="Weekendtimer og weekendtillæg udbetales.",AA25="X"),(AC25+AN25)/2,0)</f>
        <v>0</v>
      </c>
      <c r="FQ25" s="674">
        <f>IF(AND(AND(Stamoplysninger!$B$26="Weekendtimer og weekendtillæg udbetales.",I25="X",C25="ikke relevant")),K25,0)</f>
        <v>0</v>
      </c>
      <c r="FR25" s="688">
        <f>IF(AND(AND(Stamoplysninger!$B$26="Weekendtimer og weekendtillæg udbetales.",AA25="X",U25="ikke relevant")),(AC25+AN25)/2,0)</f>
        <v>0</v>
      </c>
      <c r="FS25" s="283">
        <f t="shared" si="13"/>
        <v>0</v>
      </c>
      <c r="FT25" s="658">
        <f t="shared" si="14"/>
        <v>0</v>
      </c>
      <c r="FU25">
        <f t="shared" si="15"/>
        <v>0</v>
      </c>
      <c r="FV25" s="283">
        <f>IF(AND(Stamoplysninger!$B$26="Der er indgået lokalaftale omkring weekendtimer.(Kræver aftale med TR/FSL) Weekendtillæg afspadseres.",I25="X"),K25,0)</f>
        <v>0</v>
      </c>
      <c r="FW25" s="674">
        <f>IF(AND(AND(Stamoplysninger!$B$26="Der er indgået lokalaftale omkring weekendtimer.(Kræver aftale med TR/FSL) Weekendtillæg afspadseres.",I25="X",C25="ikke relevant")),K25,0)</f>
        <v>0</v>
      </c>
      <c r="FX25" s="283">
        <f>IF(AND(Stamoplysninger!$B$26="Der er indgået lokalaftale omkring weekendtimer(Kræver aftale med TR/FSL). Weekendtillæg udbetales.",I25="X"),K25,0)</f>
        <v>0</v>
      </c>
      <c r="FY25" s="674">
        <f>IF(AND(AND(Stamoplysninger!$B$26="Der er indgået lokalaftale omkring weekendtimer(Kræver aftale med TR/FSL). Weekendtillæg udbetales.",I25="X",C25="ikke relevant")),K25,0)</f>
        <v>0</v>
      </c>
      <c r="FZ25" s="283">
        <f>IF(AND(Stamoplysninger!$B$26="Der er indgået lokalaftale omkring weekendtillæg(Kræver aftale med TR/FSL). Weekendtimerne udbetales.",I25="X"),K25,0)</f>
        <v>0</v>
      </c>
      <c r="GA25" s="674">
        <f>IF(AND(AND(Stamoplysninger!$B$26="Der er indgået lokalaftale omkring weekendtillæg(Kræver aftale med TR/FSL). Weekendtimerne udbetales.",I25="X",C25="ikke relevant")),K25,0)</f>
        <v>0</v>
      </c>
      <c r="GB25" s="283">
        <f>IF(AND(Stamoplysninger!$B$26="Der er indgået lokalaftale omkring weekendtimer og weekendtillæg.(Kræver aftale med TR/FSL).",I25="X"),K25,0)</f>
        <v>0</v>
      </c>
      <c r="GC25" s="674">
        <f>IF(AND(AND(Stamoplysninger!$B$26="Der er indgået lokalaftale omkring weekendtimer og weekendtillæg.(Kræver aftale med TR/FSL).",I25="X",C25="ikke relevant")),K25,0)</f>
        <v>0</v>
      </c>
    </row>
    <row r="26" spans="1:185">
      <c r="A26" s="245">
        <f t="shared" si="16"/>
        <v>18</v>
      </c>
      <c r="B26" s="128" t="str">
        <f t="shared" si="0"/>
        <v>ti</v>
      </c>
      <c r="C26" s="129" t="s">
        <v>207</v>
      </c>
      <c r="D26" s="130" t="str">
        <f t="shared" si="1"/>
        <v/>
      </c>
      <c r="E26" s="917"/>
      <c r="F26" s="918"/>
      <c r="G26" s="919"/>
      <c r="H26" s="298"/>
      <c r="I26" s="527"/>
      <c r="J26" s="413"/>
      <c r="K26" s="380"/>
      <c r="L26" s="380"/>
      <c r="M26" s="380"/>
      <c r="N26" s="318">
        <f t="shared" si="17"/>
        <v>8.5</v>
      </c>
      <c r="O26" s="318">
        <f t="shared" si="18"/>
        <v>3.75</v>
      </c>
      <c r="P26" s="318">
        <f>IF(Stamoplysninger!$H$29="JA",Februar!DG26,CX26)</f>
        <v>1.5</v>
      </c>
      <c r="Q26" s="318">
        <f t="shared" si="19"/>
        <v>3.25</v>
      </c>
      <c r="R26" s="319"/>
      <c r="S26" s="324"/>
      <c r="T26" s="325"/>
      <c r="U26" s="325"/>
      <c r="V26" s="435"/>
      <c r="W26" s="435"/>
      <c r="X26" s="644"/>
      <c r="Y26">
        <f t="shared" si="20"/>
        <v>0</v>
      </c>
      <c r="Z26" s="437">
        <f t="shared" si="21"/>
        <v>0</v>
      </c>
      <c r="AA26" s="1">
        <f t="shared" si="22"/>
        <v>0</v>
      </c>
      <c r="AB26" s="1">
        <f t="shared" si="2"/>
        <v>0</v>
      </c>
      <c r="AC26" s="1">
        <f t="shared" si="3"/>
        <v>0</v>
      </c>
      <c r="AD26" s="1">
        <f t="shared" si="4"/>
        <v>0</v>
      </c>
      <c r="AE26" s="1">
        <f t="shared" si="5"/>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f>IF(AND(C26="Skema 2",B26="ti"),Arbejdstidsoversigt!$E$82,"")</f>
        <v>8.5</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8.5</v>
      </c>
      <c r="BB26" s="229">
        <f t="shared" si="6"/>
        <v>0</v>
      </c>
      <c r="BC26" s="1">
        <f t="shared" si="24"/>
        <v>0</v>
      </c>
      <c r="BD26" s="1">
        <f t="shared" si="7"/>
        <v>0</v>
      </c>
      <c r="BE26" s="1">
        <f t="shared" si="8"/>
        <v>0</v>
      </c>
      <c r="BF26" s="1">
        <f t="shared" si="9"/>
        <v>0</v>
      </c>
      <c r="BG26" s="210" t="str">
        <f>IF(AND(C26="Skema 1",B26="ma"),Skemaoplysninger!$E$30,"")</f>
        <v/>
      </c>
      <c r="BH26" s="210" t="str">
        <f>IF(AND(C26="Skema 1",B26="ti"),Skemaoplysninger!$G$30,"")</f>
        <v/>
      </c>
      <c r="BI26" s="210" t="str">
        <f>IF(AND(C26="Skema 1",B26="on"),Skemaoplysninger!$I$30,"")</f>
        <v/>
      </c>
      <c r="BJ26" s="210" t="str">
        <f>IF(AND(C26="Skema 1",B26="to"),Skemaoplysninger!$K$30,"")</f>
        <v/>
      </c>
      <c r="BK26" s="210" t="str">
        <f>IF(AND(C26="Skema 1",B26="fr"),Skemaoplysninger!$M$30,"")</f>
        <v/>
      </c>
      <c r="BL26" s="210" t="str">
        <f>IF(AND(C26="Skema 2",B26="ma"),Skemaoplysninger!$S$30,"")</f>
        <v/>
      </c>
      <c r="BM26" s="210">
        <f>IF(AND(C26="Skema 2",B26="ti"),Skemaoplysninger!$U$30,"")</f>
        <v>0.15625</v>
      </c>
      <c r="BN26" s="210" t="str">
        <f>IF(AND(C26="Skema 2",B26="on"),Skemaoplysninger!$W$30,"")</f>
        <v/>
      </c>
      <c r="BO26" s="210" t="str">
        <f>IF(AND(C26="Skema 2",B26="to"),Skemaoplysninger!$Y$30,"")</f>
        <v/>
      </c>
      <c r="BP26" s="210" t="str">
        <f>IF(AND(C26="Skema 2",B26="fr"),Skemaoplysninger!$AA$30,"")</f>
        <v/>
      </c>
      <c r="BQ26" s="210" t="str">
        <f>IF(AND(C26="Skema 3",B26="ma"),Skemaoplysninger!$AG$30,"")</f>
        <v/>
      </c>
      <c r="BR26" s="210" t="str">
        <f>IF(AND(C26="Skema 3",B26="ti"),Skemaoplysninger!$AI$30,"")</f>
        <v/>
      </c>
      <c r="BS26" s="210" t="str">
        <f>IF(AND(C26="Skema 3",B26="on"),Skemaoplysninger!$AK$30,"")</f>
        <v/>
      </c>
      <c r="BT26" s="210" t="str">
        <f>IF(AND(C26="Skema 3",B26="to"),Skemaoplysninger!$AM$30,"")</f>
        <v/>
      </c>
      <c r="BU26" s="210" t="str">
        <f>IF(AND(C26="Skema 3",B26="fr"),Skemaoplysninger!$AO$30,"")</f>
        <v/>
      </c>
      <c r="BV26" s="210" t="str">
        <f>IF(AND(C26="Skema 4",B26="ma"),Skemaoplysninger!$AU$30,"")</f>
        <v/>
      </c>
      <c r="BW26" s="210" t="str">
        <f>IF(AND(C26="Skema 4",B26="ti"),Skemaoplysninger!$AW$30,"")</f>
        <v/>
      </c>
      <c r="BX26" s="210" t="str">
        <f>IF(AND(C26="Skema 4",B26="on"),Skemaoplysninger!$AY$30,"")</f>
        <v/>
      </c>
      <c r="BY26" s="210" t="str">
        <f>IF(AND(C26="Skema 4",B26="to"),Skemaoplysninger!$BA$30,"")</f>
        <v/>
      </c>
      <c r="BZ26" s="210" t="str">
        <f>IF(AND(C26="Skema 4",B26="fr"),Skemaoplysninger!$BC$30,"")</f>
        <v/>
      </c>
      <c r="CA26" s="1">
        <f t="shared" si="25"/>
        <v>3.75</v>
      </c>
      <c r="CB26" s="1">
        <f t="shared" si="10"/>
        <v>0</v>
      </c>
      <c r="CC26" s="1">
        <f t="shared" si="11"/>
        <v>0</v>
      </c>
      <c r="CD26" s="210" t="str">
        <f>IF(AND(C26="Skema 1",B26="ma"),Skemaoplysninger!$E$31,"")</f>
        <v/>
      </c>
      <c r="CE26" s="210" t="str">
        <f>IF(AND(C26="Skema 1",B26="ti"),Skemaoplysninger!$G$31,"")</f>
        <v/>
      </c>
      <c r="CF26" s="210" t="str">
        <f>IF(AND(C26="Skema 1",B26="on"),Skemaoplysninger!$I$31,"")</f>
        <v/>
      </c>
      <c r="CG26" s="210" t="str">
        <f>IF(AND(C26="Skema 1",B26="to"),Skemaoplysninger!$K$31,"")</f>
        <v/>
      </c>
      <c r="CH26" s="210" t="str">
        <f>IF(AND(C26="Skema 1",B26="fr"),Skemaoplysninger!$M$31,"")</f>
        <v/>
      </c>
      <c r="CI26" s="210" t="str">
        <f>IF(AND(C26="Skema 2",B26="ma"),Skemaoplysninger!$S$31,"")</f>
        <v/>
      </c>
      <c r="CJ26" s="210">
        <f>IF(AND(C26="Skema 2",B26="ti"),Skemaoplysninger!$U$31,"")</f>
        <v>6.25E-2</v>
      </c>
      <c r="CK26" s="210" t="str">
        <f>IF(AND(C26="Skema 2",B26="on"),Skemaoplysninger!$W$31,"")</f>
        <v/>
      </c>
      <c r="CL26" s="210" t="str">
        <f>IF(AND(C26="Skema 2",B26="to"),Skemaoplysninger!$Y$31,"")</f>
        <v/>
      </c>
      <c r="CM26" s="210" t="str">
        <f>IF(AND(C26="Skema 2",B26="fr"),Skemaoplysninger!$AA$31,"")</f>
        <v/>
      </c>
      <c r="CN26" s="210" t="str">
        <f>IF(AND(C26="Skema 3",B26="ma"),Skemaoplysninger!$AG$31,"")</f>
        <v/>
      </c>
      <c r="CO26" s="210" t="str">
        <f>IF(AND(C26="Skema 3",B26="ti"),Skemaoplysninger!$AI$31,"")</f>
        <v/>
      </c>
      <c r="CP26" s="210" t="str">
        <f>IF(AND(C26="Skema 3",B26="on"),Skemaoplysninger!$AK$31,"")</f>
        <v/>
      </c>
      <c r="CQ26" s="210" t="str">
        <f>IF(AND(C26="Skema 3",B26="to"),Skemaoplysninger!$AM$31,"")</f>
        <v/>
      </c>
      <c r="CR26" s="210" t="str">
        <f>IF(AND(C26="Skema 3",B26="fr"),Skemaoplysninger!$AO$31,"")</f>
        <v/>
      </c>
      <c r="CS26" s="210" t="str">
        <f>IF(AND(C26="Skema 4",B26="ma"),Skemaoplysninger!$AU$31,"")</f>
        <v/>
      </c>
      <c r="CT26" s="210" t="str">
        <f>IF(AND(C26="Skema 4",B26="ti"),Skemaoplysninger!$AW$31,"")</f>
        <v/>
      </c>
      <c r="CU26" s="210" t="str">
        <f>IF(AND(C26="Skema 4",B26="on"),Skemaoplysninger!$AY$31,"")</f>
        <v/>
      </c>
      <c r="CV26" s="210" t="str">
        <f>IF(AND(C26="Skema 4",B26="to"),Skemaoplysninger!$BA$31,"")</f>
        <v/>
      </c>
      <c r="CW26" s="210" t="str">
        <f>IF(AND(C26="Skema 4",B26="fr"),Skemaoplysninger!$BC$31,"")</f>
        <v/>
      </c>
      <c r="CX26" s="249">
        <f>IF(Stamoplysninger!$H$29="NEJ",SUM(CD26:CW26)*24+CB26+CC26,0)</f>
        <v>1.5</v>
      </c>
      <c r="CY26" s="249">
        <f>IF(C26="Skema 1",Stamoplysninger!$H$30/200,0)</f>
        <v>0</v>
      </c>
      <c r="CZ26" s="249">
        <f>IF(C26="Skema 2",Stamoplysninger!$H$30/200,0)</f>
        <v>0</v>
      </c>
      <c r="DA26" s="249">
        <f>IF(C26="Skema 3",Stamoplysninger!$H$30/200,0)</f>
        <v>0</v>
      </c>
      <c r="DB26" s="249">
        <f>IF(C26="Skema 4",Stamoplysninger!$H$30/200,0)</f>
        <v>0</v>
      </c>
      <c r="DC26" s="249">
        <f>IF(C26="fagdag",Stamoplysninger!$H$30/200,0)</f>
        <v>0</v>
      </c>
      <c r="DD26" s="249">
        <f>IF(C26="emnedag",Stamoplysninger!$H$30/200,0)</f>
        <v>0</v>
      </c>
      <c r="DE26" s="249">
        <f>IF(C26="lejrskole",Stamoplysninger!$H$30/200,0)</f>
        <v>0</v>
      </c>
      <c r="DF26" s="249">
        <f>IF(C26="ekskursion",Stamoplysninger!$H$30/200,0)</f>
        <v>0</v>
      </c>
      <c r="DG26" s="249">
        <f t="shared" si="26"/>
        <v>0</v>
      </c>
      <c r="DH26" t="str">
        <f t="shared" si="27"/>
        <v/>
      </c>
      <c r="DI26">
        <f t="shared" si="28"/>
        <v>0</v>
      </c>
      <c r="DJ26">
        <f t="shared" si="29"/>
        <v>0</v>
      </c>
      <c r="DK26" t="str">
        <f t="shared" si="12"/>
        <v/>
      </c>
      <c r="DL26" t="str">
        <f t="shared" si="12"/>
        <v/>
      </c>
      <c r="DM26" t="str">
        <f t="shared" si="12"/>
        <v/>
      </c>
      <c r="DN26" t="str">
        <f t="shared" si="30"/>
        <v/>
      </c>
      <c r="DO26" s="652">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71">
        <f>IF(AND(Stamoplysninger!$B$22="Ulempetillæg udbetales med 25% af nettotimelønnen.",C26="ikke relevant"),(R26)/4,0)</f>
        <v>0</v>
      </c>
      <c r="DT26" s="671">
        <f>IF(AND(AND(Stamoplysninger!$B$22="Ulempetillæg udbetales med 25% af nettotimelønnen.",I26="X",C26="Ikke relevant")),K26/4,0)</f>
        <v>0</v>
      </c>
      <c r="DU26" s="671">
        <f>IF(AND(AND(Stamoplysninger!$B$22="Ulempetillæg udbetales med 25% af nettotimelønnen.",C26="ikke relevant",U26="X")),(X26/4),0)</f>
        <v>0</v>
      </c>
      <c r="DV26" s="672">
        <f>IF(AND(AND(AND(Stamoplysninger!$B$22="Ulempetillæg udbetales med 25% af nettotimelønnen.",I26="X",C26="Ikke relevant",S26="X"))),V26/4,0)</f>
        <v>0</v>
      </c>
      <c r="DW26" s="652"/>
      <c r="DZ26" s="671"/>
      <c r="EA26" s="671"/>
      <c r="EB26" s="672"/>
      <c r="EC26" s="652">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71">
        <f>IF(AND(Stamoplysninger!$B$22="Ulempetillæg afspadseres med 25%(Kræver en aftale imellem ledelsen og den ansatte)",C26="ikke relevant"),(R26)/4,0)</f>
        <v>0</v>
      </c>
      <c r="EH26" s="671">
        <f>IF(AND(AND(Stamoplysninger!$B$22="Ulempetillæg afspadseres med 25%(Kræver en aftale imellem ledelsen og den ansatte)",I26="X",C26="Ikke relevant")),K26/4,0)</f>
        <v>0</v>
      </c>
      <c r="EI26" s="671">
        <f>IF(AND(AND(Stamoplysninger!$B$22="Ulempetillæg afspadseres med 25%(Kræver en aftale imellem ledelsen og den ansatte)",U26="X",C26="Ikke relevant")),X26/4,0)</f>
        <v>0</v>
      </c>
      <c r="EJ26" s="671">
        <f>IF(AND(AND(AND(Stamoplysninger!$B$22="Ulempetillæg afspadseres med 25%(Kræver en aftale imellem ledelsen og den ansatte)",I26="X",C26="Ikke relevant",S26="X"))),V26/4,0)</f>
        <v>0</v>
      </c>
      <c r="EK26" s="283">
        <f>IF(AND(Stamoplysninger!$B$26="Weekendtimer og weekendtillæg afspadseres.",I26="X"),K26*1.5,0)</f>
        <v>0</v>
      </c>
      <c r="EL26" s="251">
        <f>IF(AND(AND(Stamoplysninger!$B$26="Weekendtimer og weekendtillæg afspadseres.",I26="X",S26="X")),V26*1.5,0)</f>
        <v>0</v>
      </c>
      <c r="EM26" s="674">
        <f>IF(AND(AND(Stamoplysninger!$B$26="Weekendtimer og weekendtillæg afspadseres.",I26="X",C26="ikke relevant")),K26*1.5,0)</f>
        <v>0</v>
      </c>
      <c r="EN26" s="675">
        <f>IF(AND(AND(AND(Stamoplysninger!$B$26="Weekendtimer og weekendtillæg afspadseres.",I26="X",C26="ikke relevant",S26="X"))),(V26*1.5),0)</f>
        <v>0</v>
      </c>
      <c r="EO26" s="283">
        <f>IF(AND(Stamoplysninger!$B$26="Weekendtimer og weekendtillæg udbetales.",I26="X"),K26*1.5,0)</f>
        <v>0</v>
      </c>
      <c r="EP26" s="251">
        <f>IF(AND(AND(Stamoplysninger!$B$26="Weekendtimer og weekendtillæg udbetales.",I26="X",S26="X")),V26*1.5,0)</f>
        <v>0</v>
      </c>
      <c r="EQ26" s="674">
        <f>IF(AND(AND(Stamoplysninger!$B$26="Weekendtimer og weekendtillæg udbetales.",I26="X",C26="ikke relevant")),K26*1.5,0)</f>
        <v>0</v>
      </c>
      <c r="ER26" s="675">
        <f>IF(AND(AND(AND(Stamoplysninger!$B$26="Weekendtimer og weekendtillæg udbetales.",I26="X",C26="ikke relevant",S26="X"))),(V26*1.5),0)</f>
        <v>0</v>
      </c>
      <c r="ES26" s="283">
        <f>IF(AND(Stamoplysninger!$B$26="Der er indgået lokalaftale omkring weekendtimer.(Kræver aftale med TR/FSL) Weekendtillæg afspadseres.",I26="X"),K26*0.5,0)</f>
        <v>0</v>
      </c>
      <c r="ET26" s="251">
        <f>IF(AND(AND(Stamoplysninger!$B$26="Der er indgået lokalaftale omkring weekendtimer.(Kræver aftale med TR/FSL) Weekendtillæg afspadseres.",I26="X",S26="X")),V26*0.5,0)</f>
        <v>0</v>
      </c>
      <c r="EU26" s="674">
        <f>IF(AND(AND(Stamoplysninger!$B$26="Der er indgået lokalaftale omkring weekendtimer.(Kræver aftale med TR/FSL) Weekendtillæg afspadseres.",I26="X",C26="ikke relevant")),K26*0.5,0)</f>
        <v>0</v>
      </c>
      <c r="EV26" s="675">
        <f>IF(AND(AND(AND(Stamoplysninger!$B$26="Der er indgået lokalaftale omkring weekendtimer.(Kræver aftale med TR/FSL) Weekendtillæg afspadseres.",I26="X",C26="ikke relevant",S26="X"))),(V26*0.5),0)</f>
        <v>0</v>
      </c>
      <c r="EW26" s="283">
        <f>IF(AND(Stamoplysninger!$B$26="Der er indgået lokalaftale omkring weekendtimer(Kræver aftale med TR/FSL). Weekendtillæg udbetales.",I26="X"),K26*0.5,0)</f>
        <v>0</v>
      </c>
      <c r="EX26" s="251">
        <f>IF(AND(AND(Stamoplysninger!$B$26="Der er indgået lokalaftale omkring weekendtimer(Kræver aftale med TR/FSL). Weekendtillæg udbetales.",I26="X",S26="X")),V26*0.5,0)</f>
        <v>0</v>
      </c>
      <c r="EY26" s="674">
        <f>IF(AND(AND(Stamoplysninger!$B$26="Der er indgået lokalaftale omkring weekendtimer(Kræver aftale med TR/FSL). Weekendtillæg udbetales.",I26="X",C26="ikke relevant")),K26*0.5,0)</f>
        <v>0</v>
      </c>
      <c r="EZ26" s="675">
        <f>IF(AND(AND(AND(Stamoplysninger!$B$26="Der er indgået lokalaftale omkring weekendtimer(Kræver aftale med TR/FSL). Weekendtillæg udbetales.",I26="X",C26="ikke relevant",S26="X"))),(V26*0.5),0)</f>
        <v>0</v>
      </c>
      <c r="FA26" s="283">
        <f>IF(AND(Stamoplysninger!$B$26="Der er indgået lokalaftale omkring weekendtillæg(Kræver aftale med TR/FSL). Weekendtimerne afspadseres.",I26="X"),K26,0)</f>
        <v>0</v>
      </c>
      <c r="FB26" s="251">
        <f>IF(AND(AND(Stamoplysninger!$B$26="Der er indgået lokalaftale omkring weekendtillæg(Kræver aftale med TR/FSL). Weekendtimerne afspadseres.",I26="X",S26="X")),V26,0)</f>
        <v>0</v>
      </c>
      <c r="FC26" s="674">
        <f>IF(AND(AND(Stamoplysninger!$B$26="Der er indgået lokalaftale omkring weekendtillæg(Kræver aftale med TR/FSL). Weekendtimerne afspadseres..",I26="X",C26="ikke relevant")),K26,0)</f>
        <v>0</v>
      </c>
      <c r="FD26" s="675">
        <f>IF(AND(AND(AND(Stamoplysninger!$B$26="Der er indgået lokalaftale omkring weekendtillæg(Kræver aftale med TR/FSL). Weekendtimerne afspadseres.",I26="X",C26="ikke relevant",S26="X"))),(V26),0)</f>
        <v>0</v>
      </c>
      <c r="FE26" s="283">
        <f>IF(AND(Stamoplysninger!$B$26="Der er indgået lokalaftale omkring weekendtillæg(Kræver aftale med TR/FSL). Weekendtimerne udbetales.",I26="X"),K26,0)</f>
        <v>0</v>
      </c>
      <c r="FF26" s="251">
        <f>IF(AND(AND(Stamoplysninger!$B$26="Der er indgået lokalaftale omkring weekendtillæg(Kræver aftale med TR/FSL). Weekendtimerne udbetales.",I26="X",S26="X")),V26,0)</f>
        <v>0</v>
      </c>
      <c r="FG26" s="674">
        <f>IF(AND(AND(Stamoplysninger!$B$26="Der er indgået lokalaftale omkring weekendtillæg(Kræver aftale med TR/FSL). Weekendtimerne udbetales.",I26="X",C26="ikke relevant")),K26,0)</f>
        <v>0</v>
      </c>
      <c r="FH26" s="675">
        <f>IF(AND(AND(AND(Stamoplysninger!$B$26="Der er indgået lokalaftale omkring weekendtillæg(Kræver aftale med TR/FSL). Weekendtimerne udbetales.",I26="X",C26="ikke relevant",S26="X"))),(V26),0)</f>
        <v>0</v>
      </c>
      <c r="FI26" s="283">
        <f>IF(AND(Stamoplysninger!$B$26="Weekendtimer og weekendtillæg afspadseres.",I26="X"),K26,0)</f>
        <v>0</v>
      </c>
      <c r="FJ26" s="251">
        <f>IF(AND(Stamoplysninger!$B$26="Weekendtimer og weekendtillæg afspadseres.",Y26="X"),(AA26+AL26)/2,0)</f>
        <v>0</v>
      </c>
      <c r="FK26" s="674">
        <f>IF(AND(AND(Stamoplysninger!$B$26="Weekendtimer og weekendtillæg afspadseres.",I26="X",C26="ikke relevant")),K26,0)</f>
        <v>0</v>
      </c>
      <c r="FL26" s="675">
        <f>IF(AND(AND(Stamoplysninger!$B$26="Weekendtimer og weekendtillæg afspadseres.",Y26="X",S26="ikke relevant")),(AA26+AL26)/2,0)</f>
        <v>0</v>
      </c>
      <c r="FM26" s="283">
        <f>IF(AND(Stamoplysninger!$B$26="Der er indgået lokalaftale omkring weekendtillæg(Kræver aftale med TR/FSL). Weekendtimerne afspadseres.",I26="X"),K26,0)</f>
        <v>0</v>
      </c>
      <c r="FN26" s="674">
        <f>IF(AND(AND(Stamoplysninger!$B$26="Der er indgået lokalaftale omkring weekendtillæg(Kræver aftale med TR/FSL). Weekendtimerne afspadseres.",I26="X",C26="ikke relevant")),K26,0)</f>
        <v>0</v>
      </c>
      <c r="FO26" s="283">
        <f>IF(AND(Stamoplysninger!$B$26="Weekendtimer og weekendtillæg udbetales.",I26="X"),K26,0)</f>
        <v>0</v>
      </c>
      <c r="FP26" s="251">
        <f>IF(AND(Stamoplysninger!$B$26="Weekendtimer og weekendtillæg udbetales.",AA26="X"),(AC26+AN26)/2,0)</f>
        <v>0</v>
      </c>
      <c r="FQ26" s="674">
        <f>IF(AND(AND(Stamoplysninger!$B$26="Weekendtimer og weekendtillæg udbetales.",I26="X",C26="ikke relevant")),K26,0)</f>
        <v>0</v>
      </c>
      <c r="FR26" s="688">
        <f>IF(AND(AND(Stamoplysninger!$B$26="Weekendtimer og weekendtillæg udbetales.",AA26="X",U26="ikke relevant")),(AC26+AN26)/2,0)</f>
        <v>0</v>
      </c>
      <c r="FS26" s="283">
        <f t="shared" si="13"/>
        <v>0</v>
      </c>
      <c r="FT26" s="658">
        <f t="shared" si="14"/>
        <v>0</v>
      </c>
      <c r="FU26">
        <f t="shared" si="15"/>
        <v>0</v>
      </c>
      <c r="FV26" s="283">
        <f>IF(AND(Stamoplysninger!$B$26="Der er indgået lokalaftale omkring weekendtimer.(Kræver aftale med TR/FSL) Weekendtillæg afspadseres.",I26="X"),K26,0)</f>
        <v>0</v>
      </c>
      <c r="FW26" s="674">
        <f>IF(AND(AND(Stamoplysninger!$B$26="Der er indgået lokalaftale omkring weekendtimer.(Kræver aftale med TR/FSL) Weekendtillæg afspadseres.",I26="X",C26="ikke relevant")),K26,0)</f>
        <v>0</v>
      </c>
      <c r="FX26" s="283">
        <f>IF(AND(Stamoplysninger!$B$26="Der er indgået lokalaftale omkring weekendtimer(Kræver aftale med TR/FSL). Weekendtillæg udbetales.",I26="X"),K26,0)</f>
        <v>0</v>
      </c>
      <c r="FY26" s="674">
        <f>IF(AND(AND(Stamoplysninger!$B$26="Der er indgået lokalaftale omkring weekendtimer(Kræver aftale med TR/FSL). Weekendtillæg udbetales.",I26="X",C26="ikke relevant")),K26,0)</f>
        <v>0</v>
      </c>
      <c r="FZ26" s="283">
        <f>IF(AND(Stamoplysninger!$B$26="Der er indgået lokalaftale omkring weekendtillæg(Kræver aftale med TR/FSL). Weekendtimerne udbetales.",I26="X"),K26,0)</f>
        <v>0</v>
      </c>
      <c r="GA26" s="674">
        <f>IF(AND(AND(Stamoplysninger!$B$26="Der er indgået lokalaftale omkring weekendtillæg(Kræver aftale med TR/FSL). Weekendtimerne udbetales.",I26="X",C26="ikke relevant")),K26,0)</f>
        <v>0</v>
      </c>
      <c r="GB26" s="283">
        <f>IF(AND(Stamoplysninger!$B$26="Der er indgået lokalaftale omkring weekendtimer og weekendtillæg.(Kræver aftale med TR/FSL).",I26="X"),K26,0)</f>
        <v>0</v>
      </c>
      <c r="GC26" s="674">
        <f>IF(AND(AND(Stamoplysninger!$B$26="Der er indgået lokalaftale omkring weekendtimer og weekendtillæg.(Kræver aftale med TR/FSL).",I26="X",C26="ikke relevant")),K26,0)</f>
        <v>0</v>
      </c>
    </row>
    <row r="27" spans="1:185">
      <c r="A27" s="245">
        <f t="shared" si="16"/>
        <v>19</v>
      </c>
      <c r="B27" s="128" t="str">
        <f t="shared" si="0"/>
        <v>on</v>
      </c>
      <c r="C27" s="129" t="s">
        <v>207</v>
      </c>
      <c r="D27" s="130" t="str">
        <f t="shared" si="1"/>
        <v/>
      </c>
      <c r="E27" s="917"/>
      <c r="F27" s="918"/>
      <c r="G27" s="919"/>
      <c r="H27" s="298"/>
      <c r="I27" s="527"/>
      <c r="J27" s="413"/>
      <c r="K27" s="380"/>
      <c r="L27" s="380"/>
      <c r="M27" s="380"/>
      <c r="N27" s="318">
        <f t="shared" si="17"/>
        <v>7.75</v>
      </c>
      <c r="O27" s="318">
        <f t="shared" si="18"/>
        <v>4.25</v>
      </c>
      <c r="P27" s="318">
        <f>IF(Stamoplysninger!$H$29="JA",Februar!DG27,CX27)</f>
        <v>1</v>
      </c>
      <c r="Q27" s="318">
        <f t="shared" si="19"/>
        <v>2.5</v>
      </c>
      <c r="R27" s="319"/>
      <c r="S27" s="324"/>
      <c r="T27" s="325"/>
      <c r="U27" s="325"/>
      <c r="V27" s="435"/>
      <c r="W27" s="435"/>
      <c r="X27" s="644"/>
      <c r="Y27">
        <f t="shared" si="20"/>
        <v>0</v>
      </c>
      <c r="Z27" s="437">
        <f t="shared" si="21"/>
        <v>0</v>
      </c>
      <c r="AA27" s="1">
        <f t="shared" si="22"/>
        <v>0</v>
      </c>
      <c r="AB27" s="1">
        <f t="shared" si="2"/>
        <v>0</v>
      </c>
      <c r="AC27" s="1">
        <f t="shared" si="3"/>
        <v>0</v>
      </c>
      <c r="AD27" s="1">
        <f t="shared" si="4"/>
        <v>0</v>
      </c>
      <c r="AE27" s="1">
        <f t="shared" si="5"/>
        <v>0</v>
      </c>
      <c r="AF27" s="1">
        <f>IF(C27="Orlov",7.4*Stamoplysninger!$E$15,0)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f>IF(AND(C27="Skema 2",B27="on"),Arbejdstidsoversigt!$E$83,"")</f>
        <v>7.75</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7.75</v>
      </c>
      <c r="BB27" s="229">
        <f t="shared" si="6"/>
        <v>0</v>
      </c>
      <c r="BC27" s="1">
        <f t="shared" si="24"/>
        <v>0</v>
      </c>
      <c r="BD27" s="1">
        <f t="shared" si="7"/>
        <v>0</v>
      </c>
      <c r="BE27" s="1">
        <f t="shared" si="8"/>
        <v>0</v>
      </c>
      <c r="BF27" s="1">
        <f t="shared" si="9"/>
        <v>0</v>
      </c>
      <c r="BG27" s="210" t="str">
        <f>IF(AND(C27="Skema 1",B27="ma"),Skemaoplysninger!$E$30,"")</f>
        <v/>
      </c>
      <c r="BH27" s="210" t="str">
        <f>IF(AND(C27="Skema 1",B27="ti"),Skemaoplysninger!$G$30,"")</f>
        <v/>
      </c>
      <c r="BI27" s="210" t="str">
        <f>IF(AND(C27="Skema 1",B27="on"),Skemaoplysninger!$I$30,"")</f>
        <v/>
      </c>
      <c r="BJ27" s="210" t="str">
        <f>IF(AND(C27="Skema 1",B27="to"),Skemaoplysninger!$K$30,"")</f>
        <v/>
      </c>
      <c r="BK27" s="210" t="str">
        <f>IF(AND(C27="Skema 1",B27="fr"),Skemaoplysninger!$M$30,"")</f>
        <v/>
      </c>
      <c r="BL27" s="210" t="str">
        <f>IF(AND(C27="Skema 2",B27="ma"),Skemaoplysninger!$S$30,"")</f>
        <v/>
      </c>
      <c r="BM27" s="210" t="str">
        <f>IF(AND(C27="Skema 2",B27="ti"),Skemaoplysninger!$U$30,"")</f>
        <v/>
      </c>
      <c r="BN27" s="210">
        <f>IF(AND(C27="Skema 2",B27="on"),Skemaoplysninger!$W$30,"")</f>
        <v>0.17708333333333331</v>
      </c>
      <c r="BO27" s="210" t="str">
        <f>IF(AND(C27="Skema 2",B27="to"),Skemaoplysninger!$Y$30,"")</f>
        <v/>
      </c>
      <c r="BP27" s="210" t="str">
        <f>IF(AND(C27="Skema 2",B27="fr"),Skemaoplysninger!$AA$30,"")</f>
        <v/>
      </c>
      <c r="BQ27" s="210" t="str">
        <f>IF(AND(C27="Skema 3",B27="ma"),Skemaoplysninger!$AG$30,"")</f>
        <v/>
      </c>
      <c r="BR27" s="210" t="str">
        <f>IF(AND(C27="Skema 3",B27="ti"),Skemaoplysninger!$AI$30,"")</f>
        <v/>
      </c>
      <c r="BS27" s="210" t="str">
        <f>IF(AND(C27="Skema 3",B27="on"),Skemaoplysninger!$AK$30,"")</f>
        <v/>
      </c>
      <c r="BT27" s="210" t="str">
        <f>IF(AND(C27="Skema 3",B27="to"),Skemaoplysninger!$AM$30,"")</f>
        <v/>
      </c>
      <c r="BU27" s="210" t="str">
        <f>IF(AND(C27="Skema 3",B27="fr"),Skemaoplysninger!$AO$30,"")</f>
        <v/>
      </c>
      <c r="BV27" s="210" t="str">
        <f>IF(AND(C27="Skema 4",B27="ma"),Skemaoplysninger!$AU$30,"")</f>
        <v/>
      </c>
      <c r="BW27" s="210" t="str">
        <f>IF(AND(C27="Skema 4",B27="ti"),Skemaoplysninger!$AW$30,"")</f>
        <v/>
      </c>
      <c r="BX27" s="210" t="str">
        <f>IF(AND(C27="Skema 4",B27="on"),Skemaoplysninger!$AY$30,"")</f>
        <v/>
      </c>
      <c r="BY27" s="210" t="str">
        <f>IF(AND(C27="Skema 4",B27="to"),Skemaoplysninger!$BA$30,"")</f>
        <v/>
      </c>
      <c r="BZ27" s="210" t="str">
        <f>IF(AND(C27="Skema 4",B27="fr"),Skemaoplysninger!$BC$30,"")</f>
        <v/>
      </c>
      <c r="CA27" s="1">
        <f t="shared" si="25"/>
        <v>4.25</v>
      </c>
      <c r="CB27" s="1">
        <f t="shared" si="10"/>
        <v>0</v>
      </c>
      <c r="CC27" s="1">
        <f t="shared" si="11"/>
        <v>0</v>
      </c>
      <c r="CD27" s="210" t="str">
        <f>IF(AND(C27="Skema 1",B27="ma"),Skemaoplysninger!$E$31,"")</f>
        <v/>
      </c>
      <c r="CE27" s="210" t="str">
        <f>IF(AND(C27="Skema 1",B27="ti"),Skemaoplysninger!$G$31,"")</f>
        <v/>
      </c>
      <c r="CF27" s="210" t="str">
        <f>IF(AND(C27="Skema 1",B27="on"),Skemaoplysninger!$I$31,"")</f>
        <v/>
      </c>
      <c r="CG27" s="210" t="str">
        <f>IF(AND(C27="Skema 1",B27="to"),Skemaoplysninger!$K$31,"")</f>
        <v/>
      </c>
      <c r="CH27" s="210" t="str">
        <f>IF(AND(C27="Skema 1",B27="fr"),Skemaoplysninger!$M$31,"")</f>
        <v/>
      </c>
      <c r="CI27" s="210" t="str">
        <f>IF(AND(C27="Skema 2",B27="ma"),Skemaoplysninger!$S$31,"")</f>
        <v/>
      </c>
      <c r="CJ27" s="210" t="str">
        <f>IF(AND(C27="Skema 2",B27="ti"),Skemaoplysninger!$U$31,"")</f>
        <v/>
      </c>
      <c r="CK27" s="210">
        <f>IF(AND(C27="Skema 2",B27="on"),Skemaoplysninger!$W$31,"")</f>
        <v>4.1666666666666664E-2</v>
      </c>
      <c r="CL27" s="210" t="str">
        <f>IF(AND(C27="Skema 2",B27="to"),Skemaoplysninger!$Y$31,"")</f>
        <v/>
      </c>
      <c r="CM27" s="210" t="str">
        <f>IF(AND(C27="Skema 2",B27="fr"),Skemaoplysninger!$AA$31,"")</f>
        <v/>
      </c>
      <c r="CN27" s="210" t="str">
        <f>IF(AND(C27="Skema 3",B27="ma"),Skemaoplysninger!$AG$31,"")</f>
        <v/>
      </c>
      <c r="CO27" s="210" t="str">
        <f>IF(AND(C27="Skema 3",B27="ti"),Skemaoplysninger!$AI$31,"")</f>
        <v/>
      </c>
      <c r="CP27" s="210" t="str">
        <f>IF(AND(C27="Skema 3",B27="on"),Skemaoplysninger!$AK$31,"")</f>
        <v/>
      </c>
      <c r="CQ27" s="210" t="str">
        <f>IF(AND(C27="Skema 3",B27="to"),Skemaoplysninger!$AM$31,"")</f>
        <v/>
      </c>
      <c r="CR27" s="210" t="str">
        <f>IF(AND(C27="Skema 3",B27="fr"),Skemaoplysninger!$AO$31,"")</f>
        <v/>
      </c>
      <c r="CS27" s="210" t="str">
        <f>IF(AND(C27="Skema 4",B27="ma"),Skemaoplysninger!$AU$31,"")</f>
        <v/>
      </c>
      <c r="CT27" s="210" t="str">
        <f>IF(AND(C27="Skema 4",B27="ti"),Skemaoplysninger!$AW$31,"")</f>
        <v/>
      </c>
      <c r="CU27" s="210" t="str">
        <f>IF(AND(C27="Skema 4",B27="on"),Skemaoplysninger!$AY$31,"")</f>
        <v/>
      </c>
      <c r="CV27" s="210" t="str">
        <f>IF(AND(C27="Skema 4",B27="to"),Skemaoplysninger!$BA$31,"")</f>
        <v/>
      </c>
      <c r="CW27" s="210" t="str">
        <f>IF(AND(C27="Skema 4",B27="fr"),Skemaoplysninger!$BC$31,"")</f>
        <v/>
      </c>
      <c r="CX27" s="249">
        <f>IF(Stamoplysninger!$H$29="NEJ",SUM(CD27:CW27)*24+CB27+CC27,0)</f>
        <v>1</v>
      </c>
      <c r="CY27" s="249">
        <f>IF(C27="Skema 1",Stamoplysninger!$H$30/200,0)</f>
        <v>0</v>
      </c>
      <c r="CZ27" s="249">
        <f>IF(C27="Skema 2",Stamoplysninger!$H$30/200,0)</f>
        <v>0</v>
      </c>
      <c r="DA27" s="249">
        <f>IF(C27="Skema 3",Stamoplysninger!$H$30/200,0)</f>
        <v>0</v>
      </c>
      <c r="DB27" s="249">
        <f>IF(C27="Skema 4",Stamoplysninger!$H$30/200,0)</f>
        <v>0</v>
      </c>
      <c r="DC27" s="249">
        <f>IF(C27="fagdag",Stamoplysninger!$H$30/200,0)</f>
        <v>0</v>
      </c>
      <c r="DD27" s="249">
        <f>IF(C27="emnedag",Stamoplysninger!$H$30/200,0)</f>
        <v>0</v>
      </c>
      <c r="DE27" s="249">
        <f>IF(C27="lejrskole",Stamoplysninger!$H$30/200,0)</f>
        <v>0</v>
      </c>
      <c r="DF27" s="249">
        <f>IF(C27="ekskursion",Stamoplysninger!$H$30/200,0)</f>
        <v>0</v>
      </c>
      <c r="DG27" s="249">
        <f t="shared" si="26"/>
        <v>0</v>
      </c>
      <c r="DH27" t="str">
        <f t="shared" si="27"/>
        <v/>
      </c>
      <c r="DI27">
        <f t="shared" si="28"/>
        <v>0</v>
      </c>
      <c r="DJ27">
        <f t="shared" si="29"/>
        <v>0</v>
      </c>
      <c r="DK27" t="str">
        <f t="shared" si="12"/>
        <v/>
      </c>
      <c r="DL27" t="str">
        <f t="shared" si="12"/>
        <v/>
      </c>
      <c r="DM27" t="str">
        <f t="shared" si="12"/>
        <v/>
      </c>
      <c r="DN27" t="str">
        <f t="shared" si="30"/>
        <v/>
      </c>
      <c r="DO27" s="652">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71">
        <f>IF(AND(Stamoplysninger!$B$22="Ulempetillæg udbetales med 25% af nettotimelønnen.",C27="ikke relevant"),(R27)/4,0)</f>
        <v>0</v>
      </c>
      <c r="DT27" s="671">
        <f>IF(AND(AND(Stamoplysninger!$B$22="Ulempetillæg udbetales med 25% af nettotimelønnen.",I27="X",C27="Ikke relevant")),K27/4,0)</f>
        <v>0</v>
      </c>
      <c r="DU27" s="671">
        <f>IF(AND(AND(Stamoplysninger!$B$22="Ulempetillæg udbetales med 25% af nettotimelønnen.",C27="ikke relevant",U27="X")),(X27/4),0)</f>
        <v>0</v>
      </c>
      <c r="DV27" s="672">
        <f>IF(AND(AND(AND(Stamoplysninger!$B$22="Ulempetillæg udbetales med 25% af nettotimelønnen.",I27="X",C27="Ikke relevant",S27="X"))),V27/4,0)</f>
        <v>0</v>
      </c>
      <c r="DW27" s="652"/>
      <c r="DZ27" s="671"/>
      <c r="EA27" s="671"/>
      <c r="EB27" s="672"/>
      <c r="EC27" s="652">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71">
        <f>IF(AND(Stamoplysninger!$B$22="Ulempetillæg afspadseres med 25%(Kræver en aftale imellem ledelsen og den ansatte)",C27="ikke relevant"),(R27)/4,0)</f>
        <v>0</v>
      </c>
      <c r="EH27" s="671">
        <f>IF(AND(AND(Stamoplysninger!$B$22="Ulempetillæg afspadseres med 25%(Kræver en aftale imellem ledelsen og den ansatte)",I27="X",C27="Ikke relevant")),K27/4,0)</f>
        <v>0</v>
      </c>
      <c r="EI27" s="671">
        <f>IF(AND(AND(Stamoplysninger!$B$22="Ulempetillæg afspadseres med 25%(Kræver en aftale imellem ledelsen og den ansatte)",U27="X",C27="Ikke relevant")),X27/4,0)</f>
        <v>0</v>
      </c>
      <c r="EJ27" s="671">
        <f>IF(AND(AND(AND(Stamoplysninger!$B$22="Ulempetillæg afspadseres med 25%(Kræver en aftale imellem ledelsen og den ansatte)",I27="X",C27="Ikke relevant",S27="X"))),V27/4,0)</f>
        <v>0</v>
      </c>
      <c r="EK27" s="283">
        <f>IF(AND(Stamoplysninger!$B$26="Weekendtimer og weekendtillæg afspadseres.",I27="X"),K27*1.5,0)</f>
        <v>0</v>
      </c>
      <c r="EL27" s="251">
        <f>IF(AND(AND(Stamoplysninger!$B$26="Weekendtimer og weekendtillæg afspadseres.",I27="X",S27="X")),V27*1.5,0)</f>
        <v>0</v>
      </c>
      <c r="EM27" s="674">
        <f>IF(AND(AND(Stamoplysninger!$B$26="Weekendtimer og weekendtillæg afspadseres.",I27="X",C27="ikke relevant")),K27*1.5,0)</f>
        <v>0</v>
      </c>
      <c r="EN27" s="675">
        <f>IF(AND(AND(AND(Stamoplysninger!$B$26="Weekendtimer og weekendtillæg afspadseres.",I27="X",C27="ikke relevant",S27="X"))),(V27*1.5),0)</f>
        <v>0</v>
      </c>
      <c r="EO27" s="283">
        <f>IF(AND(Stamoplysninger!$B$26="Weekendtimer og weekendtillæg udbetales.",I27="X"),K27*1.5,0)</f>
        <v>0</v>
      </c>
      <c r="EP27" s="251">
        <f>IF(AND(AND(Stamoplysninger!$B$26="Weekendtimer og weekendtillæg udbetales.",I27="X",S27="X")),V27*1.5,0)</f>
        <v>0</v>
      </c>
      <c r="EQ27" s="674">
        <f>IF(AND(AND(Stamoplysninger!$B$26="Weekendtimer og weekendtillæg udbetales.",I27="X",C27="ikke relevant")),K27*1.5,0)</f>
        <v>0</v>
      </c>
      <c r="ER27" s="675">
        <f>IF(AND(AND(AND(Stamoplysninger!$B$26="Weekendtimer og weekendtillæg udbetales.",I27="X",C27="ikke relevant",S27="X"))),(V27*1.5),0)</f>
        <v>0</v>
      </c>
      <c r="ES27" s="283">
        <f>IF(AND(Stamoplysninger!$B$26="Der er indgået lokalaftale omkring weekendtimer.(Kræver aftale med TR/FSL) Weekendtillæg afspadseres.",I27="X"),K27*0.5,0)</f>
        <v>0</v>
      </c>
      <c r="ET27" s="251">
        <f>IF(AND(AND(Stamoplysninger!$B$26="Der er indgået lokalaftale omkring weekendtimer.(Kræver aftale med TR/FSL) Weekendtillæg afspadseres.",I27="X",S27="X")),V27*0.5,0)</f>
        <v>0</v>
      </c>
      <c r="EU27" s="674">
        <f>IF(AND(AND(Stamoplysninger!$B$26="Der er indgået lokalaftale omkring weekendtimer.(Kræver aftale med TR/FSL) Weekendtillæg afspadseres.",I27="X",C27="ikke relevant")),K27*0.5,0)</f>
        <v>0</v>
      </c>
      <c r="EV27" s="675">
        <f>IF(AND(AND(AND(Stamoplysninger!$B$26="Der er indgået lokalaftale omkring weekendtimer.(Kræver aftale med TR/FSL) Weekendtillæg afspadseres.",I27="X",C27="ikke relevant",S27="X"))),(V27*0.5),0)</f>
        <v>0</v>
      </c>
      <c r="EW27" s="283">
        <f>IF(AND(Stamoplysninger!$B$26="Der er indgået lokalaftale omkring weekendtimer(Kræver aftale med TR/FSL). Weekendtillæg udbetales.",I27="X"),K27*0.5,0)</f>
        <v>0</v>
      </c>
      <c r="EX27" s="251">
        <f>IF(AND(AND(Stamoplysninger!$B$26="Der er indgået lokalaftale omkring weekendtimer(Kræver aftale med TR/FSL). Weekendtillæg udbetales.",I27="X",S27="X")),V27*0.5,0)</f>
        <v>0</v>
      </c>
      <c r="EY27" s="674">
        <f>IF(AND(AND(Stamoplysninger!$B$26="Der er indgået lokalaftale omkring weekendtimer(Kræver aftale med TR/FSL). Weekendtillæg udbetales.",I27="X",C27="ikke relevant")),K27*0.5,0)</f>
        <v>0</v>
      </c>
      <c r="EZ27" s="675">
        <f>IF(AND(AND(AND(Stamoplysninger!$B$26="Der er indgået lokalaftale omkring weekendtimer(Kræver aftale med TR/FSL). Weekendtillæg udbetales.",I27="X",C27="ikke relevant",S27="X"))),(V27*0.5),0)</f>
        <v>0</v>
      </c>
      <c r="FA27" s="283">
        <f>IF(AND(Stamoplysninger!$B$26="Der er indgået lokalaftale omkring weekendtillæg(Kræver aftale med TR/FSL). Weekendtimerne afspadseres.",I27="X"),K27,0)</f>
        <v>0</v>
      </c>
      <c r="FB27" s="251">
        <f>IF(AND(AND(Stamoplysninger!$B$26="Der er indgået lokalaftale omkring weekendtillæg(Kræver aftale med TR/FSL). Weekendtimerne afspadseres.",I27="X",S27="X")),V27,0)</f>
        <v>0</v>
      </c>
      <c r="FC27" s="674">
        <f>IF(AND(AND(Stamoplysninger!$B$26="Der er indgået lokalaftale omkring weekendtillæg(Kræver aftale med TR/FSL). Weekendtimerne afspadseres..",I27="X",C27="ikke relevant")),K27,0)</f>
        <v>0</v>
      </c>
      <c r="FD27" s="675">
        <f>IF(AND(AND(AND(Stamoplysninger!$B$26="Der er indgået lokalaftale omkring weekendtillæg(Kræver aftale med TR/FSL). Weekendtimerne afspadseres.",I27="X",C27="ikke relevant",S27="X"))),(V27),0)</f>
        <v>0</v>
      </c>
      <c r="FE27" s="283">
        <f>IF(AND(Stamoplysninger!$B$26="Der er indgået lokalaftale omkring weekendtillæg(Kræver aftale med TR/FSL). Weekendtimerne udbetales.",I27="X"),K27,0)</f>
        <v>0</v>
      </c>
      <c r="FF27" s="251">
        <f>IF(AND(AND(Stamoplysninger!$B$26="Der er indgået lokalaftale omkring weekendtillæg(Kræver aftale med TR/FSL). Weekendtimerne udbetales.",I27="X",S27="X")),V27,0)</f>
        <v>0</v>
      </c>
      <c r="FG27" s="674">
        <f>IF(AND(AND(Stamoplysninger!$B$26="Der er indgået lokalaftale omkring weekendtillæg(Kræver aftale med TR/FSL). Weekendtimerne udbetales.",I27="X",C27="ikke relevant")),K27,0)</f>
        <v>0</v>
      </c>
      <c r="FH27" s="675">
        <f>IF(AND(AND(AND(Stamoplysninger!$B$26="Der er indgået lokalaftale omkring weekendtillæg(Kræver aftale med TR/FSL). Weekendtimerne udbetales.",I27="X",C27="ikke relevant",S27="X"))),(V27),0)</f>
        <v>0</v>
      </c>
      <c r="FI27" s="283">
        <f>IF(AND(Stamoplysninger!$B$26="Weekendtimer og weekendtillæg afspadseres.",I27="X"),K27,0)</f>
        <v>0</v>
      </c>
      <c r="FJ27" s="251">
        <f>IF(AND(Stamoplysninger!$B$26="Weekendtimer og weekendtillæg afspadseres.",Y27="X"),(AA27+AL27)/2,0)</f>
        <v>0</v>
      </c>
      <c r="FK27" s="674">
        <f>IF(AND(AND(Stamoplysninger!$B$26="Weekendtimer og weekendtillæg afspadseres.",I27="X",C27="ikke relevant")),K27,0)</f>
        <v>0</v>
      </c>
      <c r="FL27" s="675">
        <f>IF(AND(AND(Stamoplysninger!$B$26="Weekendtimer og weekendtillæg afspadseres.",Y27="X",S27="ikke relevant")),(AA27+AL27)/2,0)</f>
        <v>0</v>
      </c>
      <c r="FM27" s="283">
        <f>IF(AND(Stamoplysninger!$B$26="Der er indgået lokalaftale omkring weekendtillæg(Kræver aftale med TR/FSL). Weekendtimerne afspadseres.",I27="X"),K27,0)</f>
        <v>0</v>
      </c>
      <c r="FN27" s="674">
        <f>IF(AND(AND(Stamoplysninger!$B$26="Der er indgået lokalaftale omkring weekendtillæg(Kræver aftale med TR/FSL). Weekendtimerne afspadseres.",I27="X",C27="ikke relevant")),K27,0)</f>
        <v>0</v>
      </c>
      <c r="FO27" s="283">
        <f>IF(AND(Stamoplysninger!$B$26="Weekendtimer og weekendtillæg udbetales.",I27="X"),K27,0)</f>
        <v>0</v>
      </c>
      <c r="FP27" s="251">
        <f>IF(AND(Stamoplysninger!$B$26="Weekendtimer og weekendtillæg udbetales.",AA27="X"),(AC27+AN27)/2,0)</f>
        <v>0</v>
      </c>
      <c r="FQ27" s="674">
        <f>IF(AND(AND(Stamoplysninger!$B$26="Weekendtimer og weekendtillæg udbetales.",I27="X",C27="ikke relevant")),K27,0)</f>
        <v>0</v>
      </c>
      <c r="FR27" s="688">
        <f>IF(AND(AND(Stamoplysninger!$B$26="Weekendtimer og weekendtillæg udbetales.",AA27="X",U27="ikke relevant")),(AC27+AN27)/2,0)</f>
        <v>0</v>
      </c>
      <c r="FS27" s="283">
        <f t="shared" si="13"/>
        <v>0</v>
      </c>
      <c r="FT27" s="658">
        <f t="shared" si="14"/>
        <v>0</v>
      </c>
      <c r="FU27">
        <f t="shared" si="15"/>
        <v>0</v>
      </c>
      <c r="FV27" s="283">
        <f>IF(AND(Stamoplysninger!$B$26="Der er indgået lokalaftale omkring weekendtimer.(Kræver aftale med TR/FSL) Weekendtillæg afspadseres.",I27="X"),K27,0)</f>
        <v>0</v>
      </c>
      <c r="FW27" s="674">
        <f>IF(AND(AND(Stamoplysninger!$B$26="Der er indgået lokalaftale omkring weekendtimer.(Kræver aftale med TR/FSL) Weekendtillæg afspadseres.",I27="X",C27="ikke relevant")),K27,0)</f>
        <v>0</v>
      </c>
      <c r="FX27" s="283">
        <f>IF(AND(Stamoplysninger!$B$26="Der er indgået lokalaftale omkring weekendtimer(Kræver aftale med TR/FSL). Weekendtillæg udbetales.",I27="X"),K27,0)</f>
        <v>0</v>
      </c>
      <c r="FY27" s="674">
        <f>IF(AND(AND(Stamoplysninger!$B$26="Der er indgået lokalaftale omkring weekendtimer(Kræver aftale med TR/FSL). Weekendtillæg udbetales.",I27="X",C27="ikke relevant")),K27,0)</f>
        <v>0</v>
      </c>
      <c r="FZ27" s="283">
        <f>IF(AND(Stamoplysninger!$B$26="Der er indgået lokalaftale omkring weekendtillæg(Kræver aftale med TR/FSL). Weekendtimerne udbetales.",I27="X"),K27,0)</f>
        <v>0</v>
      </c>
      <c r="GA27" s="674">
        <f>IF(AND(AND(Stamoplysninger!$B$26="Der er indgået lokalaftale omkring weekendtillæg(Kræver aftale med TR/FSL). Weekendtimerne udbetales.",I27="X",C27="ikke relevant")),K27,0)</f>
        <v>0</v>
      </c>
      <c r="GB27" s="283">
        <f>IF(AND(Stamoplysninger!$B$26="Der er indgået lokalaftale omkring weekendtimer og weekendtillæg.(Kræver aftale med TR/FSL).",I27="X"),K27,0)</f>
        <v>0</v>
      </c>
      <c r="GC27" s="674">
        <f>IF(AND(AND(Stamoplysninger!$B$26="Der er indgået lokalaftale omkring weekendtimer og weekendtillæg.(Kræver aftale med TR/FSL).",I27="X",C27="ikke relevant")),K27,0)</f>
        <v>0</v>
      </c>
    </row>
    <row r="28" spans="1:185">
      <c r="A28" s="245">
        <f t="shared" si="16"/>
        <v>20</v>
      </c>
      <c r="B28" s="128" t="str">
        <f t="shared" si="0"/>
        <v>to</v>
      </c>
      <c r="C28" s="129" t="s">
        <v>136</v>
      </c>
      <c r="D28" s="130" t="str">
        <f t="shared" si="1"/>
        <v/>
      </c>
      <c r="E28" s="917" t="s">
        <v>708</v>
      </c>
      <c r="F28" s="918"/>
      <c r="G28" s="919"/>
      <c r="H28" s="298"/>
      <c r="I28" s="527"/>
      <c r="J28" s="413"/>
      <c r="K28" s="380">
        <v>6.5</v>
      </c>
      <c r="L28" s="380">
        <v>4</v>
      </c>
      <c r="M28" s="380">
        <v>1</v>
      </c>
      <c r="N28" s="318">
        <f t="shared" si="17"/>
        <v>6.5</v>
      </c>
      <c r="O28" s="318">
        <f t="shared" si="18"/>
        <v>4</v>
      </c>
      <c r="P28" s="318">
        <f>IF(Stamoplysninger!$H$29="JA",Februar!DG28,CX28)</f>
        <v>1</v>
      </c>
      <c r="Q28" s="318">
        <f t="shared" si="19"/>
        <v>1.5</v>
      </c>
      <c r="R28" s="319"/>
      <c r="S28" s="324"/>
      <c r="T28" s="325"/>
      <c r="U28" s="325"/>
      <c r="V28" s="435"/>
      <c r="W28" s="435"/>
      <c r="X28" s="644"/>
      <c r="Y28">
        <f t="shared" si="20"/>
        <v>0</v>
      </c>
      <c r="Z28" s="437">
        <f t="shared" si="21"/>
        <v>0</v>
      </c>
      <c r="AA28" s="1">
        <f t="shared" si="22"/>
        <v>0</v>
      </c>
      <c r="AB28" s="1">
        <f t="shared" si="2"/>
        <v>6.5</v>
      </c>
      <c r="AC28" s="1">
        <f t="shared" si="3"/>
        <v>0</v>
      </c>
      <c r="AD28" s="1">
        <f t="shared" si="4"/>
        <v>0</v>
      </c>
      <c r="AE28" s="1">
        <f t="shared" si="5"/>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6.5</v>
      </c>
      <c r="BB28" s="229">
        <f t="shared" si="6"/>
        <v>0</v>
      </c>
      <c r="BC28" s="1">
        <f t="shared" si="24"/>
        <v>0</v>
      </c>
      <c r="BD28" s="1">
        <f t="shared" si="7"/>
        <v>0</v>
      </c>
      <c r="BE28" s="1">
        <f t="shared" si="8"/>
        <v>4</v>
      </c>
      <c r="BF28" s="1">
        <f t="shared" si="9"/>
        <v>0</v>
      </c>
      <c r="BG28" s="210" t="str">
        <f>IF(AND(C28="Skema 1",B28="ma"),Skemaoplysninger!$E$30,"")</f>
        <v/>
      </c>
      <c r="BH28" s="210" t="str">
        <f>IF(AND(C28="Skema 1",B28="ti"),Skemaoplysninger!$G$30,"")</f>
        <v/>
      </c>
      <c r="BI28" s="210" t="str">
        <f>IF(AND(C28="Skema 1",B28="on"),Skemaoplysninger!$I$30,"")</f>
        <v/>
      </c>
      <c r="BJ28" s="210" t="str">
        <f>IF(AND(C28="Skema 1",B28="to"),Skemaoplysninger!$K$30,"")</f>
        <v/>
      </c>
      <c r="BK28" s="210" t="str">
        <f>IF(AND(C28="Skema 1",B28="fr"),Skemaoplysninger!$M$30,"")</f>
        <v/>
      </c>
      <c r="BL28" s="210" t="str">
        <f>IF(AND(C28="Skema 2",B28="ma"),Skemaoplysninger!$S$30,"")</f>
        <v/>
      </c>
      <c r="BM28" s="210" t="str">
        <f>IF(AND(C28="Skema 2",B28="ti"),Skemaoplysninger!$U$30,"")</f>
        <v/>
      </c>
      <c r="BN28" s="210" t="str">
        <f>IF(AND(C28="Skema 2",B28="on"),Skemaoplysninger!$W$30,"")</f>
        <v/>
      </c>
      <c r="BO28" s="210" t="str">
        <f>IF(AND(C28="Skema 2",B28="to"),Skemaoplysninger!$Y$30,"")</f>
        <v/>
      </c>
      <c r="BP28" s="210" t="str">
        <f>IF(AND(C28="Skema 2",B28="fr"),Skemaoplysninger!$AA$30,"")</f>
        <v/>
      </c>
      <c r="BQ28" s="210" t="str">
        <f>IF(AND(C28="Skema 3",B28="ma"),Skemaoplysninger!$AG$30,"")</f>
        <v/>
      </c>
      <c r="BR28" s="210" t="str">
        <f>IF(AND(C28="Skema 3",B28="ti"),Skemaoplysninger!$AI$30,"")</f>
        <v/>
      </c>
      <c r="BS28" s="210" t="str">
        <f>IF(AND(C28="Skema 3",B28="on"),Skemaoplysninger!$AK$30,"")</f>
        <v/>
      </c>
      <c r="BT28" s="210" t="str">
        <f>IF(AND(C28="Skema 3",B28="to"),Skemaoplysninger!$AM$30,"")</f>
        <v/>
      </c>
      <c r="BU28" s="210" t="str">
        <f>IF(AND(C28="Skema 3",B28="fr"),Skemaoplysninger!$AO$30,"")</f>
        <v/>
      </c>
      <c r="BV28" s="210" t="str">
        <f>IF(AND(C28="Skema 4",B28="ma"),Skemaoplysninger!$AU$30,"")</f>
        <v/>
      </c>
      <c r="BW28" s="210" t="str">
        <f>IF(AND(C28="Skema 4",B28="ti"),Skemaoplysninger!$AW$30,"")</f>
        <v/>
      </c>
      <c r="BX28" s="210" t="str">
        <f>IF(AND(C28="Skema 4",B28="on"),Skemaoplysninger!$AY$30,"")</f>
        <v/>
      </c>
      <c r="BY28" s="210" t="str">
        <f>IF(AND(C28="Skema 4",B28="to"),Skemaoplysninger!$BA$30,"")</f>
        <v/>
      </c>
      <c r="BZ28" s="210" t="str">
        <f>IF(AND(C28="Skema 4",B28="fr"),Skemaoplysninger!$BC$30,"")</f>
        <v/>
      </c>
      <c r="CA28" s="1">
        <f t="shared" si="25"/>
        <v>4</v>
      </c>
      <c r="CB28" s="1">
        <f t="shared" si="10"/>
        <v>1</v>
      </c>
      <c r="CC28" s="1">
        <f t="shared" si="11"/>
        <v>0</v>
      </c>
      <c r="CD28" s="210" t="str">
        <f>IF(AND(C28="Skema 1",B28="ma"),Skemaoplysninger!$E$31,"")</f>
        <v/>
      </c>
      <c r="CE28" s="210" t="str">
        <f>IF(AND(C28="Skema 1",B28="ti"),Skemaoplysninger!$G$31,"")</f>
        <v/>
      </c>
      <c r="CF28" s="210" t="str">
        <f>IF(AND(C28="Skema 1",B28="on"),Skemaoplysninger!$I$31,"")</f>
        <v/>
      </c>
      <c r="CG28" s="210" t="str">
        <f>IF(AND(C28="Skema 1",B28="to"),Skemaoplysninger!$K$31,"")</f>
        <v/>
      </c>
      <c r="CH28" s="210" t="str">
        <f>IF(AND(C28="Skema 1",B28="fr"),Skemaoplysninger!$M$31,"")</f>
        <v/>
      </c>
      <c r="CI28" s="210" t="str">
        <f>IF(AND(C28="Skema 2",B28="ma"),Skemaoplysninger!$S$31,"")</f>
        <v/>
      </c>
      <c r="CJ28" s="210" t="str">
        <f>IF(AND(C28="Skema 2",B28="ti"),Skemaoplysninger!$U$31,"")</f>
        <v/>
      </c>
      <c r="CK28" s="210" t="str">
        <f>IF(AND(C28="Skema 2",B28="on"),Skemaoplysninger!$W$31,"")</f>
        <v/>
      </c>
      <c r="CL28" s="210" t="str">
        <f>IF(AND(C28="Skema 2",B28="to"),Skemaoplysninger!$Y$31,"")</f>
        <v/>
      </c>
      <c r="CM28" s="210" t="str">
        <f>IF(AND(C28="Skema 2",B28="fr"),Skemaoplysninger!$AA$31,"")</f>
        <v/>
      </c>
      <c r="CN28" s="210" t="str">
        <f>IF(AND(C28="Skema 3",B28="ma"),Skemaoplysninger!$AG$31,"")</f>
        <v/>
      </c>
      <c r="CO28" s="210" t="str">
        <f>IF(AND(C28="Skema 3",B28="ti"),Skemaoplysninger!$AI$31,"")</f>
        <v/>
      </c>
      <c r="CP28" s="210" t="str">
        <f>IF(AND(C28="Skema 3",B28="on"),Skemaoplysninger!$AK$31,"")</f>
        <v/>
      </c>
      <c r="CQ28" s="210" t="str">
        <f>IF(AND(C28="Skema 3",B28="to"),Skemaoplysninger!$AM$31,"")</f>
        <v/>
      </c>
      <c r="CR28" s="210" t="str">
        <f>IF(AND(C28="Skema 3",B28="fr"),Skemaoplysninger!$AO$31,"")</f>
        <v/>
      </c>
      <c r="CS28" s="210" t="str">
        <f>IF(AND(C28="Skema 4",B28="ma"),Skemaoplysninger!$AU$31,"")</f>
        <v/>
      </c>
      <c r="CT28" s="210" t="str">
        <f>IF(AND(C28="Skema 4",B28="ti"),Skemaoplysninger!$AW$31,"")</f>
        <v/>
      </c>
      <c r="CU28" s="210" t="str">
        <f>IF(AND(C28="Skema 4",B28="on"),Skemaoplysninger!$AY$31,"")</f>
        <v/>
      </c>
      <c r="CV28" s="210" t="str">
        <f>IF(AND(C28="Skema 4",B28="to"),Skemaoplysninger!$BA$31,"")</f>
        <v/>
      </c>
      <c r="CW28" s="210" t="str">
        <f>IF(AND(C28="Skema 4",B28="fr"),Skemaoplysninger!$BC$31,"")</f>
        <v/>
      </c>
      <c r="CX28" s="249">
        <f>IF(Stamoplysninger!$H$29="NEJ",SUM(CD28:CW28)*24+CB28+CC28,0)</f>
        <v>1</v>
      </c>
      <c r="CY28" s="249">
        <f>IF(C28="Skema 1",Stamoplysninger!$H$30/200,0)</f>
        <v>0</v>
      </c>
      <c r="CZ28" s="249">
        <f>IF(C28="Skema 2",Stamoplysninger!$H$30/200,0)</f>
        <v>0</v>
      </c>
      <c r="DA28" s="249">
        <f>IF(C28="Skema 3",Stamoplysninger!$H$30/200,0)</f>
        <v>0</v>
      </c>
      <c r="DB28" s="249">
        <f>IF(C28="Skema 4",Stamoplysninger!$H$30/200,0)</f>
        <v>0</v>
      </c>
      <c r="DC28" s="249">
        <f>IF(C28="fagdag",Stamoplysninger!$H$30/200,0)</f>
        <v>0</v>
      </c>
      <c r="DD28" s="249">
        <f>IF(C28="emnedag",Stamoplysninger!$H$30/200,0)</f>
        <v>0</v>
      </c>
      <c r="DE28" s="249">
        <f>IF(C28="lejrskole",Stamoplysninger!$H$30/200,0)</f>
        <v>0</v>
      </c>
      <c r="DF28" s="249">
        <f>IF(C28="ekskursion",Stamoplysninger!$H$30/200,0)</f>
        <v>0</v>
      </c>
      <c r="DG28" s="249">
        <f t="shared" si="26"/>
        <v>0</v>
      </c>
      <c r="DH28" t="str">
        <f t="shared" si="27"/>
        <v/>
      </c>
      <c r="DI28" t="str">
        <f t="shared" si="28"/>
        <v>Dansk fagdag</v>
      </c>
      <c r="DJ28" t="str">
        <f t="shared" si="29"/>
        <v/>
      </c>
      <c r="DK28" t="str">
        <f t="shared" si="12"/>
        <v/>
      </c>
      <c r="DL28" t="str">
        <f t="shared" si="12"/>
        <v>Dansk fagdag</v>
      </c>
      <c r="DM28" t="str">
        <f t="shared" si="12"/>
        <v/>
      </c>
      <c r="DN28" t="str">
        <f t="shared" si="30"/>
        <v>Dansk fagdag</v>
      </c>
      <c r="DO28" s="652">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71">
        <f>IF(AND(Stamoplysninger!$B$22="Ulempetillæg udbetales med 25% af nettotimelønnen.",C28="ikke relevant"),(R28)/4,0)</f>
        <v>0</v>
      </c>
      <c r="DT28" s="671">
        <f>IF(AND(AND(Stamoplysninger!$B$22="Ulempetillæg udbetales med 25% af nettotimelønnen.",I28="X",C28="Ikke relevant")),K28/4,0)</f>
        <v>0</v>
      </c>
      <c r="DU28" s="671">
        <f>IF(AND(AND(Stamoplysninger!$B$22="Ulempetillæg udbetales med 25% af nettotimelønnen.",C28="ikke relevant",U28="X")),(X28/4),0)</f>
        <v>0</v>
      </c>
      <c r="DV28" s="672">
        <f>IF(AND(AND(AND(Stamoplysninger!$B$22="Ulempetillæg udbetales med 25% af nettotimelønnen.",I28="X",C28="Ikke relevant",S28="X"))),V28/4,0)</f>
        <v>0</v>
      </c>
      <c r="DW28" s="652"/>
      <c r="DZ28" s="671"/>
      <c r="EA28" s="671"/>
      <c r="EB28" s="672"/>
      <c r="EC28" s="652">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71">
        <f>IF(AND(Stamoplysninger!$B$22="Ulempetillæg afspadseres med 25%(Kræver en aftale imellem ledelsen og den ansatte)",C28="ikke relevant"),(R28)/4,0)</f>
        <v>0</v>
      </c>
      <c r="EH28" s="671">
        <f>IF(AND(AND(Stamoplysninger!$B$22="Ulempetillæg afspadseres med 25%(Kræver en aftale imellem ledelsen og den ansatte)",I28="X",C28="Ikke relevant")),K28/4,0)</f>
        <v>0</v>
      </c>
      <c r="EI28" s="671">
        <f>IF(AND(AND(Stamoplysninger!$B$22="Ulempetillæg afspadseres med 25%(Kræver en aftale imellem ledelsen og den ansatte)",U28="X",C28="Ikke relevant")),X28/4,0)</f>
        <v>0</v>
      </c>
      <c r="EJ28" s="671">
        <f>IF(AND(AND(AND(Stamoplysninger!$B$22="Ulempetillæg afspadseres med 25%(Kræver en aftale imellem ledelsen og den ansatte)",I28="X",C28="Ikke relevant",S28="X"))),V28/4,0)</f>
        <v>0</v>
      </c>
      <c r="EK28" s="283">
        <f>IF(AND(Stamoplysninger!$B$26="Weekendtimer og weekendtillæg afspadseres.",I28="X"),K28*1.5,0)</f>
        <v>0</v>
      </c>
      <c r="EL28" s="251">
        <f>IF(AND(AND(Stamoplysninger!$B$26="Weekendtimer og weekendtillæg afspadseres.",I28="X",S28="X")),V28*1.5,0)</f>
        <v>0</v>
      </c>
      <c r="EM28" s="674">
        <f>IF(AND(AND(Stamoplysninger!$B$26="Weekendtimer og weekendtillæg afspadseres.",I28="X",C28="ikke relevant")),K28*1.5,0)</f>
        <v>0</v>
      </c>
      <c r="EN28" s="675">
        <f>IF(AND(AND(AND(Stamoplysninger!$B$26="Weekendtimer og weekendtillæg afspadseres.",I28="X",C28="ikke relevant",S28="X"))),(V28*1.5),0)</f>
        <v>0</v>
      </c>
      <c r="EO28" s="283">
        <f>IF(AND(Stamoplysninger!$B$26="Weekendtimer og weekendtillæg udbetales.",I28="X"),K28*1.5,0)</f>
        <v>0</v>
      </c>
      <c r="EP28" s="251">
        <f>IF(AND(AND(Stamoplysninger!$B$26="Weekendtimer og weekendtillæg udbetales.",I28="X",S28="X")),V28*1.5,0)</f>
        <v>0</v>
      </c>
      <c r="EQ28" s="674">
        <f>IF(AND(AND(Stamoplysninger!$B$26="Weekendtimer og weekendtillæg udbetales.",I28="X",C28="ikke relevant")),K28*1.5,0)</f>
        <v>0</v>
      </c>
      <c r="ER28" s="675">
        <f>IF(AND(AND(AND(Stamoplysninger!$B$26="Weekendtimer og weekendtillæg udbetales.",I28="X",C28="ikke relevant",S28="X"))),(V28*1.5),0)</f>
        <v>0</v>
      </c>
      <c r="ES28" s="283">
        <f>IF(AND(Stamoplysninger!$B$26="Der er indgået lokalaftale omkring weekendtimer.(Kræver aftale med TR/FSL) Weekendtillæg afspadseres.",I28="X"),K28*0.5,0)</f>
        <v>0</v>
      </c>
      <c r="ET28" s="251">
        <f>IF(AND(AND(Stamoplysninger!$B$26="Der er indgået lokalaftale omkring weekendtimer.(Kræver aftale med TR/FSL) Weekendtillæg afspadseres.",I28="X",S28="X")),V28*0.5,0)</f>
        <v>0</v>
      </c>
      <c r="EU28" s="674">
        <f>IF(AND(AND(Stamoplysninger!$B$26="Der er indgået lokalaftale omkring weekendtimer.(Kræver aftale med TR/FSL) Weekendtillæg afspadseres.",I28="X",C28="ikke relevant")),K28*0.5,0)</f>
        <v>0</v>
      </c>
      <c r="EV28" s="675">
        <f>IF(AND(AND(AND(Stamoplysninger!$B$26="Der er indgået lokalaftale omkring weekendtimer.(Kræver aftale med TR/FSL) Weekendtillæg afspadseres.",I28="X",C28="ikke relevant",S28="X"))),(V28*0.5),0)</f>
        <v>0</v>
      </c>
      <c r="EW28" s="283">
        <f>IF(AND(Stamoplysninger!$B$26="Der er indgået lokalaftale omkring weekendtimer(Kræver aftale med TR/FSL). Weekendtillæg udbetales.",I28="X"),K28*0.5,0)</f>
        <v>0</v>
      </c>
      <c r="EX28" s="251">
        <f>IF(AND(AND(Stamoplysninger!$B$26="Der er indgået lokalaftale omkring weekendtimer(Kræver aftale med TR/FSL). Weekendtillæg udbetales.",I28="X",S28="X")),V28*0.5,0)</f>
        <v>0</v>
      </c>
      <c r="EY28" s="674">
        <f>IF(AND(AND(Stamoplysninger!$B$26="Der er indgået lokalaftale omkring weekendtimer(Kræver aftale med TR/FSL). Weekendtillæg udbetales.",I28="X",C28="ikke relevant")),K28*0.5,0)</f>
        <v>0</v>
      </c>
      <c r="EZ28" s="675">
        <f>IF(AND(AND(AND(Stamoplysninger!$B$26="Der er indgået lokalaftale omkring weekendtimer(Kræver aftale med TR/FSL). Weekendtillæg udbetales.",I28="X",C28="ikke relevant",S28="X"))),(V28*0.5),0)</f>
        <v>0</v>
      </c>
      <c r="FA28" s="283">
        <f>IF(AND(Stamoplysninger!$B$26="Der er indgået lokalaftale omkring weekendtillæg(Kræver aftale med TR/FSL). Weekendtimerne afspadseres.",I28="X"),K28,0)</f>
        <v>0</v>
      </c>
      <c r="FB28" s="251">
        <f>IF(AND(AND(Stamoplysninger!$B$26="Der er indgået lokalaftale omkring weekendtillæg(Kræver aftale med TR/FSL). Weekendtimerne afspadseres.",I28="X",S28="X")),V28,0)</f>
        <v>0</v>
      </c>
      <c r="FC28" s="674">
        <f>IF(AND(AND(Stamoplysninger!$B$26="Der er indgået lokalaftale omkring weekendtillæg(Kræver aftale med TR/FSL). Weekendtimerne afspadseres..",I28="X",C28="ikke relevant")),K28,0)</f>
        <v>0</v>
      </c>
      <c r="FD28" s="675">
        <f>IF(AND(AND(AND(Stamoplysninger!$B$26="Der er indgået lokalaftale omkring weekendtillæg(Kræver aftale med TR/FSL). Weekendtimerne afspadseres.",I28="X",C28="ikke relevant",S28="X"))),(V28),0)</f>
        <v>0</v>
      </c>
      <c r="FE28" s="283">
        <f>IF(AND(Stamoplysninger!$B$26="Der er indgået lokalaftale omkring weekendtillæg(Kræver aftale med TR/FSL). Weekendtimerne udbetales.",I28="X"),K28,0)</f>
        <v>0</v>
      </c>
      <c r="FF28" s="251">
        <f>IF(AND(AND(Stamoplysninger!$B$26="Der er indgået lokalaftale omkring weekendtillæg(Kræver aftale med TR/FSL). Weekendtimerne udbetales.",I28="X",S28="X")),V28,0)</f>
        <v>0</v>
      </c>
      <c r="FG28" s="674">
        <f>IF(AND(AND(Stamoplysninger!$B$26="Der er indgået lokalaftale omkring weekendtillæg(Kræver aftale med TR/FSL). Weekendtimerne udbetales.",I28="X",C28="ikke relevant")),K28,0)</f>
        <v>0</v>
      </c>
      <c r="FH28" s="675">
        <f>IF(AND(AND(AND(Stamoplysninger!$B$26="Der er indgået lokalaftale omkring weekendtillæg(Kræver aftale med TR/FSL). Weekendtimerne udbetales.",I28="X",C28="ikke relevant",S28="X"))),(V28),0)</f>
        <v>0</v>
      </c>
      <c r="FI28" s="283">
        <f>IF(AND(Stamoplysninger!$B$26="Weekendtimer og weekendtillæg afspadseres.",I28="X"),K28,0)</f>
        <v>0</v>
      </c>
      <c r="FJ28" s="251">
        <f>IF(AND(Stamoplysninger!$B$26="Weekendtimer og weekendtillæg afspadseres.",Y28="X"),(AA28+AL28)/2,0)</f>
        <v>0</v>
      </c>
      <c r="FK28" s="674">
        <f>IF(AND(AND(Stamoplysninger!$B$26="Weekendtimer og weekendtillæg afspadseres.",I28="X",C28="ikke relevant")),K28,0)</f>
        <v>0</v>
      </c>
      <c r="FL28" s="675">
        <f>IF(AND(AND(Stamoplysninger!$B$26="Weekendtimer og weekendtillæg afspadseres.",Y28="X",S28="ikke relevant")),(AA28+AL28)/2,0)</f>
        <v>0</v>
      </c>
      <c r="FM28" s="283">
        <f>IF(AND(Stamoplysninger!$B$26="Der er indgået lokalaftale omkring weekendtillæg(Kræver aftale med TR/FSL). Weekendtimerne afspadseres.",I28="X"),K28,0)</f>
        <v>0</v>
      </c>
      <c r="FN28" s="674">
        <f>IF(AND(AND(Stamoplysninger!$B$26="Der er indgået lokalaftale omkring weekendtillæg(Kræver aftale med TR/FSL). Weekendtimerne afspadseres.",I28="X",C28="ikke relevant")),K28,0)</f>
        <v>0</v>
      </c>
      <c r="FO28" s="283">
        <f>IF(AND(Stamoplysninger!$B$26="Weekendtimer og weekendtillæg udbetales.",I28="X"),K28,0)</f>
        <v>0</v>
      </c>
      <c r="FP28" s="251">
        <f>IF(AND(Stamoplysninger!$B$26="Weekendtimer og weekendtillæg udbetales.",AA28="X"),(AC28+AN28)/2,0)</f>
        <v>0</v>
      </c>
      <c r="FQ28" s="674">
        <f>IF(AND(AND(Stamoplysninger!$B$26="Weekendtimer og weekendtillæg udbetales.",I28="X",C28="ikke relevant")),K28,0)</f>
        <v>0</v>
      </c>
      <c r="FR28" s="688">
        <f>IF(AND(AND(Stamoplysninger!$B$26="Weekendtimer og weekendtillæg udbetales.",AA28="X",U28="ikke relevant")),(AC28+AN28)/2,0)</f>
        <v>0</v>
      </c>
      <c r="FS28" s="283">
        <f t="shared" si="13"/>
        <v>0</v>
      </c>
      <c r="FT28" s="658">
        <f t="shared" si="14"/>
        <v>0</v>
      </c>
      <c r="FU28">
        <f t="shared" si="15"/>
        <v>0</v>
      </c>
      <c r="FV28" s="283">
        <f>IF(AND(Stamoplysninger!$B$26="Der er indgået lokalaftale omkring weekendtimer.(Kræver aftale med TR/FSL) Weekendtillæg afspadseres.",I28="X"),K28,0)</f>
        <v>0</v>
      </c>
      <c r="FW28" s="674">
        <f>IF(AND(AND(Stamoplysninger!$B$26="Der er indgået lokalaftale omkring weekendtimer.(Kræver aftale med TR/FSL) Weekendtillæg afspadseres.",I28="X",C28="ikke relevant")),K28,0)</f>
        <v>0</v>
      </c>
      <c r="FX28" s="283">
        <f>IF(AND(Stamoplysninger!$B$26="Der er indgået lokalaftale omkring weekendtimer(Kræver aftale med TR/FSL). Weekendtillæg udbetales.",I28="X"),K28,0)</f>
        <v>0</v>
      </c>
      <c r="FY28" s="674">
        <f>IF(AND(AND(Stamoplysninger!$B$26="Der er indgået lokalaftale omkring weekendtimer(Kræver aftale med TR/FSL). Weekendtillæg udbetales.",I28="X",C28="ikke relevant")),K28,0)</f>
        <v>0</v>
      </c>
      <c r="FZ28" s="283">
        <f>IF(AND(Stamoplysninger!$B$26="Der er indgået lokalaftale omkring weekendtillæg(Kræver aftale med TR/FSL). Weekendtimerne udbetales.",I28="X"),K28,0)</f>
        <v>0</v>
      </c>
      <c r="GA28" s="674">
        <f>IF(AND(AND(Stamoplysninger!$B$26="Der er indgået lokalaftale omkring weekendtillæg(Kræver aftale med TR/FSL). Weekendtimerne udbetales.",I28="X",C28="ikke relevant")),K28,0)</f>
        <v>0</v>
      </c>
      <c r="GB28" s="283">
        <f>IF(AND(Stamoplysninger!$B$26="Der er indgået lokalaftale omkring weekendtimer og weekendtillæg.(Kræver aftale med TR/FSL).",I28="X"),K28,0)</f>
        <v>0</v>
      </c>
      <c r="GC28" s="674">
        <f>IF(AND(AND(Stamoplysninger!$B$26="Der er indgået lokalaftale omkring weekendtimer og weekendtillæg.(Kræver aftale med TR/FSL).",I28="X",C28="ikke relevant")),K28,0)</f>
        <v>0</v>
      </c>
    </row>
    <row r="29" spans="1:185">
      <c r="A29" s="245">
        <f t="shared" si="16"/>
        <v>21</v>
      </c>
      <c r="B29" s="128" t="str">
        <f t="shared" si="0"/>
        <v>fr</v>
      </c>
      <c r="C29" s="129" t="s">
        <v>207</v>
      </c>
      <c r="D29" s="130" t="str">
        <f t="shared" si="1"/>
        <v/>
      </c>
      <c r="E29" s="917"/>
      <c r="F29" s="918"/>
      <c r="G29" s="919"/>
      <c r="H29" s="298"/>
      <c r="I29" s="527"/>
      <c r="J29" s="413"/>
      <c r="K29" s="380"/>
      <c r="L29" s="380"/>
      <c r="M29" s="380"/>
      <c r="N29" s="318">
        <f t="shared" si="17"/>
        <v>7</v>
      </c>
      <c r="O29" s="318">
        <f t="shared" si="18"/>
        <v>3</v>
      </c>
      <c r="P29" s="318">
        <f>IF(Stamoplysninger!$H$29="JA",Februar!DG29,CX29)</f>
        <v>0.83333333333333337</v>
      </c>
      <c r="Q29" s="318">
        <f t="shared" si="19"/>
        <v>3.1666666666666665</v>
      </c>
      <c r="R29" s="319"/>
      <c r="S29" s="324"/>
      <c r="T29" s="325"/>
      <c r="U29" s="325"/>
      <c r="V29" s="435"/>
      <c r="W29" s="435"/>
      <c r="X29" s="644"/>
      <c r="Y29">
        <f t="shared" si="20"/>
        <v>0</v>
      </c>
      <c r="Z29" s="437">
        <f t="shared" si="21"/>
        <v>0</v>
      </c>
      <c r="AA29" s="1">
        <f t="shared" si="22"/>
        <v>0</v>
      </c>
      <c r="AB29" s="1">
        <f t="shared" si="2"/>
        <v>0</v>
      </c>
      <c r="AC29" s="1">
        <f t="shared" si="3"/>
        <v>0</v>
      </c>
      <c r="AD29" s="1">
        <f t="shared" si="4"/>
        <v>0</v>
      </c>
      <c r="AE29" s="1">
        <f t="shared" si="5"/>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f>IF(AND(C29="Skema 2",B29="fr"),Arbejdstidsoversigt!$E$85,"")</f>
        <v>7</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7</v>
      </c>
      <c r="BB29" s="229">
        <f t="shared" si="6"/>
        <v>0</v>
      </c>
      <c r="BC29" s="1">
        <f t="shared" si="24"/>
        <v>0</v>
      </c>
      <c r="BD29" s="1">
        <f t="shared" si="7"/>
        <v>0</v>
      </c>
      <c r="BE29" s="1">
        <f t="shared" si="8"/>
        <v>0</v>
      </c>
      <c r="BF29" s="1">
        <f t="shared" si="9"/>
        <v>0</v>
      </c>
      <c r="BG29" s="210" t="str">
        <f>IF(AND(C29="Skema 1",B29="ma"),Skemaoplysninger!$E$30,"")</f>
        <v/>
      </c>
      <c r="BH29" s="210" t="str">
        <f>IF(AND(C29="Skema 1",B29="ti"),Skemaoplysninger!$G$30,"")</f>
        <v/>
      </c>
      <c r="BI29" s="210" t="str">
        <f>IF(AND(C29="Skema 1",B29="on"),Skemaoplysninger!$I$30,"")</f>
        <v/>
      </c>
      <c r="BJ29" s="210" t="str">
        <f>IF(AND(C29="Skema 1",B29="to"),Skemaoplysninger!$K$30,"")</f>
        <v/>
      </c>
      <c r="BK29" s="210" t="str">
        <f>IF(AND(C29="Skema 1",B29="fr"),Skemaoplysninger!$M$30,"")</f>
        <v/>
      </c>
      <c r="BL29" s="210" t="str">
        <f>IF(AND(C29="Skema 2",B29="ma"),Skemaoplysninger!$S$30,"")</f>
        <v/>
      </c>
      <c r="BM29" s="210" t="str">
        <f>IF(AND(C29="Skema 2",B29="ti"),Skemaoplysninger!$U$30,"")</f>
        <v/>
      </c>
      <c r="BN29" s="210" t="str">
        <f>IF(AND(C29="Skema 2",B29="on"),Skemaoplysninger!$W$30,"")</f>
        <v/>
      </c>
      <c r="BO29" s="210" t="str">
        <f>IF(AND(C29="Skema 2",B29="to"),Skemaoplysninger!$Y$30,"")</f>
        <v/>
      </c>
      <c r="BP29" s="210">
        <f>IF(AND(C29="Skema 2",B29="fr"),Skemaoplysninger!$AA$30,"")</f>
        <v>0.125</v>
      </c>
      <c r="BQ29" s="210" t="str">
        <f>IF(AND(C29="Skema 3",B29="ma"),Skemaoplysninger!$AG$30,"")</f>
        <v/>
      </c>
      <c r="BR29" s="210" t="str">
        <f>IF(AND(C29="Skema 3",B29="ti"),Skemaoplysninger!$AI$30,"")</f>
        <v/>
      </c>
      <c r="BS29" s="210" t="str">
        <f>IF(AND(C29="Skema 3",B29="on"),Skemaoplysninger!$AK$30,"")</f>
        <v/>
      </c>
      <c r="BT29" s="210" t="str">
        <f>IF(AND(C29="Skema 3",B29="to"),Skemaoplysninger!$AM$30,"")</f>
        <v/>
      </c>
      <c r="BU29" s="210" t="str">
        <f>IF(AND(C29="Skema 3",B29="fr"),Skemaoplysninger!$AO$30,"")</f>
        <v/>
      </c>
      <c r="BV29" s="210" t="str">
        <f>IF(AND(C29="Skema 4",B29="ma"),Skemaoplysninger!$AU$30,"")</f>
        <v/>
      </c>
      <c r="BW29" s="210" t="str">
        <f>IF(AND(C29="Skema 4",B29="ti"),Skemaoplysninger!$AW$30,"")</f>
        <v/>
      </c>
      <c r="BX29" s="210" t="str">
        <f>IF(AND(C29="Skema 4",B29="on"),Skemaoplysninger!$AY$30,"")</f>
        <v/>
      </c>
      <c r="BY29" s="210" t="str">
        <f>IF(AND(C29="Skema 4",B29="to"),Skemaoplysninger!$BA$30,"")</f>
        <v/>
      </c>
      <c r="BZ29" s="210" t="str">
        <f>IF(AND(C29="Skema 4",B29="fr"),Skemaoplysninger!$BC$30,"")</f>
        <v/>
      </c>
      <c r="CA29" s="1">
        <f t="shared" si="25"/>
        <v>3</v>
      </c>
      <c r="CB29" s="1">
        <f t="shared" si="10"/>
        <v>0</v>
      </c>
      <c r="CC29" s="1">
        <f t="shared" si="11"/>
        <v>0</v>
      </c>
      <c r="CD29" s="210" t="str">
        <f>IF(AND(C29="Skema 1",B29="ma"),Skemaoplysninger!$E$31,"")</f>
        <v/>
      </c>
      <c r="CE29" s="210" t="str">
        <f>IF(AND(C29="Skema 1",B29="ti"),Skemaoplysninger!$G$31,"")</f>
        <v/>
      </c>
      <c r="CF29" s="210" t="str">
        <f>IF(AND(C29="Skema 1",B29="on"),Skemaoplysninger!$I$31,"")</f>
        <v/>
      </c>
      <c r="CG29" s="210" t="str">
        <f>IF(AND(C29="Skema 1",B29="to"),Skemaoplysninger!$K$31,"")</f>
        <v/>
      </c>
      <c r="CH29" s="210" t="str">
        <f>IF(AND(C29="Skema 1",B29="fr"),Skemaoplysninger!$M$31,"")</f>
        <v/>
      </c>
      <c r="CI29" s="210" t="str">
        <f>IF(AND(C29="Skema 2",B29="ma"),Skemaoplysninger!$S$31,"")</f>
        <v/>
      </c>
      <c r="CJ29" s="210" t="str">
        <f>IF(AND(C29="Skema 2",B29="ti"),Skemaoplysninger!$U$31,"")</f>
        <v/>
      </c>
      <c r="CK29" s="210" t="str">
        <f>IF(AND(C29="Skema 2",B29="on"),Skemaoplysninger!$W$31,"")</f>
        <v/>
      </c>
      <c r="CL29" s="210" t="str">
        <f>IF(AND(C29="Skema 2",B29="to"),Skemaoplysninger!$Y$31,"")</f>
        <v/>
      </c>
      <c r="CM29" s="210">
        <f>IF(AND(C29="Skema 2",B29="fr"),Skemaoplysninger!$AA$31,"")</f>
        <v>3.4722222222222224E-2</v>
      </c>
      <c r="CN29" s="210" t="str">
        <f>IF(AND(C29="Skema 3",B29="ma"),Skemaoplysninger!$AG$31,"")</f>
        <v/>
      </c>
      <c r="CO29" s="210" t="str">
        <f>IF(AND(C29="Skema 3",B29="ti"),Skemaoplysninger!$AI$31,"")</f>
        <v/>
      </c>
      <c r="CP29" s="210" t="str">
        <f>IF(AND(C29="Skema 3",B29="on"),Skemaoplysninger!$AK$31,"")</f>
        <v/>
      </c>
      <c r="CQ29" s="210" t="str">
        <f>IF(AND(C29="Skema 3",B29="to"),Skemaoplysninger!$AM$31,"")</f>
        <v/>
      </c>
      <c r="CR29" s="210" t="str">
        <f>IF(AND(C29="Skema 3",B29="fr"),Skemaoplysninger!$AO$31,"")</f>
        <v/>
      </c>
      <c r="CS29" s="210" t="str">
        <f>IF(AND(C29="Skema 4",B29="ma"),Skemaoplysninger!$AU$31,"")</f>
        <v/>
      </c>
      <c r="CT29" s="210" t="str">
        <f>IF(AND(C29="Skema 4",B29="ti"),Skemaoplysninger!$AW$31,"")</f>
        <v/>
      </c>
      <c r="CU29" s="210" t="str">
        <f>IF(AND(C29="Skema 4",B29="on"),Skemaoplysninger!$AY$31,"")</f>
        <v/>
      </c>
      <c r="CV29" s="210" t="str">
        <f>IF(AND(C29="Skema 4",B29="to"),Skemaoplysninger!$BA$31,"")</f>
        <v/>
      </c>
      <c r="CW29" s="210" t="str">
        <f>IF(AND(C29="Skema 4",B29="fr"),Skemaoplysninger!$BC$31,"")</f>
        <v/>
      </c>
      <c r="CX29" s="249">
        <f>IF(Stamoplysninger!$H$29="NEJ",SUM(CD29:CW29)*24+CB29+CC29,0)</f>
        <v>0.83333333333333337</v>
      </c>
      <c r="CY29" s="249">
        <f>IF(C29="Skema 1",Stamoplysninger!$H$30/200,0)</f>
        <v>0</v>
      </c>
      <c r="CZ29" s="249">
        <f>IF(C29="Skema 2",Stamoplysninger!$H$30/200,0)</f>
        <v>0</v>
      </c>
      <c r="DA29" s="249">
        <f>IF(C29="Skema 3",Stamoplysninger!$H$30/200,0)</f>
        <v>0</v>
      </c>
      <c r="DB29" s="249">
        <f>IF(C29="Skema 4",Stamoplysninger!$H$30/200,0)</f>
        <v>0</v>
      </c>
      <c r="DC29" s="249">
        <f>IF(C29="fagdag",Stamoplysninger!$H$30/200,0)</f>
        <v>0</v>
      </c>
      <c r="DD29" s="249">
        <f>IF(C29="emnedag",Stamoplysninger!$H$30/200,0)</f>
        <v>0</v>
      </c>
      <c r="DE29" s="249">
        <f>IF(C29="lejrskole",Stamoplysninger!$H$30/200,0)</f>
        <v>0</v>
      </c>
      <c r="DF29" s="249">
        <f>IF(C29="ekskursion",Stamoplysninger!$H$30/200,0)</f>
        <v>0</v>
      </c>
      <c r="DG29" s="249">
        <f t="shared" si="26"/>
        <v>0</v>
      </c>
      <c r="DH29" t="str">
        <f t="shared" si="27"/>
        <v/>
      </c>
      <c r="DI29">
        <f t="shared" si="28"/>
        <v>0</v>
      </c>
      <c r="DJ29">
        <f t="shared" si="29"/>
        <v>0</v>
      </c>
      <c r="DK29" t="str">
        <f t="shared" si="12"/>
        <v/>
      </c>
      <c r="DL29" t="str">
        <f t="shared" si="12"/>
        <v/>
      </c>
      <c r="DM29" t="str">
        <f t="shared" si="12"/>
        <v/>
      </c>
      <c r="DN29" t="str">
        <f t="shared" si="30"/>
        <v/>
      </c>
      <c r="DO29" s="652">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71">
        <f>IF(AND(Stamoplysninger!$B$22="Ulempetillæg udbetales med 25% af nettotimelønnen.",C29="ikke relevant"),(R29)/4,0)</f>
        <v>0</v>
      </c>
      <c r="DT29" s="671">
        <f>IF(AND(AND(Stamoplysninger!$B$22="Ulempetillæg udbetales med 25% af nettotimelønnen.",I29="X",C29="Ikke relevant")),K29/4,0)</f>
        <v>0</v>
      </c>
      <c r="DU29" s="671">
        <f>IF(AND(AND(Stamoplysninger!$B$22="Ulempetillæg udbetales med 25% af nettotimelønnen.",C29="ikke relevant",U29="X")),(X29/4),0)</f>
        <v>0</v>
      </c>
      <c r="DV29" s="672">
        <f>IF(AND(AND(AND(Stamoplysninger!$B$22="Ulempetillæg udbetales med 25% af nettotimelønnen.",I29="X",C29="Ikke relevant",S29="X"))),V29/4,0)</f>
        <v>0</v>
      </c>
      <c r="DW29" s="652"/>
      <c r="DZ29" s="671"/>
      <c r="EA29" s="671"/>
      <c r="EB29" s="672"/>
      <c r="EC29" s="652">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71">
        <f>IF(AND(Stamoplysninger!$B$22="Ulempetillæg afspadseres med 25%(Kræver en aftale imellem ledelsen og den ansatte)",C29="ikke relevant"),(R29)/4,0)</f>
        <v>0</v>
      </c>
      <c r="EH29" s="671">
        <f>IF(AND(AND(Stamoplysninger!$B$22="Ulempetillæg afspadseres med 25%(Kræver en aftale imellem ledelsen og den ansatte)",I29="X",C29="Ikke relevant")),K29/4,0)</f>
        <v>0</v>
      </c>
      <c r="EI29" s="671">
        <f>IF(AND(AND(Stamoplysninger!$B$22="Ulempetillæg afspadseres med 25%(Kræver en aftale imellem ledelsen og den ansatte)",U29="X",C29="Ikke relevant")),X29/4,0)</f>
        <v>0</v>
      </c>
      <c r="EJ29" s="671">
        <f>IF(AND(AND(AND(Stamoplysninger!$B$22="Ulempetillæg afspadseres med 25%(Kræver en aftale imellem ledelsen og den ansatte)",I29="X",C29="Ikke relevant",S29="X"))),V29/4,0)</f>
        <v>0</v>
      </c>
      <c r="EK29" s="283">
        <f>IF(AND(Stamoplysninger!$B$26="Weekendtimer og weekendtillæg afspadseres.",I29="X"),K29*1.5,0)</f>
        <v>0</v>
      </c>
      <c r="EL29" s="251">
        <f>IF(AND(AND(Stamoplysninger!$B$26="Weekendtimer og weekendtillæg afspadseres.",I29="X",S29="X")),V29*1.5,0)</f>
        <v>0</v>
      </c>
      <c r="EM29" s="674">
        <f>IF(AND(AND(Stamoplysninger!$B$26="Weekendtimer og weekendtillæg afspadseres.",I29="X",C29="ikke relevant")),K29*1.5,0)</f>
        <v>0</v>
      </c>
      <c r="EN29" s="675">
        <f>IF(AND(AND(AND(Stamoplysninger!$B$26="Weekendtimer og weekendtillæg afspadseres.",I29="X",C29="ikke relevant",S29="X"))),(V29*1.5),0)</f>
        <v>0</v>
      </c>
      <c r="EO29" s="283">
        <f>IF(AND(Stamoplysninger!$B$26="Weekendtimer og weekendtillæg udbetales.",I29="X"),K29*1.5,0)</f>
        <v>0</v>
      </c>
      <c r="EP29" s="251">
        <f>IF(AND(AND(Stamoplysninger!$B$26="Weekendtimer og weekendtillæg udbetales.",I29="X",S29="X")),V29*1.5,0)</f>
        <v>0</v>
      </c>
      <c r="EQ29" s="674">
        <f>IF(AND(AND(Stamoplysninger!$B$26="Weekendtimer og weekendtillæg udbetales.",I29="X",C29="ikke relevant")),K29*1.5,0)</f>
        <v>0</v>
      </c>
      <c r="ER29" s="675">
        <f>IF(AND(AND(AND(Stamoplysninger!$B$26="Weekendtimer og weekendtillæg udbetales.",I29="X",C29="ikke relevant",S29="X"))),(V29*1.5),0)</f>
        <v>0</v>
      </c>
      <c r="ES29" s="283">
        <f>IF(AND(Stamoplysninger!$B$26="Der er indgået lokalaftale omkring weekendtimer.(Kræver aftale med TR/FSL) Weekendtillæg afspadseres.",I29="X"),K29*0.5,0)</f>
        <v>0</v>
      </c>
      <c r="ET29" s="251">
        <f>IF(AND(AND(Stamoplysninger!$B$26="Der er indgået lokalaftale omkring weekendtimer.(Kræver aftale med TR/FSL) Weekendtillæg afspadseres.",I29="X",S29="X")),V29*0.5,0)</f>
        <v>0</v>
      </c>
      <c r="EU29" s="674">
        <f>IF(AND(AND(Stamoplysninger!$B$26="Der er indgået lokalaftale omkring weekendtimer.(Kræver aftale med TR/FSL) Weekendtillæg afspadseres.",I29="X",C29="ikke relevant")),K29*0.5,0)</f>
        <v>0</v>
      </c>
      <c r="EV29" s="675">
        <f>IF(AND(AND(AND(Stamoplysninger!$B$26="Der er indgået lokalaftale omkring weekendtimer.(Kræver aftale med TR/FSL) Weekendtillæg afspadseres.",I29="X",C29="ikke relevant",S29="X"))),(V29*0.5),0)</f>
        <v>0</v>
      </c>
      <c r="EW29" s="283">
        <f>IF(AND(Stamoplysninger!$B$26="Der er indgået lokalaftale omkring weekendtimer(Kræver aftale med TR/FSL). Weekendtillæg udbetales.",I29="X"),K29*0.5,0)</f>
        <v>0</v>
      </c>
      <c r="EX29" s="251">
        <f>IF(AND(AND(Stamoplysninger!$B$26="Der er indgået lokalaftale omkring weekendtimer(Kræver aftale med TR/FSL). Weekendtillæg udbetales.",I29="X",S29="X")),V29*0.5,0)</f>
        <v>0</v>
      </c>
      <c r="EY29" s="674">
        <f>IF(AND(AND(Stamoplysninger!$B$26="Der er indgået lokalaftale omkring weekendtimer(Kræver aftale med TR/FSL). Weekendtillæg udbetales.",I29="X",C29="ikke relevant")),K29*0.5,0)</f>
        <v>0</v>
      </c>
      <c r="EZ29" s="675">
        <f>IF(AND(AND(AND(Stamoplysninger!$B$26="Der er indgået lokalaftale omkring weekendtimer(Kræver aftale med TR/FSL). Weekendtillæg udbetales.",I29="X",C29="ikke relevant",S29="X"))),(V29*0.5),0)</f>
        <v>0</v>
      </c>
      <c r="FA29" s="283">
        <f>IF(AND(Stamoplysninger!$B$26="Der er indgået lokalaftale omkring weekendtillæg(Kræver aftale med TR/FSL). Weekendtimerne afspadseres.",I29="X"),K29,0)</f>
        <v>0</v>
      </c>
      <c r="FB29" s="251">
        <f>IF(AND(AND(Stamoplysninger!$B$26="Der er indgået lokalaftale omkring weekendtillæg(Kræver aftale med TR/FSL). Weekendtimerne afspadseres.",I29="X",S29="X")),V29,0)</f>
        <v>0</v>
      </c>
      <c r="FC29" s="674">
        <f>IF(AND(AND(Stamoplysninger!$B$26="Der er indgået lokalaftale omkring weekendtillæg(Kræver aftale med TR/FSL). Weekendtimerne afspadseres..",I29="X",C29="ikke relevant")),K29,0)</f>
        <v>0</v>
      </c>
      <c r="FD29" s="675">
        <f>IF(AND(AND(AND(Stamoplysninger!$B$26="Der er indgået lokalaftale omkring weekendtillæg(Kræver aftale med TR/FSL). Weekendtimerne afspadseres.",I29="X",C29="ikke relevant",S29="X"))),(V29),0)</f>
        <v>0</v>
      </c>
      <c r="FE29" s="283">
        <f>IF(AND(Stamoplysninger!$B$26="Der er indgået lokalaftale omkring weekendtillæg(Kræver aftale med TR/FSL). Weekendtimerne udbetales.",I29="X"),K29,0)</f>
        <v>0</v>
      </c>
      <c r="FF29" s="251">
        <f>IF(AND(AND(Stamoplysninger!$B$26="Der er indgået lokalaftale omkring weekendtillæg(Kræver aftale med TR/FSL). Weekendtimerne udbetales.",I29="X",S29="X")),V29,0)</f>
        <v>0</v>
      </c>
      <c r="FG29" s="674">
        <f>IF(AND(AND(Stamoplysninger!$B$26="Der er indgået lokalaftale omkring weekendtillæg(Kræver aftale med TR/FSL). Weekendtimerne udbetales.",I29="X",C29="ikke relevant")),K29,0)</f>
        <v>0</v>
      </c>
      <c r="FH29" s="675">
        <f>IF(AND(AND(AND(Stamoplysninger!$B$26="Der er indgået lokalaftale omkring weekendtillæg(Kræver aftale med TR/FSL). Weekendtimerne udbetales.",I29="X",C29="ikke relevant",S29="X"))),(V29),0)</f>
        <v>0</v>
      </c>
      <c r="FI29" s="283">
        <f>IF(AND(Stamoplysninger!$B$26="Weekendtimer og weekendtillæg afspadseres.",I29="X"),K29,0)</f>
        <v>0</v>
      </c>
      <c r="FJ29" s="251">
        <f>IF(AND(Stamoplysninger!$B$26="Weekendtimer og weekendtillæg afspadseres.",Y29="X"),(AA29+AL29)/2,0)</f>
        <v>0</v>
      </c>
      <c r="FK29" s="674">
        <f>IF(AND(AND(Stamoplysninger!$B$26="Weekendtimer og weekendtillæg afspadseres.",I29="X",C29="ikke relevant")),K29,0)</f>
        <v>0</v>
      </c>
      <c r="FL29" s="675">
        <f>IF(AND(AND(Stamoplysninger!$B$26="Weekendtimer og weekendtillæg afspadseres.",Y29="X",S29="ikke relevant")),(AA29+AL29)/2,0)</f>
        <v>0</v>
      </c>
      <c r="FM29" s="283">
        <f>IF(AND(Stamoplysninger!$B$26="Der er indgået lokalaftale omkring weekendtillæg(Kræver aftale med TR/FSL). Weekendtimerne afspadseres.",I29="X"),K29,0)</f>
        <v>0</v>
      </c>
      <c r="FN29" s="674">
        <f>IF(AND(AND(Stamoplysninger!$B$26="Der er indgået lokalaftale omkring weekendtillæg(Kræver aftale med TR/FSL). Weekendtimerne afspadseres.",I29="X",C29="ikke relevant")),K29,0)</f>
        <v>0</v>
      </c>
      <c r="FO29" s="283">
        <f>IF(AND(Stamoplysninger!$B$26="Weekendtimer og weekendtillæg udbetales.",I29="X"),K29,0)</f>
        <v>0</v>
      </c>
      <c r="FP29" s="251">
        <f>IF(AND(Stamoplysninger!$B$26="Weekendtimer og weekendtillæg udbetales.",AA29="X"),(AC29+AN29)/2,0)</f>
        <v>0</v>
      </c>
      <c r="FQ29" s="674">
        <f>IF(AND(AND(Stamoplysninger!$B$26="Weekendtimer og weekendtillæg udbetales.",I29="X",C29="ikke relevant")),K29,0)</f>
        <v>0</v>
      </c>
      <c r="FR29" s="688">
        <f>IF(AND(AND(Stamoplysninger!$B$26="Weekendtimer og weekendtillæg udbetales.",AA29="X",U29="ikke relevant")),(AC29+AN29)/2,0)</f>
        <v>0</v>
      </c>
      <c r="FS29" s="283">
        <f t="shared" si="13"/>
        <v>0</v>
      </c>
      <c r="FT29" s="658">
        <f t="shared" si="14"/>
        <v>0</v>
      </c>
      <c r="FU29">
        <f>IF(AND(C29="weekend",I29="X"),K29,0)</f>
        <v>0</v>
      </c>
      <c r="FV29" s="283">
        <f>IF(AND(Stamoplysninger!$B$26="Der er indgået lokalaftale omkring weekendtimer.(Kræver aftale med TR/FSL) Weekendtillæg afspadseres.",I29="X"),K29,0)</f>
        <v>0</v>
      </c>
      <c r="FW29" s="674">
        <f>IF(AND(AND(Stamoplysninger!$B$26="Der er indgået lokalaftale omkring weekendtimer.(Kræver aftale med TR/FSL) Weekendtillæg afspadseres.",I29="X",C29="ikke relevant")),K29,0)</f>
        <v>0</v>
      </c>
      <c r="FX29" s="283">
        <f>IF(AND(Stamoplysninger!$B$26="Der er indgået lokalaftale omkring weekendtimer(Kræver aftale med TR/FSL). Weekendtillæg udbetales.",I29="X"),K29,0)</f>
        <v>0</v>
      </c>
      <c r="FY29" s="674">
        <f>IF(AND(AND(Stamoplysninger!$B$26="Der er indgået lokalaftale omkring weekendtimer(Kræver aftale med TR/FSL). Weekendtillæg udbetales.",I29="X",C29="ikke relevant")),K29,0)</f>
        <v>0</v>
      </c>
      <c r="FZ29" s="283">
        <f>IF(AND(Stamoplysninger!$B$26="Der er indgået lokalaftale omkring weekendtillæg(Kræver aftale med TR/FSL). Weekendtimerne udbetales.",I29="X"),K29,0)</f>
        <v>0</v>
      </c>
      <c r="GA29" s="674">
        <f>IF(AND(AND(Stamoplysninger!$B$26="Der er indgået lokalaftale omkring weekendtillæg(Kræver aftale med TR/FSL). Weekendtimerne udbetales.",I29="X",C29="ikke relevant")),K29,0)</f>
        <v>0</v>
      </c>
      <c r="GB29" s="283">
        <f>IF(AND(Stamoplysninger!$B$26="Der er indgået lokalaftale omkring weekendtimer og weekendtillæg.(Kræver aftale med TR/FSL).",I29="X"),K29,0)</f>
        <v>0</v>
      </c>
      <c r="GC29" s="674">
        <f>IF(AND(AND(Stamoplysninger!$B$26="Der er indgået lokalaftale omkring weekendtimer og weekendtillæg.(Kræver aftale med TR/FSL).",I29="X",C29="ikke relevant")),K29,0)</f>
        <v>0</v>
      </c>
    </row>
    <row r="30" spans="1:185">
      <c r="A30" s="245">
        <f t="shared" si="16"/>
        <v>22</v>
      </c>
      <c r="B30" s="128" t="str">
        <f t="shared" si="0"/>
        <v>lø</v>
      </c>
      <c r="C30" s="129" t="s">
        <v>120</v>
      </c>
      <c r="D30" s="130" t="str">
        <f t="shared" si="1"/>
        <v/>
      </c>
      <c r="E30" s="917"/>
      <c r="F30" s="918"/>
      <c r="G30" s="919"/>
      <c r="H30" s="298"/>
      <c r="I30" s="413"/>
      <c r="J30" s="413"/>
      <c r="K30" s="380"/>
      <c r="L30" s="380"/>
      <c r="M30" s="380"/>
      <c r="N30" s="318">
        <f t="shared" si="17"/>
        <v>0</v>
      </c>
      <c r="O30" s="318">
        <f t="shared" si="18"/>
        <v>0</v>
      </c>
      <c r="P30" s="318">
        <f>IF(Stamoplysninger!$H$29="JA",Februar!DG30,CX30)</f>
        <v>0</v>
      </c>
      <c r="Q30" s="318">
        <f t="shared" si="19"/>
        <v>0</v>
      </c>
      <c r="R30" s="319"/>
      <c r="S30" s="324"/>
      <c r="T30" s="325"/>
      <c r="U30" s="325"/>
      <c r="V30" s="435"/>
      <c r="W30" s="435"/>
      <c r="X30" s="644"/>
      <c r="Y30">
        <f t="shared" si="20"/>
        <v>0</v>
      </c>
      <c r="Z30" s="437">
        <f t="shared" si="21"/>
        <v>0</v>
      </c>
      <c r="AA30" s="1">
        <f t="shared" si="22"/>
        <v>0</v>
      </c>
      <c r="AB30" s="1">
        <f t="shared" si="2"/>
        <v>0</v>
      </c>
      <c r="AC30" s="1">
        <f t="shared" si="3"/>
        <v>0</v>
      </c>
      <c r="AD30" s="1">
        <f t="shared" si="4"/>
        <v>0</v>
      </c>
      <c r="AE30" s="1">
        <f t="shared" si="5"/>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9">
        <f t="shared" si="6"/>
        <v>0</v>
      </c>
      <c r="BC30" s="1">
        <f t="shared" si="24"/>
        <v>0</v>
      </c>
      <c r="BD30" s="1">
        <f t="shared" si="7"/>
        <v>0</v>
      </c>
      <c r="BE30" s="1">
        <f t="shared" si="8"/>
        <v>0</v>
      </c>
      <c r="BF30" s="1">
        <f t="shared" si="9"/>
        <v>0</v>
      </c>
      <c r="BG30" s="210" t="str">
        <f>IF(AND(C30="Skema 1",B30="ma"),Skemaoplysninger!$E$30,"")</f>
        <v/>
      </c>
      <c r="BH30" s="210" t="str">
        <f>IF(AND(C30="Skema 1",B30="ti"),Skemaoplysninger!$G$30,"")</f>
        <v/>
      </c>
      <c r="BI30" s="210" t="str">
        <f>IF(AND(C30="Skema 1",B30="on"),Skemaoplysninger!$I$30,"")</f>
        <v/>
      </c>
      <c r="BJ30" s="210" t="str">
        <f>IF(AND(C30="Skema 1",B30="to"),Skemaoplysninger!$K$30,"")</f>
        <v/>
      </c>
      <c r="BK30" s="210" t="str">
        <f>IF(AND(C30="Skema 1",B30="fr"),Skemaoplysninger!$M$30,"")</f>
        <v/>
      </c>
      <c r="BL30" s="210" t="str">
        <f>IF(AND(C30="Skema 2",B30="ma"),Skemaoplysninger!$S$30,"")</f>
        <v/>
      </c>
      <c r="BM30" s="210" t="str">
        <f>IF(AND(C30="Skema 2",B30="ti"),Skemaoplysninger!$U$30,"")</f>
        <v/>
      </c>
      <c r="BN30" s="210" t="str">
        <f>IF(AND(C30="Skema 2",B30="on"),Skemaoplysninger!$W$30,"")</f>
        <v/>
      </c>
      <c r="BO30" s="210" t="str">
        <f>IF(AND(C30="Skema 2",B30="to"),Skemaoplysninger!$Y$30,"")</f>
        <v/>
      </c>
      <c r="BP30" s="210" t="str">
        <f>IF(AND(C30="Skema 2",B30="fr"),Skemaoplysninger!$AA$30,"")</f>
        <v/>
      </c>
      <c r="BQ30" s="210" t="str">
        <f>IF(AND(C30="Skema 3",B30="ma"),Skemaoplysninger!$AG$30,"")</f>
        <v/>
      </c>
      <c r="BR30" s="210" t="str">
        <f>IF(AND(C30="Skema 3",B30="ti"),Skemaoplysninger!$AI$30,"")</f>
        <v/>
      </c>
      <c r="BS30" s="210" t="str">
        <f>IF(AND(C30="Skema 3",B30="on"),Skemaoplysninger!$AK$30,"")</f>
        <v/>
      </c>
      <c r="BT30" s="210" t="str">
        <f>IF(AND(C30="Skema 3",B30="to"),Skemaoplysninger!$AM$30,"")</f>
        <v/>
      </c>
      <c r="BU30" s="210" t="str">
        <f>IF(AND(C30="Skema 3",B30="fr"),Skemaoplysninger!$AO$30,"")</f>
        <v/>
      </c>
      <c r="BV30" s="210" t="str">
        <f>IF(AND(C30="Skema 4",B30="ma"),Skemaoplysninger!$AU$30,"")</f>
        <v/>
      </c>
      <c r="BW30" s="210" t="str">
        <f>IF(AND(C30="Skema 4",B30="ti"),Skemaoplysninger!$AW$30,"")</f>
        <v/>
      </c>
      <c r="BX30" s="210" t="str">
        <f>IF(AND(C30="Skema 4",B30="on"),Skemaoplysninger!$AY$30,"")</f>
        <v/>
      </c>
      <c r="BY30" s="210" t="str">
        <f>IF(AND(C30="Skema 4",B30="to"),Skemaoplysninger!$BA$30,"")</f>
        <v/>
      </c>
      <c r="BZ30" s="210" t="str">
        <f>IF(AND(C30="Skema 4",B30="fr"),Skemaoplysninger!$BC$30,"")</f>
        <v/>
      </c>
      <c r="CA30" s="1">
        <f t="shared" si="25"/>
        <v>0</v>
      </c>
      <c r="CB30" s="1">
        <f t="shared" si="10"/>
        <v>0</v>
      </c>
      <c r="CC30" s="1">
        <f t="shared" si="11"/>
        <v>0</v>
      </c>
      <c r="CD30" s="210" t="str">
        <f>IF(AND(C30="Skema 1",B30="ma"),Skemaoplysninger!$E$31,"")</f>
        <v/>
      </c>
      <c r="CE30" s="210" t="str">
        <f>IF(AND(C30="Skema 1",B30="ti"),Skemaoplysninger!$G$31,"")</f>
        <v/>
      </c>
      <c r="CF30" s="210" t="str">
        <f>IF(AND(C30="Skema 1",B30="on"),Skemaoplysninger!$I$31,"")</f>
        <v/>
      </c>
      <c r="CG30" s="210" t="str">
        <f>IF(AND(C30="Skema 1",B30="to"),Skemaoplysninger!$K$31,"")</f>
        <v/>
      </c>
      <c r="CH30" s="210" t="str">
        <f>IF(AND(C30="Skema 1",B30="fr"),Skemaoplysninger!$M$31,"")</f>
        <v/>
      </c>
      <c r="CI30" s="210" t="str">
        <f>IF(AND(C30="Skema 2",B30="ma"),Skemaoplysninger!$S$31,"")</f>
        <v/>
      </c>
      <c r="CJ30" s="210" t="str">
        <f>IF(AND(C30="Skema 2",B30="ti"),Skemaoplysninger!$U$31,"")</f>
        <v/>
      </c>
      <c r="CK30" s="210" t="str">
        <f>IF(AND(C30="Skema 2",B30="on"),Skemaoplysninger!$W$31,"")</f>
        <v/>
      </c>
      <c r="CL30" s="210" t="str">
        <f>IF(AND(C30="Skema 2",B30="to"),Skemaoplysninger!$Y$31,"")</f>
        <v/>
      </c>
      <c r="CM30" s="210" t="str">
        <f>IF(AND(C30="Skema 2",B30="fr"),Skemaoplysninger!$AA$31,"")</f>
        <v/>
      </c>
      <c r="CN30" s="210" t="str">
        <f>IF(AND(C30="Skema 3",B30="ma"),Skemaoplysninger!$AG$31,"")</f>
        <v/>
      </c>
      <c r="CO30" s="210" t="str">
        <f>IF(AND(C30="Skema 3",B30="ti"),Skemaoplysninger!$AI$31,"")</f>
        <v/>
      </c>
      <c r="CP30" s="210" t="str">
        <f>IF(AND(C30="Skema 3",B30="on"),Skemaoplysninger!$AK$31,"")</f>
        <v/>
      </c>
      <c r="CQ30" s="210" t="str">
        <f>IF(AND(C30="Skema 3",B30="to"),Skemaoplysninger!$AM$31,"")</f>
        <v/>
      </c>
      <c r="CR30" s="210" t="str">
        <f>IF(AND(C30="Skema 3",B30="fr"),Skemaoplysninger!$AO$31,"")</f>
        <v/>
      </c>
      <c r="CS30" s="210" t="str">
        <f>IF(AND(C30="Skema 4",B30="ma"),Skemaoplysninger!$AU$31,"")</f>
        <v/>
      </c>
      <c r="CT30" s="210" t="str">
        <f>IF(AND(C30="Skema 4",B30="ti"),Skemaoplysninger!$AW$31,"")</f>
        <v/>
      </c>
      <c r="CU30" s="210" t="str">
        <f>IF(AND(C30="Skema 4",B30="on"),Skemaoplysninger!$AY$31,"")</f>
        <v/>
      </c>
      <c r="CV30" s="210" t="str">
        <f>IF(AND(C30="Skema 4",B30="to"),Skemaoplysninger!$BA$31,"")</f>
        <v/>
      </c>
      <c r="CW30" s="210" t="str">
        <f>IF(AND(C30="Skema 4",B30="fr"),Skemaoplysninger!$BC$31,"")</f>
        <v/>
      </c>
      <c r="CX30" s="249">
        <f>IF(Stamoplysninger!$H$29="NEJ",SUM(CD30:CW30)*24+CB30+CC30,0)</f>
        <v>0</v>
      </c>
      <c r="CY30" s="249">
        <f>IF(C30="Skema 1",Stamoplysninger!$H$30/200,0)</f>
        <v>0</v>
      </c>
      <c r="CZ30" s="249">
        <f>IF(C30="Skema 2",Stamoplysninger!$H$30/200,0)</f>
        <v>0</v>
      </c>
      <c r="DA30" s="249">
        <f>IF(C30="Skema 3",Stamoplysninger!$H$30/200,0)</f>
        <v>0</v>
      </c>
      <c r="DB30" s="249">
        <f>IF(C30="Skema 4",Stamoplysninger!$H$30/200,0)</f>
        <v>0</v>
      </c>
      <c r="DC30" s="249">
        <f>IF(C30="fagdag",Stamoplysninger!$H$30/200,0)</f>
        <v>0</v>
      </c>
      <c r="DD30" s="249">
        <f>IF(C30="emnedag",Stamoplysninger!$H$30/200,0)</f>
        <v>0</v>
      </c>
      <c r="DE30" s="249">
        <f>IF(C30="lejrskole",Stamoplysninger!$H$30/200,0)</f>
        <v>0</v>
      </c>
      <c r="DF30" s="249">
        <f>IF(C30="ekskursion",Stamoplysninger!$H$30/200,0)</f>
        <v>0</v>
      </c>
      <c r="DG30" s="249">
        <f t="shared" si="26"/>
        <v>0</v>
      </c>
      <c r="DH30" t="str">
        <f t="shared" si="27"/>
        <v/>
      </c>
      <c r="DI30">
        <f t="shared" si="28"/>
        <v>0</v>
      </c>
      <c r="DJ30">
        <f t="shared" si="29"/>
        <v>0</v>
      </c>
      <c r="DK30" t="str">
        <f t="shared" si="12"/>
        <v/>
      </c>
      <c r="DL30" t="str">
        <f t="shared" si="12"/>
        <v/>
      </c>
      <c r="DM30" t="str">
        <f t="shared" si="12"/>
        <v/>
      </c>
      <c r="DN30" t="str">
        <f t="shared" si="30"/>
        <v/>
      </c>
      <c r="DO30" s="652">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71">
        <f>IF(AND(Stamoplysninger!$B$22="Ulempetillæg udbetales med 25% af nettotimelønnen.",C30="ikke relevant"),(R30)/4,0)</f>
        <v>0</v>
      </c>
      <c r="DT30" s="671">
        <f>IF(AND(AND(Stamoplysninger!$B$22="Ulempetillæg udbetales med 25% af nettotimelønnen.",I30="X",C30="Ikke relevant")),K30/4,0)</f>
        <v>0</v>
      </c>
      <c r="DU30" s="671">
        <f>IF(AND(AND(Stamoplysninger!$B$22="Ulempetillæg udbetales med 25% af nettotimelønnen.",C30="ikke relevant",U30="X")),(X30/4),0)</f>
        <v>0</v>
      </c>
      <c r="DV30" s="672">
        <f>IF(AND(AND(AND(Stamoplysninger!$B$22="Ulempetillæg udbetales med 25% af nettotimelønnen.",I30="X",C30="Ikke relevant",S30="X"))),V30/4,0)</f>
        <v>0</v>
      </c>
      <c r="DW30" s="652"/>
      <c r="DZ30" s="671"/>
      <c r="EA30" s="671"/>
      <c r="EB30" s="672"/>
      <c r="EC30" s="652">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71">
        <f>IF(AND(Stamoplysninger!$B$22="Ulempetillæg afspadseres med 25%(Kræver en aftale imellem ledelsen og den ansatte)",C30="ikke relevant"),(R30)/4,0)</f>
        <v>0</v>
      </c>
      <c r="EH30" s="671">
        <f>IF(AND(AND(Stamoplysninger!$B$22="Ulempetillæg afspadseres med 25%(Kræver en aftale imellem ledelsen og den ansatte)",I30="X",C30="Ikke relevant")),K30/4,0)</f>
        <v>0</v>
      </c>
      <c r="EI30" s="671">
        <f>IF(AND(AND(Stamoplysninger!$B$22="Ulempetillæg afspadseres med 25%(Kræver en aftale imellem ledelsen og den ansatte)",U30="X",C30="Ikke relevant")),X30/4,0)</f>
        <v>0</v>
      </c>
      <c r="EJ30" s="671">
        <f>IF(AND(AND(AND(Stamoplysninger!$B$22="Ulempetillæg afspadseres med 25%(Kræver en aftale imellem ledelsen og den ansatte)",I30="X",C30="Ikke relevant",S30="X"))),V30/4,0)</f>
        <v>0</v>
      </c>
      <c r="EK30" s="283">
        <f>IF(AND(Stamoplysninger!$B$26="Weekendtimer og weekendtillæg afspadseres.",I30="X"),K30*1.5,0)</f>
        <v>0</v>
      </c>
      <c r="EL30" s="251">
        <f>IF(AND(AND(Stamoplysninger!$B$26="Weekendtimer og weekendtillæg afspadseres.",I30="X",S30="X")),V30*1.5,0)</f>
        <v>0</v>
      </c>
      <c r="EM30" s="674">
        <f>IF(AND(AND(Stamoplysninger!$B$26="Weekendtimer og weekendtillæg afspadseres.",I30="X",C30="ikke relevant")),K30*1.5,0)</f>
        <v>0</v>
      </c>
      <c r="EN30" s="675">
        <f>IF(AND(AND(AND(Stamoplysninger!$B$26="Weekendtimer og weekendtillæg afspadseres.",I30="X",C30="ikke relevant",S30="X"))),(V30*1.5),0)</f>
        <v>0</v>
      </c>
      <c r="EO30" s="283">
        <f>IF(AND(Stamoplysninger!$B$26="Weekendtimer og weekendtillæg udbetales.",I30="X"),K30*1.5,0)</f>
        <v>0</v>
      </c>
      <c r="EP30" s="251">
        <f>IF(AND(AND(Stamoplysninger!$B$26="Weekendtimer og weekendtillæg udbetales.",I30="X",S30="X")),V30*1.5,0)</f>
        <v>0</v>
      </c>
      <c r="EQ30" s="674">
        <f>IF(AND(AND(Stamoplysninger!$B$26="Weekendtimer og weekendtillæg udbetales.",I30="X",C30="ikke relevant")),K30*1.5,0)</f>
        <v>0</v>
      </c>
      <c r="ER30" s="675">
        <f>IF(AND(AND(AND(Stamoplysninger!$B$26="Weekendtimer og weekendtillæg udbetales.",I30="X",C30="ikke relevant",S30="X"))),(V30*1.5),0)</f>
        <v>0</v>
      </c>
      <c r="ES30" s="283">
        <f>IF(AND(Stamoplysninger!$B$26="Der er indgået lokalaftale omkring weekendtimer.(Kræver aftale med TR/FSL) Weekendtillæg afspadseres.",I30="X"),K30*0.5,0)</f>
        <v>0</v>
      </c>
      <c r="ET30" s="251">
        <f>IF(AND(AND(Stamoplysninger!$B$26="Der er indgået lokalaftale omkring weekendtimer.(Kræver aftale med TR/FSL) Weekendtillæg afspadseres.",I30="X",S30="X")),V30*0.5,0)</f>
        <v>0</v>
      </c>
      <c r="EU30" s="674">
        <f>IF(AND(AND(Stamoplysninger!$B$26="Der er indgået lokalaftale omkring weekendtimer.(Kræver aftale med TR/FSL) Weekendtillæg afspadseres.",I30="X",C30="ikke relevant")),K30*0.5,0)</f>
        <v>0</v>
      </c>
      <c r="EV30" s="675">
        <f>IF(AND(AND(AND(Stamoplysninger!$B$26="Der er indgået lokalaftale omkring weekendtimer.(Kræver aftale med TR/FSL) Weekendtillæg afspadseres.",I30="X",C30="ikke relevant",S30="X"))),(V30*0.5),0)</f>
        <v>0</v>
      </c>
      <c r="EW30" s="283">
        <f>IF(AND(Stamoplysninger!$B$26="Der er indgået lokalaftale omkring weekendtimer(Kræver aftale med TR/FSL). Weekendtillæg udbetales.",I30="X"),K30*0.5,0)</f>
        <v>0</v>
      </c>
      <c r="EX30" s="251">
        <f>IF(AND(AND(Stamoplysninger!$B$26="Der er indgået lokalaftale omkring weekendtimer(Kræver aftale med TR/FSL). Weekendtillæg udbetales.",I30="X",S30="X")),V30*0.5,0)</f>
        <v>0</v>
      </c>
      <c r="EY30" s="674">
        <f>IF(AND(AND(Stamoplysninger!$B$26="Der er indgået lokalaftale omkring weekendtimer(Kræver aftale med TR/FSL). Weekendtillæg udbetales.",I30="X",C30="ikke relevant")),K30*0.5,0)</f>
        <v>0</v>
      </c>
      <c r="EZ30" s="675">
        <f>IF(AND(AND(AND(Stamoplysninger!$B$26="Der er indgået lokalaftale omkring weekendtimer(Kræver aftale med TR/FSL). Weekendtillæg udbetales.",I30="X",C30="ikke relevant",S30="X"))),(V30*0.5),0)</f>
        <v>0</v>
      </c>
      <c r="FA30" s="283">
        <f>IF(AND(Stamoplysninger!$B$26="Der er indgået lokalaftale omkring weekendtillæg(Kræver aftale med TR/FSL). Weekendtimerne afspadseres.",I30="X"),K30,0)</f>
        <v>0</v>
      </c>
      <c r="FB30" s="251">
        <f>IF(AND(AND(Stamoplysninger!$B$26="Der er indgået lokalaftale omkring weekendtillæg(Kræver aftale med TR/FSL). Weekendtimerne afspadseres.",I30="X",S30="X")),V30,0)</f>
        <v>0</v>
      </c>
      <c r="FC30" s="674">
        <f>IF(AND(AND(Stamoplysninger!$B$26="Der er indgået lokalaftale omkring weekendtillæg(Kræver aftale med TR/FSL). Weekendtimerne afspadseres..",I30="X",C30="ikke relevant")),K30,0)</f>
        <v>0</v>
      </c>
      <c r="FD30" s="675">
        <f>IF(AND(AND(AND(Stamoplysninger!$B$26="Der er indgået lokalaftale omkring weekendtillæg(Kræver aftale med TR/FSL). Weekendtimerne afspadseres.",I30="X",C30="ikke relevant",S30="X"))),(V30),0)</f>
        <v>0</v>
      </c>
      <c r="FE30" s="283">
        <f>IF(AND(Stamoplysninger!$B$26="Der er indgået lokalaftale omkring weekendtillæg(Kræver aftale med TR/FSL). Weekendtimerne udbetales.",I30="X"),K30,0)</f>
        <v>0</v>
      </c>
      <c r="FF30" s="251">
        <f>IF(AND(AND(Stamoplysninger!$B$26="Der er indgået lokalaftale omkring weekendtillæg(Kræver aftale med TR/FSL). Weekendtimerne udbetales.",I30="X",S30="X")),V30,0)</f>
        <v>0</v>
      </c>
      <c r="FG30" s="674">
        <f>IF(AND(AND(Stamoplysninger!$B$26="Der er indgået lokalaftale omkring weekendtillæg(Kræver aftale med TR/FSL). Weekendtimerne udbetales.",I30="X",C30="ikke relevant")),K30,0)</f>
        <v>0</v>
      </c>
      <c r="FH30" s="675">
        <f>IF(AND(AND(AND(Stamoplysninger!$B$26="Der er indgået lokalaftale omkring weekendtillæg(Kræver aftale med TR/FSL). Weekendtimerne udbetales.",I30="X",C30="ikke relevant",S30="X"))),(V30),0)</f>
        <v>0</v>
      </c>
      <c r="FI30" s="283">
        <f>IF(AND(Stamoplysninger!$B$26="Weekendtimer og weekendtillæg afspadseres.",I30="X"),K30,0)</f>
        <v>0</v>
      </c>
      <c r="FJ30" s="251">
        <f>IF(AND(Stamoplysninger!$B$26="Weekendtimer og weekendtillæg afspadseres.",Y30="X"),(AA30+AL30)/2,0)</f>
        <v>0</v>
      </c>
      <c r="FK30" s="674">
        <f>IF(AND(AND(Stamoplysninger!$B$26="Weekendtimer og weekendtillæg afspadseres.",I30="X",C30="ikke relevant")),K30,0)</f>
        <v>0</v>
      </c>
      <c r="FL30" s="675">
        <f>IF(AND(AND(Stamoplysninger!$B$26="Weekendtimer og weekendtillæg afspadseres.",Y30="X",S30="ikke relevant")),(AA30+AL30)/2,0)</f>
        <v>0</v>
      </c>
      <c r="FM30" s="283">
        <f>IF(AND(Stamoplysninger!$B$26="Der er indgået lokalaftale omkring weekendtillæg(Kræver aftale med TR/FSL). Weekendtimerne afspadseres.",I30="X"),K30,0)</f>
        <v>0</v>
      </c>
      <c r="FN30" s="674">
        <f>IF(AND(AND(Stamoplysninger!$B$26="Der er indgået lokalaftale omkring weekendtillæg(Kræver aftale med TR/FSL). Weekendtimerne afspadseres.",I30="X",C30="ikke relevant")),K30,0)</f>
        <v>0</v>
      </c>
      <c r="FO30" s="283">
        <f>IF(AND(Stamoplysninger!$B$26="Weekendtimer og weekendtillæg udbetales.",I30="X"),K30,0)</f>
        <v>0</v>
      </c>
      <c r="FP30" s="251">
        <f>IF(AND(Stamoplysninger!$B$26="Weekendtimer og weekendtillæg udbetales.",AA30="X"),(AC30+AN30)/2,0)</f>
        <v>0</v>
      </c>
      <c r="FQ30" s="674">
        <f>IF(AND(AND(Stamoplysninger!$B$26="Weekendtimer og weekendtillæg udbetales.",I30="X",C30="ikke relevant")),K30,0)</f>
        <v>0</v>
      </c>
      <c r="FR30" s="688">
        <f>IF(AND(AND(Stamoplysninger!$B$26="Weekendtimer og weekendtillæg udbetales.",AA30="X",U30="ikke relevant")),(AC30+AN30)/2,0)</f>
        <v>0</v>
      </c>
      <c r="FS30" s="283">
        <f t="shared" si="13"/>
        <v>0</v>
      </c>
      <c r="FT30" s="658">
        <f t="shared" si="14"/>
        <v>0</v>
      </c>
      <c r="FU30">
        <f t="shared" ref="FU30:FU37" si="31">IF(AND(C30="weekend",I30="X"),K30,0)</f>
        <v>0</v>
      </c>
      <c r="FV30" s="283">
        <f>IF(AND(Stamoplysninger!$B$26="Der er indgået lokalaftale omkring weekendtimer.(Kræver aftale med TR/FSL) Weekendtillæg afspadseres.",I30="X"),K30,0)</f>
        <v>0</v>
      </c>
      <c r="FW30" s="674">
        <f>IF(AND(AND(Stamoplysninger!$B$26="Der er indgået lokalaftale omkring weekendtimer.(Kræver aftale med TR/FSL) Weekendtillæg afspadseres.",I30="X",C30="ikke relevant")),K30,0)</f>
        <v>0</v>
      </c>
      <c r="FX30" s="283">
        <f>IF(AND(Stamoplysninger!$B$26="Der er indgået lokalaftale omkring weekendtimer(Kræver aftale med TR/FSL). Weekendtillæg udbetales.",I30="X"),K30,0)</f>
        <v>0</v>
      </c>
      <c r="FY30" s="674">
        <f>IF(AND(AND(Stamoplysninger!$B$26="Der er indgået lokalaftale omkring weekendtimer(Kræver aftale med TR/FSL). Weekendtillæg udbetales.",I30="X",C30="ikke relevant")),K30,0)</f>
        <v>0</v>
      </c>
      <c r="FZ30" s="283">
        <f>IF(AND(Stamoplysninger!$B$26="Der er indgået lokalaftale omkring weekendtillæg(Kræver aftale med TR/FSL). Weekendtimerne udbetales.",I30="X"),K30,0)</f>
        <v>0</v>
      </c>
      <c r="GA30" s="674">
        <f>IF(AND(AND(Stamoplysninger!$B$26="Der er indgået lokalaftale omkring weekendtillæg(Kræver aftale med TR/FSL). Weekendtimerne udbetales.",I30="X",C30="ikke relevant")),K30,0)</f>
        <v>0</v>
      </c>
      <c r="GB30" s="283">
        <f>IF(AND(Stamoplysninger!$B$26="Der er indgået lokalaftale omkring weekendtimer og weekendtillæg.(Kræver aftale med TR/FSL).",I30="X"),K30,0)</f>
        <v>0</v>
      </c>
      <c r="GC30" s="674">
        <f>IF(AND(AND(Stamoplysninger!$B$26="Der er indgået lokalaftale omkring weekendtimer og weekendtillæg.(Kræver aftale med TR/FSL).",I30="X",C30="ikke relevant")),K30,0)</f>
        <v>0</v>
      </c>
    </row>
    <row r="31" spans="1:185">
      <c r="A31" s="245">
        <f t="shared" si="16"/>
        <v>23</v>
      </c>
      <c r="B31" s="128" t="str">
        <f t="shared" si="0"/>
        <v>sø</v>
      </c>
      <c r="C31" s="129" t="s">
        <v>120</v>
      </c>
      <c r="D31" s="130" t="str">
        <f t="shared" si="1"/>
        <v/>
      </c>
      <c r="E31" s="917"/>
      <c r="F31" s="918"/>
      <c r="G31" s="919"/>
      <c r="H31" s="298"/>
      <c r="I31" s="413"/>
      <c r="J31" s="413"/>
      <c r="K31" s="380"/>
      <c r="L31" s="380"/>
      <c r="M31" s="380"/>
      <c r="N31" s="318">
        <f t="shared" si="17"/>
        <v>0</v>
      </c>
      <c r="O31" s="318">
        <f t="shared" si="18"/>
        <v>0</v>
      </c>
      <c r="P31" s="318">
        <f>IF(Stamoplysninger!$H$29="JA",Februar!DG31,CX31)</f>
        <v>0</v>
      </c>
      <c r="Q31" s="318">
        <f t="shared" si="19"/>
        <v>0</v>
      </c>
      <c r="R31" s="319"/>
      <c r="S31" s="324"/>
      <c r="T31" s="325"/>
      <c r="U31" s="325"/>
      <c r="V31" s="435"/>
      <c r="W31" s="435"/>
      <c r="X31" s="644"/>
      <c r="Y31">
        <f t="shared" si="20"/>
        <v>0</v>
      </c>
      <c r="Z31" s="437">
        <f t="shared" si="21"/>
        <v>0</v>
      </c>
      <c r="AA31" s="1">
        <f t="shared" si="22"/>
        <v>0</v>
      </c>
      <c r="AB31" s="1">
        <f t="shared" si="2"/>
        <v>0</v>
      </c>
      <c r="AC31" s="1">
        <f t="shared" si="3"/>
        <v>0</v>
      </c>
      <c r="AD31" s="1">
        <f t="shared" si="4"/>
        <v>0</v>
      </c>
      <c r="AE31" s="1">
        <f t="shared" si="5"/>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9">
        <f t="shared" si="6"/>
        <v>0</v>
      </c>
      <c r="BC31" s="1">
        <f t="shared" si="24"/>
        <v>0</v>
      </c>
      <c r="BD31" s="1">
        <f t="shared" si="7"/>
        <v>0</v>
      </c>
      <c r="BE31" s="1">
        <f t="shared" si="8"/>
        <v>0</v>
      </c>
      <c r="BF31" s="1">
        <f t="shared" si="9"/>
        <v>0</v>
      </c>
      <c r="BG31" s="210" t="str">
        <f>IF(AND(C31="Skema 1",B31="ma"),Skemaoplysninger!$E$30,"")</f>
        <v/>
      </c>
      <c r="BH31" s="210" t="str">
        <f>IF(AND(C31="Skema 1",B31="ti"),Skemaoplysninger!$G$30,"")</f>
        <v/>
      </c>
      <c r="BI31" s="210" t="str">
        <f>IF(AND(C31="Skema 1",B31="on"),Skemaoplysninger!$I$30,"")</f>
        <v/>
      </c>
      <c r="BJ31" s="210" t="str">
        <f>IF(AND(C31="Skema 1",B31="to"),Skemaoplysninger!$K$30,"")</f>
        <v/>
      </c>
      <c r="BK31" s="210" t="str">
        <f>IF(AND(C31="Skema 1",B31="fr"),Skemaoplysninger!$M$30,"")</f>
        <v/>
      </c>
      <c r="BL31" s="210" t="str">
        <f>IF(AND(C31="Skema 2",B31="ma"),Skemaoplysninger!$S$30,"")</f>
        <v/>
      </c>
      <c r="BM31" s="210" t="str">
        <f>IF(AND(C31="Skema 2",B31="ti"),Skemaoplysninger!$U$30,"")</f>
        <v/>
      </c>
      <c r="BN31" s="210" t="str">
        <f>IF(AND(C31="Skema 2",B31="on"),Skemaoplysninger!$W$30,"")</f>
        <v/>
      </c>
      <c r="BO31" s="210" t="str">
        <f>IF(AND(C31="Skema 2",B31="to"),Skemaoplysninger!$Y$30,"")</f>
        <v/>
      </c>
      <c r="BP31" s="210" t="str">
        <f>IF(AND(C31="Skema 2",B31="fr"),Skemaoplysninger!$AA$30,"")</f>
        <v/>
      </c>
      <c r="BQ31" s="210" t="str">
        <f>IF(AND(C31="Skema 3",B31="ma"),Skemaoplysninger!$AG$30,"")</f>
        <v/>
      </c>
      <c r="BR31" s="210" t="str">
        <f>IF(AND(C31="Skema 3",B31="ti"),Skemaoplysninger!$AI$30,"")</f>
        <v/>
      </c>
      <c r="BS31" s="210" t="str">
        <f>IF(AND(C31="Skema 3",B31="on"),Skemaoplysninger!$AK$30,"")</f>
        <v/>
      </c>
      <c r="BT31" s="210" t="str">
        <f>IF(AND(C31="Skema 3",B31="to"),Skemaoplysninger!$AM$30,"")</f>
        <v/>
      </c>
      <c r="BU31" s="210" t="str">
        <f>IF(AND(C31="Skema 3",B31="fr"),Skemaoplysninger!$AO$30,"")</f>
        <v/>
      </c>
      <c r="BV31" s="210" t="str">
        <f>IF(AND(C31="Skema 4",B31="ma"),Skemaoplysninger!$AU$30,"")</f>
        <v/>
      </c>
      <c r="BW31" s="210" t="str">
        <f>IF(AND(C31="Skema 4",B31="ti"),Skemaoplysninger!$AW$30,"")</f>
        <v/>
      </c>
      <c r="BX31" s="210" t="str">
        <f>IF(AND(C31="Skema 4",B31="on"),Skemaoplysninger!$AY$30,"")</f>
        <v/>
      </c>
      <c r="BY31" s="210" t="str">
        <f>IF(AND(C31="Skema 4",B31="to"),Skemaoplysninger!$BA$30,"")</f>
        <v/>
      </c>
      <c r="BZ31" s="210" t="str">
        <f>IF(AND(C31="Skema 4",B31="fr"),Skemaoplysninger!$BC$30,"")</f>
        <v/>
      </c>
      <c r="CA31" s="1">
        <f t="shared" si="25"/>
        <v>0</v>
      </c>
      <c r="CB31" s="1">
        <f t="shared" si="10"/>
        <v>0</v>
      </c>
      <c r="CC31" s="1">
        <f t="shared" si="11"/>
        <v>0</v>
      </c>
      <c r="CD31" s="210" t="str">
        <f>IF(AND(C31="Skema 1",B31="ma"),Skemaoplysninger!$E$31,"")</f>
        <v/>
      </c>
      <c r="CE31" s="210" t="str">
        <f>IF(AND(C31="Skema 1",B31="ti"),Skemaoplysninger!$G$31,"")</f>
        <v/>
      </c>
      <c r="CF31" s="210" t="str">
        <f>IF(AND(C31="Skema 1",B31="on"),Skemaoplysninger!$I$31,"")</f>
        <v/>
      </c>
      <c r="CG31" s="210" t="str">
        <f>IF(AND(C31="Skema 1",B31="to"),Skemaoplysninger!$K$31,"")</f>
        <v/>
      </c>
      <c r="CH31" s="210" t="str">
        <f>IF(AND(C31="Skema 1",B31="fr"),Skemaoplysninger!$M$31,"")</f>
        <v/>
      </c>
      <c r="CI31" s="210" t="str">
        <f>IF(AND(C31="Skema 2",B31="ma"),Skemaoplysninger!$S$31,"")</f>
        <v/>
      </c>
      <c r="CJ31" s="210" t="str">
        <f>IF(AND(C31="Skema 2",B31="ti"),Skemaoplysninger!$U$31,"")</f>
        <v/>
      </c>
      <c r="CK31" s="210" t="str">
        <f>IF(AND(C31="Skema 2",B31="on"),Skemaoplysninger!$W$31,"")</f>
        <v/>
      </c>
      <c r="CL31" s="210" t="str">
        <f>IF(AND(C31="Skema 2",B31="to"),Skemaoplysninger!$Y$31,"")</f>
        <v/>
      </c>
      <c r="CM31" s="210" t="str">
        <f>IF(AND(C31="Skema 2",B31="fr"),Skemaoplysninger!$AA$31,"")</f>
        <v/>
      </c>
      <c r="CN31" s="210" t="str">
        <f>IF(AND(C31="Skema 3",B31="ma"),Skemaoplysninger!$AG$31,"")</f>
        <v/>
      </c>
      <c r="CO31" s="210" t="str">
        <f>IF(AND(C31="Skema 3",B31="ti"),Skemaoplysninger!$AI$31,"")</f>
        <v/>
      </c>
      <c r="CP31" s="210" t="str">
        <f>IF(AND(C31="Skema 3",B31="on"),Skemaoplysninger!$AK$31,"")</f>
        <v/>
      </c>
      <c r="CQ31" s="210" t="str">
        <f>IF(AND(C31="Skema 3",B31="to"),Skemaoplysninger!$AM$31,"")</f>
        <v/>
      </c>
      <c r="CR31" s="210" t="str">
        <f>IF(AND(C31="Skema 3",B31="fr"),Skemaoplysninger!$AO$31,"")</f>
        <v/>
      </c>
      <c r="CS31" s="210" t="str">
        <f>IF(AND(C31="Skema 4",B31="ma"),Skemaoplysninger!$AU$31,"")</f>
        <v/>
      </c>
      <c r="CT31" s="210" t="str">
        <f>IF(AND(C31="Skema 4",B31="ti"),Skemaoplysninger!$AW$31,"")</f>
        <v/>
      </c>
      <c r="CU31" s="210" t="str">
        <f>IF(AND(C31="Skema 4",B31="on"),Skemaoplysninger!$AY$31,"")</f>
        <v/>
      </c>
      <c r="CV31" s="210" t="str">
        <f>IF(AND(C31="Skema 4",B31="to"),Skemaoplysninger!$BA$31,"")</f>
        <v/>
      </c>
      <c r="CW31" s="210" t="str">
        <f>IF(AND(C31="Skema 4",B31="fr"),Skemaoplysninger!$BC$31,"")</f>
        <v/>
      </c>
      <c r="CX31" s="249">
        <f>IF(Stamoplysninger!$H$29="NEJ",SUM(CD31:CW31)*24+CB31+CC31,0)</f>
        <v>0</v>
      </c>
      <c r="CY31" s="249">
        <f>IF(C31="Skema 1",Stamoplysninger!$H$30/200,0)</f>
        <v>0</v>
      </c>
      <c r="CZ31" s="249">
        <f>IF(C31="Skema 2",Stamoplysninger!$H$30/200,0)</f>
        <v>0</v>
      </c>
      <c r="DA31" s="249">
        <f>IF(C31="Skema 3",Stamoplysninger!$H$30/200,0)</f>
        <v>0</v>
      </c>
      <c r="DB31" s="249">
        <f>IF(C31="Skema 4",Stamoplysninger!$H$30/200,0)</f>
        <v>0</v>
      </c>
      <c r="DC31" s="249">
        <f>IF(C31="fagdag",Stamoplysninger!$H$30/200,0)</f>
        <v>0</v>
      </c>
      <c r="DD31" s="249">
        <f>IF(C31="emnedag",Stamoplysninger!$H$30/200,0)</f>
        <v>0</v>
      </c>
      <c r="DE31" s="249">
        <f>IF(C31="lejrskole",Stamoplysninger!$H$30/200,0)</f>
        <v>0</v>
      </c>
      <c r="DF31" s="249">
        <f>IF(C31="ekskursion",Stamoplysninger!$H$30/200,0)</f>
        <v>0</v>
      </c>
      <c r="DG31" s="249">
        <f t="shared" si="26"/>
        <v>0</v>
      </c>
      <c r="DH31" t="str">
        <f t="shared" si="27"/>
        <v/>
      </c>
      <c r="DI31">
        <f t="shared" si="28"/>
        <v>0</v>
      </c>
      <c r="DJ31">
        <f t="shared" si="29"/>
        <v>0</v>
      </c>
      <c r="DK31" t="str">
        <f t="shared" si="12"/>
        <v/>
      </c>
      <c r="DL31" t="str">
        <f t="shared" si="12"/>
        <v/>
      </c>
      <c r="DM31" t="str">
        <f t="shared" si="12"/>
        <v/>
      </c>
      <c r="DN31" t="str">
        <f t="shared" si="30"/>
        <v/>
      </c>
      <c r="DO31" s="652">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71">
        <f>IF(AND(Stamoplysninger!$B$22="Ulempetillæg udbetales med 25% af nettotimelønnen.",C31="ikke relevant"),(R31)/4,0)</f>
        <v>0</v>
      </c>
      <c r="DT31" s="671">
        <f>IF(AND(AND(Stamoplysninger!$B$22="Ulempetillæg udbetales med 25% af nettotimelønnen.",I31="X",C31="Ikke relevant")),K31/4,0)</f>
        <v>0</v>
      </c>
      <c r="DU31" s="671">
        <f>IF(AND(AND(Stamoplysninger!$B$22="Ulempetillæg udbetales med 25% af nettotimelønnen.",C31="ikke relevant",U31="X")),(X31/4),0)</f>
        <v>0</v>
      </c>
      <c r="DV31" s="672">
        <f>IF(AND(AND(AND(Stamoplysninger!$B$22="Ulempetillæg udbetales med 25% af nettotimelønnen.",I31="X",C31="Ikke relevant",S31="X"))),V31/4,0)</f>
        <v>0</v>
      </c>
      <c r="DW31" s="652"/>
      <c r="DZ31" s="671"/>
      <c r="EA31" s="671"/>
      <c r="EB31" s="672"/>
      <c r="EC31" s="652">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71">
        <f>IF(AND(Stamoplysninger!$B$22="Ulempetillæg afspadseres med 25%(Kræver en aftale imellem ledelsen og den ansatte)",C31="ikke relevant"),(R31)/4,0)</f>
        <v>0</v>
      </c>
      <c r="EH31" s="671">
        <f>IF(AND(AND(Stamoplysninger!$B$22="Ulempetillæg afspadseres med 25%(Kræver en aftale imellem ledelsen og den ansatte)",I31="X",C31="Ikke relevant")),K31/4,0)</f>
        <v>0</v>
      </c>
      <c r="EI31" s="671">
        <f>IF(AND(AND(Stamoplysninger!$B$22="Ulempetillæg afspadseres med 25%(Kræver en aftale imellem ledelsen og den ansatte)",U31="X",C31="Ikke relevant")),X31/4,0)</f>
        <v>0</v>
      </c>
      <c r="EJ31" s="671">
        <f>IF(AND(AND(AND(Stamoplysninger!$B$22="Ulempetillæg afspadseres med 25%(Kræver en aftale imellem ledelsen og den ansatte)",I31="X",C31="Ikke relevant",S31="X"))),V31/4,0)</f>
        <v>0</v>
      </c>
      <c r="EK31" s="283">
        <f>IF(AND(Stamoplysninger!$B$26="Weekendtimer og weekendtillæg afspadseres.",I31="X"),K31*1.5,0)</f>
        <v>0</v>
      </c>
      <c r="EL31" s="251">
        <f>IF(AND(AND(Stamoplysninger!$B$26="Weekendtimer og weekendtillæg afspadseres.",I31="X",S31="X")),V31*1.5,0)</f>
        <v>0</v>
      </c>
      <c r="EM31" s="674">
        <f>IF(AND(AND(Stamoplysninger!$B$26="Weekendtimer og weekendtillæg afspadseres.",I31="X",C31="ikke relevant")),K31*1.5,0)</f>
        <v>0</v>
      </c>
      <c r="EN31" s="675">
        <f>IF(AND(AND(AND(Stamoplysninger!$B$26="Weekendtimer og weekendtillæg afspadseres.",I31="X",C31="ikke relevant",S31="X"))),(V31*1.5),0)</f>
        <v>0</v>
      </c>
      <c r="EO31" s="283">
        <f>IF(AND(Stamoplysninger!$B$26="Weekendtimer og weekendtillæg udbetales.",I31="X"),K31*1.5,0)</f>
        <v>0</v>
      </c>
      <c r="EP31" s="251">
        <f>IF(AND(AND(Stamoplysninger!$B$26="Weekendtimer og weekendtillæg udbetales.",I31="X",S31="X")),V31*1.5,0)</f>
        <v>0</v>
      </c>
      <c r="EQ31" s="674">
        <f>IF(AND(AND(Stamoplysninger!$B$26="Weekendtimer og weekendtillæg udbetales.",I31="X",C31="ikke relevant")),K31*1.5,0)</f>
        <v>0</v>
      </c>
      <c r="ER31" s="675">
        <f>IF(AND(AND(AND(Stamoplysninger!$B$26="Weekendtimer og weekendtillæg udbetales.",I31="X",C31="ikke relevant",S31="X"))),(V31*1.5),0)</f>
        <v>0</v>
      </c>
      <c r="ES31" s="283">
        <f>IF(AND(Stamoplysninger!$B$26="Der er indgået lokalaftale omkring weekendtimer.(Kræver aftale med TR/FSL) Weekendtillæg afspadseres.",I31="X"),K31*0.5,0)</f>
        <v>0</v>
      </c>
      <c r="ET31" s="251">
        <f>IF(AND(AND(Stamoplysninger!$B$26="Der er indgået lokalaftale omkring weekendtimer.(Kræver aftale med TR/FSL) Weekendtillæg afspadseres.",I31="X",S31="X")),V31*0.5,0)</f>
        <v>0</v>
      </c>
      <c r="EU31" s="674">
        <f>IF(AND(AND(Stamoplysninger!$B$26="Der er indgået lokalaftale omkring weekendtimer.(Kræver aftale med TR/FSL) Weekendtillæg afspadseres.",I31="X",C31="ikke relevant")),K31*0.5,0)</f>
        <v>0</v>
      </c>
      <c r="EV31" s="675">
        <f>IF(AND(AND(AND(Stamoplysninger!$B$26="Der er indgået lokalaftale omkring weekendtimer.(Kræver aftale med TR/FSL) Weekendtillæg afspadseres.",I31="X",C31="ikke relevant",S31="X"))),(V31*0.5),0)</f>
        <v>0</v>
      </c>
      <c r="EW31" s="283">
        <f>IF(AND(Stamoplysninger!$B$26="Der er indgået lokalaftale omkring weekendtimer(Kræver aftale med TR/FSL). Weekendtillæg udbetales.",I31="X"),K31*0.5,0)</f>
        <v>0</v>
      </c>
      <c r="EX31" s="251">
        <f>IF(AND(AND(Stamoplysninger!$B$26="Der er indgået lokalaftale omkring weekendtimer(Kræver aftale med TR/FSL). Weekendtillæg udbetales.",I31="X",S31="X")),V31*0.5,0)</f>
        <v>0</v>
      </c>
      <c r="EY31" s="674">
        <f>IF(AND(AND(Stamoplysninger!$B$26="Der er indgået lokalaftale omkring weekendtimer(Kræver aftale med TR/FSL). Weekendtillæg udbetales.",I31="X",C31="ikke relevant")),K31*0.5,0)</f>
        <v>0</v>
      </c>
      <c r="EZ31" s="675">
        <f>IF(AND(AND(AND(Stamoplysninger!$B$26="Der er indgået lokalaftale omkring weekendtimer(Kræver aftale med TR/FSL). Weekendtillæg udbetales.",I31="X",C31="ikke relevant",S31="X"))),(V31*0.5),0)</f>
        <v>0</v>
      </c>
      <c r="FA31" s="283">
        <f>IF(AND(Stamoplysninger!$B$26="Der er indgået lokalaftale omkring weekendtillæg(Kræver aftale med TR/FSL). Weekendtimerne afspadseres.",I31="X"),K31,0)</f>
        <v>0</v>
      </c>
      <c r="FB31" s="251">
        <f>IF(AND(AND(Stamoplysninger!$B$26="Der er indgået lokalaftale omkring weekendtillæg(Kræver aftale med TR/FSL). Weekendtimerne afspadseres.",I31="X",S31="X")),V31,0)</f>
        <v>0</v>
      </c>
      <c r="FC31" s="674">
        <f>IF(AND(AND(Stamoplysninger!$B$26="Der er indgået lokalaftale omkring weekendtillæg(Kræver aftale med TR/FSL). Weekendtimerne afspadseres..",I31="X",C31="ikke relevant")),K31,0)</f>
        <v>0</v>
      </c>
      <c r="FD31" s="675">
        <f>IF(AND(AND(AND(Stamoplysninger!$B$26="Der er indgået lokalaftale omkring weekendtillæg(Kræver aftale med TR/FSL). Weekendtimerne afspadseres.",I31="X",C31="ikke relevant",S31="X"))),(V31),0)</f>
        <v>0</v>
      </c>
      <c r="FE31" s="283">
        <f>IF(AND(Stamoplysninger!$B$26="Der er indgået lokalaftale omkring weekendtillæg(Kræver aftale med TR/FSL). Weekendtimerne udbetales.",I31="X"),K31,0)</f>
        <v>0</v>
      </c>
      <c r="FF31" s="251">
        <f>IF(AND(AND(Stamoplysninger!$B$26="Der er indgået lokalaftale omkring weekendtillæg(Kræver aftale med TR/FSL). Weekendtimerne udbetales.",I31="X",S31="X")),V31,0)</f>
        <v>0</v>
      </c>
      <c r="FG31" s="674">
        <f>IF(AND(AND(Stamoplysninger!$B$26="Der er indgået lokalaftale omkring weekendtillæg(Kræver aftale med TR/FSL). Weekendtimerne udbetales.",I31="X",C31="ikke relevant")),K31,0)</f>
        <v>0</v>
      </c>
      <c r="FH31" s="675">
        <f>IF(AND(AND(AND(Stamoplysninger!$B$26="Der er indgået lokalaftale omkring weekendtillæg(Kræver aftale med TR/FSL). Weekendtimerne udbetales.",I31="X",C31="ikke relevant",S31="X"))),(V31),0)</f>
        <v>0</v>
      </c>
      <c r="FI31" s="283">
        <f>IF(AND(Stamoplysninger!$B$26="Weekendtimer og weekendtillæg afspadseres.",I31="X"),K31,0)</f>
        <v>0</v>
      </c>
      <c r="FJ31" s="251">
        <f>IF(AND(Stamoplysninger!$B$26="Weekendtimer og weekendtillæg afspadseres.",Y31="X"),(AA31+AL31)/2,0)</f>
        <v>0</v>
      </c>
      <c r="FK31" s="674">
        <f>IF(AND(AND(Stamoplysninger!$B$26="Weekendtimer og weekendtillæg afspadseres.",I31="X",C31="ikke relevant")),K31,0)</f>
        <v>0</v>
      </c>
      <c r="FL31" s="675">
        <f>IF(AND(AND(Stamoplysninger!$B$26="Weekendtimer og weekendtillæg afspadseres.",Y31="X",S31="ikke relevant")),(AA31+AL31)/2,0)</f>
        <v>0</v>
      </c>
      <c r="FM31" s="283">
        <f>IF(AND(Stamoplysninger!$B$26="Der er indgået lokalaftale omkring weekendtillæg(Kræver aftale med TR/FSL). Weekendtimerne afspadseres.",I31="X"),K31,0)</f>
        <v>0</v>
      </c>
      <c r="FN31" s="674">
        <f>IF(AND(AND(Stamoplysninger!$B$26="Der er indgået lokalaftale omkring weekendtillæg(Kræver aftale med TR/FSL). Weekendtimerne afspadseres.",I31="X",C31="ikke relevant")),K31,0)</f>
        <v>0</v>
      </c>
      <c r="FO31" s="283">
        <f>IF(AND(Stamoplysninger!$B$26="Weekendtimer og weekendtillæg udbetales.",I31="X"),K31,0)</f>
        <v>0</v>
      </c>
      <c r="FP31" s="251">
        <f>IF(AND(Stamoplysninger!$B$26="Weekendtimer og weekendtillæg udbetales.",AA31="X"),(AC31+AN31)/2,0)</f>
        <v>0</v>
      </c>
      <c r="FQ31" s="674">
        <f>IF(AND(AND(Stamoplysninger!$B$26="Weekendtimer og weekendtillæg udbetales.",I31="X",C31="ikke relevant")),K31,0)</f>
        <v>0</v>
      </c>
      <c r="FR31" s="688">
        <f>IF(AND(AND(Stamoplysninger!$B$26="Weekendtimer og weekendtillæg udbetales.",AA31="X",U31="ikke relevant")),(AC31+AN31)/2,0)</f>
        <v>0</v>
      </c>
      <c r="FS31" s="283">
        <f t="shared" si="13"/>
        <v>0</v>
      </c>
      <c r="FT31" s="658">
        <f t="shared" si="14"/>
        <v>0</v>
      </c>
      <c r="FU31">
        <f t="shared" si="31"/>
        <v>0</v>
      </c>
      <c r="FV31" s="283">
        <f>IF(AND(Stamoplysninger!$B$26="Der er indgået lokalaftale omkring weekendtimer.(Kræver aftale med TR/FSL) Weekendtillæg afspadseres.",I31="X"),K31,0)</f>
        <v>0</v>
      </c>
      <c r="FW31" s="674">
        <f>IF(AND(AND(Stamoplysninger!$B$26="Der er indgået lokalaftale omkring weekendtimer.(Kræver aftale med TR/FSL) Weekendtillæg afspadseres.",I31="X",C31="ikke relevant")),K31,0)</f>
        <v>0</v>
      </c>
      <c r="FX31" s="283">
        <f>IF(AND(Stamoplysninger!$B$26="Der er indgået lokalaftale omkring weekendtimer(Kræver aftale med TR/FSL). Weekendtillæg udbetales.",I31="X"),K31,0)</f>
        <v>0</v>
      </c>
      <c r="FY31" s="674">
        <f>IF(AND(AND(Stamoplysninger!$B$26="Der er indgået lokalaftale omkring weekendtimer(Kræver aftale med TR/FSL). Weekendtillæg udbetales.",I31="X",C31="ikke relevant")),K31,0)</f>
        <v>0</v>
      </c>
      <c r="FZ31" s="283">
        <f>IF(AND(Stamoplysninger!$B$26="Der er indgået lokalaftale omkring weekendtillæg(Kræver aftale med TR/FSL). Weekendtimerne udbetales.",I31="X"),K31,0)</f>
        <v>0</v>
      </c>
      <c r="GA31" s="674">
        <f>IF(AND(AND(Stamoplysninger!$B$26="Der er indgået lokalaftale omkring weekendtillæg(Kræver aftale med TR/FSL). Weekendtimerne udbetales.",I31="X",C31="ikke relevant")),K31,0)</f>
        <v>0</v>
      </c>
      <c r="GB31" s="283">
        <f>IF(AND(Stamoplysninger!$B$26="Der er indgået lokalaftale omkring weekendtimer og weekendtillæg.(Kræver aftale med TR/FSL).",I31="X"),K31,0)</f>
        <v>0</v>
      </c>
      <c r="GC31" s="674">
        <f>IF(AND(AND(Stamoplysninger!$B$26="Der er indgået lokalaftale omkring weekendtimer og weekendtillæg.(Kræver aftale med TR/FSL).",I31="X",C31="ikke relevant")),K31,0)</f>
        <v>0</v>
      </c>
    </row>
    <row r="32" spans="1:185">
      <c r="A32" s="245">
        <f t="shared" si="16"/>
        <v>24</v>
      </c>
      <c r="B32" s="128" t="str">
        <f t="shared" si="0"/>
        <v>ma</v>
      </c>
      <c r="C32" s="129" t="s">
        <v>207</v>
      </c>
      <c r="D32" s="130">
        <f t="shared" si="1"/>
        <v>8.7142857142857135</v>
      </c>
      <c r="E32" s="949"/>
      <c r="F32" s="950"/>
      <c r="G32" s="951"/>
      <c r="H32" s="298"/>
      <c r="I32" s="527"/>
      <c r="J32" s="413"/>
      <c r="K32" s="380"/>
      <c r="L32" s="380"/>
      <c r="M32" s="380"/>
      <c r="N32" s="318">
        <f t="shared" si="17"/>
        <v>7.75</v>
      </c>
      <c r="O32" s="318">
        <f t="shared" si="18"/>
        <v>3.4999999999999996</v>
      </c>
      <c r="P32" s="318">
        <f>IF(Stamoplysninger!$H$29="JA",Februar!DG32,CX32)</f>
        <v>1</v>
      </c>
      <c r="Q32" s="318">
        <f t="shared" si="19"/>
        <v>3.25</v>
      </c>
      <c r="R32" s="319"/>
      <c r="S32" s="324"/>
      <c r="T32" s="325"/>
      <c r="U32" s="325"/>
      <c r="V32" s="435"/>
      <c r="W32" s="435"/>
      <c r="X32" s="644"/>
      <c r="Y32">
        <f t="shared" si="20"/>
        <v>0</v>
      </c>
      <c r="Z32" s="437">
        <f t="shared" si="21"/>
        <v>0</v>
      </c>
      <c r="AA32" s="1">
        <f t="shared" si="22"/>
        <v>0</v>
      </c>
      <c r="AB32" s="1">
        <f t="shared" si="2"/>
        <v>0</v>
      </c>
      <c r="AC32" s="1">
        <f t="shared" si="3"/>
        <v>0</v>
      </c>
      <c r="AD32" s="1">
        <f t="shared" si="4"/>
        <v>0</v>
      </c>
      <c r="AE32" s="1">
        <f t="shared" si="5"/>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f>IF(AND(C32="Skema 2",B32="ma"),Arbejdstidsoversigt!$E$81,"")</f>
        <v>7.75</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7.75</v>
      </c>
      <c r="BB32" s="229">
        <f t="shared" si="6"/>
        <v>0</v>
      </c>
      <c r="BC32" s="1">
        <f t="shared" si="24"/>
        <v>0</v>
      </c>
      <c r="BD32" s="1">
        <f t="shared" si="7"/>
        <v>0</v>
      </c>
      <c r="BE32" s="1">
        <f t="shared" si="8"/>
        <v>0</v>
      </c>
      <c r="BF32" s="1">
        <f t="shared" si="9"/>
        <v>0</v>
      </c>
      <c r="BG32" s="210" t="str">
        <f>IF(AND(C32="Skema 1",B32="ma"),Skemaoplysninger!$E$30,"")</f>
        <v/>
      </c>
      <c r="BH32" s="210" t="str">
        <f>IF(AND(C32="Skema 1",B32="ti"),Skemaoplysninger!$G$30,"")</f>
        <v/>
      </c>
      <c r="BI32" s="210" t="str">
        <f>IF(AND(C32="Skema 1",B32="on"),Skemaoplysninger!$I$30,"")</f>
        <v/>
      </c>
      <c r="BJ32" s="210" t="str">
        <f>IF(AND(C32="Skema 1",B32="to"),Skemaoplysninger!$K$30,"")</f>
        <v/>
      </c>
      <c r="BK32" s="210" t="str">
        <f>IF(AND(C32="Skema 1",B32="fr"),Skemaoplysninger!$M$30,"")</f>
        <v/>
      </c>
      <c r="BL32" s="210">
        <f>IF(AND(C32="Skema 2",B32="ma"),Skemaoplysninger!$S$30,"")</f>
        <v>0.14583333333333331</v>
      </c>
      <c r="BM32" s="210" t="str">
        <f>IF(AND(C32="Skema 2",B32="ti"),Skemaoplysninger!$U$30,"")</f>
        <v/>
      </c>
      <c r="BN32" s="210" t="str">
        <f>IF(AND(C32="Skema 2",B32="on"),Skemaoplysninger!$W$30,"")</f>
        <v/>
      </c>
      <c r="BO32" s="210" t="str">
        <f>IF(AND(C32="Skema 2",B32="to"),Skemaoplysninger!$Y$30,"")</f>
        <v/>
      </c>
      <c r="BP32" s="210" t="str">
        <f>IF(AND(C32="Skema 2",B32="fr"),Skemaoplysninger!$AA$30,"")</f>
        <v/>
      </c>
      <c r="BQ32" s="210" t="str">
        <f>IF(AND(C32="Skema 3",B32="ma"),Skemaoplysninger!$AG$30,"")</f>
        <v/>
      </c>
      <c r="BR32" s="210" t="str">
        <f>IF(AND(C32="Skema 3",B32="ti"),Skemaoplysninger!$AI$30,"")</f>
        <v/>
      </c>
      <c r="BS32" s="210" t="str">
        <f>IF(AND(C32="Skema 3",B32="on"),Skemaoplysninger!$AK$30,"")</f>
        <v/>
      </c>
      <c r="BT32" s="210" t="str">
        <f>IF(AND(C32="Skema 3",B32="to"),Skemaoplysninger!$AM$30,"")</f>
        <v/>
      </c>
      <c r="BU32" s="210" t="str">
        <f>IF(AND(C32="Skema 3",B32="fr"),Skemaoplysninger!$AO$30,"")</f>
        <v/>
      </c>
      <c r="BV32" s="210" t="str">
        <f>IF(AND(C32="Skema 4",B32="ma"),Skemaoplysninger!$AU$30,"")</f>
        <v/>
      </c>
      <c r="BW32" s="210" t="str">
        <f>IF(AND(C32="Skema 4",B32="ti"),Skemaoplysninger!$AW$30,"")</f>
        <v/>
      </c>
      <c r="BX32" s="210" t="str">
        <f>IF(AND(C32="Skema 4",B32="on"),Skemaoplysninger!$AY$30,"")</f>
        <v/>
      </c>
      <c r="BY32" s="210" t="str">
        <f>IF(AND(C32="Skema 4",B32="to"),Skemaoplysninger!$BA$30,"")</f>
        <v/>
      </c>
      <c r="BZ32" s="210" t="str">
        <f>IF(AND(C32="Skema 4",B32="fr"),Skemaoplysninger!$BC$30,"")</f>
        <v/>
      </c>
      <c r="CA32" s="1">
        <f t="shared" si="25"/>
        <v>3.4999999999999996</v>
      </c>
      <c r="CB32" s="1">
        <f t="shared" si="10"/>
        <v>0</v>
      </c>
      <c r="CC32" s="1">
        <f t="shared" si="11"/>
        <v>0</v>
      </c>
      <c r="CD32" s="210" t="str">
        <f>IF(AND(C32="Skema 1",B32="ma"),Skemaoplysninger!$E$31,"")</f>
        <v/>
      </c>
      <c r="CE32" s="210" t="str">
        <f>IF(AND(C32="Skema 1",B32="ti"),Skemaoplysninger!$G$31,"")</f>
        <v/>
      </c>
      <c r="CF32" s="210" t="str">
        <f>IF(AND(C32="Skema 1",B32="on"),Skemaoplysninger!$I$31,"")</f>
        <v/>
      </c>
      <c r="CG32" s="210" t="str">
        <f>IF(AND(C32="Skema 1",B32="to"),Skemaoplysninger!$K$31,"")</f>
        <v/>
      </c>
      <c r="CH32" s="210" t="str">
        <f>IF(AND(C32="Skema 1",B32="fr"),Skemaoplysninger!$M$31,"")</f>
        <v/>
      </c>
      <c r="CI32" s="210">
        <f>IF(AND(C32="Skema 2",B32="ma"),Skemaoplysninger!$S$31,"")</f>
        <v>4.1666666666666671E-2</v>
      </c>
      <c r="CJ32" s="210" t="str">
        <f>IF(AND(C32="Skema 2",B32="ti"),Skemaoplysninger!$U$31,"")</f>
        <v/>
      </c>
      <c r="CK32" s="210" t="str">
        <f>IF(AND(C32="Skema 2",B32="on"),Skemaoplysninger!$W$31,"")</f>
        <v/>
      </c>
      <c r="CL32" s="210" t="str">
        <f>IF(AND(C32="Skema 2",B32="to"),Skemaoplysninger!$Y$31,"")</f>
        <v/>
      </c>
      <c r="CM32" s="210" t="str">
        <f>IF(AND(C32="Skema 2",B32="fr"),Skemaoplysninger!$AA$31,"")</f>
        <v/>
      </c>
      <c r="CN32" s="210" t="str">
        <f>IF(AND(C32="Skema 3",B32="ma"),Skemaoplysninger!$AG$31,"")</f>
        <v/>
      </c>
      <c r="CO32" s="210" t="str">
        <f>IF(AND(C32="Skema 3",B32="ti"),Skemaoplysninger!$AI$31,"")</f>
        <v/>
      </c>
      <c r="CP32" s="210" t="str">
        <f>IF(AND(C32="Skema 3",B32="on"),Skemaoplysninger!$AK$31,"")</f>
        <v/>
      </c>
      <c r="CQ32" s="210" t="str">
        <f>IF(AND(C32="Skema 3",B32="to"),Skemaoplysninger!$AM$31,"")</f>
        <v/>
      </c>
      <c r="CR32" s="210" t="str">
        <f>IF(AND(C32="Skema 3",B32="fr"),Skemaoplysninger!$AO$31,"")</f>
        <v/>
      </c>
      <c r="CS32" s="210" t="str">
        <f>IF(AND(C32="Skema 4",B32="ma"),Skemaoplysninger!$AU$31,"")</f>
        <v/>
      </c>
      <c r="CT32" s="210" t="str">
        <f>IF(AND(C32="Skema 4",B32="ti"),Skemaoplysninger!$AW$31,"")</f>
        <v/>
      </c>
      <c r="CU32" s="210" t="str">
        <f>IF(AND(C32="Skema 4",B32="on"),Skemaoplysninger!$AY$31,"")</f>
        <v/>
      </c>
      <c r="CV32" s="210" t="str">
        <f>IF(AND(C32="Skema 4",B32="to"),Skemaoplysninger!$BA$31,"")</f>
        <v/>
      </c>
      <c r="CW32" s="210" t="str">
        <f>IF(AND(C32="Skema 4",B32="fr"),Skemaoplysninger!$BC$31,"")</f>
        <v/>
      </c>
      <c r="CX32" s="249">
        <f>IF(Stamoplysninger!$H$29="NEJ",SUM(CD32:CW32)*24+CB32+CC32,0)</f>
        <v>1</v>
      </c>
      <c r="CY32" s="249">
        <f>IF(C32="Skema 1",Stamoplysninger!$H$30/200,0)</f>
        <v>0</v>
      </c>
      <c r="CZ32" s="249">
        <f>IF(C32="Skema 2",Stamoplysninger!$H$30/200,0)</f>
        <v>0</v>
      </c>
      <c r="DA32" s="249">
        <f>IF(C32="Skema 3",Stamoplysninger!$H$30/200,0)</f>
        <v>0</v>
      </c>
      <c r="DB32" s="249">
        <f>IF(C32="Skema 4",Stamoplysninger!$H$30/200,0)</f>
        <v>0</v>
      </c>
      <c r="DC32" s="249">
        <f>IF(C32="fagdag",Stamoplysninger!$H$30/200,0)</f>
        <v>0</v>
      </c>
      <c r="DD32" s="249">
        <f>IF(C32="emnedag",Stamoplysninger!$H$30/200,0)</f>
        <v>0</v>
      </c>
      <c r="DE32" s="249">
        <f>IF(C32="lejrskole",Stamoplysninger!$H$30/200,0)</f>
        <v>0</v>
      </c>
      <c r="DF32" s="249">
        <f>IF(C32="ekskursion",Stamoplysninger!$H$30/200,0)</f>
        <v>0</v>
      </c>
      <c r="DG32" s="249">
        <f t="shared" si="26"/>
        <v>0</v>
      </c>
      <c r="DH32" t="str">
        <f t="shared" si="27"/>
        <v/>
      </c>
      <c r="DI32">
        <f t="shared" si="28"/>
        <v>0</v>
      </c>
      <c r="DJ32">
        <f t="shared" si="29"/>
        <v>0</v>
      </c>
      <c r="DK32" t="str">
        <f t="shared" si="12"/>
        <v/>
      </c>
      <c r="DL32" t="str">
        <f t="shared" si="12"/>
        <v/>
      </c>
      <c r="DM32" t="str">
        <f t="shared" si="12"/>
        <v/>
      </c>
      <c r="DN32" t="str">
        <f t="shared" si="30"/>
        <v/>
      </c>
      <c r="DO32" s="652">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71">
        <f>IF(AND(Stamoplysninger!$B$22="Ulempetillæg udbetales med 25% af nettotimelønnen.",C32="ikke relevant"),(R32)/4,0)</f>
        <v>0</v>
      </c>
      <c r="DT32" s="671">
        <f>IF(AND(AND(Stamoplysninger!$B$22="Ulempetillæg udbetales med 25% af nettotimelønnen.",I32="X",C32="Ikke relevant")),K32/4,0)</f>
        <v>0</v>
      </c>
      <c r="DU32" s="671">
        <f>IF(AND(AND(Stamoplysninger!$B$22="Ulempetillæg udbetales med 25% af nettotimelønnen.",C32="ikke relevant",U32="X")),(X32/4),0)</f>
        <v>0</v>
      </c>
      <c r="DV32" s="672">
        <f>IF(AND(AND(AND(Stamoplysninger!$B$22="Ulempetillæg udbetales med 25% af nettotimelønnen.",I32="X",C32="Ikke relevant",S32="X"))),V32/4,0)</f>
        <v>0</v>
      </c>
      <c r="DW32" s="652"/>
      <c r="DZ32" s="671"/>
      <c r="EA32" s="671"/>
      <c r="EB32" s="672"/>
      <c r="EC32" s="652">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71">
        <f>IF(AND(Stamoplysninger!$B$22="Ulempetillæg afspadseres med 25%(Kræver en aftale imellem ledelsen og den ansatte)",C32="ikke relevant"),(R32)/4,0)</f>
        <v>0</v>
      </c>
      <c r="EH32" s="671">
        <f>IF(AND(AND(Stamoplysninger!$B$22="Ulempetillæg afspadseres med 25%(Kræver en aftale imellem ledelsen og den ansatte)",I32="X",C32="Ikke relevant")),K32/4,0)</f>
        <v>0</v>
      </c>
      <c r="EI32" s="671">
        <f>IF(AND(AND(Stamoplysninger!$B$22="Ulempetillæg afspadseres med 25%(Kræver en aftale imellem ledelsen og den ansatte)",U32="X",C32="Ikke relevant")),X32/4,0)</f>
        <v>0</v>
      </c>
      <c r="EJ32" s="671">
        <f>IF(AND(AND(AND(Stamoplysninger!$B$22="Ulempetillæg afspadseres med 25%(Kræver en aftale imellem ledelsen og den ansatte)",I32="X",C32="Ikke relevant",S32="X"))),V32/4,0)</f>
        <v>0</v>
      </c>
      <c r="EK32" s="283">
        <f>IF(AND(Stamoplysninger!$B$26="Weekendtimer og weekendtillæg afspadseres.",I32="X"),K32*1.5,0)</f>
        <v>0</v>
      </c>
      <c r="EL32" s="251">
        <f>IF(AND(AND(Stamoplysninger!$B$26="Weekendtimer og weekendtillæg afspadseres.",I32="X",S32="X")),V32*1.5,0)</f>
        <v>0</v>
      </c>
      <c r="EM32" s="674">
        <f>IF(AND(AND(Stamoplysninger!$B$26="Weekendtimer og weekendtillæg afspadseres.",I32="X",C32="ikke relevant")),K32*1.5,0)</f>
        <v>0</v>
      </c>
      <c r="EN32" s="675">
        <f>IF(AND(AND(AND(Stamoplysninger!$B$26="Weekendtimer og weekendtillæg afspadseres.",I32="X",C32="ikke relevant",S32="X"))),(V32*1.5),0)</f>
        <v>0</v>
      </c>
      <c r="EO32" s="283">
        <f>IF(AND(Stamoplysninger!$B$26="Weekendtimer og weekendtillæg udbetales.",I32="X"),K32*1.5,0)</f>
        <v>0</v>
      </c>
      <c r="EP32" s="251">
        <f>IF(AND(AND(Stamoplysninger!$B$26="Weekendtimer og weekendtillæg udbetales.",I32="X",S32="X")),V32*1.5,0)</f>
        <v>0</v>
      </c>
      <c r="EQ32" s="674">
        <f>IF(AND(AND(Stamoplysninger!$B$26="Weekendtimer og weekendtillæg udbetales.",I32="X",C32="ikke relevant")),K32*1.5,0)</f>
        <v>0</v>
      </c>
      <c r="ER32" s="675">
        <f>IF(AND(AND(AND(Stamoplysninger!$B$26="Weekendtimer og weekendtillæg udbetales.",I32="X",C32="ikke relevant",S32="X"))),(V32*1.5),0)</f>
        <v>0</v>
      </c>
      <c r="ES32" s="283">
        <f>IF(AND(Stamoplysninger!$B$26="Der er indgået lokalaftale omkring weekendtimer.(Kræver aftale med TR/FSL) Weekendtillæg afspadseres.",I32="X"),K32*0.5,0)</f>
        <v>0</v>
      </c>
      <c r="ET32" s="251">
        <f>IF(AND(AND(Stamoplysninger!$B$26="Der er indgået lokalaftale omkring weekendtimer.(Kræver aftale med TR/FSL) Weekendtillæg afspadseres.",I32="X",S32="X")),V32*0.5,0)</f>
        <v>0</v>
      </c>
      <c r="EU32" s="674">
        <f>IF(AND(AND(Stamoplysninger!$B$26="Der er indgået lokalaftale omkring weekendtimer.(Kræver aftale med TR/FSL) Weekendtillæg afspadseres.",I32="X",C32="ikke relevant")),K32*0.5,0)</f>
        <v>0</v>
      </c>
      <c r="EV32" s="675">
        <f>IF(AND(AND(AND(Stamoplysninger!$B$26="Der er indgået lokalaftale omkring weekendtimer.(Kræver aftale med TR/FSL) Weekendtillæg afspadseres.",I32="X",C32="ikke relevant",S32="X"))),(V32*0.5),0)</f>
        <v>0</v>
      </c>
      <c r="EW32" s="283">
        <f>IF(AND(Stamoplysninger!$B$26="Der er indgået lokalaftale omkring weekendtimer(Kræver aftale med TR/FSL). Weekendtillæg udbetales.",I32="X"),K32*0.5,0)</f>
        <v>0</v>
      </c>
      <c r="EX32" s="251">
        <f>IF(AND(AND(Stamoplysninger!$B$26="Der er indgået lokalaftale omkring weekendtimer(Kræver aftale med TR/FSL). Weekendtillæg udbetales.",I32="X",S32="X")),V32*0.5,0)</f>
        <v>0</v>
      </c>
      <c r="EY32" s="674">
        <f>IF(AND(AND(Stamoplysninger!$B$26="Der er indgået lokalaftale omkring weekendtimer(Kræver aftale med TR/FSL). Weekendtillæg udbetales.",I32="X",C32="ikke relevant")),K32*0.5,0)</f>
        <v>0</v>
      </c>
      <c r="EZ32" s="675">
        <f>IF(AND(AND(AND(Stamoplysninger!$B$26="Der er indgået lokalaftale omkring weekendtimer(Kræver aftale med TR/FSL). Weekendtillæg udbetales.",I32="X",C32="ikke relevant",S32="X"))),(V32*0.5),0)</f>
        <v>0</v>
      </c>
      <c r="FA32" s="283">
        <f>IF(AND(Stamoplysninger!$B$26="Der er indgået lokalaftale omkring weekendtillæg(Kræver aftale med TR/FSL). Weekendtimerne afspadseres.",I32="X"),K32,0)</f>
        <v>0</v>
      </c>
      <c r="FB32" s="251">
        <f>IF(AND(AND(Stamoplysninger!$B$26="Der er indgået lokalaftale omkring weekendtillæg(Kræver aftale med TR/FSL). Weekendtimerne afspadseres.",I32="X",S32="X")),V32,0)</f>
        <v>0</v>
      </c>
      <c r="FC32" s="674">
        <f>IF(AND(AND(Stamoplysninger!$B$26="Der er indgået lokalaftale omkring weekendtillæg(Kræver aftale med TR/FSL). Weekendtimerne afspadseres..",I32="X",C32="ikke relevant")),K32,0)</f>
        <v>0</v>
      </c>
      <c r="FD32" s="675">
        <f>IF(AND(AND(AND(Stamoplysninger!$B$26="Der er indgået lokalaftale omkring weekendtillæg(Kræver aftale med TR/FSL). Weekendtimerne afspadseres.",I32="X",C32="ikke relevant",S32="X"))),(V32),0)</f>
        <v>0</v>
      </c>
      <c r="FE32" s="283">
        <f>IF(AND(Stamoplysninger!$B$26="Der er indgået lokalaftale omkring weekendtillæg(Kræver aftale med TR/FSL). Weekendtimerne udbetales.",I32="X"),K32,0)</f>
        <v>0</v>
      </c>
      <c r="FF32" s="251">
        <f>IF(AND(AND(Stamoplysninger!$B$26="Der er indgået lokalaftale omkring weekendtillæg(Kræver aftale med TR/FSL). Weekendtimerne udbetales.",I32="X",S32="X")),V32,0)</f>
        <v>0</v>
      </c>
      <c r="FG32" s="674">
        <f>IF(AND(AND(Stamoplysninger!$B$26="Der er indgået lokalaftale omkring weekendtillæg(Kræver aftale med TR/FSL). Weekendtimerne udbetales.",I32="X",C32="ikke relevant")),K32,0)</f>
        <v>0</v>
      </c>
      <c r="FH32" s="675">
        <f>IF(AND(AND(AND(Stamoplysninger!$B$26="Der er indgået lokalaftale omkring weekendtillæg(Kræver aftale med TR/FSL). Weekendtimerne udbetales.",I32="X",C32="ikke relevant",S32="X"))),(V32),0)</f>
        <v>0</v>
      </c>
      <c r="FI32" s="283">
        <f>IF(AND(Stamoplysninger!$B$26="Weekendtimer og weekendtillæg afspadseres.",I32="X"),K32,0)</f>
        <v>0</v>
      </c>
      <c r="FJ32" s="251">
        <f>IF(AND(Stamoplysninger!$B$26="Weekendtimer og weekendtillæg afspadseres.",Y32="X"),(AA32+AL32)/2,0)</f>
        <v>0</v>
      </c>
      <c r="FK32" s="674">
        <f>IF(AND(AND(Stamoplysninger!$B$26="Weekendtimer og weekendtillæg afspadseres.",I32="X",C32="ikke relevant")),K32,0)</f>
        <v>0</v>
      </c>
      <c r="FL32" s="675">
        <f>IF(AND(AND(Stamoplysninger!$B$26="Weekendtimer og weekendtillæg afspadseres.",Y32="X",S32="ikke relevant")),(AA32+AL32)/2,0)</f>
        <v>0</v>
      </c>
      <c r="FM32" s="283">
        <f>IF(AND(Stamoplysninger!$B$26="Der er indgået lokalaftale omkring weekendtillæg(Kræver aftale med TR/FSL). Weekendtimerne afspadseres.",I32="X"),K32,0)</f>
        <v>0</v>
      </c>
      <c r="FN32" s="674">
        <f>IF(AND(AND(Stamoplysninger!$B$26="Der er indgået lokalaftale omkring weekendtillæg(Kræver aftale med TR/FSL). Weekendtimerne afspadseres.",I32="X",C32="ikke relevant")),K32,0)</f>
        <v>0</v>
      </c>
      <c r="FO32" s="283">
        <f>IF(AND(Stamoplysninger!$B$26="Weekendtimer og weekendtillæg udbetales.",I32="X"),K32,0)</f>
        <v>0</v>
      </c>
      <c r="FP32" s="251">
        <f>IF(AND(Stamoplysninger!$B$26="Weekendtimer og weekendtillæg udbetales.",AA32="X"),(AC32+AN32)/2,0)</f>
        <v>0</v>
      </c>
      <c r="FQ32" s="674">
        <f>IF(AND(AND(Stamoplysninger!$B$26="Weekendtimer og weekendtillæg udbetales.",I32="X",C32="ikke relevant")),K32,0)</f>
        <v>0</v>
      </c>
      <c r="FR32" s="688">
        <f>IF(AND(AND(Stamoplysninger!$B$26="Weekendtimer og weekendtillæg udbetales.",AA32="X",U32="ikke relevant")),(AC32+AN32)/2,0)</f>
        <v>0</v>
      </c>
      <c r="FS32" s="283">
        <f t="shared" si="13"/>
        <v>0</v>
      </c>
      <c r="FT32" s="658">
        <f t="shared" si="14"/>
        <v>0</v>
      </c>
      <c r="FU32">
        <f t="shared" si="31"/>
        <v>0</v>
      </c>
      <c r="FV32" s="283">
        <f>IF(AND(Stamoplysninger!$B$26="Der er indgået lokalaftale omkring weekendtimer.(Kræver aftale med TR/FSL) Weekendtillæg afspadseres.",I32="X"),K32,0)</f>
        <v>0</v>
      </c>
      <c r="FW32" s="674">
        <f>IF(AND(AND(Stamoplysninger!$B$26="Der er indgået lokalaftale omkring weekendtimer.(Kræver aftale med TR/FSL) Weekendtillæg afspadseres.",I32="X",C32="ikke relevant")),K32,0)</f>
        <v>0</v>
      </c>
      <c r="FX32" s="283">
        <f>IF(AND(Stamoplysninger!$B$26="Der er indgået lokalaftale omkring weekendtimer(Kræver aftale med TR/FSL). Weekendtillæg udbetales.",I32="X"),K32,0)</f>
        <v>0</v>
      </c>
      <c r="FY32" s="674">
        <f>IF(AND(AND(Stamoplysninger!$B$26="Der er indgået lokalaftale omkring weekendtimer(Kræver aftale med TR/FSL). Weekendtillæg udbetales.",I32="X",C32="ikke relevant")),K32,0)</f>
        <v>0</v>
      </c>
      <c r="FZ32" s="283">
        <f>IF(AND(Stamoplysninger!$B$26="Der er indgået lokalaftale omkring weekendtillæg(Kræver aftale med TR/FSL). Weekendtimerne udbetales.",I32="X"),K32,0)</f>
        <v>0</v>
      </c>
      <c r="GA32" s="674">
        <f>IF(AND(AND(Stamoplysninger!$B$26="Der er indgået lokalaftale omkring weekendtillæg(Kræver aftale med TR/FSL). Weekendtimerne udbetales.",I32="X",C32="ikke relevant")),K32,0)</f>
        <v>0</v>
      </c>
      <c r="GB32" s="283">
        <f>IF(AND(Stamoplysninger!$B$26="Der er indgået lokalaftale omkring weekendtimer og weekendtillæg.(Kræver aftale med TR/FSL).",I32="X"),K32,0)</f>
        <v>0</v>
      </c>
      <c r="GC32" s="674">
        <f>IF(AND(AND(Stamoplysninger!$B$26="Der er indgået lokalaftale omkring weekendtimer og weekendtillæg.(Kræver aftale med TR/FSL).",I32="X",C32="ikke relevant")),K32,0)</f>
        <v>0</v>
      </c>
    </row>
    <row r="33" spans="1:185">
      <c r="A33" s="245">
        <f t="shared" si="16"/>
        <v>25</v>
      </c>
      <c r="B33" s="128" t="str">
        <f t="shared" si="0"/>
        <v>ti</v>
      </c>
      <c r="C33" s="129" t="s">
        <v>207</v>
      </c>
      <c r="D33" s="130" t="str">
        <f t="shared" si="1"/>
        <v/>
      </c>
      <c r="E33" s="917"/>
      <c r="F33" s="918"/>
      <c r="G33" s="919"/>
      <c r="H33" s="298"/>
      <c r="I33" s="527"/>
      <c r="J33" s="413"/>
      <c r="K33" s="380"/>
      <c r="L33" s="380"/>
      <c r="M33" s="380"/>
      <c r="N33" s="318">
        <f t="shared" si="17"/>
        <v>8.5</v>
      </c>
      <c r="O33" s="318">
        <f t="shared" si="18"/>
        <v>3.75</v>
      </c>
      <c r="P33" s="318">
        <f>IF(Stamoplysninger!$H$29="JA",Februar!DG33,CX33)</f>
        <v>1.5</v>
      </c>
      <c r="Q33" s="318">
        <f t="shared" si="19"/>
        <v>3.25</v>
      </c>
      <c r="R33" s="319"/>
      <c r="S33" s="324"/>
      <c r="T33" s="325"/>
      <c r="U33" s="325"/>
      <c r="V33" s="435"/>
      <c r="W33" s="435"/>
      <c r="X33" s="644"/>
      <c r="Y33">
        <f t="shared" si="20"/>
        <v>0</v>
      </c>
      <c r="Z33" s="437">
        <f t="shared" si="21"/>
        <v>0</v>
      </c>
      <c r="AA33" s="1">
        <f t="shared" si="22"/>
        <v>0</v>
      </c>
      <c r="AB33" s="1">
        <f t="shared" si="2"/>
        <v>0</v>
      </c>
      <c r="AC33" s="1">
        <f t="shared" si="3"/>
        <v>0</v>
      </c>
      <c r="AD33" s="1">
        <f t="shared" si="4"/>
        <v>0</v>
      </c>
      <c r="AE33" s="1">
        <f t="shared" si="5"/>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f>IF(AND(C33="Skema 2",B33="ti"),Arbejdstidsoversigt!$E$82,"")</f>
        <v>8.5</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8.5</v>
      </c>
      <c r="BB33" s="229">
        <f t="shared" si="6"/>
        <v>0</v>
      </c>
      <c r="BC33" s="1">
        <f t="shared" si="24"/>
        <v>0</v>
      </c>
      <c r="BD33" s="1">
        <f t="shared" si="7"/>
        <v>0</v>
      </c>
      <c r="BE33" s="1">
        <f t="shared" si="8"/>
        <v>0</v>
      </c>
      <c r="BF33" s="1">
        <f t="shared" si="9"/>
        <v>0</v>
      </c>
      <c r="BG33" s="210" t="str">
        <f>IF(AND(C33="Skema 1",B33="ma"),Skemaoplysninger!$E$30,"")</f>
        <v/>
      </c>
      <c r="BH33" s="210" t="str">
        <f>IF(AND(C33="Skema 1",B33="ti"),Skemaoplysninger!$G$30,"")</f>
        <v/>
      </c>
      <c r="BI33" s="210" t="str">
        <f>IF(AND(C33="Skema 1",B33="on"),Skemaoplysninger!$I$30,"")</f>
        <v/>
      </c>
      <c r="BJ33" s="210" t="str">
        <f>IF(AND(C33="Skema 1",B33="to"),Skemaoplysninger!$K$30,"")</f>
        <v/>
      </c>
      <c r="BK33" s="210" t="str">
        <f>IF(AND(C33="Skema 1",B33="fr"),Skemaoplysninger!$M$30,"")</f>
        <v/>
      </c>
      <c r="BL33" s="210" t="str">
        <f>IF(AND(C33="Skema 2",B33="ma"),Skemaoplysninger!$S$30,"")</f>
        <v/>
      </c>
      <c r="BM33" s="210">
        <f>IF(AND(C33="Skema 2",B33="ti"),Skemaoplysninger!$U$30,"")</f>
        <v>0.15625</v>
      </c>
      <c r="BN33" s="210" t="str">
        <f>IF(AND(C33="Skema 2",B33="on"),Skemaoplysninger!$W$30,"")</f>
        <v/>
      </c>
      <c r="BO33" s="210" t="str">
        <f>IF(AND(C33="Skema 2",B33="to"),Skemaoplysninger!$Y$30,"")</f>
        <v/>
      </c>
      <c r="BP33" s="210" t="str">
        <f>IF(AND(C33="Skema 2",B33="fr"),Skemaoplysninger!$AA$30,"")</f>
        <v/>
      </c>
      <c r="BQ33" s="210" t="str">
        <f>IF(AND(C33="Skema 3",B33="ma"),Skemaoplysninger!$AG$30,"")</f>
        <v/>
      </c>
      <c r="BR33" s="210" t="str">
        <f>IF(AND(C33="Skema 3",B33="ti"),Skemaoplysninger!$AI$30,"")</f>
        <v/>
      </c>
      <c r="BS33" s="210" t="str">
        <f>IF(AND(C33="Skema 3",B33="on"),Skemaoplysninger!$AK$30,"")</f>
        <v/>
      </c>
      <c r="BT33" s="210" t="str">
        <f>IF(AND(C33="Skema 3",B33="to"),Skemaoplysninger!$AM$30,"")</f>
        <v/>
      </c>
      <c r="BU33" s="210" t="str">
        <f>IF(AND(C33="Skema 3",B33="fr"),Skemaoplysninger!$AO$30,"")</f>
        <v/>
      </c>
      <c r="BV33" s="210" t="str">
        <f>IF(AND(C33="Skema 4",B33="ma"),Skemaoplysninger!$AU$30,"")</f>
        <v/>
      </c>
      <c r="BW33" s="210" t="str">
        <f>IF(AND(C33="Skema 4",B33="ti"),Skemaoplysninger!$AW$30,"")</f>
        <v/>
      </c>
      <c r="BX33" s="210" t="str">
        <f>IF(AND(C33="Skema 4",B33="on"),Skemaoplysninger!$AY$30,"")</f>
        <v/>
      </c>
      <c r="BY33" s="210" t="str">
        <f>IF(AND(C33="Skema 4",B33="to"),Skemaoplysninger!$BA$30,"")</f>
        <v/>
      </c>
      <c r="BZ33" s="210" t="str">
        <f>IF(AND(C33="Skema 4",B33="fr"),Skemaoplysninger!$BC$30,"")</f>
        <v/>
      </c>
      <c r="CA33" s="1">
        <f t="shared" si="25"/>
        <v>3.75</v>
      </c>
      <c r="CB33" s="1">
        <f t="shared" si="10"/>
        <v>0</v>
      </c>
      <c r="CC33" s="1">
        <f t="shared" si="11"/>
        <v>0</v>
      </c>
      <c r="CD33" s="210" t="str">
        <f>IF(AND(C33="Skema 1",B33="ma"),Skemaoplysninger!$E$31,"")</f>
        <v/>
      </c>
      <c r="CE33" s="210" t="str">
        <f>IF(AND(C33="Skema 1",B33="ti"),Skemaoplysninger!$G$31,"")</f>
        <v/>
      </c>
      <c r="CF33" s="210" t="str">
        <f>IF(AND(C33="Skema 1",B33="on"),Skemaoplysninger!$I$31,"")</f>
        <v/>
      </c>
      <c r="CG33" s="210" t="str">
        <f>IF(AND(C33="Skema 1",B33="to"),Skemaoplysninger!$K$31,"")</f>
        <v/>
      </c>
      <c r="CH33" s="210" t="str">
        <f>IF(AND(C33="Skema 1",B33="fr"),Skemaoplysninger!$M$31,"")</f>
        <v/>
      </c>
      <c r="CI33" s="210" t="str">
        <f>IF(AND(C33="Skema 2",B33="ma"),Skemaoplysninger!$S$31,"")</f>
        <v/>
      </c>
      <c r="CJ33" s="210">
        <f>IF(AND(C33="Skema 2",B33="ti"),Skemaoplysninger!$U$31,"")</f>
        <v>6.25E-2</v>
      </c>
      <c r="CK33" s="210" t="str">
        <f>IF(AND(C33="Skema 2",B33="on"),Skemaoplysninger!$W$31,"")</f>
        <v/>
      </c>
      <c r="CL33" s="210" t="str">
        <f>IF(AND(C33="Skema 2",B33="to"),Skemaoplysninger!$Y$31,"")</f>
        <v/>
      </c>
      <c r="CM33" s="210" t="str">
        <f>IF(AND(C33="Skema 2",B33="fr"),Skemaoplysninger!$AA$31,"")</f>
        <v/>
      </c>
      <c r="CN33" s="210" t="str">
        <f>IF(AND(C33="Skema 3",B33="ma"),Skemaoplysninger!$AG$31,"")</f>
        <v/>
      </c>
      <c r="CO33" s="210" t="str">
        <f>IF(AND(C33="Skema 3",B33="ti"),Skemaoplysninger!$AI$31,"")</f>
        <v/>
      </c>
      <c r="CP33" s="210" t="str">
        <f>IF(AND(C33="Skema 3",B33="on"),Skemaoplysninger!$AK$31,"")</f>
        <v/>
      </c>
      <c r="CQ33" s="210" t="str">
        <f>IF(AND(C33="Skema 3",B33="to"),Skemaoplysninger!$AM$31,"")</f>
        <v/>
      </c>
      <c r="CR33" s="210" t="str">
        <f>IF(AND(C33="Skema 3",B33="fr"),Skemaoplysninger!$AO$31,"")</f>
        <v/>
      </c>
      <c r="CS33" s="210" t="str">
        <f>IF(AND(C33="Skema 4",B33="ma"),Skemaoplysninger!$AU$31,"")</f>
        <v/>
      </c>
      <c r="CT33" s="210" t="str">
        <f>IF(AND(C33="Skema 4",B33="ti"),Skemaoplysninger!$AW$31,"")</f>
        <v/>
      </c>
      <c r="CU33" s="210" t="str">
        <f>IF(AND(C33="Skema 4",B33="on"),Skemaoplysninger!$AY$31,"")</f>
        <v/>
      </c>
      <c r="CV33" s="210" t="str">
        <f>IF(AND(C33="Skema 4",B33="to"),Skemaoplysninger!$BA$31,"")</f>
        <v/>
      </c>
      <c r="CW33" s="210" t="str">
        <f>IF(AND(C33="Skema 4",B33="fr"),Skemaoplysninger!$BC$31,"")</f>
        <v/>
      </c>
      <c r="CX33" s="249">
        <f>IF(Stamoplysninger!$H$29="NEJ",SUM(CD33:CW33)*24+CB33+CC33,0)</f>
        <v>1.5</v>
      </c>
      <c r="CY33" s="249">
        <f>IF(C33="Skema 1",Stamoplysninger!$H$30/200,0)</f>
        <v>0</v>
      </c>
      <c r="CZ33" s="249">
        <f>IF(C33="Skema 2",Stamoplysninger!$H$30/200,0)</f>
        <v>0</v>
      </c>
      <c r="DA33" s="249">
        <f>IF(C33="Skema 3",Stamoplysninger!$H$30/200,0)</f>
        <v>0</v>
      </c>
      <c r="DB33" s="249">
        <f>IF(C33="Skema 4",Stamoplysninger!$H$30/200,0)</f>
        <v>0</v>
      </c>
      <c r="DC33" s="249">
        <f>IF(C33="fagdag",Stamoplysninger!$H$30/200,0)</f>
        <v>0</v>
      </c>
      <c r="DD33" s="249">
        <f>IF(C33="emnedag",Stamoplysninger!$H$30/200,0)</f>
        <v>0</v>
      </c>
      <c r="DE33" s="249">
        <f>IF(C33="lejrskole",Stamoplysninger!$H$30/200,0)</f>
        <v>0</v>
      </c>
      <c r="DF33" s="249">
        <f>IF(C33="ekskursion",Stamoplysninger!$H$30/200,0)</f>
        <v>0</v>
      </c>
      <c r="DG33" s="249">
        <f t="shared" si="26"/>
        <v>0</v>
      </c>
      <c r="DH33" t="str">
        <f t="shared" si="27"/>
        <v/>
      </c>
      <c r="DI33">
        <f t="shared" si="28"/>
        <v>0</v>
      </c>
      <c r="DJ33">
        <f t="shared" si="29"/>
        <v>0</v>
      </c>
      <c r="DK33" t="str">
        <f t="shared" si="12"/>
        <v/>
      </c>
      <c r="DL33" t="str">
        <f t="shared" si="12"/>
        <v/>
      </c>
      <c r="DM33" t="str">
        <f t="shared" si="12"/>
        <v/>
      </c>
      <c r="DN33" t="str">
        <f t="shared" si="30"/>
        <v/>
      </c>
      <c r="DO33" s="652">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71">
        <f>IF(AND(Stamoplysninger!$B$22="Ulempetillæg udbetales med 25% af nettotimelønnen.",C33="ikke relevant"),(R33)/4,0)</f>
        <v>0</v>
      </c>
      <c r="DT33" s="671">
        <f>IF(AND(AND(Stamoplysninger!$B$22="Ulempetillæg udbetales med 25% af nettotimelønnen.",I33="X",C33="Ikke relevant")),K33/4,0)</f>
        <v>0</v>
      </c>
      <c r="DU33" s="671">
        <f>IF(AND(AND(Stamoplysninger!$B$22="Ulempetillæg udbetales med 25% af nettotimelønnen.",C33="ikke relevant",U33="X")),(X33/4),0)</f>
        <v>0</v>
      </c>
      <c r="DV33" s="672">
        <f>IF(AND(AND(AND(Stamoplysninger!$B$22="Ulempetillæg udbetales med 25% af nettotimelønnen.",I33="X",C33="Ikke relevant",S33="X"))),V33/4,0)</f>
        <v>0</v>
      </c>
      <c r="DW33" s="652"/>
      <c r="DZ33" s="671"/>
      <c r="EA33" s="671"/>
      <c r="EB33" s="672"/>
      <c r="EC33" s="652">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71">
        <f>IF(AND(Stamoplysninger!$B$22="Ulempetillæg afspadseres med 25%(Kræver en aftale imellem ledelsen og den ansatte)",C33="ikke relevant"),(R33)/4,0)</f>
        <v>0</v>
      </c>
      <c r="EH33" s="671">
        <f>IF(AND(AND(Stamoplysninger!$B$22="Ulempetillæg afspadseres med 25%(Kræver en aftale imellem ledelsen og den ansatte)",I33="X",C33="Ikke relevant")),K33/4,0)</f>
        <v>0</v>
      </c>
      <c r="EI33" s="671">
        <f>IF(AND(AND(Stamoplysninger!$B$22="Ulempetillæg afspadseres med 25%(Kræver en aftale imellem ledelsen og den ansatte)",U33="X",C33="Ikke relevant")),X33/4,0)</f>
        <v>0</v>
      </c>
      <c r="EJ33" s="671">
        <f>IF(AND(AND(AND(Stamoplysninger!$B$22="Ulempetillæg afspadseres med 25%(Kræver en aftale imellem ledelsen og den ansatte)",I33="X",C33="Ikke relevant",S33="X"))),V33/4,0)</f>
        <v>0</v>
      </c>
      <c r="EK33" s="283">
        <f>IF(AND(Stamoplysninger!$B$26="Weekendtimer og weekendtillæg afspadseres.",I33="X"),K33*1.5,0)</f>
        <v>0</v>
      </c>
      <c r="EL33" s="251">
        <f>IF(AND(AND(Stamoplysninger!$B$26="Weekendtimer og weekendtillæg afspadseres.",I33="X",S33="X")),V33*1.5,0)</f>
        <v>0</v>
      </c>
      <c r="EM33" s="674">
        <f>IF(AND(AND(Stamoplysninger!$B$26="Weekendtimer og weekendtillæg afspadseres.",I33="X",C33="ikke relevant")),K33*1.5,0)</f>
        <v>0</v>
      </c>
      <c r="EN33" s="675">
        <f>IF(AND(AND(AND(Stamoplysninger!$B$26="Weekendtimer og weekendtillæg afspadseres.",I33="X",C33="ikke relevant",S33="X"))),(V33*1.5),0)</f>
        <v>0</v>
      </c>
      <c r="EO33" s="283">
        <f>IF(AND(Stamoplysninger!$B$26="Weekendtimer og weekendtillæg udbetales.",I33="X"),K33*1.5,0)</f>
        <v>0</v>
      </c>
      <c r="EP33" s="251">
        <f>IF(AND(AND(Stamoplysninger!$B$26="Weekendtimer og weekendtillæg udbetales.",I33="X",S33="X")),V33*1.5,0)</f>
        <v>0</v>
      </c>
      <c r="EQ33" s="674">
        <f>IF(AND(AND(Stamoplysninger!$B$26="Weekendtimer og weekendtillæg udbetales.",I33="X",C33="ikke relevant")),K33*1.5,0)</f>
        <v>0</v>
      </c>
      <c r="ER33" s="675">
        <f>IF(AND(AND(AND(Stamoplysninger!$B$26="Weekendtimer og weekendtillæg udbetales.",I33="X",C33="ikke relevant",S33="X"))),(V33*1.5),0)</f>
        <v>0</v>
      </c>
      <c r="ES33" s="283">
        <f>IF(AND(Stamoplysninger!$B$26="Der er indgået lokalaftale omkring weekendtimer.(Kræver aftale med TR/FSL) Weekendtillæg afspadseres.",I33="X"),K33*0.5,0)</f>
        <v>0</v>
      </c>
      <c r="ET33" s="251">
        <f>IF(AND(AND(Stamoplysninger!$B$26="Der er indgået lokalaftale omkring weekendtimer.(Kræver aftale med TR/FSL) Weekendtillæg afspadseres.",I33="X",S33="X")),V33*0.5,0)</f>
        <v>0</v>
      </c>
      <c r="EU33" s="674">
        <f>IF(AND(AND(Stamoplysninger!$B$26="Der er indgået lokalaftale omkring weekendtimer.(Kræver aftale med TR/FSL) Weekendtillæg afspadseres.",I33="X",C33="ikke relevant")),K33*0.5,0)</f>
        <v>0</v>
      </c>
      <c r="EV33" s="675">
        <f>IF(AND(AND(AND(Stamoplysninger!$B$26="Der er indgået lokalaftale omkring weekendtimer.(Kræver aftale med TR/FSL) Weekendtillæg afspadseres.",I33="X",C33="ikke relevant",S33="X"))),(V33*0.5),0)</f>
        <v>0</v>
      </c>
      <c r="EW33" s="283">
        <f>IF(AND(Stamoplysninger!$B$26="Der er indgået lokalaftale omkring weekendtimer(Kræver aftale med TR/FSL). Weekendtillæg udbetales.",I33="X"),K33*0.5,0)</f>
        <v>0</v>
      </c>
      <c r="EX33" s="251">
        <f>IF(AND(AND(Stamoplysninger!$B$26="Der er indgået lokalaftale omkring weekendtimer(Kræver aftale med TR/FSL). Weekendtillæg udbetales.",I33="X",S33="X")),V33*0.5,0)</f>
        <v>0</v>
      </c>
      <c r="EY33" s="674">
        <f>IF(AND(AND(Stamoplysninger!$B$26="Der er indgået lokalaftale omkring weekendtimer(Kræver aftale med TR/FSL). Weekendtillæg udbetales.",I33="X",C33="ikke relevant")),K33*0.5,0)</f>
        <v>0</v>
      </c>
      <c r="EZ33" s="675">
        <f>IF(AND(AND(AND(Stamoplysninger!$B$26="Der er indgået lokalaftale omkring weekendtimer(Kræver aftale med TR/FSL). Weekendtillæg udbetales.",I33="X",C33="ikke relevant",S33="X"))),(V33*0.5),0)</f>
        <v>0</v>
      </c>
      <c r="FA33" s="283">
        <f>IF(AND(Stamoplysninger!$B$26="Der er indgået lokalaftale omkring weekendtillæg(Kræver aftale med TR/FSL). Weekendtimerne afspadseres.",I33="X"),K33,0)</f>
        <v>0</v>
      </c>
      <c r="FB33" s="251">
        <f>IF(AND(AND(Stamoplysninger!$B$26="Der er indgået lokalaftale omkring weekendtillæg(Kræver aftale med TR/FSL). Weekendtimerne afspadseres.",I33="X",S33="X")),V33,0)</f>
        <v>0</v>
      </c>
      <c r="FC33" s="674">
        <f>IF(AND(AND(Stamoplysninger!$B$26="Der er indgået lokalaftale omkring weekendtillæg(Kræver aftale med TR/FSL). Weekendtimerne afspadseres..",I33="X",C33="ikke relevant")),K33,0)</f>
        <v>0</v>
      </c>
      <c r="FD33" s="675">
        <f>IF(AND(AND(AND(Stamoplysninger!$B$26="Der er indgået lokalaftale omkring weekendtillæg(Kræver aftale med TR/FSL). Weekendtimerne afspadseres.",I33="X",C33="ikke relevant",S33="X"))),(V33),0)</f>
        <v>0</v>
      </c>
      <c r="FE33" s="283">
        <f>IF(AND(Stamoplysninger!$B$26="Der er indgået lokalaftale omkring weekendtillæg(Kræver aftale med TR/FSL). Weekendtimerne udbetales.",I33="X"),K33,0)</f>
        <v>0</v>
      </c>
      <c r="FF33" s="251">
        <f>IF(AND(AND(Stamoplysninger!$B$26="Der er indgået lokalaftale omkring weekendtillæg(Kræver aftale med TR/FSL). Weekendtimerne udbetales.",I33="X",S33="X")),V33,0)</f>
        <v>0</v>
      </c>
      <c r="FG33" s="674">
        <f>IF(AND(AND(Stamoplysninger!$B$26="Der er indgået lokalaftale omkring weekendtillæg(Kræver aftale med TR/FSL). Weekendtimerne udbetales.",I33="X",C33="ikke relevant")),K33,0)</f>
        <v>0</v>
      </c>
      <c r="FH33" s="675">
        <f>IF(AND(AND(AND(Stamoplysninger!$B$26="Der er indgået lokalaftale omkring weekendtillæg(Kræver aftale med TR/FSL). Weekendtimerne udbetales.",I33="X",C33="ikke relevant",S33="X"))),(V33),0)</f>
        <v>0</v>
      </c>
      <c r="FI33" s="283">
        <f>IF(AND(Stamoplysninger!$B$26="Weekendtimer og weekendtillæg afspadseres.",I33="X"),K33,0)</f>
        <v>0</v>
      </c>
      <c r="FJ33" s="251">
        <f>IF(AND(Stamoplysninger!$B$26="Weekendtimer og weekendtillæg afspadseres.",Y33="X"),(AA33+AL33)/2,0)</f>
        <v>0</v>
      </c>
      <c r="FK33" s="674">
        <f>IF(AND(AND(Stamoplysninger!$B$26="Weekendtimer og weekendtillæg afspadseres.",I33="X",C33="ikke relevant")),K33,0)</f>
        <v>0</v>
      </c>
      <c r="FL33" s="675">
        <f>IF(AND(AND(Stamoplysninger!$B$26="Weekendtimer og weekendtillæg afspadseres.",Y33="X",S33="ikke relevant")),(AA33+AL33)/2,0)</f>
        <v>0</v>
      </c>
      <c r="FM33" s="283">
        <f>IF(AND(Stamoplysninger!$B$26="Der er indgået lokalaftale omkring weekendtillæg(Kræver aftale med TR/FSL). Weekendtimerne afspadseres.",I33="X"),K33,0)</f>
        <v>0</v>
      </c>
      <c r="FN33" s="674">
        <f>IF(AND(AND(Stamoplysninger!$B$26="Der er indgået lokalaftale omkring weekendtillæg(Kræver aftale med TR/FSL). Weekendtimerne afspadseres.",I33="X",C33="ikke relevant")),K33,0)</f>
        <v>0</v>
      </c>
      <c r="FO33" s="283">
        <f>IF(AND(Stamoplysninger!$B$26="Weekendtimer og weekendtillæg udbetales.",I33="X"),K33,0)</f>
        <v>0</v>
      </c>
      <c r="FP33" s="251">
        <f>IF(AND(Stamoplysninger!$B$26="Weekendtimer og weekendtillæg udbetales.",AA33="X"),(AC33+AN33)/2,0)</f>
        <v>0</v>
      </c>
      <c r="FQ33" s="674">
        <f>IF(AND(AND(Stamoplysninger!$B$26="Weekendtimer og weekendtillæg udbetales.",I33="X",C33="ikke relevant")),K33,0)</f>
        <v>0</v>
      </c>
      <c r="FR33" s="688">
        <f>IF(AND(AND(Stamoplysninger!$B$26="Weekendtimer og weekendtillæg udbetales.",AA33="X",U33="ikke relevant")),(AC33+AN33)/2,0)</f>
        <v>0</v>
      </c>
      <c r="FS33" s="283">
        <f t="shared" si="13"/>
        <v>0</v>
      </c>
      <c r="FT33" s="658">
        <f t="shared" si="14"/>
        <v>0</v>
      </c>
      <c r="FU33">
        <f t="shared" si="31"/>
        <v>0</v>
      </c>
      <c r="FV33" s="283">
        <f>IF(AND(Stamoplysninger!$B$26="Der er indgået lokalaftale omkring weekendtimer.(Kræver aftale med TR/FSL) Weekendtillæg afspadseres.",I33="X"),K33,0)</f>
        <v>0</v>
      </c>
      <c r="FW33" s="674">
        <f>IF(AND(AND(Stamoplysninger!$B$26="Der er indgået lokalaftale omkring weekendtimer.(Kræver aftale med TR/FSL) Weekendtillæg afspadseres.",I33="X",C33="ikke relevant")),K33,0)</f>
        <v>0</v>
      </c>
      <c r="FX33" s="283">
        <f>IF(AND(Stamoplysninger!$B$26="Der er indgået lokalaftale omkring weekendtimer(Kræver aftale med TR/FSL). Weekendtillæg udbetales.",I33="X"),K33,0)</f>
        <v>0</v>
      </c>
      <c r="FY33" s="674">
        <f>IF(AND(AND(Stamoplysninger!$B$26="Der er indgået lokalaftale omkring weekendtimer(Kræver aftale med TR/FSL). Weekendtillæg udbetales.",I33="X",C33="ikke relevant")),K33,0)</f>
        <v>0</v>
      </c>
      <c r="FZ33" s="283">
        <f>IF(AND(Stamoplysninger!$B$26="Der er indgået lokalaftale omkring weekendtillæg(Kræver aftale med TR/FSL). Weekendtimerne udbetales.",I33="X"),K33,0)</f>
        <v>0</v>
      </c>
      <c r="GA33" s="674">
        <f>IF(AND(AND(Stamoplysninger!$B$26="Der er indgået lokalaftale omkring weekendtillæg(Kræver aftale med TR/FSL). Weekendtimerne udbetales.",I33="X",C33="ikke relevant")),K33,0)</f>
        <v>0</v>
      </c>
      <c r="GB33" s="283">
        <f>IF(AND(Stamoplysninger!$B$26="Der er indgået lokalaftale omkring weekendtimer og weekendtillæg.(Kræver aftale med TR/FSL).",I33="X"),K33,0)</f>
        <v>0</v>
      </c>
      <c r="GC33" s="674">
        <f>IF(AND(AND(Stamoplysninger!$B$26="Der er indgået lokalaftale omkring weekendtimer og weekendtillæg.(Kræver aftale med TR/FSL).",I33="X",C33="ikke relevant")),K33,0)</f>
        <v>0</v>
      </c>
    </row>
    <row r="34" spans="1:185">
      <c r="A34" s="245">
        <f t="shared" si="16"/>
        <v>26</v>
      </c>
      <c r="B34" s="128" t="str">
        <f t="shared" si="0"/>
        <v>on</v>
      </c>
      <c r="C34" s="129" t="s">
        <v>207</v>
      </c>
      <c r="D34" s="130" t="str">
        <f t="shared" si="1"/>
        <v/>
      </c>
      <c r="E34" s="917"/>
      <c r="F34" s="918"/>
      <c r="G34" s="919"/>
      <c r="H34" s="298"/>
      <c r="I34" s="527"/>
      <c r="J34" s="413"/>
      <c r="K34" s="380"/>
      <c r="L34" s="380"/>
      <c r="M34" s="380"/>
      <c r="N34" s="318">
        <f t="shared" si="17"/>
        <v>7.75</v>
      </c>
      <c r="O34" s="318">
        <f t="shared" si="18"/>
        <v>4.25</v>
      </c>
      <c r="P34" s="318">
        <f>IF(Stamoplysninger!$H$29="JA",Februar!DG34,CX34)</f>
        <v>1</v>
      </c>
      <c r="Q34" s="318">
        <f t="shared" si="19"/>
        <v>2.5</v>
      </c>
      <c r="R34" s="319"/>
      <c r="S34" s="324"/>
      <c r="T34" s="325"/>
      <c r="U34" s="325"/>
      <c r="V34" s="435"/>
      <c r="W34" s="435"/>
      <c r="X34" s="644"/>
      <c r="Y34">
        <f t="shared" si="20"/>
        <v>0</v>
      </c>
      <c r="Z34" s="437">
        <f t="shared" si="21"/>
        <v>0</v>
      </c>
      <c r="AA34" s="1">
        <f t="shared" si="22"/>
        <v>0</v>
      </c>
      <c r="AB34" s="1">
        <f t="shared" si="2"/>
        <v>0</v>
      </c>
      <c r="AC34" s="1">
        <f t="shared" si="3"/>
        <v>0</v>
      </c>
      <c r="AD34" s="1">
        <f t="shared" si="4"/>
        <v>0</v>
      </c>
      <c r="AE34" s="1">
        <f t="shared" si="5"/>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f>IF(AND(C34="Skema 2",B34="on"),Arbejdstidsoversigt!$E$83,"")</f>
        <v>7.75</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7.75</v>
      </c>
      <c r="BB34" s="229">
        <f t="shared" si="6"/>
        <v>0</v>
      </c>
      <c r="BC34" s="1">
        <f t="shared" si="24"/>
        <v>0</v>
      </c>
      <c r="BD34" s="1">
        <f t="shared" si="7"/>
        <v>0</v>
      </c>
      <c r="BE34" s="1">
        <f t="shared" si="8"/>
        <v>0</v>
      </c>
      <c r="BF34" s="1">
        <f t="shared" si="9"/>
        <v>0</v>
      </c>
      <c r="BG34" s="210" t="str">
        <f>IF(AND(C34="Skema 1",B34="ma"),Skemaoplysninger!$E$30,"")</f>
        <v/>
      </c>
      <c r="BH34" s="210" t="str">
        <f>IF(AND(C34="Skema 1",B34="ti"),Skemaoplysninger!$G$30,"")</f>
        <v/>
      </c>
      <c r="BI34" s="210" t="str">
        <f>IF(AND(C34="Skema 1",B34="on"),Skemaoplysninger!$I$30,"")</f>
        <v/>
      </c>
      <c r="BJ34" s="210" t="str">
        <f>IF(AND(C34="Skema 1",B34="to"),Skemaoplysninger!$K$30,"")</f>
        <v/>
      </c>
      <c r="BK34" s="210" t="str">
        <f>IF(AND(C34="Skema 1",B34="fr"),Skemaoplysninger!$M$30,"")</f>
        <v/>
      </c>
      <c r="BL34" s="210" t="str">
        <f>IF(AND(C34="Skema 2",B34="ma"),Skemaoplysninger!$S$30,"")</f>
        <v/>
      </c>
      <c r="BM34" s="210" t="str">
        <f>IF(AND(C34="Skema 2",B34="ti"),Skemaoplysninger!$U$30,"")</f>
        <v/>
      </c>
      <c r="BN34" s="210">
        <f>IF(AND(C34="Skema 2",B34="on"),Skemaoplysninger!$W$30,"")</f>
        <v>0.17708333333333331</v>
      </c>
      <c r="BO34" s="210" t="str">
        <f>IF(AND(C34="Skema 2",B34="to"),Skemaoplysninger!$Y$30,"")</f>
        <v/>
      </c>
      <c r="BP34" s="210" t="str">
        <f>IF(AND(C34="Skema 2",B34="fr"),Skemaoplysninger!$AA$30,"")</f>
        <v/>
      </c>
      <c r="BQ34" s="210" t="str">
        <f>IF(AND(C34="Skema 3",B34="ma"),Skemaoplysninger!$AG$30,"")</f>
        <v/>
      </c>
      <c r="BR34" s="210" t="str">
        <f>IF(AND(C34="Skema 3",B34="ti"),Skemaoplysninger!$AI$30,"")</f>
        <v/>
      </c>
      <c r="BS34" s="210" t="str">
        <f>IF(AND(C34="Skema 3",B34="on"),Skemaoplysninger!$AK$30,"")</f>
        <v/>
      </c>
      <c r="BT34" s="210" t="str">
        <f>IF(AND(C34="Skema 3",B34="to"),Skemaoplysninger!$AM$30,"")</f>
        <v/>
      </c>
      <c r="BU34" s="210" t="str">
        <f>IF(AND(C34="Skema 3",B34="fr"),Skemaoplysninger!$AO$30,"")</f>
        <v/>
      </c>
      <c r="BV34" s="210" t="str">
        <f>IF(AND(C34="Skema 4",B34="ma"),Skemaoplysninger!$AU$30,"")</f>
        <v/>
      </c>
      <c r="BW34" s="210" t="str">
        <f>IF(AND(C34="Skema 4",B34="ti"),Skemaoplysninger!$AW$30,"")</f>
        <v/>
      </c>
      <c r="BX34" s="210" t="str">
        <f>IF(AND(C34="Skema 4",B34="on"),Skemaoplysninger!$AY$30,"")</f>
        <v/>
      </c>
      <c r="BY34" s="210" t="str">
        <f>IF(AND(C34="Skema 4",B34="to"),Skemaoplysninger!$BA$30,"")</f>
        <v/>
      </c>
      <c r="BZ34" s="210" t="str">
        <f>IF(AND(C34="Skema 4",B34="fr"),Skemaoplysninger!$BC$30,"")</f>
        <v/>
      </c>
      <c r="CA34" s="1">
        <f t="shared" si="25"/>
        <v>4.25</v>
      </c>
      <c r="CB34" s="1">
        <f t="shared" si="10"/>
        <v>0</v>
      </c>
      <c r="CC34" s="1">
        <f t="shared" si="11"/>
        <v>0</v>
      </c>
      <c r="CD34" s="210" t="str">
        <f>IF(AND(C34="Skema 1",B34="ma"),Skemaoplysninger!$E$31,"")</f>
        <v/>
      </c>
      <c r="CE34" s="210" t="str">
        <f>IF(AND(C34="Skema 1",B34="ti"),Skemaoplysninger!$G$31,"")</f>
        <v/>
      </c>
      <c r="CF34" s="210" t="str">
        <f>IF(AND(C34="Skema 1",B34="on"),Skemaoplysninger!$I$31,"")</f>
        <v/>
      </c>
      <c r="CG34" s="210" t="str">
        <f>IF(AND(C34="Skema 1",B34="to"),Skemaoplysninger!$K$31,"")</f>
        <v/>
      </c>
      <c r="CH34" s="210" t="str">
        <f>IF(AND(C34="Skema 1",B34="fr"),Skemaoplysninger!$M$31,"")</f>
        <v/>
      </c>
      <c r="CI34" s="210" t="str">
        <f>IF(AND(C34="Skema 2",B34="ma"),Skemaoplysninger!$S$31,"")</f>
        <v/>
      </c>
      <c r="CJ34" s="210" t="str">
        <f>IF(AND(C34="Skema 2",B34="ti"),Skemaoplysninger!$U$31,"")</f>
        <v/>
      </c>
      <c r="CK34" s="210">
        <f>IF(AND(C34="Skema 2",B34="on"),Skemaoplysninger!$W$31,"")</f>
        <v>4.1666666666666664E-2</v>
      </c>
      <c r="CL34" s="210" t="str">
        <f>IF(AND(C34="Skema 2",B34="to"),Skemaoplysninger!$Y$31,"")</f>
        <v/>
      </c>
      <c r="CM34" s="210" t="str">
        <f>IF(AND(C34="Skema 2",B34="fr"),Skemaoplysninger!$AA$31,"")</f>
        <v/>
      </c>
      <c r="CN34" s="210" t="str">
        <f>IF(AND(C34="Skema 3",B34="ma"),Skemaoplysninger!$AG$31,"")</f>
        <v/>
      </c>
      <c r="CO34" s="210" t="str">
        <f>IF(AND(C34="Skema 3",B34="ti"),Skemaoplysninger!$AI$31,"")</f>
        <v/>
      </c>
      <c r="CP34" s="210" t="str">
        <f>IF(AND(C34="Skema 3",B34="on"),Skemaoplysninger!$AK$31,"")</f>
        <v/>
      </c>
      <c r="CQ34" s="210" t="str">
        <f>IF(AND(C34="Skema 3",B34="to"),Skemaoplysninger!$AM$31,"")</f>
        <v/>
      </c>
      <c r="CR34" s="210" t="str">
        <f>IF(AND(C34="Skema 3",B34="fr"),Skemaoplysninger!$AO$31,"")</f>
        <v/>
      </c>
      <c r="CS34" s="210" t="str">
        <f>IF(AND(C34="Skema 4",B34="ma"),Skemaoplysninger!$AU$31,"")</f>
        <v/>
      </c>
      <c r="CT34" s="210" t="str">
        <f>IF(AND(C34="Skema 4",B34="ti"),Skemaoplysninger!$AW$31,"")</f>
        <v/>
      </c>
      <c r="CU34" s="210" t="str">
        <f>IF(AND(C34="Skema 4",B34="on"),Skemaoplysninger!$AY$31,"")</f>
        <v/>
      </c>
      <c r="CV34" s="210" t="str">
        <f>IF(AND(C34="Skema 4",B34="to"),Skemaoplysninger!$BA$31,"")</f>
        <v/>
      </c>
      <c r="CW34" s="210" t="str">
        <f>IF(AND(C34="Skema 4",B34="fr"),Skemaoplysninger!$BC$31,"")</f>
        <v/>
      </c>
      <c r="CX34" s="249">
        <f>IF(Stamoplysninger!$H$29="NEJ",SUM(CD34:CW34)*24+CB34+CC34,0)</f>
        <v>1</v>
      </c>
      <c r="CY34" s="249">
        <f>IF(C34="Skema 1",Stamoplysninger!$H$30/200,0)</f>
        <v>0</v>
      </c>
      <c r="CZ34" s="249">
        <f>IF(C34="Skema 2",Stamoplysninger!$H$30/200,0)</f>
        <v>0</v>
      </c>
      <c r="DA34" s="249">
        <f>IF(C34="Skema 3",Stamoplysninger!$H$30/200,0)</f>
        <v>0</v>
      </c>
      <c r="DB34" s="249">
        <f>IF(C34="Skema 4",Stamoplysninger!$H$30/200,0)</f>
        <v>0</v>
      </c>
      <c r="DC34" s="249">
        <f>IF(C34="fagdag",Stamoplysninger!$H$30/200,0)</f>
        <v>0</v>
      </c>
      <c r="DD34" s="249">
        <f>IF(C34="emnedag",Stamoplysninger!$H$30/200,0)</f>
        <v>0</v>
      </c>
      <c r="DE34" s="249">
        <f>IF(C34="lejrskole",Stamoplysninger!$H$30/200,0)</f>
        <v>0</v>
      </c>
      <c r="DF34" s="249">
        <f>IF(C34="ekskursion",Stamoplysninger!$H$30/200,0)</f>
        <v>0</v>
      </c>
      <c r="DG34" s="249">
        <f t="shared" si="26"/>
        <v>0</v>
      </c>
      <c r="DH34" t="str">
        <f t="shared" si="27"/>
        <v/>
      </c>
      <c r="DI34">
        <f t="shared" si="28"/>
        <v>0</v>
      </c>
      <c r="DJ34">
        <f t="shared" si="29"/>
        <v>0</v>
      </c>
      <c r="DK34" t="str">
        <f t="shared" si="12"/>
        <v/>
      </c>
      <c r="DL34" t="str">
        <f t="shared" si="12"/>
        <v/>
      </c>
      <c r="DM34" t="str">
        <f t="shared" si="12"/>
        <v/>
      </c>
      <c r="DN34" t="str">
        <f t="shared" si="30"/>
        <v/>
      </c>
      <c r="DO34" s="652">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71">
        <f>IF(AND(Stamoplysninger!$B$22="Ulempetillæg udbetales med 25% af nettotimelønnen.",C34="ikke relevant"),(R34)/4,0)</f>
        <v>0</v>
      </c>
      <c r="DT34" s="671">
        <f>IF(AND(AND(Stamoplysninger!$B$22="Ulempetillæg udbetales med 25% af nettotimelønnen.",I34="X",C34="Ikke relevant")),K34/4,0)</f>
        <v>0</v>
      </c>
      <c r="DU34" s="671">
        <f>IF(AND(AND(Stamoplysninger!$B$22="Ulempetillæg udbetales med 25% af nettotimelønnen.",C34="ikke relevant",U34="X")),(X34/4),0)</f>
        <v>0</v>
      </c>
      <c r="DV34" s="672">
        <f>IF(AND(AND(AND(Stamoplysninger!$B$22="Ulempetillæg udbetales med 25% af nettotimelønnen.",I34="X",C34="Ikke relevant",S34="X"))),V34/4,0)</f>
        <v>0</v>
      </c>
      <c r="DW34" s="652"/>
      <c r="DZ34" s="671"/>
      <c r="EA34" s="671"/>
      <c r="EB34" s="672"/>
      <c r="EC34" s="652">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71">
        <f>IF(AND(Stamoplysninger!$B$22="Ulempetillæg afspadseres med 25%(Kræver en aftale imellem ledelsen og den ansatte)",C34="ikke relevant"),(R34)/4,0)</f>
        <v>0</v>
      </c>
      <c r="EH34" s="671">
        <f>IF(AND(AND(Stamoplysninger!$B$22="Ulempetillæg afspadseres med 25%(Kræver en aftale imellem ledelsen og den ansatte)",I34="X",C34="Ikke relevant")),K34/4,0)</f>
        <v>0</v>
      </c>
      <c r="EI34" s="671">
        <f>IF(AND(AND(Stamoplysninger!$B$22="Ulempetillæg afspadseres med 25%(Kræver en aftale imellem ledelsen og den ansatte)",U34="X",C34="Ikke relevant")),X34/4,0)</f>
        <v>0</v>
      </c>
      <c r="EJ34" s="671">
        <f>IF(AND(AND(AND(Stamoplysninger!$B$22="Ulempetillæg afspadseres med 25%(Kræver en aftale imellem ledelsen og den ansatte)",I34="X",C34="Ikke relevant",S34="X"))),V34/4,0)</f>
        <v>0</v>
      </c>
      <c r="EK34" s="283">
        <f>IF(AND(Stamoplysninger!$B$26="Weekendtimer og weekendtillæg afspadseres.",I34="X"),K34*1.5,0)</f>
        <v>0</v>
      </c>
      <c r="EL34" s="251">
        <f>IF(AND(AND(Stamoplysninger!$B$26="Weekendtimer og weekendtillæg afspadseres.",I34="X",S34="X")),V34*1.5,0)</f>
        <v>0</v>
      </c>
      <c r="EM34" s="674">
        <f>IF(AND(AND(Stamoplysninger!$B$26="Weekendtimer og weekendtillæg afspadseres.",I34="X",C34="ikke relevant")),K34*1.5,0)</f>
        <v>0</v>
      </c>
      <c r="EN34" s="675">
        <f>IF(AND(AND(AND(Stamoplysninger!$B$26="Weekendtimer og weekendtillæg afspadseres.",I34="X",C34="ikke relevant",S34="X"))),(V34*1.5),0)</f>
        <v>0</v>
      </c>
      <c r="EO34" s="283">
        <f>IF(AND(Stamoplysninger!$B$26="Weekendtimer og weekendtillæg udbetales.",I34="X"),K34*1.5,0)</f>
        <v>0</v>
      </c>
      <c r="EP34" s="251">
        <f>IF(AND(AND(Stamoplysninger!$B$26="Weekendtimer og weekendtillæg udbetales.",I34="X",S34="X")),V34*1.5,0)</f>
        <v>0</v>
      </c>
      <c r="EQ34" s="674">
        <f>IF(AND(AND(Stamoplysninger!$B$26="Weekendtimer og weekendtillæg udbetales.",I34="X",C34="ikke relevant")),K34*1.5,0)</f>
        <v>0</v>
      </c>
      <c r="ER34" s="675">
        <f>IF(AND(AND(AND(Stamoplysninger!$B$26="Weekendtimer og weekendtillæg udbetales.",I34="X",C34="ikke relevant",S34="X"))),(V34*1.5),0)</f>
        <v>0</v>
      </c>
      <c r="ES34" s="283">
        <f>IF(AND(Stamoplysninger!$B$26="Der er indgået lokalaftale omkring weekendtimer.(Kræver aftale med TR/FSL) Weekendtillæg afspadseres.",I34="X"),K34*0.5,0)</f>
        <v>0</v>
      </c>
      <c r="ET34" s="251">
        <f>IF(AND(AND(Stamoplysninger!$B$26="Der er indgået lokalaftale omkring weekendtimer.(Kræver aftale med TR/FSL) Weekendtillæg afspadseres.",I34="X",S34="X")),V34*0.5,0)</f>
        <v>0</v>
      </c>
      <c r="EU34" s="674">
        <f>IF(AND(AND(Stamoplysninger!$B$26="Der er indgået lokalaftale omkring weekendtimer.(Kræver aftale med TR/FSL) Weekendtillæg afspadseres.",I34="X",C34="ikke relevant")),K34*0.5,0)</f>
        <v>0</v>
      </c>
      <c r="EV34" s="675">
        <f>IF(AND(AND(AND(Stamoplysninger!$B$26="Der er indgået lokalaftale omkring weekendtimer.(Kræver aftale med TR/FSL) Weekendtillæg afspadseres.",I34="X",C34="ikke relevant",S34="X"))),(V34*0.5),0)</f>
        <v>0</v>
      </c>
      <c r="EW34" s="283">
        <f>IF(AND(Stamoplysninger!$B$26="Der er indgået lokalaftale omkring weekendtimer(Kræver aftale med TR/FSL). Weekendtillæg udbetales.",I34="X"),K34*0.5,0)</f>
        <v>0</v>
      </c>
      <c r="EX34" s="251">
        <f>IF(AND(AND(Stamoplysninger!$B$26="Der er indgået lokalaftale omkring weekendtimer(Kræver aftale med TR/FSL). Weekendtillæg udbetales.",I34="X",S34="X")),V34*0.5,0)</f>
        <v>0</v>
      </c>
      <c r="EY34" s="674">
        <f>IF(AND(AND(Stamoplysninger!$B$26="Der er indgået lokalaftale omkring weekendtimer(Kræver aftale med TR/FSL). Weekendtillæg udbetales.",I34="X",C34="ikke relevant")),K34*0.5,0)</f>
        <v>0</v>
      </c>
      <c r="EZ34" s="675">
        <f>IF(AND(AND(AND(Stamoplysninger!$B$26="Der er indgået lokalaftale omkring weekendtimer(Kræver aftale med TR/FSL). Weekendtillæg udbetales.",I34="X",C34="ikke relevant",S34="X"))),(V34*0.5),0)</f>
        <v>0</v>
      </c>
      <c r="FA34" s="283">
        <f>IF(AND(Stamoplysninger!$B$26="Der er indgået lokalaftale omkring weekendtillæg(Kræver aftale med TR/FSL). Weekendtimerne afspadseres.",I34="X"),K34,0)</f>
        <v>0</v>
      </c>
      <c r="FB34" s="251">
        <f>IF(AND(AND(Stamoplysninger!$B$26="Der er indgået lokalaftale omkring weekendtillæg(Kræver aftale med TR/FSL). Weekendtimerne afspadseres.",I34="X",S34="X")),V34,0)</f>
        <v>0</v>
      </c>
      <c r="FC34" s="674">
        <f>IF(AND(AND(Stamoplysninger!$B$26="Der er indgået lokalaftale omkring weekendtillæg(Kræver aftale med TR/FSL). Weekendtimerne afspadseres..",I34="X",C34="ikke relevant")),K34,0)</f>
        <v>0</v>
      </c>
      <c r="FD34" s="675">
        <f>IF(AND(AND(AND(Stamoplysninger!$B$26="Der er indgået lokalaftale omkring weekendtillæg(Kræver aftale med TR/FSL). Weekendtimerne afspadseres.",I34="X",C34="ikke relevant",S34="X"))),(V34),0)</f>
        <v>0</v>
      </c>
      <c r="FE34" s="283">
        <f>IF(AND(Stamoplysninger!$B$26="Der er indgået lokalaftale omkring weekendtillæg(Kræver aftale med TR/FSL). Weekendtimerne udbetales.",I34="X"),K34,0)</f>
        <v>0</v>
      </c>
      <c r="FF34" s="251">
        <f>IF(AND(AND(Stamoplysninger!$B$26="Der er indgået lokalaftale omkring weekendtillæg(Kræver aftale med TR/FSL). Weekendtimerne udbetales.",I34="X",S34="X")),V34,0)</f>
        <v>0</v>
      </c>
      <c r="FG34" s="674">
        <f>IF(AND(AND(Stamoplysninger!$B$26="Der er indgået lokalaftale omkring weekendtillæg(Kræver aftale med TR/FSL). Weekendtimerne udbetales.",I34="X",C34="ikke relevant")),K34,0)</f>
        <v>0</v>
      </c>
      <c r="FH34" s="675">
        <f>IF(AND(AND(AND(Stamoplysninger!$B$26="Der er indgået lokalaftale omkring weekendtillæg(Kræver aftale med TR/FSL). Weekendtimerne udbetales.",I34="X",C34="ikke relevant",S34="X"))),(V34),0)</f>
        <v>0</v>
      </c>
      <c r="FI34" s="283">
        <f>IF(AND(Stamoplysninger!$B$26="Weekendtimer og weekendtillæg afspadseres.",I34="X"),K34,0)</f>
        <v>0</v>
      </c>
      <c r="FJ34" s="251">
        <f>IF(AND(Stamoplysninger!$B$26="Weekendtimer og weekendtillæg afspadseres.",Y34="X"),(AA34+AL34)/2,0)</f>
        <v>0</v>
      </c>
      <c r="FK34" s="674">
        <f>IF(AND(AND(Stamoplysninger!$B$26="Weekendtimer og weekendtillæg afspadseres.",I34="X",C34="ikke relevant")),K34,0)</f>
        <v>0</v>
      </c>
      <c r="FL34" s="675">
        <f>IF(AND(AND(Stamoplysninger!$B$26="Weekendtimer og weekendtillæg afspadseres.",Y34="X",S34="ikke relevant")),(AA34+AL34)/2,0)</f>
        <v>0</v>
      </c>
      <c r="FM34" s="283">
        <f>IF(AND(Stamoplysninger!$B$26="Der er indgået lokalaftale omkring weekendtillæg(Kræver aftale med TR/FSL). Weekendtimerne afspadseres.",I34="X"),K34,0)</f>
        <v>0</v>
      </c>
      <c r="FN34" s="674">
        <f>IF(AND(AND(Stamoplysninger!$B$26="Der er indgået lokalaftale omkring weekendtillæg(Kræver aftale med TR/FSL). Weekendtimerne afspadseres.",I34="X",C34="ikke relevant")),K34,0)</f>
        <v>0</v>
      </c>
      <c r="FO34" s="283">
        <f>IF(AND(Stamoplysninger!$B$26="Weekendtimer og weekendtillæg udbetales.",I34="X"),K34,0)</f>
        <v>0</v>
      </c>
      <c r="FP34" s="251">
        <f>IF(AND(Stamoplysninger!$B$26="Weekendtimer og weekendtillæg udbetales.",AA34="X"),(AC34+AN34)/2,0)</f>
        <v>0</v>
      </c>
      <c r="FQ34" s="674">
        <f>IF(AND(AND(Stamoplysninger!$B$26="Weekendtimer og weekendtillæg udbetales.",I34="X",C34="ikke relevant")),K34,0)</f>
        <v>0</v>
      </c>
      <c r="FR34" s="688">
        <f>IF(AND(AND(Stamoplysninger!$B$26="Weekendtimer og weekendtillæg udbetales.",AA34="X",U34="ikke relevant")),(AC34+AN34)/2,0)</f>
        <v>0</v>
      </c>
      <c r="FS34" s="283">
        <f t="shared" si="13"/>
        <v>0</v>
      </c>
      <c r="FT34" s="658">
        <f t="shared" si="14"/>
        <v>0</v>
      </c>
      <c r="FU34">
        <f>IF(AND(C34="weekend",I34="X"),K34,0)</f>
        <v>0</v>
      </c>
      <c r="FV34" s="283">
        <f>IF(AND(Stamoplysninger!$B$26="Der er indgået lokalaftale omkring weekendtimer.(Kræver aftale med TR/FSL) Weekendtillæg afspadseres.",I34="X"),K34,0)</f>
        <v>0</v>
      </c>
      <c r="FW34" s="674">
        <f>IF(AND(AND(Stamoplysninger!$B$26="Der er indgået lokalaftale omkring weekendtimer.(Kræver aftale med TR/FSL) Weekendtillæg afspadseres.",I34="X",C34="ikke relevant")),K34,0)</f>
        <v>0</v>
      </c>
      <c r="FX34" s="283">
        <f>IF(AND(Stamoplysninger!$B$26="Der er indgået lokalaftale omkring weekendtimer(Kræver aftale med TR/FSL). Weekendtillæg udbetales.",I34="X"),K34,0)</f>
        <v>0</v>
      </c>
      <c r="FY34" s="674">
        <f>IF(AND(AND(Stamoplysninger!$B$26="Der er indgået lokalaftale omkring weekendtimer(Kræver aftale med TR/FSL). Weekendtillæg udbetales.",I34="X",C34="ikke relevant")),K34,0)</f>
        <v>0</v>
      </c>
      <c r="FZ34" s="283">
        <f>IF(AND(Stamoplysninger!$B$26="Der er indgået lokalaftale omkring weekendtillæg(Kræver aftale med TR/FSL). Weekendtimerne udbetales.",I34="X"),K34,0)</f>
        <v>0</v>
      </c>
      <c r="GA34" s="674">
        <f>IF(AND(AND(Stamoplysninger!$B$26="Der er indgået lokalaftale omkring weekendtillæg(Kræver aftale med TR/FSL). Weekendtimerne udbetales.",I34="X",C34="ikke relevant")),K34,0)</f>
        <v>0</v>
      </c>
      <c r="GB34" s="283">
        <f>IF(AND(Stamoplysninger!$B$26="Der er indgået lokalaftale omkring weekendtimer og weekendtillæg.(Kræver aftale med TR/FSL).",I34="X"),K34,0)</f>
        <v>0</v>
      </c>
      <c r="GC34" s="674">
        <f>IF(AND(AND(Stamoplysninger!$B$26="Der er indgået lokalaftale omkring weekendtimer og weekendtillæg.(Kræver aftale med TR/FSL).",I34="X",C34="ikke relevant")),K34,0)</f>
        <v>0</v>
      </c>
    </row>
    <row r="35" spans="1:185">
      <c r="A35" s="245">
        <f t="shared" si="16"/>
        <v>27</v>
      </c>
      <c r="B35" s="128" t="str">
        <f t="shared" si="0"/>
        <v>to</v>
      </c>
      <c r="C35" s="129" t="s">
        <v>207</v>
      </c>
      <c r="D35" s="130" t="str">
        <f t="shared" si="1"/>
        <v/>
      </c>
      <c r="E35" s="917"/>
      <c r="F35" s="918"/>
      <c r="G35" s="919"/>
      <c r="H35" s="298"/>
      <c r="I35" s="527"/>
      <c r="J35" s="413"/>
      <c r="K35" s="380"/>
      <c r="L35" s="380"/>
      <c r="M35" s="380"/>
      <c r="N35" s="318">
        <f t="shared" si="17"/>
        <v>7.75</v>
      </c>
      <c r="O35" s="318">
        <f t="shared" si="18"/>
        <v>3</v>
      </c>
      <c r="P35" s="318">
        <f>IF(Stamoplysninger!$H$29="JA",Februar!DG35,CX35)</f>
        <v>0.83333333333333337</v>
      </c>
      <c r="Q35" s="318">
        <f t="shared" si="19"/>
        <v>3.9166666666666665</v>
      </c>
      <c r="R35" s="319"/>
      <c r="S35" s="324"/>
      <c r="T35" s="325"/>
      <c r="U35" s="325"/>
      <c r="V35" s="435"/>
      <c r="W35" s="435"/>
      <c r="X35" s="644"/>
      <c r="Y35">
        <f t="shared" si="20"/>
        <v>0</v>
      </c>
      <c r="Z35" s="437">
        <f t="shared" si="21"/>
        <v>0</v>
      </c>
      <c r="AA35" s="1">
        <f t="shared" si="22"/>
        <v>0</v>
      </c>
      <c r="AB35" s="1">
        <f t="shared" si="2"/>
        <v>0</v>
      </c>
      <c r="AC35" s="1">
        <f t="shared" si="3"/>
        <v>0</v>
      </c>
      <c r="AD35" s="1">
        <f t="shared" si="4"/>
        <v>0</v>
      </c>
      <c r="AE35" s="1">
        <f t="shared" si="5"/>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f>IF(AND(C35="Skema 2",B35="to"),Arbejdstidsoversigt!$E$84,"")</f>
        <v>7.75</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SUM(AA35:AZ35)</f>
        <v>7.75</v>
      </c>
      <c r="BB35" s="229">
        <f>SUM(AG35:AK35)*24</f>
        <v>0</v>
      </c>
      <c r="BC35" s="1">
        <f>IF(C35="Lejrskole",L35,0)</f>
        <v>0</v>
      </c>
      <c r="BD35" s="1">
        <f>IF(C35="Ekskursion",L35,0)</f>
        <v>0</v>
      </c>
      <c r="BE35" s="1">
        <f>IF(C35="fagdag",L35,0)</f>
        <v>0</v>
      </c>
      <c r="BF35" s="1">
        <f>IF(C35="emnedag",L35,0)</f>
        <v>0</v>
      </c>
      <c r="BG35" s="210" t="str">
        <f>IF(AND(C35="Skema 1",B35="ma"),Skemaoplysninger!$E$30,"")</f>
        <v/>
      </c>
      <c r="BH35" s="210" t="str">
        <f>IF(AND(C35="Skema 1",B35="ti"),Skemaoplysninger!$G$30,"")</f>
        <v/>
      </c>
      <c r="BI35" s="210" t="str">
        <f>IF(AND(C35="Skema 1",B35="on"),Skemaoplysninger!$I$30,"")</f>
        <v/>
      </c>
      <c r="BJ35" s="210" t="str">
        <f>IF(AND(C35="Skema 1",B35="to"),Skemaoplysninger!$K$30,"")</f>
        <v/>
      </c>
      <c r="BK35" s="210" t="str">
        <f>IF(AND(C35="Skema 1",B35="fr"),Skemaoplysninger!$M$30,"")</f>
        <v/>
      </c>
      <c r="BL35" s="210" t="str">
        <f>IF(AND(C35="Skema 2",B35="ma"),Skemaoplysninger!$S$30,"")</f>
        <v/>
      </c>
      <c r="BM35" s="210" t="str">
        <f>IF(AND(C35="Skema 2",B35="ti"),Skemaoplysninger!$U$30,"")</f>
        <v/>
      </c>
      <c r="BN35" s="210" t="str">
        <f>IF(AND(C35="Skema 2",B35="on"),Skemaoplysninger!$W$30,"")</f>
        <v/>
      </c>
      <c r="BO35" s="210">
        <f>IF(AND(C35="Skema 2",B35="to"),Skemaoplysninger!$Y$30,"")</f>
        <v>0.125</v>
      </c>
      <c r="BP35" s="210" t="str">
        <f>IF(AND(C35="Skema 2",B35="fr"),Skemaoplysninger!$AA$30,"")</f>
        <v/>
      </c>
      <c r="BQ35" s="210" t="str">
        <f>IF(AND(C35="Skema 3",B35="ma"),Skemaoplysninger!$AG$30,"")</f>
        <v/>
      </c>
      <c r="BR35" s="210" t="str">
        <f>IF(AND(C35="Skema 3",B35="ti"),Skemaoplysninger!$AI$30,"")</f>
        <v/>
      </c>
      <c r="BS35" s="210" t="str">
        <f>IF(AND(C35="Skema 3",B35="on"),Skemaoplysninger!$AK$30,"")</f>
        <v/>
      </c>
      <c r="BT35" s="210" t="str">
        <f>IF(AND(C35="Skema 3",B35="to"),Skemaoplysninger!$AM$30,"")</f>
        <v/>
      </c>
      <c r="BU35" s="210" t="str">
        <f>IF(AND(C35="Skema 3",B35="fr"),Skemaoplysninger!$AO$30,"")</f>
        <v/>
      </c>
      <c r="BV35" s="210" t="str">
        <f>IF(AND(C35="Skema 4",B35="ma"),Skemaoplysninger!$AU$30,"")</f>
        <v/>
      </c>
      <c r="BW35" s="210" t="str">
        <f>IF(AND(C35="Skema 4",B35="ti"),Skemaoplysninger!$AW$30,"")</f>
        <v/>
      </c>
      <c r="BX35" s="210" t="str">
        <f>IF(AND(C35="Skema 4",B35="on"),Skemaoplysninger!$AY$30,"")</f>
        <v/>
      </c>
      <c r="BY35" s="210" t="str">
        <f>IF(AND(C35="Skema 4",B35="to"),Skemaoplysninger!$BA$30,"")</f>
        <v/>
      </c>
      <c r="BZ35" s="210" t="str">
        <f>IF(AND(C35="Skema 4",B35="fr"),Skemaoplysninger!$BC$30,"")</f>
        <v/>
      </c>
      <c r="CA35" s="1">
        <f>SUM(BG35:BZ35)*24+SUM(BC35:BF35)</f>
        <v>3</v>
      </c>
      <c r="CB35" s="1">
        <f>IF(C35="fagdag",M35,0)</f>
        <v>0</v>
      </c>
      <c r="CC35" s="1">
        <f>IF(C35="emnedag",M35,0)</f>
        <v>0</v>
      </c>
      <c r="CD35" s="210" t="str">
        <f>IF(AND(C35="Skema 1",B35="ma"),Skemaoplysninger!$E$31,"")</f>
        <v/>
      </c>
      <c r="CE35" s="210" t="str">
        <f>IF(AND(C35="Skema 1",B35="ti"),Skemaoplysninger!$G$31,"")</f>
        <v/>
      </c>
      <c r="CF35" s="210" t="str">
        <f>IF(AND(C35="Skema 1",B35="on"),Skemaoplysninger!$I$31,"")</f>
        <v/>
      </c>
      <c r="CG35" s="210" t="str">
        <f>IF(AND(C35="Skema 1",B35="to"),Skemaoplysninger!$K$31,"")</f>
        <v/>
      </c>
      <c r="CH35" s="210" t="str">
        <f>IF(AND(C35="Skema 1",B35="fr"),Skemaoplysninger!$M$31,"")</f>
        <v/>
      </c>
      <c r="CI35" s="210" t="str">
        <f>IF(AND(C35="Skema 2",B35="ma"),Skemaoplysninger!$S$31,"")</f>
        <v/>
      </c>
      <c r="CJ35" s="210" t="str">
        <f>IF(AND(C35="Skema 2",B35="ti"),Skemaoplysninger!$U$31,"")</f>
        <v/>
      </c>
      <c r="CK35" s="210" t="str">
        <f>IF(AND(C35="Skema 2",B35="on"),Skemaoplysninger!$W$31,"")</f>
        <v/>
      </c>
      <c r="CL35" s="210">
        <f>IF(AND(C35="Skema 2",B35="to"),Skemaoplysninger!$Y$31,"")</f>
        <v>3.4722222222222224E-2</v>
      </c>
      <c r="CM35" s="210" t="str">
        <f>IF(AND(C35="Skema 2",B35="fr"),Skemaoplysninger!$AA$31,"")</f>
        <v/>
      </c>
      <c r="CN35" s="210" t="str">
        <f>IF(AND(C35="Skema 3",B35="ma"),Skemaoplysninger!$AG$31,"")</f>
        <v/>
      </c>
      <c r="CO35" s="210" t="str">
        <f>IF(AND(C35="Skema 3",B35="ti"),Skemaoplysninger!$AI$31,"")</f>
        <v/>
      </c>
      <c r="CP35" s="210" t="str">
        <f>IF(AND(C35="Skema 3",B35="on"),Skemaoplysninger!$AK$31,"")</f>
        <v/>
      </c>
      <c r="CQ35" s="210" t="str">
        <f>IF(AND(C35="Skema 3",B35="to"),Skemaoplysninger!$AM$31,"")</f>
        <v/>
      </c>
      <c r="CR35" s="210" t="str">
        <f>IF(AND(C35="Skema 3",B35="fr"),Skemaoplysninger!$AO$31,"")</f>
        <v/>
      </c>
      <c r="CS35" s="210" t="str">
        <f>IF(AND(C35="Skema 4",B35="ma"),Skemaoplysninger!$AU$31,"")</f>
        <v/>
      </c>
      <c r="CT35" s="210" t="str">
        <f>IF(AND(C35="Skema 4",B35="ti"),Skemaoplysninger!$AW$31,"")</f>
        <v/>
      </c>
      <c r="CU35" s="210" t="str">
        <f>IF(AND(C35="Skema 4",B35="on"),Skemaoplysninger!$AY$31,"")</f>
        <v/>
      </c>
      <c r="CV35" s="210" t="str">
        <f>IF(AND(C35="Skema 4",B35="to"),Skemaoplysninger!$BA$31,"")</f>
        <v/>
      </c>
      <c r="CW35" s="210" t="str">
        <f>IF(AND(C35="Skema 4",B35="fr"),Skemaoplysninger!$BC$31,"")</f>
        <v/>
      </c>
      <c r="CX35" s="249">
        <f>IF(Stamoplysninger!$H$29="NEJ",SUM(CD35:CW35)*24+CB35+CC35,0)</f>
        <v>0.83333333333333337</v>
      </c>
      <c r="CY35" s="249">
        <f>IF(C35="Skema 1",Stamoplysninger!$H$30/200,0)</f>
        <v>0</v>
      </c>
      <c r="CZ35" s="249">
        <f>IF(C35="Skema 2",Stamoplysninger!$H$30/200,0)</f>
        <v>0</v>
      </c>
      <c r="DA35" s="249">
        <f>IF(C35="Skema 3",Stamoplysninger!$H$30/200,0)</f>
        <v>0</v>
      </c>
      <c r="DB35" s="249">
        <f>IF(C35="Skema 4",Stamoplysninger!$H$30/200,0)</f>
        <v>0</v>
      </c>
      <c r="DC35" s="249">
        <f>IF(C35="fagdag",Stamoplysninger!$H$30/200,0)</f>
        <v>0</v>
      </c>
      <c r="DD35" s="249">
        <f>IF(C35="emnedag",Stamoplysninger!$H$30/200,0)</f>
        <v>0</v>
      </c>
      <c r="DE35" s="249">
        <f>IF(C35="lejrskole",Stamoplysninger!$H$30/200,0)</f>
        <v>0</v>
      </c>
      <c r="DF35" s="249">
        <f>IF(C35="ekskursion",Stamoplysninger!$H$30/200,0)</f>
        <v>0</v>
      </c>
      <c r="DG35" s="249">
        <f>SUM(CY35:DF35)</f>
        <v>0</v>
      </c>
      <c r="DH35" t="str">
        <f t="shared" si="27"/>
        <v/>
      </c>
      <c r="DI35">
        <f t="shared" si="28"/>
        <v>0</v>
      </c>
      <c r="DJ35">
        <f t="shared" si="29"/>
        <v>0</v>
      </c>
      <c r="DK35" t="str">
        <f t="shared" si="12"/>
        <v/>
      </c>
      <c r="DL35" t="str">
        <f t="shared" si="12"/>
        <v/>
      </c>
      <c r="DM35" t="str">
        <f t="shared" si="12"/>
        <v/>
      </c>
      <c r="DN35" t="str">
        <f t="shared" si="30"/>
        <v/>
      </c>
      <c r="DO35" s="652">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71">
        <f>IF(AND(Stamoplysninger!$B$22="Ulempetillæg udbetales med 25% af nettotimelønnen.",C35="ikke relevant"),(R35)/4,0)</f>
        <v>0</v>
      </c>
      <c r="DT35" s="671">
        <f>IF(AND(AND(Stamoplysninger!$B$22="Ulempetillæg udbetales med 25% af nettotimelønnen.",I35="X",C35="Ikke relevant")),K35/4,0)</f>
        <v>0</v>
      </c>
      <c r="DU35" s="671">
        <f>IF(AND(AND(Stamoplysninger!$B$22="Ulempetillæg udbetales med 25% af nettotimelønnen.",C35="ikke relevant",U35="X")),(X35/4),0)</f>
        <v>0</v>
      </c>
      <c r="DV35" s="672">
        <f>IF(AND(AND(AND(Stamoplysninger!$B$22="Ulempetillæg udbetales med 25% af nettotimelønnen.",I35="X",C35="Ikke relevant",S35="X"))),V35/4,0)</f>
        <v>0</v>
      </c>
      <c r="DW35" s="652"/>
      <c r="DZ35" s="671"/>
      <c r="EA35" s="671"/>
      <c r="EB35" s="672"/>
      <c r="EC35" s="652">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71">
        <f>IF(AND(Stamoplysninger!$B$22="Ulempetillæg afspadseres med 25%(Kræver en aftale imellem ledelsen og den ansatte)",C35="ikke relevant"),(R35)/4,0)</f>
        <v>0</v>
      </c>
      <c r="EH35" s="671">
        <f>IF(AND(AND(Stamoplysninger!$B$22="Ulempetillæg afspadseres med 25%(Kræver en aftale imellem ledelsen og den ansatte)",I35="X",C35="Ikke relevant")),K35/4,0)</f>
        <v>0</v>
      </c>
      <c r="EI35" s="671">
        <f>IF(AND(AND(Stamoplysninger!$B$22="Ulempetillæg afspadseres med 25%(Kræver en aftale imellem ledelsen og den ansatte)",U35="X",C35="Ikke relevant")),X35/4,0)</f>
        <v>0</v>
      </c>
      <c r="EJ35" s="671">
        <f>IF(AND(AND(AND(Stamoplysninger!$B$22="Ulempetillæg afspadseres med 25%(Kræver en aftale imellem ledelsen og den ansatte)",I35="X",C35="Ikke relevant",S35="X"))),V35/4,0)</f>
        <v>0</v>
      </c>
      <c r="EK35" s="283">
        <f>IF(AND(Stamoplysninger!$B$26="Weekendtimer og weekendtillæg afspadseres.",I35="X"),K35*1.5,0)</f>
        <v>0</v>
      </c>
      <c r="EL35" s="251">
        <f>IF(AND(AND(Stamoplysninger!$B$26="Weekendtimer og weekendtillæg afspadseres.",I35="X",S35="X")),V35*1.5,0)</f>
        <v>0</v>
      </c>
      <c r="EM35" s="674">
        <f>IF(AND(AND(Stamoplysninger!$B$26="Weekendtimer og weekendtillæg afspadseres.",I35="X",C35="ikke relevant")),K35*1.5,0)</f>
        <v>0</v>
      </c>
      <c r="EN35" s="675">
        <f>IF(AND(AND(AND(Stamoplysninger!$B$26="Weekendtimer og weekendtillæg afspadseres.",I35="X",C35="ikke relevant",S35="X"))),(V35*1.5),0)</f>
        <v>0</v>
      </c>
      <c r="EO35" s="283">
        <f>IF(AND(Stamoplysninger!$B$26="Weekendtimer og weekendtillæg udbetales.",I35="X"),K35*1.5,0)</f>
        <v>0</v>
      </c>
      <c r="EP35" s="251">
        <f>IF(AND(AND(Stamoplysninger!$B$26="Weekendtimer og weekendtillæg udbetales.",I35="X",S35="X")),V35*1.5,0)</f>
        <v>0</v>
      </c>
      <c r="EQ35" s="674">
        <f>IF(AND(AND(Stamoplysninger!$B$26="Weekendtimer og weekendtillæg udbetales.",I35="X",C35="ikke relevant")),K35*1.5,0)</f>
        <v>0</v>
      </c>
      <c r="ER35" s="675">
        <f>IF(AND(AND(AND(Stamoplysninger!$B$26="Weekendtimer og weekendtillæg udbetales.",I35="X",C35="ikke relevant",S35="X"))),(V35*1.5),0)</f>
        <v>0</v>
      </c>
      <c r="ES35" s="283">
        <f>IF(AND(Stamoplysninger!$B$26="Der er indgået lokalaftale omkring weekendtimer.(Kræver aftale med TR/FSL) Weekendtillæg afspadseres.",I35="X"),K35*0.5,0)</f>
        <v>0</v>
      </c>
      <c r="ET35" s="251">
        <f>IF(AND(AND(Stamoplysninger!$B$26="Der er indgået lokalaftale omkring weekendtimer.(Kræver aftale med TR/FSL) Weekendtillæg afspadseres.",I35="X",S35="X")),V35*0.5,0)</f>
        <v>0</v>
      </c>
      <c r="EU35" s="674">
        <f>IF(AND(AND(Stamoplysninger!$B$26="Der er indgået lokalaftale omkring weekendtimer.(Kræver aftale med TR/FSL) Weekendtillæg afspadseres.",I35="X",C35="ikke relevant")),K35*0.5,0)</f>
        <v>0</v>
      </c>
      <c r="EV35" s="675">
        <f>IF(AND(AND(AND(Stamoplysninger!$B$26="Der er indgået lokalaftale omkring weekendtimer.(Kræver aftale med TR/FSL) Weekendtillæg afspadseres.",I35="X",C35="ikke relevant",S35="X"))),(V35*0.5),0)</f>
        <v>0</v>
      </c>
      <c r="EW35" s="283">
        <f>IF(AND(Stamoplysninger!$B$26="Der er indgået lokalaftale omkring weekendtimer(Kræver aftale med TR/FSL). Weekendtillæg udbetales.",I35="X"),K35*0.5,0)</f>
        <v>0</v>
      </c>
      <c r="EX35" s="251">
        <f>IF(AND(AND(Stamoplysninger!$B$26="Der er indgået lokalaftale omkring weekendtimer(Kræver aftale med TR/FSL). Weekendtillæg udbetales.",I35="X",S35="X")),V35*0.5,0)</f>
        <v>0</v>
      </c>
      <c r="EY35" s="674">
        <f>IF(AND(AND(Stamoplysninger!$B$26="Der er indgået lokalaftale omkring weekendtimer(Kræver aftale med TR/FSL). Weekendtillæg udbetales.",I35="X",C35="ikke relevant")),K35*0.5,0)</f>
        <v>0</v>
      </c>
      <c r="EZ35" s="675">
        <f>IF(AND(AND(AND(Stamoplysninger!$B$26="Der er indgået lokalaftale omkring weekendtimer(Kræver aftale med TR/FSL). Weekendtillæg udbetales.",I35="X",C35="ikke relevant",S35="X"))),(V35*0.5),0)</f>
        <v>0</v>
      </c>
      <c r="FA35" s="283">
        <f>IF(AND(Stamoplysninger!$B$26="Der er indgået lokalaftale omkring weekendtillæg(Kræver aftale med TR/FSL). Weekendtimerne afspadseres.",I35="X"),K35,0)</f>
        <v>0</v>
      </c>
      <c r="FB35" s="251">
        <f>IF(AND(AND(Stamoplysninger!$B$26="Der er indgået lokalaftale omkring weekendtillæg(Kræver aftale med TR/FSL). Weekendtimerne afspadseres.",I35="X",S35="X")),V35,0)</f>
        <v>0</v>
      </c>
      <c r="FC35" s="674">
        <f>IF(AND(AND(Stamoplysninger!$B$26="Der er indgået lokalaftale omkring weekendtillæg(Kræver aftale med TR/FSL). Weekendtimerne afspadseres..",I35="X",C35="ikke relevant")),K35,0)</f>
        <v>0</v>
      </c>
      <c r="FD35" s="675">
        <f>IF(AND(AND(AND(Stamoplysninger!$B$26="Der er indgået lokalaftale omkring weekendtillæg(Kræver aftale med TR/FSL). Weekendtimerne afspadseres.",I35="X",C35="ikke relevant",S35="X"))),(V35),0)</f>
        <v>0</v>
      </c>
      <c r="FE35" s="283">
        <f>IF(AND(Stamoplysninger!$B$26="Der er indgået lokalaftale omkring weekendtillæg(Kræver aftale med TR/FSL). Weekendtimerne udbetales.",I35="X"),K35,0)</f>
        <v>0</v>
      </c>
      <c r="FF35" s="251">
        <f>IF(AND(AND(Stamoplysninger!$B$26="Der er indgået lokalaftale omkring weekendtillæg(Kræver aftale med TR/FSL). Weekendtimerne udbetales.",I35="X",S35="X")),V35,0)</f>
        <v>0</v>
      </c>
      <c r="FG35" s="674">
        <f>IF(AND(AND(Stamoplysninger!$B$26="Der er indgået lokalaftale omkring weekendtillæg(Kræver aftale med TR/FSL). Weekendtimerne udbetales.",I35="X",C35="ikke relevant")),K35,0)</f>
        <v>0</v>
      </c>
      <c r="FH35" s="675">
        <f>IF(AND(AND(AND(Stamoplysninger!$B$26="Der er indgået lokalaftale omkring weekendtillæg(Kræver aftale med TR/FSL). Weekendtimerne udbetales.",I35="X",C35="ikke relevant",S35="X"))),(V35),0)</f>
        <v>0</v>
      </c>
      <c r="FI35" s="283">
        <f>IF(AND(Stamoplysninger!$B$26="Weekendtimer og weekendtillæg afspadseres.",I35="X"),K35,0)</f>
        <v>0</v>
      </c>
      <c r="FJ35" s="251">
        <f>IF(AND(Stamoplysninger!$B$26="Weekendtimer og weekendtillæg afspadseres.",Y35="X"),(AA35+AL35)/2,0)</f>
        <v>0</v>
      </c>
      <c r="FK35" s="674">
        <f>IF(AND(AND(Stamoplysninger!$B$26="Weekendtimer og weekendtillæg afspadseres.",I35="X",C35="ikke relevant")),K35,0)</f>
        <v>0</v>
      </c>
      <c r="FL35" s="675">
        <f>IF(AND(AND(Stamoplysninger!$B$26="Weekendtimer og weekendtillæg afspadseres.",Y35="X",S35="ikke relevant")),(AA35+AL35)/2,0)</f>
        <v>0</v>
      </c>
      <c r="FM35" s="283">
        <f>IF(AND(Stamoplysninger!$B$26="Der er indgået lokalaftale omkring weekendtillæg(Kræver aftale med TR/FSL). Weekendtimerne afspadseres.",I35="X"),K35,0)</f>
        <v>0</v>
      </c>
      <c r="FN35" s="674">
        <f>IF(AND(AND(Stamoplysninger!$B$26="Der er indgået lokalaftale omkring weekendtillæg(Kræver aftale med TR/FSL). Weekendtimerne afspadseres.",I35="X",C35="ikke relevant")),K35,0)</f>
        <v>0</v>
      </c>
      <c r="FO35" s="283">
        <f>IF(AND(Stamoplysninger!$B$26="Weekendtimer og weekendtillæg udbetales.",I35="X"),K35,0)</f>
        <v>0</v>
      </c>
      <c r="FP35" s="251">
        <f>IF(AND(Stamoplysninger!$B$26="Weekendtimer og weekendtillæg udbetales.",AA35="X"),(AC35+AN35)/2,0)</f>
        <v>0</v>
      </c>
      <c r="FQ35" s="674">
        <f>IF(AND(AND(Stamoplysninger!$B$26="Weekendtimer og weekendtillæg udbetales.",I35="X",C35="ikke relevant")),K35,0)</f>
        <v>0</v>
      </c>
      <c r="FR35" s="688">
        <f>IF(AND(AND(Stamoplysninger!$B$26="Weekendtimer og weekendtillæg udbetales.",AA35="X",U35="ikke relevant")),(AC35+AN35)/2,0)</f>
        <v>0</v>
      </c>
      <c r="FS35" s="283">
        <f t="shared" si="13"/>
        <v>0</v>
      </c>
      <c r="FT35" s="658">
        <f t="shared" si="14"/>
        <v>0</v>
      </c>
      <c r="FU35">
        <f t="shared" si="31"/>
        <v>0</v>
      </c>
      <c r="FV35" s="283">
        <f>IF(AND(Stamoplysninger!$B$26="Der er indgået lokalaftale omkring weekendtimer.(Kræver aftale med TR/FSL) Weekendtillæg afspadseres.",I35="X"),K35,0)</f>
        <v>0</v>
      </c>
      <c r="FW35" s="674">
        <f>IF(AND(AND(Stamoplysninger!$B$26="Der er indgået lokalaftale omkring weekendtimer.(Kræver aftale med TR/FSL) Weekendtillæg afspadseres.",I35="X",C35="ikke relevant")),K35,0)</f>
        <v>0</v>
      </c>
      <c r="FX35" s="283">
        <f>IF(AND(Stamoplysninger!$B$26="Der er indgået lokalaftale omkring weekendtimer(Kræver aftale med TR/FSL). Weekendtillæg udbetales.",I35="X"),K35,0)</f>
        <v>0</v>
      </c>
      <c r="FY35" s="674">
        <f>IF(AND(AND(Stamoplysninger!$B$26="Der er indgået lokalaftale omkring weekendtimer(Kræver aftale med TR/FSL). Weekendtillæg udbetales.",I35="X",C35="ikke relevant")),K35,0)</f>
        <v>0</v>
      </c>
      <c r="FZ35" s="283">
        <f>IF(AND(Stamoplysninger!$B$26="Der er indgået lokalaftale omkring weekendtillæg(Kræver aftale med TR/FSL). Weekendtimerne udbetales.",I35="X"),K35,0)</f>
        <v>0</v>
      </c>
      <c r="GA35" s="674">
        <f>IF(AND(AND(Stamoplysninger!$B$26="Der er indgået lokalaftale omkring weekendtillæg(Kræver aftale med TR/FSL). Weekendtimerne udbetales.",I35="X",C35="ikke relevant")),K35,0)</f>
        <v>0</v>
      </c>
      <c r="GB35" s="283">
        <f>IF(AND(Stamoplysninger!$B$26="Der er indgået lokalaftale omkring weekendtimer og weekendtillæg.(Kræver aftale med TR/FSL).",I35="X"),K35,0)</f>
        <v>0</v>
      </c>
      <c r="GC35" s="674">
        <f>IF(AND(AND(Stamoplysninger!$B$26="Der er indgået lokalaftale omkring weekendtimer og weekendtillæg.(Kræver aftale med TR/FSL).",I35="X",C35="ikke relevant")),K35,0)</f>
        <v>0</v>
      </c>
    </row>
    <row r="36" spans="1:185">
      <c r="A36" s="245">
        <f t="shared" si="16"/>
        <v>28</v>
      </c>
      <c r="B36" s="128" t="str">
        <f t="shared" si="0"/>
        <v>fr</v>
      </c>
      <c r="C36" s="129" t="s">
        <v>207</v>
      </c>
      <c r="D36" s="130" t="str">
        <f t="shared" si="1"/>
        <v/>
      </c>
      <c r="E36" s="917"/>
      <c r="F36" s="918"/>
      <c r="G36" s="919"/>
      <c r="H36" s="298"/>
      <c r="I36" s="527"/>
      <c r="J36" s="413"/>
      <c r="K36" s="380"/>
      <c r="L36" s="380"/>
      <c r="M36" s="380"/>
      <c r="N36" s="318">
        <f t="shared" si="17"/>
        <v>7</v>
      </c>
      <c r="O36" s="318">
        <f t="shared" si="18"/>
        <v>3</v>
      </c>
      <c r="P36" s="318">
        <f>IF(Stamoplysninger!$H$29="JA",Februar!DG36,CX36)</f>
        <v>0.83333333333333337</v>
      </c>
      <c r="Q36" s="318">
        <f t="shared" si="19"/>
        <v>3.1666666666666665</v>
      </c>
      <c r="R36" s="319"/>
      <c r="S36" s="324"/>
      <c r="T36" s="325"/>
      <c r="U36" s="325"/>
      <c r="V36" s="435"/>
      <c r="W36" s="435"/>
      <c r="X36" s="644"/>
      <c r="Y36">
        <f t="shared" si="20"/>
        <v>0</v>
      </c>
      <c r="Z36" s="437">
        <f>W36</f>
        <v>0</v>
      </c>
      <c r="AA36" s="1">
        <f>IF(C36="emnedag",K36,0)</f>
        <v>0</v>
      </c>
      <c r="AB36" s="1">
        <f>IF(C36="fagdag",K36,0)</f>
        <v>0</v>
      </c>
      <c r="AC36" s="1">
        <f>IF(C36="Pæd.dag",K36,0)</f>
        <v>0</v>
      </c>
      <c r="AD36" s="1">
        <f>IF(C36="Ekskursion",K36,0)</f>
        <v>0</v>
      </c>
      <c r="AE36" s="1">
        <f>IF(C36="Lejrskole",K36,0)</f>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f>IF(AND(C36="Skema 2",B36="fr"),Arbejdstidsoversigt!$E$85,"")</f>
        <v>7</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SUM(AA36:AZ36)</f>
        <v>7</v>
      </c>
      <c r="BB36" s="229">
        <f>SUM(AG36:AK36)*24</f>
        <v>0</v>
      </c>
      <c r="BC36" s="1">
        <f>IF(C36="Lejrskole",L36,0)</f>
        <v>0</v>
      </c>
      <c r="BD36" s="1">
        <f>IF(C36="Ekskursion",L36,0)</f>
        <v>0</v>
      </c>
      <c r="BE36" s="1">
        <f>IF(C36="fagdag",L36,0)</f>
        <v>0</v>
      </c>
      <c r="BF36" s="1">
        <f>IF(C36="emnedag",L36,0)</f>
        <v>0</v>
      </c>
      <c r="BG36" s="210" t="str">
        <f>IF(AND(C36="Skema 1",B36="ma"),Skemaoplysninger!$E$30,"")</f>
        <v/>
      </c>
      <c r="BH36" s="210" t="str">
        <f>IF(AND(C36="Skema 1",B36="ti"),Skemaoplysninger!$G$30,"")</f>
        <v/>
      </c>
      <c r="BI36" s="210" t="str">
        <f>IF(AND(C36="Skema 1",B36="on"),Skemaoplysninger!$I$30,"")</f>
        <v/>
      </c>
      <c r="BJ36" s="210" t="str">
        <f>IF(AND(C36="Skema 1",B36="to"),Skemaoplysninger!$K$30,"")</f>
        <v/>
      </c>
      <c r="BK36" s="210" t="str">
        <f>IF(AND(C36="Skema 1",B36="fr"),Skemaoplysninger!$M$30,"")</f>
        <v/>
      </c>
      <c r="BL36" s="210" t="str">
        <f>IF(AND(C36="Skema 2",B36="ma"),Skemaoplysninger!$S$30,"")</f>
        <v/>
      </c>
      <c r="BM36" s="210" t="str">
        <f>IF(AND(C36="Skema 2",B36="ti"),Skemaoplysninger!$U$30,"")</f>
        <v/>
      </c>
      <c r="BN36" s="210" t="str">
        <f>IF(AND(C36="Skema 2",B36="on"),Skemaoplysninger!$W$30,"")</f>
        <v/>
      </c>
      <c r="BO36" s="210" t="str">
        <f>IF(AND(C36="Skema 2",B36="to"),Skemaoplysninger!$Y$30,"")</f>
        <v/>
      </c>
      <c r="BP36" s="210">
        <f>IF(AND(C36="Skema 2",B36="fr"),Skemaoplysninger!$AA$30,"")</f>
        <v>0.125</v>
      </c>
      <c r="BQ36" s="210" t="str">
        <f>IF(AND(C36="Skema 3",B36="ma"),Skemaoplysninger!$AG$30,"")</f>
        <v/>
      </c>
      <c r="BR36" s="210" t="str">
        <f>IF(AND(C36="Skema 3",B36="ti"),Skemaoplysninger!$AI$30,"")</f>
        <v/>
      </c>
      <c r="BS36" s="210" t="str">
        <f>IF(AND(C36="Skema 3",B36="on"),Skemaoplysninger!$AK$30,"")</f>
        <v/>
      </c>
      <c r="BT36" s="210" t="str">
        <f>IF(AND(C36="Skema 3",B36="to"),Skemaoplysninger!$AM$30,"")</f>
        <v/>
      </c>
      <c r="BU36" s="210" t="str">
        <f>IF(AND(C36="Skema 3",B36="fr"),Skemaoplysninger!$AO$30,"")</f>
        <v/>
      </c>
      <c r="BV36" s="210" t="str">
        <f>IF(AND(C36="Skema 4",B36="ma"),Skemaoplysninger!$AU$30,"")</f>
        <v/>
      </c>
      <c r="BW36" s="210" t="str">
        <f>IF(AND(C36="Skema 4",B36="ti"),Skemaoplysninger!$AW$30,"")</f>
        <v/>
      </c>
      <c r="BX36" s="210" t="str">
        <f>IF(AND(C36="Skema 4",B36="on"),Skemaoplysninger!$AY$30,"")</f>
        <v/>
      </c>
      <c r="BY36" s="210" t="str">
        <f>IF(AND(C36="Skema 4",B36="to"),Skemaoplysninger!$BA$30,"")</f>
        <v/>
      </c>
      <c r="BZ36" s="210" t="str">
        <f>IF(AND(C36="Skema 4",B36="fr"),Skemaoplysninger!$BC$30,"")</f>
        <v/>
      </c>
      <c r="CA36" s="1">
        <f>SUM(BG36:BZ36)*24+SUM(BC36:BF36)</f>
        <v>3</v>
      </c>
      <c r="CB36" s="1">
        <f>IF(C36="fagdag",M36,0)</f>
        <v>0</v>
      </c>
      <c r="CC36" s="1">
        <f>IF(C36="emnedag",M36,0)</f>
        <v>0</v>
      </c>
      <c r="CD36" s="210" t="str">
        <f>IF(AND(C36="Skema 1",B36="ma"),Skemaoplysninger!$E$31,"")</f>
        <v/>
      </c>
      <c r="CE36" s="210" t="str">
        <f>IF(AND(C36="Skema 1",B36="ti"),Skemaoplysninger!$G$31,"")</f>
        <v/>
      </c>
      <c r="CF36" s="210" t="str">
        <f>IF(AND(C36="Skema 1",B36="on"),Skemaoplysninger!$I$31,"")</f>
        <v/>
      </c>
      <c r="CG36" s="210" t="str">
        <f>IF(AND(C36="Skema 1",B36="to"),Skemaoplysninger!$K$31,"")</f>
        <v/>
      </c>
      <c r="CH36" s="210" t="str">
        <f>IF(AND(C36="Skema 1",B36="fr"),Skemaoplysninger!$M$31,"")</f>
        <v/>
      </c>
      <c r="CI36" s="210" t="str">
        <f>IF(AND(C36="Skema 2",B36="ma"),Skemaoplysninger!$S$31,"")</f>
        <v/>
      </c>
      <c r="CJ36" s="210" t="str">
        <f>IF(AND(C36="Skema 2",B36="ti"),Skemaoplysninger!$U$31,"")</f>
        <v/>
      </c>
      <c r="CK36" s="210" t="str">
        <f>IF(AND(C36="Skema 2",B36="on"),Skemaoplysninger!$W$31,"")</f>
        <v/>
      </c>
      <c r="CL36" s="210" t="str">
        <f>IF(AND(C36="Skema 2",B36="to"),Skemaoplysninger!$Y$31,"")</f>
        <v/>
      </c>
      <c r="CM36" s="210">
        <f>IF(AND(C36="Skema 2",B36="fr"),Skemaoplysninger!$AA$31,"")</f>
        <v>3.4722222222222224E-2</v>
      </c>
      <c r="CN36" s="210" t="str">
        <f>IF(AND(C36="Skema 3",B36="ma"),Skemaoplysninger!$AG$31,"")</f>
        <v/>
      </c>
      <c r="CO36" s="210" t="str">
        <f>IF(AND(C36="Skema 3",B36="ti"),Skemaoplysninger!$AI$31,"")</f>
        <v/>
      </c>
      <c r="CP36" s="210" t="str">
        <f>IF(AND(C36="Skema 3",B36="on"),Skemaoplysninger!$AK$31,"")</f>
        <v/>
      </c>
      <c r="CQ36" s="210" t="str">
        <f>IF(AND(C36="Skema 3",B36="to"),Skemaoplysninger!$AM$31,"")</f>
        <v/>
      </c>
      <c r="CR36" s="210" t="str">
        <f>IF(AND(C36="Skema 3",B36="fr"),Skemaoplysninger!$AO$31,"")</f>
        <v/>
      </c>
      <c r="CS36" s="210" t="str">
        <f>IF(AND(C36="Skema 4",B36="ma"),Skemaoplysninger!$AU$31,"")</f>
        <v/>
      </c>
      <c r="CT36" s="210" t="str">
        <f>IF(AND(C36="Skema 4",B36="ti"),Skemaoplysninger!$AW$31,"")</f>
        <v/>
      </c>
      <c r="CU36" s="210" t="str">
        <f>IF(AND(C36="Skema 4",B36="on"),Skemaoplysninger!$AY$31,"")</f>
        <v/>
      </c>
      <c r="CV36" s="210" t="str">
        <f>IF(AND(C36="Skema 4",B36="to"),Skemaoplysninger!$BA$31,"")</f>
        <v/>
      </c>
      <c r="CW36" s="210" t="str">
        <f>IF(AND(C36="Skema 4",B36="fr"),Skemaoplysninger!$BC$31,"")</f>
        <v/>
      </c>
      <c r="CX36" s="249">
        <f>IF(Stamoplysninger!$H$29="NEJ",SUM(CD36:CW36)*24+CB36+CC36,0)</f>
        <v>0.83333333333333337</v>
      </c>
      <c r="CY36" s="249">
        <f>IF(C36="Skema 1",Stamoplysninger!$H$30/200,0)</f>
        <v>0</v>
      </c>
      <c r="CZ36" s="249">
        <f>IF(C36="Skema 2",Stamoplysninger!$H$30/200,0)</f>
        <v>0</v>
      </c>
      <c r="DA36" s="249">
        <f>IF(C36="Skema 3",Stamoplysninger!$H$30/200,0)</f>
        <v>0</v>
      </c>
      <c r="DB36" s="249">
        <f>IF(C36="Skema 4",Stamoplysninger!$H$30/200,0)</f>
        <v>0</v>
      </c>
      <c r="DC36" s="249">
        <f>IF(C36="fagdag",Stamoplysninger!$H$30/200,0)</f>
        <v>0</v>
      </c>
      <c r="DD36" s="249">
        <f>IF(C36="emnedag",Stamoplysninger!$H$30/200,0)</f>
        <v>0</v>
      </c>
      <c r="DE36" s="249">
        <f>IF(C36="lejrskole",Stamoplysninger!$H$30/200,0)</f>
        <v>0</v>
      </c>
      <c r="DF36" s="249">
        <f>IF(C36="ekskursion",Stamoplysninger!$H$30/200,0)</f>
        <v>0</v>
      </c>
      <c r="DG36" s="249">
        <f>SUM(CY36:DF36)</f>
        <v>0</v>
      </c>
      <c r="DH36" t="str">
        <f t="shared" si="27"/>
        <v/>
      </c>
      <c r="DI36">
        <f>IF(H36="",E36,"")</f>
        <v>0</v>
      </c>
      <c r="DJ36">
        <f>IF(E36="",H36,"")</f>
        <v>0</v>
      </c>
      <c r="DK36" t="str">
        <f t="shared" ref="DK36:DM38" si="32">IF(DH36=0,"",DH36)</f>
        <v/>
      </c>
      <c r="DL36" t="str">
        <f t="shared" si="32"/>
        <v/>
      </c>
      <c r="DM36" t="str">
        <f t="shared" si="32"/>
        <v/>
      </c>
      <c r="DN36" t="str">
        <f>DK36&amp;""&amp;DL36&amp;""&amp;DM36</f>
        <v/>
      </c>
      <c r="DO36" s="652">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71">
        <f>IF(AND(Stamoplysninger!$B$22="Ulempetillæg udbetales med 25% af nettotimelønnen.",C36="ikke relevant"),(R36)/4,0)</f>
        <v>0</v>
      </c>
      <c r="DT36" s="671">
        <f>IF(AND(AND(Stamoplysninger!$B$22="Ulempetillæg udbetales med 25% af nettotimelønnen.",I36="X",C36="Ikke relevant")),K36/4,0)</f>
        <v>0</v>
      </c>
      <c r="DU36" s="671">
        <f>IF(AND(AND(Stamoplysninger!$B$22="Ulempetillæg udbetales med 25% af nettotimelønnen.",C36="ikke relevant",U36="X")),(X36/4),0)</f>
        <v>0</v>
      </c>
      <c r="DV36" s="672">
        <f>IF(AND(AND(AND(Stamoplysninger!$B$22="Ulempetillæg udbetales med 25% af nettotimelønnen.",I36="X",C36="Ikke relevant",S36="X"))),V36/4,0)</f>
        <v>0</v>
      </c>
      <c r="DW36" s="652"/>
      <c r="DZ36" s="671"/>
      <c r="EA36" s="671"/>
      <c r="EB36" s="672"/>
      <c r="EC36" s="652">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71">
        <f>IF(AND(Stamoplysninger!$B$22="Ulempetillæg afspadseres med 25%(Kræver en aftale imellem ledelsen og den ansatte)",C36="ikke relevant"),(R36)/4,0)</f>
        <v>0</v>
      </c>
      <c r="EH36" s="671">
        <f>IF(AND(AND(Stamoplysninger!$B$22="Ulempetillæg afspadseres med 25%(Kræver en aftale imellem ledelsen og den ansatte)",I36="X",C36="Ikke relevant")),K36/4,0)</f>
        <v>0</v>
      </c>
      <c r="EI36" s="671">
        <f>IF(AND(AND(Stamoplysninger!$B$22="Ulempetillæg afspadseres med 25%(Kræver en aftale imellem ledelsen og den ansatte)",U36="X",C36="Ikke relevant")),X36/4,0)</f>
        <v>0</v>
      </c>
      <c r="EJ36" s="671">
        <f>IF(AND(AND(AND(Stamoplysninger!$B$22="Ulempetillæg afspadseres med 25%(Kræver en aftale imellem ledelsen og den ansatte)",I36="X",C36="Ikke relevant",S36="X"))),V36/4,0)</f>
        <v>0</v>
      </c>
      <c r="EK36" s="283">
        <f>IF(AND(Stamoplysninger!$B$26="Weekendtimer og weekendtillæg afspadseres.",I36="X"),K36*1.5,0)</f>
        <v>0</v>
      </c>
      <c r="EL36" s="251">
        <f>IF(AND(AND(Stamoplysninger!$B$26="Weekendtimer og weekendtillæg afspadseres.",I36="X",S36="X")),V36*1.5,0)</f>
        <v>0</v>
      </c>
      <c r="EM36" s="674">
        <f>IF(AND(AND(Stamoplysninger!$B$26="Weekendtimer og weekendtillæg afspadseres.",I36="X",C36="ikke relevant")),K36*1.5,0)</f>
        <v>0</v>
      </c>
      <c r="EN36" s="675">
        <f>IF(AND(AND(AND(Stamoplysninger!$B$26="Weekendtimer og weekendtillæg afspadseres.",I36="X",C36="ikke relevant",S36="X"))),(V36*1.5),0)</f>
        <v>0</v>
      </c>
      <c r="EO36" s="283">
        <f>IF(AND(Stamoplysninger!$B$26="Weekendtimer og weekendtillæg udbetales.",I36="X"),K36*1.5,0)</f>
        <v>0</v>
      </c>
      <c r="EP36" s="251">
        <f>IF(AND(AND(Stamoplysninger!$B$26="Weekendtimer og weekendtillæg udbetales.",I36="X",S36="X")),V36*1.5,0)</f>
        <v>0</v>
      </c>
      <c r="EQ36" s="674">
        <f>IF(AND(AND(Stamoplysninger!$B$26="Weekendtimer og weekendtillæg udbetales.",I36="X",C36="ikke relevant")),K36*1.5,0)</f>
        <v>0</v>
      </c>
      <c r="ER36" s="675">
        <f>IF(AND(AND(AND(Stamoplysninger!$B$26="Weekendtimer og weekendtillæg udbetales.",I36="X",C36="ikke relevant",S36="X"))),(V36*1.5),0)</f>
        <v>0</v>
      </c>
      <c r="ES36" s="283">
        <f>IF(AND(Stamoplysninger!$B$26="Der er indgået lokalaftale omkring weekendtimer.(Kræver aftale med TR/FSL) Weekendtillæg afspadseres.",I36="X"),K36*0.5,0)</f>
        <v>0</v>
      </c>
      <c r="ET36" s="251">
        <f>IF(AND(AND(Stamoplysninger!$B$26="Der er indgået lokalaftale omkring weekendtimer.(Kræver aftale med TR/FSL) Weekendtillæg afspadseres.",I36="X",S36="X")),V36*0.5,0)</f>
        <v>0</v>
      </c>
      <c r="EU36" s="674">
        <f>IF(AND(AND(Stamoplysninger!$B$26="Der er indgået lokalaftale omkring weekendtimer.(Kræver aftale med TR/FSL) Weekendtillæg afspadseres.",I36="X",C36="ikke relevant")),K36*0.5,0)</f>
        <v>0</v>
      </c>
      <c r="EV36" s="675">
        <f>IF(AND(AND(AND(Stamoplysninger!$B$26="Der er indgået lokalaftale omkring weekendtimer.(Kræver aftale med TR/FSL) Weekendtillæg afspadseres.",I36="X",C36="ikke relevant",S36="X"))),(V36*0.5),0)</f>
        <v>0</v>
      </c>
      <c r="EW36" s="283">
        <f>IF(AND(Stamoplysninger!$B$26="Der er indgået lokalaftale omkring weekendtimer(Kræver aftale med TR/FSL). Weekendtillæg udbetales.",I36="X"),K36*0.5,0)</f>
        <v>0</v>
      </c>
      <c r="EX36" s="251">
        <f>IF(AND(AND(Stamoplysninger!$B$26="Der er indgået lokalaftale omkring weekendtimer(Kræver aftale med TR/FSL). Weekendtillæg udbetales.",I36="X",S36="X")),V36*0.5,0)</f>
        <v>0</v>
      </c>
      <c r="EY36" s="674">
        <f>IF(AND(AND(Stamoplysninger!$B$26="Der er indgået lokalaftale omkring weekendtimer(Kræver aftale med TR/FSL). Weekendtillæg udbetales.",I36="X",C36="ikke relevant")),K36*0.5,0)</f>
        <v>0</v>
      </c>
      <c r="EZ36" s="675">
        <f>IF(AND(AND(AND(Stamoplysninger!$B$26="Der er indgået lokalaftale omkring weekendtimer(Kræver aftale med TR/FSL). Weekendtillæg udbetales.",I36="X",C36="ikke relevant",S36="X"))),(V36*0.5),0)</f>
        <v>0</v>
      </c>
      <c r="FA36" s="283">
        <f>IF(AND(Stamoplysninger!$B$26="Der er indgået lokalaftale omkring weekendtillæg(Kræver aftale med TR/FSL). Weekendtimerne afspadseres.",I36="X"),K36,0)</f>
        <v>0</v>
      </c>
      <c r="FB36" s="251">
        <f>IF(AND(AND(Stamoplysninger!$B$26="Der er indgået lokalaftale omkring weekendtillæg(Kræver aftale med TR/FSL). Weekendtimerne afspadseres.",I36="X",S36="X")),V36,0)</f>
        <v>0</v>
      </c>
      <c r="FC36" s="674">
        <f>IF(AND(AND(Stamoplysninger!$B$26="Der er indgået lokalaftale omkring weekendtillæg(Kræver aftale med TR/FSL). Weekendtimerne afspadseres..",I36="X",C36="ikke relevant")),K36,0)</f>
        <v>0</v>
      </c>
      <c r="FD36" s="675">
        <f>IF(AND(AND(AND(Stamoplysninger!$B$26="Der er indgået lokalaftale omkring weekendtillæg(Kræver aftale med TR/FSL). Weekendtimerne afspadseres.",I36="X",C36="ikke relevant",S36="X"))),(V36),0)</f>
        <v>0</v>
      </c>
      <c r="FE36" s="283">
        <f>IF(AND(Stamoplysninger!$B$26="Der er indgået lokalaftale omkring weekendtillæg(Kræver aftale med TR/FSL). Weekendtimerne udbetales.",I36="X"),K36,0)</f>
        <v>0</v>
      </c>
      <c r="FF36" s="251">
        <f>IF(AND(AND(Stamoplysninger!$B$26="Der er indgået lokalaftale omkring weekendtillæg(Kræver aftale med TR/FSL). Weekendtimerne udbetales.",I36="X",S36="X")),V36,0)</f>
        <v>0</v>
      </c>
      <c r="FG36" s="674">
        <f>IF(AND(AND(Stamoplysninger!$B$26="Der er indgået lokalaftale omkring weekendtillæg(Kræver aftale med TR/FSL). Weekendtimerne udbetales.",I36="X",C36="ikke relevant")),K36,0)</f>
        <v>0</v>
      </c>
      <c r="FH36" s="675">
        <f>IF(AND(AND(AND(Stamoplysninger!$B$26="Der er indgået lokalaftale omkring weekendtillæg(Kræver aftale med TR/FSL). Weekendtimerne udbetales.",I36="X",C36="ikke relevant",S36="X"))),(V36),0)</f>
        <v>0</v>
      </c>
      <c r="FI36" s="283">
        <f>IF(AND(Stamoplysninger!$B$26="Weekendtimer og weekendtillæg afspadseres.",I36="X"),K36,0)</f>
        <v>0</v>
      </c>
      <c r="FJ36" s="251">
        <f>IF(AND(Stamoplysninger!$B$26="Weekendtimer og weekendtillæg afspadseres.",Y36="X"),(AA36+AL36)/2,0)</f>
        <v>0</v>
      </c>
      <c r="FK36" s="674">
        <f>IF(AND(AND(Stamoplysninger!$B$26="Weekendtimer og weekendtillæg afspadseres.",I36="X",C36="ikke relevant")),K36,0)</f>
        <v>0</v>
      </c>
      <c r="FL36" s="675">
        <f>IF(AND(AND(Stamoplysninger!$B$26="Weekendtimer og weekendtillæg afspadseres.",Y36="X",S36="ikke relevant")),(AA36+AL36)/2,0)</f>
        <v>0</v>
      </c>
      <c r="FM36" s="283">
        <f>IF(AND(Stamoplysninger!$B$26="Der er indgået lokalaftale omkring weekendtillæg(Kræver aftale med TR/FSL). Weekendtimerne afspadseres.",I36="X"),K36,0)</f>
        <v>0</v>
      </c>
      <c r="FN36" s="674">
        <f>IF(AND(AND(Stamoplysninger!$B$26="Der er indgået lokalaftale omkring weekendtillæg(Kræver aftale med TR/FSL). Weekendtimerne afspadseres.",I36="X",C36="ikke relevant")),K36,0)</f>
        <v>0</v>
      </c>
      <c r="FO36" s="283">
        <f>IF(AND(Stamoplysninger!$B$26="Weekendtimer og weekendtillæg udbetales.",I36="X"),K36,0)</f>
        <v>0</v>
      </c>
      <c r="FP36" s="251">
        <f>IF(AND(Stamoplysninger!$B$26="Weekendtimer og weekendtillæg udbetales.",AA36="X"),(AC36+AN36)/2,0)</f>
        <v>0</v>
      </c>
      <c r="FQ36" s="674">
        <f>IF(AND(AND(Stamoplysninger!$B$26="Weekendtimer og weekendtillæg udbetales.",I36="X",C36="ikke relevant")),K36,0)</f>
        <v>0</v>
      </c>
      <c r="FR36" s="688">
        <f>IF(AND(AND(Stamoplysninger!$B$26="Weekendtimer og weekendtillæg udbetales.",AA36="X",U36="ikke relevant")),(AC36+AN36)/2,0)</f>
        <v>0</v>
      </c>
      <c r="FS36" s="283">
        <f t="shared" si="13"/>
        <v>0</v>
      </c>
      <c r="FT36" s="658">
        <f t="shared" si="14"/>
        <v>0</v>
      </c>
      <c r="FU36">
        <f t="shared" si="31"/>
        <v>0</v>
      </c>
      <c r="FV36" s="283">
        <f>IF(AND(Stamoplysninger!$B$26="Der er indgået lokalaftale omkring weekendtimer.(Kræver aftale med TR/FSL) Weekendtillæg afspadseres.",I36="X"),K36,0)</f>
        <v>0</v>
      </c>
      <c r="FW36" s="674">
        <f>IF(AND(AND(Stamoplysninger!$B$26="Der er indgået lokalaftale omkring weekendtimer.(Kræver aftale med TR/FSL) Weekendtillæg afspadseres.",I36="X",C36="ikke relevant")),K36,0)</f>
        <v>0</v>
      </c>
      <c r="FX36" s="283">
        <f>IF(AND(Stamoplysninger!$B$26="Der er indgået lokalaftale omkring weekendtimer(Kræver aftale med TR/FSL). Weekendtillæg udbetales.",I36="X"),K36,0)</f>
        <v>0</v>
      </c>
      <c r="FY36" s="674">
        <f>IF(AND(AND(Stamoplysninger!$B$26="Der er indgået lokalaftale omkring weekendtimer(Kræver aftale med TR/FSL). Weekendtillæg udbetales.",I36="X",C36="ikke relevant")),K36,0)</f>
        <v>0</v>
      </c>
      <c r="FZ36" s="283">
        <f>IF(AND(Stamoplysninger!$B$26="Der er indgået lokalaftale omkring weekendtillæg(Kræver aftale med TR/FSL). Weekendtimerne udbetales.",I36="X"),K36,0)</f>
        <v>0</v>
      </c>
      <c r="GA36" s="674">
        <f>IF(AND(AND(Stamoplysninger!$B$26="Der er indgået lokalaftale omkring weekendtillæg(Kræver aftale med TR/FSL). Weekendtimerne udbetales.",I36="X",C36="ikke relevant")),K36,0)</f>
        <v>0</v>
      </c>
      <c r="GB36" s="283">
        <f>IF(AND(Stamoplysninger!$B$26="Der er indgået lokalaftale omkring weekendtimer og weekendtillæg.(Kræver aftale med TR/FSL).",I36="X"),K36,0)</f>
        <v>0</v>
      </c>
      <c r="GC36" s="674">
        <f>IF(AND(AND(Stamoplysninger!$B$26="Der er indgået lokalaftale omkring weekendtimer og weekendtillæg.(Kræver aftale med TR/FSL).",I36="X",C36="ikke relevant")),K36,0)</f>
        <v>0</v>
      </c>
    </row>
    <row r="37" spans="1:185" hidden="1">
      <c r="A37" s="245"/>
      <c r="B37" s="128"/>
      <c r="C37" s="129" t="s">
        <v>160</v>
      </c>
      <c r="D37" s="130" t="str">
        <f>IF(B37="ma",(DATE(A$6,A$2,A37)-DATE(A$6,1,1)+7)/7,"")</f>
        <v/>
      </c>
      <c r="E37" s="949"/>
      <c r="F37" s="950"/>
      <c r="G37" s="951"/>
      <c r="H37" s="298"/>
      <c r="I37" s="527"/>
      <c r="J37" s="413"/>
      <c r="K37" s="380"/>
      <c r="L37" s="380"/>
      <c r="M37" s="380"/>
      <c r="N37" s="318">
        <f>BA37</f>
        <v>0</v>
      </c>
      <c r="O37" s="318">
        <f>CA37</f>
        <v>0</v>
      </c>
      <c r="P37" s="318">
        <f>IF(Stamoplysninger!$H$29="JA",Februar!DG37,CX37)</f>
        <v>0</v>
      </c>
      <c r="Q37" s="318">
        <f>IF(OR(C37="Lejrskole",C37="Ekskursion"),0,N37-O37-P37)</f>
        <v>0</v>
      </c>
      <c r="R37" s="319"/>
      <c r="S37" s="324"/>
      <c r="T37" s="325"/>
      <c r="U37" s="325"/>
      <c r="V37" s="435"/>
      <c r="W37" s="320"/>
      <c r="X37" s="439"/>
      <c r="Y37">
        <f t="shared" si="20"/>
        <v>0</v>
      </c>
      <c r="Z37" s="437">
        <f>W37</f>
        <v>0</v>
      </c>
      <c r="AA37" s="1">
        <f>IF(C37="emnedag",K37,0)</f>
        <v>0</v>
      </c>
      <c r="AB37" s="1">
        <f>IF(C37="fagdag",K37,0)</f>
        <v>0</v>
      </c>
      <c r="AC37" s="1">
        <f>IF(C37="Pæd.dag",K37,0)</f>
        <v>0</v>
      </c>
      <c r="AD37" s="1">
        <f>IF(C37="Ekskursion",K37,0)</f>
        <v>0</v>
      </c>
      <c r="AE37" s="1">
        <f>IF(C37="Lejrskole",K37,0)</f>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SUM(AA37:AZ37)</f>
        <v>0</v>
      </c>
      <c r="BB37" s="229">
        <f>SUM(AG37:AK37)*24</f>
        <v>0</v>
      </c>
      <c r="BC37" s="1">
        <f>IF(C37="Lejrskole",L37,0)</f>
        <v>0</v>
      </c>
      <c r="BD37" s="1">
        <f>IF(C37="Ekskursion",L37,0)</f>
        <v>0</v>
      </c>
      <c r="BE37" s="1">
        <f>IF(C37="fagdag",L37,0)</f>
        <v>0</v>
      </c>
      <c r="BF37" s="1">
        <f>IF(C37="emnedag",L37,0)</f>
        <v>0</v>
      </c>
      <c r="BG37" s="210" t="str">
        <f>IF(AND(C37="Skema 1",B37="ma"),Skemaoplysninger!$E$30,"")</f>
        <v/>
      </c>
      <c r="BH37" s="210" t="str">
        <f>IF(AND(C37="Skema 1",B37="ti"),Skemaoplysninger!$G$30,"")</f>
        <v/>
      </c>
      <c r="BI37" s="210" t="str">
        <f>IF(AND(C37="Skema 1",B37="on"),Skemaoplysninger!$I$30,"")</f>
        <v/>
      </c>
      <c r="BJ37" s="210" t="str">
        <f>IF(AND(C37="Skema 1",B37="to"),Skemaoplysninger!$K$30,"")</f>
        <v/>
      </c>
      <c r="BK37" s="210" t="str">
        <f>IF(AND(C37="Skema 1",B37="fr"),Skemaoplysninger!$M$30,"")</f>
        <v/>
      </c>
      <c r="BL37" s="210" t="str">
        <f>IF(AND(C37="Skema 2",B37="ma"),Skemaoplysninger!$S$30,"")</f>
        <v/>
      </c>
      <c r="BM37" s="210" t="str">
        <f>IF(AND(C37="Skema 2",B37="ti"),Skemaoplysninger!$U$30,"")</f>
        <v/>
      </c>
      <c r="BN37" s="210" t="str">
        <f>IF(AND(C37="Skema 2",B37="on"),Skemaoplysninger!$W$30,"")</f>
        <v/>
      </c>
      <c r="BO37" s="210" t="str">
        <f>IF(AND(C37="Skema 2",B37="to"),Skemaoplysninger!$Y$30,"")</f>
        <v/>
      </c>
      <c r="BP37" s="210" t="str">
        <f>IF(AND(C37="Skema 2",B37="fr"),Skemaoplysninger!$AA$30,"")</f>
        <v/>
      </c>
      <c r="BQ37" s="210" t="str">
        <f>IF(AND(C37="Skema 3",B37="ma"),Skemaoplysninger!$AG$30,"")</f>
        <v/>
      </c>
      <c r="BR37" s="210" t="str">
        <f>IF(AND(C37="Skema 3",B37="ti"),Skemaoplysninger!$AI$30,"")</f>
        <v/>
      </c>
      <c r="BS37" s="210" t="str">
        <f>IF(AND(C37="Skema 3",B37="on"),Skemaoplysninger!$AK$30,"")</f>
        <v/>
      </c>
      <c r="BT37" s="210" t="str">
        <f>IF(AND(C37="Skema 3",B37="to"),Skemaoplysninger!$AM$30,"")</f>
        <v/>
      </c>
      <c r="BU37" s="210" t="str">
        <f>IF(AND(C37="Skema 3",B37="fr"),Skemaoplysninger!$AO$30,"")</f>
        <v/>
      </c>
      <c r="BV37" s="210" t="str">
        <f>IF(AND(C37="Skema 4",B37="ma"),Skemaoplysninger!$AU$30,"")</f>
        <v/>
      </c>
      <c r="BW37" s="210" t="str">
        <f>IF(AND(C37="Skema 4",B37="ti"),Skemaoplysninger!$AW$30,"")</f>
        <v/>
      </c>
      <c r="BX37" s="210" t="str">
        <f>IF(AND(C37="Skema 4",B37="on"),Skemaoplysninger!$AY$30,"")</f>
        <v/>
      </c>
      <c r="BY37" s="210" t="str">
        <f>IF(AND(C37="Skema 4",B37="to"),Skemaoplysninger!$BA$30,"")</f>
        <v/>
      </c>
      <c r="BZ37" s="210" t="str">
        <f>IF(AND(C37="Skema 4",B37="fr"),Skemaoplysninger!$BC$30,"")</f>
        <v/>
      </c>
      <c r="CA37" s="1">
        <f>SUM(BG37:BZ37)*24+SUM(BC37:BF37)</f>
        <v>0</v>
      </c>
      <c r="CB37" s="1">
        <f>IF(C37="fagdag",M37,0)</f>
        <v>0</v>
      </c>
      <c r="CC37" s="1">
        <f>IF(C37="emnedag",M37,0)</f>
        <v>0</v>
      </c>
      <c r="CD37" s="210" t="str">
        <f>IF(AND(C37="Skema 1",B37="ma"),Skemaoplysninger!$E$31,"")</f>
        <v/>
      </c>
      <c r="CE37" s="210" t="str">
        <f>IF(AND(C37="Skema 1",B37="ti"),Skemaoplysninger!$G$31,"")</f>
        <v/>
      </c>
      <c r="CF37" s="210" t="str">
        <f>IF(AND(C37="Skema 1",B37="on"),Skemaoplysninger!$I$31,"")</f>
        <v/>
      </c>
      <c r="CG37" s="210" t="str">
        <f>IF(AND(C37="Skema 1",B37="to"),Skemaoplysninger!$K$31,"")</f>
        <v/>
      </c>
      <c r="CH37" s="210" t="str">
        <f>IF(AND(C37="Skema 1",B37="fr"),Skemaoplysninger!$M$31,"")</f>
        <v/>
      </c>
      <c r="CI37" s="210" t="str">
        <f>IF(AND(C37="Skema 2",B37="ma"),Skemaoplysninger!$S$31,"")</f>
        <v/>
      </c>
      <c r="CJ37" s="210" t="str">
        <f>IF(AND(C37="Skema 2",B37="ti"),Skemaoplysninger!$U$31,"")</f>
        <v/>
      </c>
      <c r="CK37" s="210" t="str">
        <f>IF(AND(C37="Skema 2",B37="on"),Skemaoplysninger!$W$31,"")</f>
        <v/>
      </c>
      <c r="CL37" s="210" t="str">
        <f>IF(AND(C37="Skema 2",B37="to"),Skemaoplysninger!$Y$31,"")</f>
        <v/>
      </c>
      <c r="CM37" s="210" t="str">
        <f>IF(AND(C37="Skema 2",B37="fr"),Skemaoplysninger!$AA$31,"")</f>
        <v/>
      </c>
      <c r="CN37" s="210" t="str">
        <f>IF(AND(C37="Skema 3",B37="ma"),Skemaoplysninger!$AG$31,"")</f>
        <v/>
      </c>
      <c r="CO37" s="210" t="str">
        <f>IF(AND(C37="Skema 3",B37="ti"),Skemaoplysninger!$AI$31,"")</f>
        <v/>
      </c>
      <c r="CP37" s="210" t="str">
        <f>IF(AND(C37="Skema 3",B37="on"),Skemaoplysninger!$AK$31,"")</f>
        <v/>
      </c>
      <c r="CQ37" s="210" t="str">
        <f>IF(AND(C37="Skema 3",B37="to"),Skemaoplysninger!$AM$31,"")</f>
        <v/>
      </c>
      <c r="CR37" s="210" t="str">
        <f>IF(AND(C37="Skema 3",B37="fr"),Skemaoplysninger!$AO$31,"")</f>
        <v/>
      </c>
      <c r="CS37" s="210" t="str">
        <f>IF(AND(C37="Skema 4",B37="ma"),Skemaoplysninger!$AU$31,"")</f>
        <v/>
      </c>
      <c r="CT37" s="210" t="str">
        <f>IF(AND(C37="Skema 4",B37="ti"),Skemaoplysninger!$AW$31,"")</f>
        <v/>
      </c>
      <c r="CU37" s="210" t="str">
        <f>IF(AND(C37="Skema 4",B37="on"),Skemaoplysninger!$AY$31,"")</f>
        <v/>
      </c>
      <c r="CV37" s="210" t="str">
        <f>IF(AND(C37="Skema 4",B37="to"),Skemaoplysninger!$BA$31,"")</f>
        <v/>
      </c>
      <c r="CW37" s="210" t="str">
        <f>IF(AND(C37="Skema 4",B37="fr"),Skemaoplysninger!$BC$31,"")</f>
        <v/>
      </c>
      <c r="CX37" s="249">
        <f>IF(Stamoplysninger!$H$29="NEJ",SUM(CB37:CW37),0)</f>
        <v>0</v>
      </c>
      <c r="CY37" s="249">
        <f>IF(C37="Skema 1",Stamoplysninger!$H$30/200,0)</f>
        <v>0</v>
      </c>
      <c r="CZ37" s="249">
        <f>IF(C37="Skema 2",Stamoplysninger!$H$30/200,0)</f>
        <v>0</v>
      </c>
      <c r="DA37" s="249">
        <f>IF(C37="Skema 3",Stamoplysninger!$H$30/200,0)</f>
        <v>0</v>
      </c>
      <c r="DB37" s="249">
        <f>IF(C37="Skema 4",Stamoplysninger!$H$30/200,0)</f>
        <v>0</v>
      </c>
      <c r="DC37" s="249">
        <f>IF(C37="fagdag",Stamoplysninger!$H$30/200,0)</f>
        <v>0</v>
      </c>
      <c r="DD37" s="249">
        <f>IF(C37="emnedag",Stamoplysninger!$H$30/200,0)</f>
        <v>0</v>
      </c>
      <c r="DE37" s="249">
        <f>IF(C37="lejrskole",Stamoplysninger!$H$30/200,0)</f>
        <v>0</v>
      </c>
      <c r="DF37" s="249">
        <f>IF(C37="ekskursion",Stamoplysninger!$H$30/200,0)</f>
        <v>0</v>
      </c>
      <c r="DG37" s="249">
        <f>SUM(CY37:DF37)</f>
        <v>0</v>
      </c>
      <c r="DH37" t="str">
        <f t="shared" si="27"/>
        <v/>
      </c>
      <c r="DI37">
        <f>IF(H37="",E37,"")</f>
        <v>0</v>
      </c>
      <c r="DJ37">
        <f>IF(E37="",H37,"")</f>
        <v>0</v>
      </c>
      <c r="DK37" t="str">
        <f t="shared" si="32"/>
        <v/>
      </c>
      <c r="DL37" t="str">
        <f t="shared" si="32"/>
        <v/>
      </c>
      <c r="DM37" t="str">
        <f t="shared" si="32"/>
        <v/>
      </c>
      <c r="DN37" t="str">
        <f>DK37&amp;""&amp;DL37&amp;""&amp;DM37</f>
        <v/>
      </c>
      <c r="DO37" s="652">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71">
        <f>IF(AND(Stamoplysninger!$B$22="Ulempetillæg udbetales med 25% af nettotimelønnen.",C37="ikke relevant"),(R37)/4,0)</f>
        <v>0</v>
      </c>
      <c r="DT37" s="671">
        <f>IF(AND(AND(Stamoplysninger!$B$22="Ulempetillæg udbetales med 25% af nettotimelønnen.",I37="X",C37="Ikke relevant")),K37/4,0)</f>
        <v>0</v>
      </c>
      <c r="DU37" s="671">
        <f>IF(AND(AND(Stamoplysninger!$B$22="Ulempetillæg udbetales med 25% af nettotimelønnen.",C37="ikke relevant",U37="X")),(X37/4),0)</f>
        <v>0</v>
      </c>
      <c r="DV37" s="672">
        <f>IF(AND(AND(AND(Stamoplysninger!$B$22="Ulempetillæg udbetales med 25% af nettotimelønnen.",I37="X",C37="Ikke relevant",U37="X"))),X37/4,0)</f>
        <v>0</v>
      </c>
      <c r="DW37" s="652"/>
      <c r="DZ37" s="671"/>
      <c r="EA37" s="671"/>
      <c r="EB37" s="672"/>
      <c r="EC37" s="652">
        <f>IF(Stamoplysninger!$B$22="Ulempetillæg afspadseres med 25%(Kræver en aftale imellem ledelsen og den ansatte)",(R37+X37)/4,0)</f>
        <v>0</v>
      </c>
      <c r="ED37">
        <f>IF(AND(Stamoplysninger!$B$22="Ulempetillæg afspadseres med 25%(Kræver en aftale imellem ledelsen og den ansatte)",I37="X"),K37/4,0)</f>
        <v>0</v>
      </c>
      <c r="EE37">
        <f>IF(AND(Stamoplysninger!$B$22="Ulempetillæg afspadseres med 25%(Kræver en aftale imellem ledelsen og den ansatte)",I37="X"),V37/4,0)</f>
        <v>0</v>
      </c>
      <c r="EF37">
        <f>IF(AND(AND(Stamoplysninger!$B$22="Ulempetillæg udbetales med 25% af nettotimelønnen.",AG37="X",W37="X")),AJ37/4,0)</f>
        <v>0</v>
      </c>
      <c r="EG37" s="671">
        <f>IF(AND(Stamoplysninger!$B$22="Ulempetillæg afspadseres med 25%(Kræver en aftale imellem ledelsen og den ansatte)",C37="ikke relevant"),(R37+X37)/4,0)</f>
        <v>0</v>
      </c>
      <c r="EH37" s="671">
        <f>IF(AND(AND(Stamoplysninger!$B$22="Ulempetillæg afspadseres med 25%(Kræver en aftale imellem ledelsen og den ansatte)",I37="X",C37="Ikke relevant")),K37/4,0)</f>
        <v>0</v>
      </c>
      <c r="EI37" s="671">
        <f>IF(AND(AND(Stamoplysninger!$B$22="Ulempetillæg afspadseres med 25%(Kræver en aftale imellem ledelsen og den ansatte)",I37="X",C37="Ikke relevant")),V37/4,0)</f>
        <v>0</v>
      </c>
      <c r="EJ37" s="671">
        <f>IF(AND(AND(Stamoplysninger!$B$22="Ulempetillæg afspadseres med 25%(Kræver en aftale imellem ledelsen og den ansatte)",J37="X",D37="Ikke relevant")),W37/4,0)</f>
        <v>0</v>
      </c>
      <c r="EK37" s="283">
        <f>IF(AND(Stamoplysninger!$B$26="Weekendtimer og weekendtillæg afspadseres.",I37="X"),K37+V37,0)</f>
        <v>0</v>
      </c>
      <c r="EL37" s="251">
        <f>IF(AND(Stamoplysninger!$B$26="Weekendtimer og weekendtillæg afspadseres.",J37="X"),(L37+W37)/2,0)</f>
        <v>0</v>
      </c>
      <c r="EM37" s="674">
        <f>IF(AND(AND(Stamoplysninger!$B$26="Weekendtimer og weekendtillæg afspadseres.",I37="X",C37="ikke relevant")),K37+V37,0)</f>
        <v>0</v>
      </c>
      <c r="EN37" s="675">
        <f>IF(AND(AND(Stamoplysninger!$B$26="Weekendtimer og weekendtillæg afspadseres.",I37="X",C37="ikke relevant")),(K37+V37)/2,0)</f>
        <v>0</v>
      </c>
      <c r="EO37" s="283">
        <f>IF(AND(Stamoplysninger!$B$26="Weekendtimer og weekendtillæg udbetales.",I37="X"),K37+V37,0)</f>
        <v>0</v>
      </c>
      <c r="EP37" s="251">
        <f>IF(AND(Stamoplysninger!$B$26="Weekendtimer og weekendtillæg udbetales.",I37="X"),(K37+V37)/2,0)</f>
        <v>0</v>
      </c>
      <c r="EQ37" s="674">
        <f>IF(AND(AND(Stamoplysninger!$B$26="Weekendtimer og weekendtillæg udbetales.",I37="X",C37="ikke relevant")),K37+V37,0)</f>
        <v>0</v>
      </c>
      <c r="ER37" s="675">
        <f>IF(AND(AND(Stamoplysninger!$B$26="Weekendtimer og weekendtillæg udbetales.",I37="X",C37="ikke relevant")),(K37+V37)/2,0)</f>
        <v>0</v>
      </c>
      <c r="ES37" s="283">
        <f>IF(AND(Stamoplysninger!$B$26="Weekendtimer og weekendtillæg udbetales.",M37="X"),O37+Z37,0)</f>
        <v>0</v>
      </c>
      <c r="ET37" s="251">
        <f>IF(AND(Stamoplysninger!$B$26="Weekendtimer og weekendtillæg udbetales.",M37="X"),(O37+Z37)/2,0)</f>
        <v>0</v>
      </c>
      <c r="EU37" s="674">
        <f>IF(AND(AND(Stamoplysninger!$B$26="Weekendtimer og weekendtillæg udbetales.",M37="X",G37="ikke relevant")),O37+Z37,0)</f>
        <v>0</v>
      </c>
      <c r="EV37" s="675">
        <f>IF(AND(AND(Stamoplysninger!$B$26="Weekendtimer og weekendtillæg udbetales.",M37="X",G37="ikke relevant")),(O37+Z37)/2,0)</f>
        <v>0</v>
      </c>
      <c r="EW37" s="283">
        <f>IF(AND(Stamoplysninger!$B$26="Der er indgået lokalaftale omkring weekendtimer(Kræver aftale med TR/FSL). Weekendtillæg udbetales.",I37="X"),K37*0.5,0)</f>
        <v>0</v>
      </c>
      <c r="EX37" s="251">
        <f>IF(AND(AND(Stamoplysninger!$B$26="Der er indgået lokalaftale omkring weekendtimer(Kræver aftale med TR/FSL). Weekendtillæg udbetales.",I37="X",S37="X")),V37*0.5,0)</f>
        <v>0</v>
      </c>
      <c r="EY37" s="674">
        <f>IF(AND(AND(Stamoplysninger!$B$26="Der er indgået lokalaftale omkring weekendtimer(Kræver aftale med TR/FSL). Weekendtillæg udbetales.",I37="X",C37="ikke relevant")),K37*0.5,0)</f>
        <v>0</v>
      </c>
      <c r="EZ37" s="675">
        <f>IF(AND(AND(AND(Stamoplysninger!$B$26="Der er indgået lokalaftale omkring weekendtimer(Kræver aftale med TR/FSL). Weekendtillæg udbetales.",I37="X",C37="ikke relevant",S37="X"))),(V37*0.5),0)</f>
        <v>0</v>
      </c>
      <c r="FA37" s="283">
        <f>IF(AND(Stamoplysninger!$B$26="Der er indgået lokalaftale omkring weekendtimer(Kræver aftale med TR/FSL). Weekendtillæg udbetales.",M37="X"),O37*0.5,0)</f>
        <v>0</v>
      </c>
      <c r="FB37" s="251">
        <f>IF(AND(AND(Stamoplysninger!$B$26="Der er indgået lokalaftale omkring weekendtimer(Kræver aftale med TR/FSL). Weekendtillæg udbetales.",M37="X",W37="X")),Z37*0.5,0)</f>
        <v>0</v>
      </c>
      <c r="FC37" s="674">
        <f>IF(AND(AND(Stamoplysninger!$B$26="Der er indgået lokalaftale omkring weekendtimer(Kræver aftale med TR/FSL). Weekendtillæg udbetales.",M37="X",G37="ikke relevant")),O37*0.5,0)</f>
        <v>0</v>
      </c>
      <c r="FD37" s="675">
        <f>IF(AND(AND(AND(Stamoplysninger!$B$26="Der er indgået lokalaftale omkring weekendtimer(Kræver aftale med TR/FSL). Weekendtillæg udbetales.",M37="X",G37="ikke relevant",W37="X"))),(Z37*0.5),0)</f>
        <v>0</v>
      </c>
      <c r="FE37" s="283">
        <f>IF(AND(Stamoplysninger!$B$26="Der er indgået lokalaftale omkring weekendtimer(Kræver aftale med TR/FSL). Weekendtillæg udbetales.",Q37="X"),S37*0.5,0)</f>
        <v>0</v>
      </c>
      <c r="FF37" s="251">
        <f>IF(AND(AND(Stamoplysninger!$B$26="Der er indgået lokalaftale omkring weekendtimer(Kræver aftale med TR/FSL). Weekendtillæg udbetales.",Q37="X",AA37="X")),AD37*0.5,0)</f>
        <v>0</v>
      </c>
      <c r="FG37" s="674">
        <f>IF(AND(AND(Stamoplysninger!$B$26="Der er indgået lokalaftale omkring weekendtimer(Kræver aftale med TR/FSL). Weekendtillæg udbetales.",Q37="X",K37="ikke relevant")),S37*0.5,0)</f>
        <v>0</v>
      </c>
      <c r="FH37" s="675">
        <f>IF(AND(AND(AND(Stamoplysninger!$B$26="Der er indgået lokalaftale omkring weekendtimer(Kræver aftale med TR/FSL). Weekendtillæg udbetales.",Q37="X",K37="ikke relevant",AA37="X"))),(AD37*0.5),0)</f>
        <v>0</v>
      </c>
      <c r="FI37" s="283">
        <f>IF(AND(Stamoplysninger!$B$26="Weekendtimer og weekendtillæg afspadseres.",I37="X"),K37,0)</f>
        <v>0</v>
      </c>
      <c r="FJ37" s="251">
        <f>IF(AND(Stamoplysninger!$B$26="Weekendtimer og weekendtillæg afspadseres.",Y37="X"),(AA37+AL37)/2,0)</f>
        <v>0</v>
      </c>
      <c r="FK37" s="674">
        <f>IF(AND(AND(Stamoplysninger!$B$26="Weekendtimer og weekendtillæg afspadseres.",I37="X",C37="ikke relevant")),K37,0)</f>
        <v>0</v>
      </c>
      <c r="FL37" s="675">
        <f>IF(AND(AND(Stamoplysninger!$B$26="Weekendtimer og weekendtillæg afspadseres.",Y37="X",S37="ikke relevant")),(AA37+AL37)/2,0)</f>
        <v>0</v>
      </c>
      <c r="FM37" s="283">
        <f>IF(AND(Stamoplysninger!$B$26="Der er indgået lokalaftale omkring weekendtillæg(Kræver aftale med TR/FSL). Weekendtimerne afspadseres.",I37="X"),K37,0)</f>
        <v>0</v>
      </c>
      <c r="FN37" s="674">
        <f>IF(AND(AND(Stamoplysninger!$B$26="Der er indgået lokalaftale omkring weekendtillæg(Kræver aftale med TR/FSL). Weekendtimerne afspadseres.",I37="X",C37="ikke relevant")),K37,0)</f>
        <v>0</v>
      </c>
      <c r="FO37" s="283">
        <f>IF(AND(Stamoplysninger!$B$26="Weekendtimer og weekendtillæg udbetales.",I37="X"),K37,0)</f>
        <v>0</v>
      </c>
      <c r="FP37" s="251">
        <f>IF(AND(Stamoplysninger!$B$26="Weekendtimer og weekendtillæg udbetales.",AA37="X"),(AC37+AN37)/2,0)</f>
        <v>0</v>
      </c>
      <c r="FQ37" s="674">
        <f>IF(AND(AND(Stamoplysninger!$B$26="Weekendtimer og weekendtillæg udbetales.",I37="X",C37="ikke relevant")),K37,0)</f>
        <v>0</v>
      </c>
      <c r="FR37" s="688">
        <f>IF(AND(AND(Stamoplysninger!$B$26="Weekendtimer og weekendtillæg udbetales.",AA37="X",U37="ikke relevant")),(AC37+AN37)/2,0)</f>
        <v>0</v>
      </c>
      <c r="FS37" s="283">
        <f t="shared" si="13"/>
        <v>0</v>
      </c>
      <c r="FT37" s="658">
        <f t="shared" si="14"/>
        <v>0</v>
      </c>
      <c r="FU37">
        <f t="shared" si="31"/>
        <v>0</v>
      </c>
      <c r="FV37" s="283">
        <f>IF(AND(Stamoplysninger!$B$26="Der er indgået lokalaftale omkring weekendtimer.(Kræver aftale med TR/FSL) Weekendtillæg afspadseres.",I37="X"),K37,0)</f>
        <v>0</v>
      </c>
      <c r="FW37" s="674">
        <f>IF(AND(AND(Stamoplysninger!$B$26="Der er indgået lokalaftale omkring weekendtimer.(Kræver aftale med TR/FSL) Weekendtillæg afspadseres.",I37="X",C37="ikke relevant")),K37,0)</f>
        <v>0</v>
      </c>
      <c r="FX37" s="283">
        <f>IF(AND(Stamoplysninger!$B$26="Der er indgået lokalaftale omkring weekendtimer(Kræver aftale med TR/FSL). Weekendtillæg udbetales.",I37="X"),K37,0)</f>
        <v>0</v>
      </c>
      <c r="FY37" s="674">
        <f>IF(AND(AND(Stamoplysninger!$B$26="Der er indgået lokalaftale omkring weekendtimer(Kræver aftale med TR/FSL). Weekendtillæg udbetales.",I37="X",C37="ikke relevant")),K37,0)</f>
        <v>0</v>
      </c>
      <c r="FZ37" s="283">
        <f>IF(AND(Stamoplysninger!$B$26="Der er indgået lokalaftale omkring weekendtillæg(Kræver aftale med TR/FSL). Weekendtimerne udbetales.",I37="X"),K37,0)</f>
        <v>0</v>
      </c>
      <c r="GA37" s="674">
        <f>IF(AND(AND(Stamoplysninger!$B$26="Der er indgået lokalaftale omkring weekendtillæg(Kræver aftale med TR/FSL). Weekendtimerne udbetales.",I37="X",C37="ikke relevant")),K37,0)</f>
        <v>0</v>
      </c>
      <c r="GB37" s="283">
        <f>IF(AND(Stamoplysninger!$B$26="Der er indgået lokalaftale omkring weekendtimer og weekendtillæg.(Kræver aftale med TR/FSL).",I37="X"),K37,0)</f>
        <v>0</v>
      </c>
      <c r="GC37" s="674">
        <f>IF(AND(AND(Stamoplysninger!$B$26="Der er indgået lokalaftale omkring weekendtimer og weekendtillæg.(Kræver aftale med TR/FSL).",I37="X",C37="ikke relevant")),K37,0)</f>
        <v>0</v>
      </c>
    </row>
    <row r="38" spans="1:185" ht="17" thickBot="1">
      <c r="A38" s="972" t="s">
        <v>260</v>
      </c>
      <c r="B38" s="973"/>
      <c r="C38" s="973"/>
      <c r="D38" s="973"/>
      <c r="E38" s="973"/>
      <c r="F38" s="973"/>
      <c r="G38" s="973"/>
      <c r="H38" s="973"/>
      <c r="I38" s="974"/>
      <c r="J38" s="313"/>
      <c r="K38" s="321"/>
      <c r="L38" s="321"/>
      <c r="M38" s="321"/>
      <c r="N38" s="322">
        <f>SUM(N9:N37)</f>
        <v>115</v>
      </c>
      <c r="O38" s="322">
        <f>SUM(O9:O37)</f>
        <v>53.5</v>
      </c>
      <c r="P38" s="322">
        <f>SUM(P9:P37)</f>
        <v>15.666666666666668</v>
      </c>
      <c r="Q38" s="322">
        <f>SUM(Q9:Q37)</f>
        <v>45.833333333333329</v>
      </c>
      <c r="R38" s="32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f>
        <v>0</v>
      </c>
      <c r="S38" s="324"/>
      <c r="T38" s="325"/>
      <c r="U38" s="325"/>
      <c r="V38" s="43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f>
        <v>0</v>
      </c>
      <c r="W38" s="43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f>
        <v>0</v>
      </c>
      <c r="X38" s="43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f>
        <v>0</v>
      </c>
      <c r="Y38" s="433">
        <f>Y9+Y10+Y11+Y12+Y13+Y14+Y15+Y16+Y17+Y18+Y19+Y20+Y21+Y22+Y23+Y24+Y25+Y26+Y27+Y28+Y29+Y30+Y31+Y32+Y33+Y34+Y35+Y36+Y37</f>
        <v>0</v>
      </c>
      <c r="Z38" s="433">
        <f>Z9+Z10+Z11+Z12+Z13+Z14+Z15+Z16+Z17+Z18+Z19+Z20+Z21+Z22+Z23+Z24+Z25+Z26+Z27+Z28+Z29+Z30+Z31+Z32+Z33+Z34+Z35+Z36+Z37</f>
        <v>0</v>
      </c>
      <c r="AA38" s="235">
        <f t="shared" ref="AA38:AF38" si="33">SUM(AA9:AA37)</f>
        <v>0</v>
      </c>
      <c r="AB38" s="235">
        <f t="shared" si="33"/>
        <v>6.5</v>
      </c>
      <c r="AC38" s="235">
        <f t="shared" si="33"/>
        <v>0</v>
      </c>
      <c r="AD38" s="235">
        <f t="shared" si="33"/>
        <v>0</v>
      </c>
      <c r="AE38" s="235">
        <f t="shared" si="33"/>
        <v>0</v>
      </c>
      <c r="AF38" s="235">
        <f t="shared" si="33"/>
        <v>0</v>
      </c>
      <c r="BA38" s="1">
        <f>SUM(BA9:BA37)</f>
        <v>115</v>
      </c>
      <c r="BB38" s="112"/>
      <c r="BC38" s="235">
        <f>SUM(BC9:BC37)</f>
        <v>0</v>
      </c>
      <c r="BD38" s="235">
        <f>SUM(BD9:BD37)</f>
        <v>0</v>
      </c>
      <c r="BE38" s="235">
        <f>SUM(BE9:BE37)</f>
        <v>4</v>
      </c>
      <c r="BF38" s="235">
        <f>SUM(BF9:BF37)</f>
        <v>0</v>
      </c>
      <c r="CA38" s="235">
        <f>SUM(CA9:CA37)</f>
        <v>53.5</v>
      </c>
      <c r="CB38" s="235">
        <f>SUM(CB9:CB37)</f>
        <v>1</v>
      </c>
      <c r="CC38" s="235">
        <f>SUM(CC9:CC37)</f>
        <v>0</v>
      </c>
      <c r="CD38" s="210" t="str">
        <f>IF(AND(C38="Skema 1",B38="ma"),Skemaoplysninger!$E$31,"")</f>
        <v/>
      </c>
      <c r="CE38" s="210" t="str">
        <f>IF(AND(C38="Skema 1",B38="ti"),Skemaoplysninger!$G$31,"")</f>
        <v/>
      </c>
      <c r="CF38" s="210" t="str">
        <f>IF(AND(C38="Skema 1",B38="on"),Skemaoplysninger!$I$31,"")</f>
        <v/>
      </c>
      <c r="CG38" s="210" t="str">
        <f>IF(AND(C38="Skema 1",B38="to"),Skemaoplysninger!$K$31,"")</f>
        <v/>
      </c>
      <c r="CH38" s="210" t="str">
        <f>IF(AND(C38="Skema 1",B38="fr"),Skemaoplysninger!$M$31,"")</f>
        <v/>
      </c>
      <c r="CI38" s="210" t="str">
        <f>IF(AND(C38="Skema 2",B38="ma"),Skemaoplysninger!$S$31,"")</f>
        <v/>
      </c>
      <c r="CJ38" s="210" t="str">
        <f>IF(AND(C38="Skema 2",B38="ti"),Skemaoplysninger!$U$31,"")</f>
        <v/>
      </c>
      <c r="CK38" s="210" t="str">
        <f>IF(AND(C38="Skema 2",B38="on"),Skemaoplysninger!$W$31,"")</f>
        <v/>
      </c>
      <c r="CL38" s="210" t="str">
        <f>IF(AND(C38="Skema 2",B38="to"),Skemaoplysninger!$T$31,"")</f>
        <v/>
      </c>
      <c r="CM38" s="210" t="str">
        <f>IF(AND(C38="Skema 2",B38="fr"),Skemaoplysninger!$AA$31,"")</f>
        <v/>
      </c>
      <c r="CN38" s="210" t="str">
        <f>IF(AND(C38="Skema 3",B38="ma"),Skemaoplysninger!$AG$31,"")</f>
        <v/>
      </c>
      <c r="CO38" s="210" t="str">
        <f>IF(AND(C38="Skema 3",B38="ti"),Skemaoplysninger!$AI$31,"")</f>
        <v/>
      </c>
      <c r="CP38" s="210" t="str">
        <f>IF(AND(C38="Skema 3",B38="on"),Skemaoplysninger!$AK$31,"")</f>
        <v/>
      </c>
      <c r="CQ38" s="210" t="str">
        <f>IF(AND(C38="Skema 3",B38="to"),Skemaoplysninger!$AM$31,"")</f>
        <v/>
      </c>
      <c r="CR38" s="210" t="str">
        <f>IF(AND(C38="Skema 3",B38="fr"),Skemaoplysninger!$AO$31,"")</f>
        <v/>
      </c>
      <c r="CS38" s="210" t="str">
        <f>IF(AND(C38="Skema 4",B38="ma"),Skemaoplysninger!$AU$31,"")</f>
        <v/>
      </c>
      <c r="CT38" s="210" t="str">
        <f>IF(AND(C38="Skema 4",B38="ti"),Skemaoplysninger!$AW$31,"")</f>
        <v/>
      </c>
      <c r="CU38" s="210" t="str">
        <f>IF(AND(C38="Skema 4",B38="on"),Skemaoplysninger!$AY$31,"")</f>
        <v/>
      </c>
      <c r="CV38" s="210" t="str">
        <f>IF(AND(C38="Skema 4",B38="to"),Skemaoplysninger!$BA$31,"")</f>
        <v/>
      </c>
      <c r="CW38" s="210" t="str">
        <f>IF(AND(C38="Skema 4",B38="fr"),Skemaoplysninger!$BC$31,"")</f>
        <v/>
      </c>
      <c r="CX38" s="249">
        <f t="shared" ref="CX38:DG38" si="34">SUM(CX9:CX37)</f>
        <v>15.666666666666668</v>
      </c>
      <c r="CY38" s="249">
        <f t="shared" si="34"/>
        <v>0</v>
      </c>
      <c r="CZ38" s="249">
        <f t="shared" si="34"/>
        <v>0</v>
      </c>
      <c r="DA38" s="249">
        <f t="shared" si="34"/>
        <v>0</v>
      </c>
      <c r="DB38" s="249">
        <f t="shared" si="34"/>
        <v>0</v>
      </c>
      <c r="DC38" s="249">
        <f t="shared" si="34"/>
        <v>0</v>
      </c>
      <c r="DD38" s="249">
        <f t="shared" si="34"/>
        <v>0</v>
      </c>
      <c r="DE38" s="249">
        <f t="shared" si="34"/>
        <v>0</v>
      </c>
      <c r="DF38" s="249">
        <f t="shared" si="34"/>
        <v>0</v>
      </c>
      <c r="DG38" s="249">
        <f t="shared" si="34"/>
        <v>0</v>
      </c>
      <c r="DH38" t="str">
        <f t="shared" si="27"/>
        <v/>
      </c>
      <c r="DI38">
        <f>IF(H38="",E38,"")</f>
        <v>0</v>
      </c>
      <c r="DJ38">
        <f>IF(E38="",H38,"")</f>
        <v>0</v>
      </c>
      <c r="DK38" t="str">
        <f t="shared" si="32"/>
        <v/>
      </c>
      <c r="DL38" t="str">
        <f t="shared" si="32"/>
        <v/>
      </c>
      <c r="DM38" t="str">
        <f t="shared" si="32"/>
        <v/>
      </c>
      <c r="DN38" t="str">
        <f>DK38&amp;""&amp;DL38&amp;""&amp;DM38</f>
        <v/>
      </c>
      <c r="DO38" s="652"/>
      <c r="DS38" s="671"/>
      <c r="DT38" s="671"/>
      <c r="DU38" s="671"/>
      <c r="DV38" s="672"/>
      <c r="DW38" s="652"/>
      <c r="DZ38" s="671"/>
      <c r="EA38" s="671"/>
      <c r="EB38" s="672"/>
      <c r="EC38" s="652"/>
      <c r="EG38" s="671"/>
      <c r="EH38" s="671"/>
      <c r="EI38" s="671"/>
      <c r="EJ38" s="671"/>
      <c r="EK38" s="283"/>
      <c r="EL38" s="251"/>
      <c r="EM38" s="674"/>
      <c r="EN38" s="675"/>
      <c r="EO38" s="283"/>
      <c r="EP38" s="251"/>
      <c r="EQ38" s="674"/>
      <c r="ER38" s="675"/>
      <c r="ES38" s="283"/>
      <c r="ET38" s="251"/>
      <c r="EU38" s="674"/>
      <c r="EV38" s="675"/>
      <c r="EW38" s="283"/>
      <c r="EX38" s="251"/>
      <c r="EY38" s="674"/>
      <c r="EZ38" s="675"/>
      <c r="FA38" s="283"/>
      <c r="FB38" s="251"/>
      <c r="FC38" s="674"/>
      <c r="FD38" s="675"/>
      <c r="FE38" s="283"/>
      <c r="FF38" s="251"/>
      <c r="FG38" s="674"/>
      <c r="FH38" s="675"/>
      <c r="FI38" s="283"/>
      <c r="FJ38" s="251"/>
      <c r="FK38" s="674"/>
      <c r="FL38" s="675"/>
      <c r="FM38" s="283"/>
      <c r="FN38" s="674"/>
      <c r="FO38" s="283"/>
      <c r="FP38" s="251"/>
      <c r="FQ38" s="674"/>
      <c r="FR38" s="688"/>
      <c r="FS38" s="283"/>
      <c r="FT38" s="658"/>
      <c r="FV38" s="283"/>
      <c r="FW38" s="674"/>
      <c r="FX38" s="283"/>
      <c r="FY38" s="674"/>
      <c r="FZ38" s="283"/>
      <c r="GA38" s="674"/>
      <c r="GB38" s="283"/>
      <c r="GC38" s="674"/>
    </row>
    <row r="39" spans="1:185" ht="26" thickBot="1">
      <c r="A39" s="232"/>
      <c r="B39" s="232"/>
      <c r="C39" s="232"/>
      <c r="D39" s="232"/>
      <c r="E39" s="232"/>
      <c r="F39" s="232"/>
      <c r="G39" s="232"/>
      <c r="H39" s="232"/>
      <c r="I39" s="232"/>
      <c r="J39" s="232"/>
      <c r="K39" s="239"/>
      <c r="L39" s="239"/>
      <c r="M39" s="214"/>
      <c r="N39" s="214"/>
      <c r="O39" s="214"/>
      <c r="P39" s="214"/>
      <c r="Q39" s="214"/>
      <c r="R39" s="214"/>
      <c r="S39" s="447"/>
      <c r="T39" s="447"/>
      <c r="U39" s="447"/>
      <c r="V39" s="447"/>
      <c r="W39" s="447"/>
      <c r="X39" s="447"/>
      <c r="Y39" s="447"/>
      <c r="Z39" s="447"/>
      <c r="AA39" s="448"/>
      <c r="AB39" s="211"/>
      <c r="AC39" s="211"/>
      <c r="AD39" s="235"/>
      <c r="AE39" s="235"/>
      <c r="AF39" s="235"/>
      <c r="AG39" s="235"/>
      <c r="BC39" s="235"/>
      <c r="BD39" s="235"/>
      <c r="BE39" s="235"/>
      <c r="BF39" s="235"/>
      <c r="BG39" s="112"/>
      <c r="CB39" s="235"/>
      <c r="CC39" s="235"/>
      <c r="CD39" s="112"/>
      <c r="CX39" s="248"/>
      <c r="CZ39"/>
      <c r="DH39" t="str">
        <f t="shared" si="27"/>
        <v/>
      </c>
      <c r="DK39" t="str">
        <f>IF(DH39=0,"",DH39)</f>
        <v/>
      </c>
      <c r="DL39" t="str">
        <f>IF(DI39=0,"",DI39)</f>
        <v/>
      </c>
      <c r="DM39" t="str">
        <f>IF(DJ39=0,"",DJ39)</f>
        <v/>
      </c>
      <c r="DN39" t="str">
        <f t="shared" si="30"/>
        <v/>
      </c>
      <c r="DO39" s="652"/>
      <c r="DS39" s="671"/>
      <c r="DT39" s="671"/>
      <c r="DU39" s="671"/>
      <c r="DV39" s="672"/>
      <c r="DW39" s="652"/>
      <c r="DZ39" s="671"/>
      <c r="EA39" s="671"/>
      <c r="EB39" s="672"/>
      <c r="EC39" s="652"/>
      <c r="EG39" s="671"/>
      <c r="EH39" s="671"/>
      <c r="EI39" s="671"/>
      <c r="EJ39" s="671"/>
      <c r="EK39" s="283"/>
      <c r="EL39" s="251"/>
      <c r="EM39" s="674"/>
      <c r="EN39" s="675"/>
      <c r="EO39" s="283"/>
      <c r="EP39" s="251"/>
      <c r="EQ39" s="674"/>
      <c r="ER39" s="675"/>
      <c r="ES39" s="283"/>
      <c r="ET39" s="251"/>
      <c r="EU39" s="674"/>
      <c r="EV39" s="675"/>
      <c r="EW39" s="283"/>
      <c r="EX39" s="251"/>
      <c r="EY39" s="674"/>
      <c r="EZ39" s="675"/>
      <c r="FA39" s="283"/>
      <c r="FB39" s="251"/>
      <c r="FC39" s="674"/>
      <c r="FD39" s="675"/>
      <c r="FE39" s="283"/>
      <c r="FF39" s="251"/>
      <c r="FG39" s="674"/>
      <c r="FH39" s="675"/>
      <c r="FI39" s="283"/>
      <c r="FJ39" s="251"/>
      <c r="FK39" s="674"/>
      <c r="FL39" s="675"/>
      <c r="FM39" s="283"/>
      <c r="FN39" s="674"/>
      <c r="FO39" s="283"/>
      <c r="FP39" s="251"/>
      <c r="FQ39" s="674"/>
      <c r="FR39" s="688"/>
      <c r="FS39" s="283"/>
      <c r="FT39" s="658"/>
      <c r="FV39" s="283"/>
      <c r="FW39" s="674"/>
      <c r="FX39" s="283"/>
      <c r="FY39" s="674"/>
      <c r="FZ39" s="283"/>
      <c r="GA39" s="674"/>
      <c r="GB39" s="283"/>
      <c r="GC39" s="674"/>
    </row>
    <row r="40" spans="1:185" ht="70" customHeight="1" thickBot="1">
      <c r="A40" s="958" t="str">
        <f>"Arbejdstid for "&amp;A7&amp;" måned:"</f>
        <v>Arbejdstid for Februar måned:</v>
      </c>
      <c r="B40" s="959"/>
      <c r="C40" s="959"/>
      <c r="D40" s="959"/>
      <c r="E40" s="959"/>
      <c r="F40" s="959"/>
      <c r="G40" s="959"/>
      <c r="H40" s="330" t="s">
        <v>255</v>
      </c>
      <c r="I40" s="959" t="s">
        <v>221</v>
      </c>
      <c r="J40" s="960"/>
      <c r="K40" s="961"/>
      <c r="L40" s="262"/>
      <c r="M40" s="1011" t="str">
        <f>"Ulempetimer og weekendtimer i "&amp;A5&amp;""</f>
        <v>Ulempetimer og weekendtimer i Februar måneds kalender for: Beate Simonsen. Måneden vedr. normperioden: 01.08.2024 - 31.07.2025.</v>
      </c>
      <c r="N40" s="989"/>
      <c r="O40" s="989"/>
      <c r="P40" s="989"/>
      <c r="Q40" s="989"/>
      <c r="R40" s="989"/>
      <c r="S40" s="989"/>
      <c r="T40" s="989"/>
      <c r="U40" s="989"/>
      <c r="V40" s="989"/>
      <c r="W40" s="989"/>
      <c r="X40" s="990"/>
      <c r="Y40" s="239"/>
      <c r="Z40"/>
      <c r="AC40" s="90"/>
      <c r="AD40" s="90"/>
      <c r="BL40" s="1"/>
      <c r="CI40" s="1"/>
      <c r="CT40" s="248"/>
      <c r="CU40" s="248"/>
      <c r="CY40"/>
      <c r="CZ40"/>
      <c r="DO40" s="669">
        <f>SUM(DO9:DO39)</f>
        <v>0</v>
      </c>
      <c r="DP40" s="670">
        <f t="shared" ref="DP40:GC40" si="35">SUM(DP9:DP39)</f>
        <v>0</v>
      </c>
      <c r="DQ40" s="670">
        <f>SUM(DQ9:DQ39)</f>
        <v>0</v>
      </c>
      <c r="DR40" s="670">
        <f t="shared" si="35"/>
        <v>0</v>
      </c>
      <c r="DS40" s="673">
        <f t="shared" si="35"/>
        <v>0</v>
      </c>
      <c r="DT40" s="673">
        <f t="shared" si="35"/>
        <v>0</v>
      </c>
      <c r="DU40" s="670">
        <f t="shared" si="35"/>
        <v>0</v>
      </c>
      <c r="DV40" s="673">
        <f t="shared" si="35"/>
        <v>0</v>
      </c>
      <c r="DW40" s="669">
        <f t="shared" ref="DW40:EB40" si="36">SUM(DW9:DW39)</f>
        <v>0</v>
      </c>
      <c r="DX40" s="670">
        <f t="shared" si="36"/>
        <v>0</v>
      </c>
      <c r="DY40" s="670">
        <f t="shared" si="36"/>
        <v>0</v>
      </c>
      <c r="DZ40" s="673">
        <f t="shared" si="36"/>
        <v>0</v>
      </c>
      <c r="EA40" s="673">
        <f t="shared" si="36"/>
        <v>0</v>
      </c>
      <c r="EB40" s="673">
        <f t="shared" si="36"/>
        <v>0</v>
      </c>
      <c r="EC40" s="670">
        <f t="shared" si="35"/>
        <v>0</v>
      </c>
      <c r="ED40" s="670">
        <f t="shared" si="35"/>
        <v>0</v>
      </c>
      <c r="EE40" s="670">
        <f t="shared" si="35"/>
        <v>0</v>
      </c>
      <c r="EF40" s="670">
        <f>SUM(EF9:EF39)</f>
        <v>0</v>
      </c>
      <c r="EG40" s="673">
        <f t="shared" si="35"/>
        <v>0</v>
      </c>
      <c r="EH40" s="673">
        <f t="shared" si="35"/>
        <v>0</v>
      </c>
      <c r="EI40" s="673">
        <f t="shared" si="35"/>
        <v>0</v>
      </c>
      <c r="EJ40" s="673">
        <f>SUM(EJ9:EJ39)</f>
        <v>0</v>
      </c>
      <c r="EK40" s="670">
        <f t="shared" si="35"/>
        <v>0</v>
      </c>
      <c r="EL40" s="670">
        <f>SUM(EL9:EL39)</f>
        <v>0</v>
      </c>
      <c r="EM40" s="673">
        <f t="shared" si="35"/>
        <v>0</v>
      </c>
      <c r="EN40" s="673">
        <f t="shared" si="35"/>
        <v>0</v>
      </c>
      <c r="EO40" s="670">
        <f t="shared" si="35"/>
        <v>0</v>
      </c>
      <c r="EP40" s="670">
        <f t="shared" si="35"/>
        <v>0</v>
      </c>
      <c r="EQ40" s="673">
        <f t="shared" si="35"/>
        <v>0</v>
      </c>
      <c r="ER40" s="676">
        <f t="shared" si="35"/>
        <v>0</v>
      </c>
      <c r="ES40" s="670">
        <f t="shared" ref="ES40:FH40" si="37">SUM(ES9:ES39)</f>
        <v>0</v>
      </c>
      <c r="ET40" s="670">
        <f t="shared" si="37"/>
        <v>0</v>
      </c>
      <c r="EU40" s="673">
        <f t="shared" si="37"/>
        <v>0</v>
      </c>
      <c r="EV40" s="676">
        <f t="shared" si="37"/>
        <v>0</v>
      </c>
      <c r="EW40" s="670">
        <f t="shared" si="37"/>
        <v>0</v>
      </c>
      <c r="EX40" s="670">
        <f t="shared" si="37"/>
        <v>0</v>
      </c>
      <c r="EY40" s="673">
        <f t="shared" si="37"/>
        <v>0</v>
      </c>
      <c r="EZ40" s="676">
        <f t="shared" si="37"/>
        <v>0</v>
      </c>
      <c r="FA40" s="670">
        <f t="shared" si="37"/>
        <v>0</v>
      </c>
      <c r="FB40" s="670">
        <f t="shared" si="37"/>
        <v>0</v>
      </c>
      <c r="FC40" s="673">
        <f t="shared" si="37"/>
        <v>0</v>
      </c>
      <c r="FD40" s="676">
        <f t="shared" si="37"/>
        <v>0</v>
      </c>
      <c r="FE40" s="670">
        <f t="shared" si="37"/>
        <v>0</v>
      </c>
      <c r="FF40" s="670">
        <f t="shared" si="37"/>
        <v>0</v>
      </c>
      <c r="FG40" s="673">
        <f t="shared" si="37"/>
        <v>0</v>
      </c>
      <c r="FH40" s="676">
        <f t="shared" si="37"/>
        <v>0</v>
      </c>
      <c r="FI40" s="685">
        <f t="shared" si="35"/>
        <v>0</v>
      </c>
      <c r="FJ40" s="670">
        <f t="shared" si="35"/>
        <v>0</v>
      </c>
      <c r="FK40" s="685">
        <f t="shared" si="35"/>
        <v>0</v>
      </c>
      <c r="FL40" s="673">
        <f t="shared" si="35"/>
        <v>0</v>
      </c>
      <c r="FM40" s="685">
        <f t="shared" si="35"/>
        <v>0</v>
      </c>
      <c r="FN40" s="685">
        <f t="shared" si="35"/>
        <v>0</v>
      </c>
      <c r="FO40" s="685">
        <f t="shared" si="35"/>
        <v>0</v>
      </c>
      <c r="FP40" s="670">
        <f t="shared" si="35"/>
        <v>0</v>
      </c>
      <c r="FQ40" s="685">
        <f t="shared" si="35"/>
        <v>0</v>
      </c>
      <c r="FR40" s="676">
        <f t="shared" si="35"/>
        <v>0</v>
      </c>
      <c r="FS40" s="689">
        <f t="shared" si="35"/>
        <v>0</v>
      </c>
      <c r="FT40" s="690">
        <f t="shared" si="35"/>
        <v>0</v>
      </c>
      <c r="FU40" s="690">
        <f t="shared" si="35"/>
        <v>0</v>
      </c>
      <c r="FV40" s="689">
        <f>SUM(FV9:FV39)</f>
        <v>0</v>
      </c>
      <c r="FW40" s="690">
        <f t="shared" si="35"/>
        <v>0</v>
      </c>
      <c r="FX40" s="689">
        <f t="shared" si="35"/>
        <v>0</v>
      </c>
      <c r="FY40" s="690">
        <f t="shared" si="35"/>
        <v>0</v>
      </c>
      <c r="FZ40" s="685">
        <f t="shared" si="35"/>
        <v>0</v>
      </c>
      <c r="GA40" s="685">
        <f t="shared" si="35"/>
        <v>0</v>
      </c>
      <c r="GB40" s="685">
        <f t="shared" si="35"/>
        <v>0</v>
      </c>
      <c r="GC40" s="685">
        <f t="shared" si="35"/>
        <v>0</v>
      </c>
    </row>
    <row r="41" spans="1:185">
      <c r="A41" s="962" t="s">
        <v>534</v>
      </c>
      <c r="B41" s="963"/>
      <c r="C41" s="963"/>
      <c r="D41" s="963"/>
      <c r="E41" s="963"/>
      <c r="F41" s="963"/>
      <c r="G41" s="963"/>
      <c r="H41" s="256">
        <f>D76</f>
        <v>20</v>
      </c>
      <c r="I41" s="975">
        <f>IF(Stamoplysninger!$E$12="Ja",1924/Arbejdstidsoversigt!$K$9*Stamoplysninger!$E$15*H41,H41*7.4*Stamoplysninger!$E$15)</f>
        <v>147.43295019157088</v>
      </c>
      <c r="J41" s="976"/>
      <c r="K41" s="977"/>
      <c r="L41" s="258"/>
      <c r="M41" s="1012" t="s">
        <v>312</v>
      </c>
      <c r="N41" s="1013"/>
      <c r="O41" s="1013"/>
      <c r="P41" s="1013"/>
      <c r="Q41" s="1013"/>
      <c r="R41" s="1013"/>
      <c r="S41" s="1013"/>
      <c r="T41" s="1013"/>
      <c r="U41" s="1014"/>
      <c r="V41" s="1093">
        <f>P63+P67+P70+P72</f>
        <v>0</v>
      </c>
      <c r="W41" s="1093"/>
      <c r="X41" s="1094"/>
      <c r="Y41" s="239"/>
      <c r="Z41"/>
      <c r="AC41" s="90"/>
      <c r="AD41" s="90"/>
      <c r="BL41" s="1"/>
      <c r="CI41" s="1"/>
      <c r="CT41" s="248"/>
      <c r="CU41" s="248"/>
      <c r="CY41"/>
      <c r="CZ41"/>
    </row>
    <row r="42" spans="1:185">
      <c r="A42" s="962" t="str">
        <f>"Ferie "&amp;A7&amp;" måned"</f>
        <v>Ferie Februar måned</v>
      </c>
      <c r="B42" s="963"/>
      <c r="C42" s="963"/>
      <c r="D42" s="963"/>
      <c r="E42" s="963"/>
      <c r="F42" s="963"/>
      <c r="G42" s="963"/>
      <c r="H42" s="257" t="str">
        <f>IF(D71&gt;0,$D$71,"0")</f>
        <v>0</v>
      </c>
      <c r="I42" s="964">
        <f>H42*7.4*Stamoplysninger!$E$15</f>
        <v>0</v>
      </c>
      <c r="J42" s="965"/>
      <c r="K42" s="966"/>
      <c r="L42" s="258"/>
      <c r="M42" s="1018" t="s">
        <v>259</v>
      </c>
      <c r="N42" s="1019"/>
      <c r="O42" s="1019"/>
      <c r="P42" s="1019"/>
      <c r="Q42" s="1019"/>
      <c r="R42" s="1019"/>
      <c r="S42" s="1019"/>
      <c r="T42" s="1019"/>
      <c r="U42" s="1020"/>
      <c r="V42" s="1095">
        <f>Q64+Q66+Q69+Q71</f>
        <v>0</v>
      </c>
      <c r="W42" s="1095"/>
      <c r="X42" s="1096"/>
      <c r="Y42" s="239"/>
      <c r="Z42"/>
      <c r="AC42" s="90"/>
      <c r="AD42" s="90"/>
      <c r="BL42" s="1"/>
      <c r="CI42" s="1"/>
      <c r="CT42" s="248"/>
      <c r="CU42" s="248"/>
      <c r="CY42"/>
      <c r="CZ42"/>
    </row>
    <row r="43" spans="1:185">
      <c r="A43" s="962" t="str">
        <f>"Søgnehelligdage i "&amp;A7&amp;" måned"</f>
        <v>Søgnehelligdage i Februar måned</v>
      </c>
      <c r="B43" s="963"/>
      <c r="C43" s="963"/>
      <c r="D43" s="963"/>
      <c r="E43" s="963"/>
      <c r="F43" s="963"/>
      <c r="G43" s="963"/>
      <c r="H43" s="257">
        <f>IF(D70&gt;0,D70,0)</f>
        <v>0</v>
      </c>
      <c r="I43" s="964">
        <f>H43*7.4*Stamoplysninger!$E$15</f>
        <v>0</v>
      </c>
      <c r="J43" s="965"/>
      <c r="K43" s="966"/>
      <c r="L43" s="259"/>
      <c r="M43" s="1128" t="s">
        <v>295</v>
      </c>
      <c r="N43" s="1129"/>
      <c r="O43" s="1129"/>
      <c r="P43" s="1129"/>
      <c r="Q43" s="1129"/>
      <c r="R43" s="1129"/>
      <c r="S43" s="1129"/>
      <c r="T43" s="1129"/>
      <c r="U43" s="1130"/>
      <c r="V43" s="1133">
        <f>Januar!V53</f>
        <v>0</v>
      </c>
      <c r="W43" s="1134"/>
      <c r="X43" s="1135"/>
      <c r="Y43" s="239"/>
      <c r="Z43"/>
      <c r="AC43" s="90"/>
      <c r="AD43" s="90"/>
      <c r="BL43" s="1"/>
      <c r="CI43" s="1"/>
      <c r="CT43" s="248"/>
      <c r="CU43" s="248"/>
      <c r="CY43"/>
      <c r="CZ43"/>
    </row>
    <row r="44" spans="1:185">
      <c r="A44" s="962" t="str">
        <f>"Nettoarbejdstid ialt i "&amp;A7&amp;" måned"</f>
        <v>Nettoarbejdstid ialt i Februar måned</v>
      </c>
      <c r="B44" s="963"/>
      <c r="C44" s="963"/>
      <c r="D44" s="963"/>
      <c r="E44" s="963"/>
      <c r="F44" s="963"/>
      <c r="G44" s="963"/>
      <c r="H44" s="260">
        <f>H41-H42-H43</f>
        <v>20</v>
      </c>
      <c r="I44" s="964">
        <f>I41-I42-I43</f>
        <v>147.43295019157088</v>
      </c>
      <c r="J44" s="965"/>
      <c r="K44" s="966"/>
      <c r="L44" s="259"/>
      <c r="M44" s="1026" t="s">
        <v>302</v>
      </c>
      <c r="N44" s="1027"/>
      <c r="O44" s="1027"/>
      <c r="P44" s="1027"/>
      <c r="Q44" s="1027"/>
      <c r="R44" s="1027"/>
      <c r="S44" s="1027"/>
      <c r="T44" s="1027"/>
      <c r="U44" s="1028"/>
      <c r="V44" s="1029">
        <f>V42+V43</f>
        <v>0</v>
      </c>
      <c r="W44" s="1030"/>
      <c r="X44" s="1136"/>
      <c r="Y44" s="239"/>
      <c r="Z44"/>
      <c r="AC44" s="90"/>
      <c r="AD44" s="90"/>
      <c r="BL44" s="1"/>
      <c r="CI44" s="1"/>
      <c r="CT44" s="248"/>
      <c r="CU44" s="248"/>
      <c r="CY44"/>
      <c r="CZ44"/>
    </row>
    <row r="45" spans="1:185">
      <c r="A45" s="978" t="str">
        <f>"Planlagt arbejdstid efter ovennstående "&amp;A7&amp;" måned kalender"</f>
        <v>Planlagt arbejdstid efter ovennstående Februar måned kalender</v>
      </c>
      <c r="B45" s="979"/>
      <c r="C45" s="979"/>
      <c r="D45" s="979"/>
      <c r="E45" s="979"/>
      <c r="F45" s="979"/>
      <c r="G45" s="979"/>
      <c r="H45" s="475">
        <f>D62+D63+D64+D65+D66+D67+D68</f>
        <v>15</v>
      </c>
      <c r="I45" s="980">
        <f>N38+R38+V104</f>
        <v>115</v>
      </c>
      <c r="J45" s="981"/>
      <c r="K45" s="982"/>
      <c r="L45" s="387"/>
      <c r="M45" s="1038" t="s">
        <v>293</v>
      </c>
      <c r="N45" s="1039"/>
      <c r="O45" s="1039"/>
      <c r="P45" s="1039"/>
      <c r="Q45" s="1039"/>
      <c r="R45" s="1039"/>
      <c r="S45" s="1039"/>
      <c r="T45" s="1039"/>
      <c r="U45" s="1039"/>
      <c r="V45" s="1039"/>
      <c r="W45" s="1039"/>
      <c r="X45" s="1131"/>
      <c r="Y45" s="239"/>
      <c r="Z45"/>
      <c r="AC45" s="90"/>
      <c r="AD45" s="90"/>
      <c r="BL45" s="1"/>
      <c r="CI45" s="1"/>
      <c r="CT45" s="248"/>
      <c r="CU45" s="248"/>
      <c r="CY45"/>
      <c r="CZ45"/>
    </row>
    <row r="46" spans="1:185">
      <c r="A46" s="986" t="s">
        <v>452</v>
      </c>
      <c r="B46" s="987"/>
      <c r="C46" s="987"/>
      <c r="D46" s="987"/>
      <c r="E46" s="987"/>
      <c r="F46" s="987"/>
      <c r="G46" s="987"/>
      <c r="H46" s="988"/>
      <c r="I46" s="983">
        <f>(FI40+FM40+FO40+FV40+FX40+FZ40+GB40)*-1+FK40+FN40+FQ40+FW40+FY40+GA40+GC40+FU40</f>
        <v>0</v>
      </c>
      <c r="J46" s="984"/>
      <c r="K46" s="985"/>
      <c r="L46" s="388"/>
      <c r="M46" s="1041" t="s">
        <v>463</v>
      </c>
      <c r="N46" s="1042"/>
      <c r="O46" s="1042"/>
      <c r="P46" s="1042"/>
      <c r="Q46" s="1042"/>
      <c r="R46" s="1042"/>
      <c r="S46" s="1042"/>
      <c r="T46" s="1042"/>
      <c r="U46" s="1043"/>
      <c r="V46" s="1044" t="s">
        <v>221</v>
      </c>
      <c r="W46" s="1045"/>
      <c r="X46" s="1132"/>
      <c r="Y46" s="239"/>
      <c r="Z46"/>
      <c r="AC46" s="90"/>
      <c r="AD46" s="90"/>
      <c r="BL46" s="1"/>
      <c r="CI46" s="1"/>
      <c r="CT46" s="248"/>
      <c r="CU46" s="248"/>
      <c r="CY46"/>
      <c r="CZ46"/>
    </row>
    <row r="47" spans="1:185">
      <c r="A47" s="1005" t="str">
        <f>"Arbejde særligt planlagt for "&amp;A7&amp;" måned efter fanen skemaoplysninger"</f>
        <v>Arbejde særligt planlagt for Februar måned efter fanen skemaoplysninger</v>
      </c>
      <c r="B47" s="1006"/>
      <c r="C47" s="1006"/>
      <c r="D47" s="1006"/>
      <c r="E47" s="1006"/>
      <c r="F47" s="1006"/>
      <c r="G47" s="1006"/>
      <c r="H47" s="1007"/>
      <c r="I47" s="981">
        <f>Skemaoplysninger!Q91</f>
        <v>2</v>
      </c>
      <c r="J47" s="1003"/>
      <c r="K47" s="1004"/>
      <c r="L47" s="241"/>
      <c r="M47" s="867"/>
      <c r="N47" s="868"/>
      <c r="O47" s="868"/>
      <c r="P47" s="868"/>
      <c r="Q47" s="868"/>
      <c r="R47" s="868"/>
      <c r="S47" s="868"/>
      <c r="T47" s="868"/>
      <c r="U47" s="869"/>
      <c r="V47" s="1047"/>
      <c r="W47" s="1047"/>
      <c r="X47" s="1048"/>
      <c r="Y47" s="239"/>
      <c r="Z47" s="239"/>
      <c r="AE47" s="90"/>
      <c r="AG47" s="90"/>
      <c r="AZ47" s="239"/>
      <c r="BN47" s="1"/>
      <c r="CK47" s="1"/>
      <c r="CU47" s="248"/>
      <c r="CV47" s="248"/>
      <c r="CY47"/>
      <c r="CZ47"/>
    </row>
    <row r="48" spans="1:185">
      <c r="A48" s="967" t="s">
        <v>291</v>
      </c>
      <c r="B48" s="968"/>
      <c r="C48" s="968"/>
      <c r="D48" s="968"/>
      <c r="E48" s="968"/>
      <c r="F48" s="968"/>
      <c r="G48" s="968"/>
      <c r="H48" s="968"/>
      <c r="I48" s="969">
        <f>V38+X38-FS40+R104</f>
        <v>0</v>
      </c>
      <c r="J48" s="970"/>
      <c r="K48" s="971"/>
      <c r="L48" s="241"/>
      <c r="M48" s="867"/>
      <c r="N48" s="868"/>
      <c r="O48" s="868"/>
      <c r="P48" s="868"/>
      <c r="Q48" s="868"/>
      <c r="R48" s="868"/>
      <c r="S48" s="868"/>
      <c r="T48" s="868"/>
      <c r="U48" s="869"/>
      <c r="V48" s="870"/>
      <c r="W48" s="871"/>
      <c r="X48" s="872"/>
      <c r="Y48" s="239"/>
      <c r="Z48" s="239"/>
      <c r="AD48" s="90"/>
      <c r="AE48" s="90"/>
      <c r="BM48" s="1"/>
      <c r="CJ48" s="1"/>
      <c r="CU48" s="248"/>
      <c r="CV48" s="248"/>
      <c r="CY48"/>
      <c r="CZ48"/>
    </row>
    <row r="49" spans="1:110" ht="17" thickBot="1">
      <c r="A49" s="261" t="str">
        <f>"Faktisk arbejdstid ialt i "&amp;A7&amp;" måned"</f>
        <v>Faktisk arbejdstid ialt i Februar måned</v>
      </c>
      <c r="B49" s="314"/>
      <c r="C49" s="315"/>
      <c r="D49" s="315"/>
      <c r="E49" s="315"/>
      <c r="F49" s="315"/>
      <c r="G49" s="315"/>
      <c r="H49" s="316"/>
      <c r="I49" s="1008">
        <f>I45+I48+I47+I46</f>
        <v>117</v>
      </c>
      <c r="J49" s="1009"/>
      <c r="K49" s="1010"/>
      <c r="L49" s="241"/>
      <c r="M49" s="867"/>
      <c r="N49" s="868"/>
      <c r="O49" s="868"/>
      <c r="P49" s="868"/>
      <c r="Q49" s="868"/>
      <c r="R49" s="868"/>
      <c r="S49" s="868"/>
      <c r="T49" s="868"/>
      <c r="U49" s="869"/>
      <c r="V49" s="870"/>
      <c r="W49" s="871"/>
      <c r="X49" s="872"/>
      <c r="Y49" s="239"/>
      <c r="Z49" s="214"/>
      <c r="AA49" s="247"/>
      <c r="AB49" s="247"/>
      <c r="AC49" s="247"/>
      <c r="AD49" s="239"/>
      <c r="AF49" s="247"/>
      <c r="AG49" s="239"/>
      <c r="AH49" s="239"/>
      <c r="AL49" s="90"/>
      <c r="AM49" s="90"/>
      <c r="BT49" s="1"/>
      <c r="CQ49" s="1"/>
      <c r="CY49"/>
      <c r="CZ49"/>
      <c r="DB49" s="248"/>
      <c r="DC49" s="248"/>
    </row>
    <row r="50" spans="1:110" ht="17" thickBot="1">
      <c r="A50" s="255"/>
      <c r="B50" s="255"/>
      <c r="C50" s="255"/>
      <c r="D50" s="255"/>
      <c r="E50" s="255"/>
      <c r="F50" s="255"/>
      <c r="G50" s="255"/>
      <c r="H50" s="255"/>
      <c r="I50" s="522"/>
      <c r="J50" s="522"/>
      <c r="K50" s="522"/>
      <c r="L50" s="500"/>
      <c r="M50" s="867"/>
      <c r="N50" s="868"/>
      <c r="O50" s="868"/>
      <c r="P50" s="868"/>
      <c r="Q50" s="868"/>
      <c r="R50" s="868"/>
      <c r="S50" s="868"/>
      <c r="T50" s="868"/>
      <c r="U50" s="869"/>
      <c r="V50" s="870"/>
      <c r="W50" s="871"/>
      <c r="X50" s="872"/>
      <c r="Y50" s="239"/>
      <c r="Z50" s="239"/>
      <c r="AA50" s="239"/>
      <c r="AB50" s="239"/>
      <c r="AC50" s="214"/>
      <c r="AD50" s="247"/>
      <c r="AE50" s="247"/>
      <c r="AF50" s="247"/>
      <c r="AG50" s="247"/>
      <c r="AH50" s="239"/>
      <c r="AJ50" s="239"/>
      <c r="AK50" s="239"/>
      <c r="AO50" s="90"/>
      <c r="AP50" s="90"/>
      <c r="BW50" s="1"/>
      <c r="CT50" s="1"/>
      <c r="CY50"/>
      <c r="CZ50"/>
      <c r="DE50" s="248"/>
      <c r="DF50" s="248"/>
    </row>
    <row r="51" spans="1:110" ht="25" thickBot="1">
      <c r="A51" s="958" t="s">
        <v>479</v>
      </c>
      <c r="B51" s="959"/>
      <c r="C51" s="959"/>
      <c r="D51" s="959"/>
      <c r="E51" s="959"/>
      <c r="F51" s="959"/>
      <c r="G51" s="959"/>
      <c r="H51" s="707" t="s">
        <v>740</v>
      </c>
      <c r="I51" s="1118" t="s">
        <v>478</v>
      </c>
      <c r="J51" s="1118"/>
      <c r="K51" s="1119"/>
      <c r="L51" s="500"/>
      <c r="M51" s="1032" t="s">
        <v>294</v>
      </c>
      <c r="N51" s="1033"/>
      <c r="O51" s="1033"/>
      <c r="P51" s="1033"/>
      <c r="Q51" s="1033"/>
      <c r="R51" s="1033"/>
      <c r="S51" s="1033"/>
      <c r="T51" s="1033"/>
      <c r="U51" s="1034"/>
      <c r="V51" s="1081">
        <f>V44-SUM(V47:X50)</f>
        <v>0</v>
      </c>
      <c r="W51" s="1082"/>
      <c r="X51" s="1083"/>
      <c r="Y51" s="239"/>
      <c r="Z51" s="239"/>
      <c r="AA51" s="239"/>
      <c r="AB51" s="239"/>
      <c r="AC51" s="214"/>
      <c r="AD51" s="247"/>
      <c r="AE51" s="247"/>
      <c r="AF51" s="247"/>
      <c r="AG51" s="247"/>
      <c r="AH51" s="239"/>
      <c r="AJ51" s="239"/>
      <c r="AK51" s="239"/>
      <c r="AO51" s="90"/>
      <c r="AP51" s="90"/>
      <c r="BW51" s="1"/>
      <c r="CT51" s="1"/>
      <c r="CY51"/>
      <c r="CZ51"/>
      <c r="DE51" s="248"/>
      <c r="DF51" s="248"/>
    </row>
    <row r="52" spans="1:110" ht="16" customHeight="1">
      <c r="A52" s="993"/>
      <c r="B52" s="994"/>
      <c r="C52" s="994"/>
      <c r="D52" s="994"/>
      <c r="E52" s="994"/>
      <c r="F52" s="994"/>
      <c r="G52" s="994"/>
      <c r="H52" s="605">
        <f>Januar!H62</f>
        <v>0</v>
      </c>
      <c r="I52" s="1084">
        <f>Januar!I62</f>
        <v>0</v>
      </c>
      <c r="J52" s="1084"/>
      <c r="K52" s="1085"/>
      <c r="L52" s="500"/>
      <c r="M52" s="523"/>
      <c r="N52" s="523"/>
      <c r="O52" s="523"/>
      <c r="P52" s="523"/>
      <c r="Q52" s="524"/>
      <c r="R52" s="525"/>
      <c r="S52" s="525"/>
      <c r="T52" s="525"/>
      <c r="U52" s="525"/>
      <c r="V52" s="523"/>
      <c r="W52" s="526"/>
      <c r="X52" s="523"/>
      <c r="Y52" s="239"/>
      <c r="Z52" s="239"/>
      <c r="AA52" s="239"/>
      <c r="AB52" s="239"/>
      <c r="AC52" s="214"/>
      <c r="AD52" s="247"/>
      <c r="AE52" s="247"/>
      <c r="AF52" s="247"/>
      <c r="AG52" s="247"/>
      <c r="AH52" s="239"/>
      <c r="AJ52" s="239"/>
      <c r="AK52" s="239"/>
      <c r="AO52" s="90"/>
      <c r="AP52" s="90"/>
      <c r="BW52" s="1"/>
      <c r="CT52" s="1"/>
      <c r="CY52"/>
      <c r="CZ52"/>
      <c r="DE52" s="248"/>
      <c r="DF52" s="248"/>
    </row>
    <row r="53" spans="1:110" ht="16" customHeight="1">
      <c r="A53" s="1069" t="s">
        <v>482</v>
      </c>
      <c r="B53" s="1070"/>
      <c r="C53" s="1070"/>
      <c r="D53" s="1070"/>
      <c r="E53" s="1070"/>
      <c r="F53" s="1070"/>
      <c r="G53" s="1071"/>
      <c r="H53" s="603"/>
      <c r="I53" s="1072"/>
      <c r="J53" s="1073"/>
      <c r="K53" s="1074"/>
      <c r="L53" s="500"/>
      <c r="M53" s="523"/>
      <c r="N53" s="523"/>
      <c r="O53" s="523"/>
      <c r="P53" s="523"/>
      <c r="Q53" s="524"/>
      <c r="R53" s="525"/>
      <c r="S53" s="525"/>
      <c r="T53" s="525"/>
      <c r="U53" s="525"/>
      <c r="V53" s="523"/>
      <c r="W53" s="526"/>
      <c r="X53" s="523"/>
      <c r="Y53" s="239"/>
      <c r="Z53" s="239"/>
      <c r="AA53" s="239"/>
      <c r="AB53" s="239"/>
      <c r="AC53" s="214"/>
      <c r="AD53" s="247"/>
      <c r="AE53" s="247"/>
      <c r="AF53" s="247"/>
      <c r="AG53" s="247"/>
      <c r="AH53" s="239"/>
      <c r="AJ53" s="239"/>
      <c r="AK53" s="239"/>
      <c r="AO53" s="90"/>
      <c r="AP53" s="90"/>
      <c r="BW53" s="1"/>
      <c r="CT53" s="1"/>
      <c r="CY53"/>
      <c r="CZ53"/>
      <c r="DE53" s="248"/>
      <c r="DF53" s="248"/>
    </row>
    <row r="54" spans="1:110" ht="37" customHeight="1">
      <c r="A54" s="864" t="s">
        <v>741</v>
      </c>
      <c r="B54" s="865"/>
      <c r="C54" s="865"/>
      <c r="D54" s="865"/>
      <c r="E54" s="865"/>
      <c r="F54" s="865"/>
      <c r="G54" s="865"/>
      <c r="H54" s="865"/>
      <c r="I54" s="865"/>
      <c r="J54" s="865"/>
      <c r="K54" s="866"/>
      <c r="L54" s="500"/>
      <c r="M54" s="523"/>
      <c r="N54" s="523"/>
      <c r="O54" s="523"/>
      <c r="P54" s="523"/>
      <c r="Q54" s="524"/>
      <c r="R54" s="525"/>
      <c r="S54" s="525"/>
      <c r="T54" s="525"/>
      <c r="U54" s="525"/>
      <c r="V54" s="523"/>
      <c r="W54" s="526"/>
      <c r="X54" s="523"/>
      <c r="Y54" s="239"/>
      <c r="Z54" s="239"/>
      <c r="AA54" s="239"/>
      <c r="AB54" s="239"/>
      <c r="AC54" s="214"/>
      <c r="AD54" s="247"/>
      <c r="AE54" s="247"/>
      <c r="AF54" s="247"/>
      <c r="AG54" s="247"/>
      <c r="AH54" s="239"/>
      <c r="AJ54" s="239"/>
      <c r="AK54" s="239"/>
      <c r="AO54" s="90"/>
      <c r="AP54" s="90"/>
      <c r="BW54" s="1"/>
      <c r="CT54" s="1"/>
      <c r="CY54"/>
      <c r="CZ54"/>
      <c r="DE54" s="248"/>
      <c r="DF54" s="248"/>
    </row>
    <row r="55" spans="1:110" ht="35" customHeight="1">
      <c r="A55" s="995" t="s">
        <v>742</v>
      </c>
      <c r="B55" s="996"/>
      <c r="C55" s="898" t="s">
        <v>510</v>
      </c>
      <c r="D55" s="899"/>
      <c r="E55" s="900" t="s">
        <v>511</v>
      </c>
      <c r="F55" s="865"/>
      <c r="G55" s="901"/>
      <c r="H55" s="910" t="s">
        <v>480</v>
      </c>
      <c r="I55" s="910"/>
      <c r="J55" s="910"/>
      <c r="K55" s="911"/>
      <c r="L55" s="500"/>
      <c r="M55" s="523"/>
      <c r="N55" s="523"/>
      <c r="O55" s="523"/>
      <c r="P55" s="523"/>
      <c r="Q55" s="524"/>
      <c r="R55" s="525"/>
      <c r="S55" s="525"/>
      <c r="T55" s="525"/>
      <c r="U55" s="525"/>
      <c r="V55" s="523"/>
      <c r="W55" s="526"/>
      <c r="X55" s="523"/>
      <c r="Y55" s="239"/>
      <c r="Z55" s="239"/>
      <c r="AA55" s="239"/>
      <c r="AB55" s="239"/>
      <c r="AC55" s="214"/>
      <c r="AD55" s="247"/>
      <c r="AE55" s="247"/>
      <c r="AF55" s="247"/>
      <c r="AG55" s="247"/>
      <c r="AH55" s="239"/>
      <c r="AJ55" s="239"/>
      <c r="AK55" s="239"/>
      <c r="AO55" s="90"/>
      <c r="AP55" s="90"/>
      <c r="BW55" s="1"/>
      <c r="CT55" s="1"/>
      <c r="CY55"/>
      <c r="CZ55"/>
      <c r="DE55" s="248"/>
      <c r="DF55" s="248"/>
    </row>
    <row r="56" spans="1:110">
      <c r="A56" s="902"/>
      <c r="B56" s="903"/>
      <c r="C56" s="906"/>
      <c r="D56" s="905"/>
      <c r="E56" s="907"/>
      <c r="F56" s="908"/>
      <c r="G56" s="909"/>
      <c r="H56" s="604"/>
      <c r="I56" s="896"/>
      <c r="J56" s="896"/>
      <c r="K56" s="897"/>
      <c r="L56" s="500"/>
      <c r="M56" s="523"/>
      <c r="N56" s="523"/>
      <c r="O56" s="523"/>
      <c r="P56" s="523"/>
      <c r="Q56" s="524"/>
      <c r="R56" s="525"/>
      <c r="S56" s="525"/>
      <c r="T56" s="525"/>
      <c r="U56" s="525"/>
      <c r="V56" s="523"/>
      <c r="W56" s="526"/>
      <c r="X56" s="523"/>
      <c r="Y56" s="239"/>
      <c r="Z56" s="239"/>
      <c r="AA56" s="239"/>
      <c r="AB56" s="239"/>
      <c r="AC56" s="214"/>
      <c r="AD56" s="247"/>
      <c r="AE56" s="247"/>
      <c r="AF56" s="247"/>
      <c r="AG56" s="247"/>
      <c r="AH56" s="239"/>
      <c r="AJ56" s="239"/>
      <c r="AK56" s="239"/>
      <c r="AO56" s="90"/>
      <c r="AP56" s="90"/>
      <c r="BW56" s="1"/>
      <c r="CT56" s="1"/>
      <c r="CY56"/>
      <c r="CZ56"/>
      <c r="DE56" s="248"/>
      <c r="DF56" s="248"/>
    </row>
    <row r="57" spans="1:110">
      <c r="A57" s="904"/>
      <c r="B57" s="905"/>
      <c r="C57" s="906"/>
      <c r="D57" s="905"/>
      <c r="E57" s="907"/>
      <c r="F57" s="908"/>
      <c r="G57" s="909"/>
      <c r="H57" s="604"/>
      <c r="I57" s="896"/>
      <c r="J57" s="896"/>
      <c r="K57" s="897"/>
      <c r="L57" s="500"/>
      <c r="M57" s="523"/>
      <c r="N57" s="523"/>
      <c r="O57" s="523"/>
      <c r="P57" s="523"/>
      <c r="Q57" s="524"/>
      <c r="R57" s="525"/>
      <c r="S57" s="525"/>
      <c r="T57" s="525"/>
      <c r="U57" s="525"/>
      <c r="V57" s="523"/>
      <c r="W57" s="526"/>
      <c r="X57" s="523"/>
      <c r="Y57" s="239"/>
      <c r="Z57" s="239"/>
      <c r="AA57" s="239"/>
      <c r="AB57" s="239"/>
      <c r="AC57" s="214"/>
      <c r="AD57" s="247"/>
      <c r="AE57" s="247"/>
      <c r="AF57" s="247"/>
      <c r="AG57" s="247"/>
      <c r="AH57" s="239"/>
      <c r="AJ57" s="239"/>
      <c r="AK57" s="239"/>
      <c r="AO57" s="90"/>
      <c r="AP57" s="90"/>
      <c r="BW57" s="1"/>
      <c r="CT57" s="1"/>
      <c r="CY57"/>
      <c r="CZ57"/>
      <c r="DE57" s="248"/>
      <c r="DF57" s="248"/>
    </row>
    <row r="58" spans="1:110">
      <c r="A58" s="904"/>
      <c r="B58" s="905"/>
      <c r="C58" s="906"/>
      <c r="D58" s="905"/>
      <c r="E58" s="907"/>
      <c r="F58" s="908"/>
      <c r="G58" s="909"/>
      <c r="H58" s="604"/>
      <c r="I58" s="896"/>
      <c r="J58" s="896"/>
      <c r="K58" s="897"/>
      <c r="L58" s="500"/>
      <c r="M58" s="523"/>
      <c r="N58" s="523"/>
      <c r="O58" s="523"/>
      <c r="P58" s="523"/>
      <c r="Q58" s="524"/>
      <c r="R58" s="525"/>
      <c r="S58" s="525"/>
      <c r="T58" s="525"/>
      <c r="U58" s="525"/>
      <c r="V58" s="523"/>
      <c r="W58" s="526"/>
      <c r="X58" s="523"/>
      <c r="Y58" s="239"/>
      <c r="Z58" s="239"/>
      <c r="AA58" s="239"/>
      <c r="AB58" s="239"/>
      <c r="AC58" s="214"/>
      <c r="AD58" s="247"/>
      <c r="AE58" s="247"/>
      <c r="AF58" s="247"/>
      <c r="AG58" s="247"/>
      <c r="AH58" s="239"/>
      <c r="AJ58" s="239"/>
      <c r="AK58" s="239"/>
      <c r="AO58" s="90"/>
      <c r="AP58" s="90"/>
      <c r="BW58" s="1"/>
      <c r="CT58" s="1"/>
      <c r="CY58"/>
      <c r="CZ58"/>
      <c r="DE58" s="248"/>
      <c r="DF58" s="248"/>
    </row>
    <row r="59" spans="1:110">
      <c r="A59" s="904"/>
      <c r="B59" s="905"/>
      <c r="C59" s="906"/>
      <c r="D59" s="905"/>
      <c r="E59" s="907"/>
      <c r="F59" s="908"/>
      <c r="G59" s="909"/>
      <c r="H59" s="604"/>
      <c r="I59" s="896"/>
      <c r="J59" s="896"/>
      <c r="K59" s="897"/>
      <c r="L59" s="500"/>
      <c r="M59" s="523"/>
      <c r="N59" s="523"/>
      <c r="O59" s="523"/>
      <c r="P59" s="523"/>
      <c r="Q59" s="524"/>
      <c r="R59" s="525"/>
      <c r="S59" s="525"/>
      <c r="T59" s="525"/>
      <c r="U59" s="525"/>
      <c r="V59" s="523"/>
      <c r="W59" s="526"/>
      <c r="X59" s="523"/>
      <c r="Y59" s="239"/>
      <c r="Z59" s="239"/>
      <c r="AA59" s="239"/>
      <c r="AB59" s="239"/>
      <c r="AC59" s="214"/>
      <c r="AD59" s="247"/>
      <c r="AE59" s="247"/>
      <c r="AF59" s="247"/>
      <c r="AG59" s="247"/>
      <c r="AH59" s="239"/>
      <c r="AJ59" s="239"/>
      <c r="AK59" s="239"/>
      <c r="AO59" s="90"/>
      <c r="AP59" s="90"/>
      <c r="BW59" s="1"/>
      <c r="CT59" s="1"/>
      <c r="CY59"/>
      <c r="CZ59"/>
      <c r="DE59" s="248"/>
      <c r="DF59" s="248"/>
    </row>
    <row r="60" spans="1:110" ht="17" thickBot="1">
      <c r="A60" s="893" t="s">
        <v>481</v>
      </c>
      <c r="B60" s="894"/>
      <c r="C60" s="895"/>
      <c r="D60" s="895"/>
      <c r="E60" s="895"/>
      <c r="F60" s="895"/>
      <c r="G60" s="895"/>
      <c r="H60" s="606">
        <f>H53+H52-SUM(H56:H59)</f>
        <v>0</v>
      </c>
      <c r="I60" s="912">
        <f>I52+I53-SUM(I56:K59)</f>
        <v>0</v>
      </c>
      <c r="J60" s="913"/>
      <c r="K60" s="914"/>
      <c r="L60" s="500"/>
      <c r="M60" s="523"/>
      <c r="N60" s="523"/>
      <c r="O60" s="523"/>
      <c r="P60" s="523"/>
      <c r="Q60" s="524"/>
      <c r="R60" s="525"/>
      <c r="S60" s="525"/>
      <c r="T60" s="525"/>
      <c r="U60" s="525"/>
      <c r="V60" s="523"/>
      <c r="W60" s="526"/>
      <c r="X60" s="523"/>
      <c r="Y60" s="239"/>
      <c r="Z60" s="239"/>
      <c r="AA60" s="239"/>
      <c r="AB60" s="239"/>
      <c r="AC60" s="214"/>
      <c r="AD60" s="247"/>
      <c r="AE60" s="247"/>
      <c r="AF60" s="247"/>
      <c r="AG60" s="247"/>
      <c r="AH60" s="239"/>
      <c r="AJ60" s="239"/>
      <c r="AK60" s="239"/>
      <c r="AO60" s="90"/>
      <c r="AP60" s="90"/>
      <c r="BW60" s="1"/>
      <c r="CT60" s="1"/>
      <c r="CY60"/>
      <c r="CZ60"/>
      <c r="DE60" s="248"/>
      <c r="DF60" s="248"/>
    </row>
    <row r="61" spans="1:110" hidden="1">
      <c r="A61" s="496"/>
      <c r="B61" s="496"/>
      <c r="C61" s="496"/>
      <c r="D61" s="496"/>
      <c r="E61" s="496"/>
      <c r="F61" s="496"/>
      <c r="G61" s="496"/>
      <c r="H61" s="450"/>
      <c r="I61" s="506"/>
      <c r="J61" s="506"/>
      <c r="K61" s="496"/>
      <c r="L61" s="659"/>
      <c r="M61" s="659"/>
      <c r="N61" s="659"/>
      <c r="O61" s="659"/>
      <c r="P61" s="659"/>
      <c r="Q61" s="524"/>
      <c r="R61" s="525"/>
      <c r="S61" s="525"/>
      <c r="T61" s="525"/>
      <c r="U61" s="525"/>
      <c r="V61" s="523" t="s">
        <v>583</v>
      </c>
      <c r="W61" s="526"/>
      <c r="X61" s="523"/>
      <c r="Y61"/>
      <c r="Z61" s="90"/>
      <c r="AA61" s="90"/>
      <c r="BH61" s="1"/>
      <c r="CE61" s="1"/>
      <c r="CP61" s="248"/>
      <c r="CQ61" s="248"/>
      <c r="CY61"/>
      <c r="CZ61"/>
    </row>
    <row r="62" spans="1:110" hidden="1">
      <c r="A62" s="498" t="s">
        <v>206</v>
      </c>
      <c r="B62" s="498"/>
      <c r="C62" s="498"/>
      <c r="D62" s="498">
        <f>COUNTIF([0]!Februar,"Skema 1")</f>
        <v>0</v>
      </c>
      <c r="E62" s="499"/>
      <c r="F62" s="498" t="s">
        <v>186</v>
      </c>
      <c r="G62" s="498">
        <f>COUNTIFS($B$9:$B$37,"ma",[0]!Februar,"Skema 1")</f>
        <v>0</v>
      </c>
      <c r="H62" s="123"/>
      <c r="I62" s="511"/>
      <c r="J62" s="659"/>
      <c r="K62" s="659"/>
      <c r="L62" s="511"/>
      <c r="M62" s="660"/>
      <c r="N62" s="659"/>
      <c r="O62" s="660"/>
      <c r="P62" s="678" t="s">
        <v>601</v>
      </c>
      <c r="Q62" s="680" t="s">
        <v>612</v>
      </c>
      <c r="R62" s="230"/>
      <c r="S62" s="230"/>
      <c r="T62" s="230"/>
      <c r="U62" s="230"/>
      <c r="V62" s="230"/>
      <c r="W62" s="118"/>
      <c r="X62" s="118"/>
      <c r="Y62"/>
      <c r="Z62" s="90"/>
      <c r="AA62" s="90"/>
      <c r="BH62" s="1"/>
      <c r="CE62" s="1"/>
      <c r="CP62" s="248"/>
      <c r="CQ62" s="248"/>
      <c r="CY62"/>
      <c r="CZ62"/>
    </row>
    <row r="63" spans="1:110" hidden="1">
      <c r="A63" s="1113" t="s">
        <v>207</v>
      </c>
      <c r="B63" s="1113"/>
      <c r="C63" s="1113"/>
      <c r="D63" s="498">
        <f>COUNTIF([0]!Februar,"Skema 2")</f>
        <v>14</v>
      </c>
      <c r="E63" s="499"/>
      <c r="F63" s="498" t="s">
        <v>187</v>
      </c>
      <c r="G63" s="498">
        <f>COUNTIFS($B$9:$B$37,"ti",[0]!Februar,"Skema 1")</f>
        <v>0</v>
      </c>
      <c r="H63" s="123"/>
      <c r="I63" s="511" t="s">
        <v>602</v>
      </c>
      <c r="J63" s="659"/>
      <c r="K63" s="511"/>
      <c r="L63" s="662"/>
      <c r="M63" s="660"/>
      <c r="N63" s="660"/>
      <c r="O63" s="663"/>
      <c r="P63" s="678">
        <f>IF(Stamoplysninger!$B$22="Ulempetillæg udbetales med 25% af nettotimelønnen.",SUM(DO40:DR40)-SUM(DS40:DV40),0)</f>
        <v>0</v>
      </c>
      <c r="Q63" s="680"/>
      <c r="R63" s="230"/>
      <c r="S63" s="230"/>
      <c r="T63" s="230"/>
      <c r="U63" s="230"/>
      <c r="V63" s="230"/>
      <c r="W63" s="118"/>
      <c r="X63" s="118"/>
      <c r="Y63"/>
      <c r="Z63" s="90"/>
      <c r="AA63" s="90"/>
      <c r="BH63" s="1"/>
      <c r="CE63" s="1"/>
      <c r="CP63" s="248"/>
      <c r="CQ63" s="248"/>
      <c r="CY63"/>
      <c r="CZ63"/>
    </row>
    <row r="64" spans="1:110" hidden="1">
      <c r="A64" s="1113" t="s">
        <v>208</v>
      </c>
      <c r="B64" s="1113"/>
      <c r="C64" s="1113"/>
      <c r="D64" s="498">
        <f>COUNTIF([0]!Februar,"Skema 3")</f>
        <v>0</v>
      </c>
      <c r="E64" s="499"/>
      <c r="F64" s="498" t="s">
        <v>188</v>
      </c>
      <c r="G64" s="498">
        <f>COUNTIFS($B$9:$B$37,"on",[0]!Februar,"Skema 1")</f>
        <v>0</v>
      </c>
      <c r="H64" s="498"/>
      <c r="I64" s="677" t="s">
        <v>603</v>
      </c>
      <c r="J64" s="659"/>
      <c r="K64" s="511"/>
      <c r="L64" s="662"/>
      <c r="M64" s="660"/>
      <c r="N64" s="660"/>
      <c r="O64" s="660"/>
      <c r="P64" s="678"/>
      <c r="Q64" s="680">
        <f>IF(Stamoplysninger!$B$22="Ulempetillæg afspadseres med 25%(Kræver en aftale imellem ledelsen og den ansatte)",EC40+ED40+EE40+EF40-EG40-EH40-EI40-EJ40,0)</f>
        <v>0</v>
      </c>
      <c r="R64" s="230"/>
      <c r="S64" s="230"/>
      <c r="T64" s="230"/>
      <c r="U64" s="230"/>
      <c r="V64" s="230"/>
      <c r="W64" s="118"/>
      <c r="X64" s="118"/>
      <c r="Y64"/>
      <c r="Z64" s="90"/>
      <c r="AA64" s="90"/>
      <c r="BH64" s="1"/>
      <c r="CE64" s="1"/>
      <c r="CP64" s="248"/>
      <c r="CQ64" s="248"/>
      <c r="CY64"/>
      <c r="CZ64"/>
    </row>
    <row r="65" spans="1:108" hidden="1">
      <c r="A65" s="1113" t="s">
        <v>209</v>
      </c>
      <c r="B65" s="1113"/>
      <c r="C65" s="1113"/>
      <c r="D65" s="498">
        <f>COUNTIF([0]!Februar,"Skema 4")</f>
        <v>0</v>
      </c>
      <c r="E65" s="499"/>
      <c r="F65" s="498" t="s">
        <v>190</v>
      </c>
      <c r="G65" s="498">
        <f>COUNTIFS($B$9:$B$37,"to",[0]!Februar,"Skema 1")</f>
        <v>0</v>
      </c>
      <c r="H65" s="498"/>
      <c r="I65" s="677" t="s">
        <v>604</v>
      </c>
      <c r="J65" s="659"/>
      <c r="K65" s="511"/>
      <c r="L65" s="662"/>
      <c r="M65" s="665"/>
      <c r="N65" s="665"/>
      <c r="O65" s="4"/>
      <c r="P65" s="678"/>
      <c r="Q65" s="680"/>
      <c r="R65" s="230"/>
      <c r="S65" s="230"/>
      <c r="T65" s="230"/>
      <c r="U65" s="230"/>
      <c r="V65" s="230"/>
      <c r="W65" s="118"/>
      <c r="X65" s="118"/>
      <c r="Y65" s="239"/>
      <c r="Z65" s="239"/>
      <c r="AA65" s="214"/>
      <c r="AB65" s="247"/>
      <c r="AC65" s="247"/>
      <c r="AD65" s="247"/>
      <c r="AE65" s="239"/>
      <c r="AF65" s="247"/>
      <c r="AH65" s="239"/>
      <c r="AI65" s="239"/>
      <c r="AM65" s="90"/>
      <c r="AN65" s="90"/>
      <c r="BU65" s="1"/>
      <c r="CR65" s="1"/>
      <c r="CY65"/>
      <c r="CZ65"/>
      <c r="DC65" s="248"/>
      <c r="DD65" s="248"/>
    </row>
    <row r="66" spans="1:108" hidden="1">
      <c r="A66" s="498" t="s">
        <v>112</v>
      </c>
      <c r="B66" s="498"/>
      <c r="C66" s="498"/>
      <c r="D66" s="498">
        <f>COUNTIF([0]!Februar,"Fagdag")+COUNTIF([0]!Februar,"emnedag")</f>
        <v>1</v>
      </c>
      <c r="E66" s="499"/>
      <c r="F66" s="498" t="s">
        <v>189</v>
      </c>
      <c r="G66" s="498">
        <f>COUNTIFS($B$9:$B$37,"fr",[0]!Februar,"Skema 1")</f>
        <v>0</v>
      </c>
      <c r="H66" s="498"/>
      <c r="I66" s="662" t="s">
        <v>605</v>
      </c>
      <c r="J66" s="659"/>
      <c r="K66" s="511"/>
      <c r="L66" s="662"/>
      <c r="M66" s="665"/>
      <c r="N66" s="665"/>
      <c r="O66" s="4"/>
      <c r="P66" s="678"/>
      <c r="Q66" s="680">
        <f>IF(Stamoplysninger!$B$26="Weekendtimer og weekendtillæg afspadseres.",EK40+EL40-EM40-EN40,0)</f>
        <v>0</v>
      </c>
      <c r="R66" s="230"/>
      <c r="S66" s="230"/>
      <c r="T66" s="230"/>
      <c r="U66" s="230"/>
      <c r="V66" s="230"/>
      <c r="W66" s="118"/>
      <c r="X66" s="118"/>
      <c r="Y66" s="239"/>
      <c r="Z66" s="239"/>
      <c r="AA66" s="214"/>
      <c r="AB66" s="247"/>
      <c r="AC66" s="247"/>
      <c r="AD66" s="247"/>
      <c r="AE66" s="239"/>
      <c r="AF66" s="214"/>
      <c r="AH66" s="239"/>
      <c r="AI66" s="239"/>
      <c r="AM66" s="90"/>
      <c r="AN66" s="90"/>
      <c r="BU66" s="1"/>
      <c r="CR66" s="1"/>
      <c r="CY66"/>
      <c r="CZ66"/>
      <c r="DC66" s="248"/>
      <c r="DD66" s="248"/>
    </row>
    <row r="67" spans="1:108" hidden="1">
      <c r="A67" s="502" t="s">
        <v>111</v>
      </c>
      <c r="B67" s="498"/>
      <c r="C67" s="498"/>
      <c r="D67" s="498">
        <f>COUNTIF([0]!Februar,"Lejrskole")+COUNTIF([0]!Februar,"Ekskursion")</f>
        <v>0</v>
      </c>
      <c r="E67" s="499"/>
      <c r="F67" s="498"/>
      <c r="G67" s="498"/>
      <c r="H67" s="498"/>
      <c r="I67" s="662" t="s">
        <v>606</v>
      </c>
      <c r="J67" s="662"/>
      <c r="K67" s="662"/>
      <c r="L67" s="662"/>
      <c r="M67" s="666"/>
      <c r="N67" s="666"/>
      <c r="O67" s="4"/>
      <c r="P67" s="679">
        <f>IF(Stamoplysninger!$B$26="Weekendtimer og weekendtillæg udbetales.",EO40+EP40-EQ40-ER40,0)</f>
        <v>0</v>
      </c>
      <c r="Q67" s="680"/>
      <c r="R67" s="230"/>
      <c r="S67" s="230"/>
      <c r="T67" s="230"/>
      <c r="U67" s="230"/>
      <c r="V67" s="230"/>
      <c r="W67" s="118"/>
      <c r="X67" s="118"/>
      <c r="Y67" s="239"/>
      <c r="Z67" s="239"/>
      <c r="AA67" s="214"/>
      <c r="AB67" s="247"/>
      <c r="AC67" s="247"/>
      <c r="AD67" s="247"/>
      <c r="AE67" s="239"/>
      <c r="AF67" s="214"/>
      <c r="AH67" s="239"/>
      <c r="AI67" s="239"/>
      <c r="AM67" s="90"/>
      <c r="AN67" s="90"/>
      <c r="BU67" s="1"/>
      <c r="CR67" s="1"/>
      <c r="CY67"/>
      <c r="CZ67"/>
      <c r="DC67" s="248"/>
      <c r="DD67" s="248"/>
    </row>
    <row r="68" spans="1:108" hidden="1">
      <c r="A68" s="498" t="s">
        <v>110</v>
      </c>
      <c r="B68" s="498"/>
      <c r="C68" s="498"/>
      <c r="D68" s="498">
        <f>COUNTIF([0]!Februar,"Pæd.dag")</f>
        <v>0</v>
      </c>
      <c r="E68" s="499"/>
      <c r="F68" s="498" t="s">
        <v>191</v>
      </c>
      <c r="G68" s="498">
        <f>COUNTIFS($B$9:$B$37,"ma",[0]!Februar,"Skema 2")</f>
        <v>3</v>
      </c>
      <c r="H68" s="498"/>
      <c r="I68" s="662" t="s">
        <v>607</v>
      </c>
      <c r="J68" s="662"/>
      <c r="K68" s="662"/>
      <c r="L68" s="662"/>
      <c r="M68" s="666"/>
      <c r="N68" s="666"/>
      <c r="O68" s="4"/>
      <c r="P68" s="678"/>
      <c r="Q68" s="680"/>
      <c r="R68" s="230"/>
      <c r="S68" s="230"/>
      <c r="T68" s="230"/>
      <c r="U68" s="230"/>
      <c r="V68" s="230"/>
      <c r="W68" s="118"/>
      <c r="X68" s="118"/>
      <c r="Y68" s="239"/>
      <c r="Z68" s="239"/>
      <c r="AA68" s="214"/>
      <c r="AB68" s="247"/>
      <c r="AC68" s="247"/>
      <c r="AD68" s="247"/>
      <c r="AE68" s="239"/>
      <c r="AF68" s="214"/>
      <c r="AH68" s="239"/>
      <c r="AI68" s="239"/>
      <c r="AM68" s="90"/>
      <c r="AN68" s="90"/>
      <c r="BU68" s="1"/>
      <c r="CR68" s="1"/>
      <c r="CY68"/>
      <c r="CZ68"/>
      <c r="DC68" s="248"/>
      <c r="DD68" s="248"/>
    </row>
    <row r="69" spans="1:108" hidden="1">
      <c r="A69" s="498" t="s">
        <v>120</v>
      </c>
      <c r="B69" s="498"/>
      <c r="C69" s="498"/>
      <c r="D69" s="498">
        <f>COUNTIF([0]!Februar,"Weekend")</f>
        <v>8</v>
      </c>
      <c r="E69" s="499"/>
      <c r="F69" s="498" t="s">
        <v>192</v>
      </c>
      <c r="G69" s="498">
        <f>COUNTIFS($B$9:$B$37,"ti",[0]!Februar,"Skema 2")</f>
        <v>3</v>
      </c>
      <c r="H69" s="498"/>
      <c r="I69" s="662" t="s">
        <v>608</v>
      </c>
      <c r="J69" s="662"/>
      <c r="K69" s="662"/>
      <c r="L69" s="662"/>
      <c r="M69" s="667"/>
      <c r="N69" s="667"/>
      <c r="O69" s="4"/>
      <c r="P69" s="678"/>
      <c r="Q69" s="681">
        <f>IF(Stamoplysninger!$B$26="Der er indgået lokalaftale omkring weekendtimer.(Kræver aftale med TR/FSL) Weekendtillæg afspadseres.",ES40+ET40-EU40-EV40,0)</f>
        <v>0</v>
      </c>
      <c r="R69" s="230"/>
      <c r="S69" s="230"/>
      <c r="T69" s="230"/>
      <c r="U69" s="230"/>
      <c r="V69" s="230"/>
      <c r="W69" s="118"/>
      <c r="X69" s="118"/>
      <c r="Y69"/>
      <c r="Z69"/>
      <c r="AL69" s="1"/>
      <c r="BI69" s="1"/>
      <c r="BT69" s="248"/>
      <c r="BU69" s="248"/>
      <c r="CY69"/>
      <c r="CZ69"/>
    </row>
    <row r="70" spans="1:108" hidden="1">
      <c r="A70" s="498" t="s">
        <v>127</v>
      </c>
      <c r="B70" s="498"/>
      <c r="C70" s="498"/>
      <c r="D70" s="498">
        <f>COUNTIF([0]!Februar,"SH-dag")</f>
        <v>0</v>
      </c>
      <c r="E70" s="499"/>
      <c r="F70" s="498" t="s">
        <v>193</v>
      </c>
      <c r="G70" s="498">
        <f>COUNTIFS($B$9:$B$37,"on",[0]!Februar,"Skema 2")</f>
        <v>3</v>
      </c>
      <c r="H70" s="498"/>
      <c r="I70" s="662" t="s">
        <v>609</v>
      </c>
      <c r="J70" s="662"/>
      <c r="K70" s="662"/>
      <c r="L70" s="662"/>
      <c r="M70" s="667"/>
      <c r="N70" s="667"/>
      <c r="O70" s="4"/>
      <c r="P70" s="678">
        <f>IF(Stamoplysninger!$B$26="Der er indgået lokalaftale omkring weekendtimer(Kræver aftale med TR/FSL). Weekendtillæg udbetales.",EW40+EX40-EY40-EZ40,0)</f>
        <v>0</v>
      </c>
      <c r="Q70" s="680"/>
      <c r="R70" s="230"/>
      <c r="S70" s="230"/>
      <c r="T70" s="230"/>
      <c r="U70" s="230"/>
      <c r="V70" s="230"/>
      <c r="W70" s="118"/>
      <c r="X70" s="118"/>
      <c r="Y70"/>
      <c r="Z70"/>
      <c r="AL70" s="1"/>
      <c r="BI70" s="1"/>
      <c r="BT70" s="248"/>
      <c r="BU70" s="248"/>
      <c r="CY70"/>
      <c r="CZ70"/>
    </row>
    <row r="71" spans="1:108" hidden="1">
      <c r="A71" s="498" t="s">
        <v>109</v>
      </c>
      <c r="B71" s="498"/>
      <c r="C71" s="498"/>
      <c r="D71" s="498">
        <f>COUNTIF([0]!Februar,"Feriedag")</f>
        <v>0</v>
      </c>
      <c r="E71" s="499"/>
      <c r="F71" s="498" t="s">
        <v>194</v>
      </c>
      <c r="G71" s="498">
        <f>COUNTIFS($B$9:$B$37,"to",[0]!Februar,"Skema 2")</f>
        <v>2</v>
      </c>
      <c r="H71" s="498"/>
      <c r="I71" s="662" t="s">
        <v>610</v>
      </c>
      <c r="J71" s="662"/>
      <c r="K71" s="662"/>
      <c r="L71" s="662"/>
      <c r="M71" s="667"/>
      <c r="N71" s="667"/>
      <c r="O71" s="4"/>
      <c r="P71" s="678"/>
      <c r="Q71" s="629">
        <f>IF(Stamoplysninger!$B$26="Der er indgået lokalaftale omkring weekendtillæg(Kræver aftale med TR/FSL). Weekendtimerne afspadseres.",FA40+FB40-FC40-FD40,0)</f>
        <v>0</v>
      </c>
      <c r="R71" s="41"/>
      <c r="S71" s="41"/>
      <c r="T71" s="41"/>
      <c r="Y71"/>
      <c r="Z71"/>
      <c r="AL71" s="1"/>
      <c r="BI71" s="1"/>
      <c r="BT71" s="248"/>
      <c r="BU71" s="248"/>
      <c r="CY71"/>
      <c r="CZ71"/>
    </row>
    <row r="72" spans="1:108" hidden="1">
      <c r="A72" s="498" t="s">
        <v>178</v>
      </c>
      <c r="B72" s="498"/>
      <c r="C72" s="498"/>
      <c r="D72" s="498">
        <f>COUNTIF([0]!Februar,"Nul-dag")</f>
        <v>5</v>
      </c>
      <c r="E72" s="499"/>
      <c r="F72" s="498" t="s">
        <v>195</v>
      </c>
      <c r="G72" s="498">
        <f>COUNTIFS($B$9:$B$37,"fr",[0]!Februar,"Skema 2")</f>
        <v>3</v>
      </c>
      <c r="H72" s="498"/>
      <c r="I72" s="662" t="s">
        <v>611</v>
      </c>
      <c r="J72" s="662"/>
      <c r="K72" s="662"/>
      <c r="L72" s="662"/>
      <c r="M72" s="667"/>
      <c r="N72" s="667"/>
      <c r="O72" s="4"/>
      <c r="P72" s="678">
        <f>IF(Stamoplysninger!$B$26="Der er indgået lokalaftale omkring weekendtillæg(Kræver aftale med TR/FSL). Weekendtimerne udbetales.",FE40+FF40-FG40-FH40,0)</f>
        <v>0</v>
      </c>
      <c r="Q72" s="629"/>
      <c r="V72" t="s">
        <v>618</v>
      </c>
      <c r="Y72"/>
      <c r="Z72"/>
      <c r="AL72" s="1"/>
      <c r="BI72" s="1"/>
      <c r="BT72" s="248"/>
      <c r="BU72" s="248"/>
      <c r="CY72"/>
      <c r="CZ72"/>
    </row>
    <row r="73" spans="1:108" hidden="1">
      <c r="A73" s="503" t="s">
        <v>416</v>
      </c>
      <c r="B73" s="498"/>
      <c r="C73" s="498"/>
      <c r="D73" s="498">
        <f>COUNTIF([0]!Februar,"Orlov")</f>
        <v>0</v>
      </c>
      <c r="E73" s="499"/>
      <c r="F73" s="504"/>
      <c r="G73" s="504"/>
      <c r="H73" s="504"/>
      <c r="I73" s="662" t="s">
        <v>617</v>
      </c>
      <c r="J73" s="662"/>
      <c r="K73" s="662"/>
      <c r="L73" s="662"/>
      <c r="M73" s="668"/>
      <c r="N73" s="668"/>
      <c r="O73" s="4"/>
      <c r="P73" s="661"/>
      <c r="R73">
        <f>IF(C8="ikke relevant",V8*-1+X8*-1,0)</f>
        <v>0</v>
      </c>
      <c r="S73" t="s">
        <v>623</v>
      </c>
      <c r="V73">
        <f>IF(C8="ikke relevant",R8*-1,0)</f>
        <v>0</v>
      </c>
      <c r="Y73"/>
      <c r="Z73"/>
      <c r="AL73" s="1"/>
      <c r="BI73" s="1"/>
      <c r="BT73" s="248"/>
      <c r="BU73" s="248"/>
      <c r="CY73"/>
      <c r="CZ73"/>
    </row>
    <row r="74" spans="1:108" hidden="1">
      <c r="A74" s="498" t="s">
        <v>160</v>
      </c>
      <c r="B74" s="498"/>
      <c r="C74" s="498"/>
      <c r="D74" s="498">
        <f>COUNTIF([0]!Februar,"Ikke relevant")</f>
        <v>1</v>
      </c>
      <c r="E74" s="499"/>
      <c r="F74" s="498" t="s">
        <v>196</v>
      </c>
      <c r="G74" s="498">
        <f>COUNTIFS($B$9:$B$37,"ma",[0]!Februar,"Skema 3")</f>
        <v>0</v>
      </c>
      <c r="H74" s="498"/>
      <c r="I74" s="662"/>
      <c r="J74" s="662"/>
      <c r="K74" s="662"/>
      <c r="L74" s="511"/>
      <c r="M74" s="668"/>
      <c r="N74" s="668"/>
      <c r="O74" s="4"/>
      <c r="P74" s="661"/>
      <c r="R74">
        <f>IF(C9="ikke relevant",V9*-1+X9*-1,0)</f>
        <v>0</v>
      </c>
      <c r="V74">
        <f>IF(C9="ikke relevant",R9*-1,0)</f>
        <v>0</v>
      </c>
      <c r="Y74"/>
      <c r="Z74"/>
      <c r="AL74" s="1"/>
      <c r="BI74" s="1"/>
      <c r="BT74" s="248"/>
      <c r="BU74" s="248"/>
      <c r="CY74"/>
      <c r="CZ74"/>
    </row>
    <row r="75" spans="1:108" hidden="1">
      <c r="A75" s="498" t="s">
        <v>108</v>
      </c>
      <c r="B75" s="498"/>
      <c r="C75" s="498"/>
      <c r="D75" s="498">
        <f>SUM(D62:D74)</f>
        <v>29</v>
      </c>
      <c r="E75" s="498"/>
      <c r="F75" s="498" t="s">
        <v>197</v>
      </c>
      <c r="G75" s="498">
        <f>COUNTIFS($B$9:$B$37,"ti",[0]!Februar,"Skema 3")</f>
        <v>0</v>
      </c>
      <c r="H75" s="498"/>
      <c r="I75" s="662"/>
      <c r="J75" s="662"/>
      <c r="K75" s="662"/>
      <c r="L75" s="511"/>
      <c r="M75" s="668"/>
      <c r="N75" s="668"/>
      <c r="O75" s="4"/>
      <c r="P75" s="661"/>
      <c r="R75">
        <f t="shared" ref="R75:R103" si="38">IF(C10="ikke relevant",V10*-1+X10*-1,0)</f>
        <v>0</v>
      </c>
      <c r="V75">
        <f t="shared" ref="V75:V103" si="39">IF(C10="ikke relevant",R10*-1,0)</f>
        <v>0</v>
      </c>
      <c r="Y75" s="1"/>
      <c r="Z75"/>
      <c r="AW75" s="1"/>
      <c r="BH75" s="248"/>
      <c r="BI75" s="248"/>
      <c r="CY75"/>
      <c r="CZ75"/>
    </row>
    <row r="76" spans="1:108" hidden="1">
      <c r="A76" s="498" t="s">
        <v>239</v>
      </c>
      <c r="B76" s="498"/>
      <c r="C76" s="498"/>
      <c r="D76" s="498">
        <f>D75-D69-A85-D74</f>
        <v>20</v>
      </c>
      <c r="E76" s="505"/>
      <c r="F76" s="498" t="s">
        <v>198</v>
      </c>
      <c r="G76" s="498">
        <f>COUNTIFS($B$9:$B$37,"on",[0]!Februar,"Skema 3")</f>
        <v>0</v>
      </c>
      <c r="H76" s="498"/>
      <c r="I76" s="662"/>
      <c r="J76" s="662"/>
      <c r="K76" s="662"/>
      <c r="L76" s="511"/>
      <c r="M76" s="668"/>
      <c r="N76" s="668"/>
      <c r="O76" s="4"/>
      <c r="P76" s="661"/>
      <c r="R76">
        <f t="shared" si="38"/>
        <v>0</v>
      </c>
      <c r="V76">
        <f t="shared" si="39"/>
        <v>0</v>
      </c>
      <c r="Y76" s="1"/>
      <c r="Z76"/>
      <c r="AW76" s="1"/>
      <c r="BH76" s="248"/>
      <c r="BI76" s="248"/>
      <c r="CY76"/>
      <c r="CZ76"/>
    </row>
    <row r="77" spans="1:108" hidden="1">
      <c r="A77" s="498"/>
      <c r="B77" s="498"/>
      <c r="C77" s="498"/>
      <c r="D77" s="498"/>
      <c r="E77" s="498"/>
      <c r="F77" s="498" t="s">
        <v>199</v>
      </c>
      <c r="G77" s="498">
        <f>COUNTIFS($B$9:$B$37,"to",[0]!Februar,"Skema 3")</f>
        <v>0</v>
      </c>
      <c r="H77" s="498"/>
      <c r="I77" s="664"/>
      <c r="J77" s="662"/>
      <c r="K77" s="662"/>
      <c r="L77" s="511"/>
      <c r="M77" s="660"/>
      <c r="N77" s="660"/>
      <c r="O77" s="4"/>
      <c r="P77" s="661"/>
      <c r="R77">
        <f t="shared" si="38"/>
        <v>0</v>
      </c>
      <c r="V77">
        <f t="shared" si="39"/>
        <v>0</v>
      </c>
      <c r="Y77" s="1"/>
      <c r="Z77"/>
      <c r="AW77" s="1"/>
      <c r="BH77" s="248"/>
      <c r="BI77" s="248"/>
      <c r="CY77"/>
      <c r="CZ77"/>
    </row>
    <row r="78" spans="1:108" hidden="1">
      <c r="A78" s="498"/>
      <c r="B78" s="498"/>
      <c r="C78" s="498"/>
      <c r="D78" s="498"/>
      <c r="E78" s="498"/>
      <c r="F78" s="498" t="s">
        <v>200</v>
      </c>
      <c r="G78" s="498">
        <f>COUNTIFS($B$9:$B$37,"fr",[0]!Februar,"Skema 3")</f>
        <v>0</v>
      </c>
      <c r="H78" s="498"/>
      <c r="I78" s="506"/>
      <c r="J78" s="511"/>
      <c r="K78" s="511"/>
      <c r="L78" s="511"/>
      <c r="M78" s="4"/>
      <c r="N78" s="4"/>
      <c r="O78" s="4"/>
      <c r="P78" s="4"/>
      <c r="R78">
        <f t="shared" si="38"/>
        <v>0</v>
      </c>
      <c r="V78">
        <f t="shared" si="39"/>
        <v>0</v>
      </c>
      <c r="Y78" s="1"/>
      <c r="Z78"/>
      <c r="AW78" s="1"/>
      <c r="BH78" s="248"/>
      <c r="BI78" s="248"/>
      <c r="CY78"/>
      <c r="CZ78"/>
    </row>
    <row r="79" spans="1:108" hidden="1">
      <c r="A79" s="498" t="s">
        <v>292</v>
      </c>
      <c r="B79" s="498"/>
      <c r="C79" s="498"/>
      <c r="D79" s="498"/>
      <c r="E79" s="498"/>
      <c r="F79" s="498"/>
      <c r="G79" s="498"/>
      <c r="H79" s="498"/>
      <c r="I79" s="506"/>
      <c r="J79" s="511"/>
      <c r="K79" s="511"/>
      <c r="L79" s="511"/>
      <c r="M79" s="4"/>
      <c r="N79" s="4"/>
      <c r="O79" s="4"/>
      <c r="P79" s="4"/>
      <c r="R79">
        <f t="shared" si="38"/>
        <v>0</v>
      </c>
      <c r="V79">
        <f t="shared" si="39"/>
        <v>0</v>
      </c>
      <c r="Y79" s="1"/>
      <c r="Z79"/>
      <c r="AW79" s="1"/>
      <c r="BH79" s="248"/>
      <c r="BI79" s="248"/>
      <c r="CY79"/>
      <c r="CZ79"/>
    </row>
    <row r="80" spans="1:108" hidden="1">
      <c r="A80" s="498">
        <f>COUNTIF($C$9:$C$10,"Skema 1")+COUNTIF($C$9:$C$10,"Skema 2")+COUNTIF($C$9:$C$10,"Skema 3")+COUNTIF($C$9:$C$10,"Skema 4")+COUNTIF($C$9:$C$10,"Fagdag")+COUNTIF($C$9:$C$10,"Emnedag")+COUNTIF($C$9:$C$10,"Lejrskole")+COUNTIF($C$9:$C$10,"Ekskursion")+COUNTIF($C$9:$C$10,"Pæd.dag")</f>
        <v>0</v>
      </c>
      <c r="B80" s="498"/>
      <c r="C80" s="498"/>
      <c r="D80" s="498"/>
      <c r="E80" s="498"/>
      <c r="F80" s="498" t="s">
        <v>201</v>
      </c>
      <c r="G80" s="498">
        <f>COUNTIFS($B$9:$B$37,"ma",[0]!Februar,"Skema 4")</f>
        <v>0</v>
      </c>
      <c r="H80" s="498"/>
      <c r="I80" s="506"/>
      <c r="J80" s="511"/>
      <c r="K80" s="511"/>
      <c r="L80" s="511"/>
      <c r="M80" s="4"/>
      <c r="N80" s="4"/>
      <c r="O80" s="4"/>
      <c r="P80" s="4"/>
      <c r="R80">
        <f t="shared" si="38"/>
        <v>0</v>
      </c>
      <c r="V80">
        <f t="shared" si="39"/>
        <v>0</v>
      </c>
      <c r="Y80"/>
      <c r="Z80"/>
      <c r="AO80" s="1"/>
      <c r="BL80" s="1"/>
      <c r="BW80" s="248"/>
      <c r="BX80" s="248"/>
      <c r="CY80"/>
      <c r="CZ80"/>
    </row>
    <row r="81" spans="1:111" hidden="1">
      <c r="A81" s="498">
        <f>COUNTIF($C$16:$C$17,"Skema 1")+COUNTIF($C$16:$C$17,"Skema 2")+COUNTIF($C$16:$C$17,"Skema 3")+COUNTIF($C$16:$C$17,"Skema 4")+COUNTIF($C$16:$C$17,"Fagdag")+COUNTIF($C$16:$C$17,"Emnedag")+COUNTIF($C$16:$C$17,"Lejrskole")+COUNTIF($C$16:$C$17,"Ekskursion")+COUNTIF($C$16:$C$17,"Pæd.dag")</f>
        <v>0</v>
      </c>
      <c r="B81" s="498"/>
      <c r="C81" s="498"/>
      <c r="D81" s="498"/>
      <c r="E81" s="498"/>
      <c r="F81" s="498" t="s">
        <v>202</v>
      </c>
      <c r="G81" s="498">
        <f>COUNTIFS($B$9:$B$37,"ti",[0]!Februar,"Skema 4")</f>
        <v>0</v>
      </c>
      <c r="H81" s="498"/>
      <c r="I81" s="506"/>
      <c r="J81" s="511"/>
      <c r="K81" s="511"/>
      <c r="L81" s="511"/>
      <c r="M81" s="4"/>
      <c r="N81" s="4"/>
      <c r="O81" s="4"/>
      <c r="P81" s="4"/>
      <c r="R81">
        <f t="shared" si="38"/>
        <v>0</v>
      </c>
      <c r="V81">
        <f t="shared" si="39"/>
        <v>0</v>
      </c>
      <c r="Y81"/>
      <c r="Z81"/>
      <c r="AO81" s="1"/>
      <c r="BL81" s="1"/>
      <c r="BW81" s="248"/>
      <c r="BX81" s="248"/>
      <c r="CY81"/>
      <c r="CZ81"/>
    </row>
    <row r="82" spans="1:111" hidden="1">
      <c r="A82" s="498">
        <f>COUNTIF($C$23:$C$24,"Skema 1")+COUNTIF($C$23:$C$24,"Skema 2")+COUNTIF($C$23:$C$24,"Skema 3")+COUNTIF($C$23:$C$24,"Skema 4")+COUNTIF($C$23:$C$24,"Fagdag")+COUNTIF($C$23:$C$24,"Emnedag")+COUNTIF($C$23:$C$24,"Lejrskole")+COUNTIF($C$23:$C$24,"Ekskursion")+COUNTIF($C$23:$C$24,"Pæd.dag")</f>
        <v>0</v>
      </c>
      <c r="B82" s="498"/>
      <c r="C82" s="498"/>
      <c r="D82" s="498"/>
      <c r="E82" s="498"/>
      <c r="F82" s="498" t="s">
        <v>203</v>
      </c>
      <c r="G82" s="498">
        <f>COUNTIFS($B$9:$B$37,"on",[0]!Februar,"Skema 4")</f>
        <v>0</v>
      </c>
      <c r="H82" s="498"/>
      <c r="I82" s="506"/>
      <c r="J82" s="511"/>
      <c r="K82" s="511"/>
      <c r="L82" s="511"/>
      <c r="M82" s="4"/>
      <c r="N82" s="4"/>
      <c r="O82" s="4"/>
      <c r="P82" s="4"/>
      <c r="R82">
        <f t="shared" si="38"/>
        <v>0</v>
      </c>
      <c r="V82">
        <f t="shared" si="39"/>
        <v>0</v>
      </c>
      <c r="Y82"/>
      <c r="Z82"/>
      <c r="AO82" s="1"/>
      <c r="BL82" s="1"/>
      <c r="BW82" s="248"/>
      <c r="BX82" s="248"/>
      <c r="CY82"/>
      <c r="CZ82"/>
    </row>
    <row r="83" spans="1:111" hidden="1">
      <c r="A83" s="498">
        <f>COUNTIF($C$30:$C$31,"Skema 1")+COUNTIF($C$30:$C$31,"Skema 2")+COUNTIF($C$30:$C$31,"Skema 3")+COUNTIF($C$30:$C$31,"Skema 4")+COUNTIF($C$30:$C$31,"Fagdag")+COUNTIF($C$30:$C$31,"Emnedag")+COUNTIF($C$30:$C$31,"Lejrskole")+COUNTIF($C$30:$C$31,"Ekskursion")+COUNTIF($C$30:$C$31,"Pæd.dag")</f>
        <v>0</v>
      </c>
      <c r="B83" s="498"/>
      <c r="C83" s="498"/>
      <c r="D83" s="498"/>
      <c r="E83" s="498"/>
      <c r="F83" s="498" t="s">
        <v>204</v>
      </c>
      <c r="G83" s="498">
        <f>COUNTIFS($B$9:$B$37,"to",[0]!Februar,"Skema 4")</f>
        <v>0</v>
      </c>
      <c r="H83" s="498"/>
      <c r="I83" s="506"/>
      <c r="J83" s="511"/>
      <c r="K83" s="511"/>
      <c r="L83" s="511"/>
      <c r="M83" s="4"/>
      <c r="N83" s="4"/>
      <c r="O83" s="4"/>
      <c r="P83" s="4"/>
      <c r="R83">
        <f t="shared" si="38"/>
        <v>0</v>
      </c>
      <c r="V83">
        <f t="shared" si="39"/>
        <v>0</v>
      </c>
      <c r="Y83"/>
      <c r="Z83"/>
      <c r="AO83" s="1">
        <f>SUM(N83:AN83)</f>
        <v>0</v>
      </c>
      <c r="BL83" s="1">
        <f>SUM(AI83:BK83)</f>
        <v>0</v>
      </c>
      <c r="BW83" s="248"/>
      <c r="BX83" s="248"/>
      <c r="CY83"/>
      <c r="CZ83"/>
    </row>
    <row r="84" spans="1:111" hidden="1">
      <c r="A84" s="498"/>
      <c r="B84" s="498"/>
      <c r="C84" s="498"/>
      <c r="D84" s="498"/>
      <c r="E84" s="498"/>
      <c r="F84" s="498" t="s">
        <v>205</v>
      </c>
      <c r="G84" s="498">
        <f>COUNTIFS($B$9:$B$37,"fr",[0]!Februar,"Skema 4")</f>
        <v>0</v>
      </c>
      <c r="H84" s="498"/>
      <c r="I84" s="498"/>
      <c r="J84" s="501"/>
      <c r="K84" s="501"/>
      <c r="L84" s="41"/>
      <c r="R84">
        <f t="shared" si="38"/>
        <v>0</v>
      </c>
      <c r="V84">
        <f t="shared" si="39"/>
        <v>0</v>
      </c>
      <c r="Y84"/>
      <c r="Z84"/>
      <c r="AO84" s="1">
        <f>SUM(N84:AN84)</f>
        <v>0</v>
      </c>
      <c r="BL84" s="1">
        <f>SUM(AI84:BK84)</f>
        <v>0</v>
      </c>
      <c r="BW84" s="248"/>
      <c r="BX84" s="248"/>
      <c r="CY84"/>
      <c r="CZ84"/>
    </row>
    <row r="85" spans="1:111" hidden="1">
      <c r="A85" s="498">
        <f>SUM(A80:A84)</f>
        <v>0</v>
      </c>
      <c r="B85" s="498"/>
      <c r="C85" s="498"/>
      <c r="D85" s="498"/>
      <c r="E85" s="498"/>
      <c r="F85" s="498"/>
      <c r="G85" s="503">
        <f>SUM(G62:G84)</f>
        <v>14</v>
      </c>
      <c r="H85" s="501"/>
      <c r="I85" s="498"/>
      <c r="J85" s="501"/>
      <c r="K85" s="501"/>
      <c r="L85" s="41"/>
      <c r="R85">
        <f t="shared" si="38"/>
        <v>0</v>
      </c>
      <c r="V85">
        <f t="shared" si="39"/>
        <v>0</v>
      </c>
      <c r="Y85"/>
      <c r="Z85"/>
      <c r="AO85" s="1">
        <f>SUM(N85:AN85)</f>
        <v>0</v>
      </c>
      <c r="BL85" s="1">
        <f>SUM(AI85:BK85)</f>
        <v>0</v>
      </c>
      <c r="BW85" s="248"/>
      <c r="BX85" s="248"/>
      <c r="CY85"/>
      <c r="CZ85"/>
    </row>
    <row r="86" spans="1:111" hidden="1">
      <c r="A86" s="501"/>
      <c r="B86" s="501"/>
      <c r="C86" s="501"/>
      <c r="D86" s="501"/>
      <c r="E86" s="498"/>
      <c r="F86" s="498"/>
      <c r="G86" s="498"/>
      <c r="H86" s="41"/>
      <c r="I86" s="501"/>
      <c r="J86" s="501"/>
      <c r="K86" s="501"/>
      <c r="L86" s="41"/>
      <c r="R86">
        <f t="shared" si="38"/>
        <v>0</v>
      </c>
      <c r="V86">
        <f t="shared" si="39"/>
        <v>0</v>
      </c>
      <c r="Y86"/>
      <c r="Z86"/>
      <c r="AO86" s="1">
        <f>SUM(N86:AN86)</f>
        <v>0</v>
      </c>
      <c r="BL86" s="1">
        <f>SUM(AI86:BK86)</f>
        <v>0</v>
      </c>
      <c r="BW86" s="248"/>
      <c r="BX86" s="248"/>
      <c r="CY86"/>
      <c r="CZ86"/>
    </row>
    <row r="87" spans="1:111" hidden="1">
      <c r="A87" s="501"/>
      <c r="B87" s="501"/>
      <c r="C87" s="501"/>
      <c r="D87" s="501"/>
      <c r="E87" s="498"/>
      <c r="F87" s="498"/>
      <c r="G87" s="498"/>
      <c r="H87" s="41"/>
      <c r="I87" s="41"/>
      <c r="J87" s="501"/>
      <c r="K87" s="501"/>
      <c r="L87" s="41"/>
      <c r="R87">
        <f t="shared" si="38"/>
        <v>0</v>
      </c>
      <c r="V87">
        <f t="shared" si="39"/>
        <v>0</v>
      </c>
      <c r="Y87"/>
      <c r="Z87"/>
      <c r="BW87" s="248"/>
      <c r="BX87" s="248"/>
      <c r="CY87"/>
      <c r="CZ87"/>
    </row>
    <row r="88" spans="1:111" hidden="1">
      <c r="A88" s="501"/>
      <c r="B88" s="501"/>
      <c r="C88" s="501"/>
      <c r="D88" s="501"/>
      <c r="E88" s="498"/>
      <c r="F88" s="498"/>
      <c r="G88" s="498"/>
      <c r="H88" s="41"/>
      <c r="I88" s="41"/>
      <c r="J88" s="41"/>
      <c r="K88" s="41"/>
      <c r="L88" s="41"/>
      <c r="R88">
        <f t="shared" si="38"/>
        <v>0</v>
      </c>
      <c r="V88">
        <f t="shared" si="39"/>
        <v>0</v>
      </c>
      <c r="Y88"/>
      <c r="Z88"/>
      <c r="BW88" s="248"/>
      <c r="BX88" s="248"/>
      <c r="CY88"/>
      <c r="CZ88"/>
    </row>
    <row r="89" spans="1:111" hidden="1">
      <c r="A89" s="501"/>
      <c r="B89" s="501"/>
      <c r="C89" s="501"/>
      <c r="D89" s="501"/>
      <c r="E89" s="498"/>
      <c r="F89" s="498"/>
      <c r="G89" s="498"/>
      <c r="H89" s="41"/>
      <c r="I89" s="41"/>
      <c r="J89" s="41"/>
      <c r="K89" s="41"/>
      <c r="L89" s="41"/>
      <c r="R89">
        <f t="shared" si="38"/>
        <v>0</v>
      </c>
      <c r="V89">
        <f t="shared" si="39"/>
        <v>0</v>
      </c>
      <c r="Y89"/>
      <c r="Z89"/>
      <c r="BW89" s="248"/>
      <c r="BX89" s="248"/>
      <c r="CY89"/>
      <c r="CZ89"/>
    </row>
    <row r="90" spans="1:111" hidden="1">
      <c r="A90" s="501"/>
      <c r="B90" s="501"/>
      <c r="C90" s="501"/>
      <c r="D90" s="501"/>
      <c r="E90" s="498"/>
      <c r="F90" s="498"/>
      <c r="G90" s="498"/>
      <c r="I90" s="41"/>
      <c r="J90" s="41"/>
      <c r="K90" s="41"/>
      <c r="L90" s="41"/>
      <c r="R90">
        <f t="shared" si="38"/>
        <v>0</v>
      </c>
      <c r="V90">
        <f t="shared" si="39"/>
        <v>0</v>
      </c>
      <c r="Y90"/>
      <c r="Z90"/>
      <c r="BW90" s="248"/>
      <c r="BX90" s="248"/>
      <c r="CY90"/>
      <c r="CZ90"/>
    </row>
    <row r="91" spans="1:111" hidden="1">
      <c r="A91" s="501"/>
      <c r="B91" s="501"/>
      <c r="C91" s="501"/>
      <c r="D91" s="501"/>
      <c r="E91" s="498"/>
      <c r="F91" s="498"/>
      <c r="G91" s="498"/>
      <c r="I91" s="41"/>
      <c r="J91" s="41"/>
      <c r="K91" s="41"/>
      <c r="L91" s="41"/>
      <c r="R91">
        <f t="shared" si="38"/>
        <v>0</v>
      </c>
      <c r="V91">
        <f t="shared" si="39"/>
        <v>0</v>
      </c>
      <c r="Y91"/>
      <c r="Z91"/>
      <c r="BW91" s="248"/>
      <c r="BX91" s="248"/>
      <c r="CY91"/>
      <c r="CZ91"/>
    </row>
    <row r="92" spans="1:111" hidden="1">
      <c r="A92" s="501"/>
      <c r="B92" s="501"/>
      <c r="C92" s="501"/>
      <c r="D92" s="501"/>
      <c r="E92" s="498"/>
      <c r="F92" s="498"/>
      <c r="G92" s="498"/>
      <c r="I92" s="41"/>
      <c r="J92" s="41"/>
      <c r="K92" s="41"/>
      <c r="L92" s="41"/>
      <c r="R92">
        <f t="shared" si="38"/>
        <v>0</v>
      </c>
      <c r="V92">
        <f t="shared" si="39"/>
        <v>0</v>
      </c>
      <c r="Y92"/>
      <c r="Z92"/>
      <c r="AD92" s="4"/>
      <c r="AE92" s="231"/>
      <c r="AF92" s="231"/>
      <c r="AG92" s="231"/>
      <c r="AH92" s="231"/>
      <c r="CY92"/>
      <c r="CZ92"/>
      <c r="DF92" s="248"/>
      <c r="DG92" s="248"/>
    </row>
    <row r="93" spans="1:111" hidden="1">
      <c r="A93" s="501"/>
      <c r="B93" s="501"/>
      <c r="C93" s="501"/>
      <c r="D93" s="501"/>
      <c r="E93" s="498"/>
      <c r="F93" s="498"/>
      <c r="G93" s="498"/>
      <c r="I93" s="41"/>
      <c r="J93" s="41"/>
      <c r="K93" s="41"/>
      <c r="L93" s="41"/>
      <c r="R93">
        <f t="shared" si="38"/>
        <v>0</v>
      </c>
      <c r="V93">
        <f t="shared" si="39"/>
        <v>0</v>
      </c>
      <c r="Y93"/>
      <c r="Z93"/>
      <c r="AD93" s="4"/>
      <c r="AE93" s="231"/>
      <c r="AF93" s="231"/>
      <c r="AG93" s="231"/>
      <c r="AH93" s="231"/>
      <c r="CY93"/>
      <c r="CZ93"/>
      <c r="DF93" s="248"/>
      <c r="DG93" s="248"/>
    </row>
    <row r="94" spans="1:111" hidden="1">
      <c r="A94" s="501"/>
      <c r="B94" s="501"/>
      <c r="C94" s="501"/>
      <c r="D94" s="501"/>
      <c r="E94" s="498"/>
      <c r="F94" s="498"/>
      <c r="G94" s="498"/>
      <c r="I94" s="41"/>
      <c r="J94" s="41"/>
      <c r="K94" s="41"/>
      <c r="L94" s="41"/>
      <c r="R94">
        <f t="shared" si="38"/>
        <v>0</v>
      </c>
      <c r="V94">
        <f t="shared" si="39"/>
        <v>0</v>
      </c>
      <c r="Y94"/>
      <c r="Z94"/>
    </row>
    <row r="95" spans="1:111" hidden="1">
      <c r="A95" s="501"/>
      <c r="B95" s="501"/>
      <c r="C95" s="501"/>
      <c r="D95" s="501"/>
      <c r="E95" s="498"/>
      <c r="F95" s="498"/>
      <c r="G95" s="498"/>
      <c r="I95" s="41"/>
      <c r="J95" s="41"/>
      <c r="K95" s="41"/>
      <c r="L95" s="41"/>
      <c r="R95">
        <f t="shared" si="38"/>
        <v>0</v>
      </c>
      <c r="V95">
        <f t="shared" si="39"/>
        <v>0</v>
      </c>
    </row>
    <row r="96" spans="1:111" hidden="1">
      <c r="A96" s="501"/>
      <c r="B96" s="501"/>
      <c r="C96" s="501"/>
      <c r="D96" s="501"/>
      <c r="E96" s="501"/>
      <c r="F96" s="501"/>
      <c r="G96" s="501"/>
      <c r="I96" s="41"/>
      <c r="J96" s="41"/>
      <c r="K96" s="41"/>
      <c r="L96" s="41"/>
      <c r="R96">
        <f t="shared" si="38"/>
        <v>0</v>
      </c>
      <c r="V96">
        <f t="shared" si="39"/>
        <v>0</v>
      </c>
    </row>
    <row r="97" spans="9:22" hidden="1">
      <c r="I97" s="41"/>
      <c r="J97" s="41"/>
      <c r="K97" s="41"/>
      <c r="L97" s="41"/>
      <c r="R97">
        <f t="shared" si="38"/>
        <v>0</v>
      </c>
      <c r="V97">
        <f t="shared" si="39"/>
        <v>0</v>
      </c>
    </row>
    <row r="98" spans="9:22" hidden="1">
      <c r="I98" s="41"/>
      <c r="J98" s="41"/>
      <c r="K98" s="41"/>
      <c r="L98" s="445"/>
      <c r="R98">
        <f t="shared" si="38"/>
        <v>0</v>
      </c>
      <c r="V98">
        <f t="shared" si="39"/>
        <v>0</v>
      </c>
    </row>
    <row r="99" spans="9:22" hidden="1">
      <c r="I99" s="41"/>
      <c r="J99" s="41"/>
      <c r="K99" s="41"/>
      <c r="L99" s="445"/>
      <c r="R99">
        <f t="shared" si="38"/>
        <v>0</v>
      </c>
      <c r="V99">
        <f t="shared" si="39"/>
        <v>0</v>
      </c>
    </row>
    <row r="100" spans="9:22" hidden="1">
      <c r="I100" s="41"/>
      <c r="J100" s="41"/>
      <c r="K100" s="41"/>
      <c r="L100" s="445"/>
      <c r="R100">
        <f t="shared" si="38"/>
        <v>0</v>
      </c>
      <c r="V100">
        <f t="shared" si="39"/>
        <v>0</v>
      </c>
    </row>
    <row r="101" spans="9:22" hidden="1">
      <c r="I101" s="445"/>
      <c r="J101" s="41"/>
      <c r="K101" s="41"/>
      <c r="L101" s="445"/>
      <c r="R101">
        <f t="shared" si="38"/>
        <v>0</v>
      </c>
      <c r="V101">
        <f t="shared" si="39"/>
        <v>0</v>
      </c>
    </row>
    <row r="102" spans="9:22" hidden="1">
      <c r="I102" s="445"/>
      <c r="J102" s="445"/>
      <c r="K102" s="445"/>
      <c r="L102" s="445"/>
      <c r="R102">
        <f t="shared" si="38"/>
        <v>0</v>
      </c>
      <c r="V102">
        <f t="shared" si="39"/>
        <v>0</v>
      </c>
    </row>
    <row r="103" spans="9:22" ht="17" hidden="1" thickBot="1">
      <c r="I103" s="445"/>
      <c r="J103" s="445"/>
      <c r="K103" s="445"/>
      <c r="L103" s="445"/>
      <c r="R103">
        <f t="shared" si="38"/>
        <v>0</v>
      </c>
      <c r="V103">
        <f t="shared" si="39"/>
        <v>0</v>
      </c>
    </row>
    <row r="104" spans="9:22" ht="17" hidden="1" thickBot="1">
      <c r="I104" s="445"/>
      <c r="J104" s="445"/>
      <c r="K104" s="445"/>
      <c r="L104" s="445"/>
      <c r="R104" s="693">
        <f>SUM(R73:R103)+FT40</f>
        <v>0</v>
      </c>
      <c r="V104">
        <f>SUM(V73:V103)</f>
        <v>0</v>
      </c>
    </row>
    <row r="105" spans="9:22" hidden="1">
      <c r="I105" s="445"/>
      <c r="J105" s="445"/>
      <c r="K105" s="445"/>
      <c r="L105" s="445"/>
    </row>
    <row r="106" spans="9:22" hidden="1"/>
  </sheetData>
  <sheetProtection sheet="1" objects="1" scenarios="1"/>
  <mergeCells count="172">
    <mergeCell ref="A60:G60"/>
    <mergeCell ref="I60:K60"/>
    <mergeCell ref="M40:X40"/>
    <mergeCell ref="M41:U41"/>
    <mergeCell ref="V41:X41"/>
    <mergeCell ref="M42:U42"/>
    <mergeCell ref="V42:X42"/>
    <mergeCell ref="M43:U43"/>
    <mergeCell ref="V43:X43"/>
    <mergeCell ref="M44:U44"/>
    <mergeCell ref="V44:X44"/>
    <mergeCell ref="V50:X50"/>
    <mergeCell ref="A51:G52"/>
    <mergeCell ref="I51:K51"/>
    <mergeCell ref="M51:U51"/>
    <mergeCell ref="V51:X51"/>
    <mergeCell ref="I52:K52"/>
    <mergeCell ref="A53:G53"/>
    <mergeCell ref="I53:K53"/>
    <mergeCell ref="A48:H48"/>
    <mergeCell ref="I48:K48"/>
    <mergeCell ref="I49:K49"/>
    <mergeCell ref="A45:G45"/>
    <mergeCell ref="A47:H47"/>
    <mergeCell ref="A65:C65"/>
    <mergeCell ref="A63:C63"/>
    <mergeCell ref="A54:K54"/>
    <mergeCell ref="A55:B55"/>
    <mergeCell ref="C55:D55"/>
    <mergeCell ref="E55:G55"/>
    <mergeCell ref="H55:K55"/>
    <mergeCell ref="A56:B56"/>
    <mergeCell ref="C56:D56"/>
    <mergeCell ref="E56:G56"/>
    <mergeCell ref="I56:K56"/>
    <mergeCell ref="A57:B57"/>
    <mergeCell ref="C57:D57"/>
    <mergeCell ref="E57:G57"/>
    <mergeCell ref="I57:K57"/>
    <mergeCell ref="A58:B58"/>
    <mergeCell ref="A64:C64"/>
    <mergeCell ref="C58:D58"/>
    <mergeCell ref="E58:G58"/>
    <mergeCell ref="I58:K58"/>
    <mergeCell ref="A59:B59"/>
    <mergeCell ref="C59:D59"/>
    <mergeCell ref="E59:G59"/>
    <mergeCell ref="I59:K59"/>
    <mergeCell ref="I47:K47"/>
    <mergeCell ref="M50:U50"/>
    <mergeCell ref="M45:X45"/>
    <mergeCell ref="M46:U46"/>
    <mergeCell ref="V46:X46"/>
    <mergeCell ref="M47:U47"/>
    <mergeCell ref="V47:X47"/>
    <mergeCell ref="M48:U48"/>
    <mergeCell ref="V48:X48"/>
    <mergeCell ref="M49:U49"/>
    <mergeCell ref="V49:X49"/>
    <mergeCell ref="A43:G43"/>
    <mergeCell ref="I43:K43"/>
    <mergeCell ref="A44:G44"/>
    <mergeCell ref="I44:K44"/>
    <mergeCell ref="A41:G41"/>
    <mergeCell ref="I41:K41"/>
    <mergeCell ref="A42:G42"/>
    <mergeCell ref="I42:K42"/>
    <mergeCell ref="A46:H46"/>
    <mergeCell ref="I46:K46"/>
    <mergeCell ref="I45:K45"/>
    <mergeCell ref="E36:G36"/>
    <mergeCell ref="A38:I38"/>
    <mergeCell ref="A40:G40"/>
    <mergeCell ref="I40:K40"/>
    <mergeCell ref="E29:G29"/>
    <mergeCell ref="E30:G30"/>
    <mergeCell ref="E31:G31"/>
    <mergeCell ref="E33:G33"/>
    <mergeCell ref="E34:G34"/>
    <mergeCell ref="E35:G35"/>
    <mergeCell ref="E32:G32"/>
    <mergeCell ref="E37:G37"/>
    <mergeCell ref="E23:G23"/>
    <mergeCell ref="E24:G24"/>
    <mergeCell ref="E25:G25"/>
    <mergeCell ref="E26:G26"/>
    <mergeCell ref="E27:G27"/>
    <mergeCell ref="E28:G28"/>
    <mergeCell ref="E17:G17"/>
    <mergeCell ref="E18:G18"/>
    <mergeCell ref="E19:G19"/>
    <mergeCell ref="E20:G20"/>
    <mergeCell ref="E21:G21"/>
    <mergeCell ref="E22:G22"/>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V8:X8"/>
    <mergeCell ref="A3:X3"/>
    <mergeCell ref="Q6:Q7"/>
    <mergeCell ref="R6:R7"/>
    <mergeCell ref="AA6:AE6"/>
    <mergeCell ref="AG6:AK6"/>
    <mergeCell ref="E11:G11"/>
    <mergeCell ref="E12:G12"/>
    <mergeCell ref="E13:G13"/>
    <mergeCell ref="EQ8:ER8"/>
    <mergeCell ref="EG8:EI8"/>
    <mergeCell ref="EM8:EN8"/>
    <mergeCell ref="DZ8:EB8"/>
    <mergeCell ref="FK8:FL8"/>
    <mergeCell ref="FQ8:FR8"/>
    <mergeCell ref="EU8:EV8"/>
    <mergeCell ref="EY8:EZ8"/>
    <mergeCell ref="FC8:FD8"/>
    <mergeCell ref="FE6:FH6"/>
    <mergeCell ref="FG8:FH8"/>
    <mergeCell ref="B2:E2"/>
    <mergeCell ref="E4:G4"/>
    <mergeCell ref="K4:L4"/>
    <mergeCell ref="A5:R5"/>
    <mergeCell ref="A4:D4"/>
    <mergeCell ref="I8:J8"/>
    <mergeCell ref="K8:R8"/>
    <mergeCell ref="I6:I7"/>
    <mergeCell ref="J6:J7"/>
    <mergeCell ref="E6:G8"/>
    <mergeCell ref="K6:L6"/>
    <mergeCell ref="N6:N7"/>
    <mergeCell ref="O6:O7"/>
    <mergeCell ref="S5:X5"/>
    <mergeCell ref="S6:X6"/>
    <mergeCell ref="S8:U8"/>
    <mergeCell ref="DS8:DV8"/>
    <mergeCell ref="FI3:GC3"/>
    <mergeCell ref="FI4:FL4"/>
    <mergeCell ref="FO4:FR4"/>
    <mergeCell ref="FI5:FR5"/>
    <mergeCell ref="DO6:DV6"/>
    <mergeCell ref="EK6:EN6"/>
    <mergeCell ref="EO6:ER6"/>
    <mergeCell ref="FI6:FL6"/>
    <mergeCell ref="FM6:FN6"/>
    <mergeCell ref="FO6:FR6"/>
    <mergeCell ref="FS6:FT6"/>
    <mergeCell ref="FV6:FW6"/>
    <mergeCell ref="FX6:FY6"/>
    <mergeCell ref="FZ6:GA6"/>
    <mergeCell ref="GB6:GC6"/>
    <mergeCell ref="EC6:EJ6"/>
    <mergeCell ref="ES6:EV6"/>
    <mergeCell ref="EW6:EZ6"/>
    <mergeCell ref="FA6:FD6"/>
    <mergeCell ref="DW6:EB6"/>
  </mergeCells>
  <phoneticPr fontId="5" type="noConversion"/>
  <conditionalFormatting sqref="A9:H9 D10:H31 A10:C36 D32:E32 H32 D33:H36 A37:H37">
    <cfRule type="expression" dxfId="631" priority="41">
      <formula>OR($C9="ekskursion")</formula>
    </cfRule>
    <cfRule type="expression" dxfId="630" priority="47" stopIfTrue="1">
      <formula>OR($C9="Orlov")</formula>
    </cfRule>
    <cfRule type="expression" dxfId="629" priority="46">
      <formula>OR($C9="weekend")</formula>
    </cfRule>
    <cfRule type="expression" dxfId="628" priority="45">
      <formula>OR($C9="feriedag")</formula>
    </cfRule>
    <cfRule type="expression" dxfId="627" priority="44">
      <formula>OR($C9="fagdag")</formula>
    </cfRule>
    <cfRule type="expression" dxfId="626" priority="43">
      <formula>OR($C9="emnedag")</formula>
    </cfRule>
    <cfRule type="expression" dxfId="625" priority="42">
      <formula>OR($C9="lejrskole")</formula>
    </cfRule>
    <cfRule type="expression" dxfId="624" priority="40">
      <formula>OR($C9="SH-dag")</formula>
    </cfRule>
    <cfRule type="expression" dxfId="623" priority="39">
      <formula>OR($C9="nul-dag")</formula>
    </cfRule>
    <cfRule type="expression" dxfId="622" priority="38">
      <formula>OR($C9="pæd.dag")</formula>
    </cfRule>
    <cfRule type="expression" dxfId="621" priority="37">
      <formula>OR($C9="Ikke relevant")</formula>
    </cfRule>
    <cfRule type="expression" dxfId="620" priority="33">
      <formula>OR($C9="Skema 1")</formula>
    </cfRule>
    <cfRule type="expression" dxfId="619" priority="34">
      <formula>OR($C9="skema 2")</formula>
    </cfRule>
    <cfRule type="expression" dxfId="618" priority="35">
      <formula>OR($C9="Skema 3")</formula>
    </cfRule>
    <cfRule type="expression" dxfId="617" priority="36">
      <formula>OR($C9="Skema 4")</formula>
    </cfRule>
  </conditionalFormatting>
  <conditionalFormatting sqref="E20">
    <cfRule type="expression" dxfId="616" priority="49">
      <formula>OR($D19="nul-dag")</formula>
    </cfRule>
    <cfRule type="expression" dxfId="615" priority="50">
      <formula>OR($D19="SH-dag")</formula>
    </cfRule>
    <cfRule type="expression" dxfId="614" priority="51">
      <formula>OR($D19="ekskursion")</formula>
    </cfRule>
    <cfRule type="expression" dxfId="613" priority="52">
      <formula>OR($D19="lejrskole")</formula>
    </cfRule>
    <cfRule type="expression" dxfId="612" priority="48">
      <formula>OR($D19="pæd.dag")</formula>
    </cfRule>
    <cfRule type="expression" dxfId="611" priority="53">
      <formula>OR($D19="emnedag")</formula>
    </cfRule>
    <cfRule type="expression" dxfId="610" priority="54">
      <formula>OR($D19="fagdag")</formula>
    </cfRule>
    <cfRule type="expression" dxfId="609" priority="55">
      <formula>OR($D19="feriedag")</formula>
    </cfRule>
    <cfRule type="expression" dxfId="608" priority="56">
      <formula>OR($D19="weekend")</formula>
    </cfRule>
    <cfRule type="expression" dxfId="607" priority="57" stopIfTrue="1">
      <formula>OR($D19="skoledag")</formula>
    </cfRule>
    <cfRule type="expression" dxfId="606" priority="58">
      <formula>OR($D19="Ikke relevant")</formula>
    </cfRule>
  </conditionalFormatting>
  <conditionalFormatting sqref="H56:H59">
    <cfRule type="expression" dxfId="605" priority="1">
      <formula>OR($A56&gt;0,)</formula>
    </cfRule>
  </conditionalFormatting>
  <conditionalFormatting sqref="I56:I59">
    <cfRule type="expression" dxfId="604" priority="2">
      <formula>OR($C56&gt;0,)</formula>
    </cfRule>
  </conditionalFormatting>
  <conditionalFormatting sqref="K9:K37">
    <cfRule type="expression" dxfId="603" priority="30">
      <formula>OR($C9="Pæd.dag",)</formula>
    </cfRule>
  </conditionalFormatting>
  <conditionalFormatting sqref="K9:L37">
    <cfRule type="expression" dxfId="602" priority="32">
      <formula>OR($C9="Ekskursion",)</formula>
    </cfRule>
    <cfRule type="expression" dxfId="601" priority="31">
      <formula>OR($C9="Lejrskole",)</formula>
    </cfRule>
  </conditionalFormatting>
  <conditionalFormatting sqref="K9:M37">
    <cfRule type="expression" dxfId="600" priority="29">
      <formula>OR($C9="emnedag",)</formula>
    </cfRule>
    <cfRule type="expression" dxfId="599" priority="28">
      <formula>OR($C9="fagdag",)</formula>
    </cfRule>
  </conditionalFormatting>
  <conditionalFormatting sqref="R9:R37">
    <cfRule type="expression" dxfId="598" priority="59">
      <formula>OR($H9&gt;"0",)</formula>
    </cfRule>
  </conditionalFormatting>
  <conditionalFormatting sqref="V9:V37">
    <cfRule type="expression" dxfId="597" priority="10">
      <formula>OR($S9="X",)</formula>
    </cfRule>
  </conditionalFormatting>
  <conditionalFormatting sqref="V47:X50">
    <cfRule type="expression" dxfId="596" priority="3">
      <formula>OR($M47&gt;0,)</formula>
    </cfRule>
  </conditionalFormatting>
  <conditionalFormatting sqref="W9:W37">
    <cfRule type="expression" dxfId="595" priority="8">
      <formula>OR($T9="x",)</formula>
    </cfRule>
  </conditionalFormatting>
  <conditionalFormatting sqref="X9:X37">
    <cfRule type="expression" dxfId="594" priority="9">
      <formula>OR($U9="X",)</formula>
    </cfRule>
  </conditionalFormatting>
  <dataValidations count="3">
    <dataValidation type="list" allowBlank="1" showInputMessage="1" showErrorMessage="1" sqref="S9:U38 A56:D59" xr:uid="{CCDC5417-EBBC-2A45-8AED-7B140D5306A6}">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30:I31 I16:I17 I23:I24 I9:I10" xr:uid="{39997E05-64E9-2E48-A8E7-636E6923A047}">
      <formula1>$W$1:$W$2</formula1>
    </dataValidation>
    <dataValidation type="list" allowBlank="1" showInputMessage="1" showErrorMessage="1" promptTitle="OBS:" prompt="Ved arrangementer med overnatning ydes istedet for ulempe- og weekendgodtgørelse på hhv. 25% og 50% faste tillæg pr. påbegyndt dag. " sqref="J9:J37" xr:uid="{DC11B7B6-EE68-8E49-8E02-43780E361383}">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0F761ACF-C47A-7941-B1E3-D6106BAB2CE1}">
          <x14:formula1>
            <xm:f>August!$A$89:$A$103</xm:f>
          </x14:formula1>
          <xm:sqref>C9:C37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E450-DFF4-1A4A-81A3-EBD61589D042}">
  <sheetPr>
    <tabColor theme="4" tint="-0.249977111117893"/>
    <pageSetUpPr fitToPage="1"/>
  </sheetPr>
  <dimension ref="A1:GC107"/>
  <sheetViews>
    <sheetView topLeftCell="A7" zoomScale="90" workbookViewId="0">
      <selection activeCell="J23" sqref="J23"/>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1" hidden="1" customWidth="1"/>
    <col min="26" max="26" width="7" style="231"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8" hidden="1" customWidth="1"/>
    <col min="105" max="118" width="10.83203125" hidden="1" customWidth="1"/>
    <col min="119" max="185" width="0" hidden="1" customWidth="1"/>
  </cols>
  <sheetData>
    <row r="1" spans="1:185" ht="16" customHeight="1">
      <c r="A1" s="93"/>
      <c r="B1" s="90"/>
      <c r="C1" s="90"/>
      <c r="D1" s="90"/>
      <c r="E1" s="90"/>
      <c r="F1" s="90"/>
      <c r="G1" s="90"/>
      <c r="H1" s="279"/>
      <c r="I1" s="278"/>
      <c r="J1" s="90"/>
      <c r="K1" s="230"/>
      <c r="L1" s="230"/>
      <c r="M1" s="230"/>
      <c r="N1" s="230"/>
      <c r="O1" s="230"/>
      <c r="P1" s="90"/>
      <c r="Q1" s="90"/>
      <c r="R1" s="90"/>
      <c r="S1" s="90"/>
      <c r="T1" s="90"/>
      <c r="U1" s="90"/>
      <c r="V1" s="90"/>
      <c r="W1" s="90"/>
      <c r="X1" s="41"/>
      <c r="Y1" s="246"/>
      <c r="Z1" s="90"/>
      <c r="AB1" s="90"/>
      <c r="AC1" s="90"/>
      <c r="AH1" s="90"/>
      <c r="AI1" s="90"/>
      <c r="CX1" s="248"/>
      <c r="CZ1"/>
    </row>
    <row r="2" spans="1:185" ht="21" thickBot="1">
      <c r="A2" s="92">
        <v>3</v>
      </c>
      <c r="B2" s="1086"/>
      <c r="C2" s="1086"/>
      <c r="D2" s="1086"/>
      <c r="E2" s="1086"/>
      <c r="F2" s="90"/>
      <c r="G2" s="90"/>
      <c r="H2" s="279"/>
      <c r="I2" s="278"/>
      <c r="J2" s="230"/>
      <c r="K2" s="230"/>
      <c r="L2" s="230"/>
      <c r="M2" s="230"/>
      <c r="N2" s="230"/>
      <c r="O2" s="230"/>
      <c r="P2" s="90"/>
      <c r="Q2" s="90"/>
      <c r="R2" s="90"/>
      <c r="S2" s="90"/>
      <c r="T2" s="90"/>
      <c r="U2" s="90"/>
      <c r="V2" s="90"/>
      <c r="W2" s="123" t="s">
        <v>31</v>
      </c>
      <c r="X2" s="123" t="s">
        <v>31</v>
      </c>
      <c r="Y2"/>
      <c r="Z2" s="90"/>
      <c r="AB2" s="90"/>
      <c r="AC2" s="90"/>
      <c r="AH2" s="90"/>
      <c r="AI2" s="90"/>
      <c r="CX2" s="248"/>
      <c r="CZ2"/>
    </row>
    <row r="3" spans="1:185" ht="17" thickBot="1">
      <c r="A3" s="1115" t="s">
        <v>310</v>
      </c>
      <c r="B3" s="1116"/>
      <c r="C3" s="1116"/>
      <c r="D3" s="1116"/>
      <c r="E3" s="1116"/>
      <c r="F3" s="1116"/>
      <c r="G3" s="1116"/>
      <c r="H3" s="1116"/>
      <c r="I3" s="1116"/>
      <c r="J3" s="1116"/>
      <c r="K3" s="1116"/>
      <c r="L3" s="1116"/>
      <c r="M3" s="1116"/>
      <c r="N3" s="1116"/>
      <c r="O3" s="1116"/>
      <c r="P3" s="1116"/>
      <c r="Q3" s="1116"/>
      <c r="R3" s="1116"/>
      <c r="S3" s="1116"/>
      <c r="T3" s="1116"/>
      <c r="U3" s="1116"/>
      <c r="V3" s="1116"/>
      <c r="W3" s="1116"/>
      <c r="X3" s="1117"/>
      <c r="Y3"/>
      <c r="Z3"/>
      <c r="AB3" s="90"/>
      <c r="AC3" s="90"/>
      <c r="AF3" s="90"/>
      <c r="CS3" s="248"/>
      <c r="CT3" s="248"/>
      <c r="CY3"/>
      <c r="CZ3"/>
      <c r="FI3" s="878" t="s">
        <v>636</v>
      </c>
      <c r="FJ3" s="879"/>
      <c r="FK3" s="879"/>
      <c r="FL3" s="879"/>
      <c r="FM3" s="879"/>
      <c r="FN3" s="879"/>
      <c r="FO3" s="879"/>
      <c r="FP3" s="879"/>
      <c r="FQ3" s="879"/>
      <c r="FR3" s="879"/>
      <c r="FS3" s="879"/>
      <c r="FT3" s="879"/>
      <c r="FU3" s="879"/>
      <c r="FV3" s="879"/>
      <c r="FW3" s="879"/>
      <c r="FX3" s="879"/>
      <c r="FY3" s="879"/>
      <c r="FZ3" s="879"/>
      <c r="GA3" s="879"/>
      <c r="GB3" s="879"/>
      <c r="GC3" s="880"/>
    </row>
    <row r="4" spans="1:185" ht="254" customHeight="1" thickBot="1">
      <c r="A4" s="915" t="s">
        <v>432</v>
      </c>
      <c r="B4" s="916"/>
      <c r="C4" s="916"/>
      <c r="D4" s="916"/>
      <c r="E4" s="920" t="s">
        <v>311</v>
      </c>
      <c r="F4" s="920"/>
      <c r="G4" s="920"/>
      <c r="H4" s="280" t="s">
        <v>414</v>
      </c>
      <c r="I4" s="438" t="s">
        <v>467</v>
      </c>
      <c r="J4" s="438" t="s">
        <v>468</v>
      </c>
      <c r="K4" s="931" t="s">
        <v>515</v>
      </c>
      <c r="L4" s="931"/>
      <c r="M4" s="486" t="s">
        <v>457</v>
      </c>
      <c r="N4" s="486" t="s">
        <v>433</v>
      </c>
      <c r="O4" s="486" t="s">
        <v>434</v>
      </c>
      <c r="P4" s="487" t="s">
        <v>458</v>
      </c>
      <c r="Q4" s="487" t="s">
        <v>309</v>
      </c>
      <c r="R4" s="487" t="s">
        <v>435</v>
      </c>
      <c r="S4" s="488" t="s">
        <v>465</v>
      </c>
      <c r="T4" s="488" t="s">
        <v>436</v>
      </c>
      <c r="U4" s="488" t="s">
        <v>437</v>
      </c>
      <c r="V4" s="489" t="s">
        <v>459</v>
      </c>
      <c r="W4" s="489" t="s">
        <v>400</v>
      </c>
      <c r="X4" s="490" t="s">
        <v>399</v>
      </c>
      <c r="Y4" s="246"/>
      <c r="Z4" s="90"/>
      <c r="AB4" s="90"/>
      <c r="AC4" s="90"/>
      <c r="AH4" s="90"/>
      <c r="AI4" s="90"/>
      <c r="CX4" s="248"/>
      <c r="CZ4"/>
      <c r="FI4" s="730" t="s">
        <v>634</v>
      </c>
      <c r="FJ4" s="730"/>
      <c r="FK4" s="730"/>
      <c r="FL4" s="730"/>
      <c r="FM4" t="s">
        <v>627</v>
      </c>
      <c r="FO4" s="730" t="s">
        <v>633</v>
      </c>
      <c r="FP4" s="730"/>
      <c r="FQ4" s="730"/>
      <c r="FR4" s="730"/>
    </row>
    <row r="5" spans="1:185" ht="26" customHeight="1" thickBot="1">
      <c r="A5" s="932" t="str">
        <f>""&amp;A7&amp;" måneds kalender for: "&amp;Stamoplysninger!E8&amp;". Måneden vedr. normperioden: "&amp;Stamoplysninger!E11&amp;" - "&amp;Stamoplysninger!G11&amp;"."</f>
        <v>Marts måneds kalender for: Beate Simonsen. Måneden vedr. normperioden: 01.08.2024 - 31.07.2025.</v>
      </c>
      <c r="B5" s="933"/>
      <c r="C5" s="933"/>
      <c r="D5" s="933"/>
      <c r="E5" s="933"/>
      <c r="F5" s="933"/>
      <c r="G5" s="933"/>
      <c r="H5" s="933"/>
      <c r="I5" s="933"/>
      <c r="J5" s="933"/>
      <c r="K5" s="933"/>
      <c r="L5" s="933"/>
      <c r="M5" s="933"/>
      <c r="N5" s="933"/>
      <c r="O5" s="933"/>
      <c r="P5" s="933"/>
      <c r="Q5" s="933"/>
      <c r="R5" s="933"/>
      <c r="S5" s="925" t="s">
        <v>306</v>
      </c>
      <c r="T5" s="926"/>
      <c r="U5" s="926"/>
      <c r="V5" s="926"/>
      <c r="W5" s="926"/>
      <c r="X5" s="927"/>
      <c r="Y5" s="246"/>
      <c r="Z5" s="90"/>
      <c r="AB5" s="90"/>
      <c r="AC5" s="90"/>
      <c r="AH5" s="90"/>
      <c r="AI5" s="90"/>
      <c r="CX5" s="248"/>
      <c r="CZ5"/>
      <c r="FI5" s="881" t="s">
        <v>620</v>
      </c>
      <c r="FJ5" s="881"/>
      <c r="FK5" s="881"/>
      <c r="FL5" s="881"/>
      <c r="FM5" s="881"/>
      <c r="FN5" s="881"/>
      <c r="FO5" s="881"/>
      <c r="FP5" s="881"/>
      <c r="FQ5" s="881"/>
      <c r="FR5" s="881"/>
      <c r="FU5" t="s">
        <v>635</v>
      </c>
      <c r="FV5" t="s">
        <v>628</v>
      </c>
      <c r="FX5" t="s">
        <v>629</v>
      </c>
      <c r="FZ5" t="s">
        <v>630</v>
      </c>
      <c r="GB5" s="526" t="s">
        <v>631</v>
      </c>
    </row>
    <row r="6" spans="1:185" ht="47" customHeight="1">
      <c r="A6" s="329">
        <f>Januar!A6</f>
        <v>2025</v>
      </c>
      <c r="B6" s="242"/>
      <c r="C6" s="243"/>
      <c r="D6" s="244"/>
      <c r="E6" s="940" t="s">
        <v>471</v>
      </c>
      <c r="F6" s="941"/>
      <c r="G6" s="942"/>
      <c r="H6" s="326" t="s">
        <v>324</v>
      </c>
      <c r="I6" s="888" t="s">
        <v>466</v>
      </c>
      <c r="J6" s="938" t="s">
        <v>487</v>
      </c>
      <c r="K6" s="934" t="s">
        <v>303</v>
      </c>
      <c r="L6" s="935"/>
      <c r="M6" s="327" t="s">
        <v>304</v>
      </c>
      <c r="N6" s="888" t="s">
        <v>447</v>
      </c>
      <c r="O6" s="888" t="s">
        <v>308</v>
      </c>
      <c r="P6" s="888" t="s">
        <v>456</v>
      </c>
      <c r="Q6" s="888" t="s">
        <v>387</v>
      </c>
      <c r="R6" s="891" t="s">
        <v>516</v>
      </c>
      <c r="S6" s="953" t="s">
        <v>305</v>
      </c>
      <c r="T6" s="954"/>
      <c r="U6" s="954"/>
      <c r="V6" s="954"/>
      <c r="W6" s="954"/>
      <c r="X6" s="955"/>
      <c r="Y6" s="212"/>
      <c r="Z6" s="212"/>
      <c r="AA6" s="890" t="s">
        <v>261</v>
      </c>
      <c r="AB6" s="890"/>
      <c r="AC6" s="890"/>
      <c r="AD6" s="890"/>
      <c r="AE6" s="890"/>
      <c r="AF6" s="209"/>
      <c r="AG6" s="890" t="s">
        <v>222</v>
      </c>
      <c r="AH6" s="890"/>
      <c r="AI6" s="890"/>
      <c r="AJ6" s="890"/>
      <c r="AK6" s="890"/>
      <c r="AL6" s="890" t="s">
        <v>223</v>
      </c>
      <c r="AM6" s="890"/>
      <c r="AN6" s="890"/>
      <c r="AO6" s="890"/>
      <c r="AP6" s="890"/>
      <c r="AQ6" s="890" t="s">
        <v>224</v>
      </c>
      <c r="AR6" s="890"/>
      <c r="AS6" s="890"/>
      <c r="AT6" s="890"/>
      <c r="AU6" s="890"/>
      <c r="AV6" s="890" t="s">
        <v>225</v>
      </c>
      <c r="AW6" s="890"/>
      <c r="AX6" s="890"/>
      <c r="AY6" s="890"/>
      <c r="AZ6" s="890"/>
      <c r="BA6" s="299"/>
      <c r="BB6" s="209"/>
      <c r="BC6" s="890" t="s">
        <v>264</v>
      </c>
      <c r="BD6" s="890"/>
      <c r="BE6" s="890"/>
      <c r="BF6" s="890"/>
      <c r="BG6" s="890" t="s">
        <v>227</v>
      </c>
      <c r="BH6" s="890"/>
      <c r="BI6" s="890"/>
      <c r="BJ6" s="890"/>
      <c r="BK6" s="890"/>
      <c r="BL6" s="890" t="s">
        <v>228</v>
      </c>
      <c r="BM6" s="890"/>
      <c r="BN6" s="890"/>
      <c r="BO6" s="890"/>
      <c r="BP6" s="890"/>
      <c r="BQ6" s="890" t="s">
        <v>229</v>
      </c>
      <c r="BR6" s="890"/>
      <c r="BS6" s="890"/>
      <c r="BT6" s="890"/>
      <c r="BU6" s="890"/>
      <c r="BV6" s="890" t="s">
        <v>230</v>
      </c>
      <c r="BW6" s="890"/>
      <c r="BX6" s="890"/>
      <c r="BY6" s="890"/>
      <c r="BZ6" s="890"/>
      <c r="CD6" s="890" t="s">
        <v>265</v>
      </c>
      <c r="CE6" s="890"/>
      <c r="CF6" s="890"/>
      <c r="CG6" s="890"/>
      <c r="CH6" s="890"/>
      <c r="CI6" s="890" t="s">
        <v>267</v>
      </c>
      <c r="CJ6" s="890"/>
      <c r="CK6" s="890"/>
      <c r="CL6" s="890"/>
      <c r="CM6" s="890"/>
      <c r="CN6" s="890" t="s">
        <v>266</v>
      </c>
      <c r="CO6" s="890"/>
      <c r="CP6" s="890"/>
      <c r="CQ6" s="890"/>
      <c r="CR6" s="890"/>
      <c r="CS6" s="890" t="s">
        <v>268</v>
      </c>
      <c r="CT6" s="890"/>
      <c r="CU6" s="890"/>
      <c r="CV6" s="890"/>
      <c r="CW6" s="890"/>
      <c r="CX6" s="248"/>
      <c r="CZ6"/>
      <c r="DA6" s="730" t="s">
        <v>212</v>
      </c>
      <c r="DB6" s="730"/>
      <c r="DC6" s="730"/>
      <c r="DD6" s="730"/>
      <c r="DE6" s="730"/>
      <c r="DO6" s="1049" t="s">
        <v>320</v>
      </c>
      <c r="DP6" s="1050"/>
      <c r="DQ6" s="1050"/>
      <c r="DR6" s="1050"/>
      <c r="DS6" s="1050"/>
      <c r="DT6" s="1050"/>
      <c r="DU6" s="1050"/>
      <c r="DV6" s="1051"/>
      <c r="DW6" s="1052" t="s">
        <v>320</v>
      </c>
      <c r="DX6" s="1053"/>
      <c r="DY6" s="1053"/>
      <c r="DZ6" s="1053"/>
      <c r="EA6" s="1053"/>
      <c r="EB6" s="1054"/>
      <c r="EC6" s="1055" t="s">
        <v>376</v>
      </c>
      <c r="ED6" s="1056"/>
      <c r="EE6" s="1056"/>
      <c r="EF6" s="1056"/>
      <c r="EG6" s="1056"/>
      <c r="EH6" s="1056"/>
      <c r="EI6" s="1056"/>
      <c r="EJ6" s="1057"/>
      <c r="EK6" s="1058" t="s">
        <v>321</v>
      </c>
      <c r="EL6" s="1059"/>
      <c r="EM6" s="1059"/>
      <c r="EN6" s="1060"/>
      <c r="EO6" s="1058" t="s">
        <v>325</v>
      </c>
      <c r="EP6" s="1059"/>
      <c r="EQ6" s="1059"/>
      <c r="ER6" s="1060"/>
      <c r="ES6" s="873" t="s">
        <v>379</v>
      </c>
      <c r="ET6" s="874"/>
      <c r="EU6" s="874"/>
      <c r="EV6" s="875"/>
      <c r="EW6" s="873" t="s">
        <v>380</v>
      </c>
      <c r="EX6" s="874"/>
      <c r="EY6" s="874"/>
      <c r="EZ6" s="875"/>
      <c r="FA6" s="873" t="s">
        <v>381</v>
      </c>
      <c r="FB6" s="874"/>
      <c r="FC6" s="874"/>
      <c r="FD6" s="875"/>
      <c r="FE6" s="873" t="s">
        <v>382</v>
      </c>
      <c r="FF6" s="874"/>
      <c r="FG6" s="874"/>
      <c r="FH6" s="875"/>
      <c r="FI6" s="883" t="s">
        <v>605</v>
      </c>
      <c r="FJ6" s="884"/>
      <c r="FK6" s="884"/>
      <c r="FL6" s="1061"/>
      <c r="FM6" s="882" t="s">
        <v>381</v>
      </c>
      <c r="FN6" s="882"/>
      <c r="FO6" s="883" t="s">
        <v>632</v>
      </c>
      <c r="FP6" s="884"/>
      <c r="FQ6" s="884"/>
      <c r="FR6" s="885"/>
      <c r="FS6" s="886" t="s">
        <v>622</v>
      </c>
      <c r="FT6" s="887"/>
      <c r="FU6" t="s">
        <v>625</v>
      </c>
      <c r="FV6" s="882" t="s">
        <v>379</v>
      </c>
      <c r="FW6" s="882"/>
      <c r="FX6" s="882" t="s">
        <v>380</v>
      </c>
      <c r="FY6" s="882"/>
      <c r="FZ6" s="882" t="s">
        <v>382</v>
      </c>
      <c r="GA6" s="882"/>
      <c r="GB6" s="882" t="s">
        <v>378</v>
      </c>
      <c r="GC6" s="882"/>
    </row>
    <row r="7" spans="1:185" ht="199" customHeight="1">
      <c r="A7" s="997" t="s">
        <v>285</v>
      </c>
      <c r="B7" s="998"/>
      <c r="C7" s="998"/>
      <c r="D7" s="999"/>
      <c r="E7" s="943"/>
      <c r="F7" s="944"/>
      <c r="G7" s="945"/>
      <c r="H7" s="952" t="s">
        <v>486</v>
      </c>
      <c r="I7" s="937"/>
      <c r="J7" s="939"/>
      <c r="K7" s="328" t="s">
        <v>517</v>
      </c>
      <c r="L7" s="328" t="s">
        <v>518</v>
      </c>
      <c r="M7" s="328" t="s">
        <v>519</v>
      </c>
      <c r="N7" s="889"/>
      <c r="O7" s="889"/>
      <c r="P7" s="889"/>
      <c r="Q7" s="889"/>
      <c r="R7" s="892"/>
      <c r="S7" s="492" t="s">
        <v>738</v>
      </c>
      <c r="T7" s="327" t="s">
        <v>307</v>
      </c>
      <c r="U7" s="327" t="s">
        <v>401</v>
      </c>
      <c r="V7" s="443" t="s">
        <v>439</v>
      </c>
      <c r="W7" s="443" t="s">
        <v>438</v>
      </c>
      <c r="X7" s="444" t="s">
        <v>398</v>
      </c>
      <c r="Y7" s="212" t="s">
        <v>279</v>
      </c>
      <c r="Z7" s="212" t="s">
        <v>280</v>
      </c>
      <c r="AA7" s="300" t="s">
        <v>211</v>
      </c>
      <c r="AB7" t="s">
        <v>136</v>
      </c>
      <c r="AC7" t="s">
        <v>139</v>
      </c>
      <c r="AD7" t="s">
        <v>138</v>
      </c>
      <c r="AE7" t="s">
        <v>137</v>
      </c>
      <c r="AF7" t="s">
        <v>416</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8"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2" t="s">
        <v>231</v>
      </c>
      <c r="CB7" s="234" t="s">
        <v>251</v>
      </c>
      <c r="CC7" s="300"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8" t="s">
        <v>277</v>
      </c>
      <c r="CY7" s="248" t="s">
        <v>269</v>
      </c>
      <c r="CZ7" s="248" t="s">
        <v>270</v>
      </c>
      <c r="DA7" s="248" t="s">
        <v>271</v>
      </c>
      <c r="DB7" s="248" t="s">
        <v>272</v>
      </c>
      <c r="DC7" s="248" t="s">
        <v>273</v>
      </c>
      <c r="DD7" s="248" t="s">
        <v>274</v>
      </c>
      <c r="DE7" s="248" t="s">
        <v>275</v>
      </c>
      <c r="DF7" s="248" t="s">
        <v>276</v>
      </c>
      <c r="DG7" s="248"/>
      <c r="DO7" s="649" t="s">
        <v>720</v>
      </c>
      <c r="DP7" s="300" t="s">
        <v>721</v>
      </c>
      <c r="DQ7" s="703" t="s">
        <v>725</v>
      </c>
      <c r="DR7" s="703" t="s">
        <v>722</v>
      </c>
      <c r="DS7" s="650" t="s">
        <v>727</v>
      </c>
      <c r="DT7" s="650" t="str">
        <f>DP7</f>
        <v>Ulempetillæg på weekenddage - kræver der er sat kryds i weekendarbejde. KOLONNE I</v>
      </c>
      <c r="DU7" s="705" t="s">
        <v>728</v>
      </c>
      <c r="DV7" s="704" t="str">
        <f>DR7</f>
        <v>Ulempetillæg ændringer på weekenddage. Kræver der er sat kryds i ændring i timetal og at det er en weekeend. KOLONNE I OG S</v>
      </c>
      <c r="DW7" s="649" t="s">
        <v>598</v>
      </c>
      <c r="DX7" s="300" t="s">
        <v>596</v>
      </c>
      <c r="DY7" s="300" t="s">
        <v>597</v>
      </c>
      <c r="DZ7" s="650" t="str">
        <f>DW7</f>
        <v>17-06 timer til udbetaling inkl. ændringer 17-06</v>
      </c>
      <c r="EA7" s="650" t="str">
        <f>DX7</f>
        <v>Ulempetillæg på weekenddage</v>
      </c>
      <c r="EB7" s="651" t="str">
        <f>DY7</f>
        <v>Ulempetillæg ændringer på weekenddage</v>
      </c>
      <c r="EC7" s="706" t="s">
        <v>723</v>
      </c>
      <c r="ED7" s="703" t="s">
        <v>724</v>
      </c>
      <c r="EE7" s="703" t="s">
        <v>726</v>
      </c>
      <c r="EF7" s="703" t="s">
        <v>722</v>
      </c>
      <c r="EG7" s="650" t="s">
        <v>727</v>
      </c>
      <c r="EH7" s="705" t="str">
        <f>ED7</f>
        <v>Ulempetillæg på weekenddage til afspadsering. Kræver der er sat kryds i weekendarb. KOLONNE I</v>
      </c>
      <c r="EI7" s="705" t="s">
        <v>728</v>
      </c>
      <c r="EJ7" s="704" t="str">
        <f>EF7</f>
        <v>Ulempetillæg ændringer på weekenddage. Kræver der er sat kryds i ændring i timetal og at det er en weekeend. KOLONNE I OG S</v>
      </c>
      <c r="EK7" s="656" t="s">
        <v>730</v>
      </c>
      <c r="EL7" s="654" t="s">
        <v>729</v>
      </c>
      <c r="EM7" s="655" t="s">
        <v>733</v>
      </c>
      <c r="EN7" s="657" t="s">
        <v>732</v>
      </c>
      <c r="EO7" s="656" t="s">
        <v>730</v>
      </c>
      <c r="EP7" s="654" t="s">
        <v>729</v>
      </c>
      <c r="EQ7" s="655" t="s">
        <v>733</v>
      </c>
      <c r="ER7" s="657" t="s">
        <v>732</v>
      </c>
      <c r="ES7" s="656" t="s">
        <v>734</v>
      </c>
      <c r="ET7" s="654" t="s">
        <v>735</v>
      </c>
      <c r="EU7" s="655" t="s">
        <v>731</v>
      </c>
      <c r="EV7" s="657" t="s">
        <v>736</v>
      </c>
      <c r="EW7" s="656" t="s">
        <v>734</v>
      </c>
      <c r="EX7" s="654" t="s">
        <v>735</v>
      </c>
      <c r="EY7" s="655" t="s">
        <v>731</v>
      </c>
      <c r="EZ7" s="657" t="s">
        <v>736</v>
      </c>
      <c r="FA7" s="656" t="s">
        <v>737</v>
      </c>
      <c r="FB7" s="654" t="s">
        <v>735</v>
      </c>
      <c r="FC7" s="655" t="s">
        <v>731</v>
      </c>
      <c r="FD7" s="657" t="s">
        <v>736</v>
      </c>
      <c r="FE7" s="656" t="str">
        <f>FA7</f>
        <v>Weekendtimer på weekenddage</v>
      </c>
      <c r="FF7" s="654" t="s">
        <v>735</v>
      </c>
      <c r="FG7" s="655" t="s">
        <v>731</v>
      </c>
      <c r="FH7" s="657" t="s">
        <v>736</v>
      </c>
      <c r="FI7" s="682" t="s">
        <v>619</v>
      </c>
      <c r="FJ7" s="654" t="s">
        <v>600</v>
      </c>
      <c r="FK7" s="682" t="s">
        <v>619</v>
      </c>
      <c r="FL7" s="657" t="s">
        <v>600</v>
      </c>
      <c r="FM7" s="683" t="s">
        <v>613</v>
      </c>
      <c r="FN7" s="684" t="s">
        <v>614</v>
      </c>
      <c r="FO7" s="682" t="s">
        <v>599</v>
      </c>
      <c r="FP7" s="654" t="s">
        <v>600</v>
      </c>
      <c r="FQ7" s="686" t="s">
        <v>599</v>
      </c>
      <c r="FR7" s="687" t="s">
        <v>600</v>
      </c>
      <c r="FS7" s="691" t="s">
        <v>621</v>
      </c>
      <c r="FT7" s="684" t="s">
        <v>621</v>
      </c>
      <c r="FU7" s="300" t="s">
        <v>624</v>
      </c>
      <c r="FV7" s="683" t="s">
        <v>626</v>
      </c>
      <c r="FW7" s="683" t="s">
        <v>626</v>
      </c>
      <c r="FX7" s="683" t="s">
        <v>626</v>
      </c>
      <c r="FY7" s="683" t="s">
        <v>626</v>
      </c>
      <c r="FZ7" s="683" t="s">
        <v>615</v>
      </c>
      <c r="GA7" s="684" t="s">
        <v>616</v>
      </c>
      <c r="GB7" s="683" t="s">
        <v>615</v>
      </c>
      <c r="GC7" s="684" t="s">
        <v>616</v>
      </c>
    </row>
    <row r="8" spans="1:185" ht="20" customHeight="1">
      <c r="A8" s="1000"/>
      <c r="B8" s="1001"/>
      <c r="C8" s="1001"/>
      <c r="D8" s="1002"/>
      <c r="E8" s="946"/>
      <c r="F8" s="947"/>
      <c r="G8" s="948"/>
      <c r="H8" s="889"/>
      <c r="I8" s="928" t="s">
        <v>383</v>
      </c>
      <c r="J8" s="936"/>
      <c r="K8" s="928" t="s">
        <v>326</v>
      </c>
      <c r="L8" s="929"/>
      <c r="M8" s="929"/>
      <c r="N8" s="929"/>
      <c r="O8" s="929"/>
      <c r="P8" s="929"/>
      <c r="Q8" s="929"/>
      <c r="R8" s="929"/>
      <c r="S8" s="956" t="s">
        <v>383</v>
      </c>
      <c r="T8" s="929"/>
      <c r="U8" s="936"/>
      <c r="V8" s="928" t="s">
        <v>384</v>
      </c>
      <c r="W8" s="929"/>
      <c r="X8" s="930"/>
      <c r="Y8" s="212"/>
      <c r="Z8" s="212"/>
      <c r="AA8" s="300"/>
      <c r="BB8" s="228"/>
      <c r="CA8" s="112"/>
      <c r="CB8" s="234"/>
      <c r="CC8" s="300"/>
      <c r="CX8" s="248"/>
      <c r="DA8" s="248"/>
      <c r="DB8" s="248"/>
      <c r="DC8" s="248"/>
      <c r="DD8" s="248"/>
      <c r="DE8" s="248"/>
      <c r="DF8" s="248"/>
      <c r="DG8" s="248"/>
      <c r="DH8" t="s">
        <v>493</v>
      </c>
      <c r="DI8" t="s">
        <v>494</v>
      </c>
      <c r="DJ8" t="s">
        <v>495</v>
      </c>
      <c r="DO8" s="652"/>
      <c r="DS8" s="1063" t="s">
        <v>162</v>
      </c>
      <c r="DT8" s="1063"/>
      <c r="DU8" s="1063"/>
      <c r="DV8" s="1064"/>
      <c r="DW8" s="652"/>
      <c r="DZ8" s="1065" t="s">
        <v>162</v>
      </c>
      <c r="EA8" s="1065"/>
      <c r="EB8" s="1066"/>
      <c r="EG8" s="1065" t="s">
        <v>162</v>
      </c>
      <c r="EH8" s="1065"/>
      <c r="EI8" s="1065"/>
      <c r="EJ8" s="653"/>
      <c r="EK8" s="283"/>
      <c r="EL8" s="251"/>
      <c r="EM8" s="876" t="s">
        <v>162</v>
      </c>
      <c r="EN8" s="877"/>
      <c r="EO8" s="283"/>
      <c r="EP8" s="251"/>
      <c r="EQ8" s="876" t="s">
        <v>162</v>
      </c>
      <c r="ER8" s="877"/>
      <c r="ES8" s="283"/>
      <c r="ET8" s="251"/>
      <c r="EU8" s="876" t="s">
        <v>162</v>
      </c>
      <c r="EV8" s="877"/>
      <c r="EW8" s="283"/>
      <c r="EX8" s="251"/>
      <c r="EY8" s="876" t="s">
        <v>162</v>
      </c>
      <c r="EZ8" s="877"/>
      <c r="FA8" s="283"/>
      <c r="FB8" s="251"/>
      <c r="FC8" s="876" t="s">
        <v>162</v>
      </c>
      <c r="FD8" s="877"/>
      <c r="FE8" s="283"/>
      <c r="FF8" s="251"/>
      <c r="FG8" s="876" t="s">
        <v>162</v>
      </c>
      <c r="FH8" s="877"/>
      <c r="FI8" s="283"/>
      <c r="FJ8" s="251"/>
      <c r="FK8" s="876" t="s">
        <v>162</v>
      </c>
      <c r="FL8" s="877"/>
      <c r="FN8" s="645" t="s">
        <v>160</v>
      </c>
      <c r="FO8" s="283"/>
      <c r="FP8" s="251"/>
      <c r="FQ8" s="876" t="s">
        <v>162</v>
      </c>
      <c r="FR8" s="1062"/>
      <c r="FS8" s="283"/>
      <c r="FT8" s="692" t="s">
        <v>160</v>
      </c>
      <c r="FW8" s="645" t="s">
        <v>160</v>
      </c>
      <c r="FY8" s="645" t="s">
        <v>160</v>
      </c>
      <c r="GA8" s="645" t="s">
        <v>160</v>
      </c>
      <c r="GC8" s="645" t="s">
        <v>160</v>
      </c>
    </row>
    <row r="9" spans="1:185">
      <c r="A9" s="245">
        <f>IF(ISNUMBER(A7),A7+1,1)</f>
        <v>1</v>
      </c>
      <c r="B9" s="128" t="str">
        <f t="shared" ref="B9:B39" si="0">CHOOSE(MOD(WEEKDAY(DATE(A$6,A$2,A9)),7)+1,"lø","sø","ma","ti","on","to","fr",)</f>
        <v>lø</v>
      </c>
      <c r="C9" s="129" t="s">
        <v>120</v>
      </c>
      <c r="D9" s="130" t="str">
        <f t="shared" ref="D9:D39" si="1">IF(B9="ma",(DATE(A$6,A$2,A9)-DATE(A$6,1,1)+7)/7,"")</f>
        <v/>
      </c>
      <c r="E9" s="917"/>
      <c r="F9" s="918"/>
      <c r="G9" s="919"/>
      <c r="H9" s="298"/>
      <c r="I9" s="413"/>
      <c r="J9" s="413"/>
      <c r="K9" s="380"/>
      <c r="L9" s="380"/>
      <c r="M9" s="380"/>
      <c r="N9" s="318">
        <f>BA9</f>
        <v>0</v>
      </c>
      <c r="O9" s="318">
        <f>CA9</f>
        <v>0</v>
      </c>
      <c r="P9" s="318">
        <f>IF(Stamoplysninger!$H$29="JA",Marts!DG9,CX9)</f>
        <v>0</v>
      </c>
      <c r="Q9" s="318">
        <f>IF(OR(C9="Lejrskole",C9="Ekskursion"),0,N9-O9-P9)</f>
        <v>0</v>
      </c>
      <c r="R9" s="319"/>
      <c r="S9" s="324"/>
      <c r="T9" s="325"/>
      <c r="U9" s="325"/>
      <c r="V9" s="435"/>
      <c r="W9" s="412"/>
      <c r="X9" s="642"/>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9">
        <f t="shared" ref="BB9:BB39" si="8">SUM(AG9:AK9)*24</f>
        <v>0</v>
      </c>
      <c r="BC9" s="1">
        <f>IF($C$9="Lejrskole",$L$9,0)</f>
        <v>0</v>
      </c>
      <c r="BD9" s="1">
        <f t="shared" ref="BD9:BD39" si="9">IF(C9="Ekskursion",L9,0)</f>
        <v>0</v>
      </c>
      <c r="BE9" s="1">
        <f t="shared" ref="BE9:BE39" si="10">IF(C9="fagdag",L9,0)</f>
        <v>0</v>
      </c>
      <c r="BF9" s="1">
        <f t="shared" ref="BF9:BF39" si="11">IF(C9="emnedag",L9,0)</f>
        <v>0</v>
      </c>
      <c r="BG9" s="210" t="str">
        <f>IF(AND(C9="Skema 1",B9="ma"),Skemaoplysninger!$E$30,"")</f>
        <v/>
      </c>
      <c r="BH9" s="210" t="str">
        <f>IF(AND(C9="Skema 1",B9="ti"),Skemaoplysninger!$G$30,"")</f>
        <v/>
      </c>
      <c r="BI9" s="210" t="str">
        <f>IF(AND(C9="Skema 1",B9="on"),Skemaoplysninger!$I$30,"")</f>
        <v/>
      </c>
      <c r="BJ9" s="210" t="str">
        <f>IF(AND(C9="Skema 1",B9="to"),Skemaoplysninger!$K$30,"")</f>
        <v/>
      </c>
      <c r="BK9" s="210" t="str">
        <f>IF(AND(C9="Skema 1",B9="fr"),Skemaoplysninger!$M$30,"")</f>
        <v/>
      </c>
      <c r="BL9" s="210" t="str">
        <f>IF(AND(C9="Skema 2",B9="ma"),Skemaoplysninger!$S$30,"")</f>
        <v/>
      </c>
      <c r="BM9" s="210" t="str">
        <f>IF(AND(C9="Skema 2",B9="ti"),Skemaoplysninger!$U$30,"")</f>
        <v/>
      </c>
      <c r="BN9" s="210" t="str">
        <f>IF(AND(C9="Skema 2",B9="on"),Skemaoplysninger!$W$30,"")</f>
        <v/>
      </c>
      <c r="BO9" s="210" t="str">
        <f>IF(AND(C9="Skema 2",B9="to"),Skemaoplysninger!$Y$30,"")</f>
        <v/>
      </c>
      <c r="BP9" s="210" t="str">
        <f>IF(AND(C9="Skema 2",B9="fr"),Skemaoplysninger!$AA$30,"")</f>
        <v/>
      </c>
      <c r="BQ9" s="210" t="str">
        <f>IF(AND(C9="Skema 3",B9="ma"),Skemaoplysninger!$AG$30,"")</f>
        <v/>
      </c>
      <c r="BR9" s="210" t="str">
        <f>IF(AND(C9="Skema 3",B9="ti"),Skemaoplysninger!$AI$30,"")</f>
        <v/>
      </c>
      <c r="BS9" s="210" t="str">
        <f>IF(AND(C9="Skema 3",B9="on"),Skemaoplysninger!$AK$30,"")</f>
        <v/>
      </c>
      <c r="BT9" s="210" t="str">
        <f>IF(AND(C9="Skema 3",B9="to"),Skemaoplysninger!$AM$30,"")</f>
        <v/>
      </c>
      <c r="BU9" s="210" t="str">
        <f>IF(AND(C9="Skema 3",B9="fr"),Skemaoplysninger!$AO$30,"")</f>
        <v/>
      </c>
      <c r="BV9" s="210" t="str">
        <f>IF(AND(C9="Skema 4",B9="ma"),Skemaoplysninger!$AU$30,"")</f>
        <v/>
      </c>
      <c r="BW9" s="210" t="str">
        <f>IF(AND(C9="Skema 4",B9="ti"),Skemaoplysninger!$AW$30,"")</f>
        <v/>
      </c>
      <c r="BX9" s="210" t="str">
        <f>IF(AND(C9="Skema 4",B9="on"),Skemaoplysninger!$AY$30,"")</f>
        <v/>
      </c>
      <c r="BY9" s="210" t="str">
        <f>IF(AND(C9="Skema 4",B9="to"),Skemaoplysninger!$BA$30,"")</f>
        <v/>
      </c>
      <c r="BZ9" s="210" t="str">
        <f>IF(AND(C9="Skema 4",B9="fr"),Skemaoplysninger!$BC$30,"")</f>
        <v/>
      </c>
      <c r="CA9" s="1">
        <f>SUM(BG9:BZ9)*24+SUM(BC9:BF9)</f>
        <v>0</v>
      </c>
      <c r="CB9" s="1">
        <f t="shared" ref="CB9:CB39" si="12">IF(C9="fagdag",M9,0)</f>
        <v>0</v>
      </c>
      <c r="CC9" s="1">
        <f t="shared" ref="CC9:CC39" si="13">IF(C9="emnedag",M9,0)</f>
        <v>0</v>
      </c>
      <c r="CD9" s="210" t="str">
        <f>IF(AND(C9="Skema 1",B9="ma"),Skemaoplysninger!$E$31,"")</f>
        <v/>
      </c>
      <c r="CE9" s="210" t="str">
        <f>IF(AND(C9="Skema 1",B9="ti"),Skemaoplysninger!$G$31,"")</f>
        <v/>
      </c>
      <c r="CF9" s="210" t="str">
        <f>IF(AND(C9="Skema 1",B9="on"),Skemaoplysninger!$I$31,"")</f>
        <v/>
      </c>
      <c r="CG9" s="210" t="str">
        <f>IF(AND(C9="Skema 1",B9="to"),Skemaoplysninger!$K$31,"")</f>
        <v/>
      </c>
      <c r="CH9" s="210" t="str">
        <f>IF(AND(C9="Skema 1",B9="fr"),Skemaoplysninger!$M$31,"")</f>
        <v/>
      </c>
      <c r="CI9" s="210" t="str">
        <f>IF(AND(C9="Skema 2",B9="ma"),Skemaoplysninger!$S$31,"")</f>
        <v/>
      </c>
      <c r="CJ9" s="210" t="str">
        <f>IF(AND(C9="Skema 2",B9="ti"),Skemaoplysninger!$U$31,"")</f>
        <v/>
      </c>
      <c r="CK9" s="210" t="str">
        <f>IF(AND(C9="Skema 2",B9="on"),Skemaoplysninger!$W$31,"")</f>
        <v/>
      </c>
      <c r="CL9" s="210" t="str">
        <f>IF(AND(C9="Skema 2",B9="to"),Skemaoplysninger!$Y$31,"")</f>
        <v/>
      </c>
      <c r="CM9" s="210" t="str">
        <f>IF(AND(C9="Skema 2",B9="fr"),Skemaoplysninger!$AA$31,"")</f>
        <v/>
      </c>
      <c r="CN9" s="210" t="str">
        <f>IF(AND(C9="Skema 3",B9="ma"),Skemaoplysninger!$AG$31,"")</f>
        <v/>
      </c>
      <c r="CO9" s="210" t="str">
        <f>IF(AND(C9="Skema 3",B9="ti"),Skemaoplysninger!$AI$31,"")</f>
        <v/>
      </c>
      <c r="CP9" s="210" t="str">
        <f>IF(AND(C9="Skema 3",B9="on"),Skemaoplysninger!$AK$31,"")</f>
        <v/>
      </c>
      <c r="CQ9" s="210" t="str">
        <f>IF(AND(C9="Skema 3",B9="to"),Skemaoplysninger!$AM$31,"")</f>
        <v/>
      </c>
      <c r="CR9" s="210" t="str">
        <f>IF(AND(C9="Skema 3",B9="fr"),Skemaoplysninger!$AO$31,"")</f>
        <v/>
      </c>
      <c r="CS9" s="210" t="str">
        <f>IF(AND(C9="Skema 4",B9="ma"),Skemaoplysninger!$AU$31,"")</f>
        <v/>
      </c>
      <c r="CT9" s="210" t="str">
        <f>IF(AND(C9="Skema 4",B9="ti"),Skemaoplysninger!$AW$31,"")</f>
        <v/>
      </c>
      <c r="CU9" s="210" t="str">
        <f>IF(AND(C9="Skema 4",B9="on"),Skemaoplysninger!$AY$31,"")</f>
        <v/>
      </c>
      <c r="CV9" s="210" t="str">
        <f>IF(AND(C9="Skema 4",B9="to"),Skemaoplysninger!$BA$31,"")</f>
        <v/>
      </c>
      <c r="CW9" s="210" t="str">
        <f>IF(AND(C9="Skema 4",B9="fr"),Skemaoplysninger!$BC$31,"")</f>
        <v/>
      </c>
      <c r="CX9" s="249">
        <f>IF(Stamoplysninger!$H$29="NEJ",SUM(CD9:CW9)*24+CB9+CC9,0)</f>
        <v>0</v>
      </c>
      <c r="CY9" s="249">
        <f>IF(C9="Skema 1",Stamoplysninger!$H$30/200,0)</f>
        <v>0</v>
      </c>
      <c r="CZ9" s="249">
        <f>IF(C9="Skema 2",Stamoplysninger!$H$30/200,0)</f>
        <v>0</v>
      </c>
      <c r="DA9" s="249">
        <f>IF(C9="Skema 3",Stamoplysninger!$H$30/200,0)</f>
        <v>0</v>
      </c>
      <c r="DB9" s="249">
        <f>IF(C9="Skema 4",Stamoplysninger!$H$30/200,0)</f>
        <v>0</v>
      </c>
      <c r="DC9" s="249">
        <f>IF(C9="fagdag",Stamoplysninger!$H$30/200,0)</f>
        <v>0</v>
      </c>
      <c r="DD9" s="249">
        <f>IF(C9="emnedag",Stamoplysninger!$H$30/200,0)</f>
        <v>0</v>
      </c>
      <c r="DE9" s="249">
        <f>IF(C9="lejrskole",Stamoplysninger!$H$30/200,0)</f>
        <v>0</v>
      </c>
      <c r="DF9" s="249">
        <f>IF(C9="ekskursion",Stamoplysninger!$H$30/200,0)</f>
        <v>0</v>
      </c>
      <c r="DG9" s="249">
        <f>SUM(CY9:DF9)</f>
        <v>0</v>
      </c>
      <c r="DH9" t="str">
        <f>IF(AND(E9&gt;0,H9&gt;0),""&amp;E9&amp;" og "&amp;H9&amp;"","")</f>
        <v/>
      </c>
      <c r="DI9">
        <f>IF(H9="",E9,"")</f>
        <v>0</v>
      </c>
      <c r="DJ9">
        <f>IF(E9="",H9,"")</f>
        <v>0</v>
      </c>
      <c r="DK9" t="str">
        <f t="shared" ref="DK9:DM38" si="14">IF(DH9=0,"",DH9)</f>
        <v/>
      </c>
      <c r="DL9" t="str">
        <f>IF(DI9=0,"",DI9)</f>
        <v/>
      </c>
      <c r="DM9" t="str">
        <f>IF(DJ9=0,"",DJ9)</f>
        <v/>
      </c>
      <c r="DN9" t="str">
        <f>DK9&amp;""&amp;DL9&amp;""&amp;DM9</f>
        <v/>
      </c>
      <c r="DO9" s="652">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71">
        <f>IF(AND(Stamoplysninger!$B$22="Ulempetillæg udbetales med 25% af nettotimelønnen.",C9="ikke relevant"),(R9)/4,0)</f>
        <v>0</v>
      </c>
      <c r="DT9" s="671">
        <f>IF(AND(AND(Stamoplysninger!$B$22="Ulempetillæg udbetales med 25% af nettotimelønnen.",I9="X",C9="Ikke relevant")),K9/4,0)</f>
        <v>0</v>
      </c>
      <c r="DU9" s="671">
        <f>IF(AND(AND(Stamoplysninger!$B$22="Ulempetillæg udbetales med 25% af nettotimelønnen.",C9="ikke relevant",U9="X")),(X9/4),0)</f>
        <v>0</v>
      </c>
      <c r="DV9" s="672">
        <f>IF(AND(AND(AND(Stamoplysninger!$B$22="Ulempetillæg udbetales med 25% af nettotimelønnen.",I9="X",C9="Ikke relevant",S9="X"))),V9/4,0)</f>
        <v>0</v>
      </c>
      <c r="DW9" s="652"/>
      <c r="DZ9" s="671"/>
      <c r="EA9" s="671"/>
      <c r="EB9" s="672"/>
      <c r="EC9" s="652">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71">
        <f>IF(AND(Stamoplysninger!$B$22="Ulempetillæg afspadseres med 25%(Kræver en aftale imellem ledelsen og den ansatte)",C9="ikke relevant"),(R9)/4,0)</f>
        <v>0</v>
      </c>
      <c r="EH9" s="671">
        <f>IF(AND(AND(Stamoplysninger!$B$22="Ulempetillæg afspadseres med 25%(Kræver en aftale imellem ledelsen og den ansatte)",I9="X",C9="Ikke relevant")),K9/4,0)</f>
        <v>0</v>
      </c>
      <c r="EI9" s="671">
        <f>IF(AND(AND(Stamoplysninger!$B$22="Ulempetillæg afspadseres med 25%(Kræver en aftale imellem ledelsen og den ansatte)",U9="X",C9="Ikke relevant")),X9/4,0)</f>
        <v>0</v>
      </c>
      <c r="EJ9" s="671">
        <f>IF(AND(AND(AND(Stamoplysninger!$B$22="Ulempetillæg afspadseres med 25%(Kræver en aftale imellem ledelsen og den ansatte)",I9="X",C9="Ikke relevant",S9="X"))),V9/4,0)</f>
        <v>0</v>
      </c>
      <c r="EK9" s="283">
        <f>IF(AND(Stamoplysninger!$B$26="Weekendtimer og weekendtillæg afspadseres.",$I$9="X"),$K$9*1.5,0)</f>
        <v>0</v>
      </c>
      <c r="EL9" s="251">
        <f>IF(AND(AND(Stamoplysninger!$B$26="Weekendtimer og weekendtillæg afspadseres.",$I$9="X",$S$9="X")),$V$9*1.5,0)</f>
        <v>0</v>
      </c>
      <c r="EM9" s="674">
        <f>IF(AND(AND(Stamoplysninger!$B$26="Weekendtimer og weekendtillæg afspadseres.",$I$9="X",$C$9="ikke relevant")),$K$9*1.5,0)</f>
        <v>0</v>
      </c>
      <c r="EN9" s="675">
        <f>IF(AND(AND(AND(Stamoplysninger!$B$26="Weekendtimer og weekendtillæg afspadseres.",$I$9="X",$C$9="ikke relevant",$S$9="X"))),($V$9*1.5),0)</f>
        <v>0</v>
      </c>
      <c r="EO9" s="283">
        <f>IF(AND(Stamoplysninger!$B$26="Weekendtimer og weekendtillæg udbetales.",$I$9="X"),$K$9*1.5,0)</f>
        <v>0</v>
      </c>
      <c r="EP9" s="251">
        <f>IF(AND(AND(Stamoplysninger!$B$26="Weekendtimer og weekendtillæg udbetales.",$I$9="X",$S$9="X")),$V$9*1.5,0)</f>
        <v>0</v>
      </c>
      <c r="EQ9" s="674">
        <f>IF(AND(AND(Stamoplysninger!$B$26="Weekendtimer og weekendtillæg udbetales.",$I$9="X",$C$9="ikke relevant")),$K$9*1.5,0)</f>
        <v>0</v>
      </c>
      <c r="ER9" s="675">
        <f>IF(AND(AND(AND(Stamoplysninger!$B$26="Weekendtimer og weekendtillæg udbetales.",$I$9="X",$C$9="ikke relevant",$S$9="X"))),($V$9*1.5),0)</f>
        <v>0</v>
      </c>
      <c r="ES9" s="283">
        <f>IF(AND(Stamoplysninger!$B$26="Der er indgået lokalaftale omkring weekendtimer.(Kræver aftale med TR/FSL) Weekendtillæg afspadseres.",$I$9="X"),$K$9*0.5,0)</f>
        <v>0</v>
      </c>
      <c r="ET9" s="251">
        <f>IF(AND(AND(Stamoplysninger!$B$26="Der er indgået lokalaftale omkring weekendtimer.(Kræver aftale med TR/FSL) Weekendtillæg afspadseres.",$I$9="X",$S$9="X")),$V$9*0.5,0)</f>
        <v>0</v>
      </c>
      <c r="EU9" s="674">
        <f>IF(AND(AND(Stamoplysninger!$B$26="Der er indgået lokalaftale omkring weekendtimer.(Kræver aftale med TR/FSL) Weekendtillæg afspadseres.",$I$9="X",$C$9="ikke relevant")),$K$9*0.5,0)</f>
        <v>0</v>
      </c>
      <c r="EV9" s="675">
        <f>IF(AND(AND(AND(Stamoplysninger!$B$26="Der er indgået lokalaftale omkring weekendtimer.(Kræver aftale med TR/FSL) Weekendtillæg afspadseres.",$I$9="X",$C$9="ikke relevant",$S$9="X"))),($V$9*0.5),0)</f>
        <v>0</v>
      </c>
      <c r="EW9" s="283">
        <f>IF(AND(Stamoplysninger!$B$26="Der er indgået lokalaftale omkring weekendtimer(Kræver aftale med TR/FSL). Weekendtillæg udbetales.",$I$9="X"),$K$9*0.5,0)</f>
        <v>0</v>
      </c>
      <c r="EX9" s="251">
        <f>IF(AND(AND(Stamoplysninger!$B$26="Der er indgået lokalaftale omkring weekendtimer(Kræver aftale med TR/FSL). Weekendtillæg udbetales.",$I$9="X",$S$9="X")),$V$9*0.5,0)</f>
        <v>0</v>
      </c>
      <c r="EY9" s="674">
        <f>IF(AND(AND(Stamoplysninger!$B$26="Der er indgået lokalaftale omkring weekendtimer(Kræver aftale med TR/FSL). Weekendtillæg udbetales.",$I$9="X",$C$9="ikke relevant")),$K$9*0.5,0)</f>
        <v>0</v>
      </c>
      <c r="EZ9" s="675">
        <f>IF(AND(AND(AND(Stamoplysninger!$B$26="Der er indgået lokalaftale omkring weekendtimer(Kræver aftale med TR/FSL). Weekendtillæg udbetales.",$I$9="X",$C$9="ikke relevant",$S$9="X"))),($V$9*0.5),0)</f>
        <v>0</v>
      </c>
      <c r="FA9" s="283">
        <f>IF(AND(Stamoplysninger!$B$26="Der er indgået lokalaftale omkring weekendtillæg(Kræver aftale med TR/FSL). Weekendtimerne afspadseres.",I9="X"),K9,0)</f>
        <v>0</v>
      </c>
      <c r="FB9" s="251">
        <f>IF(AND(AND(Stamoplysninger!$B$26="Der er indgået lokalaftale omkring weekendtillæg(Kræver aftale med TR/FSL). Weekendtimerne afspadseres.",I9="X",S9="X")),V9,0)</f>
        <v>0</v>
      </c>
      <c r="FC9" s="674">
        <f>IF(AND(AND(Stamoplysninger!$B$26="Der er indgået lokalaftale omkring weekendtillæg(Kræver aftale med TR/FSL). Weekendtimerne afspadseres..",I9="X",C9="ikke relevant")),K9,0)</f>
        <v>0</v>
      </c>
      <c r="FD9" s="675">
        <f>IF(AND(AND(AND(Stamoplysninger!$B$26="Der er indgået lokalaftale omkring weekendtillæg(Kræver aftale med TR/FSL). Weekendtimerne afspadseres.",I9="X",C9="ikke relevant",S9="X"))),(V9),0)</f>
        <v>0</v>
      </c>
      <c r="FE9" s="283">
        <f>IF(AND(Stamoplysninger!$B$26="Der er indgået lokalaftale omkring weekendtillæg(Kræver aftale med TR/FSL). Weekendtimerne udbetales.",I9="X"),K9,0)</f>
        <v>0</v>
      </c>
      <c r="FF9" s="251">
        <f>IF(AND(AND(Stamoplysninger!$B$26="Der er indgået lokalaftale omkring weekendtillæg(Kræver aftale med TR/FSL). Weekendtimerne udbetales.",I9="X",S9="X")),V9,0)</f>
        <v>0</v>
      </c>
      <c r="FG9" s="674">
        <f>IF(AND(AND(Stamoplysninger!$B$26="Der er indgået lokalaftale omkring weekendtillæg(Kræver aftale med TR/FSL). Weekendtimerne udbetales.",I9="X",C9="ikke relevant")),K9,0)</f>
        <v>0</v>
      </c>
      <c r="FH9" s="675">
        <f>IF(AND(AND(AND(Stamoplysninger!$B$26="Der er indgået lokalaftale omkring weekendtillæg(Kræver aftale med TR/FSL). Weekendtimerne udbetales.",I9="X",C9="ikke relevant",S9="X"))),(V9),0)</f>
        <v>0</v>
      </c>
      <c r="FI9" s="283">
        <f>IF(AND(Stamoplysninger!$B$26="Weekendtimer og weekendtillæg afspadseres.",I9="X"),K9,0)</f>
        <v>0</v>
      </c>
      <c r="FJ9" s="251">
        <f>IF(AND(Stamoplysninger!$B$26="Weekendtimer og weekendtillæg afspadseres.",I9="X"),(K9+V9)/2,0)</f>
        <v>0</v>
      </c>
      <c r="FK9" s="674">
        <f>IF(AND(AND(Stamoplysninger!$B$26="Weekendtimer og weekendtillæg afspadseres.",I9="X",C9="ikke relevant")),K9,0)</f>
        <v>0</v>
      </c>
      <c r="FL9" s="675">
        <f>IF(AND(AND(Stamoplysninger!$B$26="Weekendtimer og weekendtillæg afspadseres.",I9="X",C9="ikke relevant")),(K9+V9)/2,0)</f>
        <v>0</v>
      </c>
      <c r="FM9" s="283">
        <f>IF(AND(Stamoplysninger!$B$26="Der er indgået lokalaftale omkring weekendtillæg(Kræver aftale med TR/FSL). Weekendtimerne afspadseres.",I9="X"),K9,0)</f>
        <v>0</v>
      </c>
      <c r="FN9" s="674">
        <f>IF(AND(AND(Stamoplysninger!$B$26="Der er indgået lokalaftale omkring weekendtillæg(Kræver aftale med TR/FSL). Weekendtimerne afspadseres.",I9="X",C9="ikke relevant")),K9,0)</f>
        <v>0</v>
      </c>
      <c r="FO9" s="283">
        <f>IF(AND(Stamoplysninger!$B$26="Weekendtimer og weekendtillæg udbetales.",I9="X"),K9,0)</f>
        <v>0</v>
      </c>
      <c r="FP9" s="251">
        <f>IF(AND(Stamoplysninger!$B$26="Weekendtimer og weekendtillæg udbetales.",AA9="X"),(AC9+AN9)/2,0)</f>
        <v>0</v>
      </c>
      <c r="FQ9" s="674">
        <f>IF(AND(AND(Stamoplysninger!$B$26="Weekendtimer og weekendtillæg udbetales.",I9="X",C9="ikke relevant")),K9,0)</f>
        <v>0</v>
      </c>
      <c r="FR9" s="688">
        <f>IF(AND(AND(Stamoplysninger!$B$26="Weekendtimer og weekendtillæg udbetales.",AA9="X",U9="ikke relevant")),(AC9+AN9)/2,0)</f>
        <v>0</v>
      </c>
      <c r="FS9" s="283">
        <f t="shared" ref="FS9:FS37" si="15">IF(AND(I9="X",S9="X"),V9,0)</f>
        <v>0</v>
      </c>
      <c r="FT9" s="658">
        <f t="shared" ref="FT9:FT37" si="16">IF(AND(AND(C9="ikke relevant",I9="X",S9="X")),V9,0)</f>
        <v>0</v>
      </c>
      <c r="FU9">
        <f t="shared" ref="FU9:FU28" si="17">IF(AND(C9="weekend",I9="X"),K9,0)</f>
        <v>0</v>
      </c>
      <c r="FV9" s="283">
        <f>IF(AND(Stamoplysninger!$B$26="Der er indgået lokalaftale omkring weekendtimer.(Kræver aftale med TR/FSL) Weekendtillæg afspadseres.",I9="X"),K9,0)</f>
        <v>0</v>
      </c>
      <c r="FW9" s="674">
        <f>IF(AND(AND(Stamoplysninger!$B$26="Der er indgået lokalaftale omkring weekendtimer.(Kræver aftale med TR/FSL) Weekendtillæg afspadseres.",I9="X",C9="ikke relevant")),K9,0)</f>
        <v>0</v>
      </c>
      <c r="FX9" s="283">
        <f>IF(AND(Stamoplysninger!$B$26="Der er indgået lokalaftale omkring weekendtimer(Kræver aftale med TR/FSL). Weekendtillæg udbetales.",I9="X"),K9,0)</f>
        <v>0</v>
      </c>
      <c r="FY9" s="674">
        <f>IF(AND(AND(Stamoplysninger!$B$26="Der er indgået lokalaftale omkring weekendtimer(Kræver aftale med TR/FSL). Weekendtillæg udbetales.",I9="X",C9="ikke relevant")),K9,0)</f>
        <v>0</v>
      </c>
      <c r="FZ9" s="283">
        <f>IF(AND(Stamoplysninger!$B$26="Der er indgået lokalaftale omkring weekendtillæg(Kræver aftale med TR/FSL). Weekendtimerne udbetales.",I9="X"),K9,0)</f>
        <v>0</v>
      </c>
      <c r="GA9" s="674">
        <f>IF(AND(AND(Stamoplysninger!$B$26="Der er indgået lokalaftale omkring weekendtillæg(Kræver aftale med TR/FSL). Weekendtimerne udbetales.",I9="X",C9="ikke relevant")),K9,0)</f>
        <v>0</v>
      </c>
      <c r="GB9" s="283">
        <f>IF(AND(Stamoplysninger!$B$26="Der er indgået lokalaftale omkring weekendtimer og weekendtillæg.(Kræver aftale med TR/FSL).",I9="X"),K9,0)</f>
        <v>0</v>
      </c>
      <c r="GC9" s="674">
        <f>IF(AND(AND(Stamoplysninger!$B$26="Der er indgået lokalaftale omkring weekendtimer og weekendtillæg.(Kræver aftale med TR/FSL).",I9="X",C9="ikke relevant")),K9,0)</f>
        <v>0</v>
      </c>
    </row>
    <row r="10" spans="1:185">
      <c r="A10" s="245">
        <f t="shared" ref="A10:A38" si="18">IF(ISNUMBER(A9),A9+1,1)</f>
        <v>2</v>
      </c>
      <c r="B10" s="128" t="str">
        <f t="shared" si="0"/>
        <v>sø</v>
      </c>
      <c r="C10" s="129" t="s">
        <v>120</v>
      </c>
      <c r="D10" s="130" t="str">
        <f t="shared" si="1"/>
        <v/>
      </c>
      <c r="E10" s="917"/>
      <c r="F10" s="918"/>
      <c r="G10" s="919"/>
      <c r="H10" s="298"/>
      <c r="I10" s="413"/>
      <c r="J10" s="413"/>
      <c r="K10" s="380"/>
      <c r="L10" s="380"/>
      <c r="M10" s="380"/>
      <c r="N10" s="318">
        <f t="shared" ref="N10:N39" si="19">BA10</f>
        <v>0</v>
      </c>
      <c r="O10" s="318">
        <f t="shared" ref="O10:O39" si="20">CA10</f>
        <v>0</v>
      </c>
      <c r="P10" s="318">
        <f>IF(Stamoplysninger!$H$29="JA",Marts!DG10,CX10)</f>
        <v>0</v>
      </c>
      <c r="Q10" s="318">
        <f t="shared" ref="Q10:Q39" si="21">IF(OR(C10="Lejrskole",C10="Ekskursion"),0,N10-O10-P10)</f>
        <v>0</v>
      </c>
      <c r="R10" s="319"/>
      <c r="S10" s="324"/>
      <c r="T10" s="325"/>
      <c r="U10" s="325"/>
      <c r="V10" s="435"/>
      <c r="W10" s="412"/>
      <c r="X10" s="642"/>
      <c r="Y10">
        <f t="shared" ref="Y10:Y39" si="22">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0</v>
      </c>
      <c r="BB10" s="229">
        <f t="shared" si="8"/>
        <v>0</v>
      </c>
      <c r="BC10" s="1">
        <f t="shared" ref="BC10:BC39" si="24">IF(C10="Lejrskole",L10,0)</f>
        <v>0</v>
      </c>
      <c r="BD10" s="1">
        <f t="shared" si="9"/>
        <v>0</v>
      </c>
      <c r="BE10" s="1">
        <f t="shared" si="10"/>
        <v>0</v>
      </c>
      <c r="BF10" s="1">
        <f t="shared" si="11"/>
        <v>0</v>
      </c>
      <c r="BG10" s="210" t="str">
        <f>IF(AND(C10="Skema 1",B10="ma"),Skemaoplysninger!$E$30,"")</f>
        <v/>
      </c>
      <c r="BH10" s="210" t="str">
        <f>IF(AND(C10="Skema 1",B10="ti"),Skemaoplysninger!$G$30,"")</f>
        <v/>
      </c>
      <c r="BI10" s="210" t="str">
        <f>IF(AND(C10="Skema 1",B10="on"),Skemaoplysninger!$I$30,"")</f>
        <v/>
      </c>
      <c r="BJ10" s="210" t="str">
        <f>IF(AND(C10="Skema 1",B10="to"),Skemaoplysninger!$K$30,"")</f>
        <v/>
      </c>
      <c r="BK10" s="210" t="str">
        <f>IF(AND(C10="Skema 1",B10="fr"),Skemaoplysninger!$M$30,"")</f>
        <v/>
      </c>
      <c r="BL10" s="210" t="str">
        <f>IF(AND(C10="Skema 2",B10="ma"),Skemaoplysninger!$S$30,"")</f>
        <v/>
      </c>
      <c r="BM10" s="210" t="str">
        <f>IF(AND(C10="Skema 2",B10="ti"),Skemaoplysninger!$U$30,"")</f>
        <v/>
      </c>
      <c r="BN10" s="210" t="str">
        <f>IF(AND(C10="Skema 2",B10="on"),Skemaoplysninger!$W$30,"")</f>
        <v/>
      </c>
      <c r="BO10" s="210" t="str">
        <f>IF(AND(C10="Skema 2",B10="to"),Skemaoplysninger!$Y$30,"")</f>
        <v/>
      </c>
      <c r="BP10" s="210" t="str">
        <f>IF(AND(C10="Skema 2",B10="fr"),Skemaoplysninger!$AA$30,"")</f>
        <v/>
      </c>
      <c r="BQ10" s="210" t="str">
        <f>IF(AND(C10="Skema 3",B10="ma"),Skemaoplysninger!$AG$30,"")</f>
        <v/>
      </c>
      <c r="BR10" s="210" t="str">
        <f>IF(AND(C10="Skema 3",B10="ti"),Skemaoplysninger!$AI$30,"")</f>
        <v/>
      </c>
      <c r="BS10" s="210" t="str">
        <f>IF(AND(C10="Skema 3",B10="on"),Skemaoplysninger!$AK$30,"")</f>
        <v/>
      </c>
      <c r="BT10" s="210" t="str">
        <f>IF(AND(C10="Skema 3",B10="to"),Skemaoplysninger!$AM$30,"")</f>
        <v/>
      </c>
      <c r="BU10" s="210" t="str">
        <f>IF(AND(C10="Skema 3",B10="fr"),Skemaoplysninger!$AO$30,"")</f>
        <v/>
      </c>
      <c r="BV10" s="210" t="str">
        <f>IF(AND(C10="Skema 4",B10="ma"),Skemaoplysninger!$AU$30,"")</f>
        <v/>
      </c>
      <c r="BW10" s="210" t="str">
        <f>IF(AND(C10="Skema 4",B10="ti"),Skemaoplysninger!$AW$30,"")</f>
        <v/>
      </c>
      <c r="BX10" s="210" t="str">
        <f>IF(AND(C10="Skema 4",B10="on"),Skemaoplysninger!$AY$30,"")</f>
        <v/>
      </c>
      <c r="BY10" s="210" t="str">
        <f>IF(AND(C10="Skema 4",B10="to"),Skemaoplysninger!$BA$30,"")</f>
        <v/>
      </c>
      <c r="BZ10" s="210" t="str">
        <f>IF(AND(C10="Skema 4",B10="fr"),Skemaoplysninger!$BC$30,"")</f>
        <v/>
      </c>
      <c r="CA10" s="1">
        <f t="shared" ref="CA10:CA39" si="25">SUM(BG10:BZ10)*24+SUM(BC10:BF10)</f>
        <v>0</v>
      </c>
      <c r="CB10" s="1">
        <f t="shared" si="12"/>
        <v>0</v>
      </c>
      <c r="CC10" s="1">
        <f t="shared" si="13"/>
        <v>0</v>
      </c>
      <c r="CD10" s="210" t="str">
        <f>IF(AND(C10="Skema 1",B10="ma"),Skemaoplysninger!$E$31,"")</f>
        <v/>
      </c>
      <c r="CE10" s="210" t="str">
        <f>IF(AND(C10="Skema 1",B10="ti"),Skemaoplysninger!$G$31,"")</f>
        <v/>
      </c>
      <c r="CF10" s="210" t="str">
        <f>IF(AND(C10="Skema 1",B10="on"),Skemaoplysninger!$I$31,"")</f>
        <v/>
      </c>
      <c r="CG10" s="210" t="str">
        <f>IF(AND(C10="Skema 1",B10="to"),Skemaoplysninger!$K$31,"")</f>
        <v/>
      </c>
      <c r="CH10" s="210" t="str">
        <f>IF(AND(C10="Skema 1",B10="fr"),Skemaoplysninger!$M$31,"")</f>
        <v/>
      </c>
      <c r="CI10" s="210" t="str">
        <f>IF(AND(C10="Skema 2",B10="ma"),Skemaoplysninger!$S$31,"")</f>
        <v/>
      </c>
      <c r="CJ10" s="210" t="str">
        <f>IF(AND(C10="Skema 2",B10="ti"),Skemaoplysninger!$U$31,"")</f>
        <v/>
      </c>
      <c r="CK10" s="210" t="str">
        <f>IF(AND(C10="Skema 2",B10="on"),Skemaoplysninger!$W$31,"")</f>
        <v/>
      </c>
      <c r="CL10" s="210" t="str">
        <f>IF(AND(C10="Skema 2",B10="to"),Skemaoplysninger!$Y$31,"")</f>
        <v/>
      </c>
      <c r="CM10" s="210" t="str">
        <f>IF(AND(C10="Skema 2",B10="fr"),Skemaoplysninger!$AA$31,"")</f>
        <v/>
      </c>
      <c r="CN10" s="210" t="str">
        <f>IF(AND(C10="Skema 3",B10="ma"),Skemaoplysninger!$AG$31,"")</f>
        <v/>
      </c>
      <c r="CO10" s="210" t="str">
        <f>IF(AND(C10="Skema 3",B10="ti"),Skemaoplysninger!$AI$31,"")</f>
        <v/>
      </c>
      <c r="CP10" s="210" t="str">
        <f>IF(AND(C10="Skema 3",B10="on"),Skemaoplysninger!$AK$31,"")</f>
        <v/>
      </c>
      <c r="CQ10" s="210" t="str">
        <f>IF(AND(C10="Skema 3",B10="to"),Skemaoplysninger!$AM$31,"")</f>
        <v/>
      </c>
      <c r="CR10" s="210" t="str">
        <f>IF(AND(C10="Skema 3",B10="fr"),Skemaoplysninger!$AO$31,"")</f>
        <v/>
      </c>
      <c r="CS10" s="210" t="str">
        <f>IF(AND(C10="Skema 4",B10="ma"),Skemaoplysninger!$AU$31,"")</f>
        <v/>
      </c>
      <c r="CT10" s="210" t="str">
        <f>IF(AND(C10="Skema 4",B10="ti"),Skemaoplysninger!$AW$31,"")</f>
        <v/>
      </c>
      <c r="CU10" s="210" t="str">
        <f>IF(AND(C10="Skema 4",B10="on"),Skemaoplysninger!$AY$31,"")</f>
        <v/>
      </c>
      <c r="CV10" s="210" t="str">
        <f>IF(AND(C10="Skema 4",B10="to"),Skemaoplysninger!$BA$31,"")</f>
        <v/>
      </c>
      <c r="CW10" s="210" t="str">
        <f>IF(AND(C10="Skema 4",B10="fr"),Skemaoplysninger!$BC$31,"")</f>
        <v/>
      </c>
      <c r="CX10" s="249">
        <f>IF(Stamoplysninger!$H$29="NEJ",SUM(CD10:CW10)*24+CB10+CC10,0)</f>
        <v>0</v>
      </c>
      <c r="CY10" s="249">
        <f>IF(C10="Skema 1",Stamoplysninger!$H$30/200,0)</f>
        <v>0</v>
      </c>
      <c r="CZ10" s="249">
        <f>IF(C10="Skema 2",Stamoplysninger!$H$30/200,0)</f>
        <v>0</v>
      </c>
      <c r="DA10" s="249">
        <f>IF(C10="Skema 3",Stamoplysninger!$H$30/200,0)</f>
        <v>0</v>
      </c>
      <c r="DB10" s="249">
        <f>IF(C10="Skema 4",Stamoplysninger!$H$30/200,0)</f>
        <v>0</v>
      </c>
      <c r="DC10" s="249">
        <f>IF(C10="fagdag",Stamoplysninger!$H$30/200,0)</f>
        <v>0</v>
      </c>
      <c r="DD10" s="249">
        <f>IF(C10="emnedag",Stamoplysninger!$H$30/200,0)</f>
        <v>0</v>
      </c>
      <c r="DE10" s="249">
        <f>IF(C10="lejrskole",Stamoplysninger!$H$30/200,0)</f>
        <v>0</v>
      </c>
      <c r="DF10" s="249">
        <f>IF(C10="ekskursion",Stamoplysninger!$H$30/200,0)</f>
        <v>0</v>
      </c>
      <c r="DG10" s="249">
        <f t="shared" ref="DG10:DG39" si="26">SUM(CY10:DF10)</f>
        <v>0</v>
      </c>
      <c r="DH10" t="str">
        <f t="shared" ref="DH10:DH39" si="27">IF(AND(E10&gt;0,H10&gt;0),""&amp;E10&amp;" og "&amp;H10&amp;"","")</f>
        <v/>
      </c>
      <c r="DI10">
        <f t="shared" ref="DI10:DI39" si="28">IF(H10="",E10,"")</f>
        <v>0</v>
      </c>
      <c r="DJ10">
        <f t="shared" ref="DJ10:DJ39" si="29">IF(E10="",H10,"")</f>
        <v>0</v>
      </c>
      <c r="DK10" t="str">
        <f t="shared" si="14"/>
        <v/>
      </c>
      <c r="DL10" t="str">
        <f t="shared" si="14"/>
        <v/>
      </c>
      <c r="DM10" t="str">
        <f t="shared" si="14"/>
        <v/>
      </c>
      <c r="DN10" t="str">
        <f t="shared" ref="DN10:DN39" si="30">DK10&amp;""&amp;DL10&amp;""&amp;DM10</f>
        <v/>
      </c>
      <c r="DO10" s="652">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71">
        <f>IF(AND(Stamoplysninger!$B$22="Ulempetillæg udbetales med 25% af nettotimelønnen.",C10="ikke relevant"),(R10)/4,0)</f>
        <v>0</v>
      </c>
      <c r="DT10" s="671">
        <f>IF(AND(AND(Stamoplysninger!$B$22="Ulempetillæg udbetales med 25% af nettotimelønnen.",I10="X",C10="Ikke relevant")),K10/4,0)</f>
        <v>0</v>
      </c>
      <c r="DU10" s="671">
        <f>IF(AND(AND(Stamoplysninger!$B$22="Ulempetillæg udbetales med 25% af nettotimelønnen.",C10="ikke relevant",U10="X")),(X10/4),0)</f>
        <v>0</v>
      </c>
      <c r="DV10" s="672">
        <f>IF(AND(AND(AND(Stamoplysninger!$B$22="Ulempetillæg udbetales med 25% af nettotimelønnen.",I10="X",C10="Ikke relevant",S10="X"))),V10/4,0)</f>
        <v>0</v>
      </c>
      <c r="DW10" s="652"/>
      <c r="DZ10" s="671"/>
      <c r="EA10" s="671"/>
      <c r="EB10" s="672"/>
      <c r="EC10" s="652">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71">
        <f>IF(AND(Stamoplysninger!$B$22="Ulempetillæg afspadseres med 25%(Kræver en aftale imellem ledelsen og den ansatte)",C10="ikke relevant"),(R10)/4,0)</f>
        <v>0</v>
      </c>
      <c r="EH10" s="671">
        <f>IF(AND(AND(Stamoplysninger!$B$22="Ulempetillæg afspadseres med 25%(Kræver en aftale imellem ledelsen og den ansatte)",I10="X",C10="Ikke relevant")),K10/4,0)</f>
        <v>0</v>
      </c>
      <c r="EI10" s="671">
        <f>IF(AND(AND(Stamoplysninger!$B$22="Ulempetillæg afspadseres med 25%(Kræver en aftale imellem ledelsen og den ansatte)",U10="X",C10="Ikke relevant")),X10/4,0)</f>
        <v>0</v>
      </c>
      <c r="EJ10" s="671">
        <f>IF(AND(AND(AND(Stamoplysninger!$B$22="Ulempetillæg afspadseres med 25%(Kræver en aftale imellem ledelsen og den ansatte)",I10="X",C10="Ikke relevant",S10="X"))),V10/4,0)</f>
        <v>0</v>
      </c>
      <c r="EK10" s="283">
        <f>IF(AND(Stamoplysninger!$B$26="Weekendtimer og weekendtillæg afspadseres.",I10="X"),K10*1.5,0)</f>
        <v>0</v>
      </c>
      <c r="EL10" s="251">
        <f>IF(AND(AND(Stamoplysninger!$B$26="Weekendtimer og weekendtillæg afspadseres.",I10="X",S10="X")),V10*1.5,0)</f>
        <v>0</v>
      </c>
      <c r="EM10" s="674">
        <f>IF(AND(AND(Stamoplysninger!$B$26="Weekendtimer og weekendtillæg afspadseres.",I10="X",C10="ikke relevant")),K10*1.5,0)</f>
        <v>0</v>
      </c>
      <c r="EN10" s="675">
        <f>IF(AND(AND(AND(Stamoplysninger!$B$26="Weekendtimer og weekendtillæg afspadseres.",I10="X",C10="ikke relevant",S10="X"))),(V10*1.5),0)</f>
        <v>0</v>
      </c>
      <c r="EO10" s="283">
        <f>IF(AND(Stamoplysninger!$B$26="Weekendtimer og weekendtillæg udbetales.",I10="X"),K10*1.5,0)</f>
        <v>0</v>
      </c>
      <c r="EP10" s="251">
        <f>IF(AND(AND(Stamoplysninger!$B$26="Weekendtimer og weekendtillæg udbetales.",I10="X",S10="X")),V10*1.5,0)</f>
        <v>0</v>
      </c>
      <c r="EQ10" s="674">
        <f>IF(AND(AND(Stamoplysninger!$B$26="Weekendtimer og weekendtillæg udbetales.",I10="X",C10="ikke relevant")),K10*1.5,0)</f>
        <v>0</v>
      </c>
      <c r="ER10" s="675">
        <f>IF(AND(AND(AND(Stamoplysninger!$B$26="Weekendtimer og weekendtillæg udbetales.",I10="X",C10="ikke relevant",S10="X"))),(V10*1.5),0)</f>
        <v>0</v>
      </c>
      <c r="ES10" s="283">
        <f>IF(AND(Stamoplysninger!$B$26="Der er indgået lokalaftale omkring weekendtimer.(Kræver aftale med TR/FSL) Weekendtillæg afspadseres.",I10="X"),K10*0.5,0)</f>
        <v>0</v>
      </c>
      <c r="ET10" s="251">
        <f>IF(AND(AND(Stamoplysninger!$B$26="Der er indgået lokalaftale omkring weekendtimer.(Kræver aftale med TR/FSL) Weekendtillæg afspadseres.",I10="X",S10="X")),V10*0.5,0)</f>
        <v>0</v>
      </c>
      <c r="EU10" s="674">
        <f>IF(AND(AND(Stamoplysninger!$B$26="Der er indgået lokalaftale omkring weekendtimer.(Kræver aftale med TR/FSL) Weekendtillæg afspadseres.",I10="X",C10="ikke relevant")),K10*0.5,0)</f>
        <v>0</v>
      </c>
      <c r="EV10" s="675">
        <f>IF(AND(AND(AND(Stamoplysninger!$B$26="Der er indgået lokalaftale omkring weekendtimer.(Kræver aftale med TR/FSL) Weekendtillæg afspadseres.",I10="X",C10="ikke relevant",S10="X"))),(V10*0.5),0)</f>
        <v>0</v>
      </c>
      <c r="EW10" s="283">
        <f>IF(AND(Stamoplysninger!$B$26="Der er indgået lokalaftale omkring weekendtimer(Kræver aftale med TR/FSL). Weekendtillæg udbetales.",I10="X"),K10*0.5,0)</f>
        <v>0</v>
      </c>
      <c r="EX10" s="251">
        <f>IF(AND(AND(Stamoplysninger!$B$26="Der er indgået lokalaftale omkring weekendtimer(Kræver aftale med TR/FSL). Weekendtillæg udbetales.",I10="X",S10="X")),V10*0.5,0)</f>
        <v>0</v>
      </c>
      <c r="EY10" s="674">
        <f>IF(AND(AND(Stamoplysninger!$B$26="Der er indgået lokalaftale omkring weekendtimer(Kræver aftale med TR/FSL). Weekendtillæg udbetales.",I10="X",C10="ikke relevant")),K10*0.5,0)</f>
        <v>0</v>
      </c>
      <c r="EZ10" s="675">
        <f>IF(AND(AND(AND(Stamoplysninger!$B$26="Der er indgået lokalaftale omkring weekendtimer(Kræver aftale med TR/FSL). Weekendtillæg udbetales.",I10="X",C10="ikke relevant",S10="X"))),(V10*0.5),0)</f>
        <v>0</v>
      </c>
      <c r="FA10" s="283">
        <f>IF(AND(Stamoplysninger!$B$26="Der er indgået lokalaftale omkring weekendtillæg(Kræver aftale med TR/FSL). Weekendtimerne afspadseres.",I10="X"),K10,0)</f>
        <v>0</v>
      </c>
      <c r="FB10" s="251">
        <f>IF(AND(AND(Stamoplysninger!$B$26="Der er indgået lokalaftale omkring weekendtillæg(Kræver aftale med TR/FSL). Weekendtimerne afspadseres.",I10="X",S10="X")),V10,0)</f>
        <v>0</v>
      </c>
      <c r="FC10" s="674">
        <f>IF(AND(AND(Stamoplysninger!$B$26="Der er indgået lokalaftale omkring weekendtillæg(Kræver aftale med TR/FSL). Weekendtimerne afspadseres..",I10="X",C10="ikke relevant")),K10,0)</f>
        <v>0</v>
      </c>
      <c r="FD10" s="675">
        <f>IF(AND(AND(AND(Stamoplysninger!$B$26="Der er indgået lokalaftale omkring weekendtillæg(Kræver aftale med TR/FSL). Weekendtimerne afspadseres.",I10="X",C10="ikke relevant",S10="X"))),(V10),0)</f>
        <v>0</v>
      </c>
      <c r="FE10" s="283">
        <f>IF(AND(Stamoplysninger!$B$26="Der er indgået lokalaftale omkring weekendtillæg(Kræver aftale med TR/FSL). Weekendtimerne udbetales.",I10="X"),K10,0)</f>
        <v>0</v>
      </c>
      <c r="FF10" s="251">
        <f>IF(AND(AND(Stamoplysninger!$B$26="Der er indgået lokalaftale omkring weekendtillæg(Kræver aftale med TR/FSL). Weekendtimerne udbetales.",I10="X",S10="X")),V10,0)</f>
        <v>0</v>
      </c>
      <c r="FG10" s="674">
        <f>IF(AND(AND(Stamoplysninger!$B$26="Der er indgået lokalaftale omkring weekendtillæg(Kræver aftale med TR/FSL). Weekendtimerne udbetales.",I10="X",C10="ikke relevant")),K10,0)</f>
        <v>0</v>
      </c>
      <c r="FH10" s="675">
        <f>IF(AND(AND(AND(Stamoplysninger!$B$26="Der er indgået lokalaftale omkring weekendtillæg(Kræver aftale med TR/FSL). Weekendtimerne udbetales.",I10="X",C10="ikke relevant",S10="X"))),(V10),0)</f>
        <v>0</v>
      </c>
      <c r="FI10" s="283">
        <f>IF(AND(Stamoplysninger!$B$26="Weekendtimer og weekendtillæg afspadseres.",I10="X"),K10,0)</f>
        <v>0</v>
      </c>
      <c r="FJ10" s="251">
        <f>IF(AND(Stamoplysninger!$B$26="Weekendtimer og weekendtillæg afspadseres.",Y10="X"),(AA10+AL10)/2,0)</f>
        <v>0</v>
      </c>
      <c r="FK10" s="674">
        <f>IF(AND(AND(Stamoplysninger!$B$26="Weekendtimer og weekendtillæg afspadseres.",I10="X",C10="ikke relevant")),K10,0)</f>
        <v>0</v>
      </c>
      <c r="FL10" s="675">
        <f>IF(AND(AND(Stamoplysninger!$B$26="Weekendtimer og weekendtillæg afspadseres.",Y10="X",S10="ikke relevant")),(AA10+AL10)/2,0)</f>
        <v>0</v>
      </c>
      <c r="FM10" s="283">
        <f>IF(AND(Stamoplysninger!$B$26="Der er indgået lokalaftale omkring weekendtillæg(Kræver aftale med TR/FSL). Weekendtimerne afspadseres.",I10="X"),K10,0)</f>
        <v>0</v>
      </c>
      <c r="FN10" s="674">
        <f>IF(AND(AND(Stamoplysninger!$B$26="Der er indgået lokalaftale omkring weekendtillæg(Kræver aftale med TR/FSL). Weekendtimerne afspadseres.",I10="X",C10="ikke relevant")),K10,0)</f>
        <v>0</v>
      </c>
      <c r="FO10" s="283">
        <f>IF(AND(Stamoplysninger!$B$26="Weekendtimer og weekendtillæg udbetales.",I10="X"),K10,0)</f>
        <v>0</v>
      </c>
      <c r="FP10" s="251">
        <f>IF(AND(Stamoplysninger!$B$26="Weekendtimer og weekendtillæg udbetales.",AA10="X"),(AC10+AN10)/2,0)</f>
        <v>0</v>
      </c>
      <c r="FQ10" s="674">
        <f>IF(AND(AND(Stamoplysninger!$B$26="Weekendtimer og weekendtillæg udbetales.",I10="X",C10="ikke relevant")),K10,0)</f>
        <v>0</v>
      </c>
      <c r="FR10" s="688">
        <f>IF(AND(AND(Stamoplysninger!$B$26="Weekendtimer og weekendtillæg udbetales.",AA10="X",U10="ikke relevant")),(AC10+AN10)/2,0)</f>
        <v>0</v>
      </c>
      <c r="FS10" s="283">
        <f t="shared" si="15"/>
        <v>0</v>
      </c>
      <c r="FT10" s="658">
        <f t="shared" si="16"/>
        <v>0</v>
      </c>
      <c r="FU10">
        <f t="shared" si="17"/>
        <v>0</v>
      </c>
      <c r="FV10" s="283">
        <f>IF(AND(Stamoplysninger!$B$26="Der er indgået lokalaftale omkring weekendtimer.(Kræver aftale med TR/FSL) Weekendtillæg afspadseres.",I10="X"),K10,0)</f>
        <v>0</v>
      </c>
      <c r="FW10" s="674">
        <f>IF(AND(AND(Stamoplysninger!$B$26="Der er indgået lokalaftale omkring weekendtimer.(Kræver aftale med TR/FSL) Weekendtillæg afspadseres.",I10="X",C10="ikke relevant")),K10,0)</f>
        <v>0</v>
      </c>
      <c r="FX10" s="283">
        <f>IF(AND(Stamoplysninger!$B$26="Der er indgået lokalaftale omkring weekendtimer(Kræver aftale med TR/FSL). Weekendtillæg udbetales.",I10="X"),K10,0)</f>
        <v>0</v>
      </c>
      <c r="FY10" s="674">
        <f>IF(AND(AND(Stamoplysninger!$B$26="Der er indgået lokalaftale omkring weekendtimer(Kræver aftale med TR/FSL). Weekendtillæg udbetales.",I10="X",C10="ikke relevant")),K10,0)</f>
        <v>0</v>
      </c>
      <c r="FZ10" s="283">
        <f>IF(AND(Stamoplysninger!$B$26="Der er indgået lokalaftale omkring weekendtillæg(Kræver aftale med TR/FSL). Weekendtimerne udbetales.",I10="X"),K10,0)</f>
        <v>0</v>
      </c>
      <c r="GA10" s="674">
        <f>IF(AND(AND(Stamoplysninger!$B$26="Der er indgået lokalaftale omkring weekendtillæg(Kræver aftale med TR/FSL). Weekendtimerne udbetales.",I10="X",C10="ikke relevant")),K10,0)</f>
        <v>0</v>
      </c>
      <c r="GB10" s="283">
        <f>IF(AND(Stamoplysninger!$B$26="Der er indgået lokalaftale omkring weekendtimer og weekendtillæg.(Kræver aftale med TR/FSL).",I10="X"),K10,0)</f>
        <v>0</v>
      </c>
      <c r="GC10" s="674">
        <f>IF(AND(AND(Stamoplysninger!$B$26="Der er indgået lokalaftale omkring weekendtimer og weekendtillæg.(Kræver aftale med TR/FSL).",I10="X",C10="ikke relevant")),K10,0)</f>
        <v>0</v>
      </c>
    </row>
    <row r="11" spans="1:185">
      <c r="A11" s="245">
        <f t="shared" si="18"/>
        <v>3</v>
      </c>
      <c r="B11" s="128" t="str">
        <f t="shared" si="0"/>
        <v>ma</v>
      </c>
      <c r="C11" s="129" t="s">
        <v>207</v>
      </c>
      <c r="D11" s="130">
        <f t="shared" si="1"/>
        <v>9.7142857142857135</v>
      </c>
      <c r="E11" s="917"/>
      <c r="F11" s="918"/>
      <c r="G11" s="919"/>
      <c r="H11" s="298"/>
      <c r="I11" s="527"/>
      <c r="J11" s="413"/>
      <c r="K11" s="380"/>
      <c r="L11" s="380"/>
      <c r="M11" s="380"/>
      <c r="N11" s="318">
        <f t="shared" si="19"/>
        <v>7.75</v>
      </c>
      <c r="O11" s="318">
        <f t="shared" si="20"/>
        <v>3.4999999999999996</v>
      </c>
      <c r="P11" s="318">
        <f>IF(Stamoplysninger!$H$29="JA",Marts!DG11,CX11)</f>
        <v>1</v>
      </c>
      <c r="Q11" s="318">
        <f t="shared" si="21"/>
        <v>3.25</v>
      </c>
      <c r="R11" s="319"/>
      <c r="S11" s="324"/>
      <c r="T11" s="325"/>
      <c r="U11" s="325"/>
      <c r="V11" s="435"/>
      <c r="W11" s="412"/>
      <c r="X11" s="642"/>
      <c r="Y11">
        <f t="shared" si="22"/>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f>IF(AND(C11="Skema 2",B11="ma"),Arbejdstidsoversigt!$E$81,"")</f>
        <v>7.75</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7.75</v>
      </c>
      <c r="BB11" s="229">
        <f t="shared" si="8"/>
        <v>0</v>
      </c>
      <c r="BC11" s="1">
        <f t="shared" si="24"/>
        <v>0</v>
      </c>
      <c r="BD11" s="1">
        <f t="shared" si="9"/>
        <v>0</v>
      </c>
      <c r="BE11" s="1">
        <f t="shared" si="10"/>
        <v>0</v>
      </c>
      <c r="BF11" s="1">
        <f t="shared" si="11"/>
        <v>0</v>
      </c>
      <c r="BG11" s="210" t="str">
        <f>IF(AND(C11="Skema 1",B11="ma"),Skemaoplysninger!$E$30,"")</f>
        <v/>
      </c>
      <c r="BH11" s="210" t="str">
        <f>IF(AND(C11="Skema 1",B11="ti"),Skemaoplysninger!$G$30,"")</f>
        <v/>
      </c>
      <c r="BI11" s="210" t="str">
        <f>IF(AND(C11="Skema 1",B11="on"),Skemaoplysninger!$I$30,"")</f>
        <v/>
      </c>
      <c r="BJ11" s="210" t="str">
        <f>IF(AND(C11="Skema 1",B11="to"),Skemaoplysninger!$K$30,"")</f>
        <v/>
      </c>
      <c r="BK11" s="210" t="str">
        <f>IF(AND(C11="Skema 1",B11="fr"),Skemaoplysninger!$M$30,"")</f>
        <v/>
      </c>
      <c r="BL11" s="210">
        <f>IF(AND(C11="Skema 2",B11="ma"),Skemaoplysninger!$S$30,"")</f>
        <v>0.14583333333333331</v>
      </c>
      <c r="BM11" s="210" t="str">
        <f>IF(AND(C11="Skema 2",B11="ti"),Skemaoplysninger!$U$30,"")</f>
        <v/>
      </c>
      <c r="BN11" s="210" t="str">
        <f>IF(AND(C11="Skema 2",B11="on"),Skemaoplysninger!$W$30,"")</f>
        <v/>
      </c>
      <c r="BO11" s="210" t="str">
        <f>IF(AND(C11="Skema 2",B11="to"),Skemaoplysninger!$Y$30,"")</f>
        <v/>
      </c>
      <c r="BP11" s="210" t="str">
        <f>IF(AND(C11="Skema 2",B11="fr"),Skemaoplysninger!$AA$30,"")</f>
        <v/>
      </c>
      <c r="BQ11" s="210" t="str">
        <f>IF(AND(C11="Skema 3",B11="ma"),Skemaoplysninger!$AG$30,"")</f>
        <v/>
      </c>
      <c r="BR11" s="210" t="str">
        <f>IF(AND(C11="Skema 3",B11="ti"),Skemaoplysninger!$AI$30,"")</f>
        <v/>
      </c>
      <c r="BS11" s="210" t="str">
        <f>IF(AND(C11="Skema 3",B11="on"),Skemaoplysninger!$AK$30,"")</f>
        <v/>
      </c>
      <c r="BT11" s="210" t="str">
        <f>IF(AND(C11="Skema 3",B11="to"),Skemaoplysninger!$AM$30,"")</f>
        <v/>
      </c>
      <c r="BU11" s="210" t="str">
        <f>IF(AND(C11="Skema 3",B11="fr"),Skemaoplysninger!$AO$30,"")</f>
        <v/>
      </c>
      <c r="BV11" s="210" t="str">
        <f>IF(AND(C11="Skema 4",B11="ma"),Skemaoplysninger!$AU$30,"")</f>
        <v/>
      </c>
      <c r="BW11" s="210" t="str">
        <f>IF(AND(C11="Skema 4",B11="ti"),Skemaoplysninger!$AW$30,"")</f>
        <v/>
      </c>
      <c r="BX11" s="210" t="str">
        <f>IF(AND(C11="Skema 4",B11="on"),Skemaoplysninger!$AY$30,"")</f>
        <v/>
      </c>
      <c r="BY11" s="210" t="str">
        <f>IF(AND(C11="Skema 4",B11="to"),Skemaoplysninger!$BA$30,"")</f>
        <v/>
      </c>
      <c r="BZ11" s="210" t="str">
        <f>IF(AND(C11="Skema 4",B11="fr"),Skemaoplysninger!$BC$30,"")</f>
        <v/>
      </c>
      <c r="CA11" s="1">
        <f t="shared" si="25"/>
        <v>3.4999999999999996</v>
      </c>
      <c r="CB11" s="1">
        <f t="shared" si="12"/>
        <v>0</v>
      </c>
      <c r="CC11" s="1">
        <f t="shared" si="13"/>
        <v>0</v>
      </c>
      <c r="CD11" s="210" t="str">
        <f>IF(AND(C11="Skema 1",B11="ma"),Skemaoplysninger!$E$31,"")</f>
        <v/>
      </c>
      <c r="CE11" s="210" t="str">
        <f>IF(AND(C11="Skema 1",B11="ti"),Skemaoplysninger!$G$31,"")</f>
        <v/>
      </c>
      <c r="CF11" s="210" t="str">
        <f>IF(AND(C11="Skema 1",B11="on"),Skemaoplysninger!$I$31,"")</f>
        <v/>
      </c>
      <c r="CG11" s="210" t="str">
        <f>IF(AND(C11="Skema 1",B11="to"),Skemaoplysninger!$K$31,"")</f>
        <v/>
      </c>
      <c r="CH11" s="210" t="str">
        <f>IF(AND(C11="Skema 1",B11="fr"),Skemaoplysninger!$M$31,"")</f>
        <v/>
      </c>
      <c r="CI11" s="210">
        <f>IF(AND(C11="Skema 2",B11="ma"),Skemaoplysninger!$S$31,"")</f>
        <v>4.1666666666666671E-2</v>
      </c>
      <c r="CJ11" s="210" t="str">
        <f>IF(AND(C11="Skema 2",B11="ti"),Skemaoplysninger!$U$31,"")</f>
        <v/>
      </c>
      <c r="CK11" s="210" t="str">
        <f>IF(AND(C11="Skema 2",B11="on"),Skemaoplysninger!$W$31,"")</f>
        <v/>
      </c>
      <c r="CL11" s="210" t="str">
        <f>IF(AND(C11="Skema 2",B11="to"),Skemaoplysninger!$Y$31,"")</f>
        <v/>
      </c>
      <c r="CM11" s="210" t="str">
        <f>IF(AND(C11="Skema 2",B11="fr"),Skemaoplysninger!$AA$31,"")</f>
        <v/>
      </c>
      <c r="CN11" s="210" t="str">
        <f>IF(AND(C11="Skema 3",B11="ma"),Skemaoplysninger!$AG$31,"")</f>
        <v/>
      </c>
      <c r="CO11" s="210" t="str">
        <f>IF(AND(C11="Skema 3",B11="ti"),Skemaoplysninger!$AI$31,"")</f>
        <v/>
      </c>
      <c r="CP11" s="210" t="str">
        <f>IF(AND(C11="Skema 3",B11="on"),Skemaoplysninger!$AK$31,"")</f>
        <v/>
      </c>
      <c r="CQ11" s="210" t="str">
        <f>IF(AND(C11="Skema 3",B11="to"),Skemaoplysninger!$AM$31,"")</f>
        <v/>
      </c>
      <c r="CR11" s="210" t="str">
        <f>IF(AND(C11="Skema 3",B11="fr"),Skemaoplysninger!$AO$31,"")</f>
        <v/>
      </c>
      <c r="CS11" s="210" t="str">
        <f>IF(AND(C11="Skema 4",B11="ma"),Skemaoplysninger!$AU$31,"")</f>
        <v/>
      </c>
      <c r="CT11" s="210" t="str">
        <f>IF(AND(C11="Skema 4",B11="ti"),Skemaoplysninger!$AW$31,"")</f>
        <v/>
      </c>
      <c r="CU11" s="210" t="str">
        <f>IF(AND(C11="Skema 4",B11="on"),Skemaoplysninger!$AY$31,"")</f>
        <v/>
      </c>
      <c r="CV11" s="210" t="str">
        <f>IF(AND(C11="Skema 4",B11="to"),Skemaoplysninger!$BA$31,"")</f>
        <v/>
      </c>
      <c r="CW11" s="210" t="str">
        <f>IF(AND(C11="Skema 4",B11="fr"),Skemaoplysninger!$BC$31,"")</f>
        <v/>
      </c>
      <c r="CX11" s="249">
        <f>IF(Stamoplysninger!$H$29="NEJ",SUM(CD11:CW11)*24+CB11+CC11,0)</f>
        <v>1</v>
      </c>
      <c r="CY11" s="249">
        <f>IF(C11="Skema 1",Stamoplysninger!$H$30/200,0)</f>
        <v>0</v>
      </c>
      <c r="CZ11" s="249">
        <f>IF(C11="Skema 2",Stamoplysninger!$H$30/200,0)</f>
        <v>0</v>
      </c>
      <c r="DA11" s="249">
        <f>IF(C11="Skema 3",Stamoplysninger!$H$30/200,0)</f>
        <v>0</v>
      </c>
      <c r="DB11" s="249">
        <f>IF(C11="Skema 4",Stamoplysninger!$H$30/200,0)</f>
        <v>0</v>
      </c>
      <c r="DC11" s="249">
        <f>IF(C11="fagdag",Stamoplysninger!$H$30/200,0)</f>
        <v>0</v>
      </c>
      <c r="DD11" s="249">
        <f>IF(C11="emnedag",Stamoplysninger!$H$30/200,0)</f>
        <v>0</v>
      </c>
      <c r="DE11" s="249">
        <f>IF(C11="lejrskole",Stamoplysninger!$H$30/200,0)</f>
        <v>0</v>
      </c>
      <c r="DF11" s="249">
        <f>IF(C11="ekskursion",Stamoplysninger!$H$30/200,0)</f>
        <v>0</v>
      </c>
      <c r="DG11" s="249">
        <f t="shared" si="26"/>
        <v>0</v>
      </c>
      <c r="DH11" t="str">
        <f t="shared" si="27"/>
        <v/>
      </c>
      <c r="DI11">
        <f t="shared" si="28"/>
        <v>0</v>
      </c>
      <c r="DJ11">
        <f t="shared" si="29"/>
        <v>0</v>
      </c>
      <c r="DK11" t="str">
        <f t="shared" si="14"/>
        <v/>
      </c>
      <c r="DL11" t="str">
        <f t="shared" si="14"/>
        <v/>
      </c>
      <c r="DM11" t="str">
        <f t="shared" si="14"/>
        <v/>
      </c>
      <c r="DN11" t="str">
        <f t="shared" si="30"/>
        <v/>
      </c>
      <c r="DO11" s="652">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71">
        <f>IF(AND(Stamoplysninger!$B$22="Ulempetillæg udbetales med 25% af nettotimelønnen.",C11="ikke relevant"),(R11)/4,0)</f>
        <v>0</v>
      </c>
      <c r="DT11" s="671">
        <f>IF(AND(AND(Stamoplysninger!$B$22="Ulempetillæg udbetales med 25% af nettotimelønnen.",I11="X",C11="Ikke relevant")),K11/4,0)</f>
        <v>0</v>
      </c>
      <c r="DU11" s="671">
        <f>IF(AND(AND(Stamoplysninger!$B$22="Ulempetillæg udbetales med 25% af nettotimelønnen.",C11="ikke relevant",U11="X")),(X11/4),0)</f>
        <v>0</v>
      </c>
      <c r="DV11" s="672">
        <f>IF(AND(AND(AND(Stamoplysninger!$B$22="Ulempetillæg udbetales med 25% af nettotimelønnen.",I11="X",C11="Ikke relevant",S11="X"))),V11/4,0)</f>
        <v>0</v>
      </c>
      <c r="DW11" s="652"/>
      <c r="DZ11" s="671"/>
      <c r="EA11" s="671"/>
      <c r="EB11" s="672"/>
      <c r="EC11" s="652">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71">
        <f>IF(AND(Stamoplysninger!$B$22="Ulempetillæg afspadseres med 25%(Kræver en aftale imellem ledelsen og den ansatte)",C11="ikke relevant"),(R11)/4,0)</f>
        <v>0</v>
      </c>
      <c r="EH11" s="671">
        <f>IF(AND(AND(Stamoplysninger!$B$22="Ulempetillæg afspadseres med 25%(Kræver en aftale imellem ledelsen og den ansatte)",I11="X",C11="Ikke relevant")),K11/4,0)</f>
        <v>0</v>
      </c>
      <c r="EI11" s="671">
        <f>IF(AND(AND(Stamoplysninger!$B$22="Ulempetillæg afspadseres med 25%(Kræver en aftale imellem ledelsen og den ansatte)",U11="X",C11="Ikke relevant")),X11/4,0)</f>
        <v>0</v>
      </c>
      <c r="EJ11" s="671">
        <f>IF(AND(AND(AND(Stamoplysninger!$B$22="Ulempetillæg afspadseres med 25%(Kræver en aftale imellem ledelsen og den ansatte)",I11="X",C11="Ikke relevant",S11="X"))),V11/4,0)</f>
        <v>0</v>
      </c>
      <c r="EK11" s="283">
        <f>IF(AND(Stamoplysninger!$B$26="Weekendtimer og weekendtillæg afspadseres.",I11="X"),K11*1.5,0)</f>
        <v>0</v>
      </c>
      <c r="EL11" s="251">
        <f>IF(AND(AND(Stamoplysninger!$B$26="Weekendtimer og weekendtillæg afspadseres.",I11="X",S11="X")),V11*1.5,0)</f>
        <v>0</v>
      </c>
      <c r="EM11" s="674">
        <f>IF(AND(AND(Stamoplysninger!$B$26="Weekendtimer og weekendtillæg afspadseres.",I11="X",C11="ikke relevant")),K11*1.5,0)</f>
        <v>0</v>
      </c>
      <c r="EN11" s="675">
        <f>IF(AND(AND(AND(Stamoplysninger!$B$26="Weekendtimer og weekendtillæg afspadseres.",I11="X",C11="ikke relevant",S11="X"))),(V11*1.5),0)</f>
        <v>0</v>
      </c>
      <c r="EO11" s="283">
        <f>IF(AND(Stamoplysninger!$B$26="Weekendtimer og weekendtillæg udbetales.",I11="X"),K11*1.5,0)</f>
        <v>0</v>
      </c>
      <c r="EP11" s="251">
        <f>IF(AND(AND(Stamoplysninger!$B$26="Weekendtimer og weekendtillæg udbetales.",I11="X",S11="X")),V11*1.5,0)</f>
        <v>0</v>
      </c>
      <c r="EQ11" s="674">
        <f>IF(AND(AND(Stamoplysninger!$B$26="Weekendtimer og weekendtillæg udbetales.",I11="X",C11="ikke relevant")),K11*1.5,0)</f>
        <v>0</v>
      </c>
      <c r="ER11" s="675">
        <f>IF(AND(AND(AND(Stamoplysninger!$B$26="Weekendtimer og weekendtillæg udbetales.",I11="X",C11="ikke relevant",S11="X"))),(V11*1.5),0)</f>
        <v>0</v>
      </c>
      <c r="ES11" s="283">
        <f>IF(AND(Stamoplysninger!$B$26="Der er indgået lokalaftale omkring weekendtimer.(Kræver aftale med TR/FSL) Weekendtillæg afspadseres.",I11="X"),K11*0.5,0)</f>
        <v>0</v>
      </c>
      <c r="ET11" s="251">
        <f>IF(AND(AND(Stamoplysninger!$B$26="Der er indgået lokalaftale omkring weekendtimer.(Kræver aftale med TR/FSL) Weekendtillæg afspadseres.",I11="X",S11="X")),V11*0.5,0)</f>
        <v>0</v>
      </c>
      <c r="EU11" s="674">
        <f>IF(AND(AND(Stamoplysninger!$B$26="Der er indgået lokalaftale omkring weekendtimer.(Kræver aftale med TR/FSL) Weekendtillæg afspadseres.",I11="X",C11="ikke relevant")),K11*0.5,0)</f>
        <v>0</v>
      </c>
      <c r="EV11" s="675">
        <f>IF(AND(AND(AND(Stamoplysninger!$B$26="Der er indgået lokalaftale omkring weekendtimer.(Kræver aftale med TR/FSL) Weekendtillæg afspadseres.",I11="X",C11="ikke relevant",S11="X"))),(V11*0.5),0)</f>
        <v>0</v>
      </c>
      <c r="EW11" s="283">
        <f>IF(AND(Stamoplysninger!$B$26="Der er indgået lokalaftale omkring weekendtimer(Kræver aftale med TR/FSL). Weekendtillæg udbetales.",I11="X"),K11*0.5,0)</f>
        <v>0</v>
      </c>
      <c r="EX11" s="251">
        <f>IF(AND(AND(Stamoplysninger!$B$26="Der er indgået lokalaftale omkring weekendtimer(Kræver aftale med TR/FSL). Weekendtillæg udbetales.",I11="X",S11="X")),V11*0.5,0)</f>
        <v>0</v>
      </c>
      <c r="EY11" s="674">
        <f>IF(AND(AND(Stamoplysninger!$B$26="Der er indgået lokalaftale omkring weekendtimer(Kræver aftale med TR/FSL). Weekendtillæg udbetales.",I11="X",C11="ikke relevant")),K11*0.5,0)</f>
        <v>0</v>
      </c>
      <c r="EZ11" s="675">
        <f>IF(AND(AND(AND(Stamoplysninger!$B$26="Der er indgået lokalaftale omkring weekendtimer(Kræver aftale med TR/FSL). Weekendtillæg udbetales.",I11="X",C11="ikke relevant",S11="X"))),(V11*0.5),0)</f>
        <v>0</v>
      </c>
      <c r="FA11" s="283">
        <f>IF(AND(Stamoplysninger!$B$26="Der er indgået lokalaftale omkring weekendtillæg(Kræver aftale med TR/FSL). Weekendtimerne afspadseres.",I11="X"),K11,0)</f>
        <v>0</v>
      </c>
      <c r="FB11" s="251">
        <f>IF(AND(AND(Stamoplysninger!$B$26="Der er indgået lokalaftale omkring weekendtillæg(Kræver aftale med TR/FSL). Weekendtimerne afspadseres.",I11="X",S11="X")),V11,0)</f>
        <v>0</v>
      </c>
      <c r="FC11" s="674">
        <f>IF(AND(AND(Stamoplysninger!$B$26="Der er indgået lokalaftale omkring weekendtillæg(Kræver aftale med TR/FSL). Weekendtimerne afspadseres..",I11="X",C11="ikke relevant")),K11,0)</f>
        <v>0</v>
      </c>
      <c r="FD11" s="675">
        <f>IF(AND(AND(AND(Stamoplysninger!$B$26="Der er indgået lokalaftale omkring weekendtillæg(Kræver aftale med TR/FSL). Weekendtimerne afspadseres.",I11="X",C11="ikke relevant",S11="X"))),(V11),0)</f>
        <v>0</v>
      </c>
      <c r="FE11" s="283">
        <f>IF(AND(Stamoplysninger!$B$26="Der er indgået lokalaftale omkring weekendtillæg(Kræver aftale med TR/FSL). Weekendtimerne udbetales.",I11="X"),K11,0)</f>
        <v>0</v>
      </c>
      <c r="FF11" s="251">
        <f>IF(AND(AND(Stamoplysninger!$B$26="Der er indgået lokalaftale omkring weekendtillæg(Kræver aftale med TR/FSL). Weekendtimerne udbetales.",I11="X",S11="X")),V11,0)</f>
        <v>0</v>
      </c>
      <c r="FG11" s="674">
        <f>IF(AND(AND(Stamoplysninger!$B$26="Der er indgået lokalaftale omkring weekendtillæg(Kræver aftale med TR/FSL). Weekendtimerne udbetales.",I11="X",C11="ikke relevant")),K11,0)</f>
        <v>0</v>
      </c>
      <c r="FH11" s="675">
        <f>IF(AND(AND(AND(Stamoplysninger!$B$26="Der er indgået lokalaftale omkring weekendtillæg(Kræver aftale med TR/FSL). Weekendtimerne udbetales.",I11="X",C11="ikke relevant",S11="X"))),(V11),0)</f>
        <v>0</v>
      </c>
      <c r="FI11" s="283">
        <f>IF(AND(Stamoplysninger!$B$26="Weekendtimer og weekendtillæg afspadseres.",I11="X"),K11,0)</f>
        <v>0</v>
      </c>
      <c r="FJ11" s="251">
        <f>IF(AND(Stamoplysninger!$B$26="Weekendtimer og weekendtillæg afspadseres.",Y11="X"),(AA11+AL11)/2,0)</f>
        <v>0</v>
      </c>
      <c r="FK11" s="674">
        <f>IF(AND(AND(Stamoplysninger!$B$26="Weekendtimer og weekendtillæg afspadseres.",I11="X",C11="ikke relevant")),K11,0)</f>
        <v>0</v>
      </c>
      <c r="FL11" s="675">
        <f>IF(AND(AND(Stamoplysninger!$B$26="Weekendtimer og weekendtillæg afspadseres.",Y11="X",S11="ikke relevant")),(AA11+AL11)/2,0)</f>
        <v>0</v>
      </c>
      <c r="FM11" s="283">
        <f>IF(AND(Stamoplysninger!$B$26="Der er indgået lokalaftale omkring weekendtillæg(Kræver aftale med TR/FSL). Weekendtimerne afspadseres.",I11="X"),K11,0)</f>
        <v>0</v>
      </c>
      <c r="FN11" s="674">
        <f>IF(AND(AND(Stamoplysninger!$B$26="Der er indgået lokalaftale omkring weekendtillæg(Kræver aftale med TR/FSL). Weekendtimerne afspadseres.",I11="X",C11="ikke relevant")),K11,0)</f>
        <v>0</v>
      </c>
      <c r="FO11" s="283">
        <f>IF(AND(Stamoplysninger!$B$26="Weekendtimer og weekendtillæg udbetales.",I11="X"),K11,0)</f>
        <v>0</v>
      </c>
      <c r="FP11" s="251">
        <f>IF(AND(Stamoplysninger!$B$26="Weekendtimer og weekendtillæg udbetales.",AA11="X"),(AC11+AN11)/2,0)</f>
        <v>0</v>
      </c>
      <c r="FQ11" s="674">
        <f>IF(AND(AND(Stamoplysninger!$B$26="Weekendtimer og weekendtillæg udbetales.",I11="X",C11="ikke relevant")),K11,0)</f>
        <v>0</v>
      </c>
      <c r="FR11" s="688">
        <f>IF(AND(AND(Stamoplysninger!$B$26="Weekendtimer og weekendtillæg udbetales.",AA11="X",U11="ikke relevant")),(AC11+AN11)/2,0)</f>
        <v>0</v>
      </c>
      <c r="FS11" s="283">
        <f t="shared" si="15"/>
        <v>0</v>
      </c>
      <c r="FT11" s="658">
        <f t="shared" si="16"/>
        <v>0</v>
      </c>
      <c r="FU11">
        <f t="shared" si="17"/>
        <v>0</v>
      </c>
      <c r="FV11" s="283">
        <f>IF(AND(Stamoplysninger!$B$26="Der er indgået lokalaftale omkring weekendtimer.(Kræver aftale med TR/FSL) Weekendtillæg afspadseres.",I11="X"),K11,0)</f>
        <v>0</v>
      </c>
      <c r="FW11" s="674">
        <f>IF(AND(AND(Stamoplysninger!$B$26="Der er indgået lokalaftale omkring weekendtimer.(Kræver aftale med TR/FSL) Weekendtillæg afspadseres.",I11="X",C11="ikke relevant")),K11,0)</f>
        <v>0</v>
      </c>
      <c r="FX11" s="283">
        <f>IF(AND(Stamoplysninger!$B$26="Der er indgået lokalaftale omkring weekendtimer(Kræver aftale med TR/FSL). Weekendtillæg udbetales.",I11="X"),K11,0)</f>
        <v>0</v>
      </c>
      <c r="FY11" s="674">
        <f>IF(AND(AND(Stamoplysninger!$B$26="Der er indgået lokalaftale omkring weekendtimer(Kræver aftale med TR/FSL). Weekendtillæg udbetales.",I11="X",C11="ikke relevant")),K11,0)</f>
        <v>0</v>
      </c>
      <c r="FZ11" s="283">
        <f>IF(AND(Stamoplysninger!$B$26="Der er indgået lokalaftale omkring weekendtillæg(Kræver aftale med TR/FSL). Weekendtimerne udbetales.",I11="X"),K11,0)</f>
        <v>0</v>
      </c>
      <c r="GA11" s="674">
        <f>IF(AND(AND(Stamoplysninger!$B$26="Der er indgået lokalaftale omkring weekendtillæg(Kræver aftale med TR/FSL). Weekendtimerne udbetales.",I11="X",C11="ikke relevant")),K11,0)</f>
        <v>0</v>
      </c>
      <c r="GB11" s="283">
        <f>IF(AND(Stamoplysninger!$B$26="Der er indgået lokalaftale omkring weekendtimer og weekendtillæg.(Kræver aftale med TR/FSL).",I11="X"),K11,0)</f>
        <v>0</v>
      </c>
      <c r="GC11" s="674">
        <f>IF(AND(AND(Stamoplysninger!$B$26="Der er indgået lokalaftale omkring weekendtimer og weekendtillæg.(Kræver aftale med TR/FSL).",I11="X",C11="ikke relevant")),K11,0)</f>
        <v>0</v>
      </c>
    </row>
    <row r="12" spans="1:185">
      <c r="A12" s="245">
        <f t="shared" si="18"/>
        <v>4</v>
      </c>
      <c r="B12" s="128" t="str">
        <f t="shared" si="0"/>
        <v>ti</v>
      </c>
      <c r="C12" s="129" t="s">
        <v>207</v>
      </c>
      <c r="D12" s="130" t="str">
        <f t="shared" si="1"/>
        <v/>
      </c>
      <c r="E12" s="917"/>
      <c r="F12" s="918"/>
      <c r="G12" s="919"/>
      <c r="H12" s="298"/>
      <c r="I12" s="527"/>
      <c r="J12" s="413"/>
      <c r="K12" s="380"/>
      <c r="L12" s="380"/>
      <c r="M12" s="380"/>
      <c r="N12" s="318">
        <f t="shared" si="19"/>
        <v>8.5</v>
      </c>
      <c r="O12" s="318">
        <f t="shared" si="20"/>
        <v>3.75</v>
      </c>
      <c r="P12" s="318">
        <f>IF(Stamoplysninger!$H$29="JA",Marts!DG12,CX12)</f>
        <v>1.5</v>
      </c>
      <c r="Q12" s="318">
        <f t="shared" si="21"/>
        <v>3.25</v>
      </c>
      <c r="R12" s="319"/>
      <c r="S12" s="324"/>
      <c r="T12" s="325"/>
      <c r="U12" s="325"/>
      <c r="V12" s="435"/>
      <c r="W12" s="412"/>
      <c r="X12" s="642"/>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f>IF(AND(C12="Skema 2",B12="ti"),Arbejdstidsoversigt!$E$82,"")</f>
        <v>8.5</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8.5</v>
      </c>
      <c r="BB12" s="229">
        <f t="shared" si="8"/>
        <v>0</v>
      </c>
      <c r="BC12" s="1">
        <f t="shared" si="24"/>
        <v>0</v>
      </c>
      <c r="BD12" s="1">
        <f t="shared" si="9"/>
        <v>0</v>
      </c>
      <c r="BE12" s="1">
        <f t="shared" si="10"/>
        <v>0</v>
      </c>
      <c r="BF12" s="1">
        <f t="shared" si="11"/>
        <v>0</v>
      </c>
      <c r="BG12" s="210" t="str">
        <f>IF(AND(C12="Skema 1",B12="ma"),Skemaoplysninger!$E$30,"")</f>
        <v/>
      </c>
      <c r="BH12" s="210" t="str">
        <f>IF(AND(C12="Skema 1",B12="ti"),Skemaoplysninger!$G$30,"")</f>
        <v/>
      </c>
      <c r="BI12" s="210" t="str">
        <f>IF(AND(C12="Skema 1",B12="on"),Skemaoplysninger!$I$30,"")</f>
        <v/>
      </c>
      <c r="BJ12" s="210" t="str">
        <f>IF(AND(C12="Skema 1",B12="to"),Skemaoplysninger!$K$30,"")</f>
        <v/>
      </c>
      <c r="BK12" s="210" t="str">
        <f>IF(AND(C12="Skema 1",B12="fr"),Skemaoplysninger!$M$30,"")</f>
        <v/>
      </c>
      <c r="BL12" s="210" t="str">
        <f>IF(AND(C12="Skema 2",B12="ma"),Skemaoplysninger!$S$30,"")</f>
        <v/>
      </c>
      <c r="BM12" s="210">
        <f>IF(AND(C12="Skema 2",B12="ti"),Skemaoplysninger!$U$30,"")</f>
        <v>0.15625</v>
      </c>
      <c r="BN12" s="210" t="str">
        <f>IF(AND(C12="Skema 2",B12="on"),Skemaoplysninger!$W$30,"")</f>
        <v/>
      </c>
      <c r="BO12" s="210" t="str">
        <f>IF(AND(C12="Skema 2",B12="to"),Skemaoplysninger!$Y$30,"")</f>
        <v/>
      </c>
      <c r="BP12" s="210" t="str">
        <f>IF(AND(C12="Skema 2",B12="fr"),Skemaoplysninger!$AA$30,"")</f>
        <v/>
      </c>
      <c r="BQ12" s="210" t="str">
        <f>IF(AND(C12="Skema 3",B12="ma"),Skemaoplysninger!$AG$30,"")</f>
        <v/>
      </c>
      <c r="BR12" s="210" t="str">
        <f>IF(AND(C12="Skema 3",B12="ti"),Skemaoplysninger!$AI$30,"")</f>
        <v/>
      </c>
      <c r="BS12" s="210" t="str">
        <f>IF(AND(C12="Skema 3",B12="on"),Skemaoplysninger!$AK$30,"")</f>
        <v/>
      </c>
      <c r="BT12" s="210" t="str">
        <f>IF(AND(C12="Skema 3",B12="to"),Skemaoplysninger!$AM$30,"")</f>
        <v/>
      </c>
      <c r="BU12" s="210" t="str">
        <f>IF(AND(C12="Skema 3",B12="fr"),Skemaoplysninger!$AO$30,"")</f>
        <v/>
      </c>
      <c r="BV12" s="210" t="str">
        <f>IF(AND(C12="Skema 4",B12="ma"),Skemaoplysninger!$AU$30,"")</f>
        <v/>
      </c>
      <c r="BW12" s="210" t="str">
        <f>IF(AND(C12="Skema 4",B12="ti"),Skemaoplysninger!$AW$30,"")</f>
        <v/>
      </c>
      <c r="BX12" s="210" t="str">
        <f>IF(AND(C12="Skema 4",B12="on"),Skemaoplysninger!$AY$30,"")</f>
        <v/>
      </c>
      <c r="BY12" s="210" t="str">
        <f>IF(AND(C12="Skema 4",B12="to"),Skemaoplysninger!$BA$30,"")</f>
        <v/>
      </c>
      <c r="BZ12" s="210" t="str">
        <f>IF(AND(C12="Skema 4",B12="fr"),Skemaoplysninger!$BC$30,"")</f>
        <v/>
      </c>
      <c r="CA12" s="1">
        <f t="shared" si="25"/>
        <v>3.75</v>
      </c>
      <c r="CB12" s="1">
        <f t="shared" si="12"/>
        <v>0</v>
      </c>
      <c r="CC12" s="1">
        <f t="shared" si="13"/>
        <v>0</v>
      </c>
      <c r="CD12" s="210" t="str">
        <f>IF(AND(C12="Skema 1",B12="ma"),Skemaoplysninger!$E$31,"")</f>
        <v/>
      </c>
      <c r="CE12" s="210" t="str">
        <f>IF(AND(C12="Skema 1",B12="ti"),Skemaoplysninger!$G$31,"")</f>
        <v/>
      </c>
      <c r="CF12" s="210" t="str">
        <f>IF(AND(C12="Skema 1",B12="on"),Skemaoplysninger!$I$31,"")</f>
        <v/>
      </c>
      <c r="CG12" s="210" t="str">
        <f>IF(AND(C12="Skema 1",B12="to"),Skemaoplysninger!$K$31,"")</f>
        <v/>
      </c>
      <c r="CH12" s="210" t="str">
        <f>IF(AND(C12="Skema 1",B12="fr"),Skemaoplysninger!$M$31,"")</f>
        <v/>
      </c>
      <c r="CI12" s="210" t="str">
        <f>IF(AND(C12="Skema 2",B12="ma"),Skemaoplysninger!$S$31,"")</f>
        <v/>
      </c>
      <c r="CJ12" s="210">
        <f>IF(AND(C12="Skema 2",B12="ti"),Skemaoplysninger!$U$31,"")</f>
        <v>6.25E-2</v>
      </c>
      <c r="CK12" s="210" t="str">
        <f>IF(AND(C12="Skema 2",B12="on"),Skemaoplysninger!$W$31,"")</f>
        <v/>
      </c>
      <c r="CL12" s="210" t="str">
        <f>IF(AND(C12="Skema 2",B12="to"),Skemaoplysninger!$Y$31,"")</f>
        <v/>
      </c>
      <c r="CM12" s="210" t="str">
        <f>IF(AND(C12="Skema 2",B12="fr"),Skemaoplysninger!$AA$31,"")</f>
        <v/>
      </c>
      <c r="CN12" s="210" t="str">
        <f>IF(AND(C12="Skema 3",B12="ma"),Skemaoplysninger!$AG$31,"")</f>
        <v/>
      </c>
      <c r="CO12" s="210" t="str">
        <f>IF(AND(C12="Skema 3",B12="ti"),Skemaoplysninger!$AI$31,"")</f>
        <v/>
      </c>
      <c r="CP12" s="210" t="str">
        <f>IF(AND(C12="Skema 3",B12="on"),Skemaoplysninger!$AK$31,"")</f>
        <v/>
      </c>
      <c r="CQ12" s="210" t="str">
        <f>IF(AND(C12="Skema 3",B12="to"),Skemaoplysninger!$AM$31,"")</f>
        <v/>
      </c>
      <c r="CR12" s="210" t="str">
        <f>IF(AND(C12="Skema 3",B12="fr"),Skemaoplysninger!$AO$31,"")</f>
        <v/>
      </c>
      <c r="CS12" s="210" t="str">
        <f>IF(AND(C12="Skema 4",B12="ma"),Skemaoplysninger!$AU$31,"")</f>
        <v/>
      </c>
      <c r="CT12" s="210" t="str">
        <f>IF(AND(C12="Skema 4",B12="ti"),Skemaoplysninger!$AW$31,"")</f>
        <v/>
      </c>
      <c r="CU12" s="210" t="str">
        <f>IF(AND(C12="Skema 4",B12="on"),Skemaoplysninger!$AY$31,"")</f>
        <v/>
      </c>
      <c r="CV12" s="210" t="str">
        <f>IF(AND(C12="Skema 4",B12="to"),Skemaoplysninger!$BA$31,"")</f>
        <v/>
      </c>
      <c r="CW12" s="210" t="str">
        <f>IF(AND(C12="Skema 4",B12="fr"),Skemaoplysninger!$BC$31,"")</f>
        <v/>
      </c>
      <c r="CX12" s="249">
        <f>IF(Stamoplysninger!$H$29="NEJ",SUM(CD12:CW12)*24+CB12+CC12,0)</f>
        <v>1.5</v>
      </c>
      <c r="CY12" s="249">
        <f>IF(C12="Skema 1",Stamoplysninger!$H$30/200,0)</f>
        <v>0</v>
      </c>
      <c r="CZ12" s="249">
        <f>IF(C12="Skema 2",Stamoplysninger!$H$30/200,0)</f>
        <v>0</v>
      </c>
      <c r="DA12" s="249">
        <f>IF(C12="Skema 3",Stamoplysninger!$H$30/200,0)</f>
        <v>0</v>
      </c>
      <c r="DB12" s="249">
        <f>IF(C12="Skema 4",Stamoplysninger!$H$30/200,0)</f>
        <v>0</v>
      </c>
      <c r="DC12" s="249">
        <f>IF(C12="fagdag",Stamoplysninger!$H$30/200,0)</f>
        <v>0</v>
      </c>
      <c r="DD12" s="249">
        <f>IF(C12="emnedag",Stamoplysninger!$H$30/200,0)</f>
        <v>0</v>
      </c>
      <c r="DE12" s="249">
        <f>IF(C12="lejrskole",Stamoplysninger!$H$30/200,0)</f>
        <v>0</v>
      </c>
      <c r="DF12" s="249">
        <f>IF(C12="ekskursion",Stamoplysninger!$H$30/200,0)</f>
        <v>0</v>
      </c>
      <c r="DG12" s="249">
        <f t="shared" si="26"/>
        <v>0</v>
      </c>
      <c r="DH12" t="str">
        <f t="shared" si="27"/>
        <v/>
      </c>
      <c r="DI12">
        <f t="shared" si="28"/>
        <v>0</v>
      </c>
      <c r="DJ12">
        <f>IF(E12="",H12,"")</f>
        <v>0</v>
      </c>
      <c r="DK12" t="str">
        <f t="shared" si="14"/>
        <v/>
      </c>
      <c r="DL12" t="str">
        <f t="shared" si="14"/>
        <v/>
      </c>
      <c r="DM12" t="str">
        <f t="shared" si="14"/>
        <v/>
      </c>
      <c r="DN12" t="str">
        <f t="shared" si="30"/>
        <v/>
      </c>
      <c r="DO12" s="652">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71">
        <f>IF(AND(Stamoplysninger!$B$22="Ulempetillæg udbetales med 25% af nettotimelønnen.",C12="ikke relevant"),(R12)/4,0)</f>
        <v>0</v>
      </c>
      <c r="DT12" s="671">
        <f>IF(AND(AND(Stamoplysninger!$B$22="Ulempetillæg udbetales med 25% af nettotimelønnen.",I12="X",C12="Ikke relevant")),K12/4,0)</f>
        <v>0</v>
      </c>
      <c r="DU12" s="671">
        <f>IF(AND(AND(Stamoplysninger!$B$22="Ulempetillæg udbetales med 25% af nettotimelønnen.",C12="ikke relevant",U12="X")),(X12/4),0)</f>
        <v>0</v>
      </c>
      <c r="DV12" s="672">
        <f>IF(AND(AND(AND(Stamoplysninger!$B$22="Ulempetillæg udbetales med 25% af nettotimelønnen.",I12="X",C12="Ikke relevant",S12="X"))),V12/4,0)</f>
        <v>0</v>
      </c>
      <c r="DW12" s="652"/>
      <c r="DZ12" s="671"/>
      <c r="EA12" s="671"/>
      <c r="EB12" s="672"/>
      <c r="EC12" s="652">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71">
        <f>IF(AND(Stamoplysninger!$B$22="Ulempetillæg afspadseres med 25%(Kræver en aftale imellem ledelsen og den ansatte)",C12="ikke relevant"),(R12)/4,0)</f>
        <v>0</v>
      </c>
      <c r="EH12" s="671">
        <f>IF(AND(AND(Stamoplysninger!$B$22="Ulempetillæg afspadseres med 25%(Kræver en aftale imellem ledelsen og den ansatte)",I12="X",C12="Ikke relevant")),K12/4,0)</f>
        <v>0</v>
      </c>
      <c r="EI12" s="671">
        <f>IF(AND(AND(Stamoplysninger!$B$22="Ulempetillæg afspadseres med 25%(Kræver en aftale imellem ledelsen og den ansatte)",U12="X",C12="Ikke relevant")),X12/4,0)</f>
        <v>0</v>
      </c>
      <c r="EJ12" s="671">
        <f>IF(AND(AND(AND(Stamoplysninger!$B$22="Ulempetillæg afspadseres med 25%(Kræver en aftale imellem ledelsen og den ansatte)",I12="X",C12="Ikke relevant",S12="X"))),V12/4,0)</f>
        <v>0</v>
      </c>
      <c r="EK12" s="283">
        <f>IF(AND(Stamoplysninger!$B$26="Weekendtimer og weekendtillæg afspadseres.",I12="X"),K12*1.5,0)</f>
        <v>0</v>
      </c>
      <c r="EL12" s="251">
        <f>IF(AND(AND(Stamoplysninger!$B$26="Weekendtimer og weekendtillæg afspadseres.",I12="X",S12="X")),V12*1.5,0)</f>
        <v>0</v>
      </c>
      <c r="EM12" s="674">
        <f>IF(AND(AND(Stamoplysninger!$B$26="Weekendtimer og weekendtillæg afspadseres.",I12="X",C12="ikke relevant")),K12*1.5,0)</f>
        <v>0</v>
      </c>
      <c r="EN12" s="675">
        <f>IF(AND(AND(AND(Stamoplysninger!$B$26="Weekendtimer og weekendtillæg afspadseres.",I12="X",C12="ikke relevant",S12="X"))),(V12*1.5),0)</f>
        <v>0</v>
      </c>
      <c r="EO12" s="283">
        <f>IF(AND(Stamoplysninger!$B$26="Weekendtimer og weekendtillæg udbetales.",I12="X"),K12*1.5,0)</f>
        <v>0</v>
      </c>
      <c r="EP12" s="251">
        <f>IF(AND(AND(Stamoplysninger!$B$26="Weekendtimer og weekendtillæg udbetales.",I12="X",S12="X")),V12*1.5,0)</f>
        <v>0</v>
      </c>
      <c r="EQ12" s="674">
        <f>IF(AND(AND(Stamoplysninger!$B$26="Weekendtimer og weekendtillæg udbetales.",I12="X",C12="ikke relevant")),K12*1.5,0)</f>
        <v>0</v>
      </c>
      <c r="ER12" s="675">
        <f>IF(AND(AND(AND(Stamoplysninger!$B$26="Weekendtimer og weekendtillæg udbetales.",I12="X",C12="ikke relevant",S12="X"))),(V12*1.5),0)</f>
        <v>0</v>
      </c>
      <c r="ES12" s="283">
        <f>IF(AND(Stamoplysninger!$B$26="Der er indgået lokalaftale omkring weekendtimer.(Kræver aftale med TR/FSL) Weekendtillæg afspadseres.",I12="X"),K12*0.5,0)</f>
        <v>0</v>
      </c>
      <c r="ET12" s="251">
        <f>IF(AND(AND(Stamoplysninger!$B$26="Der er indgået lokalaftale omkring weekendtimer.(Kræver aftale med TR/FSL) Weekendtillæg afspadseres.",I12="X",S12="X")),V12*0.5,0)</f>
        <v>0</v>
      </c>
      <c r="EU12" s="674">
        <f>IF(AND(AND(Stamoplysninger!$B$26="Der er indgået lokalaftale omkring weekendtimer.(Kræver aftale med TR/FSL) Weekendtillæg afspadseres.",I12="X",C12="ikke relevant")),K12*0.5,0)</f>
        <v>0</v>
      </c>
      <c r="EV12" s="675">
        <f>IF(AND(AND(AND(Stamoplysninger!$B$26="Der er indgået lokalaftale omkring weekendtimer.(Kræver aftale med TR/FSL) Weekendtillæg afspadseres.",I12="X",C12="ikke relevant",S12="X"))),(V12*0.5),0)</f>
        <v>0</v>
      </c>
      <c r="EW12" s="283">
        <f>IF(AND(Stamoplysninger!$B$26="Der er indgået lokalaftale omkring weekendtimer(Kræver aftale med TR/FSL). Weekendtillæg udbetales.",I12="X"),K12*0.5,0)</f>
        <v>0</v>
      </c>
      <c r="EX12" s="251">
        <f>IF(AND(AND(Stamoplysninger!$B$26="Der er indgået lokalaftale omkring weekendtimer(Kræver aftale med TR/FSL). Weekendtillæg udbetales.",I12="X",S12="X")),V12*0.5,0)</f>
        <v>0</v>
      </c>
      <c r="EY12" s="674">
        <f>IF(AND(AND(Stamoplysninger!$B$26="Der er indgået lokalaftale omkring weekendtimer(Kræver aftale med TR/FSL). Weekendtillæg udbetales.",I12="X",C12="ikke relevant")),K12*0.5,0)</f>
        <v>0</v>
      </c>
      <c r="EZ12" s="675">
        <f>IF(AND(AND(AND(Stamoplysninger!$B$26="Der er indgået lokalaftale omkring weekendtimer(Kræver aftale med TR/FSL). Weekendtillæg udbetales.",I12="X",C12="ikke relevant",S12="X"))),(V12*0.5),0)</f>
        <v>0</v>
      </c>
      <c r="FA12" s="283">
        <f>IF(AND(Stamoplysninger!$B$26="Der er indgået lokalaftale omkring weekendtillæg(Kræver aftale med TR/FSL). Weekendtimerne afspadseres.",I12="X"),K12,0)</f>
        <v>0</v>
      </c>
      <c r="FB12" s="251">
        <f>IF(AND(AND(Stamoplysninger!$B$26="Der er indgået lokalaftale omkring weekendtillæg(Kræver aftale med TR/FSL). Weekendtimerne afspadseres.",I12="X",S12="X")),V12,0)</f>
        <v>0</v>
      </c>
      <c r="FC12" s="674">
        <f>IF(AND(AND(Stamoplysninger!$B$26="Der er indgået lokalaftale omkring weekendtillæg(Kræver aftale med TR/FSL). Weekendtimerne afspadseres..",I12="X",C12="ikke relevant")),K12,0)</f>
        <v>0</v>
      </c>
      <c r="FD12" s="675">
        <f>IF(AND(AND(AND(Stamoplysninger!$B$26="Der er indgået lokalaftale omkring weekendtillæg(Kræver aftale med TR/FSL). Weekendtimerne afspadseres.",I12="X",C12="ikke relevant",S12="X"))),(V12),0)</f>
        <v>0</v>
      </c>
      <c r="FE12" s="283">
        <f>IF(AND(Stamoplysninger!$B$26="Der er indgået lokalaftale omkring weekendtillæg(Kræver aftale med TR/FSL). Weekendtimerne udbetales.",I12="X"),K12,0)</f>
        <v>0</v>
      </c>
      <c r="FF12" s="251">
        <f>IF(AND(AND(Stamoplysninger!$B$26="Der er indgået lokalaftale omkring weekendtillæg(Kræver aftale med TR/FSL). Weekendtimerne udbetales.",I12="X",S12="X")),V12,0)</f>
        <v>0</v>
      </c>
      <c r="FG12" s="674">
        <f>IF(AND(AND(Stamoplysninger!$B$26="Der er indgået lokalaftale omkring weekendtillæg(Kræver aftale med TR/FSL). Weekendtimerne udbetales.",I12="X",C12="ikke relevant")),K12,0)</f>
        <v>0</v>
      </c>
      <c r="FH12" s="675">
        <f>IF(AND(AND(AND(Stamoplysninger!$B$26="Der er indgået lokalaftale omkring weekendtillæg(Kræver aftale med TR/FSL). Weekendtimerne udbetales.",I12="X",C12="ikke relevant",S12="X"))),(V12),0)</f>
        <v>0</v>
      </c>
      <c r="FI12" s="283">
        <f>IF(AND(Stamoplysninger!$B$26="Weekendtimer og weekendtillæg afspadseres.",I12="X"),K12,0)</f>
        <v>0</v>
      </c>
      <c r="FJ12" s="251">
        <f>IF(AND(Stamoplysninger!$B$26="Weekendtimer og weekendtillæg afspadseres.",Y12="X"),(AA12+AL12)/2,0)</f>
        <v>0</v>
      </c>
      <c r="FK12" s="674">
        <f>IF(AND(AND(Stamoplysninger!$B$26="Weekendtimer og weekendtillæg afspadseres.",I12="X",C12="ikke relevant")),K12,0)</f>
        <v>0</v>
      </c>
      <c r="FL12" s="675">
        <f>IF(AND(AND(Stamoplysninger!$B$26="Weekendtimer og weekendtillæg afspadseres.",Y12="X",S12="ikke relevant")),(AA12+AL12)/2,0)</f>
        <v>0</v>
      </c>
      <c r="FM12" s="283">
        <f>IF(AND(Stamoplysninger!$B$26="Der er indgået lokalaftale omkring weekendtillæg(Kræver aftale med TR/FSL). Weekendtimerne afspadseres.",I12="X"),K12,0)</f>
        <v>0</v>
      </c>
      <c r="FN12" s="674">
        <f>IF(AND(AND(Stamoplysninger!$B$26="Der er indgået lokalaftale omkring weekendtillæg(Kræver aftale med TR/FSL). Weekendtimerne afspadseres.",I12="X",C12="ikke relevant")),K12,0)</f>
        <v>0</v>
      </c>
      <c r="FO12" s="283">
        <f>IF(AND(Stamoplysninger!$B$26="Weekendtimer og weekendtillæg udbetales.",I12="X"),K12,0)</f>
        <v>0</v>
      </c>
      <c r="FP12" s="251">
        <f>IF(AND(Stamoplysninger!$B$26="Weekendtimer og weekendtillæg udbetales.",AA12="X"),(AC12+AN12)/2,0)</f>
        <v>0</v>
      </c>
      <c r="FQ12" s="674">
        <f>IF(AND(AND(Stamoplysninger!$B$26="Weekendtimer og weekendtillæg udbetales.",I12="X",C12="ikke relevant")),K12,0)</f>
        <v>0</v>
      </c>
      <c r="FR12" s="688">
        <f>IF(AND(AND(Stamoplysninger!$B$26="Weekendtimer og weekendtillæg udbetales.",AA12="X",U12="ikke relevant")),(AC12+AN12)/2,0)</f>
        <v>0</v>
      </c>
      <c r="FS12" s="283">
        <f t="shared" si="15"/>
        <v>0</v>
      </c>
      <c r="FT12" s="658">
        <f t="shared" si="16"/>
        <v>0</v>
      </c>
      <c r="FU12">
        <f t="shared" si="17"/>
        <v>0</v>
      </c>
      <c r="FV12" s="283">
        <f>IF(AND(Stamoplysninger!$B$26="Der er indgået lokalaftale omkring weekendtimer.(Kræver aftale med TR/FSL) Weekendtillæg afspadseres.",I12="X"),K12,0)</f>
        <v>0</v>
      </c>
      <c r="FW12" s="674">
        <f>IF(AND(AND(Stamoplysninger!$B$26="Der er indgået lokalaftale omkring weekendtimer.(Kræver aftale med TR/FSL) Weekendtillæg afspadseres.",I12="X",C12="ikke relevant")),K12,0)</f>
        <v>0</v>
      </c>
      <c r="FX12" s="283">
        <f>IF(AND(Stamoplysninger!$B$26="Der er indgået lokalaftale omkring weekendtimer(Kræver aftale med TR/FSL). Weekendtillæg udbetales.",I12="X"),K12,0)</f>
        <v>0</v>
      </c>
      <c r="FY12" s="674">
        <f>IF(AND(AND(Stamoplysninger!$B$26="Der er indgået lokalaftale omkring weekendtimer(Kræver aftale med TR/FSL). Weekendtillæg udbetales.",I12="X",C12="ikke relevant")),K12,0)</f>
        <v>0</v>
      </c>
      <c r="FZ12" s="283">
        <f>IF(AND(Stamoplysninger!$B$26="Der er indgået lokalaftale omkring weekendtillæg(Kræver aftale med TR/FSL). Weekendtimerne udbetales.",I12="X"),K12,0)</f>
        <v>0</v>
      </c>
      <c r="GA12" s="674">
        <f>IF(AND(AND(Stamoplysninger!$B$26="Der er indgået lokalaftale omkring weekendtillæg(Kræver aftale med TR/FSL). Weekendtimerne udbetales.",I12="X",C12="ikke relevant")),K12,0)</f>
        <v>0</v>
      </c>
      <c r="GB12" s="283">
        <f>IF(AND(Stamoplysninger!$B$26="Der er indgået lokalaftale omkring weekendtimer og weekendtillæg.(Kræver aftale med TR/FSL).",I12="X"),K12,0)</f>
        <v>0</v>
      </c>
      <c r="GC12" s="674">
        <f>IF(AND(AND(Stamoplysninger!$B$26="Der er indgået lokalaftale omkring weekendtimer og weekendtillæg.(Kræver aftale med TR/FSL).",I12="X",C12="ikke relevant")),K12,0)</f>
        <v>0</v>
      </c>
    </row>
    <row r="13" spans="1:185">
      <c r="A13" s="245">
        <f t="shared" si="18"/>
        <v>5</v>
      </c>
      <c r="B13" s="128" t="str">
        <f t="shared" si="0"/>
        <v>on</v>
      </c>
      <c r="C13" s="129" t="s">
        <v>207</v>
      </c>
      <c r="D13" s="130" t="str">
        <f t="shared" si="1"/>
        <v/>
      </c>
      <c r="E13" s="917"/>
      <c r="F13" s="918"/>
      <c r="G13" s="919"/>
      <c r="H13" s="298"/>
      <c r="I13" s="527"/>
      <c r="J13" s="413"/>
      <c r="K13" s="380"/>
      <c r="L13" s="380"/>
      <c r="M13" s="380"/>
      <c r="N13" s="318">
        <f t="shared" si="19"/>
        <v>7.75</v>
      </c>
      <c r="O13" s="318">
        <f t="shared" si="20"/>
        <v>4.25</v>
      </c>
      <c r="P13" s="318">
        <f>IF(Stamoplysninger!$H$29="JA",Marts!DG13,CX13)</f>
        <v>1</v>
      </c>
      <c r="Q13" s="318">
        <f t="shared" si="21"/>
        <v>2.5</v>
      </c>
      <c r="R13" s="319"/>
      <c r="S13" s="324"/>
      <c r="T13" s="325"/>
      <c r="U13" s="325"/>
      <c r="V13" s="435"/>
      <c r="W13" s="412"/>
      <c r="X13" s="642"/>
      <c r="Y13">
        <f t="shared" si="22"/>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f>IF(AND(C13="Skema 2",B13="on"),Arbejdstidsoversigt!$E$83,"")</f>
        <v>7.75</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7.75</v>
      </c>
      <c r="BB13" s="229">
        <f t="shared" si="8"/>
        <v>0</v>
      </c>
      <c r="BC13" s="1">
        <f t="shared" si="24"/>
        <v>0</v>
      </c>
      <c r="BD13" s="1">
        <f t="shared" si="9"/>
        <v>0</v>
      </c>
      <c r="BE13" s="1">
        <f t="shared" si="10"/>
        <v>0</v>
      </c>
      <c r="BF13" s="1">
        <f t="shared" si="11"/>
        <v>0</v>
      </c>
      <c r="BG13" s="210" t="str">
        <f>IF(AND(C13="Skema 1",B13="ma"),Skemaoplysninger!$E$30,"")</f>
        <v/>
      </c>
      <c r="BH13" s="210" t="str">
        <f>IF(AND(C13="Skema 1",B13="ti"),Skemaoplysninger!$G$30,"")</f>
        <v/>
      </c>
      <c r="BI13" s="210" t="str">
        <f>IF(AND(C13="Skema 1",B13="on"),Skemaoplysninger!$I$30,"")</f>
        <v/>
      </c>
      <c r="BJ13" s="210" t="str">
        <f>IF(AND(C13="Skema 1",B13="to"),Skemaoplysninger!$K$30,"")</f>
        <v/>
      </c>
      <c r="BK13" s="210" t="str">
        <f>IF(AND(C13="Skema 1",B13="fr"),Skemaoplysninger!$M$30,"")</f>
        <v/>
      </c>
      <c r="BL13" s="210" t="str">
        <f>IF(AND(C13="Skema 2",B13="ma"),Skemaoplysninger!$S$30,"")</f>
        <v/>
      </c>
      <c r="BM13" s="210" t="str">
        <f>IF(AND(C13="Skema 2",B13="ti"),Skemaoplysninger!$U$30,"")</f>
        <v/>
      </c>
      <c r="BN13" s="210">
        <f>IF(AND(C13="Skema 2",B13="on"),Skemaoplysninger!$W$30,"")</f>
        <v>0.17708333333333331</v>
      </c>
      <c r="BO13" s="210" t="str">
        <f>IF(AND(C13="Skema 2",B13="to"),Skemaoplysninger!$Y$30,"")</f>
        <v/>
      </c>
      <c r="BP13" s="210" t="str">
        <f>IF(AND(C13="Skema 2",B13="fr"),Skemaoplysninger!$AA$30,"")</f>
        <v/>
      </c>
      <c r="BQ13" s="210" t="str">
        <f>IF(AND(C13="Skema 3",B13="ma"),Skemaoplysninger!$AG$30,"")</f>
        <v/>
      </c>
      <c r="BR13" s="210" t="str">
        <f>IF(AND(C13="Skema 3",B13="ti"),Skemaoplysninger!$AI$30,"")</f>
        <v/>
      </c>
      <c r="BS13" s="210" t="str">
        <f>IF(AND(C13="Skema 3",B13="on"),Skemaoplysninger!$AK$30,"")</f>
        <v/>
      </c>
      <c r="BT13" s="210" t="str">
        <f>IF(AND(C13="Skema 3",B13="to"),Skemaoplysninger!$AM$30,"")</f>
        <v/>
      </c>
      <c r="BU13" s="210" t="str">
        <f>IF(AND(C13="Skema 3",B13="fr"),Skemaoplysninger!$AO$30,"")</f>
        <v/>
      </c>
      <c r="BV13" s="210" t="str">
        <f>IF(AND(C13="Skema 4",B13="ma"),Skemaoplysninger!$AU$30,"")</f>
        <v/>
      </c>
      <c r="BW13" s="210" t="str">
        <f>IF(AND(C13="Skema 4",B13="ti"),Skemaoplysninger!$AW$30,"")</f>
        <v/>
      </c>
      <c r="BX13" s="210" t="str">
        <f>IF(AND(C13="Skema 4",B13="on"),Skemaoplysninger!$AY$30,"")</f>
        <v/>
      </c>
      <c r="BY13" s="210" t="str">
        <f>IF(AND(C13="Skema 4",B13="to"),Skemaoplysninger!$BA$30,"")</f>
        <v/>
      </c>
      <c r="BZ13" s="210" t="str">
        <f>IF(AND(C13="Skema 4",B13="fr"),Skemaoplysninger!$BC$30,"")</f>
        <v/>
      </c>
      <c r="CA13" s="1">
        <f t="shared" si="25"/>
        <v>4.25</v>
      </c>
      <c r="CB13" s="1">
        <f t="shared" si="12"/>
        <v>0</v>
      </c>
      <c r="CC13" s="1">
        <f t="shared" si="13"/>
        <v>0</v>
      </c>
      <c r="CD13" s="210" t="str">
        <f>IF(AND(C13="Skema 1",B13="ma"),Skemaoplysninger!$E$31,"")</f>
        <v/>
      </c>
      <c r="CE13" s="210" t="str">
        <f>IF(AND(C13="Skema 1",B13="ti"),Skemaoplysninger!$G$31,"")</f>
        <v/>
      </c>
      <c r="CF13" s="210" t="str">
        <f>IF(AND(C13="Skema 1",B13="on"),Skemaoplysninger!$I$31,"")</f>
        <v/>
      </c>
      <c r="CG13" s="210" t="str">
        <f>IF(AND(C13="Skema 1",B13="to"),Skemaoplysninger!$K$31,"")</f>
        <v/>
      </c>
      <c r="CH13" s="210" t="str">
        <f>IF(AND(C13="Skema 1",B13="fr"),Skemaoplysninger!$M$31,"")</f>
        <v/>
      </c>
      <c r="CI13" s="210" t="str">
        <f>IF(AND(C13="Skema 2",B13="ma"),Skemaoplysninger!$S$31,"")</f>
        <v/>
      </c>
      <c r="CJ13" s="210" t="str">
        <f>IF(AND(C13="Skema 2",B13="ti"),Skemaoplysninger!$U$31,"")</f>
        <v/>
      </c>
      <c r="CK13" s="210">
        <f>IF(AND(C13="Skema 2",B13="on"),Skemaoplysninger!$W$31,"")</f>
        <v>4.1666666666666664E-2</v>
      </c>
      <c r="CL13" s="210" t="str">
        <f>IF(AND(C13="Skema 2",B13="to"),Skemaoplysninger!$Y$31,"")</f>
        <v/>
      </c>
      <c r="CM13" s="210" t="str">
        <f>IF(AND(C13="Skema 2",B13="fr"),Skemaoplysninger!$AA$31,"")</f>
        <v/>
      </c>
      <c r="CN13" s="210" t="str">
        <f>IF(AND(C13="Skema 3",B13="ma"),Skemaoplysninger!$AG$31,"")</f>
        <v/>
      </c>
      <c r="CO13" s="210" t="str">
        <f>IF(AND(C13="Skema 3",B13="ti"),Skemaoplysninger!$AI$31,"")</f>
        <v/>
      </c>
      <c r="CP13" s="210" t="str">
        <f>IF(AND(C13="Skema 3",B13="on"),Skemaoplysninger!$AK$31,"")</f>
        <v/>
      </c>
      <c r="CQ13" s="210" t="str">
        <f>IF(AND(C13="Skema 3",B13="to"),Skemaoplysninger!$AM$31,"")</f>
        <v/>
      </c>
      <c r="CR13" s="210" t="str">
        <f>IF(AND(C13="Skema 3",B13="fr"),Skemaoplysninger!$AO$31,"")</f>
        <v/>
      </c>
      <c r="CS13" s="210" t="str">
        <f>IF(AND(C13="Skema 4",B13="ma"),Skemaoplysninger!$AU$31,"")</f>
        <v/>
      </c>
      <c r="CT13" s="210" t="str">
        <f>IF(AND(C13="Skema 4",B13="ti"),Skemaoplysninger!$AW$31,"")</f>
        <v/>
      </c>
      <c r="CU13" s="210" t="str">
        <f>IF(AND(C13="Skema 4",B13="on"),Skemaoplysninger!$AY$31,"")</f>
        <v/>
      </c>
      <c r="CV13" s="210" t="str">
        <f>IF(AND(C13="Skema 4",B13="to"),Skemaoplysninger!$BA$31,"")</f>
        <v/>
      </c>
      <c r="CW13" s="210" t="str">
        <f>IF(AND(C13="Skema 4",B13="fr"),Skemaoplysninger!$BC$31,"")</f>
        <v/>
      </c>
      <c r="CX13" s="249">
        <f>IF(Stamoplysninger!$H$29="NEJ",SUM(CD13:CW13)*24+CB13+CC13,0)</f>
        <v>1</v>
      </c>
      <c r="CY13" s="249">
        <f>IF(C13="Skema 1",Stamoplysninger!$H$30/200,0)</f>
        <v>0</v>
      </c>
      <c r="CZ13" s="249">
        <f>IF(C13="Skema 2",Stamoplysninger!$H$30/200,0)</f>
        <v>0</v>
      </c>
      <c r="DA13" s="249">
        <f>IF(C13="Skema 3",Stamoplysninger!$H$30/200,0)</f>
        <v>0</v>
      </c>
      <c r="DB13" s="249">
        <f>IF(C13="Skema 4",Stamoplysninger!$H$30/200,0)</f>
        <v>0</v>
      </c>
      <c r="DC13" s="249">
        <f>IF(C13="fagdag",Stamoplysninger!$H$30/200,0)</f>
        <v>0</v>
      </c>
      <c r="DD13" s="249">
        <f>IF(C13="emnedag",Stamoplysninger!$H$30/200,0)</f>
        <v>0</v>
      </c>
      <c r="DE13" s="249">
        <f>IF(C13="lejrskole",Stamoplysninger!$H$30/200,0)</f>
        <v>0</v>
      </c>
      <c r="DF13" s="249">
        <f>IF(C13="ekskursion",Stamoplysninger!$H$30/200,0)</f>
        <v>0</v>
      </c>
      <c r="DG13" s="249">
        <f t="shared" si="26"/>
        <v>0</v>
      </c>
      <c r="DH13" t="str">
        <f t="shared" si="27"/>
        <v/>
      </c>
      <c r="DI13">
        <f t="shared" si="28"/>
        <v>0</v>
      </c>
      <c r="DJ13">
        <f t="shared" si="29"/>
        <v>0</v>
      </c>
      <c r="DK13" t="str">
        <f t="shared" si="14"/>
        <v/>
      </c>
      <c r="DL13" t="str">
        <f t="shared" si="14"/>
        <v/>
      </c>
      <c r="DM13" t="str">
        <f t="shared" si="14"/>
        <v/>
      </c>
      <c r="DN13" t="str">
        <f t="shared" si="30"/>
        <v/>
      </c>
      <c r="DO13" s="652">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71">
        <f>IF(AND(Stamoplysninger!$B$22="Ulempetillæg udbetales med 25% af nettotimelønnen.",C13="ikke relevant"),(R13)/4,0)</f>
        <v>0</v>
      </c>
      <c r="DT13" s="671">
        <f>IF(AND(AND(Stamoplysninger!$B$22="Ulempetillæg udbetales med 25% af nettotimelønnen.",I13="X",C13="Ikke relevant")),K13/4,0)</f>
        <v>0</v>
      </c>
      <c r="DU13" s="671">
        <f>IF(AND(AND(Stamoplysninger!$B$22="Ulempetillæg udbetales med 25% af nettotimelønnen.",C13="ikke relevant",U13="X")),(X13/4),0)</f>
        <v>0</v>
      </c>
      <c r="DV13" s="672">
        <f>IF(AND(AND(AND(Stamoplysninger!$B$22="Ulempetillæg udbetales med 25% af nettotimelønnen.",I13="X",C13="Ikke relevant",S13="X"))),V13/4,0)</f>
        <v>0</v>
      </c>
      <c r="DW13" s="652"/>
      <c r="DZ13" s="671"/>
      <c r="EA13" s="671"/>
      <c r="EB13" s="672"/>
      <c r="EC13" s="652">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71">
        <f>IF(AND(Stamoplysninger!$B$22="Ulempetillæg afspadseres med 25%(Kræver en aftale imellem ledelsen og den ansatte)",C13="ikke relevant"),(R13)/4,0)</f>
        <v>0</v>
      </c>
      <c r="EH13" s="671">
        <f>IF(AND(AND(Stamoplysninger!$B$22="Ulempetillæg afspadseres med 25%(Kræver en aftale imellem ledelsen og den ansatte)",I13="X",C13="Ikke relevant")),K13/4,0)</f>
        <v>0</v>
      </c>
      <c r="EI13" s="671">
        <f>IF(AND(AND(Stamoplysninger!$B$22="Ulempetillæg afspadseres med 25%(Kræver en aftale imellem ledelsen og den ansatte)",U13="X",C13="Ikke relevant")),X13/4,0)</f>
        <v>0</v>
      </c>
      <c r="EJ13" s="671">
        <f>IF(AND(AND(AND(Stamoplysninger!$B$22="Ulempetillæg afspadseres med 25%(Kræver en aftale imellem ledelsen og den ansatte)",I13="X",C13="Ikke relevant",S13="X"))),V13/4,0)</f>
        <v>0</v>
      </c>
      <c r="EK13" s="283">
        <f>IF(AND(Stamoplysninger!$B$26="Weekendtimer og weekendtillæg afspadseres.",I13="X"),K13*1.5,0)</f>
        <v>0</v>
      </c>
      <c r="EL13" s="251">
        <f>IF(AND(AND(Stamoplysninger!$B$26="Weekendtimer og weekendtillæg afspadseres.",I13="X",S13="X")),V13*1.5,0)</f>
        <v>0</v>
      </c>
      <c r="EM13" s="674">
        <f>IF(AND(AND(Stamoplysninger!$B$26="Weekendtimer og weekendtillæg afspadseres.",I13="X",C13="ikke relevant")),K13*1.5,0)</f>
        <v>0</v>
      </c>
      <c r="EN13" s="675">
        <f>IF(AND(AND(AND(Stamoplysninger!$B$26="Weekendtimer og weekendtillæg afspadseres.",I13="X",C13="ikke relevant",S13="X"))),(V13*1.5),0)</f>
        <v>0</v>
      </c>
      <c r="EO13" s="283">
        <f>IF(AND(Stamoplysninger!$B$26="Weekendtimer og weekendtillæg udbetales.",I13="X"),K13*1.5,0)</f>
        <v>0</v>
      </c>
      <c r="EP13" s="251">
        <f>IF(AND(AND(Stamoplysninger!$B$26="Weekendtimer og weekendtillæg udbetales.",I13="X",S13="X")),V13*1.5,0)</f>
        <v>0</v>
      </c>
      <c r="EQ13" s="674">
        <f>IF(AND(AND(Stamoplysninger!$B$26="Weekendtimer og weekendtillæg udbetales.",I13="X",C13="ikke relevant")),K13*1.5,0)</f>
        <v>0</v>
      </c>
      <c r="ER13" s="675">
        <f>IF(AND(AND(AND(Stamoplysninger!$B$26="Weekendtimer og weekendtillæg udbetales.",I13="X",C13="ikke relevant",S13="X"))),(V13*1.5),0)</f>
        <v>0</v>
      </c>
      <c r="ES13" s="283">
        <f>IF(AND(Stamoplysninger!$B$26="Der er indgået lokalaftale omkring weekendtimer.(Kræver aftale med TR/FSL) Weekendtillæg afspadseres.",I13="X"),K13*0.5,0)</f>
        <v>0</v>
      </c>
      <c r="ET13" s="251">
        <f>IF(AND(AND(Stamoplysninger!$B$26="Der er indgået lokalaftale omkring weekendtimer.(Kræver aftale med TR/FSL) Weekendtillæg afspadseres.",I13="X",S13="X")),V13*0.5,0)</f>
        <v>0</v>
      </c>
      <c r="EU13" s="674">
        <f>IF(AND(AND(Stamoplysninger!$B$26="Der er indgået lokalaftale omkring weekendtimer.(Kræver aftale med TR/FSL) Weekendtillæg afspadseres.",I13="X",C13="ikke relevant")),K13*0.5,0)</f>
        <v>0</v>
      </c>
      <c r="EV13" s="675">
        <f>IF(AND(AND(AND(Stamoplysninger!$B$26="Der er indgået lokalaftale omkring weekendtimer.(Kræver aftale med TR/FSL) Weekendtillæg afspadseres.",I13="X",C13="ikke relevant",S13="X"))),(V13*0.5),0)</f>
        <v>0</v>
      </c>
      <c r="EW13" s="283">
        <f>IF(AND(Stamoplysninger!$B$26="Der er indgået lokalaftale omkring weekendtimer(Kræver aftale med TR/FSL). Weekendtillæg udbetales.",I13="X"),K13*0.5,0)</f>
        <v>0</v>
      </c>
      <c r="EX13" s="251">
        <f>IF(AND(AND(Stamoplysninger!$B$26="Der er indgået lokalaftale omkring weekendtimer(Kræver aftale med TR/FSL). Weekendtillæg udbetales.",I13="X",S13="X")),V13*0.5,0)</f>
        <v>0</v>
      </c>
      <c r="EY13" s="674">
        <f>IF(AND(AND(Stamoplysninger!$B$26="Der er indgået lokalaftale omkring weekendtimer(Kræver aftale med TR/FSL). Weekendtillæg udbetales.",I13="X",C13="ikke relevant")),K13*0.5,0)</f>
        <v>0</v>
      </c>
      <c r="EZ13" s="675">
        <f>IF(AND(AND(AND(Stamoplysninger!$B$26="Der er indgået lokalaftale omkring weekendtimer(Kræver aftale med TR/FSL). Weekendtillæg udbetales.",I13="X",C13="ikke relevant",S13="X"))),(V13*0.5),0)</f>
        <v>0</v>
      </c>
      <c r="FA13" s="283">
        <f>IF(AND(Stamoplysninger!$B$26="Der er indgået lokalaftale omkring weekendtillæg(Kræver aftale med TR/FSL). Weekendtimerne afspadseres.",I13="X"),K13,0)</f>
        <v>0</v>
      </c>
      <c r="FB13" s="251">
        <f>IF(AND(AND(Stamoplysninger!$B$26="Der er indgået lokalaftale omkring weekendtillæg(Kræver aftale med TR/FSL). Weekendtimerne afspadseres.",I13="X",S13="X")),V13,0)</f>
        <v>0</v>
      </c>
      <c r="FC13" s="674">
        <f>IF(AND(AND(Stamoplysninger!$B$26="Der er indgået lokalaftale omkring weekendtillæg(Kræver aftale med TR/FSL). Weekendtimerne afspadseres..",I13="X",C13="ikke relevant")),K13,0)</f>
        <v>0</v>
      </c>
      <c r="FD13" s="675">
        <f>IF(AND(AND(AND(Stamoplysninger!$B$26="Der er indgået lokalaftale omkring weekendtillæg(Kræver aftale med TR/FSL). Weekendtimerne afspadseres.",I13="X",C13="ikke relevant",S13="X"))),(V13),0)</f>
        <v>0</v>
      </c>
      <c r="FE13" s="283">
        <f>IF(AND(Stamoplysninger!$B$26="Der er indgået lokalaftale omkring weekendtillæg(Kræver aftale med TR/FSL). Weekendtimerne udbetales.",I13="X"),K13,0)</f>
        <v>0</v>
      </c>
      <c r="FF13" s="251">
        <f>IF(AND(AND(Stamoplysninger!$B$26="Der er indgået lokalaftale omkring weekendtillæg(Kræver aftale med TR/FSL). Weekendtimerne udbetales.",I13="X",S13="X")),V13,0)</f>
        <v>0</v>
      </c>
      <c r="FG13" s="674">
        <f>IF(AND(AND(Stamoplysninger!$B$26="Der er indgået lokalaftale omkring weekendtillæg(Kræver aftale med TR/FSL). Weekendtimerne udbetales.",I13="X",C13="ikke relevant")),K13,0)</f>
        <v>0</v>
      </c>
      <c r="FH13" s="675">
        <f>IF(AND(AND(AND(Stamoplysninger!$B$26="Der er indgået lokalaftale omkring weekendtillæg(Kræver aftale med TR/FSL). Weekendtimerne udbetales.",I13="X",C13="ikke relevant",S13="X"))),(V13),0)</f>
        <v>0</v>
      </c>
      <c r="FI13" s="283">
        <f>IF(AND(Stamoplysninger!$B$26="Weekendtimer og weekendtillæg afspadseres.",I13="X"),K13,0)</f>
        <v>0</v>
      </c>
      <c r="FJ13" s="251">
        <f>IF(AND(Stamoplysninger!$B$26="Weekendtimer og weekendtillæg afspadseres.",Y13="X"),(AA13+AL13)/2,0)</f>
        <v>0</v>
      </c>
      <c r="FK13" s="674">
        <f>IF(AND(AND(Stamoplysninger!$B$26="Weekendtimer og weekendtillæg afspadseres.",I13="X",C13="ikke relevant")),K13,0)</f>
        <v>0</v>
      </c>
      <c r="FL13" s="675">
        <f>IF(AND(AND(Stamoplysninger!$B$26="Weekendtimer og weekendtillæg afspadseres.",Y13="X",S13="ikke relevant")),(AA13+AL13)/2,0)</f>
        <v>0</v>
      </c>
      <c r="FM13" s="283">
        <f>IF(AND(Stamoplysninger!$B$26="Der er indgået lokalaftale omkring weekendtillæg(Kræver aftale med TR/FSL). Weekendtimerne afspadseres.",I13="X"),K13,0)</f>
        <v>0</v>
      </c>
      <c r="FN13" s="674">
        <f>IF(AND(AND(Stamoplysninger!$B$26="Der er indgået lokalaftale omkring weekendtillæg(Kræver aftale med TR/FSL). Weekendtimerne afspadseres.",I13="X",C13="ikke relevant")),K13,0)</f>
        <v>0</v>
      </c>
      <c r="FO13" s="283">
        <f>IF(AND(Stamoplysninger!$B$26="Weekendtimer og weekendtillæg udbetales.",I13="X"),K13,0)</f>
        <v>0</v>
      </c>
      <c r="FP13" s="251">
        <f>IF(AND(Stamoplysninger!$B$26="Weekendtimer og weekendtillæg udbetales.",AA13="X"),(AC13+AN13)/2,0)</f>
        <v>0</v>
      </c>
      <c r="FQ13" s="674">
        <f>IF(AND(AND(Stamoplysninger!$B$26="Weekendtimer og weekendtillæg udbetales.",I13="X",C13="ikke relevant")),K13,0)</f>
        <v>0</v>
      </c>
      <c r="FR13" s="688">
        <f>IF(AND(AND(Stamoplysninger!$B$26="Weekendtimer og weekendtillæg udbetales.",AA13="X",U13="ikke relevant")),(AC13+AN13)/2,0)</f>
        <v>0</v>
      </c>
      <c r="FS13" s="283">
        <f t="shared" si="15"/>
        <v>0</v>
      </c>
      <c r="FT13" s="658">
        <f t="shared" si="16"/>
        <v>0</v>
      </c>
      <c r="FU13">
        <f t="shared" si="17"/>
        <v>0</v>
      </c>
      <c r="FV13" s="283">
        <f>IF(AND(Stamoplysninger!$B$26="Der er indgået lokalaftale omkring weekendtimer.(Kræver aftale med TR/FSL) Weekendtillæg afspadseres.",I13="X"),K13,0)</f>
        <v>0</v>
      </c>
      <c r="FW13" s="674">
        <f>IF(AND(AND(Stamoplysninger!$B$26="Der er indgået lokalaftale omkring weekendtimer.(Kræver aftale med TR/FSL) Weekendtillæg afspadseres.",I13="X",C13="ikke relevant")),K13,0)</f>
        <v>0</v>
      </c>
      <c r="FX13" s="283">
        <f>IF(AND(Stamoplysninger!$B$26="Der er indgået lokalaftale omkring weekendtimer(Kræver aftale med TR/FSL). Weekendtillæg udbetales.",I13="X"),K13,0)</f>
        <v>0</v>
      </c>
      <c r="FY13" s="674">
        <f>IF(AND(AND(Stamoplysninger!$B$26="Der er indgået lokalaftale omkring weekendtimer(Kræver aftale med TR/FSL). Weekendtillæg udbetales.",I13="X",C13="ikke relevant")),K13,0)</f>
        <v>0</v>
      </c>
      <c r="FZ13" s="283">
        <f>IF(AND(Stamoplysninger!$B$26="Der er indgået lokalaftale omkring weekendtillæg(Kræver aftale med TR/FSL). Weekendtimerne udbetales.",I13="X"),K13,0)</f>
        <v>0</v>
      </c>
      <c r="GA13" s="674">
        <f>IF(AND(AND(Stamoplysninger!$B$26="Der er indgået lokalaftale omkring weekendtillæg(Kræver aftale med TR/FSL). Weekendtimerne udbetales.",I13="X",C13="ikke relevant")),K13,0)</f>
        <v>0</v>
      </c>
      <c r="GB13" s="283">
        <f>IF(AND(Stamoplysninger!$B$26="Der er indgået lokalaftale omkring weekendtimer og weekendtillæg.(Kræver aftale med TR/FSL).",I13="X"),K13,0)</f>
        <v>0</v>
      </c>
      <c r="GC13" s="674">
        <f>IF(AND(AND(Stamoplysninger!$B$26="Der er indgået lokalaftale omkring weekendtimer og weekendtillæg.(Kræver aftale med TR/FSL).",I13="X",C13="ikke relevant")),K13,0)</f>
        <v>0</v>
      </c>
    </row>
    <row r="14" spans="1:185" ht="16" customHeight="1">
      <c r="A14" s="245">
        <f t="shared" si="18"/>
        <v>6</v>
      </c>
      <c r="B14" s="128" t="str">
        <f t="shared" si="0"/>
        <v>to</v>
      </c>
      <c r="C14" s="129" t="s">
        <v>207</v>
      </c>
      <c r="D14" s="130" t="str">
        <f t="shared" si="1"/>
        <v/>
      </c>
      <c r="E14" s="917"/>
      <c r="F14" s="918"/>
      <c r="G14" s="919"/>
      <c r="H14" s="298"/>
      <c r="I14" s="527"/>
      <c r="J14" s="413"/>
      <c r="K14" s="380"/>
      <c r="L14" s="380"/>
      <c r="M14" s="380"/>
      <c r="N14" s="318">
        <f t="shared" si="19"/>
        <v>7.75</v>
      </c>
      <c r="O14" s="318">
        <f t="shared" si="20"/>
        <v>3</v>
      </c>
      <c r="P14" s="318">
        <f>IF(Stamoplysninger!$H$29="JA",Marts!DG14,CX14)</f>
        <v>0.83333333333333337</v>
      </c>
      <c r="Q14" s="318">
        <f t="shared" si="21"/>
        <v>3.9166666666666665</v>
      </c>
      <c r="R14" s="319"/>
      <c r="S14" s="324"/>
      <c r="T14" s="325"/>
      <c r="U14" s="325"/>
      <c r="V14" s="435"/>
      <c r="W14" s="412"/>
      <c r="X14" s="642"/>
      <c r="Y14">
        <f t="shared" si="22"/>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f>IF(AND(C14="Skema 2",B14="to"),Arbejdstidsoversigt!$E$84,"")</f>
        <v>7.75</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7.75</v>
      </c>
      <c r="BB14" s="229">
        <f t="shared" si="8"/>
        <v>0</v>
      </c>
      <c r="BC14" s="1">
        <f t="shared" si="24"/>
        <v>0</v>
      </c>
      <c r="BD14" s="1">
        <f t="shared" si="9"/>
        <v>0</v>
      </c>
      <c r="BE14" s="1">
        <f t="shared" si="10"/>
        <v>0</v>
      </c>
      <c r="BF14" s="1">
        <f t="shared" si="11"/>
        <v>0</v>
      </c>
      <c r="BG14" s="210" t="str">
        <f>IF(AND(C14="Skema 1",B14="ma"),Skemaoplysninger!$E$30,"")</f>
        <v/>
      </c>
      <c r="BH14" s="210" t="str">
        <f>IF(AND(C14="Skema 1",B14="ti"),Skemaoplysninger!$G$30,"")</f>
        <v/>
      </c>
      <c r="BI14" s="210" t="str">
        <f>IF(AND(C14="Skema 1",B14="on"),Skemaoplysninger!$I$30,"")</f>
        <v/>
      </c>
      <c r="BJ14" s="210" t="str">
        <f>IF(AND(C14="Skema 1",B14="to"),Skemaoplysninger!$K$30,"")</f>
        <v/>
      </c>
      <c r="BK14" s="210" t="str">
        <f>IF(AND(C14="Skema 1",B14="fr"),Skemaoplysninger!$M$30,"")</f>
        <v/>
      </c>
      <c r="BL14" s="210" t="str">
        <f>IF(AND(C14="Skema 2",B14="ma"),Skemaoplysninger!$S$30,"")</f>
        <v/>
      </c>
      <c r="BM14" s="210" t="str">
        <f>IF(AND(C14="Skema 2",B14="ti"),Skemaoplysninger!$U$30,"")</f>
        <v/>
      </c>
      <c r="BN14" s="210" t="str">
        <f>IF(AND(C14="Skema 2",B14="on"),Skemaoplysninger!$W$30,"")</f>
        <v/>
      </c>
      <c r="BO14" s="210">
        <f>IF(AND(C14="Skema 2",B14="to"),Skemaoplysninger!$Y$30,"")</f>
        <v>0.125</v>
      </c>
      <c r="BP14" s="210" t="str">
        <f>IF(AND(C14="Skema 2",B14="fr"),Skemaoplysninger!$AA$30,"")</f>
        <v/>
      </c>
      <c r="BQ14" s="210" t="str">
        <f>IF(AND(C14="Skema 3",B14="ma"),Skemaoplysninger!$AG$30,"")</f>
        <v/>
      </c>
      <c r="BR14" s="210" t="str">
        <f>IF(AND(C14="Skema 3",B14="ti"),Skemaoplysninger!$AI$30,"")</f>
        <v/>
      </c>
      <c r="BS14" s="210" t="str">
        <f>IF(AND(C14="Skema 3",B14="on"),Skemaoplysninger!$AK$30,"")</f>
        <v/>
      </c>
      <c r="BT14" s="210" t="str">
        <f>IF(AND(C14="Skema 3",B14="to"),Skemaoplysninger!$AM$30,"")</f>
        <v/>
      </c>
      <c r="BU14" s="210" t="str">
        <f>IF(AND(C14="Skema 3",B14="fr"),Skemaoplysninger!$AO$30,"")</f>
        <v/>
      </c>
      <c r="BV14" s="210" t="str">
        <f>IF(AND(C14="Skema 4",B14="ma"),Skemaoplysninger!$AU$30,"")</f>
        <v/>
      </c>
      <c r="BW14" s="210" t="str">
        <f>IF(AND(C14="Skema 4",B14="ti"),Skemaoplysninger!$AW$30,"")</f>
        <v/>
      </c>
      <c r="BX14" s="210" t="str">
        <f>IF(AND(C14="Skema 4",B14="on"),Skemaoplysninger!$AY$30,"")</f>
        <v/>
      </c>
      <c r="BY14" s="210" t="str">
        <f>IF(AND(C14="Skema 4",B14="to"),Skemaoplysninger!$BA$30,"")</f>
        <v/>
      </c>
      <c r="BZ14" s="210" t="str">
        <f>IF(AND(C14="Skema 4",B14="fr"),Skemaoplysninger!$BC$30,"")</f>
        <v/>
      </c>
      <c r="CA14" s="1">
        <f t="shared" si="25"/>
        <v>3</v>
      </c>
      <c r="CB14" s="1">
        <f t="shared" si="12"/>
        <v>0</v>
      </c>
      <c r="CC14" s="1">
        <f t="shared" si="13"/>
        <v>0</v>
      </c>
      <c r="CD14" s="210" t="str">
        <f>IF(AND(C14="Skema 1",B14="ma"),Skemaoplysninger!$E$31,"")</f>
        <v/>
      </c>
      <c r="CE14" s="210" t="str">
        <f>IF(AND(C14="Skema 1",B14="ti"),Skemaoplysninger!$G$31,"")</f>
        <v/>
      </c>
      <c r="CF14" s="210" t="str">
        <f>IF(AND(C14="Skema 1",B14="on"),Skemaoplysninger!$I$31,"")</f>
        <v/>
      </c>
      <c r="CG14" s="210" t="str">
        <f>IF(AND(C14="Skema 1",B14="to"),Skemaoplysninger!$K$31,"")</f>
        <v/>
      </c>
      <c r="CH14" s="210" t="str">
        <f>IF(AND(C14="Skema 1",B14="fr"),Skemaoplysninger!$M$31,"")</f>
        <v/>
      </c>
      <c r="CI14" s="210" t="str">
        <f>IF(AND(C14="Skema 2",B14="ma"),Skemaoplysninger!$S$31,"")</f>
        <v/>
      </c>
      <c r="CJ14" s="210" t="str">
        <f>IF(AND(C14="Skema 2",B14="ti"),Skemaoplysninger!$U$31,"")</f>
        <v/>
      </c>
      <c r="CK14" s="210" t="str">
        <f>IF(AND(C14="Skema 2",B14="on"),Skemaoplysninger!$W$31,"")</f>
        <v/>
      </c>
      <c r="CL14" s="210">
        <f>IF(AND(C14="Skema 2",B14="to"),Skemaoplysninger!$Y$31,"")</f>
        <v>3.4722222222222224E-2</v>
      </c>
      <c r="CM14" s="210" t="str">
        <f>IF(AND(C14="Skema 2",B14="fr"),Skemaoplysninger!$AA$31,"")</f>
        <v/>
      </c>
      <c r="CN14" s="210" t="str">
        <f>IF(AND(C14="Skema 3",B14="ma"),Skemaoplysninger!$AG$31,"")</f>
        <v/>
      </c>
      <c r="CO14" s="210" t="str">
        <f>IF(AND(C14="Skema 3",B14="ti"),Skemaoplysninger!$AI$31,"")</f>
        <v/>
      </c>
      <c r="CP14" s="210" t="str">
        <f>IF(AND(C14="Skema 3",B14="on"),Skemaoplysninger!$AK$31,"")</f>
        <v/>
      </c>
      <c r="CQ14" s="210" t="str">
        <f>IF(AND(C14="Skema 3",B14="to"),Skemaoplysninger!$AM$31,"")</f>
        <v/>
      </c>
      <c r="CR14" s="210" t="str">
        <f>IF(AND(C14="Skema 3",B14="fr"),Skemaoplysninger!$AO$31,"")</f>
        <v/>
      </c>
      <c r="CS14" s="210" t="str">
        <f>IF(AND(C14="Skema 4",B14="ma"),Skemaoplysninger!$AU$31,"")</f>
        <v/>
      </c>
      <c r="CT14" s="210" t="str">
        <f>IF(AND(C14="Skema 4",B14="ti"),Skemaoplysninger!$AW$31,"")</f>
        <v/>
      </c>
      <c r="CU14" s="210" t="str">
        <f>IF(AND(C14="Skema 4",B14="on"),Skemaoplysninger!$AY$31,"")</f>
        <v/>
      </c>
      <c r="CV14" s="210" t="str">
        <f>IF(AND(C14="Skema 4",B14="to"),Skemaoplysninger!$BA$31,"")</f>
        <v/>
      </c>
      <c r="CW14" s="210" t="str">
        <f>IF(AND(C14="Skema 4",B14="fr"),Skemaoplysninger!$BC$31,"")</f>
        <v/>
      </c>
      <c r="CX14" s="249">
        <f>IF(Stamoplysninger!$H$29="NEJ",SUM(CD14:CW14)*24+CB14+CC14,0)</f>
        <v>0.83333333333333337</v>
      </c>
      <c r="CY14" s="249">
        <f>IF(C14="Skema 1",Stamoplysninger!$H$30/200,0)</f>
        <v>0</v>
      </c>
      <c r="CZ14" s="249">
        <f>IF(C14="Skema 2",Stamoplysninger!$H$30/200,0)</f>
        <v>0</v>
      </c>
      <c r="DA14" s="249">
        <f>IF(C14="Skema 3",Stamoplysninger!$H$30/200,0)</f>
        <v>0</v>
      </c>
      <c r="DB14" s="249">
        <f>IF(C14="Skema 4",Stamoplysninger!$H$30/200,0)</f>
        <v>0</v>
      </c>
      <c r="DC14" s="249">
        <f>IF(C14="fagdag",Stamoplysninger!$H$30/200,0)</f>
        <v>0</v>
      </c>
      <c r="DD14" s="249">
        <f>IF(C14="emnedag",Stamoplysninger!$H$30/200,0)</f>
        <v>0</v>
      </c>
      <c r="DE14" s="249">
        <f>IF(C14="lejrskole",Stamoplysninger!$H$30/200,0)</f>
        <v>0</v>
      </c>
      <c r="DF14" s="249">
        <f>IF(C14="ekskursion",Stamoplysninger!$H$30/200,0)</f>
        <v>0</v>
      </c>
      <c r="DG14" s="249">
        <f t="shared" si="26"/>
        <v>0</v>
      </c>
      <c r="DH14" t="str">
        <f t="shared" si="27"/>
        <v/>
      </c>
      <c r="DI14">
        <f t="shared" si="28"/>
        <v>0</v>
      </c>
      <c r="DJ14">
        <f t="shared" si="29"/>
        <v>0</v>
      </c>
      <c r="DK14" t="str">
        <f t="shared" si="14"/>
        <v/>
      </c>
      <c r="DL14" t="str">
        <f t="shared" si="14"/>
        <v/>
      </c>
      <c r="DM14" t="str">
        <f t="shared" si="14"/>
        <v/>
      </c>
      <c r="DN14" t="str">
        <f t="shared" si="30"/>
        <v/>
      </c>
      <c r="DO14" s="652">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71">
        <f>IF(AND(Stamoplysninger!$B$22="Ulempetillæg udbetales med 25% af nettotimelønnen.",C14="ikke relevant"),(R14)/4,0)</f>
        <v>0</v>
      </c>
      <c r="DT14" s="671">
        <f>IF(AND(AND(Stamoplysninger!$B$22="Ulempetillæg udbetales med 25% af nettotimelønnen.",I14="X",C14="Ikke relevant")),K14/4,0)</f>
        <v>0</v>
      </c>
      <c r="DU14" s="671">
        <f>IF(AND(AND(Stamoplysninger!$B$22="Ulempetillæg udbetales med 25% af nettotimelønnen.",C14="ikke relevant",U14="X")),(X14/4),0)</f>
        <v>0</v>
      </c>
      <c r="DV14" s="672">
        <f>IF(AND(AND(AND(Stamoplysninger!$B$22="Ulempetillæg udbetales med 25% af nettotimelønnen.",I14="X",C14="Ikke relevant",S14="X"))),V14/4,0)</f>
        <v>0</v>
      </c>
      <c r="DW14" s="652"/>
      <c r="DZ14" s="671"/>
      <c r="EA14" s="671"/>
      <c r="EB14" s="672"/>
      <c r="EC14" s="652">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71">
        <f>IF(AND(Stamoplysninger!$B$22="Ulempetillæg afspadseres med 25%(Kræver en aftale imellem ledelsen og den ansatte)",C14="ikke relevant"),(R14)/4,0)</f>
        <v>0</v>
      </c>
      <c r="EH14" s="671">
        <f>IF(AND(AND(Stamoplysninger!$B$22="Ulempetillæg afspadseres med 25%(Kræver en aftale imellem ledelsen og den ansatte)",I14="X",C14="Ikke relevant")),K14/4,0)</f>
        <v>0</v>
      </c>
      <c r="EI14" s="671">
        <f>IF(AND(AND(Stamoplysninger!$B$22="Ulempetillæg afspadseres med 25%(Kræver en aftale imellem ledelsen og den ansatte)",U14="X",C14="Ikke relevant")),X14/4,0)</f>
        <v>0</v>
      </c>
      <c r="EJ14" s="671">
        <f>IF(AND(AND(AND(Stamoplysninger!$B$22="Ulempetillæg afspadseres med 25%(Kræver en aftale imellem ledelsen og den ansatte)",I14="X",C14="Ikke relevant",S14="X"))),V14/4,0)</f>
        <v>0</v>
      </c>
      <c r="EK14" s="283">
        <f>IF(AND(Stamoplysninger!$B$26="Weekendtimer og weekendtillæg afspadseres.",I14="X"),K14*1.5,0)</f>
        <v>0</v>
      </c>
      <c r="EL14" s="251">
        <f>IF(AND(AND(Stamoplysninger!$B$26="Weekendtimer og weekendtillæg afspadseres.",I14="X",S14="X")),V14*1.5,0)</f>
        <v>0</v>
      </c>
      <c r="EM14" s="674">
        <f>IF(AND(AND(Stamoplysninger!$B$26="Weekendtimer og weekendtillæg afspadseres.",I14="X",C14="ikke relevant")),K14*1.5,0)</f>
        <v>0</v>
      </c>
      <c r="EN14" s="675">
        <f>IF(AND(AND(AND(Stamoplysninger!$B$26="Weekendtimer og weekendtillæg afspadseres.",I14="X",C14="ikke relevant",S14="X"))),(V14*1.5),0)</f>
        <v>0</v>
      </c>
      <c r="EO14" s="283">
        <f>IF(AND(Stamoplysninger!$B$26="Weekendtimer og weekendtillæg udbetales.",I14="X"),K14*1.5,0)</f>
        <v>0</v>
      </c>
      <c r="EP14" s="251">
        <f>IF(AND(AND(Stamoplysninger!$B$26="Weekendtimer og weekendtillæg udbetales.",I14="X",S14="X")),V14*1.5,0)</f>
        <v>0</v>
      </c>
      <c r="EQ14" s="674">
        <f>IF(AND(AND(Stamoplysninger!$B$26="Weekendtimer og weekendtillæg udbetales.",I14="X",C14="ikke relevant")),K14*1.5,0)</f>
        <v>0</v>
      </c>
      <c r="ER14" s="675">
        <f>IF(AND(AND(AND(Stamoplysninger!$B$26="Weekendtimer og weekendtillæg udbetales.",I14="X",C14="ikke relevant",S14="X"))),(V14*1.5),0)</f>
        <v>0</v>
      </c>
      <c r="ES14" s="283">
        <f>IF(AND(Stamoplysninger!$B$26="Der er indgået lokalaftale omkring weekendtimer.(Kræver aftale med TR/FSL) Weekendtillæg afspadseres.",I14="X"),K14*0.5,0)</f>
        <v>0</v>
      </c>
      <c r="ET14" s="251">
        <f>IF(AND(AND(Stamoplysninger!$B$26="Der er indgået lokalaftale omkring weekendtimer.(Kræver aftale med TR/FSL) Weekendtillæg afspadseres.",I14="X",S14="X")),V14*0.5,0)</f>
        <v>0</v>
      </c>
      <c r="EU14" s="674">
        <f>IF(AND(AND(Stamoplysninger!$B$26="Der er indgået lokalaftale omkring weekendtimer.(Kræver aftale med TR/FSL) Weekendtillæg afspadseres.",I14="X",C14="ikke relevant")),K14*0.5,0)</f>
        <v>0</v>
      </c>
      <c r="EV14" s="675">
        <f>IF(AND(AND(AND(Stamoplysninger!$B$26="Der er indgået lokalaftale omkring weekendtimer.(Kræver aftale med TR/FSL) Weekendtillæg afspadseres.",I14="X",C14="ikke relevant",S14="X"))),(V14*0.5),0)</f>
        <v>0</v>
      </c>
      <c r="EW14" s="283">
        <f>IF(AND(Stamoplysninger!$B$26="Der er indgået lokalaftale omkring weekendtimer(Kræver aftale med TR/FSL). Weekendtillæg udbetales.",I14="X"),K14*0.5,0)</f>
        <v>0</v>
      </c>
      <c r="EX14" s="251">
        <f>IF(AND(AND(Stamoplysninger!$B$26="Der er indgået lokalaftale omkring weekendtimer(Kræver aftale med TR/FSL). Weekendtillæg udbetales.",I14="X",S14="X")),V14*0.5,0)</f>
        <v>0</v>
      </c>
      <c r="EY14" s="674">
        <f>IF(AND(AND(Stamoplysninger!$B$26="Der er indgået lokalaftale omkring weekendtimer(Kræver aftale med TR/FSL). Weekendtillæg udbetales.",I14="X",C14="ikke relevant")),K14*0.5,0)</f>
        <v>0</v>
      </c>
      <c r="EZ14" s="675">
        <f>IF(AND(AND(AND(Stamoplysninger!$B$26="Der er indgået lokalaftale omkring weekendtimer(Kræver aftale med TR/FSL). Weekendtillæg udbetales.",I14="X",C14="ikke relevant",S14="X"))),(V14*0.5),0)</f>
        <v>0</v>
      </c>
      <c r="FA14" s="283">
        <f>IF(AND(Stamoplysninger!$B$26="Der er indgået lokalaftale omkring weekendtillæg(Kræver aftale med TR/FSL). Weekendtimerne afspadseres.",I14="X"),K14,0)</f>
        <v>0</v>
      </c>
      <c r="FB14" s="251">
        <f>IF(AND(AND(Stamoplysninger!$B$26="Der er indgået lokalaftale omkring weekendtillæg(Kræver aftale med TR/FSL). Weekendtimerne afspadseres.",I14="X",S14="X")),V14,0)</f>
        <v>0</v>
      </c>
      <c r="FC14" s="674">
        <f>IF(AND(AND(Stamoplysninger!$B$26="Der er indgået lokalaftale omkring weekendtillæg(Kræver aftale med TR/FSL). Weekendtimerne afspadseres..",I14="X",C14="ikke relevant")),K14,0)</f>
        <v>0</v>
      </c>
      <c r="FD14" s="675">
        <f>IF(AND(AND(AND(Stamoplysninger!$B$26="Der er indgået lokalaftale omkring weekendtillæg(Kræver aftale med TR/FSL). Weekendtimerne afspadseres.",I14="X",C14="ikke relevant",S14="X"))),(V14),0)</f>
        <v>0</v>
      </c>
      <c r="FE14" s="283">
        <f>IF(AND(Stamoplysninger!$B$26="Der er indgået lokalaftale omkring weekendtillæg(Kræver aftale med TR/FSL). Weekendtimerne udbetales.",I14="X"),K14,0)</f>
        <v>0</v>
      </c>
      <c r="FF14" s="251">
        <f>IF(AND(AND(Stamoplysninger!$B$26="Der er indgået lokalaftale omkring weekendtillæg(Kræver aftale med TR/FSL). Weekendtimerne udbetales.",I14="X",S14="X")),V14,0)</f>
        <v>0</v>
      </c>
      <c r="FG14" s="674">
        <f>IF(AND(AND(Stamoplysninger!$B$26="Der er indgået lokalaftale omkring weekendtillæg(Kræver aftale med TR/FSL). Weekendtimerne udbetales.",I14="X",C14="ikke relevant")),K14,0)</f>
        <v>0</v>
      </c>
      <c r="FH14" s="675">
        <f>IF(AND(AND(AND(Stamoplysninger!$B$26="Der er indgået lokalaftale omkring weekendtillæg(Kræver aftale med TR/FSL). Weekendtimerne udbetales.",I14="X",C14="ikke relevant",S14="X"))),(V14),0)</f>
        <v>0</v>
      </c>
      <c r="FI14" s="283">
        <f>IF(AND(Stamoplysninger!$B$26="Weekendtimer og weekendtillæg afspadseres.",I14="X"),K14,0)</f>
        <v>0</v>
      </c>
      <c r="FJ14" s="251">
        <f>IF(AND(Stamoplysninger!$B$26="Weekendtimer og weekendtillæg afspadseres.",Y14="X"),(AA14+AL14)/2,0)</f>
        <v>0</v>
      </c>
      <c r="FK14" s="674">
        <f>IF(AND(AND(Stamoplysninger!$B$26="Weekendtimer og weekendtillæg afspadseres.",I14="X",C14="ikke relevant")),K14,0)</f>
        <v>0</v>
      </c>
      <c r="FL14" s="675">
        <f>IF(AND(AND(Stamoplysninger!$B$26="Weekendtimer og weekendtillæg afspadseres.",Y14="X",S14="ikke relevant")),(AA14+AL14)/2,0)</f>
        <v>0</v>
      </c>
      <c r="FM14" s="283">
        <f>IF(AND(Stamoplysninger!$B$26="Der er indgået lokalaftale omkring weekendtillæg(Kræver aftale med TR/FSL). Weekendtimerne afspadseres.",I14="X"),K14,0)</f>
        <v>0</v>
      </c>
      <c r="FN14" s="674">
        <f>IF(AND(AND(Stamoplysninger!$B$26="Der er indgået lokalaftale omkring weekendtillæg(Kræver aftale med TR/FSL). Weekendtimerne afspadseres.",I14="X",C14="ikke relevant")),K14,0)</f>
        <v>0</v>
      </c>
      <c r="FO14" s="283">
        <f>IF(AND(Stamoplysninger!$B$26="Weekendtimer og weekendtillæg udbetales.",I14="X"),K14,0)</f>
        <v>0</v>
      </c>
      <c r="FP14" s="251">
        <f>IF(AND(Stamoplysninger!$B$26="Weekendtimer og weekendtillæg udbetales.",AA14="X"),(AC14+AN14)/2,0)</f>
        <v>0</v>
      </c>
      <c r="FQ14" s="674">
        <f>IF(AND(AND(Stamoplysninger!$B$26="Weekendtimer og weekendtillæg udbetales.",I14="X",C14="ikke relevant")),K14,0)</f>
        <v>0</v>
      </c>
      <c r="FR14" s="688">
        <f>IF(AND(AND(Stamoplysninger!$B$26="Weekendtimer og weekendtillæg udbetales.",AA14="X",U14="ikke relevant")),(AC14+AN14)/2,0)</f>
        <v>0</v>
      </c>
      <c r="FS14" s="283">
        <f t="shared" si="15"/>
        <v>0</v>
      </c>
      <c r="FT14" s="658">
        <f t="shared" si="16"/>
        <v>0</v>
      </c>
      <c r="FU14">
        <f t="shared" si="17"/>
        <v>0</v>
      </c>
      <c r="FV14" s="283">
        <f>IF(AND(Stamoplysninger!$B$26="Der er indgået lokalaftale omkring weekendtimer.(Kræver aftale med TR/FSL) Weekendtillæg afspadseres.",I14="X"),K14,0)</f>
        <v>0</v>
      </c>
      <c r="FW14" s="674">
        <f>IF(AND(AND(Stamoplysninger!$B$26="Der er indgået lokalaftale omkring weekendtimer.(Kræver aftale med TR/FSL) Weekendtillæg afspadseres.",I14="X",C14="ikke relevant")),K14,0)</f>
        <v>0</v>
      </c>
      <c r="FX14" s="283">
        <f>IF(AND(Stamoplysninger!$B$26="Der er indgået lokalaftale omkring weekendtimer(Kræver aftale med TR/FSL). Weekendtillæg udbetales.",I14="X"),K14,0)</f>
        <v>0</v>
      </c>
      <c r="FY14" s="674">
        <f>IF(AND(AND(Stamoplysninger!$B$26="Der er indgået lokalaftale omkring weekendtimer(Kræver aftale med TR/FSL). Weekendtillæg udbetales.",I14="X",C14="ikke relevant")),K14,0)</f>
        <v>0</v>
      </c>
      <c r="FZ14" s="283">
        <f>IF(AND(Stamoplysninger!$B$26="Der er indgået lokalaftale omkring weekendtillæg(Kræver aftale med TR/FSL). Weekendtimerne udbetales.",I14="X"),K14,0)</f>
        <v>0</v>
      </c>
      <c r="GA14" s="674">
        <f>IF(AND(AND(Stamoplysninger!$B$26="Der er indgået lokalaftale omkring weekendtillæg(Kræver aftale med TR/FSL). Weekendtimerne udbetales.",I14="X",C14="ikke relevant")),K14,0)</f>
        <v>0</v>
      </c>
      <c r="GB14" s="283">
        <f>IF(AND(Stamoplysninger!$B$26="Der er indgået lokalaftale omkring weekendtimer og weekendtillæg.(Kræver aftale med TR/FSL).",I14="X"),K14,0)</f>
        <v>0</v>
      </c>
      <c r="GC14" s="674">
        <f>IF(AND(AND(Stamoplysninger!$B$26="Der er indgået lokalaftale omkring weekendtimer og weekendtillæg.(Kræver aftale med TR/FSL).",I14="X",C14="ikke relevant")),K14,0)</f>
        <v>0</v>
      </c>
    </row>
    <row r="15" spans="1:185" ht="16" customHeight="1">
      <c r="A15" s="245">
        <f t="shared" si="18"/>
        <v>7</v>
      </c>
      <c r="B15" s="128" t="str">
        <f t="shared" si="0"/>
        <v>fr</v>
      </c>
      <c r="C15" s="129" t="s">
        <v>207</v>
      </c>
      <c r="D15" s="130" t="str">
        <f t="shared" si="1"/>
        <v/>
      </c>
      <c r="E15" s="917"/>
      <c r="F15" s="918"/>
      <c r="G15" s="919"/>
      <c r="H15" s="298"/>
      <c r="I15" s="527"/>
      <c r="J15" s="413"/>
      <c r="K15" s="380"/>
      <c r="L15" s="380"/>
      <c r="M15" s="380"/>
      <c r="N15" s="318">
        <f t="shared" si="19"/>
        <v>7</v>
      </c>
      <c r="O15" s="318">
        <f t="shared" si="20"/>
        <v>3</v>
      </c>
      <c r="P15" s="318">
        <f>IF(Stamoplysninger!$H$29="JA",Marts!DG15,CX15)</f>
        <v>0.83333333333333337</v>
      </c>
      <c r="Q15" s="318">
        <f t="shared" si="21"/>
        <v>3.1666666666666665</v>
      </c>
      <c r="R15" s="319"/>
      <c r="S15" s="324"/>
      <c r="T15" s="325"/>
      <c r="U15" s="325"/>
      <c r="V15" s="435"/>
      <c r="W15" s="412"/>
      <c r="X15" s="642"/>
      <c r="Y15">
        <f t="shared" si="22"/>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f>IF(AND(C15="Skema 2",B15="fr"),Arbejdstidsoversigt!$E$85,"")</f>
        <v>7</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7</v>
      </c>
      <c r="BB15" s="229">
        <f t="shared" si="8"/>
        <v>0</v>
      </c>
      <c r="BC15" s="1">
        <f t="shared" si="24"/>
        <v>0</v>
      </c>
      <c r="BD15" s="1">
        <f t="shared" si="9"/>
        <v>0</v>
      </c>
      <c r="BE15" s="1">
        <f t="shared" si="10"/>
        <v>0</v>
      </c>
      <c r="BF15" s="1">
        <f t="shared" si="11"/>
        <v>0</v>
      </c>
      <c r="BG15" s="210" t="str">
        <f>IF(AND(C15="Skema 1",B15="ma"),Skemaoplysninger!$E$30,"")</f>
        <v/>
      </c>
      <c r="BH15" s="210" t="str">
        <f>IF(AND(C15="Skema 1",B15="ti"),Skemaoplysninger!$G$30,"")</f>
        <v/>
      </c>
      <c r="BI15" s="210" t="str">
        <f>IF(AND(C15="Skema 1",B15="on"),Skemaoplysninger!$I$30,"")</f>
        <v/>
      </c>
      <c r="BJ15" s="210" t="str">
        <f>IF(AND(C15="Skema 1",B15="to"),Skemaoplysninger!$K$30,"")</f>
        <v/>
      </c>
      <c r="BK15" s="210" t="str">
        <f>IF(AND(C15="Skema 1",B15="fr"),Skemaoplysninger!$M$30,"")</f>
        <v/>
      </c>
      <c r="BL15" s="210" t="str">
        <f>IF(AND(C15="Skema 2",B15="ma"),Skemaoplysninger!$S$30,"")</f>
        <v/>
      </c>
      <c r="BM15" s="210" t="str">
        <f>IF(AND(C15="Skema 2",B15="ti"),Skemaoplysninger!$U$30,"")</f>
        <v/>
      </c>
      <c r="BN15" s="210" t="str">
        <f>IF(AND(C15="Skema 2",B15="on"),Skemaoplysninger!$W$30,"")</f>
        <v/>
      </c>
      <c r="BO15" s="210" t="str">
        <f>IF(AND(C15="Skema 2",B15="to"),Skemaoplysninger!$Y$30,"")</f>
        <v/>
      </c>
      <c r="BP15" s="210">
        <f>IF(AND(C15="Skema 2",B15="fr"),Skemaoplysninger!$AA$30,"")</f>
        <v>0.125</v>
      </c>
      <c r="BQ15" s="210" t="str">
        <f>IF(AND(C15="Skema 3",B15="ma"),Skemaoplysninger!$AG$30,"")</f>
        <v/>
      </c>
      <c r="BR15" s="210" t="str">
        <f>IF(AND(C15="Skema 3",B15="ti"),Skemaoplysninger!$AI$30,"")</f>
        <v/>
      </c>
      <c r="BS15" s="210" t="str">
        <f>IF(AND(C15="Skema 3",B15="on"),Skemaoplysninger!$AK$30,"")</f>
        <v/>
      </c>
      <c r="BT15" s="210" t="str">
        <f>IF(AND(C15="Skema 3",B15="to"),Skemaoplysninger!$AM$30,"")</f>
        <v/>
      </c>
      <c r="BU15" s="210" t="str">
        <f>IF(AND(C15="Skema 3",B15="fr"),Skemaoplysninger!$AO$30,"")</f>
        <v/>
      </c>
      <c r="BV15" s="210" t="str">
        <f>IF(AND(C15="Skema 4",B15="ma"),Skemaoplysninger!$AU$30,"")</f>
        <v/>
      </c>
      <c r="BW15" s="210" t="str">
        <f>IF(AND(C15="Skema 4",B15="ti"),Skemaoplysninger!$AW$30,"")</f>
        <v/>
      </c>
      <c r="BX15" s="210" t="str">
        <f>IF(AND(C15="Skema 4",B15="on"),Skemaoplysninger!$AY$30,"")</f>
        <v/>
      </c>
      <c r="BY15" s="210" t="str">
        <f>IF(AND(C15="Skema 4",B15="to"),Skemaoplysninger!$BA$30,"")</f>
        <v/>
      </c>
      <c r="BZ15" s="210" t="str">
        <f>IF(AND(C15="Skema 4",B15="fr"),Skemaoplysninger!$BC$30,"")</f>
        <v/>
      </c>
      <c r="CA15" s="1">
        <f t="shared" si="25"/>
        <v>3</v>
      </c>
      <c r="CB15" s="1">
        <f t="shared" si="12"/>
        <v>0</v>
      </c>
      <c r="CC15" s="1">
        <f t="shared" si="13"/>
        <v>0</v>
      </c>
      <c r="CD15" s="210" t="str">
        <f>IF(AND(C15="Skema 1",B15="ma"),Skemaoplysninger!$E$31,"")</f>
        <v/>
      </c>
      <c r="CE15" s="210" t="str">
        <f>IF(AND(C15="Skema 1",B15="ti"),Skemaoplysninger!$G$31,"")</f>
        <v/>
      </c>
      <c r="CF15" s="210" t="str">
        <f>IF(AND(C15="Skema 1",B15="on"),Skemaoplysninger!$I$31,"")</f>
        <v/>
      </c>
      <c r="CG15" s="210" t="str">
        <f>IF(AND(C15="Skema 1",B15="to"),Skemaoplysninger!$K$31,"")</f>
        <v/>
      </c>
      <c r="CH15" s="210" t="str">
        <f>IF(AND(C15="Skema 1",B15="fr"),Skemaoplysninger!$M$31,"")</f>
        <v/>
      </c>
      <c r="CI15" s="210" t="str">
        <f>IF(AND(C15="Skema 2",B15="ma"),Skemaoplysninger!$S$31,"")</f>
        <v/>
      </c>
      <c r="CJ15" s="210" t="str">
        <f>IF(AND(C15="Skema 2",B15="ti"),Skemaoplysninger!$U$31,"")</f>
        <v/>
      </c>
      <c r="CK15" s="210" t="str">
        <f>IF(AND(C15="Skema 2",B15="on"),Skemaoplysninger!$W$31,"")</f>
        <v/>
      </c>
      <c r="CL15" s="210" t="str">
        <f>IF(AND(C15="Skema 2",B15="to"),Skemaoplysninger!$Y$31,"")</f>
        <v/>
      </c>
      <c r="CM15" s="210">
        <f>IF(AND(C15="Skema 2",B15="fr"),Skemaoplysninger!$AA$31,"")</f>
        <v>3.4722222222222224E-2</v>
      </c>
      <c r="CN15" s="210" t="str">
        <f>IF(AND(C15="Skema 3",B15="ma"),Skemaoplysninger!$AG$31,"")</f>
        <v/>
      </c>
      <c r="CO15" s="210" t="str">
        <f>IF(AND(C15="Skema 3",B15="ti"),Skemaoplysninger!$AI$31,"")</f>
        <v/>
      </c>
      <c r="CP15" s="210" t="str">
        <f>IF(AND(C15="Skema 3",B15="on"),Skemaoplysninger!$AK$31,"")</f>
        <v/>
      </c>
      <c r="CQ15" s="210" t="str">
        <f>IF(AND(C15="Skema 3",B15="to"),Skemaoplysninger!$AM$31,"")</f>
        <v/>
      </c>
      <c r="CR15" s="210" t="str">
        <f>IF(AND(C15="Skema 3",B15="fr"),Skemaoplysninger!$AO$31,"")</f>
        <v/>
      </c>
      <c r="CS15" s="210" t="str">
        <f>IF(AND(C15="Skema 4",B15="ma"),Skemaoplysninger!$AU$31,"")</f>
        <v/>
      </c>
      <c r="CT15" s="210" t="str">
        <f>IF(AND(C15="Skema 4",B15="ti"),Skemaoplysninger!$AW$31,"")</f>
        <v/>
      </c>
      <c r="CU15" s="210" t="str">
        <f>IF(AND(C15="Skema 4",B15="on"),Skemaoplysninger!$AY$31,"")</f>
        <v/>
      </c>
      <c r="CV15" s="210" t="str">
        <f>IF(AND(C15="Skema 4",B15="to"),Skemaoplysninger!$BA$31,"")</f>
        <v/>
      </c>
      <c r="CW15" s="210" t="str">
        <f>IF(AND(C15="Skema 4",B15="fr"),Skemaoplysninger!$BC$31,"")</f>
        <v/>
      </c>
      <c r="CX15" s="249">
        <f>IF(Stamoplysninger!$H$29="NEJ",SUM(CD15:CW15)*24+CB15+CC15,0)</f>
        <v>0.83333333333333337</v>
      </c>
      <c r="CY15" s="249">
        <f>IF(C15="Skema 1",Stamoplysninger!$H$30/200,0)</f>
        <v>0</v>
      </c>
      <c r="CZ15" s="249">
        <f>IF(C15="Skema 2",Stamoplysninger!$H$30/200,0)</f>
        <v>0</v>
      </c>
      <c r="DA15" s="249">
        <f>IF(C15="Skema 3",Stamoplysninger!$H$30/200,0)</f>
        <v>0</v>
      </c>
      <c r="DB15" s="249">
        <f>IF(C15="Skema 4",Stamoplysninger!$H$30/200,0)</f>
        <v>0</v>
      </c>
      <c r="DC15" s="249">
        <f>IF(C15="fagdag",Stamoplysninger!$H$30/200,0)</f>
        <v>0</v>
      </c>
      <c r="DD15" s="249">
        <f>IF(C15="emnedag",Stamoplysninger!$H$30/200,0)</f>
        <v>0</v>
      </c>
      <c r="DE15" s="249">
        <f>IF(C15="lejrskole",Stamoplysninger!$H$30/200,0)</f>
        <v>0</v>
      </c>
      <c r="DF15" s="249">
        <f>IF(C15="ekskursion",Stamoplysninger!$H$30/200,0)</f>
        <v>0</v>
      </c>
      <c r="DG15" s="249">
        <f t="shared" si="26"/>
        <v>0</v>
      </c>
      <c r="DH15" t="str">
        <f t="shared" si="27"/>
        <v/>
      </c>
      <c r="DI15">
        <f t="shared" si="28"/>
        <v>0</v>
      </c>
      <c r="DJ15">
        <f t="shared" si="29"/>
        <v>0</v>
      </c>
      <c r="DK15" t="str">
        <f t="shared" si="14"/>
        <v/>
      </c>
      <c r="DL15" t="str">
        <f t="shared" si="14"/>
        <v/>
      </c>
      <c r="DM15" t="str">
        <f t="shared" si="14"/>
        <v/>
      </c>
      <c r="DN15" t="str">
        <f t="shared" si="30"/>
        <v/>
      </c>
      <c r="DO15" s="652">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71">
        <f>IF(AND(Stamoplysninger!$B$22="Ulempetillæg udbetales med 25% af nettotimelønnen.",C15="ikke relevant"),(R15)/4,0)</f>
        <v>0</v>
      </c>
      <c r="DT15" s="671">
        <f>IF(AND(AND(Stamoplysninger!$B$22="Ulempetillæg udbetales med 25% af nettotimelønnen.",I15="X",C15="Ikke relevant")),K15/4,0)</f>
        <v>0</v>
      </c>
      <c r="DU15" s="671">
        <f>IF(AND(AND(Stamoplysninger!$B$22="Ulempetillæg udbetales med 25% af nettotimelønnen.",C15="ikke relevant",U15="X")),(X15/4),0)</f>
        <v>0</v>
      </c>
      <c r="DV15" s="672">
        <f>IF(AND(AND(AND(Stamoplysninger!$B$22="Ulempetillæg udbetales med 25% af nettotimelønnen.",I15="X",C15="Ikke relevant",S15="X"))),V15/4,0)</f>
        <v>0</v>
      </c>
      <c r="DW15" s="652"/>
      <c r="DZ15" s="671"/>
      <c r="EA15" s="671"/>
      <c r="EB15" s="672"/>
      <c r="EC15" s="652">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71">
        <f>IF(AND(Stamoplysninger!$B$22="Ulempetillæg afspadseres med 25%(Kræver en aftale imellem ledelsen og den ansatte)",C15="ikke relevant"),(R15)/4,0)</f>
        <v>0</v>
      </c>
      <c r="EH15" s="671">
        <f>IF(AND(AND(Stamoplysninger!$B$22="Ulempetillæg afspadseres med 25%(Kræver en aftale imellem ledelsen og den ansatte)",I15="X",C15="Ikke relevant")),K15/4,0)</f>
        <v>0</v>
      </c>
      <c r="EI15" s="671">
        <f>IF(AND(AND(Stamoplysninger!$B$22="Ulempetillæg afspadseres med 25%(Kræver en aftale imellem ledelsen og den ansatte)",U15="X",C15="Ikke relevant")),X15/4,0)</f>
        <v>0</v>
      </c>
      <c r="EJ15" s="671">
        <f>IF(AND(AND(AND(Stamoplysninger!$B$22="Ulempetillæg afspadseres med 25%(Kræver en aftale imellem ledelsen og den ansatte)",I15="X",C15="Ikke relevant",S15="X"))),V15/4,0)</f>
        <v>0</v>
      </c>
      <c r="EK15" s="283">
        <f>IF(AND(Stamoplysninger!$B$26="Weekendtimer og weekendtillæg afspadseres.",I15="X"),K15*1.5,0)</f>
        <v>0</v>
      </c>
      <c r="EL15" s="251">
        <f>IF(AND(AND(Stamoplysninger!$B$26="Weekendtimer og weekendtillæg afspadseres.",I15="X",S15="X")),V15*1.5,0)</f>
        <v>0</v>
      </c>
      <c r="EM15" s="674">
        <f>IF(AND(AND(Stamoplysninger!$B$26="Weekendtimer og weekendtillæg afspadseres.",I15="X",C15="ikke relevant")),K15*1.5,0)</f>
        <v>0</v>
      </c>
      <c r="EN15" s="675">
        <f>IF(AND(AND(AND(Stamoplysninger!$B$26="Weekendtimer og weekendtillæg afspadseres.",I15="X",C15="ikke relevant",S15="X"))),(V15*1.5),0)</f>
        <v>0</v>
      </c>
      <c r="EO15" s="283">
        <f>IF(AND(Stamoplysninger!$B$26="Weekendtimer og weekendtillæg udbetales.",I15="X"),K15*1.5,0)</f>
        <v>0</v>
      </c>
      <c r="EP15" s="251">
        <f>IF(AND(AND(Stamoplysninger!$B$26="Weekendtimer og weekendtillæg udbetales.",I15="X",S15="X")),V15*1.5,0)</f>
        <v>0</v>
      </c>
      <c r="EQ15" s="674">
        <f>IF(AND(AND(Stamoplysninger!$B$26="Weekendtimer og weekendtillæg udbetales.",I15="X",C15="ikke relevant")),K15*1.5,0)</f>
        <v>0</v>
      </c>
      <c r="ER15" s="675">
        <f>IF(AND(AND(AND(Stamoplysninger!$B$26="Weekendtimer og weekendtillæg udbetales.",I15="X",C15="ikke relevant",S15="X"))),(V15*1.5),0)</f>
        <v>0</v>
      </c>
      <c r="ES15" s="283">
        <f>IF(AND(Stamoplysninger!$B$26="Der er indgået lokalaftale omkring weekendtimer.(Kræver aftale med TR/FSL) Weekendtillæg afspadseres.",I15="X"),K15*0.5,0)</f>
        <v>0</v>
      </c>
      <c r="ET15" s="251">
        <f>IF(AND(AND(Stamoplysninger!$B$26="Der er indgået lokalaftale omkring weekendtimer.(Kræver aftale med TR/FSL) Weekendtillæg afspadseres.",I15="X",S15="X")),V15*0.5,0)</f>
        <v>0</v>
      </c>
      <c r="EU15" s="674">
        <f>IF(AND(AND(Stamoplysninger!$B$26="Der er indgået lokalaftale omkring weekendtimer.(Kræver aftale med TR/FSL) Weekendtillæg afspadseres.",I15="X",C15="ikke relevant")),K15*0.5,0)</f>
        <v>0</v>
      </c>
      <c r="EV15" s="675">
        <f>IF(AND(AND(AND(Stamoplysninger!$B$26="Der er indgået lokalaftale omkring weekendtimer.(Kræver aftale med TR/FSL) Weekendtillæg afspadseres.",I15="X",C15="ikke relevant",S15="X"))),(V15*0.5),0)</f>
        <v>0</v>
      </c>
      <c r="EW15" s="283">
        <f>IF(AND(Stamoplysninger!$B$26="Der er indgået lokalaftale omkring weekendtimer(Kræver aftale med TR/FSL). Weekendtillæg udbetales.",I15="X"),K15*0.5,0)</f>
        <v>0</v>
      </c>
      <c r="EX15" s="251">
        <f>IF(AND(AND(Stamoplysninger!$B$26="Der er indgået lokalaftale omkring weekendtimer(Kræver aftale med TR/FSL). Weekendtillæg udbetales.",I15="X",S15="X")),V15*0.5,0)</f>
        <v>0</v>
      </c>
      <c r="EY15" s="674">
        <f>IF(AND(AND(Stamoplysninger!$B$26="Der er indgået lokalaftale omkring weekendtimer(Kræver aftale med TR/FSL). Weekendtillæg udbetales.",I15="X",C15="ikke relevant")),K15*0.5,0)</f>
        <v>0</v>
      </c>
      <c r="EZ15" s="675">
        <f>IF(AND(AND(AND(Stamoplysninger!$B$26="Der er indgået lokalaftale omkring weekendtimer(Kræver aftale med TR/FSL). Weekendtillæg udbetales.",I15="X",C15="ikke relevant",S15="X"))),(V15*0.5),0)</f>
        <v>0</v>
      </c>
      <c r="FA15" s="283">
        <f>IF(AND(Stamoplysninger!$B$26="Der er indgået lokalaftale omkring weekendtillæg(Kræver aftale med TR/FSL). Weekendtimerne afspadseres.",I15="X"),K15,0)</f>
        <v>0</v>
      </c>
      <c r="FB15" s="251">
        <f>IF(AND(AND(Stamoplysninger!$B$26="Der er indgået lokalaftale omkring weekendtillæg(Kræver aftale med TR/FSL). Weekendtimerne afspadseres.",I15="X",S15="X")),V15,0)</f>
        <v>0</v>
      </c>
      <c r="FC15" s="674">
        <f>IF(AND(AND(Stamoplysninger!$B$26="Der er indgået lokalaftale omkring weekendtillæg(Kræver aftale med TR/FSL). Weekendtimerne afspadseres..",I15="X",C15="ikke relevant")),K15,0)</f>
        <v>0</v>
      </c>
      <c r="FD15" s="675">
        <f>IF(AND(AND(AND(Stamoplysninger!$B$26="Der er indgået lokalaftale omkring weekendtillæg(Kræver aftale med TR/FSL). Weekendtimerne afspadseres.",I15="X",C15="ikke relevant",S15="X"))),(V15),0)</f>
        <v>0</v>
      </c>
      <c r="FE15" s="283">
        <f>IF(AND(Stamoplysninger!$B$26="Der er indgået lokalaftale omkring weekendtillæg(Kræver aftale med TR/FSL). Weekendtimerne udbetales.",I15="X"),K15,0)</f>
        <v>0</v>
      </c>
      <c r="FF15" s="251">
        <f>IF(AND(AND(Stamoplysninger!$B$26="Der er indgået lokalaftale omkring weekendtillæg(Kræver aftale med TR/FSL). Weekendtimerne udbetales.",I15="X",S15="X")),V15,0)</f>
        <v>0</v>
      </c>
      <c r="FG15" s="674">
        <f>IF(AND(AND(Stamoplysninger!$B$26="Der er indgået lokalaftale omkring weekendtillæg(Kræver aftale med TR/FSL). Weekendtimerne udbetales.",I15="X",C15="ikke relevant")),K15,0)</f>
        <v>0</v>
      </c>
      <c r="FH15" s="675">
        <f>IF(AND(AND(AND(Stamoplysninger!$B$26="Der er indgået lokalaftale omkring weekendtillæg(Kræver aftale med TR/FSL). Weekendtimerne udbetales.",I15="X",C15="ikke relevant",S15="X"))),(V15),0)</f>
        <v>0</v>
      </c>
      <c r="FI15" s="283">
        <f>IF(AND(Stamoplysninger!$B$26="Weekendtimer og weekendtillæg afspadseres.",I15="X"),K15,0)</f>
        <v>0</v>
      </c>
      <c r="FJ15" s="251">
        <f>IF(AND(Stamoplysninger!$B$26="Weekendtimer og weekendtillæg afspadseres.",Y15="X"),(AA15+AL15)/2,0)</f>
        <v>0</v>
      </c>
      <c r="FK15" s="674">
        <f>IF(AND(AND(Stamoplysninger!$B$26="Weekendtimer og weekendtillæg afspadseres.",I15="X",C15="ikke relevant")),K15,0)</f>
        <v>0</v>
      </c>
      <c r="FL15" s="675">
        <f>IF(AND(AND(Stamoplysninger!$B$26="Weekendtimer og weekendtillæg afspadseres.",Y15="X",S15="ikke relevant")),(AA15+AL15)/2,0)</f>
        <v>0</v>
      </c>
      <c r="FM15" s="283">
        <f>IF(AND(Stamoplysninger!$B$26="Der er indgået lokalaftale omkring weekendtillæg(Kræver aftale med TR/FSL). Weekendtimerne afspadseres.",I15="X"),K15,0)</f>
        <v>0</v>
      </c>
      <c r="FN15" s="674">
        <f>IF(AND(AND(Stamoplysninger!$B$26="Der er indgået lokalaftale omkring weekendtillæg(Kræver aftale med TR/FSL). Weekendtimerne afspadseres.",I15="X",C15="ikke relevant")),K15,0)</f>
        <v>0</v>
      </c>
      <c r="FO15" s="283">
        <f>IF(AND(Stamoplysninger!$B$26="Weekendtimer og weekendtillæg udbetales.",I15="X"),K15,0)</f>
        <v>0</v>
      </c>
      <c r="FP15" s="251">
        <f>IF(AND(Stamoplysninger!$B$26="Weekendtimer og weekendtillæg udbetales.",AA15="X"),(AC15+AN15)/2,0)</f>
        <v>0</v>
      </c>
      <c r="FQ15" s="674">
        <f>IF(AND(AND(Stamoplysninger!$B$26="Weekendtimer og weekendtillæg udbetales.",I15="X",C15="ikke relevant")),K15,0)</f>
        <v>0</v>
      </c>
      <c r="FR15" s="688">
        <f>IF(AND(AND(Stamoplysninger!$B$26="Weekendtimer og weekendtillæg udbetales.",AA15="X",U15="ikke relevant")),(AC15+AN15)/2,0)</f>
        <v>0</v>
      </c>
      <c r="FS15" s="283">
        <f t="shared" si="15"/>
        <v>0</v>
      </c>
      <c r="FT15" s="658">
        <f t="shared" si="16"/>
        <v>0</v>
      </c>
      <c r="FU15">
        <f t="shared" si="17"/>
        <v>0</v>
      </c>
      <c r="FV15" s="283">
        <f>IF(AND(Stamoplysninger!$B$26="Der er indgået lokalaftale omkring weekendtimer.(Kræver aftale med TR/FSL) Weekendtillæg afspadseres.",I15="X"),K15,0)</f>
        <v>0</v>
      </c>
      <c r="FW15" s="674">
        <f>IF(AND(AND(Stamoplysninger!$B$26="Der er indgået lokalaftale omkring weekendtimer.(Kræver aftale med TR/FSL) Weekendtillæg afspadseres.",I15="X",C15="ikke relevant")),K15,0)</f>
        <v>0</v>
      </c>
      <c r="FX15" s="283">
        <f>IF(AND(Stamoplysninger!$B$26="Der er indgået lokalaftale omkring weekendtimer(Kræver aftale med TR/FSL). Weekendtillæg udbetales.",I15="X"),K15,0)</f>
        <v>0</v>
      </c>
      <c r="FY15" s="674">
        <f>IF(AND(AND(Stamoplysninger!$B$26="Der er indgået lokalaftale omkring weekendtimer(Kræver aftale med TR/FSL). Weekendtillæg udbetales.",I15="X",C15="ikke relevant")),K15,0)</f>
        <v>0</v>
      </c>
      <c r="FZ15" s="283">
        <f>IF(AND(Stamoplysninger!$B$26="Der er indgået lokalaftale omkring weekendtillæg(Kræver aftale med TR/FSL). Weekendtimerne udbetales.",I15="X"),K15,0)</f>
        <v>0</v>
      </c>
      <c r="GA15" s="674">
        <f>IF(AND(AND(Stamoplysninger!$B$26="Der er indgået lokalaftale omkring weekendtillæg(Kræver aftale med TR/FSL). Weekendtimerne udbetales.",I15="X",C15="ikke relevant")),K15,0)</f>
        <v>0</v>
      </c>
      <c r="GB15" s="283">
        <f>IF(AND(Stamoplysninger!$B$26="Der er indgået lokalaftale omkring weekendtimer og weekendtillæg.(Kræver aftale med TR/FSL).",I15="X"),K15,0)</f>
        <v>0</v>
      </c>
      <c r="GC15" s="674">
        <f>IF(AND(AND(Stamoplysninger!$B$26="Der er indgået lokalaftale omkring weekendtimer og weekendtillæg.(Kræver aftale med TR/FSL).",I15="X",C15="ikke relevant")),K15,0)</f>
        <v>0</v>
      </c>
    </row>
    <row r="16" spans="1:185">
      <c r="A16" s="245">
        <f t="shared" si="18"/>
        <v>8</v>
      </c>
      <c r="B16" s="128" t="str">
        <f t="shared" si="0"/>
        <v>lø</v>
      </c>
      <c r="C16" s="129" t="s">
        <v>120</v>
      </c>
      <c r="D16" s="130" t="str">
        <f t="shared" si="1"/>
        <v/>
      </c>
      <c r="E16" s="917"/>
      <c r="F16" s="918"/>
      <c r="G16" s="919"/>
      <c r="H16" s="298"/>
      <c r="I16" s="413"/>
      <c r="J16" s="413"/>
      <c r="K16" s="380"/>
      <c r="L16" s="380"/>
      <c r="M16" s="380"/>
      <c r="N16" s="318">
        <f t="shared" si="19"/>
        <v>0</v>
      </c>
      <c r="O16" s="318">
        <f t="shared" si="20"/>
        <v>0</v>
      </c>
      <c r="P16" s="318">
        <f>IF(Stamoplysninger!$H$29="JA",Marts!DG16,CX16)</f>
        <v>0</v>
      </c>
      <c r="Q16" s="318">
        <f t="shared" si="21"/>
        <v>0</v>
      </c>
      <c r="R16" s="319"/>
      <c r="S16" s="324"/>
      <c r="T16" s="325"/>
      <c r="U16" s="325"/>
      <c r="V16" s="435"/>
      <c r="W16" s="412"/>
      <c r="X16" s="642"/>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9">
        <f t="shared" si="8"/>
        <v>0</v>
      </c>
      <c r="BC16" s="1">
        <f t="shared" si="24"/>
        <v>0</v>
      </c>
      <c r="BD16" s="1">
        <f t="shared" si="9"/>
        <v>0</v>
      </c>
      <c r="BE16" s="1">
        <f t="shared" si="10"/>
        <v>0</v>
      </c>
      <c r="BF16" s="1">
        <f t="shared" si="11"/>
        <v>0</v>
      </c>
      <c r="BG16" s="210" t="str">
        <f>IF(AND(C16="Skema 1",B16="ma"),Skemaoplysninger!$E$30,"")</f>
        <v/>
      </c>
      <c r="BH16" s="210" t="str">
        <f>IF(AND(C16="Skema 1",B16="ti"),Skemaoplysninger!$G$30,"")</f>
        <v/>
      </c>
      <c r="BI16" s="210" t="str">
        <f>IF(AND(C16="Skema 1",B16="on"),Skemaoplysninger!$I$30,"")</f>
        <v/>
      </c>
      <c r="BJ16" s="210" t="str">
        <f>IF(AND(C16="Skema 1",B16="to"),Skemaoplysninger!$K$30,"")</f>
        <v/>
      </c>
      <c r="BK16" s="210" t="str">
        <f>IF(AND(C16="Skema 1",B16="fr"),Skemaoplysninger!$M$30,"")</f>
        <v/>
      </c>
      <c r="BL16" s="210" t="str">
        <f>IF(AND(C16="Skema 2",B16="ma"),Skemaoplysninger!$S$30,"")</f>
        <v/>
      </c>
      <c r="BM16" s="210" t="str">
        <f>IF(AND(C16="Skema 2",B16="ti"),Skemaoplysninger!$U$30,"")</f>
        <v/>
      </c>
      <c r="BN16" s="210" t="str">
        <f>IF(AND(C16="Skema 2",B16="on"),Skemaoplysninger!$W$30,"")</f>
        <v/>
      </c>
      <c r="BO16" s="210" t="str">
        <f>IF(AND(C16="Skema 2",B16="to"),Skemaoplysninger!$Y$30,"")</f>
        <v/>
      </c>
      <c r="BP16" s="210" t="str">
        <f>IF(AND(C16="Skema 2",B16="fr"),Skemaoplysninger!$AA$30,"")</f>
        <v/>
      </c>
      <c r="BQ16" s="210" t="str">
        <f>IF(AND(C16="Skema 3",B16="ma"),Skemaoplysninger!$AG$30,"")</f>
        <v/>
      </c>
      <c r="BR16" s="210" t="str">
        <f>IF(AND(C16="Skema 3",B16="ti"),Skemaoplysninger!$AI$30,"")</f>
        <v/>
      </c>
      <c r="BS16" s="210" t="str">
        <f>IF(AND(C16="Skema 3",B16="on"),Skemaoplysninger!$AK$30,"")</f>
        <v/>
      </c>
      <c r="BT16" s="210" t="str">
        <f>IF(AND(C16="Skema 3",B16="to"),Skemaoplysninger!$AM$30,"")</f>
        <v/>
      </c>
      <c r="BU16" s="210" t="str">
        <f>IF(AND(C16="Skema 3",B16="fr"),Skemaoplysninger!$AO$30,"")</f>
        <v/>
      </c>
      <c r="BV16" s="210" t="str">
        <f>IF(AND(C16="Skema 4",B16="ma"),Skemaoplysninger!$AU$30,"")</f>
        <v/>
      </c>
      <c r="BW16" s="210" t="str">
        <f>IF(AND(C16="Skema 4",B16="ti"),Skemaoplysninger!$AW$30,"")</f>
        <v/>
      </c>
      <c r="BX16" s="210" t="str">
        <f>IF(AND(C16="Skema 4",B16="on"),Skemaoplysninger!$AY$30,"")</f>
        <v/>
      </c>
      <c r="BY16" s="210" t="str">
        <f>IF(AND(C16="Skema 4",B16="to"),Skemaoplysninger!$BA$30,"")</f>
        <v/>
      </c>
      <c r="BZ16" s="210" t="str">
        <f>IF(AND(C16="Skema 4",B16="fr"),Skemaoplysninger!$BC$30,"")</f>
        <v/>
      </c>
      <c r="CA16" s="1">
        <f t="shared" si="25"/>
        <v>0</v>
      </c>
      <c r="CB16" s="1">
        <f t="shared" si="12"/>
        <v>0</v>
      </c>
      <c r="CC16" s="1">
        <f t="shared" si="13"/>
        <v>0</v>
      </c>
      <c r="CD16" s="210" t="str">
        <f>IF(AND(C16="Skema 1",B16="ma"),Skemaoplysninger!$E$31,"")</f>
        <v/>
      </c>
      <c r="CE16" s="210" t="str">
        <f>IF(AND(C16="Skema 1",B16="ti"),Skemaoplysninger!$G$31,"")</f>
        <v/>
      </c>
      <c r="CF16" s="210" t="str">
        <f>IF(AND(C16="Skema 1",B16="on"),Skemaoplysninger!$I$31,"")</f>
        <v/>
      </c>
      <c r="CG16" s="210" t="str">
        <f>IF(AND(C16="Skema 1",B16="to"),Skemaoplysninger!$K$31,"")</f>
        <v/>
      </c>
      <c r="CH16" s="210" t="str">
        <f>IF(AND(C16="Skema 1",B16="fr"),Skemaoplysninger!$M$31,"")</f>
        <v/>
      </c>
      <c r="CI16" s="210" t="str">
        <f>IF(AND(C16="Skema 2",B16="ma"),Skemaoplysninger!$S$31,"")</f>
        <v/>
      </c>
      <c r="CJ16" s="210" t="str">
        <f>IF(AND(C16="Skema 2",B16="ti"),Skemaoplysninger!$U$31,"")</f>
        <v/>
      </c>
      <c r="CK16" s="210" t="str">
        <f>IF(AND(C16="Skema 2",B16="on"),Skemaoplysninger!$W$31,"")</f>
        <v/>
      </c>
      <c r="CL16" s="210" t="str">
        <f>IF(AND(C16="Skema 2",B16="to"),Skemaoplysninger!$Y$31,"")</f>
        <v/>
      </c>
      <c r="CM16" s="210" t="str">
        <f>IF(AND(C16="Skema 2",B16="fr"),Skemaoplysninger!$AA$31,"")</f>
        <v/>
      </c>
      <c r="CN16" s="210" t="str">
        <f>IF(AND(C16="Skema 3",B16="ma"),Skemaoplysninger!$AG$31,"")</f>
        <v/>
      </c>
      <c r="CO16" s="210" t="str">
        <f>IF(AND(C16="Skema 3",B16="ti"),Skemaoplysninger!$AI$31,"")</f>
        <v/>
      </c>
      <c r="CP16" s="210" t="str">
        <f>IF(AND(C16="Skema 3",B16="on"),Skemaoplysninger!$AK$31,"")</f>
        <v/>
      </c>
      <c r="CQ16" s="210" t="str">
        <f>IF(AND(C16="Skema 3",B16="to"),Skemaoplysninger!$AM$31,"")</f>
        <v/>
      </c>
      <c r="CR16" s="210" t="str">
        <f>IF(AND(C16="Skema 3",B16="fr"),Skemaoplysninger!$AO$31,"")</f>
        <v/>
      </c>
      <c r="CS16" s="210" t="str">
        <f>IF(AND(C16="Skema 4",B16="ma"),Skemaoplysninger!$AU$31,"")</f>
        <v/>
      </c>
      <c r="CT16" s="210" t="str">
        <f>IF(AND(C16="Skema 4",B16="ti"),Skemaoplysninger!$AW$31,"")</f>
        <v/>
      </c>
      <c r="CU16" s="210" t="str">
        <f>IF(AND(C16="Skema 4",B16="on"),Skemaoplysninger!$AY$31,"")</f>
        <v/>
      </c>
      <c r="CV16" s="210" t="str">
        <f>IF(AND(C16="Skema 4",B16="to"),Skemaoplysninger!$BA$31,"")</f>
        <v/>
      </c>
      <c r="CW16" s="210" t="str">
        <f>IF(AND(C16="Skema 4",B16="fr"),Skemaoplysninger!$BC$31,"")</f>
        <v/>
      </c>
      <c r="CX16" s="249">
        <f>IF(Stamoplysninger!$H$29="NEJ",SUM(CD16:CW16)*24+CB16+CC16,0)</f>
        <v>0</v>
      </c>
      <c r="CY16" s="249">
        <f>IF(C16="Skema 1",Stamoplysninger!$H$30/200,0)</f>
        <v>0</v>
      </c>
      <c r="CZ16" s="249">
        <f>IF(C16="Skema 2",Stamoplysninger!$H$30/200,0)</f>
        <v>0</v>
      </c>
      <c r="DA16" s="249">
        <f>IF(C16="Skema 3",Stamoplysninger!$H$30/200,0)</f>
        <v>0</v>
      </c>
      <c r="DB16" s="249">
        <f>IF(C16="Skema 4",Stamoplysninger!$H$30/200,0)</f>
        <v>0</v>
      </c>
      <c r="DC16" s="249">
        <f>IF(C16="fagdag",Stamoplysninger!$H$30/200,0)</f>
        <v>0</v>
      </c>
      <c r="DD16" s="249">
        <f>IF(C16="emnedag",Stamoplysninger!$H$30/200,0)</f>
        <v>0</v>
      </c>
      <c r="DE16" s="249">
        <f>IF(C16="lejrskole",Stamoplysninger!$H$30/200,0)</f>
        <v>0</v>
      </c>
      <c r="DF16" s="249">
        <f>IF(C16="ekskursion",Stamoplysninger!$H$30/200,0)</f>
        <v>0</v>
      </c>
      <c r="DG16" s="249">
        <f t="shared" si="26"/>
        <v>0</v>
      </c>
      <c r="DH16" t="str">
        <f t="shared" si="27"/>
        <v/>
      </c>
      <c r="DI16">
        <f t="shared" si="28"/>
        <v>0</v>
      </c>
      <c r="DJ16">
        <f t="shared" si="29"/>
        <v>0</v>
      </c>
      <c r="DK16" t="str">
        <f t="shared" si="14"/>
        <v/>
      </c>
      <c r="DL16" t="str">
        <f t="shared" si="14"/>
        <v/>
      </c>
      <c r="DM16" t="str">
        <f t="shared" si="14"/>
        <v/>
      </c>
      <c r="DN16" t="str">
        <f t="shared" si="30"/>
        <v/>
      </c>
      <c r="DO16" s="652">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71">
        <f>IF(AND(Stamoplysninger!$B$22="Ulempetillæg udbetales med 25% af nettotimelønnen.",C16="ikke relevant"),(R16)/4,0)</f>
        <v>0</v>
      </c>
      <c r="DT16" s="671">
        <f>IF(AND(AND(Stamoplysninger!$B$22="Ulempetillæg udbetales med 25% af nettotimelønnen.",I16="X",C16="Ikke relevant")),K16/4,0)</f>
        <v>0</v>
      </c>
      <c r="DU16" s="671">
        <f>IF(AND(AND(Stamoplysninger!$B$22="Ulempetillæg udbetales med 25% af nettotimelønnen.",C16="ikke relevant",U16="X")),(X16/4),0)</f>
        <v>0</v>
      </c>
      <c r="DV16" s="672">
        <f>IF(AND(AND(AND(Stamoplysninger!$B$22="Ulempetillæg udbetales med 25% af nettotimelønnen.",I16="X",C16="Ikke relevant",S16="X"))),V16/4,0)</f>
        <v>0</v>
      </c>
      <c r="DW16" s="652"/>
      <c r="DZ16" s="671"/>
      <c r="EA16" s="671"/>
      <c r="EB16" s="672"/>
      <c r="EC16" s="652">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71">
        <f>IF(AND(Stamoplysninger!$B$22="Ulempetillæg afspadseres med 25%(Kræver en aftale imellem ledelsen og den ansatte)",C16="ikke relevant"),(R16)/4,0)</f>
        <v>0</v>
      </c>
      <c r="EH16" s="671">
        <f>IF(AND(AND(Stamoplysninger!$B$22="Ulempetillæg afspadseres med 25%(Kræver en aftale imellem ledelsen og den ansatte)",I16="X",C16="Ikke relevant")),K16/4,0)</f>
        <v>0</v>
      </c>
      <c r="EI16" s="671">
        <f>IF(AND(AND(Stamoplysninger!$B$22="Ulempetillæg afspadseres med 25%(Kræver en aftale imellem ledelsen og den ansatte)",U16="X",C16="Ikke relevant")),X16/4,0)</f>
        <v>0</v>
      </c>
      <c r="EJ16" s="671">
        <f>IF(AND(AND(AND(Stamoplysninger!$B$22="Ulempetillæg afspadseres med 25%(Kræver en aftale imellem ledelsen og den ansatte)",I16="X",C16="Ikke relevant",S16="X"))),V16/4,0)</f>
        <v>0</v>
      </c>
      <c r="EK16" s="283">
        <f>IF(AND(Stamoplysninger!$B$26="Weekendtimer og weekendtillæg afspadseres.",I16="X"),K16*1.5,0)</f>
        <v>0</v>
      </c>
      <c r="EL16" s="251">
        <f>IF(AND(AND(Stamoplysninger!$B$26="Weekendtimer og weekendtillæg afspadseres.",I16="X",S16="X")),V16*1.5,0)</f>
        <v>0</v>
      </c>
      <c r="EM16" s="674">
        <f>IF(AND(AND(Stamoplysninger!$B$26="Weekendtimer og weekendtillæg afspadseres.",I16="X",C16="ikke relevant")),K16*1.5,0)</f>
        <v>0</v>
      </c>
      <c r="EN16" s="675">
        <f>IF(AND(AND(AND(Stamoplysninger!$B$26="Weekendtimer og weekendtillæg afspadseres.",I16="X",C16="ikke relevant",S16="X"))),(V16*1.5),0)</f>
        <v>0</v>
      </c>
      <c r="EO16" s="283">
        <f>IF(AND(Stamoplysninger!$B$26="Weekendtimer og weekendtillæg udbetales.",I16="X"),K16*1.5,0)</f>
        <v>0</v>
      </c>
      <c r="EP16" s="251">
        <f>IF(AND(AND(Stamoplysninger!$B$26="Weekendtimer og weekendtillæg udbetales.",I16="X",S16="X")),V16*1.5,0)</f>
        <v>0</v>
      </c>
      <c r="EQ16" s="674">
        <f>IF(AND(AND(Stamoplysninger!$B$26="Weekendtimer og weekendtillæg udbetales.",I16="X",C16="ikke relevant")),K16*1.5,0)</f>
        <v>0</v>
      </c>
      <c r="ER16" s="675">
        <f>IF(AND(AND(AND(Stamoplysninger!$B$26="Weekendtimer og weekendtillæg udbetales.",I16="X",C16="ikke relevant",S16="X"))),(V16*1.5),0)</f>
        <v>0</v>
      </c>
      <c r="ES16" s="283">
        <f>IF(AND(Stamoplysninger!$B$26="Der er indgået lokalaftale omkring weekendtimer.(Kræver aftale med TR/FSL) Weekendtillæg afspadseres.",I16="X"),K16*0.5,0)</f>
        <v>0</v>
      </c>
      <c r="ET16" s="251">
        <f>IF(AND(AND(Stamoplysninger!$B$26="Der er indgået lokalaftale omkring weekendtimer.(Kræver aftale med TR/FSL) Weekendtillæg afspadseres.",I16="X",S16="X")),V16*0.5,0)</f>
        <v>0</v>
      </c>
      <c r="EU16" s="674">
        <f>IF(AND(AND(Stamoplysninger!$B$26="Der er indgået lokalaftale omkring weekendtimer.(Kræver aftale med TR/FSL) Weekendtillæg afspadseres.",I16="X",C16="ikke relevant")),K16*0.5,0)</f>
        <v>0</v>
      </c>
      <c r="EV16" s="675">
        <f>IF(AND(AND(AND(Stamoplysninger!$B$26="Der er indgået lokalaftale omkring weekendtimer.(Kræver aftale med TR/FSL) Weekendtillæg afspadseres.",I16="X",C16="ikke relevant",S16="X"))),(V16*0.5),0)</f>
        <v>0</v>
      </c>
      <c r="EW16" s="283">
        <f>IF(AND(Stamoplysninger!$B$26="Der er indgået lokalaftale omkring weekendtimer(Kræver aftale med TR/FSL). Weekendtillæg udbetales.",I16="X"),K16*0.5,0)</f>
        <v>0</v>
      </c>
      <c r="EX16" s="251">
        <f>IF(AND(AND(Stamoplysninger!$B$26="Der er indgået lokalaftale omkring weekendtimer(Kræver aftale med TR/FSL). Weekendtillæg udbetales.",I16="X",S16="X")),V16*0.5,0)</f>
        <v>0</v>
      </c>
      <c r="EY16" s="674">
        <f>IF(AND(AND(Stamoplysninger!$B$26="Der er indgået lokalaftale omkring weekendtimer(Kræver aftale med TR/FSL). Weekendtillæg udbetales.",I16="X",C16="ikke relevant")),K16*0.5,0)</f>
        <v>0</v>
      </c>
      <c r="EZ16" s="675">
        <f>IF(AND(AND(AND(Stamoplysninger!$B$26="Der er indgået lokalaftale omkring weekendtimer(Kræver aftale med TR/FSL). Weekendtillæg udbetales.",I16="X",C16="ikke relevant",S16="X"))),(V16*0.5),0)</f>
        <v>0</v>
      </c>
      <c r="FA16" s="283">
        <f>IF(AND(Stamoplysninger!$B$26="Der er indgået lokalaftale omkring weekendtillæg(Kræver aftale med TR/FSL). Weekendtimerne afspadseres.",I16="X"),K16,0)</f>
        <v>0</v>
      </c>
      <c r="FB16" s="251">
        <f>IF(AND(AND(Stamoplysninger!$B$26="Der er indgået lokalaftale omkring weekendtillæg(Kræver aftale med TR/FSL). Weekendtimerne afspadseres.",I16="X",S16="X")),V16,0)</f>
        <v>0</v>
      </c>
      <c r="FC16" s="674">
        <f>IF(AND(AND(Stamoplysninger!$B$26="Der er indgået lokalaftale omkring weekendtillæg(Kræver aftale med TR/FSL). Weekendtimerne afspadseres..",I16="X",C16="ikke relevant")),K16,0)</f>
        <v>0</v>
      </c>
      <c r="FD16" s="675">
        <f>IF(AND(AND(AND(Stamoplysninger!$B$26="Der er indgået lokalaftale omkring weekendtillæg(Kræver aftale med TR/FSL). Weekendtimerne afspadseres.",I16="X",C16="ikke relevant",S16="X"))),(V16),0)</f>
        <v>0</v>
      </c>
      <c r="FE16" s="283">
        <f>IF(AND(Stamoplysninger!$B$26="Der er indgået lokalaftale omkring weekendtillæg(Kræver aftale med TR/FSL). Weekendtimerne udbetales.",I16="X"),K16,0)</f>
        <v>0</v>
      </c>
      <c r="FF16" s="251">
        <f>IF(AND(AND(Stamoplysninger!$B$26="Der er indgået lokalaftale omkring weekendtillæg(Kræver aftale med TR/FSL). Weekendtimerne udbetales.",I16="X",S16="X")),V16,0)</f>
        <v>0</v>
      </c>
      <c r="FG16" s="674">
        <f>IF(AND(AND(Stamoplysninger!$B$26="Der er indgået lokalaftale omkring weekendtillæg(Kræver aftale med TR/FSL). Weekendtimerne udbetales.",I16="X",C16="ikke relevant")),K16,0)</f>
        <v>0</v>
      </c>
      <c r="FH16" s="675">
        <f>IF(AND(AND(AND(Stamoplysninger!$B$26="Der er indgået lokalaftale omkring weekendtillæg(Kræver aftale med TR/FSL). Weekendtimerne udbetales.",I16="X",C16="ikke relevant",S16="X"))),(V16),0)</f>
        <v>0</v>
      </c>
      <c r="FI16" s="283">
        <f>IF(AND(Stamoplysninger!$B$26="Weekendtimer og weekendtillæg afspadseres.",I16="X"),K16,0)</f>
        <v>0</v>
      </c>
      <c r="FJ16" s="251">
        <f>IF(AND(Stamoplysninger!$B$26="Weekendtimer og weekendtillæg afspadseres.",Y16="X"),(AA16+AL16)/2,0)</f>
        <v>0</v>
      </c>
      <c r="FK16" s="674">
        <f>IF(AND(AND(Stamoplysninger!$B$26="Weekendtimer og weekendtillæg afspadseres.",I16="X",C16="ikke relevant")),K16,0)</f>
        <v>0</v>
      </c>
      <c r="FL16" s="675">
        <f>IF(AND(AND(Stamoplysninger!$B$26="Weekendtimer og weekendtillæg afspadseres.",Y16="X",S16="ikke relevant")),(AA16+AL16)/2,0)</f>
        <v>0</v>
      </c>
      <c r="FM16" s="283">
        <f>IF(AND(Stamoplysninger!$B$26="Der er indgået lokalaftale omkring weekendtillæg(Kræver aftale med TR/FSL). Weekendtimerne afspadseres.",I16="X"),K16,0)</f>
        <v>0</v>
      </c>
      <c r="FN16" s="674">
        <f>IF(AND(AND(Stamoplysninger!$B$26="Der er indgået lokalaftale omkring weekendtillæg(Kræver aftale med TR/FSL). Weekendtimerne afspadseres.",I16="X",C16="ikke relevant")),K16,0)</f>
        <v>0</v>
      </c>
      <c r="FO16" s="283">
        <f>IF(AND(Stamoplysninger!$B$26="Weekendtimer og weekendtillæg udbetales.",I16="X"),K16,0)</f>
        <v>0</v>
      </c>
      <c r="FP16" s="251">
        <f>IF(AND(Stamoplysninger!$B$26="Weekendtimer og weekendtillæg udbetales.",AA16="X"),(AC16+AN16)/2,0)</f>
        <v>0</v>
      </c>
      <c r="FQ16" s="674">
        <f>IF(AND(AND(Stamoplysninger!$B$26="Weekendtimer og weekendtillæg udbetales.",I16="X",C16="ikke relevant")),K16,0)</f>
        <v>0</v>
      </c>
      <c r="FR16" s="688">
        <f>IF(AND(AND(Stamoplysninger!$B$26="Weekendtimer og weekendtillæg udbetales.",AA16="X",U16="ikke relevant")),(AC16+AN16)/2,0)</f>
        <v>0</v>
      </c>
      <c r="FS16" s="283">
        <f t="shared" si="15"/>
        <v>0</v>
      </c>
      <c r="FT16" s="658">
        <f t="shared" si="16"/>
        <v>0</v>
      </c>
      <c r="FU16">
        <f t="shared" si="17"/>
        <v>0</v>
      </c>
      <c r="FV16" s="283">
        <f>IF(AND(Stamoplysninger!$B$26="Der er indgået lokalaftale omkring weekendtimer.(Kræver aftale med TR/FSL) Weekendtillæg afspadseres.",I16="X"),K16,0)</f>
        <v>0</v>
      </c>
      <c r="FW16" s="674">
        <f>IF(AND(AND(Stamoplysninger!$B$26="Der er indgået lokalaftale omkring weekendtimer.(Kræver aftale med TR/FSL) Weekendtillæg afspadseres.",I16="X",C16="ikke relevant")),K16,0)</f>
        <v>0</v>
      </c>
      <c r="FX16" s="283">
        <f>IF(AND(Stamoplysninger!$B$26="Der er indgået lokalaftale omkring weekendtimer(Kræver aftale med TR/FSL). Weekendtillæg udbetales.",I16="X"),K16,0)</f>
        <v>0</v>
      </c>
      <c r="FY16" s="674">
        <f>IF(AND(AND(Stamoplysninger!$B$26="Der er indgået lokalaftale omkring weekendtimer(Kræver aftale med TR/FSL). Weekendtillæg udbetales.",I16="X",C16="ikke relevant")),K16,0)</f>
        <v>0</v>
      </c>
      <c r="FZ16" s="283">
        <f>IF(AND(Stamoplysninger!$B$26="Der er indgået lokalaftale omkring weekendtillæg(Kræver aftale med TR/FSL). Weekendtimerne udbetales.",I16="X"),K16,0)</f>
        <v>0</v>
      </c>
      <c r="GA16" s="674">
        <f>IF(AND(AND(Stamoplysninger!$B$26="Der er indgået lokalaftale omkring weekendtillæg(Kræver aftale med TR/FSL). Weekendtimerne udbetales.",I16="X",C16="ikke relevant")),K16,0)</f>
        <v>0</v>
      </c>
      <c r="GB16" s="283">
        <f>IF(AND(Stamoplysninger!$B$26="Der er indgået lokalaftale omkring weekendtimer og weekendtillæg.(Kræver aftale med TR/FSL).",I16="X"),K16,0)</f>
        <v>0</v>
      </c>
      <c r="GC16" s="674">
        <f>IF(AND(AND(Stamoplysninger!$B$26="Der er indgået lokalaftale omkring weekendtimer og weekendtillæg.(Kræver aftale med TR/FSL).",I16="X",C16="ikke relevant")),K16,0)</f>
        <v>0</v>
      </c>
    </row>
    <row r="17" spans="1:185">
      <c r="A17" s="245">
        <f t="shared" si="18"/>
        <v>9</v>
      </c>
      <c r="B17" s="128" t="str">
        <f t="shared" si="0"/>
        <v>sø</v>
      </c>
      <c r="C17" s="129" t="s">
        <v>120</v>
      </c>
      <c r="D17" s="130" t="str">
        <f t="shared" si="1"/>
        <v/>
      </c>
      <c r="E17" s="917"/>
      <c r="F17" s="918"/>
      <c r="G17" s="919"/>
      <c r="H17" s="298"/>
      <c r="I17" s="413"/>
      <c r="J17" s="413"/>
      <c r="K17" s="380"/>
      <c r="L17" s="380"/>
      <c r="M17" s="380"/>
      <c r="N17" s="318">
        <f t="shared" si="19"/>
        <v>0</v>
      </c>
      <c r="O17" s="318">
        <f t="shared" si="20"/>
        <v>0</v>
      </c>
      <c r="P17" s="318">
        <f>IF(Stamoplysninger!$H$29="JA",Marts!DG17,CX17)</f>
        <v>0</v>
      </c>
      <c r="Q17" s="318">
        <f t="shared" si="21"/>
        <v>0</v>
      </c>
      <c r="R17" s="319"/>
      <c r="S17" s="324"/>
      <c r="T17" s="325"/>
      <c r="U17" s="325"/>
      <c r="V17" s="435"/>
      <c r="W17" s="412"/>
      <c r="X17" s="642"/>
      <c r="Y17">
        <f t="shared" si="22"/>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9">
        <f t="shared" si="8"/>
        <v>0</v>
      </c>
      <c r="BC17" s="1">
        <f t="shared" si="24"/>
        <v>0</v>
      </c>
      <c r="BD17" s="1">
        <f t="shared" si="9"/>
        <v>0</v>
      </c>
      <c r="BE17" s="1">
        <f t="shared" si="10"/>
        <v>0</v>
      </c>
      <c r="BF17" s="1">
        <f t="shared" si="11"/>
        <v>0</v>
      </c>
      <c r="BG17" s="210" t="str">
        <f>IF(AND(C17="Skema 1",B17="ma"),Skemaoplysninger!$E$30,"")</f>
        <v/>
      </c>
      <c r="BH17" s="210" t="str">
        <f>IF(AND(C17="Skema 1",B17="ti"),Skemaoplysninger!$G$30,"")</f>
        <v/>
      </c>
      <c r="BI17" s="210" t="str">
        <f>IF(AND(C17="Skema 1",B17="on"),Skemaoplysninger!$I$30,"")</f>
        <v/>
      </c>
      <c r="BJ17" s="210" t="str">
        <f>IF(AND(C17="Skema 1",B17="to"),Skemaoplysninger!$K$30,"")</f>
        <v/>
      </c>
      <c r="BK17" s="210" t="str">
        <f>IF(AND(C17="Skema 1",B17="fr"),Skemaoplysninger!$M$30,"")</f>
        <v/>
      </c>
      <c r="BL17" s="210" t="str">
        <f>IF(AND(C17="Skema 2",B17="ma"),Skemaoplysninger!$S$30,"")</f>
        <v/>
      </c>
      <c r="BM17" s="210" t="str">
        <f>IF(AND(C17="Skema 2",B17="ti"),Skemaoplysninger!$U$30,"")</f>
        <v/>
      </c>
      <c r="BN17" s="210" t="str">
        <f>IF(AND(C17="Skema 2",B17="on"),Skemaoplysninger!$W$30,"")</f>
        <v/>
      </c>
      <c r="BO17" s="210" t="str">
        <f>IF(AND(C17="Skema 2",B17="to"),Skemaoplysninger!$Y$30,"")</f>
        <v/>
      </c>
      <c r="BP17" s="210" t="str">
        <f>IF(AND(C17="Skema 2",B17="fr"),Skemaoplysninger!$AA$30,"")</f>
        <v/>
      </c>
      <c r="BQ17" s="210" t="str">
        <f>IF(AND(C17="Skema 3",B17="ma"),Skemaoplysninger!$AG$30,"")</f>
        <v/>
      </c>
      <c r="BR17" s="210" t="str">
        <f>IF(AND(C17="Skema 3",B17="ti"),Skemaoplysninger!$AI$30,"")</f>
        <v/>
      </c>
      <c r="BS17" s="210" t="str">
        <f>IF(AND(C17="Skema 3",B17="on"),Skemaoplysninger!$AK$30,"")</f>
        <v/>
      </c>
      <c r="BT17" s="210" t="str">
        <f>IF(AND(C17="Skema 3",B17="to"),Skemaoplysninger!$AM$30,"")</f>
        <v/>
      </c>
      <c r="BU17" s="210" t="str">
        <f>IF(AND(C17="Skema 3",B17="fr"),Skemaoplysninger!$AO$30,"")</f>
        <v/>
      </c>
      <c r="BV17" s="210" t="str">
        <f>IF(AND(C17="Skema 4",B17="ma"),Skemaoplysninger!$AU$30,"")</f>
        <v/>
      </c>
      <c r="BW17" s="210" t="str">
        <f>IF(AND(C17="Skema 4",B17="ti"),Skemaoplysninger!$AW$30,"")</f>
        <v/>
      </c>
      <c r="BX17" s="210" t="str">
        <f>IF(AND(C17="Skema 4",B17="on"),Skemaoplysninger!$AY$30,"")</f>
        <v/>
      </c>
      <c r="BY17" s="210" t="str">
        <f>IF(AND(C17="Skema 4",B17="to"),Skemaoplysninger!$BA$30,"")</f>
        <v/>
      </c>
      <c r="BZ17" s="210" t="str">
        <f>IF(AND(C17="Skema 4",B17="fr"),Skemaoplysninger!$BC$30,"")</f>
        <v/>
      </c>
      <c r="CA17" s="1">
        <f t="shared" si="25"/>
        <v>0</v>
      </c>
      <c r="CB17" s="1">
        <f t="shared" si="12"/>
        <v>0</v>
      </c>
      <c r="CC17" s="1">
        <f t="shared" si="13"/>
        <v>0</v>
      </c>
      <c r="CD17" s="210" t="str">
        <f>IF(AND(C17="Skema 1",B17="ma"),Skemaoplysninger!$E$31,"")</f>
        <v/>
      </c>
      <c r="CE17" s="210" t="str">
        <f>IF(AND(C17="Skema 1",B17="ti"),Skemaoplysninger!$G$31,"")</f>
        <v/>
      </c>
      <c r="CF17" s="210" t="str">
        <f>IF(AND(C17="Skema 1",B17="on"),Skemaoplysninger!$I$31,"")</f>
        <v/>
      </c>
      <c r="CG17" s="210" t="str">
        <f>IF(AND(C17="Skema 1",B17="to"),Skemaoplysninger!$K$31,"")</f>
        <v/>
      </c>
      <c r="CH17" s="210" t="str">
        <f>IF(AND(C17="Skema 1",B17="fr"),Skemaoplysninger!$M$31,"")</f>
        <v/>
      </c>
      <c r="CI17" s="210" t="str">
        <f>IF(AND(C17="Skema 2",B17="ma"),Skemaoplysninger!$S$31,"")</f>
        <v/>
      </c>
      <c r="CJ17" s="210" t="str">
        <f>IF(AND(C17="Skema 2",B17="ti"),Skemaoplysninger!$U$31,"")</f>
        <v/>
      </c>
      <c r="CK17" s="210" t="str">
        <f>IF(AND(C17="Skema 2",B17="on"),Skemaoplysninger!$W$31,"")</f>
        <v/>
      </c>
      <c r="CL17" s="210" t="str">
        <f>IF(AND(C17="Skema 2",B17="to"),Skemaoplysninger!$Y$31,"")</f>
        <v/>
      </c>
      <c r="CM17" s="210" t="str">
        <f>IF(AND(C17="Skema 2",B17="fr"),Skemaoplysninger!$AA$31,"")</f>
        <v/>
      </c>
      <c r="CN17" s="210" t="str">
        <f>IF(AND(C17="Skema 3",B17="ma"),Skemaoplysninger!$AG$31,"")</f>
        <v/>
      </c>
      <c r="CO17" s="210" t="str">
        <f>IF(AND(C17="Skema 3",B17="ti"),Skemaoplysninger!$AI$31,"")</f>
        <v/>
      </c>
      <c r="CP17" s="210" t="str">
        <f>IF(AND(C17="Skema 3",B17="on"),Skemaoplysninger!$AK$31,"")</f>
        <v/>
      </c>
      <c r="CQ17" s="210" t="str">
        <f>IF(AND(C17="Skema 3",B17="to"),Skemaoplysninger!$AM$31,"")</f>
        <v/>
      </c>
      <c r="CR17" s="210" t="str">
        <f>IF(AND(C17="Skema 3",B17="fr"),Skemaoplysninger!$AO$31,"")</f>
        <v/>
      </c>
      <c r="CS17" s="210" t="str">
        <f>IF(AND(C17="Skema 4",B17="ma"),Skemaoplysninger!$AU$31,"")</f>
        <v/>
      </c>
      <c r="CT17" s="210" t="str">
        <f>IF(AND(C17="Skema 4",B17="ti"),Skemaoplysninger!$AW$31,"")</f>
        <v/>
      </c>
      <c r="CU17" s="210" t="str">
        <f>IF(AND(C17="Skema 4",B17="on"),Skemaoplysninger!$AY$31,"")</f>
        <v/>
      </c>
      <c r="CV17" s="210" t="str">
        <f>IF(AND(C17="Skema 4",B17="to"),Skemaoplysninger!$BA$31,"")</f>
        <v/>
      </c>
      <c r="CW17" s="210" t="str">
        <f>IF(AND(C17="Skema 4",B17="fr"),Skemaoplysninger!$BC$31,"")</f>
        <v/>
      </c>
      <c r="CX17" s="249">
        <f>IF(Stamoplysninger!$H$29="NEJ",SUM(CD17:CW17)*24+CB17+CC17,0)</f>
        <v>0</v>
      </c>
      <c r="CY17" s="249">
        <f>IF(C17="Skema 1",Stamoplysninger!$H$30/200,0)</f>
        <v>0</v>
      </c>
      <c r="CZ17" s="249">
        <f>IF(C17="Skema 2",Stamoplysninger!$H$30/200,0)</f>
        <v>0</v>
      </c>
      <c r="DA17" s="249">
        <f>IF(C17="Skema 3",Stamoplysninger!$H$30/200,0)</f>
        <v>0</v>
      </c>
      <c r="DB17" s="249">
        <f>IF(C17="Skema 4",Stamoplysninger!$H$30/200,0)</f>
        <v>0</v>
      </c>
      <c r="DC17" s="249">
        <f>IF(C17="fagdag",Stamoplysninger!$H$30/200,0)</f>
        <v>0</v>
      </c>
      <c r="DD17" s="249">
        <f>IF(C17="emnedag",Stamoplysninger!$H$30/200,0)</f>
        <v>0</v>
      </c>
      <c r="DE17" s="249">
        <f>IF(C17="lejrskole",Stamoplysninger!$H$30/200,0)</f>
        <v>0</v>
      </c>
      <c r="DF17" s="249">
        <f>IF(C17="ekskursion",Stamoplysninger!$H$30/200,0)</f>
        <v>0</v>
      </c>
      <c r="DG17" s="249">
        <f t="shared" si="26"/>
        <v>0</v>
      </c>
      <c r="DH17" t="str">
        <f t="shared" si="27"/>
        <v/>
      </c>
      <c r="DI17">
        <f t="shared" si="28"/>
        <v>0</v>
      </c>
      <c r="DJ17">
        <f t="shared" si="29"/>
        <v>0</v>
      </c>
      <c r="DK17" t="str">
        <f t="shared" si="14"/>
        <v/>
      </c>
      <c r="DL17" t="str">
        <f t="shared" si="14"/>
        <v/>
      </c>
      <c r="DM17" t="str">
        <f t="shared" si="14"/>
        <v/>
      </c>
      <c r="DN17" t="str">
        <f t="shared" si="30"/>
        <v/>
      </c>
      <c r="DO17" s="652">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71">
        <f>IF(AND(Stamoplysninger!$B$22="Ulempetillæg udbetales med 25% af nettotimelønnen.",C17="ikke relevant"),(R17)/4,0)</f>
        <v>0</v>
      </c>
      <c r="DT17" s="671">
        <f>IF(AND(AND(Stamoplysninger!$B$22="Ulempetillæg udbetales med 25% af nettotimelønnen.",I17="X",C17="Ikke relevant")),K17/4,0)</f>
        <v>0</v>
      </c>
      <c r="DU17" s="671">
        <f>IF(AND(AND(Stamoplysninger!$B$22="Ulempetillæg udbetales med 25% af nettotimelønnen.",C17="ikke relevant",U17="X")),(X17/4),0)</f>
        <v>0</v>
      </c>
      <c r="DV17" s="672">
        <f>IF(AND(AND(AND(Stamoplysninger!$B$22="Ulempetillæg udbetales med 25% af nettotimelønnen.",I17="X",C17="Ikke relevant",S17="X"))),V17/4,0)</f>
        <v>0</v>
      </c>
      <c r="DW17" s="652"/>
      <c r="DZ17" s="671"/>
      <c r="EA17" s="671"/>
      <c r="EB17" s="672"/>
      <c r="EC17" s="652">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71">
        <f>IF(AND(Stamoplysninger!$B$22="Ulempetillæg afspadseres med 25%(Kræver en aftale imellem ledelsen og den ansatte)",C17="ikke relevant"),(R17)/4,0)</f>
        <v>0</v>
      </c>
      <c r="EH17" s="671">
        <f>IF(AND(AND(Stamoplysninger!$B$22="Ulempetillæg afspadseres med 25%(Kræver en aftale imellem ledelsen og den ansatte)",I17="X",C17="Ikke relevant")),K17/4,0)</f>
        <v>0</v>
      </c>
      <c r="EI17" s="671">
        <f>IF(AND(AND(Stamoplysninger!$B$22="Ulempetillæg afspadseres med 25%(Kræver en aftale imellem ledelsen og den ansatte)",U17="X",C17="Ikke relevant")),X17/4,0)</f>
        <v>0</v>
      </c>
      <c r="EJ17" s="671">
        <f>IF(AND(AND(AND(Stamoplysninger!$B$22="Ulempetillæg afspadseres med 25%(Kræver en aftale imellem ledelsen og den ansatte)",I17="X",C17="Ikke relevant",S17="X"))),V17/4,0)</f>
        <v>0</v>
      </c>
      <c r="EK17" s="283">
        <f>IF(AND(Stamoplysninger!$B$26="Weekendtimer og weekendtillæg afspadseres.",I17="X"),K17*1.5,0)</f>
        <v>0</v>
      </c>
      <c r="EL17" s="251">
        <f>IF(AND(AND(Stamoplysninger!$B$26="Weekendtimer og weekendtillæg afspadseres.",I17="X",S17="X")),V17*1.5,0)</f>
        <v>0</v>
      </c>
      <c r="EM17" s="674">
        <f>IF(AND(AND(Stamoplysninger!$B$26="Weekendtimer og weekendtillæg afspadseres.",I17="X",C17="ikke relevant")),K17*1.5,0)</f>
        <v>0</v>
      </c>
      <c r="EN17" s="675">
        <f>IF(AND(AND(AND(Stamoplysninger!$B$26="Weekendtimer og weekendtillæg afspadseres.",I17="X",C17="ikke relevant",S17="X"))),(V17*1.5),0)</f>
        <v>0</v>
      </c>
      <c r="EO17" s="283">
        <f>IF(AND(Stamoplysninger!$B$26="Weekendtimer og weekendtillæg udbetales.",I17="X"),K17*1.5,0)</f>
        <v>0</v>
      </c>
      <c r="EP17" s="251">
        <f>IF(AND(AND(Stamoplysninger!$B$26="Weekendtimer og weekendtillæg udbetales.",I17="X",S17="X")),V17*1.5,0)</f>
        <v>0</v>
      </c>
      <c r="EQ17" s="674">
        <f>IF(AND(AND(Stamoplysninger!$B$26="Weekendtimer og weekendtillæg udbetales.",I17="X",C17="ikke relevant")),K17*1.5,0)</f>
        <v>0</v>
      </c>
      <c r="ER17" s="675">
        <f>IF(AND(AND(AND(Stamoplysninger!$B$26="Weekendtimer og weekendtillæg udbetales.",I17="X",C17="ikke relevant",S17="X"))),(V17*1.5),0)</f>
        <v>0</v>
      </c>
      <c r="ES17" s="283">
        <f>IF(AND(Stamoplysninger!$B$26="Der er indgået lokalaftale omkring weekendtimer.(Kræver aftale med TR/FSL) Weekendtillæg afspadseres.",I17="X"),K17*0.5,0)</f>
        <v>0</v>
      </c>
      <c r="ET17" s="251">
        <f>IF(AND(AND(Stamoplysninger!$B$26="Der er indgået lokalaftale omkring weekendtimer.(Kræver aftale med TR/FSL) Weekendtillæg afspadseres.",I17="X",S17="X")),V17*0.5,0)</f>
        <v>0</v>
      </c>
      <c r="EU17" s="674">
        <f>IF(AND(AND(Stamoplysninger!$B$26="Der er indgået lokalaftale omkring weekendtimer.(Kræver aftale med TR/FSL) Weekendtillæg afspadseres.",I17="X",C17="ikke relevant")),K17*0.5,0)</f>
        <v>0</v>
      </c>
      <c r="EV17" s="675">
        <f>IF(AND(AND(AND(Stamoplysninger!$B$26="Der er indgået lokalaftale omkring weekendtimer.(Kræver aftale med TR/FSL) Weekendtillæg afspadseres.",I17="X",C17="ikke relevant",S17="X"))),(V17*0.5),0)</f>
        <v>0</v>
      </c>
      <c r="EW17" s="283">
        <f>IF(AND(Stamoplysninger!$B$26="Der er indgået lokalaftale omkring weekendtimer(Kræver aftale med TR/FSL). Weekendtillæg udbetales.",I17="X"),K17*0.5,0)</f>
        <v>0</v>
      </c>
      <c r="EX17" s="251">
        <f>IF(AND(AND(Stamoplysninger!$B$26="Der er indgået lokalaftale omkring weekendtimer(Kræver aftale med TR/FSL). Weekendtillæg udbetales.",I17="X",S17="X")),V17*0.5,0)</f>
        <v>0</v>
      </c>
      <c r="EY17" s="674">
        <f>IF(AND(AND(Stamoplysninger!$B$26="Der er indgået lokalaftale omkring weekendtimer(Kræver aftale med TR/FSL). Weekendtillæg udbetales.",I17="X",C17="ikke relevant")),K17*0.5,0)</f>
        <v>0</v>
      </c>
      <c r="EZ17" s="675">
        <f>IF(AND(AND(AND(Stamoplysninger!$B$26="Der er indgået lokalaftale omkring weekendtimer(Kræver aftale med TR/FSL). Weekendtillæg udbetales.",I17="X",C17="ikke relevant",S17="X"))),(V17*0.5),0)</f>
        <v>0</v>
      </c>
      <c r="FA17" s="283">
        <f>IF(AND(Stamoplysninger!$B$26="Der er indgået lokalaftale omkring weekendtillæg(Kræver aftale med TR/FSL). Weekendtimerne afspadseres.",I17="X"),K17,0)</f>
        <v>0</v>
      </c>
      <c r="FB17" s="251">
        <f>IF(AND(AND(Stamoplysninger!$B$26="Der er indgået lokalaftale omkring weekendtillæg(Kræver aftale med TR/FSL). Weekendtimerne afspadseres.",I17="X",S17="X")),V17,0)</f>
        <v>0</v>
      </c>
      <c r="FC17" s="674">
        <f>IF(AND(AND(Stamoplysninger!$B$26="Der er indgået lokalaftale omkring weekendtillæg(Kræver aftale med TR/FSL). Weekendtimerne afspadseres..",I17="X",C17="ikke relevant")),K17,0)</f>
        <v>0</v>
      </c>
      <c r="FD17" s="675">
        <f>IF(AND(AND(AND(Stamoplysninger!$B$26="Der er indgået lokalaftale omkring weekendtillæg(Kræver aftale med TR/FSL). Weekendtimerne afspadseres.",I17="X",C17="ikke relevant",S17="X"))),(V17),0)</f>
        <v>0</v>
      </c>
      <c r="FE17" s="283">
        <f>IF(AND(Stamoplysninger!$B$26="Der er indgået lokalaftale omkring weekendtillæg(Kræver aftale med TR/FSL). Weekendtimerne udbetales.",I17="X"),K17,0)</f>
        <v>0</v>
      </c>
      <c r="FF17" s="251">
        <f>IF(AND(AND(Stamoplysninger!$B$26="Der er indgået lokalaftale omkring weekendtillæg(Kræver aftale med TR/FSL). Weekendtimerne udbetales.",I17="X",S17="X")),V17,0)</f>
        <v>0</v>
      </c>
      <c r="FG17" s="674">
        <f>IF(AND(AND(Stamoplysninger!$B$26="Der er indgået lokalaftale omkring weekendtillæg(Kræver aftale med TR/FSL). Weekendtimerne udbetales.",I17="X",C17="ikke relevant")),K17,0)</f>
        <v>0</v>
      </c>
      <c r="FH17" s="675">
        <f>IF(AND(AND(AND(Stamoplysninger!$B$26="Der er indgået lokalaftale omkring weekendtillæg(Kræver aftale med TR/FSL). Weekendtimerne udbetales.",I17="X",C17="ikke relevant",S17="X"))),(V17),0)</f>
        <v>0</v>
      </c>
      <c r="FI17" s="283">
        <f>IF(AND(Stamoplysninger!$B$26="Weekendtimer og weekendtillæg afspadseres.",I17="X"),K17,0)</f>
        <v>0</v>
      </c>
      <c r="FJ17" s="251">
        <f>IF(AND(Stamoplysninger!$B$26="Weekendtimer og weekendtillæg afspadseres.",Y17="X"),(AA17+AL17)/2,0)</f>
        <v>0</v>
      </c>
      <c r="FK17" s="674">
        <f>IF(AND(AND(Stamoplysninger!$B$26="Weekendtimer og weekendtillæg afspadseres.",I17="X",C17="ikke relevant")),K17,0)</f>
        <v>0</v>
      </c>
      <c r="FL17" s="675">
        <f>IF(AND(AND(Stamoplysninger!$B$26="Weekendtimer og weekendtillæg afspadseres.",Y17="X",S17="ikke relevant")),(AA17+AL17)/2,0)</f>
        <v>0</v>
      </c>
      <c r="FM17" s="283">
        <f>IF(AND(Stamoplysninger!$B$26="Der er indgået lokalaftale omkring weekendtillæg(Kræver aftale med TR/FSL). Weekendtimerne afspadseres.",I17="X"),K17,0)</f>
        <v>0</v>
      </c>
      <c r="FN17" s="674">
        <f>IF(AND(AND(Stamoplysninger!$B$26="Der er indgået lokalaftale omkring weekendtillæg(Kræver aftale med TR/FSL). Weekendtimerne afspadseres.",I17="X",C17="ikke relevant")),K17,0)</f>
        <v>0</v>
      </c>
      <c r="FO17" s="283">
        <f>IF(AND(Stamoplysninger!$B$26="Weekendtimer og weekendtillæg udbetales.",I17="X"),K17,0)</f>
        <v>0</v>
      </c>
      <c r="FP17" s="251">
        <f>IF(AND(Stamoplysninger!$B$26="Weekendtimer og weekendtillæg udbetales.",AA17="X"),(AC17+AN17)/2,0)</f>
        <v>0</v>
      </c>
      <c r="FQ17" s="674">
        <f>IF(AND(AND(Stamoplysninger!$B$26="Weekendtimer og weekendtillæg udbetales.",I17="X",C17="ikke relevant")),K17,0)</f>
        <v>0</v>
      </c>
      <c r="FR17" s="688">
        <f>IF(AND(AND(Stamoplysninger!$B$26="Weekendtimer og weekendtillæg udbetales.",AA17="X",U17="ikke relevant")),(AC17+AN17)/2,0)</f>
        <v>0</v>
      </c>
      <c r="FS17" s="283">
        <f t="shared" si="15"/>
        <v>0</v>
      </c>
      <c r="FT17" s="658">
        <f t="shared" si="16"/>
        <v>0</v>
      </c>
      <c r="FU17">
        <f t="shared" si="17"/>
        <v>0</v>
      </c>
      <c r="FV17" s="283">
        <f>IF(AND(Stamoplysninger!$B$26="Der er indgået lokalaftale omkring weekendtimer.(Kræver aftale med TR/FSL) Weekendtillæg afspadseres.",I17="X"),K17,0)</f>
        <v>0</v>
      </c>
      <c r="FW17" s="674">
        <f>IF(AND(AND(Stamoplysninger!$B$26="Der er indgået lokalaftale omkring weekendtimer.(Kræver aftale med TR/FSL) Weekendtillæg afspadseres.",I17="X",C17="ikke relevant")),K17,0)</f>
        <v>0</v>
      </c>
      <c r="FX17" s="283">
        <f>IF(AND(Stamoplysninger!$B$26="Der er indgået lokalaftale omkring weekendtimer(Kræver aftale med TR/FSL). Weekendtillæg udbetales.",I17="X"),K17,0)</f>
        <v>0</v>
      </c>
      <c r="FY17" s="674">
        <f>IF(AND(AND(Stamoplysninger!$B$26="Der er indgået lokalaftale omkring weekendtimer(Kræver aftale med TR/FSL). Weekendtillæg udbetales.",I17="X",C17="ikke relevant")),K17,0)</f>
        <v>0</v>
      </c>
      <c r="FZ17" s="283">
        <f>IF(AND(Stamoplysninger!$B$26="Der er indgået lokalaftale omkring weekendtillæg(Kræver aftale med TR/FSL). Weekendtimerne udbetales.",I17="X"),K17,0)</f>
        <v>0</v>
      </c>
      <c r="GA17" s="674">
        <f>IF(AND(AND(Stamoplysninger!$B$26="Der er indgået lokalaftale omkring weekendtillæg(Kræver aftale med TR/FSL). Weekendtimerne udbetales.",I17="X",C17="ikke relevant")),K17,0)</f>
        <v>0</v>
      </c>
      <c r="GB17" s="283">
        <f>IF(AND(Stamoplysninger!$B$26="Der er indgået lokalaftale omkring weekendtimer og weekendtillæg.(Kræver aftale med TR/FSL).",I17="X"),K17,0)</f>
        <v>0</v>
      </c>
      <c r="GC17" s="674">
        <f>IF(AND(AND(Stamoplysninger!$B$26="Der er indgået lokalaftale omkring weekendtimer og weekendtillæg.(Kræver aftale med TR/FSL).",I17="X",C17="ikke relevant")),K17,0)</f>
        <v>0</v>
      </c>
    </row>
    <row r="18" spans="1:185">
      <c r="A18" s="245">
        <f t="shared" si="18"/>
        <v>10</v>
      </c>
      <c r="B18" s="128" t="str">
        <f t="shared" si="0"/>
        <v>ma</v>
      </c>
      <c r="C18" s="129" t="s">
        <v>207</v>
      </c>
      <c r="D18" s="130">
        <f t="shared" si="1"/>
        <v>10.714285714285714</v>
      </c>
      <c r="E18" s="917"/>
      <c r="F18" s="918"/>
      <c r="G18" s="919"/>
      <c r="H18" s="298"/>
      <c r="I18" s="527"/>
      <c r="J18" s="413"/>
      <c r="K18" s="380"/>
      <c r="L18" s="380"/>
      <c r="M18" s="380"/>
      <c r="N18" s="318">
        <f t="shared" si="19"/>
        <v>7.75</v>
      </c>
      <c r="O18" s="318">
        <f t="shared" si="20"/>
        <v>3.4999999999999996</v>
      </c>
      <c r="P18" s="318">
        <f>IF(Stamoplysninger!$H$29="JA",Marts!DG18,CX18)</f>
        <v>1</v>
      </c>
      <c r="Q18" s="318">
        <f t="shared" si="21"/>
        <v>3.25</v>
      </c>
      <c r="R18" s="319"/>
      <c r="S18" s="324"/>
      <c r="T18" s="325"/>
      <c r="U18" s="325"/>
      <c r="V18" s="435"/>
      <c r="W18" s="412"/>
      <c r="X18" s="642"/>
      <c r="Y18">
        <f t="shared" si="22"/>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f>IF(AND(C18="Skema 2",B18="ma"),Arbejdstidsoversigt!$E$81,"")</f>
        <v>7.75</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7.75</v>
      </c>
      <c r="BB18" s="229">
        <f t="shared" si="8"/>
        <v>0</v>
      </c>
      <c r="BC18" s="1">
        <f t="shared" si="24"/>
        <v>0</v>
      </c>
      <c r="BD18" s="1">
        <f t="shared" si="9"/>
        <v>0</v>
      </c>
      <c r="BE18" s="1">
        <f t="shared" si="10"/>
        <v>0</v>
      </c>
      <c r="BF18" s="1">
        <f t="shared" si="11"/>
        <v>0</v>
      </c>
      <c r="BG18" s="210" t="str">
        <f>IF(AND(C18="Skema 1",B18="ma"),Skemaoplysninger!$E$30,"")</f>
        <v/>
      </c>
      <c r="BH18" s="210" t="str">
        <f>IF(AND(C18="Skema 1",B18="ti"),Skemaoplysninger!$G$30,"")</f>
        <v/>
      </c>
      <c r="BI18" s="210" t="str">
        <f>IF(AND(C18="Skema 1",B18="on"),Skemaoplysninger!$I$30,"")</f>
        <v/>
      </c>
      <c r="BJ18" s="210" t="str">
        <f>IF(AND(C18="Skema 1",B18="to"),Skemaoplysninger!$K$30,"")</f>
        <v/>
      </c>
      <c r="BK18" s="210" t="str">
        <f>IF(AND(C18="Skema 1",B18="fr"),Skemaoplysninger!$M$30,"")</f>
        <v/>
      </c>
      <c r="BL18" s="210">
        <f>IF(AND(C18="Skema 2",B18="ma"),Skemaoplysninger!$S$30,"")</f>
        <v>0.14583333333333331</v>
      </c>
      <c r="BM18" s="210" t="str">
        <f>IF(AND(C18="Skema 2",B18="ti"),Skemaoplysninger!$U$30,"")</f>
        <v/>
      </c>
      <c r="BN18" s="210" t="str">
        <f>IF(AND(C18="Skema 2",B18="on"),Skemaoplysninger!$W$30,"")</f>
        <v/>
      </c>
      <c r="BO18" s="210" t="str">
        <f>IF(AND(C18="Skema 2",B18="to"),Skemaoplysninger!$Y$30,"")</f>
        <v/>
      </c>
      <c r="BP18" s="210" t="str">
        <f>IF(AND(C18="Skema 2",B18="fr"),Skemaoplysninger!$AA$30,"")</f>
        <v/>
      </c>
      <c r="BQ18" s="210" t="str">
        <f>IF(AND(C18="Skema 3",B18="ma"),Skemaoplysninger!$AG$30,"")</f>
        <v/>
      </c>
      <c r="BR18" s="210" t="str">
        <f>IF(AND(C18="Skema 3",B18="ti"),Skemaoplysninger!$AI$30,"")</f>
        <v/>
      </c>
      <c r="BS18" s="210" t="str">
        <f>IF(AND(C18="Skema 3",B18="on"),Skemaoplysninger!$AK$30,"")</f>
        <v/>
      </c>
      <c r="BT18" s="210" t="str">
        <f>IF(AND(C18="Skema 3",B18="to"),Skemaoplysninger!$AM$30,"")</f>
        <v/>
      </c>
      <c r="BU18" s="210" t="str">
        <f>IF(AND(C18="Skema 3",B18="fr"),Skemaoplysninger!$AO$30,"")</f>
        <v/>
      </c>
      <c r="BV18" s="210" t="str">
        <f>IF(AND(C18="Skema 4",B18="ma"),Skemaoplysninger!$AU$30,"")</f>
        <v/>
      </c>
      <c r="BW18" s="210" t="str">
        <f>IF(AND(C18="Skema 4",B18="ti"),Skemaoplysninger!$AW$30,"")</f>
        <v/>
      </c>
      <c r="BX18" s="210" t="str">
        <f>IF(AND(C18="Skema 4",B18="on"),Skemaoplysninger!$AY$30,"")</f>
        <v/>
      </c>
      <c r="BY18" s="210" t="str">
        <f>IF(AND(C18="Skema 4",B18="to"),Skemaoplysninger!$BA$30,"")</f>
        <v/>
      </c>
      <c r="BZ18" s="210" t="str">
        <f>IF(AND(C18="Skema 4",B18="fr"),Skemaoplysninger!$BC$30,"")</f>
        <v/>
      </c>
      <c r="CA18" s="1">
        <f t="shared" si="25"/>
        <v>3.4999999999999996</v>
      </c>
      <c r="CB18" s="1">
        <f t="shared" si="12"/>
        <v>0</v>
      </c>
      <c r="CC18" s="1">
        <f t="shared" si="13"/>
        <v>0</v>
      </c>
      <c r="CD18" s="210" t="str">
        <f>IF(AND(C18="Skema 1",B18="ma"),Skemaoplysninger!$E$31,"")</f>
        <v/>
      </c>
      <c r="CE18" s="210" t="str">
        <f>IF(AND(C18="Skema 1",B18="ti"),Skemaoplysninger!$G$31,"")</f>
        <v/>
      </c>
      <c r="CF18" s="210" t="str">
        <f>IF(AND(C18="Skema 1",B18="on"),Skemaoplysninger!$I$31,"")</f>
        <v/>
      </c>
      <c r="CG18" s="210" t="str">
        <f>IF(AND(C18="Skema 1",B18="to"),Skemaoplysninger!$K$31,"")</f>
        <v/>
      </c>
      <c r="CH18" s="210" t="str">
        <f>IF(AND(C18="Skema 1",B18="fr"),Skemaoplysninger!$M$31,"")</f>
        <v/>
      </c>
      <c r="CI18" s="210">
        <f>IF(AND(C18="Skema 2",B18="ma"),Skemaoplysninger!$S$31,"")</f>
        <v>4.1666666666666671E-2</v>
      </c>
      <c r="CJ18" s="210" t="str">
        <f>IF(AND(C18="Skema 2",B18="ti"),Skemaoplysninger!$U$31,"")</f>
        <v/>
      </c>
      <c r="CK18" s="210" t="str">
        <f>IF(AND(C18="Skema 2",B18="on"),Skemaoplysninger!$W$31,"")</f>
        <v/>
      </c>
      <c r="CL18" s="210" t="str">
        <f>IF(AND(C18="Skema 2",B18="to"),Skemaoplysninger!$Y$31,"")</f>
        <v/>
      </c>
      <c r="CM18" s="210" t="str">
        <f>IF(AND(C18="Skema 2",B18="fr"),Skemaoplysninger!$AA$31,"")</f>
        <v/>
      </c>
      <c r="CN18" s="210" t="str">
        <f>IF(AND(C18="Skema 3",B18="ma"),Skemaoplysninger!$AG$31,"")</f>
        <v/>
      </c>
      <c r="CO18" s="210" t="str">
        <f>IF(AND(C18="Skema 3",B18="ti"),Skemaoplysninger!$AI$31,"")</f>
        <v/>
      </c>
      <c r="CP18" s="210" t="str">
        <f>IF(AND(C18="Skema 3",B18="on"),Skemaoplysninger!$AK$31,"")</f>
        <v/>
      </c>
      <c r="CQ18" s="210" t="str">
        <f>IF(AND(C18="Skema 3",B18="to"),Skemaoplysninger!$AM$31,"")</f>
        <v/>
      </c>
      <c r="CR18" s="210" t="str">
        <f>IF(AND(C18="Skema 3",B18="fr"),Skemaoplysninger!$AO$31,"")</f>
        <v/>
      </c>
      <c r="CS18" s="210" t="str">
        <f>IF(AND(C18="Skema 4",B18="ma"),Skemaoplysninger!$AU$31,"")</f>
        <v/>
      </c>
      <c r="CT18" s="210" t="str">
        <f>IF(AND(C18="Skema 4",B18="ti"),Skemaoplysninger!$AW$31,"")</f>
        <v/>
      </c>
      <c r="CU18" s="210" t="str">
        <f>IF(AND(C18="Skema 4",B18="on"),Skemaoplysninger!$AY$31,"")</f>
        <v/>
      </c>
      <c r="CV18" s="210" t="str">
        <f>IF(AND(C18="Skema 4",B18="to"),Skemaoplysninger!$BA$31,"")</f>
        <v/>
      </c>
      <c r="CW18" s="210" t="str">
        <f>IF(AND(C18="Skema 4",B18="fr"),Skemaoplysninger!$BC$31,"")</f>
        <v/>
      </c>
      <c r="CX18" s="249">
        <f>IF(Stamoplysninger!$H$29="NEJ",SUM(CD18:CW18)*24+CB18+CC18,0)</f>
        <v>1</v>
      </c>
      <c r="CY18" s="249">
        <f>IF(C18="Skema 1",Stamoplysninger!$H$30/200,0)</f>
        <v>0</v>
      </c>
      <c r="CZ18" s="249">
        <f>IF(C18="Skema 2",Stamoplysninger!$H$30/200,0)</f>
        <v>0</v>
      </c>
      <c r="DA18" s="249">
        <f>IF(C18="Skema 3",Stamoplysninger!$H$30/200,0)</f>
        <v>0</v>
      </c>
      <c r="DB18" s="249">
        <f>IF(C18="Skema 4",Stamoplysninger!$H$30/200,0)</f>
        <v>0</v>
      </c>
      <c r="DC18" s="249">
        <f>IF(C18="fagdag",Stamoplysninger!$H$30/200,0)</f>
        <v>0</v>
      </c>
      <c r="DD18" s="249">
        <f>IF(C18="emnedag",Stamoplysninger!$H$30/200,0)</f>
        <v>0</v>
      </c>
      <c r="DE18" s="249">
        <f>IF(C18="lejrskole",Stamoplysninger!$H$30/200,0)</f>
        <v>0</v>
      </c>
      <c r="DF18" s="249">
        <f>IF(C18="ekskursion",Stamoplysninger!$H$30/200,0)</f>
        <v>0</v>
      </c>
      <c r="DG18" s="249">
        <f t="shared" si="26"/>
        <v>0</v>
      </c>
      <c r="DH18" t="str">
        <f t="shared" si="27"/>
        <v/>
      </c>
      <c r="DI18">
        <f t="shared" si="28"/>
        <v>0</v>
      </c>
      <c r="DJ18">
        <f t="shared" si="29"/>
        <v>0</v>
      </c>
      <c r="DK18" t="str">
        <f t="shared" si="14"/>
        <v/>
      </c>
      <c r="DL18" t="str">
        <f t="shared" si="14"/>
        <v/>
      </c>
      <c r="DM18" t="str">
        <f t="shared" si="14"/>
        <v/>
      </c>
      <c r="DN18" t="str">
        <f t="shared" si="30"/>
        <v/>
      </c>
      <c r="DO18" s="652">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71">
        <f>IF(AND(Stamoplysninger!$B$22="Ulempetillæg udbetales med 25% af nettotimelønnen.",C18="ikke relevant"),(R18)/4,0)</f>
        <v>0</v>
      </c>
      <c r="DT18" s="671">
        <f>IF(AND(AND(Stamoplysninger!$B$22="Ulempetillæg udbetales med 25% af nettotimelønnen.",I18="X",C18="Ikke relevant")),K18/4,0)</f>
        <v>0</v>
      </c>
      <c r="DU18" s="671">
        <f>IF(AND(AND(Stamoplysninger!$B$22="Ulempetillæg udbetales med 25% af nettotimelønnen.",C18="ikke relevant",U18="X")),(X18/4),0)</f>
        <v>0</v>
      </c>
      <c r="DV18" s="672">
        <f>IF(AND(AND(AND(Stamoplysninger!$B$22="Ulempetillæg udbetales med 25% af nettotimelønnen.",I18="X",C18="Ikke relevant",S18="X"))),V18/4,0)</f>
        <v>0</v>
      </c>
      <c r="DW18" s="652"/>
      <c r="DZ18" s="671"/>
      <c r="EA18" s="671"/>
      <c r="EB18" s="672"/>
      <c r="EC18" s="652">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71">
        <f>IF(AND(Stamoplysninger!$B$22="Ulempetillæg afspadseres med 25%(Kræver en aftale imellem ledelsen og den ansatte)",C18="ikke relevant"),(R18)/4,0)</f>
        <v>0</v>
      </c>
      <c r="EH18" s="671">
        <f>IF(AND(AND(Stamoplysninger!$B$22="Ulempetillæg afspadseres med 25%(Kræver en aftale imellem ledelsen og den ansatte)",I18="X",C18="Ikke relevant")),K18/4,0)</f>
        <v>0</v>
      </c>
      <c r="EI18" s="671">
        <f>IF(AND(AND(Stamoplysninger!$B$22="Ulempetillæg afspadseres med 25%(Kræver en aftale imellem ledelsen og den ansatte)",U18="X",C18="Ikke relevant")),X18/4,0)</f>
        <v>0</v>
      </c>
      <c r="EJ18" s="671">
        <f>IF(AND(AND(AND(Stamoplysninger!$B$22="Ulempetillæg afspadseres med 25%(Kræver en aftale imellem ledelsen og den ansatte)",I18="X",C18="Ikke relevant",S18="X"))),V18/4,0)</f>
        <v>0</v>
      </c>
      <c r="EK18" s="283">
        <f>IF(AND(Stamoplysninger!$B$26="Weekendtimer og weekendtillæg afspadseres.",I18="X"),K18*1.5,0)</f>
        <v>0</v>
      </c>
      <c r="EL18" s="251">
        <f>IF(AND(AND(Stamoplysninger!$B$26="Weekendtimer og weekendtillæg afspadseres.",I18="X",S18="X")),V18*1.5,0)</f>
        <v>0</v>
      </c>
      <c r="EM18" s="674">
        <f>IF(AND(AND(Stamoplysninger!$B$26="Weekendtimer og weekendtillæg afspadseres.",I18="X",C18="ikke relevant")),K18*1.5,0)</f>
        <v>0</v>
      </c>
      <c r="EN18" s="675">
        <f>IF(AND(AND(AND(Stamoplysninger!$B$26="Weekendtimer og weekendtillæg afspadseres.",I18="X",C18="ikke relevant",S18="X"))),(V18*1.5),0)</f>
        <v>0</v>
      </c>
      <c r="EO18" s="283">
        <f>IF(AND(Stamoplysninger!$B$26="Weekendtimer og weekendtillæg udbetales.",I18="X"),K18*1.5,0)</f>
        <v>0</v>
      </c>
      <c r="EP18" s="251">
        <f>IF(AND(AND(Stamoplysninger!$B$26="Weekendtimer og weekendtillæg udbetales.",I18="X",S18="X")),V18*1.5,0)</f>
        <v>0</v>
      </c>
      <c r="EQ18" s="674">
        <f>IF(AND(AND(Stamoplysninger!$B$26="Weekendtimer og weekendtillæg udbetales.",I18="X",C18="ikke relevant")),K18*1.5,0)</f>
        <v>0</v>
      </c>
      <c r="ER18" s="675">
        <f>IF(AND(AND(AND(Stamoplysninger!$B$26="Weekendtimer og weekendtillæg udbetales.",I18="X",C18="ikke relevant",S18="X"))),(V18*1.5),0)</f>
        <v>0</v>
      </c>
      <c r="ES18" s="283">
        <f>IF(AND(Stamoplysninger!$B$26="Der er indgået lokalaftale omkring weekendtimer.(Kræver aftale med TR/FSL) Weekendtillæg afspadseres.",I18="X"),K18*0.5,0)</f>
        <v>0</v>
      </c>
      <c r="ET18" s="251">
        <f>IF(AND(AND(Stamoplysninger!$B$26="Der er indgået lokalaftale omkring weekendtimer.(Kræver aftale med TR/FSL) Weekendtillæg afspadseres.",I18="X",S18="X")),V18*0.5,0)</f>
        <v>0</v>
      </c>
      <c r="EU18" s="674">
        <f>IF(AND(AND(Stamoplysninger!$B$26="Der er indgået lokalaftale omkring weekendtimer.(Kræver aftale med TR/FSL) Weekendtillæg afspadseres.",I18="X",C18="ikke relevant")),K18*0.5,0)</f>
        <v>0</v>
      </c>
      <c r="EV18" s="675">
        <f>IF(AND(AND(AND(Stamoplysninger!$B$26="Der er indgået lokalaftale omkring weekendtimer.(Kræver aftale med TR/FSL) Weekendtillæg afspadseres.",I18="X",C18="ikke relevant",S18="X"))),(V18*0.5),0)</f>
        <v>0</v>
      </c>
      <c r="EW18" s="283">
        <f>IF(AND(Stamoplysninger!$B$26="Der er indgået lokalaftale omkring weekendtimer(Kræver aftale med TR/FSL). Weekendtillæg udbetales.",I18="X"),K18*0.5,0)</f>
        <v>0</v>
      </c>
      <c r="EX18" s="251">
        <f>IF(AND(AND(Stamoplysninger!$B$26="Der er indgået lokalaftale omkring weekendtimer(Kræver aftale med TR/FSL). Weekendtillæg udbetales.",I18="X",S18="X")),V18*0.5,0)</f>
        <v>0</v>
      </c>
      <c r="EY18" s="674">
        <f>IF(AND(AND(Stamoplysninger!$B$26="Der er indgået lokalaftale omkring weekendtimer(Kræver aftale med TR/FSL). Weekendtillæg udbetales.",I18="X",C18="ikke relevant")),K18*0.5,0)</f>
        <v>0</v>
      </c>
      <c r="EZ18" s="675">
        <f>IF(AND(AND(AND(Stamoplysninger!$B$26="Der er indgået lokalaftale omkring weekendtimer(Kræver aftale med TR/FSL). Weekendtillæg udbetales.",I18="X",C18="ikke relevant",S18="X"))),(V18*0.5),0)</f>
        <v>0</v>
      </c>
      <c r="FA18" s="283">
        <f>IF(AND(Stamoplysninger!$B$26="Der er indgået lokalaftale omkring weekendtillæg(Kræver aftale med TR/FSL). Weekendtimerne afspadseres.",I18="X"),K18,0)</f>
        <v>0</v>
      </c>
      <c r="FB18" s="251">
        <f>IF(AND(AND(Stamoplysninger!$B$26="Der er indgået lokalaftale omkring weekendtillæg(Kræver aftale med TR/FSL). Weekendtimerne afspadseres.",I18="X",S18="X")),V18,0)</f>
        <v>0</v>
      </c>
      <c r="FC18" s="674">
        <f>IF(AND(AND(Stamoplysninger!$B$26="Der er indgået lokalaftale omkring weekendtillæg(Kræver aftale med TR/FSL). Weekendtimerne afspadseres..",I18="X",C18="ikke relevant")),K18,0)</f>
        <v>0</v>
      </c>
      <c r="FD18" s="675">
        <f>IF(AND(AND(AND(Stamoplysninger!$B$26="Der er indgået lokalaftale omkring weekendtillæg(Kræver aftale med TR/FSL). Weekendtimerne afspadseres.",I18="X",C18="ikke relevant",S18="X"))),(V18),0)</f>
        <v>0</v>
      </c>
      <c r="FE18" s="283">
        <f>IF(AND(Stamoplysninger!$B$26="Der er indgået lokalaftale omkring weekendtillæg(Kræver aftale med TR/FSL). Weekendtimerne udbetales.",I18="X"),K18,0)</f>
        <v>0</v>
      </c>
      <c r="FF18" s="251">
        <f>IF(AND(AND(Stamoplysninger!$B$26="Der er indgået lokalaftale omkring weekendtillæg(Kræver aftale med TR/FSL). Weekendtimerne udbetales.",I18="X",S18="X")),V18,0)</f>
        <v>0</v>
      </c>
      <c r="FG18" s="674">
        <f>IF(AND(AND(Stamoplysninger!$B$26="Der er indgået lokalaftale omkring weekendtillæg(Kræver aftale med TR/FSL). Weekendtimerne udbetales.",I18="X",C18="ikke relevant")),K18,0)</f>
        <v>0</v>
      </c>
      <c r="FH18" s="675">
        <f>IF(AND(AND(AND(Stamoplysninger!$B$26="Der er indgået lokalaftale omkring weekendtillæg(Kræver aftale med TR/FSL). Weekendtimerne udbetales.",I18="X",C18="ikke relevant",S18="X"))),(V18),0)</f>
        <v>0</v>
      </c>
      <c r="FI18" s="283">
        <f>IF(AND(Stamoplysninger!$B$26="Weekendtimer og weekendtillæg afspadseres.",I18="X"),K18,0)</f>
        <v>0</v>
      </c>
      <c r="FJ18" s="251">
        <f>IF(AND(Stamoplysninger!$B$26="Weekendtimer og weekendtillæg afspadseres.",Y18="X"),(AA18+AL18)/2,0)</f>
        <v>0</v>
      </c>
      <c r="FK18" s="674">
        <f>IF(AND(AND(Stamoplysninger!$B$26="Weekendtimer og weekendtillæg afspadseres.",I18="X",C18="ikke relevant")),K18,0)</f>
        <v>0</v>
      </c>
      <c r="FL18" s="675">
        <f>IF(AND(AND(Stamoplysninger!$B$26="Weekendtimer og weekendtillæg afspadseres.",Y18="X",S18="ikke relevant")),(AA18+AL18)/2,0)</f>
        <v>0</v>
      </c>
      <c r="FM18" s="283">
        <f>IF(AND(Stamoplysninger!$B$26="Der er indgået lokalaftale omkring weekendtillæg(Kræver aftale med TR/FSL). Weekendtimerne afspadseres.",I18="X"),K18,0)</f>
        <v>0</v>
      </c>
      <c r="FN18" s="674">
        <f>IF(AND(AND(Stamoplysninger!$B$26="Der er indgået lokalaftale omkring weekendtillæg(Kræver aftale med TR/FSL). Weekendtimerne afspadseres.",I18="X",C18="ikke relevant")),K18,0)</f>
        <v>0</v>
      </c>
      <c r="FO18" s="283">
        <f>IF(AND(Stamoplysninger!$B$26="Weekendtimer og weekendtillæg udbetales.",I18="X"),K18,0)</f>
        <v>0</v>
      </c>
      <c r="FP18" s="251">
        <f>IF(AND(Stamoplysninger!$B$26="Weekendtimer og weekendtillæg udbetales.",AA18="X"),(AC18+AN18)/2,0)</f>
        <v>0</v>
      </c>
      <c r="FQ18" s="674">
        <f>IF(AND(AND(Stamoplysninger!$B$26="Weekendtimer og weekendtillæg udbetales.",I18="X",C18="ikke relevant")),K18,0)</f>
        <v>0</v>
      </c>
      <c r="FR18" s="688">
        <f>IF(AND(AND(Stamoplysninger!$B$26="Weekendtimer og weekendtillæg udbetales.",AA18="X",U18="ikke relevant")),(AC18+AN18)/2,0)</f>
        <v>0</v>
      </c>
      <c r="FS18" s="283">
        <f t="shared" si="15"/>
        <v>0</v>
      </c>
      <c r="FT18" s="658">
        <f t="shared" si="16"/>
        <v>0</v>
      </c>
      <c r="FU18">
        <f t="shared" si="17"/>
        <v>0</v>
      </c>
      <c r="FV18" s="283">
        <f>IF(AND(Stamoplysninger!$B$26="Der er indgået lokalaftale omkring weekendtimer.(Kræver aftale med TR/FSL) Weekendtillæg afspadseres.",I18="X"),K18,0)</f>
        <v>0</v>
      </c>
      <c r="FW18" s="674">
        <f>IF(AND(AND(Stamoplysninger!$B$26="Der er indgået lokalaftale omkring weekendtimer.(Kræver aftale med TR/FSL) Weekendtillæg afspadseres.",I18="X",C18="ikke relevant")),K18,0)</f>
        <v>0</v>
      </c>
      <c r="FX18" s="283">
        <f>IF(AND(Stamoplysninger!$B$26="Der er indgået lokalaftale omkring weekendtimer(Kræver aftale med TR/FSL). Weekendtillæg udbetales.",I18="X"),K18,0)</f>
        <v>0</v>
      </c>
      <c r="FY18" s="674">
        <f>IF(AND(AND(Stamoplysninger!$B$26="Der er indgået lokalaftale omkring weekendtimer(Kræver aftale med TR/FSL). Weekendtillæg udbetales.",I18="X",C18="ikke relevant")),K18,0)</f>
        <v>0</v>
      </c>
      <c r="FZ18" s="283">
        <f>IF(AND(Stamoplysninger!$B$26="Der er indgået lokalaftale omkring weekendtillæg(Kræver aftale med TR/FSL). Weekendtimerne udbetales.",I18="X"),K18,0)</f>
        <v>0</v>
      </c>
      <c r="GA18" s="674">
        <f>IF(AND(AND(Stamoplysninger!$B$26="Der er indgået lokalaftale omkring weekendtillæg(Kræver aftale med TR/FSL). Weekendtimerne udbetales.",I18="X",C18="ikke relevant")),K18,0)</f>
        <v>0</v>
      </c>
      <c r="GB18" s="283">
        <f>IF(AND(Stamoplysninger!$B$26="Der er indgået lokalaftale omkring weekendtimer og weekendtillæg.(Kræver aftale med TR/FSL).",I18="X"),K18,0)</f>
        <v>0</v>
      </c>
      <c r="GC18" s="674">
        <f>IF(AND(AND(Stamoplysninger!$B$26="Der er indgået lokalaftale omkring weekendtimer og weekendtillæg.(Kræver aftale med TR/FSL).",I18="X",C18="ikke relevant")),K18,0)</f>
        <v>0</v>
      </c>
    </row>
    <row r="19" spans="1:185">
      <c r="A19" s="245">
        <f t="shared" si="18"/>
        <v>11</v>
      </c>
      <c r="B19" s="128" t="str">
        <f t="shared" si="0"/>
        <v>ti</v>
      </c>
      <c r="C19" s="129" t="s">
        <v>207</v>
      </c>
      <c r="D19" s="130" t="str">
        <f t="shared" si="1"/>
        <v/>
      </c>
      <c r="E19" s="917"/>
      <c r="F19" s="918"/>
      <c r="G19" s="919"/>
      <c r="H19" s="298"/>
      <c r="I19" s="527"/>
      <c r="J19" s="413"/>
      <c r="K19" s="380"/>
      <c r="L19" s="380"/>
      <c r="M19" s="380"/>
      <c r="N19" s="318">
        <f t="shared" si="19"/>
        <v>8.5</v>
      </c>
      <c r="O19" s="318">
        <f t="shared" si="20"/>
        <v>3.75</v>
      </c>
      <c r="P19" s="318">
        <f>IF(Stamoplysninger!$H$29="JA",Marts!DG19,CX19)</f>
        <v>1.5</v>
      </c>
      <c r="Q19" s="318">
        <f t="shared" si="21"/>
        <v>3.25</v>
      </c>
      <c r="R19" s="319"/>
      <c r="S19" s="324"/>
      <c r="T19" s="325"/>
      <c r="U19" s="325"/>
      <c r="V19" s="435"/>
      <c r="W19" s="412"/>
      <c r="X19" s="642"/>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f>IF(AND(C19="Skema 2",B19="ti"),Arbejdstidsoversigt!$E$82,"")</f>
        <v>8.5</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8.5</v>
      </c>
      <c r="BB19" s="229">
        <f t="shared" si="8"/>
        <v>0</v>
      </c>
      <c r="BC19" s="1">
        <f t="shared" si="24"/>
        <v>0</v>
      </c>
      <c r="BD19" s="1">
        <f t="shared" si="9"/>
        <v>0</v>
      </c>
      <c r="BE19" s="1">
        <f t="shared" si="10"/>
        <v>0</v>
      </c>
      <c r="BF19" s="1">
        <f t="shared" si="11"/>
        <v>0</v>
      </c>
      <c r="BG19" s="210" t="str">
        <f>IF(AND(C19="Skema 1",B19="ma"),Skemaoplysninger!$E$30,"")</f>
        <v/>
      </c>
      <c r="BH19" s="210" t="str">
        <f>IF(AND(C19="Skema 1",B19="ti"),Skemaoplysninger!$G$30,"")</f>
        <v/>
      </c>
      <c r="BI19" s="210" t="str">
        <f>IF(AND(C19="Skema 1",B19="on"),Skemaoplysninger!$I$30,"")</f>
        <v/>
      </c>
      <c r="BJ19" s="210" t="str">
        <f>IF(AND(C19="Skema 1",B19="to"),Skemaoplysninger!$K$30,"")</f>
        <v/>
      </c>
      <c r="BK19" s="210" t="str">
        <f>IF(AND(C19="Skema 1",B19="fr"),Skemaoplysninger!$M$30,"")</f>
        <v/>
      </c>
      <c r="BL19" s="210" t="str">
        <f>IF(AND(C19="Skema 2",B19="ma"),Skemaoplysninger!$S$30,"")</f>
        <v/>
      </c>
      <c r="BM19" s="210">
        <f>IF(AND(C19="Skema 2",B19="ti"),Skemaoplysninger!$U$30,"")</f>
        <v>0.15625</v>
      </c>
      <c r="BN19" s="210" t="str">
        <f>IF(AND(C19="Skema 2",B19="on"),Skemaoplysninger!$W$30,"")</f>
        <v/>
      </c>
      <c r="BO19" s="210" t="str">
        <f>IF(AND(C19="Skema 2",B19="to"),Skemaoplysninger!$Y$30,"")</f>
        <v/>
      </c>
      <c r="BP19" s="210" t="str">
        <f>IF(AND(C19="Skema 2",B19="fr"),Skemaoplysninger!$AA$30,"")</f>
        <v/>
      </c>
      <c r="BQ19" s="210" t="str">
        <f>IF(AND(C19="Skema 3",B19="ma"),Skemaoplysninger!$AG$30,"")</f>
        <v/>
      </c>
      <c r="BR19" s="210" t="str">
        <f>IF(AND(C19="Skema 3",B19="ti"),Skemaoplysninger!$AI$30,"")</f>
        <v/>
      </c>
      <c r="BS19" s="210" t="str">
        <f>IF(AND(C19="Skema 3",B19="on"),Skemaoplysninger!$AK$30,"")</f>
        <v/>
      </c>
      <c r="BT19" s="210" t="str">
        <f>IF(AND(C19="Skema 3",B19="to"),Skemaoplysninger!$AM$30,"")</f>
        <v/>
      </c>
      <c r="BU19" s="210" t="str">
        <f>IF(AND(C19="Skema 3",B19="fr"),Skemaoplysninger!$AO$30,"")</f>
        <v/>
      </c>
      <c r="BV19" s="210" t="str">
        <f>IF(AND(C19="Skema 4",B19="ma"),Skemaoplysninger!$AU$30,"")</f>
        <v/>
      </c>
      <c r="BW19" s="210" t="str">
        <f>IF(AND(C19="Skema 4",B19="ti"),Skemaoplysninger!$AW$30,"")</f>
        <v/>
      </c>
      <c r="BX19" s="210" t="str">
        <f>IF(AND(C19="Skema 4",B19="on"),Skemaoplysninger!$AY$30,"")</f>
        <v/>
      </c>
      <c r="BY19" s="210" t="str">
        <f>IF(AND(C19="Skema 4",B19="to"),Skemaoplysninger!$BA$30,"")</f>
        <v/>
      </c>
      <c r="BZ19" s="210" t="str">
        <f>IF(AND(C19="Skema 4",B19="fr"),Skemaoplysninger!$BC$30,"")</f>
        <v/>
      </c>
      <c r="CA19" s="1">
        <f t="shared" si="25"/>
        <v>3.75</v>
      </c>
      <c r="CB19" s="1">
        <f t="shared" si="12"/>
        <v>0</v>
      </c>
      <c r="CC19" s="1">
        <f t="shared" si="13"/>
        <v>0</v>
      </c>
      <c r="CD19" s="210" t="str">
        <f>IF(AND(C19="Skema 1",B19="ma"),Skemaoplysninger!$E$31,"")</f>
        <v/>
      </c>
      <c r="CE19" s="210" t="str">
        <f>IF(AND(C19="Skema 1",B19="ti"),Skemaoplysninger!$G$31,"")</f>
        <v/>
      </c>
      <c r="CF19" s="210" t="str">
        <f>IF(AND(C19="Skema 1",B19="on"),Skemaoplysninger!$I$31,"")</f>
        <v/>
      </c>
      <c r="CG19" s="210" t="str">
        <f>IF(AND(C19="Skema 1",B19="to"),Skemaoplysninger!$K$31,"")</f>
        <v/>
      </c>
      <c r="CH19" s="210" t="str">
        <f>IF(AND(C19="Skema 1",B19="fr"),Skemaoplysninger!$M$31,"")</f>
        <v/>
      </c>
      <c r="CI19" s="210" t="str">
        <f>IF(AND(C19="Skema 2",B19="ma"),Skemaoplysninger!$S$31,"")</f>
        <v/>
      </c>
      <c r="CJ19" s="210">
        <f>IF(AND(C19="Skema 2",B19="ti"),Skemaoplysninger!$U$31,"")</f>
        <v>6.25E-2</v>
      </c>
      <c r="CK19" s="210" t="str">
        <f>IF(AND(C19="Skema 2",B19="on"),Skemaoplysninger!$W$31,"")</f>
        <v/>
      </c>
      <c r="CL19" s="210" t="str">
        <f>IF(AND(C19="Skema 2",B19="to"),Skemaoplysninger!$Y$31,"")</f>
        <v/>
      </c>
      <c r="CM19" s="210" t="str">
        <f>IF(AND(C19="Skema 2",B19="fr"),Skemaoplysninger!$AA$31,"")</f>
        <v/>
      </c>
      <c r="CN19" s="210" t="str">
        <f>IF(AND(C19="Skema 3",B19="ma"),Skemaoplysninger!$AG$31,"")</f>
        <v/>
      </c>
      <c r="CO19" s="210" t="str">
        <f>IF(AND(C19="Skema 3",B19="ti"),Skemaoplysninger!$AI$31,"")</f>
        <v/>
      </c>
      <c r="CP19" s="210" t="str">
        <f>IF(AND(C19="Skema 3",B19="on"),Skemaoplysninger!$AK$31,"")</f>
        <v/>
      </c>
      <c r="CQ19" s="210" t="str">
        <f>IF(AND(C19="Skema 3",B19="to"),Skemaoplysninger!$AM$31,"")</f>
        <v/>
      </c>
      <c r="CR19" s="210" t="str">
        <f>IF(AND(C19="Skema 3",B19="fr"),Skemaoplysninger!$AO$31,"")</f>
        <v/>
      </c>
      <c r="CS19" s="210" t="str">
        <f>IF(AND(C19="Skema 4",B19="ma"),Skemaoplysninger!$AU$31,"")</f>
        <v/>
      </c>
      <c r="CT19" s="210" t="str">
        <f>IF(AND(C19="Skema 4",B19="ti"),Skemaoplysninger!$AW$31,"")</f>
        <v/>
      </c>
      <c r="CU19" s="210" t="str">
        <f>IF(AND(C19="Skema 4",B19="on"),Skemaoplysninger!$AY$31,"")</f>
        <v/>
      </c>
      <c r="CV19" s="210" t="str">
        <f>IF(AND(C19="Skema 4",B19="to"),Skemaoplysninger!$BA$31,"")</f>
        <v/>
      </c>
      <c r="CW19" s="210" t="str">
        <f>IF(AND(C19="Skema 4",B19="fr"),Skemaoplysninger!$BC$31,"")</f>
        <v/>
      </c>
      <c r="CX19" s="249">
        <f>IF(Stamoplysninger!$H$29="NEJ",SUM(CD19:CW19)*24+CB19+CC19,0)</f>
        <v>1.5</v>
      </c>
      <c r="CY19" s="249">
        <f>IF(C19="Skema 1",Stamoplysninger!$H$30/200,0)</f>
        <v>0</v>
      </c>
      <c r="CZ19" s="249">
        <f>IF(C19="Skema 2",Stamoplysninger!$H$30/200,0)</f>
        <v>0</v>
      </c>
      <c r="DA19" s="249">
        <f>IF(C19="Skema 3",Stamoplysninger!$H$30/200,0)</f>
        <v>0</v>
      </c>
      <c r="DB19" s="249">
        <f>IF(C19="Skema 4",Stamoplysninger!$H$30/200,0)</f>
        <v>0</v>
      </c>
      <c r="DC19" s="249">
        <f>IF(C19="fagdag",Stamoplysninger!$H$30/200,0)</f>
        <v>0</v>
      </c>
      <c r="DD19" s="249">
        <f>IF(C19="emnedag",Stamoplysninger!$H$30/200,0)</f>
        <v>0</v>
      </c>
      <c r="DE19" s="249">
        <f>IF(C19="lejrskole",Stamoplysninger!$H$30/200,0)</f>
        <v>0</v>
      </c>
      <c r="DF19" s="249">
        <f>IF(C19="ekskursion",Stamoplysninger!$H$30/200,0)</f>
        <v>0</v>
      </c>
      <c r="DG19" s="249">
        <f t="shared" si="26"/>
        <v>0</v>
      </c>
      <c r="DH19" t="str">
        <f t="shared" si="27"/>
        <v/>
      </c>
      <c r="DI19">
        <f t="shared" si="28"/>
        <v>0</v>
      </c>
      <c r="DJ19">
        <f t="shared" si="29"/>
        <v>0</v>
      </c>
      <c r="DK19" t="str">
        <f t="shared" si="14"/>
        <v/>
      </c>
      <c r="DL19" t="str">
        <f t="shared" si="14"/>
        <v/>
      </c>
      <c r="DM19" t="str">
        <f t="shared" si="14"/>
        <v/>
      </c>
      <c r="DN19" t="str">
        <f t="shared" si="30"/>
        <v/>
      </c>
      <c r="DO19" s="652">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71">
        <f>IF(AND(Stamoplysninger!$B$22="Ulempetillæg udbetales med 25% af nettotimelønnen.",C19="ikke relevant"),(R19)/4,0)</f>
        <v>0</v>
      </c>
      <c r="DT19" s="671">
        <f>IF(AND(AND(Stamoplysninger!$B$22="Ulempetillæg udbetales med 25% af nettotimelønnen.",I19="X",C19="Ikke relevant")),K19/4,0)</f>
        <v>0</v>
      </c>
      <c r="DU19" s="671">
        <f>IF(AND(AND(Stamoplysninger!$B$22="Ulempetillæg udbetales med 25% af nettotimelønnen.",C19="ikke relevant",U19="X")),(X19/4),0)</f>
        <v>0</v>
      </c>
      <c r="DV19" s="672">
        <f>IF(AND(AND(AND(Stamoplysninger!$B$22="Ulempetillæg udbetales med 25% af nettotimelønnen.",I19="X",C19="Ikke relevant",S19="X"))),V19/4,0)</f>
        <v>0</v>
      </c>
      <c r="DW19" s="652"/>
      <c r="DZ19" s="671"/>
      <c r="EA19" s="671"/>
      <c r="EB19" s="672"/>
      <c r="EC19" s="652">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71">
        <f>IF(AND(Stamoplysninger!$B$22="Ulempetillæg afspadseres med 25%(Kræver en aftale imellem ledelsen og den ansatte)",C19="ikke relevant"),(R19)/4,0)</f>
        <v>0</v>
      </c>
      <c r="EH19" s="671">
        <f>IF(AND(AND(Stamoplysninger!$B$22="Ulempetillæg afspadseres med 25%(Kræver en aftale imellem ledelsen og den ansatte)",I19="X",C19="Ikke relevant")),K19/4,0)</f>
        <v>0</v>
      </c>
      <c r="EI19" s="671">
        <f>IF(AND(AND(Stamoplysninger!$B$22="Ulempetillæg afspadseres med 25%(Kræver en aftale imellem ledelsen og den ansatte)",U19="X",C19="Ikke relevant")),X19/4,0)</f>
        <v>0</v>
      </c>
      <c r="EJ19" s="671">
        <f>IF(AND(AND(AND(Stamoplysninger!$B$22="Ulempetillæg afspadseres med 25%(Kræver en aftale imellem ledelsen og den ansatte)",I19="X",C19="Ikke relevant",S19="X"))),V19/4,0)</f>
        <v>0</v>
      </c>
      <c r="EK19" s="283">
        <f>IF(AND(Stamoplysninger!$B$26="Weekendtimer og weekendtillæg afspadseres.",I19="X"),K19*1.5,0)</f>
        <v>0</v>
      </c>
      <c r="EL19" s="251">
        <f>IF(AND(AND(Stamoplysninger!$B$26="Weekendtimer og weekendtillæg afspadseres.",I19="X",S19="X")),V19*1.5,0)</f>
        <v>0</v>
      </c>
      <c r="EM19" s="674">
        <f>IF(AND(AND(Stamoplysninger!$B$26="Weekendtimer og weekendtillæg afspadseres.",I19="X",C19="ikke relevant")),K19*1.5,0)</f>
        <v>0</v>
      </c>
      <c r="EN19" s="675">
        <f>IF(AND(AND(AND(Stamoplysninger!$B$26="Weekendtimer og weekendtillæg afspadseres.",I19="X",C19="ikke relevant",S19="X"))),(V19*1.5),0)</f>
        <v>0</v>
      </c>
      <c r="EO19" s="283">
        <f>IF(AND(Stamoplysninger!$B$26="Weekendtimer og weekendtillæg udbetales.",I19="X"),K19*1.5,0)</f>
        <v>0</v>
      </c>
      <c r="EP19" s="251">
        <f>IF(AND(AND(Stamoplysninger!$B$26="Weekendtimer og weekendtillæg udbetales.",I19="X",S19="X")),V19*1.5,0)</f>
        <v>0</v>
      </c>
      <c r="EQ19" s="674">
        <f>IF(AND(AND(Stamoplysninger!$B$26="Weekendtimer og weekendtillæg udbetales.",I19="X",C19="ikke relevant")),K19*1.5,0)</f>
        <v>0</v>
      </c>
      <c r="ER19" s="675">
        <f>IF(AND(AND(AND(Stamoplysninger!$B$26="Weekendtimer og weekendtillæg udbetales.",I19="X",C19="ikke relevant",S19="X"))),(V19*1.5),0)</f>
        <v>0</v>
      </c>
      <c r="ES19" s="283">
        <f>IF(AND(Stamoplysninger!$B$26="Der er indgået lokalaftale omkring weekendtimer.(Kræver aftale med TR/FSL) Weekendtillæg afspadseres.",I19="X"),K19*0.5,0)</f>
        <v>0</v>
      </c>
      <c r="ET19" s="251">
        <f>IF(AND(AND(Stamoplysninger!$B$26="Der er indgået lokalaftale omkring weekendtimer.(Kræver aftale med TR/FSL) Weekendtillæg afspadseres.",I19="X",S19="X")),V19*0.5,0)</f>
        <v>0</v>
      </c>
      <c r="EU19" s="674">
        <f>IF(AND(AND(Stamoplysninger!$B$26="Der er indgået lokalaftale omkring weekendtimer.(Kræver aftale med TR/FSL) Weekendtillæg afspadseres.",I19="X",C19="ikke relevant")),K19*0.5,0)</f>
        <v>0</v>
      </c>
      <c r="EV19" s="675">
        <f>IF(AND(AND(AND(Stamoplysninger!$B$26="Der er indgået lokalaftale omkring weekendtimer.(Kræver aftale med TR/FSL) Weekendtillæg afspadseres.",I19="X",C19="ikke relevant",S19="X"))),(V19*0.5),0)</f>
        <v>0</v>
      </c>
      <c r="EW19" s="283">
        <f>IF(AND(Stamoplysninger!$B$26="Der er indgået lokalaftale omkring weekendtimer(Kræver aftale med TR/FSL). Weekendtillæg udbetales.",I19="X"),K19*0.5,0)</f>
        <v>0</v>
      </c>
      <c r="EX19" s="251">
        <f>IF(AND(AND(Stamoplysninger!$B$26="Der er indgået lokalaftale omkring weekendtimer(Kræver aftale med TR/FSL). Weekendtillæg udbetales.",I19="X",S19="X")),V19*0.5,0)</f>
        <v>0</v>
      </c>
      <c r="EY19" s="674">
        <f>IF(AND(AND(Stamoplysninger!$B$26="Der er indgået lokalaftale omkring weekendtimer(Kræver aftale med TR/FSL). Weekendtillæg udbetales.",I19="X",C19="ikke relevant")),K19*0.5,0)</f>
        <v>0</v>
      </c>
      <c r="EZ19" s="675">
        <f>IF(AND(AND(AND(Stamoplysninger!$B$26="Der er indgået lokalaftale omkring weekendtimer(Kræver aftale med TR/FSL). Weekendtillæg udbetales.",I19="X",C19="ikke relevant",S19="X"))),(V19*0.5),0)</f>
        <v>0</v>
      </c>
      <c r="FA19" s="283">
        <f>IF(AND(Stamoplysninger!$B$26="Der er indgået lokalaftale omkring weekendtillæg(Kræver aftale med TR/FSL). Weekendtimerne afspadseres.",I19="X"),K19,0)</f>
        <v>0</v>
      </c>
      <c r="FB19" s="251">
        <f>IF(AND(AND(Stamoplysninger!$B$26="Der er indgået lokalaftale omkring weekendtillæg(Kræver aftale med TR/FSL). Weekendtimerne afspadseres.",I19="X",S19="X")),V19,0)</f>
        <v>0</v>
      </c>
      <c r="FC19" s="674">
        <f>IF(AND(AND(Stamoplysninger!$B$26="Der er indgået lokalaftale omkring weekendtillæg(Kræver aftale med TR/FSL). Weekendtimerne afspadseres..",I19="X",C19="ikke relevant")),K19,0)</f>
        <v>0</v>
      </c>
      <c r="FD19" s="675">
        <f>IF(AND(AND(AND(Stamoplysninger!$B$26="Der er indgået lokalaftale omkring weekendtillæg(Kræver aftale med TR/FSL). Weekendtimerne afspadseres.",I19="X",C19="ikke relevant",S19="X"))),(V19),0)</f>
        <v>0</v>
      </c>
      <c r="FE19" s="283">
        <f>IF(AND(Stamoplysninger!$B$26="Der er indgået lokalaftale omkring weekendtillæg(Kræver aftale med TR/FSL). Weekendtimerne udbetales.",I19="X"),K19,0)</f>
        <v>0</v>
      </c>
      <c r="FF19" s="251">
        <f>IF(AND(AND(Stamoplysninger!$B$26="Der er indgået lokalaftale omkring weekendtillæg(Kræver aftale med TR/FSL). Weekendtimerne udbetales.",I19="X",S19="X")),V19,0)</f>
        <v>0</v>
      </c>
      <c r="FG19" s="674">
        <f>IF(AND(AND(Stamoplysninger!$B$26="Der er indgået lokalaftale omkring weekendtillæg(Kræver aftale med TR/FSL). Weekendtimerne udbetales.",I19="X",C19="ikke relevant")),K19,0)</f>
        <v>0</v>
      </c>
      <c r="FH19" s="675">
        <f>IF(AND(AND(AND(Stamoplysninger!$B$26="Der er indgået lokalaftale omkring weekendtillæg(Kræver aftale med TR/FSL). Weekendtimerne udbetales.",I19="X",C19="ikke relevant",S19="X"))),(V19),0)</f>
        <v>0</v>
      </c>
      <c r="FI19" s="283">
        <f>IF(AND(Stamoplysninger!$B$26="Weekendtimer og weekendtillæg afspadseres.",I19="X"),K19,0)</f>
        <v>0</v>
      </c>
      <c r="FJ19" s="251">
        <f>IF(AND(Stamoplysninger!$B$26="Weekendtimer og weekendtillæg afspadseres.",Y19="X"),(AA19+AL19)/2,0)</f>
        <v>0</v>
      </c>
      <c r="FK19" s="674">
        <f>IF(AND(AND(Stamoplysninger!$B$26="Weekendtimer og weekendtillæg afspadseres.",I19="X",C19="ikke relevant")),K19,0)</f>
        <v>0</v>
      </c>
      <c r="FL19" s="675">
        <f>IF(AND(AND(Stamoplysninger!$B$26="Weekendtimer og weekendtillæg afspadseres.",Y19="X",S19="ikke relevant")),(AA19+AL19)/2,0)</f>
        <v>0</v>
      </c>
      <c r="FM19" s="283">
        <f>IF(AND(Stamoplysninger!$B$26="Der er indgået lokalaftale omkring weekendtillæg(Kræver aftale med TR/FSL). Weekendtimerne afspadseres.",I19="X"),K19,0)</f>
        <v>0</v>
      </c>
      <c r="FN19" s="674">
        <f>IF(AND(AND(Stamoplysninger!$B$26="Der er indgået lokalaftale omkring weekendtillæg(Kræver aftale med TR/FSL). Weekendtimerne afspadseres.",I19="X",C19="ikke relevant")),K19,0)</f>
        <v>0</v>
      </c>
      <c r="FO19" s="283">
        <f>IF(AND(Stamoplysninger!$B$26="Weekendtimer og weekendtillæg udbetales.",I19="X"),K19,0)</f>
        <v>0</v>
      </c>
      <c r="FP19" s="251">
        <f>IF(AND(Stamoplysninger!$B$26="Weekendtimer og weekendtillæg udbetales.",AA19="X"),(AC19+AN19)/2,0)</f>
        <v>0</v>
      </c>
      <c r="FQ19" s="674">
        <f>IF(AND(AND(Stamoplysninger!$B$26="Weekendtimer og weekendtillæg udbetales.",I19="X",C19="ikke relevant")),K19,0)</f>
        <v>0</v>
      </c>
      <c r="FR19" s="688">
        <f>IF(AND(AND(Stamoplysninger!$B$26="Weekendtimer og weekendtillæg udbetales.",AA19="X",U19="ikke relevant")),(AC19+AN19)/2,0)</f>
        <v>0</v>
      </c>
      <c r="FS19" s="283">
        <f t="shared" si="15"/>
        <v>0</v>
      </c>
      <c r="FT19" s="658">
        <f t="shared" si="16"/>
        <v>0</v>
      </c>
      <c r="FU19">
        <f t="shared" si="17"/>
        <v>0</v>
      </c>
      <c r="FV19" s="283">
        <f>IF(AND(Stamoplysninger!$B$26="Der er indgået lokalaftale omkring weekendtimer.(Kræver aftale med TR/FSL) Weekendtillæg afspadseres.",I19="X"),K19,0)</f>
        <v>0</v>
      </c>
      <c r="FW19" s="674">
        <f>IF(AND(AND(Stamoplysninger!$B$26="Der er indgået lokalaftale omkring weekendtimer.(Kræver aftale med TR/FSL) Weekendtillæg afspadseres.",I19="X",C19="ikke relevant")),K19,0)</f>
        <v>0</v>
      </c>
      <c r="FX19" s="283">
        <f>IF(AND(Stamoplysninger!$B$26="Der er indgået lokalaftale omkring weekendtimer(Kræver aftale med TR/FSL). Weekendtillæg udbetales.",I19="X"),K19,0)</f>
        <v>0</v>
      </c>
      <c r="FY19" s="674">
        <f>IF(AND(AND(Stamoplysninger!$B$26="Der er indgået lokalaftale omkring weekendtimer(Kræver aftale med TR/FSL). Weekendtillæg udbetales.",I19="X",C19="ikke relevant")),K19,0)</f>
        <v>0</v>
      </c>
      <c r="FZ19" s="283">
        <f>IF(AND(Stamoplysninger!$B$26="Der er indgået lokalaftale omkring weekendtillæg(Kræver aftale med TR/FSL). Weekendtimerne udbetales.",I19="X"),K19,0)</f>
        <v>0</v>
      </c>
      <c r="GA19" s="674">
        <f>IF(AND(AND(Stamoplysninger!$B$26="Der er indgået lokalaftale omkring weekendtillæg(Kræver aftale med TR/FSL). Weekendtimerne udbetales.",I19="X",C19="ikke relevant")),K19,0)</f>
        <v>0</v>
      </c>
      <c r="GB19" s="283">
        <f>IF(AND(Stamoplysninger!$B$26="Der er indgået lokalaftale omkring weekendtimer og weekendtillæg.(Kræver aftale med TR/FSL).",I19="X"),K19,0)</f>
        <v>0</v>
      </c>
      <c r="GC19" s="674">
        <f>IF(AND(AND(Stamoplysninger!$B$26="Der er indgået lokalaftale omkring weekendtimer og weekendtillæg.(Kræver aftale med TR/FSL).",I19="X",C19="ikke relevant")),K19,0)</f>
        <v>0</v>
      </c>
    </row>
    <row r="20" spans="1:185">
      <c r="A20" s="245">
        <f>IF(ISNUMBER(A19),A19+1,1)</f>
        <v>12</v>
      </c>
      <c r="B20" s="128" t="str">
        <f t="shared" si="0"/>
        <v>on</v>
      </c>
      <c r="C20" s="129" t="s">
        <v>207</v>
      </c>
      <c r="D20" s="130" t="str">
        <f t="shared" si="1"/>
        <v/>
      </c>
      <c r="E20" s="917"/>
      <c r="F20" s="918"/>
      <c r="G20" s="919"/>
      <c r="H20" s="298"/>
      <c r="I20" s="527"/>
      <c r="J20" s="413"/>
      <c r="K20" s="380"/>
      <c r="L20" s="380"/>
      <c r="M20" s="380"/>
      <c r="N20" s="318">
        <f t="shared" si="19"/>
        <v>7.75</v>
      </c>
      <c r="O20" s="318">
        <f t="shared" si="20"/>
        <v>4.25</v>
      </c>
      <c r="P20" s="318">
        <f>IF(Stamoplysninger!$H$29="JA",Marts!DG20,CX20)</f>
        <v>1</v>
      </c>
      <c r="Q20" s="318">
        <f t="shared" si="21"/>
        <v>2.5</v>
      </c>
      <c r="R20" s="319"/>
      <c r="S20" s="324"/>
      <c r="T20" s="325"/>
      <c r="U20" s="325"/>
      <c r="V20" s="435"/>
      <c r="W20" s="412"/>
      <c r="X20" s="642"/>
      <c r="Y20">
        <f t="shared" si="22"/>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f>IF(AND(C20="Skema 2",B20="on"),Arbejdstidsoversigt!$E$83,"")</f>
        <v>7.75</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7.75</v>
      </c>
      <c r="BB20" s="229">
        <f t="shared" si="8"/>
        <v>0</v>
      </c>
      <c r="BC20" s="1">
        <f t="shared" si="24"/>
        <v>0</v>
      </c>
      <c r="BD20" s="1">
        <f t="shared" si="9"/>
        <v>0</v>
      </c>
      <c r="BE20" s="1">
        <f t="shared" si="10"/>
        <v>0</v>
      </c>
      <c r="BF20" s="1">
        <f t="shared" si="11"/>
        <v>0</v>
      </c>
      <c r="BG20" s="210" t="str">
        <f>IF(AND(C20="Skema 1",B20="ma"),Skemaoplysninger!$E$30,"")</f>
        <v/>
      </c>
      <c r="BH20" s="210" t="str">
        <f>IF(AND(C20="Skema 1",B20="ti"),Skemaoplysninger!$G$30,"")</f>
        <v/>
      </c>
      <c r="BI20" s="210" t="str">
        <f>IF(AND(C20="Skema 1",B20="on"),Skemaoplysninger!$I$30,"")</f>
        <v/>
      </c>
      <c r="BJ20" s="210" t="str">
        <f>IF(AND(C20="Skema 1",B20="to"),Skemaoplysninger!$K$30,"")</f>
        <v/>
      </c>
      <c r="BK20" s="210" t="str">
        <f>IF(AND(C20="Skema 1",B20="fr"),Skemaoplysninger!$M$30,"")</f>
        <v/>
      </c>
      <c r="BL20" s="210" t="str">
        <f>IF(AND(C20="Skema 2",B20="ma"),Skemaoplysninger!$S$30,"")</f>
        <v/>
      </c>
      <c r="BM20" s="210" t="str">
        <f>IF(AND(C20="Skema 2",B20="ti"),Skemaoplysninger!$U$30,"")</f>
        <v/>
      </c>
      <c r="BN20" s="210">
        <f>IF(AND(C20="Skema 2",B20="on"),Skemaoplysninger!$W$30,"")</f>
        <v>0.17708333333333331</v>
      </c>
      <c r="BO20" s="210" t="str">
        <f>IF(AND(C20="Skema 2",B20="to"),Skemaoplysninger!$Y$30,"")</f>
        <v/>
      </c>
      <c r="BP20" s="210" t="str">
        <f>IF(AND(C20="Skema 2",B20="fr"),Skemaoplysninger!$AA$30,"")</f>
        <v/>
      </c>
      <c r="BQ20" s="210" t="str">
        <f>IF(AND(C20="Skema 3",B20="ma"),Skemaoplysninger!$AG$30,"")</f>
        <v/>
      </c>
      <c r="BR20" s="210" t="str">
        <f>IF(AND(C20="Skema 3",B20="ti"),Skemaoplysninger!$AI$30,"")</f>
        <v/>
      </c>
      <c r="BS20" s="210" t="str">
        <f>IF(AND(C20="Skema 3",B20="on"),Skemaoplysninger!$AK$30,"")</f>
        <v/>
      </c>
      <c r="BT20" s="210" t="str">
        <f>IF(AND(C20="Skema 3",B20="to"),Skemaoplysninger!$AM$30,"")</f>
        <v/>
      </c>
      <c r="BU20" s="210" t="str">
        <f>IF(AND(C20="Skema 3",B20="fr"),Skemaoplysninger!$AO$30,"")</f>
        <v/>
      </c>
      <c r="BV20" s="210" t="str">
        <f>IF(AND(C20="Skema 4",B20="ma"),Skemaoplysninger!$AU$30,"")</f>
        <v/>
      </c>
      <c r="BW20" s="210" t="str">
        <f>IF(AND(C20="Skema 4",B20="ti"),Skemaoplysninger!$AW$30,"")</f>
        <v/>
      </c>
      <c r="BX20" s="210" t="str">
        <f>IF(AND(C20="Skema 4",B20="on"),Skemaoplysninger!$AY$30,"")</f>
        <v/>
      </c>
      <c r="BY20" s="210" t="str">
        <f>IF(AND(C20="Skema 4",B20="to"),Skemaoplysninger!$BA$30,"")</f>
        <v/>
      </c>
      <c r="BZ20" s="210" t="str">
        <f>IF(AND(C20="Skema 4",B20="fr"),Skemaoplysninger!$BC$30,"")</f>
        <v/>
      </c>
      <c r="CA20" s="1">
        <f t="shared" si="25"/>
        <v>4.25</v>
      </c>
      <c r="CB20" s="1">
        <f t="shared" si="12"/>
        <v>0</v>
      </c>
      <c r="CC20" s="1">
        <f t="shared" si="13"/>
        <v>0</v>
      </c>
      <c r="CD20" s="210" t="str">
        <f>IF(AND(C20="Skema 1",B20="ma"),Skemaoplysninger!$E$31,"")</f>
        <v/>
      </c>
      <c r="CE20" s="210" t="str">
        <f>IF(AND(C20="Skema 1",B20="ti"),Skemaoplysninger!$G$31,"")</f>
        <v/>
      </c>
      <c r="CF20" s="210" t="str">
        <f>IF(AND(C20="Skema 1",B20="on"),Skemaoplysninger!$I$31,"")</f>
        <v/>
      </c>
      <c r="CG20" s="210" t="str">
        <f>IF(AND(C20="Skema 1",B20="to"),Skemaoplysninger!$K$31,"")</f>
        <v/>
      </c>
      <c r="CH20" s="210" t="str">
        <f>IF(AND(C20="Skema 1",B20="fr"),Skemaoplysninger!$M$31,"")</f>
        <v/>
      </c>
      <c r="CI20" s="210" t="str">
        <f>IF(AND(C20="Skema 2",B20="ma"),Skemaoplysninger!$S$31,"")</f>
        <v/>
      </c>
      <c r="CJ20" s="210" t="str">
        <f>IF(AND(C20="Skema 2",B20="ti"),Skemaoplysninger!$U$31,"")</f>
        <v/>
      </c>
      <c r="CK20" s="210">
        <f>IF(AND(C20="Skema 2",B20="on"),Skemaoplysninger!$W$31,"")</f>
        <v>4.1666666666666664E-2</v>
      </c>
      <c r="CL20" s="210" t="str">
        <f>IF(AND(C20="Skema 2",B20="to"),Skemaoplysninger!$Y$31,"")</f>
        <v/>
      </c>
      <c r="CM20" s="210" t="str">
        <f>IF(AND(C20="Skema 2",B20="fr"),Skemaoplysninger!$AA$31,"")</f>
        <v/>
      </c>
      <c r="CN20" s="210" t="str">
        <f>IF(AND(C20="Skema 3",B20="ma"),Skemaoplysninger!$AG$31,"")</f>
        <v/>
      </c>
      <c r="CO20" s="210" t="str">
        <f>IF(AND(C20="Skema 3",B20="ti"),Skemaoplysninger!$AI$31,"")</f>
        <v/>
      </c>
      <c r="CP20" s="210" t="str">
        <f>IF(AND(C20="Skema 3",B20="on"),Skemaoplysninger!$AK$31,"")</f>
        <v/>
      </c>
      <c r="CQ20" s="210" t="str">
        <f>IF(AND(C20="Skema 3",B20="to"),Skemaoplysninger!$AM$31,"")</f>
        <v/>
      </c>
      <c r="CR20" s="210" t="str">
        <f>IF(AND(C20="Skema 3",B20="fr"),Skemaoplysninger!$AO$31,"")</f>
        <v/>
      </c>
      <c r="CS20" s="210" t="str">
        <f>IF(AND(C20="Skema 4",B20="ma"),Skemaoplysninger!$AU$31,"")</f>
        <v/>
      </c>
      <c r="CT20" s="210" t="str">
        <f>IF(AND(C20="Skema 4",B20="ti"),Skemaoplysninger!$AW$31,"")</f>
        <v/>
      </c>
      <c r="CU20" s="210" t="str">
        <f>IF(AND(C20="Skema 4",B20="on"),Skemaoplysninger!$AY$31,"")</f>
        <v/>
      </c>
      <c r="CV20" s="210" t="str">
        <f>IF(AND(C20="Skema 4",B20="to"),Skemaoplysninger!$BA$31,"")</f>
        <v/>
      </c>
      <c r="CW20" s="210" t="str">
        <f>IF(AND(C20="Skema 4",B20="fr"),Skemaoplysninger!$BC$31,"")</f>
        <v/>
      </c>
      <c r="CX20" s="249">
        <f>IF(Stamoplysninger!$H$29="NEJ",SUM(CD20:CW20)*24+CB20+CC20,0)</f>
        <v>1</v>
      </c>
      <c r="CY20" s="249">
        <f>IF(C20="Skema 1",Stamoplysninger!$H$30/200,0)</f>
        <v>0</v>
      </c>
      <c r="CZ20" s="249">
        <f>IF(C20="Skema 2",Stamoplysninger!$H$30/200,0)</f>
        <v>0</v>
      </c>
      <c r="DA20" s="249">
        <f>IF(C20="Skema 3",Stamoplysninger!$H$30/200,0)</f>
        <v>0</v>
      </c>
      <c r="DB20" s="249">
        <f>IF(C20="Skema 4",Stamoplysninger!$H$30/200,0)</f>
        <v>0</v>
      </c>
      <c r="DC20" s="249">
        <f>IF(C20="fagdag",Stamoplysninger!$H$30/200,0)</f>
        <v>0</v>
      </c>
      <c r="DD20" s="249">
        <f>IF(C20="emnedag",Stamoplysninger!$H$30/200,0)</f>
        <v>0</v>
      </c>
      <c r="DE20" s="249">
        <f>IF(C20="lejrskole",Stamoplysninger!$H$30/200,0)</f>
        <v>0</v>
      </c>
      <c r="DF20" s="249">
        <f>IF(C20="ekskursion",Stamoplysninger!$H$30/200,0)</f>
        <v>0</v>
      </c>
      <c r="DG20" s="249">
        <f t="shared" si="26"/>
        <v>0</v>
      </c>
      <c r="DH20" t="str">
        <f t="shared" si="27"/>
        <v/>
      </c>
      <c r="DI20">
        <f t="shared" si="28"/>
        <v>0</v>
      </c>
      <c r="DJ20">
        <f t="shared" si="29"/>
        <v>0</v>
      </c>
      <c r="DK20" t="str">
        <f t="shared" si="14"/>
        <v/>
      </c>
      <c r="DL20" t="str">
        <f t="shared" si="14"/>
        <v/>
      </c>
      <c r="DM20" t="str">
        <f t="shared" si="14"/>
        <v/>
      </c>
      <c r="DN20" t="str">
        <f t="shared" si="30"/>
        <v/>
      </c>
      <c r="DO20" s="652">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71">
        <f>IF(AND(Stamoplysninger!$B$22="Ulempetillæg udbetales med 25% af nettotimelønnen.",C20="ikke relevant"),(R20)/4,0)</f>
        <v>0</v>
      </c>
      <c r="DT20" s="671">
        <f>IF(AND(AND(Stamoplysninger!$B$22="Ulempetillæg udbetales med 25% af nettotimelønnen.",I20="X",C20="Ikke relevant")),K20/4,0)</f>
        <v>0</v>
      </c>
      <c r="DU20" s="671">
        <f>IF(AND(AND(Stamoplysninger!$B$22="Ulempetillæg udbetales med 25% af nettotimelønnen.",C20="ikke relevant",U20="X")),(X20/4),0)</f>
        <v>0</v>
      </c>
      <c r="DV20" s="672">
        <f>IF(AND(AND(AND(Stamoplysninger!$B$22="Ulempetillæg udbetales med 25% af nettotimelønnen.",I20="X",C20="Ikke relevant",S20="X"))),V20/4,0)</f>
        <v>0</v>
      </c>
      <c r="DW20" s="652"/>
      <c r="DZ20" s="671"/>
      <c r="EA20" s="671"/>
      <c r="EB20" s="672"/>
      <c r="EC20" s="652">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71">
        <f>IF(AND(Stamoplysninger!$B$22="Ulempetillæg afspadseres med 25%(Kræver en aftale imellem ledelsen og den ansatte)",C20="ikke relevant"),(R20)/4,0)</f>
        <v>0</v>
      </c>
      <c r="EH20" s="671">
        <f>IF(AND(AND(Stamoplysninger!$B$22="Ulempetillæg afspadseres med 25%(Kræver en aftale imellem ledelsen og den ansatte)",I20="X",C20="Ikke relevant")),K20/4,0)</f>
        <v>0</v>
      </c>
      <c r="EI20" s="671">
        <f>IF(AND(AND(Stamoplysninger!$B$22="Ulempetillæg afspadseres med 25%(Kræver en aftale imellem ledelsen og den ansatte)",U20="X",C20="Ikke relevant")),X20/4,0)</f>
        <v>0</v>
      </c>
      <c r="EJ20" s="671">
        <f>IF(AND(AND(AND(Stamoplysninger!$B$22="Ulempetillæg afspadseres med 25%(Kræver en aftale imellem ledelsen og den ansatte)",I20="X",C20="Ikke relevant",S20="X"))),V20/4,0)</f>
        <v>0</v>
      </c>
      <c r="EK20" s="283">
        <f>IF(AND(Stamoplysninger!$B$26="Weekendtimer og weekendtillæg afspadseres.",I20="X"),K20*1.5,0)</f>
        <v>0</v>
      </c>
      <c r="EL20" s="251">
        <f>IF(AND(AND(Stamoplysninger!$B$26="Weekendtimer og weekendtillæg afspadseres.",I20="X",S20="X")),V20*1.5,0)</f>
        <v>0</v>
      </c>
      <c r="EM20" s="674">
        <f>IF(AND(AND(Stamoplysninger!$B$26="Weekendtimer og weekendtillæg afspadseres.",I20="X",C20="ikke relevant")),K20*1.5,0)</f>
        <v>0</v>
      </c>
      <c r="EN20" s="675">
        <f>IF(AND(AND(AND(Stamoplysninger!$B$26="Weekendtimer og weekendtillæg afspadseres.",I20="X",C20="ikke relevant",S20="X"))),(V20*1.5),0)</f>
        <v>0</v>
      </c>
      <c r="EO20" s="283">
        <f>IF(AND(Stamoplysninger!$B$26="Weekendtimer og weekendtillæg udbetales.",I20="X"),K20*1.5,0)</f>
        <v>0</v>
      </c>
      <c r="EP20" s="251">
        <f>IF(AND(AND(Stamoplysninger!$B$26="Weekendtimer og weekendtillæg udbetales.",I20="X",S20="X")),V20*1.5,0)</f>
        <v>0</v>
      </c>
      <c r="EQ20" s="674">
        <f>IF(AND(AND(Stamoplysninger!$B$26="Weekendtimer og weekendtillæg udbetales.",I20="X",C20="ikke relevant")),K20*1.5,0)</f>
        <v>0</v>
      </c>
      <c r="ER20" s="675">
        <f>IF(AND(AND(AND(Stamoplysninger!$B$26="Weekendtimer og weekendtillæg udbetales.",I20="X",C20="ikke relevant",S20="X"))),(V20*1.5),0)</f>
        <v>0</v>
      </c>
      <c r="ES20" s="283">
        <f>IF(AND(Stamoplysninger!$B$26="Der er indgået lokalaftale omkring weekendtimer.(Kræver aftale med TR/FSL) Weekendtillæg afspadseres.",I20="X"),K20*0.5,0)</f>
        <v>0</v>
      </c>
      <c r="ET20" s="251">
        <f>IF(AND(AND(Stamoplysninger!$B$26="Der er indgået lokalaftale omkring weekendtimer.(Kræver aftale med TR/FSL) Weekendtillæg afspadseres.",I20="X",S20="X")),V20*0.5,0)</f>
        <v>0</v>
      </c>
      <c r="EU20" s="674">
        <f>IF(AND(AND(Stamoplysninger!$B$26="Der er indgået lokalaftale omkring weekendtimer.(Kræver aftale med TR/FSL) Weekendtillæg afspadseres.",I20="X",C20="ikke relevant")),K20*0.5,0)</f>
        <v>0</v>
      </c>
      <c r="EV20" s="675">
        <f>IF(AND(AND(AND(Stamoplysninger!$B$26="Der er indgået lokalaftale omkring weekendtimer.(Kræver aftale med TR/FSL) Weekendtillæg afspadseres.",I20="X",C20="ikke relevant",S20="X"))),(V20*0.5),0)</f>
        <v>0</v>
      </c>
      <c r="EW20" s="283">
        <f>IF(AND(Stamoplysninger!$B$26="Der er indgået lokalaftale omkring weekendtimer(Kræver aftale med TR/FSL). Weekendtillæg udbetales.",I20="X"),K20*0.5,0)</f>
        <v>0</v>
      </c>
      <c r="EX20" s="251">
        <f>IF(AND(AND(Stamoplysninger!$B$26="Der er indgået lokalaftale omkring weekendtimer(Kræver aftale med TR/FSL). Weekendtillæg udbetales.",I20="X",S20="X")),V20*0.5,0)</f>
        <v>0</v>
      </c>
      <c r="EY20" s="674">
        <f>IF(AND(AND(Stamoplysninger!$B$26="Der er indgået lokalaftale omkring weekendtimer(Kræver aftale med TR/FSL). Weekendtillæg udbetales.",I20="X",C20="ikke relevant")),K20*0.5,0)</f>
        <v>0</v>
      </c>
      <c r="EZ20" s="675">
        <f>IF(AND(AND(AND(Stamoplysninger!$B$26="Der er indgået lokalaftale omkring weekendtimer(Kræver aftale med TR/FSL). Weekendtillæg udbetales.",I20="X",C20="ikke relevant",S20="X"))),(V20*0.5),0)</f>
        <v>0</v>
      </c>
      <c r="FA20" s="283">
        <f>IF(AND(Stamoplysninger!$B$26="Der er indgået lokalaftale omkring weekendtillæg(Kræver aftale med TR/FSL). Weekendtimerne afspadseres.",I20="X"),K20,0)</f>
        <v>0</v>
      </c>
      <c r="FB20" s="251">
        <f>IF(AND(AND(Stamoplysninger!$B$26="Der er indgået lokalaftale omkring weekendtillæg(Kræver aftale med TR/FSL). Weekendtimerne afspadseres.",I20="X",S20="X")),V20,0)</f>
        <v>0</v>
      </c>
      <c r="FC20" s="674">
        <f>IF(AND(AND(Stamoplysninger!$B$26="Der er indgået lokalaftale omkring weekendtillæg(Kræver aftale med TR/FSL). Weekendtimerne afspadseres..",I20="X",C20="ikke relevant")),K20,0)</f>
        <v>0</v>
      </c>
      <c r="FD20" s="675">
        <f>IF(AND(AND(AND(Stamoplysninger!$B$26="Der er indgået lokalaftale omkring weekendtillæg(Kræver aftale med TR/FSL). Weekendtimerne afspadseres.",I20="X",C20="ikke relevant",S20="X"))),(V20),0)</f>
        <v>0</v>
      </c>
      <c r="FE20" s="283">
        <f>IF(AND(Stamoplysninger!$B$26="Der er indgået lokalaftale omkring weekendtillæg(Kræver aftale med TR/FSL). Weekendtimerne udbetales.",I20="X"),K20,0)</f>
        <v>0</v>
      </c>
      <c r="FF20" s="251">
        <f>IF(AND(AND(Stamoplysninger!$B$26="Der er indgået lokalaftale omkring weekendtillæg(Kræver aftale med TR/FSL). Weekendtimerne udbetales.",I20="X",S20="X")),V20,0)</f>
        <v>0</v>
      </c>
      <c r="FG20" s="674">
        <f>IF(AND(AND(Stamoplysninger!$B$26="Der er indgået lokalaftale omkring weekendtillæg(Kræver aftale med TR/FSL). Weekendtimerne udbetales.",I20="X",C20="ikke relevant")),K20,0)</f>
        <v>0</v>
      </c>
      <c r="FH20" s="675">
        <f>IF(AND(AND(AND(Stamoplysninger!$B$26="Der er indgået lokalaftale omkring weekendtillæg(Kræver aftale med TR/FSL). Weekendtimerne udbetales.",I20="X",C20="ikke relevant",S20="X"))),(V20),0)</f>
        <v>0</v>
      </c>
      <c r="FI20" s="283">
        <f>IF(AND(Stamoplysninger!$B$26="Weekendtimer og weekendtillæg afspadseres.",I20="X"),K20,0)</f>
        <v>0</v>
      </c>
      <c r="FJ20" s="251">
        <f>IF(AND(Stamoplysninger!$B$26="Weekendtimer og weekendtillæg afspadseres.",Y20="X"),(AA20+AL20)/2,0)</f>
        <v>0</v>
      </c>
      <c r="FK20" s="674">
        <f>IF(AND(AND(Stamoplysninger!$B$26="Weekendtimer og weekendtillæg afspadseres.",I20="X",C20="ikke relevant")),K20,0)</f>
        <v>0</v>
      </c>
      <c r="FL20" s="675">
        <f>IF(AND(AND(Stamoplysninger!$B$26="Weekendtimer og weekendtillæg afspadseres.",Y20="X",S20="ikke relevant")),(AA20+AL20)/2,0)</f>
        <v>0</v>
      </c>
      <c r="FM20" s="283">
        <f>IF(AND(Stamoplysninger!$B$26="Der er indgået lokalaftale omkring weekendtillæg(Kræver aftale med TR/FSL). Weekendtimerne afspadseres.",I20="X"),K20,0)</f>
        <v>0</v>
      </c>
      <c r="FN20" s="674">
        <f>IF(AND(AND(Stamoplysninger!$B$26="Der er indgået lokalaftale omkring weekendtillæg(Kræver aftale med TR/FSL). Weekendtimerne afspadseres.",I20="X",C20="ikke relevant")),K20,0)</f>
        <v>0</v>
      </c>
      <c r="FO20" s="283">
        <f>IF(AND(Stamoplysninger!$B$26="Weekendtimer og weekendtillæg udbetales.",I20="X"),K20,0)</f>
        <v>0</v>
      </c>
      <c r="FP20" s="251">
        <f>IF(AND(Stamoplysninger!$B$26="Weekendtimer og weekendtillæg udbetales.",AA20="X"),(AC20+AN20)/2,0)</f>
        <v>0</v>
      </c>
      <c r="FQ20" s="674">
        <f>IF(AND(AND(Stamoplysninger!$B$26="Weekendtimer og weekendtillæg udbetales.",I20="X",C20="ikke relevant")),K20,0)</f>
        <v>0</v>
      </c>
      <c r="FR20" s="688">
        <f>IF(AND(AND(Stamoplysninger!$B$26="Weekendtimer og weekendtillæg udbetales.",AA20="X",U20="ikke relevant")),(AC20+AN20)/2,0)</f>
        <v>0</v>
      </c>
      <c r="FS20" s="283">
        <f t="shared" si="15"/>
        <v>0</v>
      </c>
      <c r="FT20" s="658">
        <f t="shared" si="16"/>
        <v>0</v>
      </c>
      <c r="FU20">
        <f t="shared" si="17"/>
        <v>0</v>
      </c>
      <c r="FV20" s="283">
        <f>IF(AND(Stamoplysninger!$B$26="Der er indgået lokalaftale omkring weekendtimer.(Kræver aftale med TR/FSL) Weekendtillæg afspadseres.",I20="X"),K20,0)</f>
        <v>0</v>
      </c>
      <c r="FW20" s="674">
        <f>IF(AND(AND(Stamoplysninger!$B$26="Der er indgået lokalaftale omkring weekendtimer.(Kræver aftale med TR/FSL) Weekendtillæg afspadseres.",I20="X",C20="ikke relevant")),K20,0)</f>
        <v>0</v>
      </c>
      <c r="FX20" s="283">
        <f>IF(AND(Stamoplysninger!$B$26="Der er indgået lokalaftale omkring weekendtimer(Kræver aftale med TR/FSL). Weekendtillæg udbetales.",I20="X"),K20,0)</f>
        <v>0</v>
      </c>
      <c r="FY20" s="674">
        <f>IF(AND(AND(Stamoplysninger!$B$26="Der er indgået lokalaftale omkring weekendtimer(Kræver aftale med TR/FSL). Weekendtillæg udbetales.",I20="X",C20="ikke relevant")),K20,0)</f>
        <v>0</v>
      </c>
      <c r="FZ20" s="283">
        <f>IF(AND(Stamoplysninger!$B$26="Der er indgået lokalaftale omkring weekendtillæg(Kræver aftale med TR/FSL). Weekendtimerne udbetales.",I20="X"),K20,0)</f>
        <v>0</v>
      </c>
      <c r="GA20" s="674">
        <f>IF(AND(AND(Stamoplysninger!$B$26="Der er indgået lokalaftale omkring weekendtillæg(Kræver aftale med TR/FSL). Weekendtimerne udbetales.",I20="X",C20="ikke relevant")),K20,0)</f>
        <v>0</v>
      </c>
      <c r="GB20" s="283">
        <f>IF(AND(Stamoplysninger!$B$26="Der er indgået lokalaftale omkring weekendtimer og weekendtillæg.(Kræver aftale med TR/FSL).",I20="X"),K20,0)</f>
        <v>0</v>
      </c>
      <c r="GC20" s="674">
        <f>IF(AND(AND(Stamoplysninger!$B$26="Der er indgået lokalaftale omkring weekendtimer og weekendtillæg.(Kræver aftale med TR/FSL).",I20="X",C20="ikke relevant")),K20,0)</f>
        <v>0</v>
      </c>
    </row>
    <row r="21" spans="1:185">
      <c r="A21" s="245">
        <f>IF(ISNUMBER(A20),A20+1,1)</f>
        <v>13</v>
      </c>
      <c r="B21" s="128" t="str">
        <f t="shared" si="0"/>
        <v>to</v>
      </c>
      <c r="C21" s="129" t="s">
        <v>207</v>
      </c>
      <c r="D21" s="130" t="str">
        <f t="shared" si="1"/>
        <v/>
      </c>
      <c r="E21" s="949"/>
      <c r="F21" s="950"/>
      <c r="G21" s="951"/>
      <c r="H21" s="297"/>
      <c r="I21" s="527"/>
      <c r="J21" s="413"/>
      <c r="K21" s="380"/>
      <c r="L21" s="380"/>
      <c r="M21" s="380"/>
      <c r="N21" s="318">
        <f t="shared" si="19"/>
        <v>7.75</v>
      </c>
      <c r="O21" s="318">
        <f t="shared" si="20"/>
        <v>3</v>
      </c>
      <c r="P21" s="318">
        <f>IF(Stamoplysninger!$H$29="JA",Marts!DG21,CX21)</f>
        <v>0.83333333333333337</v>
      </c>
      <c r="Q21" s="318">
        <f t="shared" si="21"/>
        <v>3.9166666666666665</v>
      </c>
      <c r="R21" s="319"/>
      <c r="S21" s="324"/>
      <c r="T21" s="325"/>
      <c r="U21" s="325"/>
      <c r="V21" s="435"/>
      <c r="W21" s="412"/>
      <c r="X21" s="642"/>
      <c r="Y21">
        <f t="shared" si="22"/>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f>IF(AND(C21="Skema 2",B21="to"),Arbejdstidsoversigt!$E$84,"")</f>
        <v>7.75</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7.75</v>
      </c>
      <c r="BB21" s="229">
        <f t="shared" si="8"/>
        <v>0</v>
      </c>
      <c r="BC21" s="1">
        <f t="shared" si="24"/>
        <v>0</v>
      </c>
      <c r="BD21" s="1">
        <f t="shared" si="9"/>
        <v>0</v>
      </c>
      <c r="BE21" s="1">
        <f t="shared" si="10"/>
        <v>0</v>
      </c>
      <c r="BF21" s="1">
        <f t="shared" si="11"/>
        <v>0</v>
      </c>
      <c r="BG21" s="210" t="str">
        <f>IF(AND(C21="Skema 1",B21="ma"),Skemaoplysninger!$E$30,"")</f>
        <v/>
      </c>
      <c r="BH21" s="210" t="str">
        <f>IF(AND(C21="Skema 1",B21="ti"),Skemaoplysninger!$G$30,"")</f>
        <v/>
      </c>
      <c r="BI21" s="210" t="str">
        <f>IF(AND(C21="Skema 1",B21="on"),Skemaoplysninger!$I$30,"")</f>
        <v/>
      </c>
      <c r="BJ21" s="210" t="str">
        <f>IF(AND(C21="Skema 1",B21="to"),Skemaoplysninger!$K$30,"")</f>
        <v/>
      </c>
      <c r="BK21" s="210" t="str">
        <f>IF(AND(C21="Skema 1",B21="fr"),Skemaoplysninger!$M$30,"")</f>
        <v/>
      </c>
      <c r="BL21" s="210" t="str">
        <f>IF(AND(C21="Skema 2",B21="ma"),Skemaoplysninger!$S$30,"")</f>
        <v/>
      </c>
      <c r="BM21" s="210" t="str">
        <f>IF(AND(C21="Skema 2",B21="ti"),Skemaoplysninger!$U$30,"")</f>
        <v/>
      </c>
      <c r="BN21" s="210" t="str">
        <f>IF(AND(C21="Skema 2",B21="on"),Skemaoplysninger!$W$30,"")</f>
        <v/>
      </c>
      <c r="BO21" s="210">
        <f>IF(AND(C21="Skema 2",B21="to"),Skemaoplysninger!$Y$30,"")</f>
        <v>0.125</v>
      </c>
      <c r="BP21" s="210" t="str">
        <f>IF(AND(C21="Skema 2",B21="fr"),Skemaoplysninger!$AA$30,"")</f>
        <v/>
      </c>
      <c r="BQ21" s="210" t="str">
        <f>IF(AND(C21="Skema 3",B21="ma"),Skemaoplysninger!$AG$30,"")</f>
        <v/>
      </c>
      <c r="BR21" s="210" t="str">
        <f>IF(AND(C21="Skema 3",B21="ti"),Skemaoplysninger!$AI$30,"")</f>
        <v/>
      </c>
      <c r="BS21" s="210" t="str">
        <f>IF(AND(C21="Skema 3",B21="on"),Skemaoplysninger!$AK$30,"")</f>
        <v/>
      </c>
      <c r="BT21" s="210" t="str">
        <f>IF(AND(C21="Skema 3",B21="to"),Skemaoplysninger!$AM$30,"")</f>
        <v/>
      </c>
      <c r="BU21" s="210" t="str">
        <f>IF(AND(C21="Skema 3",B21="fr"),Skemaoplysninger!$AO$30,"")</f>
        <v/>
      </c>
      <c r="BV21" s="210" t="str">
        <f>IF(AND(C21="Skema 4",B21="ma"),Skemaoplysninger!$AU$30,"")</f>
        <v/>
      </c>
      <c r="BW21" s="210" t="str">
        <f>IF(AND(C21="Skema 4",B21="ti"),Skemaoplysninger!$AW$30,"")</f>
        <v/>
      </c>
      <c r="BX21" s="210" t="str">
        <f>IF(AND(C21="Skema 4",B21="on"),Skemaoplysninger!$AY$30,"")</f>
        <v/>
      </c>
      <c r="BY21" s="210" t="str">
        <f>IF(AND(C21="Skema 4",B21="to"),Skemaoplysninger!$BA$30,"")</f>
        <v/>
      </c>
      <c r="BZ21" s="210" t="str">
        <f>IF(AND(C21="Skema 4",B21="fr"),Skemaoplysninger!$BC$30,"")</f>
        <v/>
      </c>
      <c r="CA21" s="1">
        <f t="shared" si="25"/>
        <v>3</v>
      </c>
      <c r="CB21" s="1">
        <f t="shared" si="12"/>
        <v>0</v>
      </c>
      <c r="CC21" s="1">
        <f t="shared" si="13"/>
        <v>0</v>
      </c>
      <c r="CD21" s="210" t="str">
        <f>IF(AND(C21="Skema 1",B21="ma"),Skemaoplysninger!$E$31,"")</f>
        <v/>
      </c>
      <c r="CE21" s="210" t="str">
        <f>IF(AND(C21="Skema 1",B21="ti"),Skemaoplysninger!$G$31,"")</f>
        <v/>
      </c>
      <c r="CF21" s="210" t="str">
        <f>IF(AND(C21="Skema 1",B21="on"),Skemaoplysninger!$I$31,"")</f>
        <v/>
      </c>
      <c r="CG21" s="210" t="str">
        <f>IF(AND(C21="Skema 1",B21="to"),Skemaoplysninger!$K$31,"")</f>
        <v/>
      </c>
      <c r="CH21" s="210" t="str">
        <f>IF(AND(C21="Skema 1",B21="fr"),Skemaoplysninger!$M$31,"")</f>
        <v/>
      </c>
      <c r="CI21" s="210" t="str">
        <f>IF(AND(C21="Skema 2",B21="ma"),Skemaoplysninger!$S$31,"")</f>
        <v/>
      </c>
      <c r="CJ21" s="210" t="str">
        <f>IF(AND(C21="Skema 2",B21="ti"),Skemaoplysninger!$U$31,"")</f>
        <v/>
      </c>
      <c r="CK21" s="210" t="str">
        <f>IF(AND(C21="Skema 2",B21="on"),Skemaoplysninger!$W$31,"")</f>
        <v/>
      </c>
      <c r="CL21" s="210">
        <f>IF(AND(C21="Skema 2",B21="to"),Skemaoplysninger!$Y$31,"")</f>
        <v>3.4722222222222224E-2</v>
      </c>
      <c r="CM21" s="210" t="str">
        <f>IF(AND(C21="Skema 2",B21="fr"),Skemaoplysninger!$AA$31,"")</f>
        <v/>
      </c>
      <c r="CN21" s="210" t="str">
        <f>IF(AND(C21="Skema 3",B21="ma"),Skemaoplysninger!$AG$31,"")</f>
        <v/>
      </c>
      <c r="CO21" s="210" t="str">
        <f>IF(AND(C21="Skema 3",B21="ti"),Skemaoplysninger!$AI$31,"")</f>
        <v/>
      </c>
      <c r="CP21" s="210" t="str">
        <f>IF(AND(C21="Skema 3",B21="on"),Skemaoplysninger!$AK$31,"")</f>
        <v/>
      </c>
      <c r="CQ21" s="210" t="str">
        <f>IF(AND(C21="Skema 3",B21="to"),Skemaoplysninger!$AM$31,"")</f>
        <v/>
      </c>
      <c r="CR21" s="210" t="str">
        <f>IF(AND(C21="Skema 3",B21="fr"),Skemaoplysninger!$AO$31,"")</f>
        <v/>
      </c>
      <c r="CS21" s="210" t="str">
        <f>IF(AND(C21="Skema 4",B21="ma"),Skemaoplysninger!$AU$31,"")</f>
        <v/>
      </c>
      <c r="CT21" s="210" t="str">
        <f>IF(AND(C21="Skema 4",B21="ti"),Skemaoplysninger!$AW$31,"")</f>
        <v/>
      </c>
      <c r="CU21" s="210" t="str">
        <f>IF(AND(C21="Skema 4",B21="on"),Skemaoplysninger!$AY$31,"")</f>
        <v/>
      </c>
      <c r="CV21" s="210" t="str">
        <f>IF(AND(C21="Skema 4",B21="to"),Skemaoplysninger!$BA$31,"")</f>
        <v/>
      </c>
      <c r="CW21" s="210" t="str">
        <f>IF(AND(C21="Skema 4",B21="fr"),Skemaoplysninger!$BC$31,"")</f>
        <v/>
      </c>
      <c r="CX21" s="249">
        <f>IF(Stamoplysninger!$H$29="NEJ",SUM(CD21:CW21)*24+CB21+CC21,0)</f>
        <v>0.83333333333333337</v>
      </c>
      <c r="CY21" s="249">
        <f>IF(C21="Skema 1",Stamoplysninger!$H$30/200,0)</f>
        <v>0</v>
      </c>
      <c r="CZ21" s="249">
        <f>IF(C21="Skema 2",Stamoplysninger!$H$30/200,0)</f>
        <v>0</v>
      </c>
      <c r="DA21" s="249">
        <f>IF(C21="Skema 3",Stamoplysninger!$H$30/200,0)</f>
        <v>0</v>
      </c>
      <c r="DB21" s="249">
        <f>IF(C21="Skema 4",Stamoplysninger!$H$30/200,0)</f>
        <v>0</v>
      </c>
      <c r="DC21" s="249">
        <f>IF(C21="fagdag",Stamoplysninger!$H$30/200,0)</f>
        <v>0</v>
      </c>
      <c r="DD21" s="249">
        <f>IF(C21="emnedag",Stamoplysninger!$H$30/200,0)</f>
        <v>0</v>
      </c>
      <c r="DE21" s="249">
        <f>IF(C21="lejrskole",Stamoplysninger!$H$30/200,0)</f>
        <v>0</v>
      </c>
      <c r="DF21" s="249">
        <f>IF(C21="ekskursion",Stamoplysninger!$H$30/200,0)</f>
        <v>0</v>
      </c>
      <c r="DG21" s="249">
        <f t="shared" si="26"/>
        <v>0</v>
      </c>
      <c r="DH21" t="str">
        <f t="shared" si="27"/>
        <v/>
      </c>
      <c r="DI21">
        <f t="shared" si="28"/>
        <v>0</v>
      </c>
      <c r="DJ21">
        <f t="shared" si="29"/>
        <v>0</v>
      </c>
      <c r="DK21" t="str">
        <f t="shared" si="14"/>
        <v/>
      </c>
      <c r="DL21" t="str">
        <f t="shared" si="14"/>
        <v/>
      </c>
      <c r="DM21" t="str">
        <f t="shared" si="14"/>
        <v/>
      </c>
      <c r="DN21" t="str">
        <f t="shared" si="30"/>
        <v/>
      </c>
      <c r="DO21" s="652">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71">
        <f>IF(AND(Stamoplysninger!$B$22="Ulempetillæg udbetales med 25% af nettotimelønnen.",C21="ikke relevant"),(R21)/4,0)</f>
        <v>0</v>
      </c>
      <c r="DT21" s="671">
        <f>IF(AND(AND(Stamoplysninger!$B$22="Ulempetillæg udbetales med 25% af nettotimelønnen.",I21="X",C21="Ikke relevant")),K21/4,0)</f>
        <v>0</v>
      </c>
      <c r="DU21" s="671">
        <f>IF(AND(AND(Stamoplysninger!$B$22="Ulempetillæg udbetales med 25% af nettotimelønnen.",C21="ikke relevant",U21="X")),(X21/4),0)</f>
        <v>0</v>
      </c>
      <c r="DV21" s="672">
        <f>IF(AND(AND(AND(Stamoplysninger!$B$22="Ulempetillæg udbetales med 25% af nettotimelønnen.",I21="X",C21="Ikke relevant",S21="X"))),V21/4,0)</f>
        <v>0</v>
      </c>
      <c r="DW21" s="652"/>
      <c r="DZ21" s="671"/>
      <c r="EA21" s="671"/>
      <c r="EB21" s="672"/>
      <c r="EC21" s="652">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71">
        <f>IF(AND(Stamoplysninger!$B$22="Ulempetillæg afspadseres med 25%(Kræver en aftale imellem ledelsen og den ansatte)",C21="ikke relevant"),(R21)/4,0)</f>
        <v>0</v>
      </c>
      <c r="EH21" s="671">
        <f>IF(AND(AND(Stamoplysninger!$B$22="Ulempetillæg afspadseres med 25%(Kræver en aftale imellem ledelsen og den ansatte)",I21="X",C21="Ikke relevant")),K21/4,0)</f>
        <v>0</v>
      </c>
      <c r="EI21" s="671">
        <f>IF(AND(AND(Stamoplysninger!$B$22="Ulempetillæg afspadseres med 25%(Kræver en aftale imellem ledelsen og den ansatte)",U21="X",C21="Ikke relevant")),X21/4,0)</f>
        <v>0</v>
      </c>
      <c r="EJ21" s="671">
        <f>IF(AND(AND(AND(Stamoplysninger!$B$22="Ulempetillæg afspadseres med 25%(Kræver en aftale imellem ledelsen og den ansatte)",I21="X",C21="Ikke relevant",S21="X"))),V21/4,0)</f>
        <v>0</v>
      </c>
      <c r="EK21" s="283">
        <f>IF(AND(Stamoplysninger!$B$26="Weekendtimer og weekendtillæg afspadseres.",I21="X"),K21*1.5,0)</f>
        <v>0</v>
      </c>
      <c r="EL21" s="251">
        <f>IF(AND(AND(Stamoplysninger!$B$26="Weekendtimer og weekendtillæg afspadseres.",I21="X",S21="X")),V21*1.5,0)</f>
        <v>0</v>
      </c>
      <c r="EM21" s="674">
        <f>IF(AND(AND(Stamoplysninger!$B$26="Weekendtimer og weekendtillæg afspadseres.",I21="X",C21="ikke relevant")),K21*1.5,0)</f>
        <v>0</v>
      </c>
      <c r="EN21" s="675">
        <f>IF(AND(AND(AND(Stamoplysninger!$B$26="Weekendtimer og weekendtillæg afspadseres.",I21="X",C21="ikke relevant",S21="X"))),(V21*1.5),0)</f>
        <v>0</v>
      </c>
      <c r="EO21" s="283">
        <f>IF(AND(Stamoplysninger!$B$26="Weekendtimer og weekendtillæg udbetales.",I21="X"),K21*1.5,0)</f>
        <v>0</v>
      </c>
      <c r="EP21" s="251">
        <f>IF(AND(AND(Stamoplysninger!$B$26="Weekendtimer og weekendtillæg udbetales.",I21="X",S21="X")),V21*1.5,0)</f>
        <v>0</v>
      </c>
      <c r="EQ21" s="674">
        <f>IF(AND(AND(Stamoplysninger!$B$26="Weekendtimer og weekendtillæg udbetales.",I21="X",C21="ikke relevant")),K21*1.5,0)</f>
        <v>0</v>
      </c>
      <c r="ER21" s="675">
        <f>IF(AND(AND(AND(Stamoplysninger!$B$26="Weekendtimer og weekendtillæg udbetales.",I21="X",C21="ikke relevant",S21="X"))),(V21*1.5),0)</f>
        <v>0</v>
      </c>
      <c r="ES21" s="283">
        <f>IF(AND(Stamoplysninger!$B$26="Der er indgået lokalaftale omkring weekendtimer.(Kræver aftale med TR/FSL) Weekendtillæg afspadseres.",I21="X"),K21*0.5,0)</f>
        <v>0</v>
      </c>
      <c r="ET21" s="251">
        <f>IF(AND(AND(Stamoplysninger!$B$26="Der er indgået lokalaftale omkring weekendtimer.(Kræver aftale med TR/FSL) Weekendtillæg afspadseres.",I21="X",S21="X")),V21*0.5,0)</f>
        <v>0</v>
      </c>
      <c r="EU21" s="674">
        <f>IF(AND(AND(Stamoplysninger!$B$26="Der er indgået lokalaftale omkring weekendtimer.(Kræver aftale med TR/FSL) Weekendtillæg afspadseres.",I21="X",C21="ikke relevant")),K21*0.5,0)</f>
        <v>0</v>
      </c>
      <c r="EV21" s="675">
        <f>IF(AND(AND(AND(Stamoplysninger!$B$26="Der er indgået lokalaftale omkring weekendtimer.(Kræver aftale med TR/FSL) Weekendtillæg afspadseres.",I21="X",C21="ikke relevant",S21="X"))),(V21*0.5),0)</f>
        <v>0</v>
      </c>
      <c r="EW21" s="283">
        <f>IF(AND(Stamoplysninger!$B$26="Der er indgået lokalaftale omkring weekendtimer(Kræver aftale med TR/FSL). Weekendtillæg udbetales.",I21="X"),K21*0.5,0)</f>
        <v>0</v>
      </c>
      <c r="EX21" s="251">
        <f>IF(AND(AND(Stamoplysninger!$B$26="Der er indgået lokalaftale omkring weekendtimer(Kræver aftale med TR/FSL). Weekendtillæg udbetales.",I21="X",S21="X")),V21*0.5,0)</f>
        <v>0</v>
      </c>
      <c r="EY21" s="674">
        <f>IF(AND(AND(Stamoplysninger!$B$26="Der er indgået lokalaftale omkring weekendtimer(Kræver aftale med TR/FSL). Weekendtillæg udbetales.",I21="X",C21="ikke relevant")),K21*0.5,0)</f>
        <v>0</v>
      </c>
      <c r="EZ21" s="675">
        <f>IF(AND(AND(AND(Stamoplysninger!$B$26="Der er indgået lokalaftale omkring weekendtimer(Kræver aftale med TR/FSL). Weekendtillæg udbetales.",I21="X",C21="ikke relevant",S21="X"))),(V21*0.5),0)</f>
        <v>0</v>
      </c>
      <c r="FA21" s="283">
        <f>IF(AND(Stamoplysninger!$B$26="Der er indgået lokalaftale omkring weekendtillæg(Kræver aftale med TR/FSL). Weekendtimerne afspadseres.",I21="X"),K21,0)</f>
        <v>0</v>
      </c>
      <c r="FB21" s="251">
        <f>IF(AND(AND(Stamoplysninger!$B$26="Der er indgået lokalaftale omkring weekendtillæg(Kræver aftale med TR/FSL). Weekendtimerne afspadseres.",I21="X",S21="X")),V21,0)</f>
        <v>0</v>
      </c>
      <c r="FC21" s="674">
        <f>IF(AND(AND(Stamoplysninger!$B$26="Der er indgået lokalaftale omkring weekendtillæg(Kræver aftale med TR/FSL). Weekendtimerne afspadseres..",I21="X",C21="ikke relevant")),K21,0)</f>
        <v>0</v>
      </c>
      <c r="FD21" s="675">
        <f>IF(AND(AND(AND(Stamoplysninger!$B$26="Der er indgået lokalaftale omkring weekendtillæg(Kræver aftale med TR/FSL). Weekendtimerne afspadseres.",I21="X",C21="ikke relevant",S21="X"))),(V21),0)</f>
        <v>0</v>
      </c>
      <c r="FE21" s="283">
        <f>IF(AND(Stamoplysninger!$B$26="Der er indgået lokalaftale omkring weekendtillæg(Kræver aftale med TR/FSL). Weekendtimerne udbetales.",I21="X"),K21,0)</f>
        <v>0</v>
      </c>
      <c r="FF21" s="251">
        <f>IF(AND(AND(Stamoplysninger!$B$26="Der er indgået lokalaftale omkring weekendtillæg(Kræver aftale med TR/FSL). Weekendtimerne udbetales.",I21="X",S21="X")),V21,0)</f>
        <v>0</v>
      </c>
      <c r="FG21" s="674">
        <f>IF(AND(AND(Stamoplysninger!$B$26="Der er indgået lokalaftale omkring weekendtillæg(Kræver aftale med TR/FSL). Weekendtimerne udbetales.",I21="X",C21="ikke relevant")),K21,0)</f>
        <v>0</v>
      </c>
      <c r="FH21" s="675">
        <f>IF(AND(AND(AND(Stamoplysninger!$B$26="Der er indgået lokalaftale omkring weekendtillæg(Kræver aftale med TR/FSL). Weekendtimerne udbetales.",I21="X",C21="ikke relevant",S21="X"))),(V21),0)</f>
        <v>0</v>
      </c>
      <c r="FI21" s="283">
        <f>IF(AND(Stamoplysninger!$B$26="Weekendtimer og weekendtillæg afspadseres.",I21="X"),K21,0)</f>
        <v>0</v>
      </c>
      <c r="FJ21" s="251">
        <f>IF(AND(Stamoplysninger!$B$26="Weekendtimer og weekendtillæg afspadseres.",Y21="X"),(AA21+AL21)/2,0)</f>
        <v>0</v>
      </c>
      <c r="FK21" s="674">
        <f>IF(AND(AND(Stamoplysninger!$B$26="Weekendtimer og weekendtillæg afspadseres.",I21="X",C21="ikke relevant")),K21,0)</f>
        <v>0</v>
      </c>
      <c r="FL21" s="675">
        <f>IF(AND(AND(Stamoplysninger!$B$26="Weekendtimer og weekendtillæg afspadseres.",Y21="X",S21="ikke relevant")),(AA21+AL21)/2,0)</f>
        <v>0</v>
      </c>
      <c r="FM21" s="283">
        <f>IF(AND(Stamoplysninger!$B$26="Der er indgået lokalaftale omkring weekendtillæg(Kræver aftale med TR/FSL). Weekendtimerne afspadseres.",I21="X"),K21,0)</f>
        <v>0</v>
      </c>
      <c r="FN21" s="674">
        <f>IF(AND(AND(Stamoplysninger!$B$26="Der er indgået lokalaftale omkring weekendtillæg(Kræver aftale med TR/FSL). Weekendtimerne afspadseres.",I21="X",C21="ikke relevant")),K21,0)</f>
        <v>0</v>
      </c>
      <c r="FO21" s="283">
        <f>IF(AND(Stamoplysninger!$B$26="Weekendtimer og weekendtillæg udbetales.",I21="X"),K21,0)</f>
        <v>0</v>
      </c>
      <c r="FP21" s="251">
        <f>IF(AND(Stamoplysninger!$B$26="Weekendtimer og weekendtillæg udbetales.",AA21="X"),(AC21+AN21)/2,0)</f>
        <v>0</v>
      </c>
      <c r="FQ21" s="674">
        <f>IF(AND(AND(Stamoplysninger!$B$26="Weekendtimer og weekendtillæg udbetales.",I21="X",C21="ikke relevant")),K21,0)</f>
        <v>0</v>
      </c>
      <c r="FR21" s="688">
        <f>IF(AND(AND(Stamoplysninger!$B$26="Weekendtimer og weekendtillæg udbetales.",AA21="X",U21="ikke relevant")),(AC21+AN21)/2,0)</f>
        <v>0</v>
      </c>
      <c r="FS21" s="283">
        <f t="shared" si="15"/>
        <v>0</v>
      </c>
      <c r="FT21" s="658">
        <f t="shared" si="16"/>
        <v>0</v>
      </c>
      <c r="FU21">
        <f t="shared" si="17"/>
        <v>0</v>
      </c>
      <c r="FV21" s="283">
        <f>IF(AND(Stamoplysninger!$B$26="Der er indgået lokalaftale omkring weekendtimer.(Kræver aftale med TR/FSL) Weekendtillæg afspadseres.",I21="X"),K21,0)</f>
        <v>0</v>
      </c>
      <c r="FW21" s="674">
        <f>IF(AND(AND(Stamoplysninger!$B$26="Der er indgået lokalaftale omkring weekendtimer.(Kræver aftale med TR/FSL) Weekendtillæg afspadseres.",I21="X",C21="ikke relevant")),K21,0)</f>
        <v>0</v>
      </c>
      <c r="FX21" s="283">
        <f>IF(AND(Stamoplysninger!$B$26="Der er indgået lokalaftale omkring weekendtimer(Kræver aftale med TR/FSL). Weekendtillæg udbetales.",I21="X"),K21,0)</f>
        <v>0</v>
      </c>
      <c r="FY21" s="674">
        <f>IF(AND(AND(Stamoplysninger!$B$26="Der er indgået lokalaftale omkring weekendtimer(Kræver aftale med TR/FSL). Weekendtillæg udbetales.",I21="X",C21="ikke relevant")),K21,0)</f>
        <v>0</v>
      </c>
      <c r="FZ21" s="283">
        <f>IF(AND(Stamoplysninger!$B$26="Der er indgået lokalaftale omkring weekendtillæg(Kræver aftale med TR/FSL). Weekendtimerne udbetales.",I21="X"),K21,0)</f>
        <v>0</v>
      </c>
      <c r="GA21" s="674">
        <f>IF(AND(AND(Stamoplysninger!$B$26="Der er indgået lokalaftale omkring weekendtillæg(Kræver aftale med TR/FSL). Weekendtimerne udbetales.",I21="X",C21="ikke relevant")),K21,0)</f>
        <v>0</v>
      </c>
      <c r="GB21" s="283">
        <f>IF(AND(Stamoplysninger!$B$26="Der er indgået lokalaftale omkring weekendtimer og weekendtillæg.(Kræver aftale med TR/FSL).",I21="X"),K21,0)</f>
        <v>0</v>
      </c>
      <c r="GC21" s="674">
        <f>IF(AND(AND(Stamoplysninger!$B$26="Der er indgået lokalaftale omkring weekendtimer og weekendtillæg.(Kræver aftale med TR/FSL).",I21="X",C21="ikke relevant")),K21,0)</f>
        <v>0</v>
      </c>
    </row>
    <row r="22" spans="1:185">
      <c r="A22" s="245">
        <f t="shared" si="18"/>
        <v>14</v>
      </c>
      <c r="B22" s="128" t="str">
        <f t="shared" si="0"/>
        <v>fr</v>
      </c>
      <c r="C22" s="129" t="s">
        <v>139</v>
      </c>
      <c r="D22" s="130" t="str">
        <f t="shared" si="1"/>
        <v/>
      </c>
      <c r="E22" s="949" t="s">
        <v>709</v>
      </c>
      <c r="F22" s="950"/>
      <c r="G22" s="951"/>
      <c r="H22" s="297"/>
      <c r="I22" s="527"/>
      <c r="J22" s="413"/>
      <c r="K22" s="380">
        <v>9</v>
      </c>
      <c r="L22" s="380"/>
      <c r="M22" s="380"/>
      <c r="N22" s="318">
        <f t="shared" si="19"/>
        <v>9</v>
      </c>
      <c r="O22" s="318">
        <f t="shared" si="20"/>
        <v>0</v>
      </c>
      <c r="P22" s="318">
        <f>IF(Stamoplysninger!$H$29="JA",Marts!DG22,CX22)</f>
        <v>0</v>
      </c>
      <c r="Q22" s="318">
        <f t="shared" si="21"/>
        <v>9</v>
      </c>
      <c r="R22" s="319"/>
      <c r="S22" s="324"/>
      <c r="T22" s="325"/>
      <c r="U22" s="325"/>
      <c r="V22" s="435"/>
      <c r="W22" s="412"/>
      <c r="X22" s="642"/>
      <c r="Y22">
        <f t="shared" si="22"/>
        <v>0</v>
      </c>
      <c r="Z22">
        <f t="shared" si="2"/>
        <v>0</v>
      </c>
      <c r="AA22" s="1">
        <f t="shared" si="3"/>
        <v>0</v>
      </c>
      <c r="AB22" s="1">
        <f t="shared" si="4"/>
        <v>0</v>
      </c>
      <c r="AC22" s="1">
        <f t="shared" si="5"/>
        <v>9</v>
      </c>
      <c r="AD22" s="1">
        <f t="shared" si="6"/>
        <v>0</v>
      </c>
      <c r="AE22" s="1">
        <f t="shared" si="7"/>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9</v>
      </c>
      <c r="BB22" s="229">
        <f t="shared" si="8"/>
        <v>0</v>
      </c>
      <c r="BC22" s="1">
        <f t="shared" si="24"/>
        <v>0</v>
      </c>
      <c r="BD22" s="1">
        <f t="shared" si="9"/>
        <v>0</v>
      </c>
      <c r="BE22" s="1">
        <f t="shared" si="10"/>
        <v>0</v>
      </c>
      <c r="BF22" s="1">
        <f t="shared" si="11"/>
        <v>0</v>
      </c>
      <c r="BG22" s="210" t="str">
        <f>IF(AND(C22="Skema 1",B22="ma"),Skemaoplysninger!$E$30,"")</f>
        <v/>
      </c>
      <c r="BH22" s="210" t="str">
        <f>IF(AND(C22="Skema 1",B22="ti"),Skemaoplysninger!$G$30,"")</f>
        <v/>
      </c>
      <c r="BI22" s="210" t="str">
        <f>IF(AND(C22="Skema 1",B22="on"),Skemaoplysninger!$I$30,"")</f>
        <v/>
      </c>
      <c r="BJ22" s="210" t="str">
        <f>IF(AND(C22="Skema 1",B22="to"),Skemaoplysninger!$K$30,"")</f>
        <v/>
      </c>
      <c r="BK22" s="210" t="str">
        <f>IF(AND(C22="Skema 1",B22="fr"),Skemaoplysninger!$M$30,"")</f>
        <v/>
      </c>
      <c r="BL22" s="210" t="str">
        <f>IF(AND(C22="Skema 2",B22="ma"),Skemaoplysninger!$S$30,"")</f>
        <v/>
      </c>
      <c r="BM22" s="210" t="str">
        <f>IF(AND(C22="Skema 2",B22="ti"),Skemaoplysninger!$U$30,"")</f>
        <v/>
      </c>
      <c r="BN22" s="210" t="str">
        <f>IF(AND(C22="Skema 2",B22="on"),Skemaoplysninger!$W$30,"")</f>
        <v/>
      </c>
      <c r="BO22" s="210" t="str">
        <f>IF(AND(C22="Skema 2",B22="to"),Skemaoplysninger!$Y$30,"")</f>
        <v/>
      </c>
      <c r="BP22" s="210" t="str">
        <f>IF(AND(C22="Skema 2",B22="fr"),Skemaoplysninger!$AA$30,"")</f>
        <v/>
      </c>
      <c r="BQ22" s="210" t="str">
        <f>IF(AND(C22="Skema 3",B22="ma"),Skemaoplysninger!$AG$30,"")</f>
        <v/>
      </c>
      <c r="BR22" s="210" t="str">
        <f>IF(AND(C22="Skema 3",B22="ti"),Skemaoplysninger!$AI$30,"")</f>
        <v/>
      </c>
      <c r="BS22" s="210" t="str">
        <f>IF(AND(C22="Skema 3",B22="on"),Skemaoplysninger!$AK$30,"")</f>
        <v/>
      </c>
      <c r="BT22" s="210" t="str">
        <f>IF(AND(C22="Skema 3",B22="to"),Skemaoplysninger!$AM$30,"")</f>
        <v/>
      </c>
      <c r="BU22" s="210" t="str">
        <f>IF(AND(C22="Skema 3",B22="fr"),Skemaoplysninger!$AO$30,"")</f>
        <v/>
      </c>
      <c r="BV22" s="210" t="str">
        <f>IF(AND(C22="Skema 4",B22="ma"),Skemaoplysninger!$AU$30,"")</f>
        <v/>
      </c>
      <c r="BW22" s="210" t="str">
        <f>IF(AND(C22="Skema 4",B22="ti"),Skemaoplysninger!$AW$30,"")</f>
        <v/>
      </c>
      <c r="BX22" s="210" t="str">
        <f>IF(AND(C22="Skema 4",B22="on"),Skemaoplysninger!$AY$30,"")</f>
        <v/>
      </c>
      <c r="BY22" s="210" t="str">
        <f>IF(AND(C22="Skema 4",B22="to"),Skemaoplysninger!$BA$30,"")</f>
        <v/>
      </c>
      <c r="BZ22" s="210" t="str">
        <f>IF(AND(C22="Skema 4",B22="fr"),Skemaoplysninger!$BC$30,"")</f>
        <v/>
      </c>
      <c r="CA22" s="1">
        <f t="shared" si="25"/>
        <v>0</v>
      </c>
      <c r="CB22" s="1">
        <f t="shared" si="12"/>
        <v>0</v>
      </c>
      <c r="CC22" s="1">
        <f t="shared" si="13"/>
        <v>0</v>
      </c>
      <c r="CD22" s="210" t="str">
        <f>IF(AND(C22="Skema 1",B22="ma"),Skemaoplysninger!$E$31,"")</f>
        <v/>
      </c>
      <c r="CE22" s="210" t="str">
        <f>IF(AND(C22="Skema 1",B22="ti"),Skemaoplysninger!$G$31,"")</f>
        <v/>
      </c>
      <c r="CF22" s="210" t="str">
        <f>IF(AND(C22="Skema 1",B22="on"),Skemaoplysninger!$I$31,"")</f>
        <v/>
      </c>
      <c r="CG22" s="210" t="str">
        <f>IF(AND(C22="Skema 1",B22="to"),Skemaoplysninger!$K$31,"")</f>
        <v/>
      </c>
      <c r="CH22" s="210" t="str">
        <f>IF(AND(C22="Skema 1",B22="fr"),Skemaoplysninger!$M$31,"")</f>
        <v/>
      </c>
      <c r="CI22" s="210" t="str">
        <f>IF(AND(C22="Skema 2",B22="ma"),Skemaoplysninger!$S$31,"")</f>
        <v/>
      </c>
      <c r="CJ22" s="210" t="str">
        <f>IF(AND(C22="Skema 2",B22="ti"),Skemaoplysninger!$U$31,"")</f>
        <v/>
      </c>
      <c r="CK22" s="210" t="str">
        <f>IF(AND(C22="Skema 2",B22="on"),Skemaoplysninger!$W$31,"")</f>
        <v/>
      </c>
      <c r="CL22" s="210" t="str">
        <f>IF(AND(C22="Skema 2",B22="to"),Skemaoplysninger!$Y$31,"")</f>
        <v/>
      </c>
      <c r="CM22" s="210" t="str">
        <f>IF(AND(C22="Skema 2",B22="fr"),Skemaoplysninger!$AA$31,"")</f>
        <v/>
      </c>
      <c r="CN22" s="210" t="str">
        <f>IF(AND(C22="Skema 3",B22="ma"),Skemaoplysninger!$AG$31,"")</f>
        <v/>
      </c>
      <c r="CO22" s="210" t="str">
        <f>IF(AND(C22="Skema 3",B22="ti"),Skemaoplysninger!$AI$31,"")</f>
        <v/>
      </c>
      <c r="CP22" s="210" t="str">
        <f>IF(AND(C22="Skema 3",B22="on"),Skemaoplysninger!$AK$31,"")</f>
        <v/>
      </c>
      <c r="CQ22" s="210" t="str">
        <f>IF(AND(C22="Skema 3",B22="to"),Skemaoplysninger!$AM$31,"")</f>
        <v/>
      </c>
      <c r="CR22" s="210" t="str">
        <f>IF(AND(C22="Skema 3",B22="fr"),Skemaoplysninger!$AO$31,"")</f>
        <v/>
      </c>
      <c r="CS22" s="210" t="str">
        <f>IF(AND(C22="Skema 4",B22="ma"),Skemaoplysninger!$AU$31,"")</f>
        <v/>
      </c>
      <c r="CT22" s="210" t="str">
        <f>IF(AND(C22="Skema 4",B22="ti"),Skemaoplysninger!$AW$31,"")</f>
        <v/>
      </c>
      <c r="CU22" s="210" t="str">
        <f>IF(AND(C22="Skema 4",B22="on"),Skemaoplysninger!$AY$31,"")</f>
        <v/>
      </c>
      <c r="CV22" s="210" t="str">
        <f>IF(AND(C22="Skema 4",B22="to"),Skemaoplysninger!$BA$31,"")</f>
        <v/>
      </c>
      <c r="CW22" s="210" t="str">
        <f>IF(AND(C22="Skema 4",B22="fr"),Skemaoplysninger!$BC$31,"")</f>
        <v/>
      </c>
      <c r="CX22" s="249">
        <f>IF(Stamoplysninger!$H$29="NEJ",SUM(CD22:CW22)*24+CB22+CC22,0)</f>
        <v>0</v>
      </c>
      <c r="CY22" s="249">
        <f>IF(C22="Skema 1",Stamoplysninger!$H$30/200,0)</f>
        <v>0</v>
      </c>
      <c r="CZ22" s="249">
        <f>IF(C22="Skema 2",Stamoplysninger!$H$30/200,0)</f>
        <v>0</v>
      </c>
      <c r="DA22" s="249">
        <f>IF(C22="Skema 3",Stamoplysninger!$H$30/200,0)</f>
        <v>0</v>
      </c>
      <c r="DB22" s="249">
        <f>IF(C22="Skema 4",Stamoplysninger!$H$30/200,0)</f>
        <v>0</v>
      </c>
      <c r="DC22" s="249">
        <f>IF(C22="fagdag",Stamoplysninger!$H$30/200,0)</f>
        <v>0</v>
      </c>
      <c r="DD22" s="249">
        <f>IF(C22="emnedag",Stamoplysninger!$H$30/200,0)</f>
        <v>0</v>
      </c>
      <c r="DE22" s="249">
        <f>IF(C22="lejrskole",Stamoplysninger!$H$30/200,0)</f>
        <v>0</v>
      </c>
      <c r="DF22" s="249">
        <f>IF(C22="ekskursion",Stamoplysninger!$H$30/200,0)</f>
        <v>0</v>
      </c>
      <c r="DG22" s="249">
        <f t="shared" si="26"/>
        <v>0</v>
      </c>
      <c r="DH22" t="str">
        <f t="shared" si="27"/>
        <v/>
      </c>
      <c r="DI22" t="str">
        <f t="shared" si="28"/>
        <v>Forældrene underviser</v>
      </c>
      <c r="DJ22" t="str">
        <f t="shared" si="29"/>
        <v/>
      </c>
      <c r="DK22" t="str">
        <f t="shared" si="14"/>
        <v/>
      </c>
      <c r="DL22" t="str">
        <f t="shared" si="14"/>
        <v>Forældrene underviser</v>
      </c>
      <c r="DM22" t="str">
        <f t="shared" si="14"/>
        <v/>
      </c>
      <c r="DN22" t="str">
        <f t="shared" si="30"/>
        <v>Forældrene underviser</v>
      </c>
      <c r="DO22" s="652">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71">
        <f>IF(AND(Stamoplysninger!$B$22="Ulempetillæg udbetales med 25% af nettotimelønnen.",C22="ikke relevant"),(R22)/4,0)</f>
        <v>0</v>
      </c>
      <c r="DT22" s="671">
        <f>IF(AND(AND(Stamoplysninger!$B$22="Ulempetillæg udbetales med 25% af nettotimelønnen.",I22="X",C22="Ikke relevant")),K22/4,0)</f>
        <v>0</v>
      </c>
      <c r="DU22" s="671">
        <f>IF(AND(AND(Stamoplysninger!$B$22="Ulempetillæg udbetales med 25% af nettotimelønnen.",C22="ikke relevant",U22="X")),(X22/4),0)</f>
        <v>0</v>
      </c>
      <c r="DV22" s="672">
        <f>IF(AND(AND(AND(Stamoplysninger!$B$22="Ulempetillæg udbetales med 25% af nettotimelønnen.",I22="X",C22="Ikke relevant",S22="X"))),V22/4,0)</f>
        <v>0</v>
      </c>
      <c r="DW22" s="652"/>
      <c r="DZ22" s="671"/>
      <c r="EA22" s="671"/>
      <c r="EB22" s="672"/>
      <c r="EC22" s="652">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71">
        <f>IF(AND(Stamoplysninger!$B$22="Ulempetillæg afspadseres med 25%(Kræver en aftale imellem ledelsen og den ansatte)",C22="ikke relevant"),(R22)/4,0)</f>
        <v>0</v>
      </c>
      <c r="EH22" s="671">
        <f>IF(AND(AND(Stamoplysninger!$B$22="Ulempetillæg afspadseres med 25%(Kræver en aftale imellem ledelsen og den ansatte)",I22="X",C22="Ikke relevant")),K22/4,0)</f>
        <v>0</v>
      </c>
      <c r="EI22" s="671">
        <f>IF(AND(AND(Stamoplysninger!$B$22="Ulempetillæg afspadseres med 25%(Kræver en aftale imellem ledelsen og den ansatte)",U22="X",C22="Ikke relevant")),X22/4,0)</f>
        <v>0</v>
      </c>
      <c r="EJ22" s="671">
        <f>IF(AND(AND(AND(Stamoplysninger!$B$22="Ulempetillæg afspadseres med 25%(Kræver en aftale imellem ledelsen og den ansatte)",I22="X",C22="Ikke relevant",S22="X"))),V22/4,0)</f>
        <v>0</v>
      </c>
      <c r="EK22" s="283">
        <f>IF(AND(Stamoplysninger!$B$26="Weekendtimer og weekendtillæg afspadseres.",I22="X"),K22*1.5,0)</f>
        <v>0</v>
      </c>
      <c r="EL22" s="251">
        <f>IF(AND(AND(Stamoplysninger!$B$26="Weekendtimer og weekendtillæg afspadseres.",I22="X",S22="X")),V22*1.5,0)</f>
        <v>0</v>
      </c>
      <c r="EM22" s="674">
        <f>IF(AND(AND(Stamoplysninger!$B$26="Weekendtimer og weekendtillæg afspadseres.",I22="X",C22="ikke relevant")),K22*1.5,0)</f>
        <v>0</v>
      </c>
      <c r="EN22" s="675">
        <f>IF(AND(AND(AND(Stamoplysninger!$B$26="Weekendtimer og weekendtillæg afspadseres.",I22="X",C22="ikke relevant",S22="X"))),(V22*1.5),0)</f>
        <v>0</v>
      </c>
      <c r="EO22" s="283">
        <f>IF(AND(Stamoplysninger!$B$26="Weekendtimer og weekendtillæg udbetales.",I22="X"),K22*1.5,0)</f>
        <v>0</v>
      </c>
      <c r="EP22" s="251">
        <f>IF(AND(AND(Stamoplysninger!$B$26="Weekendtimer og weekendtillæg udbetales.",I22="X",S22="X")),V22*1.5,0)</f>
        <v>0</v>
      </c>
      <c r="EQ22" s="674">
        <f>IF(AND(AND(Stamoplysninger!$B$26="Weekendtimer og weekendtillæg udbetales.",I22="X",C22="ikke relevant")),K22*1.5,0)</f>
        <v>0</v>
      </c>
      <c r="ER22" s="675">
        <f>IF(AND(AND(AND(Stamoplysninger!$B$26="Weekendtimer og weekendtillæg udbetales.",I22="X",C22="ikke relevant",S22="X"))),(V22*1.5),0)</f>
        <v>0</v>
      </c>
      <c r="ES22" s="283">
        <f>IF(AND(Stamoplysninger!$B$26="Der er indgået lokalaftale omkring weekendtimer.(Kræver aftale med TR/FSL) Weekendtillæg afspadseres.",I22="X"),K22*0.5,0)</f>
        <v>0</v>
      </c>
      <c r="ET22" s="251">
        <f>IF(AND(AND(Stamoplysninger!$B$26="Der er indgået lokalaftale omkring weekendtimer.(Kræver aftale med TR/FSL) Weekendtillæg afspadseres.",I22="X",S22="X")),V22*0.5,0)</f>
        <v>0</v>
      </c>
      <c r="EU22" s="674">
        <f>IF(AND(AND(Stamoplysninger!$B$26="Der er indgået lokalaftale omkring weekendtimer.(Kræver aftale med TR/FSL) Weekendtillæg afspadseres.",I22="X",C22="ikke relevant")),K22*0.5,0)</f>
        <v>0</v>
      </c>
      <c r="EV22" s="675">
        <f>IF(AND(AND(AND(Stamoplysninger!$B$26="Der er indgået lokalaftale omkring weekendtimer.(Kræver aftale med TR/FSL) Weekendtillæg afspadseres.",I22="X",C22="ikke relevant",S22="X"))),(V22*0.5),0)</f>
        <v>0</v>
      </c>
      <c r="EW22" s="283">
        <f>IF(AND(Stamoplysninger!$B$26="Der er indgået lokalaftale omkring weekendtimer(Kræver aftale med TR/FSL). Weekendtillæg udbetales.",I22="X"),K22*0.5,0)</f>
        <v>0</v>
      </c>
      <c r="EX22" s="251">
        <f>IF(AND(AND(Stamoplysninger!$B$26="Der er indgået lokalaftale omkring weekendtimer(Kræver aftale med TR/FSL). Weekendtillæg udbetales.",I22="X",S22="X")),V22*0.5,0)</f>
        <v>0</v>
      </c>
      <c r="EY22" s="674">
        <f>IF(AND(AND(Stamoplysninger!$B$26="Der er indgået lokalaftale omkring weekendtimer(Kræver aftale med TR/FSL). Weekendtillæg udbetales.",I22="X",C22="ikke relevant")),K22*0.5,0)</f>
        <v>0</v>
      </c>
      <c r="EZ22" s="675">
        <f>IF(AND(AND(AND(Stamoplysninger!$B$26="Der er indgået lokalaftale omkring weekendtimer(Kræver aftale med TR/FSL). Weekendtillæg udbetales.",I22="X",C22="ikke relevant",S22="X"))),(V22*0.5),0)</f>
        <v>0</v>
      </c>
      <c r="FA22" s="283">
        <f>IF(AND(Stamoplysninger!$B$26="Der er indgået lokalaftale omkring weekendtillæg(Kræver aftale med TR/FSL). Weekendtimerne afspadseres.",I22="X"),K22,0)</f>
        <v>0</v>
      </c>
      <c r="FB22" s="251">
        <f>IF(AND(AND(Stamoplysninger!$B$26="Der er indgået lokalaftale omkring weekendtillæg(Kræver aftale med TR/FSL). Weekendtimerne afspadseres.",I22="X",S22="X")),V22,0)</f>
        <v>0</v>
      </c>
      <c r="FC22" s="674">
        <f>IF(AND(AND(Stamoplysninger!$B$26="Der er indgået lokalaftale omkring weekendtillæg(Kræver aftale med TR/FSL). Weekendtimerne afspadseres..",I22="X",C22="ikke relevant")),K22,0)</f>
        <v>0</v>
      </c>
      <c r="FD22" s="675">
        <f>IF(AND(AND(AND(Stamoplysninger!$B$26="Der er indgået lokalaftale omkring weekendtillæg(Kræver aftale med TR/FSL). Weekendtimerne afspadseres.",I22="X",C22="ikke relevant",S22="X"))),(V22),0)</f>
        <v>0</v>
      </c>
      <c r="FE22" s="283">
        <f>IF(AND(Stamoplysninger!$B$26="Der er indgået lokalaftale omkring weekendtillæg(Kræver aftale med TR/FSL). Weekendtimerne udbetales.",I22="X"),K22,0)</f>
        <v>0</v>
      </c>
      <c r="FF22" s="251">
        <f>IF(AND(AND(Stamoplysninger!$B$26="Der er indgået lokalaftale omkring weekendtillæg(Kræver aftale med TR/FSL). Weekendtimerne udbetales.",I22="X",S22="X")),V22,0)</f>
        <v>0</v>
      </c>
      <c r="FG22" s="674">
        <f>IF(AND(AND(Stamoplysninger!$B$26="Der er indgået lokalaftale omkring weekendtillæg(Kræver aftale med TR/FSL). Weekendtimerne udbetales.",I22="X",C22="ikke relevant")),K22,0)</f>
        <v>0</v>
      </c>
      <c r="FH22" s="675">
        <f>IF(AND(AND(AND(Stamoplysninger!$B$26="Der er indgået lokalaftale omkring weekendtillæg(Kræver aftale med TR/FSL). Weekendtimerne udbetales.",I22="X",C22="ikke relevant",S22="X"))),(V22),0)</f>
        <v>0</v>
      </c>
      <c r="FI22" s="283">
        <f>IF(AND(Stamoplysninger!$B$26="Weekendtimer og weekendtillæg afspadseres.",I22="X"),K22,0)</f>
        <v>0</v>
      </c>
      <c r="FJ22" s="251">
        <f>IF(AND(Stamoplysninger!$B$26="Weekendtimer og weekendtillæg afspadseres.",Y22="X"),(AA22+AL22)/2,0)</f>
        <v>0</v>
      </c>
      <c r="FK22" s="674">
        <f>IF(AND(AND(Stamoplysninger!$B$26="Weekendtimer og weekendtillæg afspadseres.",I22="X",C22="ikke relevant")),K22,0)</f>
        <v>0</v>
      </c>
      <c r="FL22" s="675">
        <f>IF(AND(AND(Stamoplysninger!$B$26="Weekendtimer og weekendtillæg afspadseres.",Y22="X",S22="ikke relevant")),(AA22+AL22)/2,0)</f>
        <v>0</v>
      </c>
      <c r="FM22" s="283">
        <f>IF(AND(Stamoplysninger!$B$26="Der er indgået lokalaftale omkring weekendtillæg(Kræver aftale med TR/FSL). Weekendtimerne afspadseres.",I22="X"),K22,0)</f>
        <v>0</v>
      </c>
      <c r="FN22" s="674">
        <f>IF(AND(AND(Stamoplysninger!$B$26="Der er indgået lokalaftale omkring weekendtillæg(Kræver aftale med TR/FSL). Weekendtimerne afspadseres.",I22="X",C22="ikke relevant")),K22,0)</f>
        <v>0</v>
      </c>
      <c r="FO22" s="283">
        <f>IF(AND(Stamoplysninger!$B$26="Weekendtimer og weekendtillæg udbetales.",I22="X"),K22,0)</f>
        <v>0</v>
      </c>
      <c r="FP22" s="251">
        <f>IF(AND(Stamoplysninger!$B$26="Weekendtimer og weekendtillæg udbetales.",AA22="X"),(AC22+AN22)/2,0)</f>
        <v>0</v>
      </c>
      <c r="FQ22" s="674">
        <f>IF(AND(AND(Stamoplysninger!$B$26="Weekendtimer og weekendtillæg udbetales.",I22="X",C22="ikke relevant")),K22,0)</f>
        <v>0</v>
      </c>
      <c r="FR22" s="688">
        <f>IF(AND(AND(Stamoplysninger!$B$26="Weekendtimer og weekendtillæg udbetales.",AA22="X",U22="ikke relevant")),(AC22+AN22)/2,0)</f>
        <v>0</v>
      </c>
      <c r="FS22" s="283">
        <f t="shared" si="15"/>
        <v>0</v>
      </c>
      <c r="FT22" s="658">
        <f t="shared" si="16"/>
        <v>0</v>
      </c>
      <c r="FU22">
        <f t="shared" si="17"/>
        <v>0</v>
      </c>
      <c r="FV22" s="283">
        <f>IF(AND(Stamoplysninger!$B$26="Der er indgået lokalaftale omkring weekendtimer.(Kræver aftale med TR/FSL) Weekendtillæg afspadseres.",I22="X"),K22,0)</f>
        <v>0</v>
      </c>
      <c r="FW22" s="674">
        <f>IF(AND(AND(Stamoplysninger!$B$26="Der er indgået lokalaftale omkring weekendtimer.(Kræver aftale med TR/FSL) Weekendtillæg afspadseres.",I22="X",C22="ikke relevant")),K22,0)</f>
        <v>0</v>
      </c>
      <c r="FX22" s="283">
        <f>IF(AND(Stamoplysninger!$B$26="Der er indgået lokalaftale omkring weekendtimer(Kræver aftale med TR/FSL). Weekendtillæg udbetales.",I22="X"),K22,0)</f>
        <v>0</v>
      </c>
      <c r="FY22" s="674">
        <f>IF(AND(AND(Stamoplysninger!$B$26="Der er indgået lokalaftale omkring weekendtimer(Kræver aftale med TR/FSL). Weekendtillæg udbetales.",I22="X",C22="ikke relevant")),K22,0)</f>
        <v>0</v>
      </c>
      <c r="FZ22" s="283">
        <f>IF(AND(Stamoplysninger!$B$26="Der er indgået lokalaftale omkring weekendtillæg(Kræver aftale med TR/FSL). Weekendtimerne udbetales.",I22="X"),K22,0)</f>
        <v>0</v>
      </c>
      <c r="GA22" s="674">
        <f>IF(AND(AND(Stamoplysninger!$B$26="Der er indgået lokalaftale omkring weekendtillæg(Kræver aftale med TR/FSL). Weekendtimerne udbetales.",I22="X",C22="ikke relevant")),K22,0)</f>
        <v>0</v>
      </c>
      <c r="GB22" s="283">
        <f>IF(AND(Stamoplysninger!$B$26="Der er indgået lokalaftale omkring weekendtimer og weekendtillæg.(Kræver aftale med TR/FSL).",I22="X"),K22,0)</f>
        <v>0</v>
      </c>
      <c r="GC22" s="674">
        <f>IF(AND(AND(Stamoplysninger!$B$26="Der er indgået lokalaftale omkring weekendtimer og weekendtillæg.(Kræver aftale med TR/FSL).",I22="X",C22="ikke relevant")),K22,0)</f>
        <v>0</v>
      </c>
    </row>
    <row r="23" spans="1:185">
      <c r="A23" s="245">
        <f t="shared" si="18"/>
        <v>15</v>
      </c>
      <c r="B23" s="128" t="str">
        <f t="shared" si="0"/>
        <v>lø</v>
      </c>
      <c r="C23" s="129" t="s">
        <v>120</v>
      </c>
      <c r="D23" s="130" t="str">
        <f t="shared" si="1"/>
        <v/>
      </c>
      <c r="E23" s="949"/>
      <c r="F23" s="950"/>
      <c r="G23" s="951"/>
      <c r="H23" s="297"/>
      <c r="I23" s="413"/>
      <c r="J23" s="413"/>
      <c r="K23" s="380"/>
      <c r="L23" s="380"/>
      <c r="M23" s="380"/>
      <c r="N23" s="318">
        <f t="shared" si="19"/>
        <v>0</v>
      </c>
      <c r="O23" s="318">
        <f t="shared" si="20"/>
        <v>0</v>
      </c>
      <c r="P23" s="318">
        <f>IF(Stamoplysninger!$H$29="JA",Marts!DG23,CX23)</f>
        <v>0</v>
      </c>
      <c r="Q23" s="318">
        <f t="shared" si="21"/>
        <v>0</v>
      </c>
      <c r="R23" s="319"/>
      <c r="S23" s="324"/>
      <c r="T23" s="325"/>
      <c r="U23" s="325"/>
      <c r="V23" s="435"/>
      <c r="W23" s="412"/>
      <c r="X23" s="642"/>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9">
        <f t="shared" si="8"/>
        <v>0</v>
      </c>
      <c r="BC23" s="1">
        <f t="shared" si="24"/>
        <v>0</v>
      </c>
      <c r="BD23" s="1">
        <f t="shared" si="9"/>
        <v>0</v>
      </c>
      <c r="BE23" s="1">
        <f t="shared" si="10"/>
        <v>0</v>
      </c>
      <c r="BF23" s="1">
        <f t="shared" si="11"/>
        <v>0</v>
      </c>
      <c r="BG23" s="210" t="str">
        <f>IF(AND(C23="Skema 1",B23="ma"),Skemaoplysninger!$E$30,"")</f>
        <v/>
      </c>
      <c r="BH23" s="210" t="str">
        <f>IF(AND(C23="Skema 1",B23="ti"),Skemaoplysninger!$G$30,"")</f>
        <v/>
      </c>
      <c r="BI23" s="210" t="str">
        <f>IF(AND(C23="Skema 1",B23="on"),Skemaoplysninger!$I$30,"")</f>
        <v/>
      </c>
      <c r="BJ23" s="210" t="str">
        <f>IF(AND(C23="Skema 1",B23="to"),Skemaoplysninger!$K$30,"")</f>
        <v/>
      </c>
      <c r="BK23" s="210" t="str">
        <f>IF(AND(C23="Skema 1",B23="fr"),Skemaoplysninger!$M$30,"")</f>
        <v/>
      </c>
      <c r="BL23" s="210" t="str">
        <f>IF(AND(C23="Skema 2",B23="ma"),Skemaoplysninger!$S$30,"")</f>
        <v/>
      </c>
      <c r="BM23" s="210" t="str">
        <f>IF(AND(C23="Skema 2",B23="ti"),Skemaoplysninger!$U$30,"")</f>
        <v/>
      </c>
      <c r="BN23" s="210" t="str">
        <f>IF(AND(C23="Skema 2",B23="on"),Skemaoplysninger!$W$30,"")</f>
        <v/>
      </c>
      <c r="BO23" s="210" t="str">
        <f>IF(AND(C23="Skema 2",B23="to"),Skemaoplysninger!$Y$30,"")</f>
        <v/>
      </c>
      <c r="BP23" s="210" t="str">
        <f>IF(AND(C23="Skema 2",B23="fr"),Skemaoplysninger!$AA$30,"")</f>
        <v/>
      </c>
      <c r="BQ23" s="210" t="str">
        <f>IF(AND(C23="Skema 3",B23="ma"),Skemaoplysninger!$AG$30,"")</f>
        <v/>
      </c>
      <c r="BR23" s="210" t="str">
        <f>IF(AND(C23="Skema 3",B23="ti"),Skemaoplysninger!$AI$30,"")</f>
        <v/>
      </c>
      <c r="BS23" s="210" t="str">
        <f>IF(AND(C23="Skema 3",B23="on"),Skemaoplysninger!$AK$30,"")</f>
        <v/>
      </c>
      <c r="BT23" s="210" t="str">
        <f>IF(AND(C23="Skema 3",B23="to"),Skemaoplysninger!$AM$30,"")</f>
        <v/>
      </c>
      <c r="BU23" s="210" t="str">
        <f>IF(AND(C23="Skema 3",B23="fr"),Skemaoplysninger!$AO$30,"")</f>
        <v/>
      </c>
      <c r="BV23" s="210" t="str">
        <f>IF(AND(C23="Skema 4",B23="ma"),Skemaoplysninger!$AU$30,"")</f>
        <v/>
      </c>
      <c r="BW23" s="210" t="str">
        <f>IF(AND(C23="Skema 4",B23="ti"),Skemaoplysninger!$AW$30,"")</f>
        <v/>
      </c>
      <c r="BX23" s="210" t="str">
        <f>IF(AND(C23="Skema 4",B23="on"),Skemaoplysninger!$AY$30,"")</f>
        <v/>
      </c>
      <c r="BY23" s="210" t="str">
        <f>IF(AND(C23="Skema 4",B23="to"),Skemaoplysninger!$BA$30,"")</f>
        <v/>
      </c>
      <c r="BZ23" s="210" t="str">
        <f>IF(AND(C23="Skema 4",B23="fr"),Skemaoplysninger!$BC$30,"")</f>
        <v/>
      </c>
      <c r="CA23" s="1">
        <f t="shared" si="25"/>
        <v>0</v>
      </c>
      <c r="CB23" s="1">
        <f t="shared" si="12"/>
        <v>0</v>
      </c>
      <c r="CC23" s="1">
        <f t="shared" si="13"/>
        <v>0</v>
      </c>
      <c r="CD23" s="210" t="str">
        <f>IF(AND(C23="Skema 1",B23="ma"),Skemaoplysninger!$E$31,"")</f>
        <v/>
      </c>
      <c r="CE23" s="210" t="str">
        <f>IF(AND(C23="Skema 1",B23="ti"),Skemaoplysninger!$G$31,"")</f>
        <v/>
      </c>
      <c r="CF23" s="210" t="str">
        <f>IF(AND(C23="Skema 1",B23="on"),Skemaoplysninger!$I$31,"")</f>
        <v/>
      </c>
      <c r="CG23" s="210" t="str">
        <f>IF(AND(C23="Skema 1",B23="to"),Skemaoplysninger!$K$31,"")</f>
        <v/>
      </c>
      <c r="CH23" s="210" t="str">
        <f>IF(AND(C23="Skema 1",B23="fr"),Skemaoplysninger!$M$31,"")</f>
        <v/>
      </c>
      <c r="CI23" s="210" t="str">
        <f>IF(AND(C23="Skema 2",B23="ma"),Skemaoplysninger!$S$31,"")</f>
        <v/>
      </c>
      <c r="CJ23" s="210" t="str">
        <f>IF(AND(C23="Skema 2",B23="ti"),Skemaoplysninger!$U$31,"")</f>
        <v/>
      </c>
      <c r="CK23" s="210" t="str">
        <f>IF(AND(C23="Skema 2",B23="on"),Skemaoplysninger!$W$31,"")</f>
        <v/>
      </c>
      <c r="CL23" s="210" t="str">
        <f>IF(AND(C23="Skema 2",B23="to"),Skemaoplysninger!$Y$31,"")</f>
        <v/>
      </c>
      <c r="CM23" s="210" t="str">
        <f>IF(AND(C23="Skema 2",B23="fr"),Skemaoplysninger!$AA$31,"")</f>
        <v/>
      </c>
      <c r="CN23" s="210" t="str">
        <f>IF(AND(C23="Skema 3",B23="ma"),Skemaoplysninger!$AG$31,"")</f>
        <v/>
      </c>
      <c r="CO23" s="210" t="str">
        <f>IF(AND(C23="Skema 3",B23="ti"),Skemaoplysninger!$AI$31,"")</f>
        <v/>
      </c>
      <c r="CP23" s="210" t="str">
        <f>IF(AND(C23="Skema 3",B23="on"),Skemaoplysninger!$AK$31,"")</f>
        <v/>
      </c>
      <c r="CQ23" s="210" t="str">
        <f>IF(AND(C23="Skema 3",B23="to"),Skemaoplysninger!$AM$31,"")</f>
        <v/>
      </c>
      <c r="CR23" s="210" t="str">
        <f>IF(AND(C23="Skema 3",B23="fr"),Skemaoplysninger!$AO$31,"")</f>
        <v/>
      </c>
      <c r="CS23" s="210" t="str">
        <f>IF(AND(C23="Skema 4",B23="ma"),Skemaoplysninger!$AU$31,"")</f>
        <v/>
      </c>
      <c r="CT23" s="210" t="str">
        <f>IF(AND(C23="Skema 4",B23="ti"),Skemaoplysninger!$AW$31,"")</f>
        <v/>
      </c>
      <c r="CU23" s="210" t="str">
        <f>IF(AND(C23="Skema 4",B23="on"),Skemaoplysninger!$AY$31,"")</f>
        <v/>
      </c>
      <c r="CV23" s="210" t="str">
        <f>IF(AND(C23="Skema 4",B23="to"),Skemaoplysninger!$BA$31,"")</f>
        <v/>
      </c>
      <c r="CW23" s="210" t="str">
        <f>IF(AND(C23="Skema 4",B23="fr"),Skemaoplysninger!$BC$31,"")</f>
        <v/>
      </c>
      <c r="CX23" s="249">
        <f>IF(Stamoplysninger!$H$29="NEJ",SUM(CD23:CW23)*24+CB23+CC23,0)</f>
        <v>0</v>
      </c>
      <c r="CY23" s="249">
        <f>IF(C23="Skema 1",Stamoplysninger!$H$30/200,0)</f>
        <v>0</v>
      </c>
      <c r="CZ23" s="249">
        <f>IF(C23="Skema 2",Stamoplysninger!$H$30/200,0)</f>
        <v>0</v>
      </c>
      <c r="DA23" s="249">
        <f>IF(C23="Skema 3",Stamoplysninger!$H$30/200,0)</f>
        <v>0</v>
      </c>
      <c r="DB23" s="249">
        <f>IF(C23="Skema 4",Stamoplysninger!$H$30/200,0)</f>
        <v>0</v>
      </c>
      <c r="DC23" s="249">
        <f>IF(C23="fagdag",Stamoplysninger!$H$30/200,0)</f>
        <v>0</v>
      </c>
      <c r="DD23" s="249">
        <f>IF(C23="emnedag",Stamoplysninger!$H$30/200,0)</f>
        <v>0</v>
      </c>
      <c r="DE23" s="249">
        <f>IF(C23="lejrskole",Stamoplysninger!$H$30/200,0)</f>
        <v>0</v>
      </c>
      <c r="DF23" s="249">
        <f>IF(C23="ekskursion",Stamoplysninger!$H$30/200,0)</f>
        <v>0</v>
      </c>
      <c r="DG23" s="249">
        <f t="shared" si="26"/>
        <v>0</v>
      </c>
      <c r="DH23" t="str">
        <f t="shared" si="27"/>
        <v/>
      </c>
      <c r="DI23">
        <f t="shared" si="28"/>
        <v>0</v>
      </c>
      <c r="DJ23">
        <f t="shared" si="29"/>
        <v>0</v>
      </c>
      <c r="DK23" t="str">
        <f t="shared" si="14"/>
        <v/>
      </c>
      <c r="DL23" t="str">
        <f t="shared" si="14"/>
        <v/>
      </c>
      <c r="DM23" t="str">
        <f t="shared" si="14"/>
        <v/>
      </c>
      <c r="DN23" t="str">
        <f t="shared" si="30"/>
        <v/>
      </c>
      <c r="DO23" s="652">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71">
        <f>IF(AND(Stamoplysninger!$B$22="Ulempetillæg udbetales med 25% af nettotimelønnen.",C23="ikke relevant"),(R23)/4,0)</f>
        <v>0</v>
      </c>
      <c r="DT23" s="671">
        <f>IF(AND(AND(Stamoplysninger!$B$22="Ulempetillæg udbetales med 25% af nettotimelønnen.",I23="X",C23="Ikke relevant")),K23/4,0)</f>
        <v>0</v>
      </c>
      <c r="DU23" s="671">
        <f>IF(AND(AND(Stamoplysninger!$B$22="Ulempetillæg udbetales med 25% af nettotimelønnen.",C23="ikke relevant",U23="X")),(X23/4),0)</f>
        <v>0</v>
      </c>
      <c r="DV23" s="672">
        <f>IF(AND(AND(AND(Stamoplysninger!$B$22="Ulempetillæg udbetales med 25% af nettotimelønnen.",I23="X",C23="Ikke relevant",S23="X"))),V23/4,0)</f>
        <v>0</v>
      </c>
      <c r="DW23" s="652"/>
      <c r="DZ23" s="671"/>
      <c r="EA23" s="671"/>
      <c r="EB23" s="672"/>
      <c r="EC23" s="652">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71">
        <f>IF(AND(Stamoplysninger!$B$22="Ulempetillæg afspadseres med 25%(Kræver en aftale imellem ledelsen og den ansatte)",C23="ikke relevant"),(R23)/4,0)</f>
        <v>0</v>
      </c>
      <c r="EH23" s="671">
        <f>IF(AND(AND(Stamoplysninger!$B$22="Ulempetillæg afspadseres med 25%(Kræver en aftale imellem ledelsen og den ansatte)",I23="X",C23="Ikke relevant")),K23/4,0)</f>
        <v>0</v>
      </c>
      <c r="EI23" s="671">
        <f>IF(AND(AND(Stamoplysninger!$B$22="Ulempetillæg afspadseres med 25%(Kræver en aftale imellem ledelsen og den ansatte)",U23="X",C23="Ikke relevant")),X23/4,0)</f>
        <v>0</v>
      </c>
      <c r="EJ23" s="671">
        <f>IF(AND(AND(AND(Stamoplysninger!$B$22="Ulempetillæg afspadseres med 25%(Kræver en aftale imellem ledelsen og den ansatte)",I23="X",C23="Ikke relevant",S23="X"))),V23/4,0)</f>
        <v>0</v>
      </c>
      <c r="EK23" s="283">
        <f>IF(AND(Stamoplysninger!$B$26="Weekendtimer og weekendtillæg afspadseres.",I23="X"),K23*1.5,0)</f>
        <v>0</v>
      </c>
      <c r="EL23" s="251">
        <f>IF(AND(AND(Stamoplysninger!$B$26="Weekendtimer og weekendtillæg afspadseres.",I23="X",S23="X")),V23*1.5,0)</f>
        <v>0</v>
      </c>
      <c r="EM23" s="674">
        <f>IF(AND(AND(Stamoplysninger!$B$26="Weekendtimer og weekendtillæg afspadseres.",I23="X",C23="ikke relevant")),K23*1.5,0)</f>
        <v>0</v>
      </c>
      <c r="EN23" s="675">
        <f>IF(AND(AND(AND(Stamoplysninger!$B$26="Weekendtimer og weekendtillæg afspadseres.",I23="X",C23="ikke relevant",S23="X"))),(V23*1.5),0)</f>
        <v>0</v>
      </c>
      <c r="EO23" s="283">
        <f>IF(AND(Stamoplysninger!$B$26="Weekendtimer og weekendtillæg udbetales.",I23="X"),K23*1.5,0)</f>
        <v>0</v>
      </c>
      <c r="EP23" s="251">
        <f>IF(AND(AND(Stamoplysninger!$B$26="Weekendtimer og weekendtillæg udbetales.",I23="X",S23="X")),V23*1.5,0)</f>
        <v>0</v>
      </c>
      <c r="EQ23" s="674">
        <f>IF(AND(AND(Stamoplysninger!$B$26="Weekendtimer og weekendtillæg udbetales.",I23="X",C23="ikke relevant")),K23*1.5,0)</f>
        <v>0</v>
      </c>
      <c r="ER23" s="675">
        <f>IF(AND(AND(AND(Stamoplysninger!$B$26="Weekendtimer og weekendtillæg udbetales.",I23="X",C23="ikke relevant",S23="X"))),(V23*1.5),0)</f>
        <v>0</v>
      </c>
      <c r="ES23" s="283">
        <f>IF(AND(Stamoplysninger!$B$26="Der er indgået lokalaftale omkring weekendtimer.(Kræver aftale med TR/FSL) Weekendtillæg afspadseres.",I23="X"),K23*0.5,0)</f>
        <v>0</v>
      </c>
      <c r="ET23" s="251">
        <f>IF(AND(AND(Stamoplysninger!$B$26="Der er indgået lokalaftale omkring weekendtimer.(Kræver aftale med TR/FSL) Weekendtillæg afspadseres.",I23="X",S23="X")),V23*0.5,0)</f>
        <v>0</v>
      </c>
      <c r="EU23" s="674">
        <f>IF(AND(AND(Stamoplysninger!$B$26="Der er indgået lokalaftale omkring weekendtimer.(Kræver aftale med TR/FSL) Weekendtillæg afspadseres.",I23="X",C23="ikke relevant")),K23*0.5,0)</f>
        <v>0</v>
      </c>
      <c r="EV23" s="675">
        <f>IF(AND(AND(AND(Stamoplysninger!$B$26="Der er indgået lokalaftale omkring weekendtimer.(Kræver aftale med TR/FSL) Weekendtillæg afspadseres.",I23="X",C23="ikke relevant",S23="X"))),(V23*0.5),0)</f>
        <v>0</v>
      </c>
      <c r="EW23" s="283">
        <f>IF(AND(Stamoplysninger!$B$26="Der er indgået lokalaftale omkring weekendtimer(Kræver aftale med TR/FSL). Weekendtillæg udbetales.",I23="X"),K23*0.5,0)</f>
        <v>0</v>
      </c>
      <c r="EX23" s="251">
        <f>IF(AND(AND(Stamoplysninger!$B$26="Der er indgået lokalaftale omkring weekendtimer(Kræver aftale med TR/FSL). Weekendtillæg udbetales.",I23="X",S23="X")),V23*0.5,0)</f>
        <v>0</v>
      </c>
      <c r="EY23" s="674">
        <f>IF(AND(AND(Stamoplysninger!$B$26="Der er indgået lokalaftale omkring weekendtimer(Kræver aftale med TR/FSL). Weekendtillæg udbetales.",I23="X",C23="ikke relevant")),K23*0.5,0)</f>
        <v>0</v>
      </c>
      <c r="EZ23" s="675">
        <f>IF(AND(AND(AND(Stamoplysninger!$B$26="Der er indgået lokalaftale omkring weekendtimer(Kræver aftale med TR/FSL). Weekendtillæg udbetales.",I23="X",C23="ikke relevant",S23="X"))),(V23*0.5),0)</f>
        <v>0</v>
      </c>
      <c r="FA23" s="283">
        <f>IF(AND(Stamoplysninger!$B$26="Der er indgået lokalaftale omkring weekendtillæg(Kræver aftale med TR/FSL). Weekendtimerne afspadseres.",I23="X"),K23,0)</f>
        <v>0</v>
      </c>
      <c r="FB23" s="251">
        <f>IF(AND(AND(Stamoplysninger!$B$26="Der er indgået lokalaftale omkring weekendtillæg(Kræver aftale med TR/FSL). Weekendtimerne afspadseres.",I23="X",S23="X")),V23,0)</f>
        <v>0</v>
      </c>
      <c r="FC23" s="674">
        <f>IF(AND(AND(Stamoplysninger!$B$26="Der er indgået lokalaftale omkring weekendtillæg(Kræver aftale med TR/FSL). Weekendtimerne afspadseres..",I23="X",C23="ikke relevant")),K23,0)</f>
        <v>0</v>
      </c>
      <c r="FD23" s="675">
        <f>IF(AND(AND(AND(Stamoplysninger!$B$26="Der er indgået lokalaftale omkring weekendtillæg(Kræver aftale med TR/FSL). Weekendtimerne afspadseres.",I23="X",C23="ikke relevant",S23="X"))),(V23),0)</f>
        <v>0</v>
      </c>
      <c r="FE23" s="283">
        <f>IF(AND(Stamoplysninger!$B$26="Der er indgået lokalaftale omkring weekendtillæg(Kræver aftale med TR/FSL). Weekendtimerne udbetales.",I23="X"),K23,0)</f>
        <v>0</v>
      </c>
      <c r="FF23" s="251">
        <f>IF(AND(AND(Stamoplysninger!$B$26="Der er indgået lokalaftale omkring weekendtillæg(Kræver aftale med TR/FSL). Weekendtimerne udbetales.",I23="X",S23="X")),V23,0)</f>
        <v>0</v>
      </c>
      <c r="FG23" s="674">
        <f>IF(AND(AND(Stamoplysninger!$B$26="Der er indgået lokalaftale omkring weekendtillæg(Kræver aftale med TR/FSL). Weekendtimerne udbetales.",I23="X",C23="ikke relevant")),K23,0)</f>
        <v>0</v>
      </c>
      <c r="FH23" s="675">
        <f>IF(AND(AND(AND(Stamoplysninger!$B$26="Der er indgået lokalaftale omkring weekendtillæg(Kræver aftale med TR/FSL). Weekendtimerne udbetales.",I23="X",C23="ikke relevant",S23="X"))),(V23),0)</f>
        <v>0</v>
      </c>
      <c r="FI23" s="283">
        <f>IF(AND(Stamoplysninger!$B$26="Weekendtimer og weekendtillæg afspadseres.",I23="X"),K23,0)</f>
        <v>0</v>
      </c>
      <c r="FJ23" s="251">
        <f>IF(AND(Stamoplysninger!$B$26="Weekendtimer og weekendtillæg afspadseres.",Y23="X"),(AA23+AL23)/2,0)</f>
        <v>0</v>
      </c>
      <c r="FK23" s="674">
        <f>IF(AND(AND(Stamoplysninger!$B$26="Weekendtimer og weekendtillæg afspadseres.",I23="X",C23="ikke relevant")),K23,0)</f>
        <v>0</v>
      </c>
      <c r="FL23" s="675">
        <f>IF(AND(AND(Stamoplysninger!$B$26="Weekendtimer og weekendtillæg afspadseres.",Y23="X",S23="ikke relevant")),(AA23+AL23)/2,0)</f>
        <v>0</v>
      </c>
      <c r="FM23" s="283">
        <f>IF(AND(Stamoplysninger!$B$26="Der er indgået lokalaftale omkring weekendtillæg(Kræver aftale med TR/FSL). Weekendtimerne afspadseres.",I23="X"),K23,0)</f>
        <v>0</v>
      </c>
      <c r="FN23" s="674">
        <f>IF(AND(AND(Stamoplysninger!$B$26="Der er indgået lokalaftale omkring weekendtillæg(Kræver aftale med TR/FSL). Weekendtimerne afspadseres.",I23="X",C23="ikke relevant")),K23,0)</f>
        <v>0</v>
      </c>
      <c r="FO23" s="283">
        <f>IF(AND(Stamoplysninger!$B$26="Weekendtimer og weekendtillæg udbetales.",I23="X"),K23,0)</f>
        <v>0</v>
      </c>
      <c r="FP23" s="251">
        <f>IF(AND(Stamoplysninger!$B$26="Weekendtimer og weekendtillæg udbetales.",AA23="X"),(AC23+AN23)/2,0)</f>
        <v>0</v>
      </c>
      <c r="FQ23" s="674">
        <f>IF(AND(AND(Stamoplysninger!$B$26="Weekendtimer og weekendtillæg udbetales.",I23="X",C23="ikke relevant")),K23,0)</f>
        <v>0</v>
      </c>
      <c r="FR23" s="688">
        <f>IF(AND(AND(Stamoplysninger!$B$26="Weekendtimer og weekendtillæg udbetales.",AA23="X",U23="ikke relevant")),(AC23+AN23)/2,0)</f>
        <v>0</v>
      </c>
      <c r="FS23" s="283">
        <f t="shared" si="15"/>
        <v>0</v>
      </c>
      <c r="FT23" s="658">
        <f t="shared" si="16"/>
        <v>0</v>
      </c>
      <c r="FU23">
        <f t="shared" si="17"/>
        <v>0</v>
      </c>
      <c r="FV23" s="283">
        <f>IF(AND(Stamoplysninger!$B$26="Der er indgået lokalaftale omkring weekendtimer.(Kræver aftale med TR/FSL) Weekendtillæg afspadseres.",I23="X"),K23,0)</f>
        <v>0</v>
      </c>
      <c r="FW23" s="674">
        <f>IF(AND(AND(Stamoplysninger!$B$26="Der er indgået lokalaftale omkring weekendtimer.(Kræver aftale med TR/FSL) Weekendtillæg afspadseres.",I23="X",C23="ikke relevant")),K23,0)</f>
        <v>0</v>
      </c>
      <c r="FX23" s="283">
        <f>IF(AND(Stamoplysninger!$B$26="Der er indgået lokalaftale omkring weekendtimer(Kræver aftale med TR/FSL). Weekendtillæg udbetales.",I23="X"),K23,0)</f>
        <v>0</v>
      </c>
      <c r="FY23" s="674">
        <f>IF(AND(AND(Stamoplysninger!$B$26="Der er indgået lokalaftale omkring weekendtimer(Kræver aftale med TR/FSL). Weekendtillæg udbetales.",I23="X",C23="ikke relevant")),K23,0)</f>
        <v>0</v>
      </c>
      <c r="FZ23" s="283">
        <f>IF(AND(Stamoplysninger!$B$26="Der er indgået lokalaftale omkring weekendtillæg(Kræver aftale med TR/FSL). Weekendtimerne udbetales.",I23="X"),K23,0)</f>
        <v>0</v>
      </c>
      <c r="GA23" s="674">
        <f>IF(AND(AND(Stamoplysninger!$B$26="Der er indgået lokalaftale omkring weekendtillæg(Kræver aftale med TR/FSL). Weekendtimerne udbetales.",I23="X",C23="ikke relevant")),K23,0)</f>
        <v>0</v>
      </c>
      <c r="GB23" s="283">
        <f>IF(AND(Stamoplysninger!$B$26="Der er indgået lokalaftale omkring weekendtimer og weekendtillæg.(Kræver aftale med TR/FSL).",I23="X"),K23,0)</f>
        <v>0</v>
      </c>
      <c r="GC23" s="674">
        <f>IF(AND(AND(Stamoplysninger!$B$26="Der er indgået lokalaftale omkring weekendtimer og weekendtillæg.(Kræver aftale med TR/FSL).",I23="X",C23="ikke relevant")),K23,0)</f>
        <v>0</v>
      </c>
    </row>
    <row r="24" spans="1:185">
      <c r="A24" s="245">
        <f>IF(ISNUMBER(A23),A23+1,1)</f>
        <v>16</v>
      </c>
      <c r="B24" s="128" t="str">
        <f t="shared" si="0"/>
        <v>sø</v>
      </c>
      <c r="C24" s="129" t="s">
        <v>120</v>
      </c>
      <c r="D24" s="130" t="str">
        <f t="shared" si="1"/>
        <v/>
      </c>
      <c r="E24" s="917"/>
      <c r="F24" s="918"/>
      <c r="G24" s="919"/>
      <c r="H24" s="298"/>
      <c r="I24" s="413"/>
      <c r="J24" s="413"/>
      <c r="K24" s="380"/>
      <c r="L24" s="380"/>
      <c r="M24" s="380"/>
      <c r="N24" s="318">
        <f t="shared" si="19"/>
        <v>0</v>
      </c>
      <c r="O24" s="318">
        <f t="shared" si="20"/>
        <v>0</v>
      </c>
      <c r="P24" s="318">
        <f>IF(Stamoplysninger!$H$29="JA",Marts!DG24,CX24)</f>
        <v>0</v>
      </c>
      <c r="Q24" s="318">
        <f t="shared" si="21"/>
        <v>0</v>
      </c>
      <c r="R24" s="319"/>
      <c r="S24" s="324"/>
      <c r="T24" s="325"/>
      <c r="U24" s="325"/>
      <c r="V24" s="435"/>
      <c r="W24" s="412"/>
      <c r="X24" s="642"/>
      <c r="Y24">
        <f t="shared" si="22"/>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9">
        <f t="shared" si="8"/>
        <v>0</v>
      </c>
      <c r="BC24" s="1">
        <f t="shared" si="24"/>
        <v>0</v>
      </c>
      <c r="BD24" s="1">
        <f t="shared" si="9"/>
        <v>0</v>
      </c>
      <c r="BE24" s="1">
        <f t="shared" si="10"/>
        <v>0</v>
      </c>
      <c r="BF24" s="1">
        <f t="shared" si="11"/>
        <v>0</v>
      </c>
      <c r="BG24" s="210" t="str">
        <f>IF(AND(C24="Skema 1",B24="ma"),Skemaoplysninger!$E$30,"")</f>
        <v/>
      </c>
      <c r="BH24" s="210" t="str">
        <f>IF(AND(C24="Skema 1",B24="ti"),Skemaoplysninger!$G$30,"")</f>
        <v/>
      </c>
      <c r="BI24" s="210" t="str">
        <f>IF(AND(C24="Skema 1",B24="on"),Skemaoplysninger!$I$30,"")</f>
        <v/>
      </c>
      <c r="BJ24" s="210" t="str">
        <f>IF(AND(C24="Skema 1",B24="to"),Skemaoplysninger!$K$30,"")</f>
        <v/>
      </c>
      <c r="BK24" s="210" t="str">
        <f>IF(AND(C24="Skema 1",B24="fr"),Skemaoplysninger!$M$30,"")</f>
        <v/>
      </c>
      <c r="BL24" s="210" t="str">
        <f>IF(AND(C24="Skema 2",B24="ma"),Skemaoplysninger!$S$30,"")</f>
        <v/>
      </c>
      <c r="BM24" s="210" t="str">
        <f>IF(AND(C24="Skema 2",B24="ti"),Skemaoplysninger!$U$30,"")</f>
        <v/>
      </c>
      <c r="BN24" s="210" t="str">
        <f>IF(AND(C24="Skema 2",B24="on"),Skemaoplysninger!$W$30,"")</f>
        <v/>
      </c>
      <c r="BO24" s="210" t="str">
        <f>IF(AND(C24="Skema 2",B24="to"),Skemaoplysninger!$Y$30,"")</f>
        <v/>
      </c>
      <c r="BP24" s="210" t="str">
        <f>IF(AND(C24="Skema 2",B24="fr"),Skemaoplysninger!$AA$30,"")</f>
        <v/>
      </c>
      <c r="BQ24" s="210" t="str">
        <f>IF(AND(C24="Skema 3",B24="ma"),Skemaoplysninger!$AG$30,"")</f>
        <v/>
      </c>
      <c r="BR24" s="210" t="str">
        <f>IF(AND(C24="Skema 3",B24="ti"),Skemaoplysninger!$AI$30,"")</f>
        <v/>
      </c>
      <c r="BS24" s="210" t="str">
        <f>IF(AND(C24="Skema 3",B24="on"),Skemaoplysninger!$AK$30,"")</f>
        <v/>
      </c>
      <c r="BT24" s="210" t="str">
        <f>IF(AND(C24="Skema 3",B24="to"),Skemaoplysninger!$AM$30,"")</f>
        <v/>
      </c>
      <c r="BU24" s="210" t="str">
        <f>IF(AND(C24="Skema 3",B24="fr"),Skemaoplysninger!$AO$30,"")</f>
        <v/>
      </c>
      <c r="BV24" s="210" t="str">
        <f>IF(AND(C24="Skema 4",B24="ma"),Skemaoplysninger!$AU$30,"")</f>
        <v/>
      </c>
      <c r="BW24" s="210" t="str">
        <f>IF(AND(C24="Skema 4",B24="ti"),Skemaoplysninger!$AW$30,"")</f>
        <v/>
      </c>
      <c r="BX24" s="210" t="str">
        <f>IF(AND(C24="Skema 4",B24="on"),Skemaoplysninger!$AY$30,"")</f>
        <v/>
      </c>
      <c r="BY24" s="210" t="str">
        <f>IF(AND(C24="Skema 4",B24="to"),Skemaoplysninger!$BA$30,"")</f>
        <v/>
      </c>
      <c r="BZ24" s="210" t="str">
        <f>IF(AND(C24="Skema 4",B24="fr"),Skemaoplysninger!$BC$30,"")</f>
        <v/>
      </c>
      <c r="CA24" s="1">
        <f t="shared" si="25"/>
        <v>0</v>
      </c>
      <c r="CB24" s="1">
        <f t="shared" si="12"/>
        <v>0</v>
      </c>
      <c r="CC24" s="1">
        <f t="shared" si="13"/>
        <v>0</v>
      </c>
      <c r="CD24" s="210" t="str">
        <f>IF(AND(C24="Skema 1",B24="ma"),Skemaoplysninger!$E$31,"")</f>
        <v/>
      </c>
      <c r="CE24" s="210" t="str">
        <f>IF(AND(C24="Skema 1",B24="ti"),Skemaoplysninger!$G$31,"")</f>
        <v/>
      </c>
      <c r="CF24" s="210" t="str">
        <f>IF(AND(C24="Skema 1",B24="on"),Skemaoplysninger!$I$31,"")</f>
        <v/>
      </c>
      <c r="CG24" s="210" t="str">
        <f>IF(AND(C24="Skema 1",B24="to"),Skemaoplysninger!$K$31,"")</f>
        <v/>
      </c>
      <c r="CH24" s="210" t="str">
        <f>IF(AND(C24="Skema 1",B24="fr"),Skemaoplysninger!$M$31,"")</f>
        <v/>
      </c>
      <c r="CI24" s="210" t="str">
        <f>IF(AND(C24="Skema 2",B24="ma"),Skemaoplysninger!$S$31,"")</f>
        <v/>
      </c>
      <c r="CJ24" s="210" t="str">
        <f>IF(AND(C24="Skema 2",B24="ti"),Skemaoplysninger!$U$31,"")</f>
        <v/>
      </c>
      <c r="CK24" s="210" t="str">
        <f>IF(AND(C24="Skema 2",B24="on"),Skemaoplysninger!$W$31,"")</f>
        <v/>
      </c>
      <c r="CL24" s="210" t="str">
        <f>IF(AND(C24="Skema 2",B24="to"),Skemaoplysninger!$Y$31,"")</f>
        <v/>
      </c>
      <c r="CM24" s="210" t="str">
        <f>IF(AND(C24="Skema 2",B24="fr"),Skemaoplysninger!$AA$31,"")</f>
        <v/>
      </c>
      <c r="CN24" s="210" t="str">
        <f>IF(AND(C24="Skema 3",B24="ma"),Skemaoplysninger!$AG$31,"")</f>
        <v/>
      </c>
      <c r="CO24" s="210" t="str">
        <f>IF(AND(C24="Skema 3",B24="ti"),Skemaoplysninger!$AI$31,"")</f>
        <v/>
      </c>
      <c r="CP24" s="210" t="str">
        <f>IF(AND(C24="Skema 3",B24="on"),Skemaoplysninger!$AK$31,"")</f>
        <v/>
      </c>
      <c r="CQ24" s="210" t="str">
        <f>IF(AND(C24="Skema 3",B24="to"),Skemaoplysninger!$AM$31,"")</f>
        <v/>
      </c>
      <c r="CR24" s="210" t="str">
        <f>IF(AND(C24="Skema 3",B24="fr"),Skemaoplysninger!$AO$31,"")</f>
        <v/>
      </c>
      <c r="CS24" s="210" t="str">
        <f>IF(AND(C24="Skema 4",B24="ma"),Skemaoplysninger!$AU$31,"")</f>
        <v/>
      </c>
      <c r="CT24" s="210" t="str">
        <f>IF(AND(C24="Skema 4",B24="ti"),Skemaoplysninger!$AW$31,"")</f>
        <v/>
      </c>
      <c r="CU24" s="210" t="str">
        <f>IF(AND(C24="Skema 4",B24="on"),Skemaoplysninger!$AY$31,"")</f>
        <v/>
      </c>
      <c r="CV24" s="210" t="str">
        <f>IF(AND(C24="Skema 4",B24="to"),Skemaoplysninger!$BA$31,"")</f>
        <v/>
      </c>
      <c r="CW24" s="210" t="str">
        <f>IF(AND(C24="Skema 4",B24="fr"),Skemaoplysninger!$BC$31,"")</f>
        <v/>
      </c>
      <c r="CX24" s="249">
        <f>IF(Stamoplysninger!$H$29="NEJ",SUM(CD24:CW24)*24+CB24+CC24,0)</f>
        <v>0</v>
      </c>
      <c r="CY24" s="249">
        <f>IF(C24="Skema 1",Stamoplysninger!$H$30/200,0)</f>
        <v>0</v>
      </c>
      <c r="CZ24" s="249">
        <f>IF(C24="Skema 2",Stamoplysninger!$H$30/200,0)</f>
        <v>0</v>
      </c>
      <c r="DA24" s="249">
        <f>IF(C24="Skema 3",Stamoplysninger!$H$30/200,0)</f>
        <v>0</v>
      </c>
      <c r="DB24" s="249">
        <f>IF(C24="Skema 4",Stamoplysninger!$H$30/200,0)</f>
        <v>0</v>
      </c>
      <c r="DC24" s="249">
        <f>IF(C24="fagdag",Stamoplysninger!$H$30/200,0)</f>
        <v>0</v>
      </c>
      <c r="DD24" s="249">
        <f>IF(C24="emnedag",Stamoplysninger!$H$30/200,0)</f>
        <v>0</v>
      </c>
      <c r="DE24" s="249">
        <f>IF(C24="lejrskole",Stamoplysninger!$H$30/200,0)</f>
        <v>0</v>
      </c>
      <c r="DF24" s="249">
        <f>IF(C24="ekskursion",Stamoplysninger!$H$30/200,0)</f>
        <v>0</v>
      </c>
      <c r="DG24" s="249">
        <f t="shared" si="26"/>
        <v>0</v>
      </c>
      <c r="DH24" t="str">
        <f t="shared" si="27"/>
        <v/>
      </c>
      <c r="DI24">
        <f t="shared" si="28"/>
        <v>0</v>
      </c>
      <c r="DJ24">
        <f t="shared" si="29"/>
        <v>0</v>
      </c>
      <c r="DK24" t="str">
        <f t="shared" si="14"/>
        <v/>
      </c>
      <c r="DL24" t="str">
        <f t="shared" si="14"/>
        <v/>
      </c>
      <c r="DM24" t="str">
        <f t="shared" si="14"/>
        <v/>
      </c>
      <c r="DN24" t="str">
        <f t="shared" si="30"/>
        <v/>
      </c>
      <c r="DO24" s="652">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71">
        <f>IF(AND(Stamoplysninger!$B$22="Ulempetillæg udbetales med 25% af nettotimelønnen.",C24="ikke relevant"),(R24)/4,0)</f>
        <v>0</v>
      </c>
      <c r="DT24" s="671">
        <f>IF(AND(AND(Stamoplysninger!$B$22="Ulempetillæg udbetales med 25% af nettotimelønnen.",I24="X",C24="Ikke relevant")),K24/4,0)</f>
        <v>0</v>
      </c>
      <c r="DU24" s="671">
        <f>IF(AND(AND(Stamoplysninger!$B$22="Ulempetillæg udbetales med 25% af nettotimelønnen.",C24="ikke relevant",U24="X")),(X24/4),0)</f>
        <v>0</v>
      </c>
      <c r="DV24" s="672">
        <f>IF(AND(AND(AND(Stamoplysninger!$B$22="Ulempetillæg udbetales med 25% af nettotimelønnen.",I24="X",C24="Ikke relevant",S24="X"))),V24/4,0)</f>
        <v>0</v>
      </c>
      <c r="DW24" s="652"/>
      <c r="DZ24" s="671"/>
      <c r="EA24" s="671"/>
      <c r="EB24" s="672"/>
      <c r="EC24" s="652">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71">
        <f>IF(AND(Stamoplysninger!$B$22="Ulempetillæg afspadseres med 25%(Kræver en aftale imellem ledelsen og den ansatte)",C24="ikke relevant"),(R24)/4,0)</f>
        <v>0</v>
      </c>
      <c r="EH24" s="671">
        <f>IF(AND(AND(Stamoplysninger!$B$22="Ulempetillæg afspadseres med 25%(Kræver en aftale imellem ledelsen og den ansatte)",I24="X",C24="Ikke relevant")),K24/4,0)</f>
        <v>0</v>
      </c>
      <c r="EI24" s="671">
        <f>IF(AND(AND(Stamoplysninger!$B$22="Ulempetillæg afspadseres med 25%(Kræver en aftale imellem ledelsen og den ansatte)",U24="X",C24="Ikke relevant")),X24/4,0)</f>
        <v>0</v>
      </c>
      <c r="EJ24" s="671">
        <f>IF(AND(AND(AND(Stamoplysninger!$B$22="Ulempetillæg afspadseres med 25%(Kræver en aftale imellem ledelsen og den ansatte)",I24="X",C24="Ikke relevant",S24="X"))),V24/4,0)</f>
        <v>0</v>
      </c>
      <c r="EK24" s="283">
        <f>IF(AND(Stamoplysninger!$B$26="Weekendtimer og weekendtillæg afspadseres.",I24="X"),K24*1.5,0)</f>
        <v>0</v>
      </c>
      <c r="EL24" s="251">
        <f>IF(AND(AND(Stamoplysninger!$B$26="Weekendtimer og weekendtillæg afspadseres.",I24="X",S24="X")),V24*1.5,0)</f>
        <v>0</v>
      </c>
      <c r="EM24" s="674">
        <f>IF(AND(AND(Stamoplysninger!$B$26="Weekendtimer og weekendtillæg afspadseres.",I24="X",C24="ikke relevant")),K24*1.5,0)</f>
        <v>0</v>
      </c>
      <c r="EN24" s="675">
        <f>IF(AND(AND(AND(Stamoplysninger!$B$26="Weekendtimer og weekendtillæg afspadseres.",I24="X",C24="ikke relevant",S24="X"))),(V24*1.5),0)</f>
        <v>0</v>
      </c>
      <c r="EO24" s="283">
        <f>IF(AND(Stamoplysninger!$B$26="Weekendtimer og weekendtillæg udbetales.",I24="X"),K24*1.5,0)</f>
        <v>0</v>
      </c>
      <c r="EP24" s="251">
        <f>IF(AND(AND(Stamoplysninger!$B$26="Weekendtimer og weekendtillæg udbetales.",I24="X",S24="X")),V24*1.5,0)</f>
        <v>0</v>
      </c>
      <c r="EQ24" s="674">
        <f>IF(AND(AND(Stamoplysninger!$B$26="Weekendtimer og weekendtillæg udbetales.",I24="X",C24="ikke relevant")),K24*1.5,0)</f>
        <v>0</v>
      </c>
      <c r="ER24" s="675">
        <f>IF(AND(AND(AND(Stamoplysninger!$B$26="Weekendtimer og weekendtillæg udbetales.",I24="X",C24="ikke relevant",S24="X"))),(V24*1.5),0)</f>
        <v>0</v>
      </c>
      <c r="ES24" s="283">
        <f>IF(AND(Stamoplysninger!$B$26="Der er indgået lokalaftale omkring weekendtimer.(Kræver aftale med TR/FSL) Weekendtillæg afspadseres.",I24="X"),K24*0.5,0)</f>
        <v>0</v>
      </c>
      <c r="ET24" s="251">
        <f>IF(AND(AND(Stamoplysninger!$B$26="Der er indgået lokalaftale omkring weekendtimer.(Kræver aftale med TR/FSL) Weekendtillæg afspadseres.",I24="X",S24="X")),V24*0.5,0)</f>
        <v>0</v>
      </c>
      <c r="EU24" s="674">
        <f>IF(AND(AND(Stamoplysninger!$B$26="Der er indgået lokalaftale omkring weekendtimer.(Kræver aftale med TR/FSL) Weekendtillæg afspadseres.",I24="X",C24="ikke relevant")),K24*0.5,0)</f>
        <v>0</v>
      </c>
      <c r="EV24" s="675">
        <f>IF(AND(AND(AND(Stamoplysninger!$B$26="Der er indgået lokalaftale omkring weekendtimer.(Kræver aftale med TR/FSL) Weekendtillæg afspadseres.",I24="X",C24="ikke relevant",S24="X"))),(V24*0.5),0)</f>
        <v>0</v>
      </c>
      <c r="EW24" s="283">
        <f>IF(AND(Stamoplysninger!$B$26="Der er indgået lokalaftale omkring weekendtimer(Kræver aftale med TR/FSL). Weekendtillæg udbetales.",I24="X"),K24*0.5,0)</f>
        <v>0</v>
      </c>
      <c r="EX24" s="251">
        <f>IF(AND(AND(Stamoplysninger!$B$26="Der er indgået lokalaftale omkring weekendtimer(Kræver aftale med TR/FSL). Weekendtillæg udbetales.",I24="X",S24="X")),V24*0.5,0)</f>
        <v>0</v>
      </c>
      <c r="EY24" s="674">
        <f>IF(AND(AND(Stamoplysninger!$B$26="Der er indgået lokalaftale omkring weekendtimer(Kræver aftale med TR/FSL). Weekendtillæg udbetales.",I24="X",C24="ikke relevant")),K24*0.5,0)</f>
        <v>0</v>
      </c>
      <c r="EZ24" s="675">
        <f>IF(AND(AND(AND(Stamoplysninger!$B$26="Der er indgået lokalaftale omkring weekendtimer(Kræver aftale med TR/FSL). Weekendtillæg udbetales.",I24="X",C24="ikke relevant",S24="X"))),(V24*0.5),0)</f>
        <v>0</v>
      </c>
      <c r="FA24" s="283">
        <f>IF(AND(Stamoplysninger!$B$26="Der er indgået lokalaftale omkring weekendtillæg(Kræver aftale med TR/FSL). Weekendtimerne afspadseres.",I24="X"),K24,0)</f>
        <v>0</v>
      </c>
      <c r="FB24" s="251">
        <f>IF(AND(AND(Stamoplysninger!$B$26="Der er indgået lokalaftale omkring weekendtillæg(Kræver aftale med TR/FSL). Weekendtimerne afspadseres.",I24="X",S24="X")),V24,0)</f>
        <v>0</v>
      </c>
      <c r="FC24" s="674">
        <f>IF(AND(AND(Stamoplysninger!$B$26="Der er indgået lokalaftale omkring weekendtillæg(Kræver aftale med TR/FSL). Weekendtimerne afspadseres..",I24="X",C24="ikke relevant")),K24,0)</f>
        <v>0</v>
      </c>
      <c r="FD24" s="675">
        <f>IF(AND(AND(AND(Stamoplysninger!$B$26="Der er indgået lokalaftale omkring weekendtillæg(Kræver aftale med TR/FSL). Weekendtimerne afspadseres.",I24="X",C24="ikke relevant",S24="X"))),(V24),0)</f>
        <v>0</v>
      </c>
      <c r="FE24" s="283">
        <f>IF(AND(Stamoplysninger!$B$26="Der er indgået lokalaftale omkring weekendtillæg(Kræver aftale med TR/FSL). Weekendtimerne udbetales.",I24="X"),K24,0)</f>
        <v>0</v>
      </c>
      <c r="FF24" s="251">
        <f>IF(AND(AND(Stamoplysninger!$B$26="Der er indgået lokalaftale omkring weekendtillæg(Kræver aftale med TR/FSL). Weekendtimerne udbetales.",I24="X",S24="X")),V24,0)</f>
        <v>0</v>
      </c>
      <c r="FG24" s="674">
        <f>IF(AND(AND(Stamoplysninger!$B$26="Der er indgået lokalaftale omkring weekendtillæg(Kræver aftale med TR/FSL). Weekendtimerne udbetales.",I24="X",C24="ikke relevant")),K24,0)</f>
        <v>0</v>
      </c>
      <c r="FH24" s="675">
        <f>IF(AND(AND(AND(Stamoplysninger!$B$26="Der er indgået lokalaftale omkring weekendtillæg(Kræver aftale med TR/FSL). Weekendtimerne udbetales.",I24="X",C24="ikke relevant",S24="X"))),(V24),0)</f>
        <v>0</v>
      </c>
      <c r="FI24" s="283">
        <f>IF(AND(Stamoplysninger!$B$26="Weekendtimer og weekendtillæg afspadseres.",I24="X"),K24,0)</f>
        <v>0</v>
      </c>
      <c r="FJ24" s="251">
        <f>IF(AND(Stamoplysninger!$B$26="Weekendtimer og weekendtillæg afspadseres.",Y24="X"),(AA24+AL24)/2,0)</f>
        <v>0</v>
      </c>
      <c r="FK24" s="674">
        <f>IF(AND(AND(Stamoplysninger!$B$26="Weekendtimer og weekendtillæg afspadseres.",I24="X",C24="ikke relevant")),K24,0)</f>
        <v>0</v>
      </c>
      <c r="FL24" s="675">
        <f>IF(AND(AND(Stamoplysninger!$B$26="Weekendtimer og weekendtillæg afspadseres.",Y24="X",S24="ikke relevant")),(AA24+AL24)/2,0)</f>
        <v>0</v>
      </c>
      <c r="FM24" s="283">
        <f>IF(AND(Stamoplysninger!$B$26="Der er indgået lokalaftale omkring weekendtillæg(Kræver aftale med TR/FSL). Weekendtimerne afspadseres.",I24="X"),K24,0)</f>
        <v>0</v>
      </c>
      <c r="FN24" s="674">
        <f>IF(AND(AND(Stamoplysninger!$B$26="Der er indgået lokalaftale omkring weekendtillæg(Kræver aftale med TR/FSL). Weekendtimerne afspadseres.",I24="X",C24="ikke relevant")),K24,0)</f>
        <v>0</v>
      </c>
      <c r="FO24" s="283">
        <f>IF(AND(Stamoplysninger!$B$26="Weekendtimer og weekendtillæg udbetales.",I24="X"),K24,0)</f>
        <v>0</v>
      </c>
      <c r="FP24" s="251">
        <f>IF(AND(Stamoplysninger!$B$26="Weekendtimer og weekendtillæg udbetales.",AA24="X"),(AC24+AN24)/2,0)</f>
        <v>0</v>
      </c>
      <c r="FQ24" s="674">
        <f>IF(AND(AND(Stamoplysninger!$B$26="Weekendtimer og weekendtillæg udbetales.",I24="X",C24="ikke relevant")),K24,0)</f>
        <v>0</v>
      </c>
      <c r="FR24" s="688">
        <f>IF(AND(AND(Stamoplysninger!$B$26="Weekendtimer og weekendtillæg udbetales.",AA24="X",U24="ikke relevant")),(AC24+AN24)/2,0)</f>
        <v>0</v>
      </c>
      <c r="FS24" s="283">
        <f t="shared" si="15"/>
        <v>0</v>
      </c>
      <c r="FT24" s="658">
        <f t="shared" si="16"/>
        <v>0</v>
      </c>
      <c r="FU24">
        <f t="shared" si="17"/>
        <v>0</v>
      </c>
      <c r="FV24" s="283">
        <f>IF(AND(Stamoplysninger!$B$26="Der er indgået lokalaftale omkring weekendtimer.(Kræver aftale med TR/FSL) Weekendtillæg afspadseres.",I24="X"),K24,0)</f>
        <v>0</v>
      </c>
      <c r="FW24" s="674">
        <f>IF(AND(AND(Stamoplysninger!$B$26="Der er indgået lokalaftale omkring weekendtimer.(Kræver aftale med TR/FSL) Weekendtillæg afspadseres.",I24="X",C24="ikke relevant")),K24,0)</f>
        <v>0</v>
      </c>
      <c r="FX24" s="283">
        <f>IF(AND(Stamoplysninger!$B$26="Der er indgået lokalaftale omkring weekendtimer(Kræver aftale med TR/FSL). Weekendtillæg udbetales.",I24="X"),K24,0)</f>
        <v>0</v>
      </c>
      <c r="FY24" s="674">
        <f>IF(AND(AND(Stamoplysninger!$B$26="Der er indgået lokalaftale omkring weekendtimer(Kræver aftale med TR/FSL). Weekendtillæg udbetales.",I24="X",C24="ikke relevant")),K24,0)</f>
        <v>0</v>
      </c>
      <c r="FZ24" s="283">
        <f>IF(AND(Stamoplysninger!$B$26="Der er indgået lokalaftale omkring weekendtillæg(Kræver aftale med TR/FSL). Weekendtimerne udbetales.",I24="X"),K24,0)</f>
        <v>0</v>
      </c>
      <c r="GA24" s="674">
        <f>IF(AND(AND(Stamoplysninger!$B$26="Der er indgået lokalaftale omkring weekendtillæg(Kræver aftale med TR/FSL). Weekendtimerne udbetales.",I24="X",C24="ikke relevant")),K24,0)</f>
        <v>0</v>
      </c>
      <c r="GB24" s="283">
        <f>IF(AND(Stamoplysninger!$B$26="Der er indgået lokalaftale omkring weekendtimer og weekendtillæg.(Kræver aftale med TR/FSL).",I24="X"),K24,0)</f>
        <v>0</v>
      </c>
      <c r="GC24" s="674">
        <f>IF(AND(AND(Stamoplysninger!$B$26="Der er indgået lokalaftale omkring weekendtimer og weekendtillæg.(Kræver aftale med TR/FSL).",I24="X",C24="ikke relevant")),K24,0)</f>
        <v>0</v>
      </c>
    </row>
    <row r="25" spans="1:185">
      <c r="A25" s="245">
        <f t="shared" si="18"/>
        <v>17</v>
      </c>
      <c r="B25" s="128" t="str">
        <f t="shared" si="0"/>
        <v>ma</v>
      </c>
      <c r="C25" s="129" t="s">
        <v>207</v>
      </c>
      <c r="D25" s="130">
        <f t="shared" si="1"/>
        <v>11.714285714285714</v>
      </c>
      <c r="E25" s="917"/>
      <c r="F25" s="918"/>
      <c r="G25" s="919"/>
      <c r="H25" s="298"/>
      <c r="I25" s="527"/>
      <c r="J25" s="413"/>
      <c r="K25" s="380"/>
      <c r="L25" s="380"/>
      <c r="M25" s="380"/>
      <c r="N25" s="318">
        <f t="shared" si="19"/>
        <v>7.75</v>
      </c>
      <c r="O25" s="318">
        <f t="shared" si="20"/>
        <v>3.4999999999999996</v>
      </c>
      <c r="P25" s="318">
        <f>IF(Stamoplysninger!$H$29="JA",Marts!DG25,CX25)</f>
        <v>1</v>
      </c>
      <c r="Q25" s="318">
        <f t="shared" si="21"/>
        <v>3.25</v>
      </c>
      <c r="R25" s="319"/>
      <c r="S25" s="324"/>
      <c r="T25" s="325"/>
      <c r="U25" s="325"/>
      <c r="V25" s="435"/>
      <c r="W25" s="412"/>
      <c r="X25" s="642"/>
      <c r="Y25">
        <f t="shared" si="22"/>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f>IF(AND(C25="Skema 2",B25="ma"),Arbejdstidsoversigt!$E$81,"")</f>
        <v>7.75</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7.75</v>
      </c>
      <c r="BB25" s="229">
        <f t="shared" si="8"/>
        <v>0</v>
      </c>
      <c r="BC25" s="1">
        <f t="shared" si="24"/>
        <v>0</v>
      </c>
      <c r="BD25" s="1">
        <f t="shared" si="9"/>
        <v>0</v>
      </c>
      <c r="BE25" s="1">
        <f t="shared" si="10"/>
        <v>0</v>
      </c>
      <c r="BF25" s="1">
        <f t="shared" si="11"/>
        <v>0</v>
      </c>
      <c r="BG25" s="210" t="str">
        <f>IF(AND(C25="Skema 1",B25="ma"),Skemaoplysninger!$E$30,"")</f>
        <v/>
      </c>
      <c r="BH25" s="210" t="str">
        <f>IF(AND(C25="Skema 1",B25="ti"),Skemaoplysninger!$G$30,"")</f>
        <v/>
      </c>
      <c r="BI25" s="210" t="str">
        <f>IF(AND(C25="Skema 1",B25="on"),Skemaoplysninger!$I$30,"")</f>
        <v/>
      </c>
      <c r="BJ25" s="210" t="str">
        <f>IF(AND(C25="Skema 1",B25="to"),Skemaoplysninger!$K$30,"")</f>
        <v/>
      </c>
      <c r="BK25" s="210" t="str">
        <f>IF(AND(C25="Skema 1",B25="fr"),Skemaoplysninger!$M$30,"")</f>
        <v/>
      </c>
      <c r="BL25" s="210">
        <f>IF(AND(C25="Skema 2",B25="ma"),Skemaoplysninger!$S$30,"")</f>
        <v>0.14583333333333331</v>
      </c>
      <c r="BM25" s="210" t="str">
        <f>IF(AND(C25="Skema 2",B25="ti"),Skemaoplysninger!$U$30,"")</f>
        <v/>
      </c>
      <c r="BN25" s="210" t="str">
        <f>IF(AND(C25="Skema 2",B25="on"),Skemaoplysninger!$W$30,"")</f>
        <v/>
      </c>
      <c r="BO25" s="210" t="str">
        <f>IF(AND(C25="Skema 2",B25="to"),Skemaoplysninger!$Y$30,"")</f>
        <v/>
      </c>
      <c r="BP25" s="210" t="str">
        <f>IF(AND(C25="Skema 2",B25="fr"),Skemaoplysninger!$AA$30,"")</f>
        <v/>
      </c>
      <c r="BQ25" s="210" t="str">
        <f>IF(AND(C25="Skema 3",B25="ma"),Skemaoplysninger!$AG$30,"")</f>
        <v/>
      </c>
      <c r="BR25" s="210" t="str">
        <f>IF(AND(C25="Skema 3",B25="ti"),Skemaoplysninger!$AI$30,"")</f>
        <v/>
      </c>
      <c r="BS25" s="210" t="str">
        <f>IF(AND(C25="Skema 3",B25="on"),Skemaoplysninger!$AK$30,"")</f>
        <v/>
      </c>
      <c r="BT25" s="210" t="str">
        <f>IF(AND(C25="Skema 3",B25="to"),Skemaoplysninger!$AM$30,"")</f>
        <v/>
      </c>
      <c r="BU25" s="210" t="str">
        <f>IF(AND(C25="Skema 3",B25="fr"),Skemaoplysninger!$AO$30,"")</f>
        <v/>
      </c>
      <c r="BV25" s="210" t="str">
        <f>IF(AND(C25="Skema 4",B25="ma"),Skemaoplysninger!$AU$30,"")</f>
        <v/>
      </c>
      <c r="BW25" s="210" t="str">
        <f>IF(AND(C25="Skema 4",B25="ti"),Skemaoplysninger!$AW$30,"")</f>
        <v/>
      </c>
      <c r="BX25" s="210" t="str">
        <f>IF(AND(C25="Skema 4",B25="on"),Skemaoplysninger!$AY$30,"")</f>
        <v/>
      </c>
      <c r="BY25" s="210" t="str">
        <f>IF(AND(C25="Skema 4",B25="to"),Skemaoplysninger!$BA$30,"")</f>
        <v/>
      </c>
      <c r="BZ25" s="210" t="str">
        <f>IF(AND(C25="Skema 4",B25="fr"),Skemaoplysninger!$BC$30,"")</f>
        <v/>
      </c>
      <c r="CA25" s="1">
        <f t="shared" si="25"/>
        <v>3.4999999999999996</v>
      </c>
      <c r="CB25" s="1">
        <f t="shared" si="12"/>
        <v>0</v>
      </c>
      <c r="CC25" s="1">
        <f t="shared" si="13"/>
        <v>0</v>
      </c>
      <c r="CD25" s="210" t="str">
        <f>IF(AND(C25="Skema 1",B25="ma"),Skemaoplysninger!$E$31,"")</f>
        <v/>
      </c>
      <c r="CE25" s="210" t="str">
        <f>IF(AND(C25="Skema 1",B25="ti"),Skemaoplysninger!$G$31,"")</f>
        <v/>
      </c>
      <c r="CF25" s="210" t="str">
        <f>IF(AND(C25="Skema 1",B25="on"),Skemaoplysninger!$I$31,"")</f>
        <v/>
      </c>
      <c r="CG25" s="210" t="str">
        <f>IF(AND(C25="Skema 1",B25="to"),Skemaoplysninger!$K$31,"")</f>
        <v/>
      </c>
      <c r="CH25" s="210" t="str">
        <f>IF(AND(C25="Skema 1",B25="fr"),Skemaoplysninger!$M$31,"")</f>
        <v/>
      </c>
      <c r="CI25" s="210">
        <f>IF(AND(C25="Skema 2",B25="ma"),Skemaoplysninger!$S$31,"")</f>
        <v>4.1666666666666671E-2</v>
      </c>
      <c r="CJ25" s="210" t="str">
        <f>IF(AND(C25="Skema 2",B25="ti"),Skemaoplysninger!$U$31,"")</f>
        <v/>
      </c>
      <c r="CK25" s="210" t="str">
        <f>IF(AND(C25="Skema 2",B25="on"),Skemaoplysninger!$W$31,"")</f>
        <v/>
      </c>
      <c r="CL25" s="210" t="str">
        <f>IF(AND(C25="Skema 2",B25="to"),Skemaoplysninger!$Y$31,"")</f>
        <v/>
      </c>
      <c r="CM25" s="210" t="str">
        <f>IF(AND(C25="Skema 2",B25="fr"),Skemaoplysninger!$AA$31,"")</f>
        <v/>
      </c>
      <c r="CN25" s="210" t="str">
        <f>IF(AND(C25="Skema 3",B25="ma"),Skemaoplysninger!$AG$31,"")</f>
        <v/>
      </c>
      <c r="CO25" s="210" t="str">
        <f>IF(AND(C25="Skema 3",B25="ti"),Skemaoplysninger!$AI$31,"")</f>
        <v/>
      </c>
      <c r="CP25" s="210" t="str">
        <f>IF(AND(C25="Skema 3",B25="on"),Skemaoplysninger!$AK$31,"")</f>
        <v/>
      </c>
      <c r="CQ25" s="210" t="str">
        <f>IF(AND(C25="Skema 3",B25="to"),Skemaoplysninger!$AM$31,"")</f>
        <v/>
      </c>
      <c r="CR25" s="210" t="str">
        <f>IF(AND(C25="Skema 3",B25="fr"),Skemaoplysninger!$AO$31,"")</f>
        <v/>
      </c>
      <c r="CS25" s="210" t="str">
        <f>IF(AND(C25="Skema 4",B25="ma"),Skemaoplysninger!$AU$31,"")</f>
        <v/>
      </c>
      <c r="CT25" s="210" t="str">
        <f>IF(AND(C25="Skema 4",B25="ti"),Skemaoplysninger!$AW$31,"")</f>
        <v/>
      </c>
      <c r="CU25" s="210" t="str">
        <f>IF(AND(C25="Skema 4",B25="on"),Skemaoplysninger!$AY$31,"")</f>
        <v/>
      </c>
      <c r="CV25" s="210" t="str">
        <f>IF(AND(C25="Skema 4",B25="to"),Skemaoplysninger!$BA$31,"")</f>
        <v/>
      </c>
      <c r="CW25" s="210" t="str">
        <f>IF(AND(C25="Skema 4",B25="fr"),Skemaoplysninger!$BC$31,"")</f>
        <v/>
      </c>
      <c r="CX25" s="249">
        <f>IF(Stamoplysninger!$H$29="NEJ",SUM(CD25:CW25)*24+CB25+CC25,0)</f>
        <v>1</v>
      </c>
      <c r="CY25" s="249">
        <f>IF(C25="Skema 1",Stamoplysninger!$H$30/200,0)</f>
        <v>0</v>
      </c>
      <c r="CZ25" s="249">
        <f>IF(C25="Skema 2",Stamoplysninger!$H$30/200,0)</f>
        <v>0</v>
      </c>
      <c r="DA25" s="249">
        <f>IF(C25="Skema 3",Stamoplysninger!$H$30/200,0)</f>
        <v>0</v>
      </c>
      <c r="DB25" s="249">
        <f>IF(C25="Skema 4",Stamoplysninger!$H$30/200,0)</f>
        <v>0</v>
      </c>
      <c r="DC25" s="249">
        <f>IF(C25="fagdag",Stamoplysninger!$H$30/200,0)</f>
        <v>0</v>
      </c>
      <c r="DD25" s="249">
        <f>IF(C25="emnedag",Stamoplysninger!$H$30/200,0)</f>
        <v>0</v>
      </c>
      <c r="DE25" s="249">
        <f>IF(C25="lejrskole",Stamoplysninger!$H$30/200,0)</f>
        <v>0</v>
      </c>
      <c r="DF25" s="249">
        <f>IF(C25="ekskursion",Stamoplysninger!$H$30/200,0)</f>
        <v>0</v>
      </c>
      <c r="DG25" s="249">
        <f t="shared" si="26"/>
        <v>0</v>
      </c>
      <c r="DH25" t="str">
        <f t="shared" si="27"/>
        <v/>
      </c>
      <c r="DI25">
        <f t="shared" si="28"/>
        <v>0</v>
      </c>
      <c r="DJ25">
        <f t="shared" si="29"/>
        <v>0</v>
      </c>
      <c r="DK25" t="str">
        <f t="shared" si="14"/>
        <v/>
      </c>
      <c r="DL25" t="str">
        <f t="shared" si="14"/>
        <v/>
      </c>
      <c r="DM25" t="str">
        <f t="shared" si="14"/>
        <v/>
      </c>
      <c r="DN25" t="str">
        <f t="shared" si="30"/>
        <v/>
      </c>
      <c r="DO25" s="652">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71">
        <f>IF(AND(Stamoplysninger!$B$22="Ulempetillæg udbetales med 25% af nettotimelønnen.",C25="ikke relevant"),(R25)/4,0)</f>
        <v>0</v>
      </c>
      <c r="DT25" s="671">
        <f>IF(AND(AND(Stamoplysninger!$B$22="Ulempetillæg udbetales med 25% af nettotimelønnen.",I25="X",C25="Ikke relevant")),K25/4,0)</f>
        <v>0</v>
      </c>
      <c r="DU25" s="671">
        <f>IF(AND(AND(Stamoplysninger!$B$22="Ulempetillæg udbetales med 25% af nettotimelønnen.",C25="ikke relevant",U25="X")),(X25/4),0)</f>
        <v>0</v>
      </c>
      <c r="DV25" s="672">
        <f>IF(AND(AND(AND(Stamoplysninger!$B$22="Ulempetillæg udbetales med 25% af nettotimelønnen.",I25="X",C25="Ikke relevant",S25="X"))),V25/4,0)</f>
        <v>0</v>
      </c>
      <c r="DW25" s="652"/>
      <c r="DZ25" s="671"/>
      <c r="EA25" s="671"/>
      <c r="EB25" s="672"/>
      <c r="EC25" s="652">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71">
        <f>IF(AND(Stamoplysninger!$B$22="Ulempetillæg afspadseres med 25%(Kræver en aftale imellem ledelsen og den ansatte)",C25="ikke relevant"),(R25)/4,0)</f>
        <v>0</v>
      </c>
      <c r="EH25" s="671">
        <f>IF(AND(AND(Stamoplysninger!$B$22="Ulempetillæg afspadseres med 25%(Kræver en aftale imellem ledelsen og den ansatte)",I25="X",C25="Ikke relevant")),K25/4,0)</f>
        <v>0</v>
      </c>
      <c r="EI25" s="671">
        <f>IF(AND(AND(Stamoplysninger!$B$22="Ulempetillæg afspadseres med 25%(Kræver en aftale imellem ledelsen og den ansatte)",U25="X",C25="Ikke relevant")),X25/4,0)</f>
        <v>0</v>
      </c>
      <c r="EJ25" s="671">
        <f>IF(AND(AND(AND(Stamoplysninger!$B$22="Ulempetillæg afspadseres med 25%(Kræver en aftale imellem ledelsen og den ansatte)",I25="X",C25="Ikke relevant",S25="X"))),V25/4,0)</f>
        <v>0</v>
      </c>
      <c r="EK25" s="283">
        <f>IF(AND(Stamoplysninger!$B$26="Weekendtimer og weekendtillæg afspadseres.",I25="X"),K25*1.5,0)</f>
        <v>0</v>
      </c>
      <c r="EL25" s="251">
        <f>IF(AND(AND(Stamoplysninger!$B$26="Weekendtimer og weekendtillæg afspadseres.",I25="X",S25="X")),V25*1.5,0)</f>
        <v>0</v>
      </c>
      <c r="EM25" s="674">
        <f>IF(AND(AND(Stamoplysninger!$B$26="Weekendtimer og weekendtillæg afspadseres.",I25="X",C25="ikke relevant")),K25*1.5,0)</f>
        <v>0</v>
      </c>
      <c r="EN25" s="675">
        <f>IF(AND(AND(AND(Stamoplysninger!$B$26="Weekendtimer og weekendtillæg afspadseres.",I25="X",C25="ikke relevant",S25="X"))),(V25*1.5),0)</f>
        <v>0</v>
      </c>
      <c r="EO25" s="283">
        <f>IF(AND(Stamoplysninger!$B$26="Weekendtimer og weekendtillæg udbetales.",I25="X"),K25*1.5,0)</f>
        <v>0</v>
      </c>
      <c r="EP25" s="251">
        <f>IF(AND(AND(Stamoplysninger!$B$26="Weekendtimer og weekendtillæg udbetales.",I25="X",S25="X")),V25*1.5,0)</f>
        <v>0</v>
      </c>
      <c r="EQ25" s="674">
        <f>IF(AND(AND(Stamoplysninger!$B$26="Weekendtimer og weekendtillæg udbetales.",I25="X",C25="ikke relevant")),K25*1.5,0)</f>
        <v>0</v>
      </c>
      <c r="ER25" s="675">
        <f>IF(AND(AND(AND(Stamoplysninger!$B$26="Weekendtimer og weekendtillæg udbetales.",I25="X",C25="ikke relevant",S25="X"))),(V25*1.5),0)</f>
        <v>0</v>
      </c>
      <c r="ES25" s="283">
        <f>IF(AND(Stamoplysninger!$B$26="Der er indgået lokalaftale omkring weekendtimer.(Kræver aftale med TR/FSL) Weekendtillæg afspadseres.",I25="X"),K25*0.5,0)</f>
        <v>0</v>
      </c>
      <c r="ET25" s="251">
        <f>IF(AND(AND(Stamoplysninger!$B$26="Der er indgået lokalaftale omkring weekendtimer.(Kræver aftale med TR/FSL) Weekendtillæg afspadseres.",I25="X",S25="X")),V25*0.5,0)</f>
        <v>0</v>
      </c>
      <c r="EU25" s="674">
        <f>IF(AND(AND(Stamoplysninger!$B$26="Der er indgået lokalaftale omkring weekendtimer.(Kræver aftale med TR/FSL) Weekendtillæg afspadseres.",I25="X",C25="ikke relevant")),K25*0.5,0)</f>
        <v>0</v>
      </c>
      <c r="EV25" s="675">
        <f>IF(AND(AND(AND(Stamoplysninger!$B$26="Der er indgået lokalaftale omkring weekendtimer.(Kræver aftale med TR/FSL) Weekendtillæg afspadseres.",I25="X",C25="ikke relevant",S25="X"))),(V25*0.5),0)</f>
        <v>0</v>
      </c>
      <c r="EW25" s="283">
        <f>IF(AND(Stamoplysninger!$B$26="Der er indgået lokalaftale omkring weekendtimer(Kræver aftale med TR/FSL). Weekendtillæg udbetales.",I25="X"),K25*0.5,0)</f>
        <v>0</v>
      </c>
      <c r="EX25" s="251">
        <f>IF(AND(AND(Stamoplysninger!$B$26="Der er indgået lokalaftale omkring weekendtimer(Kræver aftale med TR/FSL). Weekendtillæg udbetales.",I25="X",S25="X")),V25*0.5,0)</f>
        <v>0</v>
      </c>
      <c r="EY25" s="674">
        <f>IF(AND(AND(Stamoplysninger!$B$26="Der er indgået lokalaftale omkring weekendtimer(Kræver aftale med TR/FSL). Weekendtillæg udbetales.",I25="X",C25="ikke relevant")),K25*0.5,0)</f>
        <v>0</v>
      </c>
      <c r="EZ25" s="675">
        <f>IF(AND(AND(AND(Stamoplysninger!$B$26="Der er indgået lokalaftale omkring weekendtimer(Kræver aftale med TR/FSL). Weekendtillæg udbetales.",I25="X",C25="ikke relevant",S25="X"))),(V25*0.5),0)</f>
        <v>0</v>
      </c>
      <c r="FA25" s="283">
        <f>IF(AND(Stamoplysninger!$B$26="Der er indgået lokalaftale omkring weekendtillæg(Kræver aftale med TR/FSL). Weekendtimerne afspadseres.",I25="X"),K25,0)</f>
        <v>0</v>
      </c>
      <c r="FB25" s="251">
        <f>IF(AND(AND(Stamoplysninger!$B$26="Der er indgået lokalaftale omkring weekendtillæg(Kræver aftale med TR/FSL). Weekendtimerne afspadseres.",I25="X",S25="X")),V25,0)</f>
        <v>0</v>
      </c>
      <c r="FC25" s="674">
        <f>IF(AND(AND(Stamoplysninger!$B$26="Der er indgået lokalaftale omkring weekendtillæg(Kræver aftale med TR/FSL). Weekendtimerne afspadseres..",I25="X",C25="ikke relevant")),K25,0)</f>
        <v>0</v>
      </c>
      <c r="FD25" s="675">
        <f>IF(AND(AND(AND(Stamoplysninger!$B$26="Der er indgået lokalaftale omkring weekendtillæg(Kræver aftale med TR/FSL). Weekendtimerne afspadseres.",I25="X",C25="ikke relevant",S25="X"))),(V25),0)</f>
        <v>0</v>
      </c>
      <c r="FE25" s="283">
        <f>IF(AND(Stamoplysninger!$B$26="Der er indgået lokalaftale omkring weekendtillæg(Kræver aftale med TR/FSL). Weekendtimerne udbetales.",I25="X"),K25,0)</f>
        <v>0</v>
      </c>
      <c r="FF25" s="251">
        <f>IF(AND(AND(Stamoplysninger!$B$26="Der er indgået lokalaftale omkring weekendtillæg(Kræver aftale med TR/FSL). Weekendtimerne udbetales.",I25="X",S25="X")),V25,0)</f>
        <v>0</v>
      </c>
      <c r="FG25" s="674">
        <f>IF(AND(AND(Stamoplysninger!$B$26="Der er indgået lokalaftale omkring weekendtillæg(Kræver aftale med TR/FSL). Weekendtimerne udbetales.",I25="X",C25="ikke relevant")),K25,0)</f>
        <v>0</v>
      </c>
      <c r="FH25" s="675">
        <f>IF(AND(AND(AND(Stamoplysninger!$B$26="Der er indgået lokalaftale omkring weekendtillæg(Kræver aftale med TR/FSL). Weekendtimerne udbetales.",I25="X",C25="ikke relevant",S25="X"))),(V25),0)</f>
        <v>0</v>
      </c>
      <c r="FI25" s="283">
        <f>IF(AND(Stamoplysninger!$B$26="Weekendtimer og weekendtillæg afspadseres.",I25="X"),K25,0)</f>
        <v>0</v>
      </c>
      <c r="FJ25" s="251">
        <f>IF(AND(Stamoplysninger!$B$26="Weekendtimer og weekendtillæg afspadseres.",Y25="X"),(AA25+AL25)/2,0)</f>
        <v>0</v>
      </c>
      <c r="FK25" s="674">
        <f>IF(AND(AND(Stamoplysninger!$B$26="Weekendtimer og weekendtillæg afspadseres.",I25="X",C25="ikke relevant")),K25,0)</f>
        <v>0</v>
      </c>
      <c r="FL25" s="675">
        <f>IF(AND(AND(Stamoplysninger!$B$26="Weekendtimer og weekendtillæg afspadseres.",Y25="X",S25="ikke relevant")),(AA25+AL25)/2,0)</f>
        <v>0</v>
      </c>
      <c r="FM25" s="283">
        <f>IF(AND(Stamoplysninger!$B$26="Der er indgået lokalaftale omkring weekendtillæg(Kræver aftale med TR/FSL). Weekendtimerne afspadseres.",I25="X"),K25,0)</f>
        <v>0</v>
      </c>
      <c r="FN25" s="674">
        <f>IF(AND(AND(Stamoplysninger!$B$26="Der er indgået lokalaftale omkring weekendtillæg(Kræver aftale med TR/FSL). Weekendtimerne afspadseres.",I25="X",C25="ikke relevant")),K25,0)</f>
        <v>0</v>
      </c>
      <c r="FO25" s="283">
        <f>IF(AND(Stamoplysninger!$B$26="Weekendtimer og weekendtillæg udbetales.",I25="X"),K25,0)</f>
        <v>0</v>
      </c>
      <c r="FP25" s="251">
        <f>IF(AND(Stamoplysninger!$B$26="Weekendtimer og weekendtillæg udbetales.",AA25="X"),(AC25+AN25)/2,0)</f>
        <v>0</v>
      </c>
      <c r="FQ25" s="674">
        <f>IF(AND(AND(Stamoplysninger!$B$26="Weekendtimer og weekendtillæg udbetales.",I25="X",C25="ikke relevant")),K25,0)</f>
        <v>0</v>
      </c>
      <c r="FR25" s="688">
        <f>IF(AND(AND(Stamoplysninger!$B$26="Weekendtimer og weekendtillæg udbetales.",AA25="X",U25="ikke relevant")),(AC25+AN25)/2,0)</f>
        <v>0</v>
      </c>
      <c r="FS25" s="283">
        <f t="shared" si="15"/>
        <v>0</v>
      </c>
      <c r="FT25" s="658">
        <f t="shared" si="16"/>
        <v>0</v>
      </c>
      <c r="FU25">
        <f t="shared" si="17"/>
        <v>0</v>
      </c>
      <c r="FV25" s="283">
        <f>IF(AND(Stamoplysninger!$B$26="Der er indgået lokalaftale omkring weekendtimer.(Kræver aftale med TR/FSL) Weekendtillæg afspadseres.",I25="X"),K25,0)</f>
        <v>0</v>
      </c>
      <c r="FW25" s="674">
        <f>IF(AND(AND(Stamoplysninger!$B$26="Der er indgået lokalaftale omkring weekendtimer.(Kræver aftale med TR/FSL) Weekendtillæg afspadseres.",I25="X",C25="ikke relevant")),K25,0)</f>
        <v>0</v>
      </c>
      <c r="FX25" s="283">
        <f>IF(AND(Stamoplysninger!$B$26="Der er indgået lokalaftale omkring weekendtimer(Kræver aftale med TR/FSL). Weekendtillæg udbetales.",I25="X"),K25,0)</f>
        <v>0</v>
      </c>
      <c r="FY25" s="674">
        <f>IF(AND(AND(Stamoplysninger!$B$26="Der er indgået lokalaftale omkring weekendtimer(Kræver aftale med TR/FSL). Weekendtillæg udbetales.",I25="X",C25="ikke relevant")),K25,0)</f>
        <v>0</v>
      </c>
      <c r="FZ25" s="283">
        <f>IF(AND(Stamoplysninger!$B$26="Der er indgået lokalaftale omkring weekendtillæg(Kræver aftale med TR/FSL). Weekendtimerne udbetales.",I25="X"),K25,0)</f>
        <v>0</v>
      </c>
      <c r="GA25" s="674">
        <f>IF(AND(AND(Stamoplysninger!$B$26="Der er indgået lokalaftale omkring weekendtillæg(Kræver aftale med TR/FSL). Weekendtimerne udbetales.",I25="X",C25="ikke relevant")),K25,0)</f>
        <v>0</v>
      </c>
      <c r="GB25" s="283">
        <f>IF(AND(Stamoplysninger!$B$26="Der er indgået lokalaftale omkring weekendtimer og weekendtillæg.(Kræver aftale med TR/FSL).",I25="X"),K25,0)</f>
        <v>0</v>
      </c>
      <c r="GC25" s="674">
        <f>IF(AND(AND(Stamoplysninger!$B$26="Der er indgået lokalaftale omkring weekendtimer og weekendtillæg.(Kræver aftale med TR/FSL).",I25="X",C25="ikke relevant")),K25,0)</f>
        <v>0</v>
      </c>
    </row>
    <row r="26" spans="1:185">
      <c r="A26" s="245">
        <f t="shared" si="18"/>
        <v>18</v>
      </c>
      <c r="B26" s="128" t="str">
        <f t="shared" si="0"/>
        <v>ti</v>
      </c>
      <c r="C26" s="129" t="s">
        <v>207</v>
      </c>
      <c r="D26" s="130" t="str">
        <f t="shared" si="1"/>
        <v/>
      </c>
      <c r="E26" s="917"/>
      <c r="F26" s="918"/>
      <c r="G26" s="919"/>
      <c r="H26" s="298"/>
      <c r="I26" s="527"/>
      <c r="J26" s="413"/>
      <c r="K26" s="380"/>
      <c r="L26" s="380"/>
      <c r="M26" s="380"/>
      <c r="N26" s="318">
        <f t="shared" si="19"/>
        <v>8.5</v>
      </c>
      <c r="O26" s="318">
        <f t="shared" si="20"/>
        <v>3.75</v>
      </c>
      <c r="P26" s="318">
        <f>IF(Stamoplysninger!$H$29="JA",Marts!DG26,CX26)</f>
        <v>1.5</v>
      </c>
      <c r="Q26" s="318">
        <f t="shared" si="21"/>
        <v>3.25</v>
      </c>
      <c r="R26" s="319"/>
      <c r="S26" s="324"/>
      <c r="T26" s="325"/>
      <c r="U26" s="325"/>
      <c r="V26" s="435"/>
      <c r="W26" s="412"/>
      <c r="X26" s="642"/>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f>IF(AND(C26="Skema 2",B26="ti"),Arbejdstidsoversigt!$E$82,"")</f>
        <v>8.5</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8.5</v>
      </c>
      <c r="BB26" s="229">
        <f t="shared" si="8"/>
        <v>0</v>
      </c>
      <c r="BC26" s="1">
        <f t="shared" si="24"/>
        <v>0</v>
      </c>
      <c r="BD26" s="1">
        <f t="shared" si="9"/>
        <v>0</v>
      </c>
      <c r="BE26" s="1">
        <f t="shared" si="10"/>
        <v>0</v>
      </c>
      <c r="BF26" s="1">
        <f t="shared" si="11"/>
        <v>0</v>
      </c>
      <c r="BG26" s="210" t="str">
        <f>IF(AND(C26="Skema 1",B26="ma"),Skemaoplysninger!$E$30,"")</f>
        <v/>
      </c>
      <c r="BH26" s="210" t="str">
        <f>IF(AND(C26="Skema 1",B26="ti"),Skemaoplysninger!$G$30,"")</f>
        <v/>
      </c>
      <c r="BI26" s="210" t="str">
        <f>IF(AND(C26="Skema 1",B26="on"),Skemaoplysninger!$I$30,"")</f>
        <v/>
      </c>
      <c r="BJ26" s="210" t="str">
        <f>IF(AND(C26="Skema 1",B26="to"),Skemaoplysninger!$K$30,"")</f>
        <v/>
      </c>
      <c r="BK26" s="210" t="str">
        <f>IF(AND(C26="Skema 1",B26="fr"),Skemaoplysninger!$M$30,"")</f>
        <v/>
      </c>
      <c r="BL26" s="210" t="str">
        <f>IF(AND(C26="Skema 2",B26="ma"),Skemaoplysninger!$S$30,"")</f>
        <v/>
      </c>
      <c r="BM26" s="210">
        <f>IF(AND(C26="Skema 2",B26="ti"),Skemaoplysninger!$U$30,"")</f>
        <v>0.15625</v>
      </c>
      <c r="BN26" s="210" t="str">
        <f>IF(AND(C26="Skema 2",B26="on"),Skemaoplysninger!$W$30,"")</f>
        <v/>
      </c>
      <c r="BO26" s="210" t="str">
        <f>IF(AND(C26="Skema 2",B26="to"),Skemaoplysninger!$Y$30,"")</f>
        <v/>
      </c>
      <c r="BP26" s="210" t="str">
        <f>IF(AND(C26="Skema 2",B26="fr"),Skemaoplysninger!$AA$30,"")</f>
        <v/>
      </c>
      <c r="BQ26" s="210" t="str">
        <f>IF(AND(C26="Skema 3",B26="ma"),Skemaoplysninger!$AG$30,"")</f>
        <v/>
      </c>
      <c r="BR26" s="210" t="str">
        <f>IF(AND(C26="Skema 3",B26="ti"),Skemaoplysninger!$AI$30,"")</f>
        <v/>
      </c>
      <c r="BS26" s="210" t="str">
        <f>IF(AND(C26="Skema 3",B26="on"),Skemaoplysninger!$AK$30,"")</f>
        <v/>
      </c>
      <c r="BT26" s="210" t="str">
        <f>IF(AND(C26="Skema 3",B26="to"),Skemaoplysninger!$AM$30,"")</f>
        <v/>
      </c>
      <c r="BU26" s="210" t="str">
        <f>IF(AND(C26="Skema 3",B26="fr"),Skemaoplysninger!$AO$30,"")</f>
        <v/>
      </c>
      <c r="BV26" s="210" t="str">
        <f>IF(AND(C26="Skema 4",B26="ma"),Skemaoplysninger!$AU$30,"")</f>
        <v/>
      </c>
      <c r="BW26" s="210" t="str">
        <f>IF(AND(C26="Skema 4",B26="ti"),Skemaoplysninger!$AW$30,"")</f>
        <v/>
      </c>
      <c r="BX26" s="210" t="str">
        <f>IF(AND(C26="Skema 4",B26="on"),Skemaoplysninger!$AY$30,"")</f>
        <v/>
      </c>
      <c r="BY26" s="210" t="str">
        <f>IF(AND(C26="Skema 4",B26="to"),Skemaoplysninger!$BA$30,"")</f>
        <v/>
      </c>
      <c r="BZ26" s="210" t="str">
        <f>IF(AND(C26="Skema 4",B26="fr"),Skemaoplysninger!$BC$30,"")</f>
        <v/>
      </c>
      <c r="CA26" s="1">
        <f t="shared" si="25"/>
        <v>3.75</v>
      </c>
      <c r="CB26" s="1">
        <f t="shared" si="12"/>
        <v>0</v>
      </c>
      <c r="CC26" s="1">
        <f t="shared" si="13"/>
        <v>0</v>
      </c>
      <c r="CD26" s="210" t="str">
        <f>IF(AND(C26="Skema 1",B26="ma"),Skemaoplysninger!$E$31,"")</f>
        <v/>
      </c>
      <c r="CE26" s="210" t="str">
        <f>IF(AND(C26="Skema 1",B26="ti"),Skemaoplysninger!$G$31,"")</f>
        <v/>
      </c>
      <c r="CF26" s="210" t="str">
        <f>IF(AND(C26="Skema 1",B26="on"),Skemaoplysninger!$I$31,"")</f>
        <v/>
      </c>
      <c r="CG26" s="210" t="str">
        <f>IF(AND(C26="Skema 1",B26="to"),Skemaoplysninger!$K$31,"")</f>
        <v/>
      </c>
      <c r="CH26" s="210" t="str">
        <f>IF(AND(C26="Skema 1",B26="fr"),Skemaoplysninger!$M$31,"")</f>
        <v/>
      </c>
      <c r="CI26" s="210" t="str">
        <f>IF(AND(C26="Skema 2",B26="ma"),Skemaoplysninger!$S$31,"")</f>
        <v/>
      </c>
      <c r="CJ26" s="210">
        <f>IF(AND(C26="Skema 2",B26="ti"),Skemaoplysninger!$U$31,"")</f>
        <v>6.25E-2</v>
      </c>
      <c r="CK26" s="210" t="str">
        <f>IF(AND(C26="Skema 2",B26="on"),Skemaoplysninger!$W$31,"")</f>
        <v/>
      </c>
      <c r="CL26" s="210" t="str">
        <f>IF(AND(C26="Skema 2",B26="to"),Skemaoplysninger!$Y$31,"")</f>
        <v/>
      </c>
      <c r="CM26" s="210" t="str">
        <f>IF(AND(C26="Skema 2",B26="fr"),Skemaoplysninger!$AA$31,"")</f>
        <v/>
      </c>
      <c r="CN26" s="210" t="str">
        <f>IF(AND(C26="Skema 3",B26="ma"),Skemaoplysninger!$AG$31,"")</f>
        <v/>
      </c>
      <c r="CO26" s="210" t="str">
        <f>IF(AND(C26="Skema 3",B26="ti"),Skemaoplysninger!$AI$31,"")</f>
        <v/>
      </c>
      <c r="CP26" s="210" t="str">
        <f>IF(AND(C26="Skema 3",B26="on"),Skemaoplysninger!$AK$31,"")</f>
        <v/>
      </c>
      <c r="CQ26" s="210" t="str">
        <f>IF(AND(C26="Skema 3",B26="to"),Skemaoplysninger!$AM$31,"")</f>
        <v/>
      </c>
      <c r="CR26" s="210" t="str">
        <f>IF(AND(C26="Skema 3",B26="fr"),Skemaoplysninger!$AO$31,"")</f>
        <v/>
      </c>
      <c r="CS26" s="210" t="str">
        <f>IF(AND(C26="Skema 4",B26="ma"),Skemaoplysninger!$AU$31,"")</f>
        <v/>
      </c>
      <c r="CT26" s="210" t="str">
        <f>IF(AND(C26="Skema 4",B26="ti"),Skemaoplysninger!$AW$31,"")</f>
        <v/>
      </c>
      <c r="CU26" s="210" t="str">
        <f>IF(AND(C26="Skema 4",B26="on"),Skemaoplysninger!$AY$31,"")</f>
        <v/>
      </c>
      <c r="CV26" s="210" t="str">
        <f>IF(AND(C26="Skema 4",B26="to"),Skemaoplysninger!$BA$31,"")</f>
        <v/>
      </c>
      <c r="CW26" s="210" t="str">
        <f>IF(AND(C26="Skema 4",B26="fr"),Skemaoplysninger!$BC$31,"")</f>
        <v/>
      </c>
      <c r="CX26" s="249">
        <f>IF(Stamoplysninger!$H$29="NEJ",SUM(CD26:CW26)*24+CB26+CC26,0)</f>
        <v>1.5</v>
      </c>
      <c r="CY26" s="249">
        <f>IF(C26="Skema 1",Stamoplysninger!$H$30/200,0)</f>
        <v>0</v>
      </c>
      <c r="CZ26" s="249">
        <f>IF(C26="Skema 2",Stamoplysninger!$H$30/200,0)</f>
        <v>0</v>
      </c>
      <c r="DA26" s="249">
        <f>IF(C26="Skema 3",Stamoplysninger!$H$30/200,0)</f>
        <v>0</v>
      </c>
      <c r="DB26" s="249">
        <f>IF(C26="Skema 4",Stamoplysninger!$H$30/200,0)</f>
        <v>0</v>
      </c>
      <c r="DC26" s="249">
        <f>IF(C26="fagdag",Stamoplysninger!$H$30/200,0)</f>
        <v>0</v>
      </c>
      <c r="DD26" s="249">
        <f>IF(C26="emnedag",Stamoplysninger!$H$30/200,0)</f>
        <v>0</v>
      </c>
      <c r="DE26" s="249">
        <f>IF(C26="lejrskole",Stamoplysninger!$H$30/200,0)</f>
        <v>0</v>
      </c>
      <c r="DF26" s="249">
        <f>IF(C26="ekskursion",Stamoplysninger!$H$30/200,0)</f>
        <v>0</v>
      </c>
      <c r="DG26" s="249">
        <f t="shared" si="26"/>
        <v>0</v>
      </c>
      <c r="DH26" t="str">
        <f t="shared" si="27"/>
        <v/>
      </c>
      <c r="DI26">
        <f t="shared" si="28"/>
        <v>0</v>
      </c>
      <c r="DJ26">
        <f t="shared" si="29"/>
        <v>0</v>
      </c>
      <c r="DK26" t="str">
        <f t="shared" si="14"/>
        <v/>
      </c>
      <c r="DL26" t="str">
        <f t="shared" si="14"/>
        <v/>
      </c>
      <c r="DM26" t="str">
        <f t="shared" si="14"/>
        <v/>
      </c>
      <c r="DN26" t="str">
        <f t="shared" si="30"/>
        <v/>
      </c>
      <c r="DO26" s="652">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71">
        <f>IF(AND(Stamoplysninger!$B$22="Ulempetillæg udbetales med 25% af nettotimelønnen.",C26="ikke relevant"),(R26)/4,0)</f>
        <v>0</v>
      </c>
      <c r="DT26" s="671">
        <f>IF(AND(AND(Stamoplysninger!$B$22="Ulempetillæg udbetales med 25% af nettotimelønnen.",I26="X",C26="Ikke relevant")),K26/4,0)</f>
        <v>0</v>
      </c>
      <c r="DU26" s="671">
        <f>IF(AND(AND(Stamoplysninger!$B$22="Ulempetillæg udbetales med 25% af nettotimelønnen.",C26="ikke relevant",U26="X")),(X26/4),0)</f>
        <v>0</v>
      </c>
      <c r="DV26" s="672">
        <f>IF(AND(AND(AND(Stamoplysninger!$B$22="Ulempetillæg udbetales med 25% af nettotimelønnen.",I26="X",C26="Ikke relevant",S26="X"))),V26/4,0)</f>
        <v>0</v>
      </c>
      <c r="DW26" s="652"/>
      <c r="DZ26" s="671"/>
      <c r="EA26" s="671"/>
      <c r="EB26" s="672"/>
      <c r="EC26" s="652">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71">
        <f>IF(AND(Stamoplysninger!$B$22="Ulempetillæg afspadseres med 25%(Kræver en aftale imellem ledelsen og den ansatte)",C26="ikke relevant"),(R26)/4,0)</f>
        <v>0</v>
      </c>
      <c r="EH26" s="671">
        <f>IF(AND(AND(Stamoplysninger!$B$22="Ulempetillæg afspadseres med 25%(Kræver en aftale imellem ledelsen og den ansatte)",I26="X",C26="Ikke relevant")),K26/4,0)</f>
        <v>0</v>
      </c>
      <c r="EI26" s="671">
        <f>IF(AND(AND(Stamoplysninger!$B$22="Ulempetillæg afspadseres med 25%(Kræver en aftale imellem ledelsen og den ansatte)",U26="X",C26="Ikke relevant")),X26/4,0)</f>
        <v>0</v>
      </c>
      <c r="EJ26" s="671">
        <f>IF(AND(AND(AND(Stamoplysninger!$B$22="Ulempetillæg afspadseres med 25%(Kræver en aftale imellem ledelsen og den ansatte)",I26="X",C26="Ikke relevant",S26="X"))),V26/4,0)</f>
        <v>0</v>
      </c>
      <c r="EK26" s="283">
        <f>IF(AND(Stamoplysninger!$B$26="Weekendtimer og weekendtillæg afspadseres.",I26="X"),K26*1.5,0)</f>
        <v>0</v>
      </c>
      <c r="EL26" s="251">
        <f>IF(AND(AND(Stamoplysninger!$B$26="Weekendtimer og weekendtillæg afspadseres.",I26="X",S26="X")),V26*1.5,0)</f>
        <v>0</v>
      </c>
      <c r="EM26" s="674">
        <f>IF(AND(AND(Stamoplysninger!$B$26="Weekendtimer og weekendtillæg afspadseres.",I26="X",C26="ikke relevant")),K26*1.5,0)</f>
        <v>0</v>
      </c>
      <c r="EN26" s="675">
        <f>IF(AND(AND(AND(Stamoplysninger!$B$26="Weekendtimer og weekendtillæg afspadseres.",I26="X",C26="ikke relevant",S26="X"))),(V26*1.5),0)</f>
        <v>0</v>
      </c>
      <c r="EO26" s="283">
        <f>IF(AND(Stamoplysninger!$B$26="Weekendtimer og weekendtillæg udbetales.",I26="X"),K26*1.5,0)</f>
        <v>0</v>
      </c>
      <c r="EP26" s="251">
        <f>IF(AND(AND(Stamoplysninger!$B$26="Weekendtimer og weekendtillæg udbetales.",I26="X",S26="X")),V26*1.5,0)</f>
        <v>0</v>
      </c>
      <c r="EQ26" s="674">
        <f>IF(AND(AND(Stamoplysninger!$B$26="Weekendtimer og weekendtillæg udbetales.",I26="X",C26="ikke relevant")),K26*1.5,0)</f>
        <v>0</v>
      </c>
      <c r="ER26" s="675">
        <f>IF(AND(AND(AND(Stamoplysninger!$B$26="Weekendtimer og weekendtillæg udbetales.",I26="X",C26="ikke relevant",S26="X"))),(V26*1.5),0)</f>
        <v>0</v>
      </c>
      <c r="ES26" s="283">
        <f>IF(AND(Stamoplysninger!$B$26="Der er indgået lokalaftale omkring weekendtimer.(Kræver aftale med TR/FSL) Weekendtillæg afspadseres.",I26="X"),K26*0.5,0)</f>
        <v>0</v>
      </c>
      <c r="ET26" s="251">
        <f>IF(AND(AND(Stamoplysninger!$B$26="Der er indgået lokalaftale omkring weekendtimer.(Kræver aftale med TR/FSL) Weekendtillæg afspadseres.",I26="X",S26="X")),V26*0.5,0)</f>
        <v>0</v>
      </c>
      <c r="EU26" s="674">
        <f>IF(AND(AND(Stamoplysninger!$B$26="Der er indgået lokalaftale omkring weekendtimer.(Kræver aftale med TR/FSL) Weekendtillæg afspadseres.",I26="X",C26="ikke relevant")),K26*0.5,0)</f>
        <v>0</v>
      </c>
      <c r="EV26" s="675">
        <f>IF(AND(AND(AND(Stamoplysninger!$B$26="Der er indgået lokalaftale omkring weekendtimer.(Kræver aftale med TR/FSL) Weekendtillæg afspadseres.",I26="X",C26="ikke relevant",S26="X"))),(V26*0.5),0)</f>
        <v>0</v>
      </c>
      <c r="EW26" s="283">
        <f>IF(AND(Stamoplysninger!$B$26="Der er indgået lokalaftale omkring weekendtimer(Kræver aftale med TR/FSL). Weekendtillæg udbetales.",I26="X"),K26*0.5,0)</f>
        <v>0</v>
      </c>
      <c r="EX26" s="251">
        <f>IF(AND(AND(Stamoplysninger!$B$26="Der er indgået lokalaftale omkring weekendtimer(Kræver aftale med TR/FSL). Weekendtillæg udbetales.",I26="X",S26="X")),V26*0.5,0)</f>
        <v>0</v>
      </c>
      <c r="EY26" s="674">
        <f>IF(AND(AND(Stamoplysninger!$B$26="Der er indgået lokalaftale omkring weekendtimer(Kræver aftale med TR/FSL). Weekendtillæg udbetales.",I26="X",C26="ikke relevant")),K26*0.5,0)</f>
        <v>0</v>
      </c>
      <c r="EZ26" s="675">
        <f>IF(AND(AND(AND(Stamoplysninger!$B$26="Der er indgået lokalaftale omkring weekendtimer(Kræver aftale med TR/FSL). Weekendtillæg udbetales.",I26="X",C26="ikke relevant",S26="X"))),(V26*0.5),0)</f>
        <v>0</v>
      </c>
      <c r="FA26" s="283">
        <f>IF(AND(Stamoplysninger!$B$26="Der er indgået lokalaftale omkring weekendtillæg(Kræver aftale med TR/FSL). Weekendtimerne afspadseres.",I26="X"),K26,0)</f>
        <v>0</v>
      </c>
      <c r="FB26" s="251">
        <f>IF(AND(AND(Stamoplysninger!$B$26="Der er indgået lokalaftale omkring weekendtillæg(Kræver aftale med TR/FSL). Weekendtimerne afspadseres.",I26="X",S26="X")),V26,0)</f>
        <v>0</v>
      </c>
      <c r="FC26" s="674">
        <f>IF(AND(AND(Stamoplysninger!$B$26="Der er indgået lokalaftale omkring weekendtillæg(Kræver aftale med TR/FSL). Weekendtimerne afspadseres..",I26="X",C26="ikke relevant")),K26,0)</f>
        <v>0</v>
      </c>
      <c r="FD26" s="675">
        <f>IF(AND(AND(AND(Stamoplysninger!$B$26="Der er indgået lokalaftale omkring weekendtillæg(Kræver aftale med TR/FSL). Weekendtimerne afspadseres.",I26="X",C26="ikke relevant",S26="X"))),(V26),0)</f>
        <v>0</v>
      </c>
      <c r="FE26" s="283">
        <f>IF(AND(Stamoplysninger!$B$26="Der er indgået lokalaftale omkring weekendtillæg(Kræver aftale med TR/FSL). Weekendtimerne udbetales.",I26="X"),K26,0)</f>
        <v>0</v>
      </c>
      <c r="FF26" s="251">
        <f>IF(AND(AND(Stamoplysninger!$B$26="Der er indgået lokalaftale omkring weekendtillæg(Kræver aftale med TR/FSL). Weekendtimerne udbetales.",I26="X",S26="X")),V26,0)</f>
        <v>0</v>
      </c>
      <c r="FG26" s="674">
        <f>IF(AND(AND(Stamoplysninger!$B$26="Der er indgået lokalaftale omkring weekendtillæg(Kræver aftale med TR/FSL). Weekendtimerne udbetales.",I26="X",C26="ikke relevant")),K26,0)</f>
        <v>0</v>
      </c>
      <c r="FH26" s="675">
        <f>IF(AND(AND(AND(Stamoplysninger!$B$26="Der er indgået lokalaftale omkring weekendtillæg(Kræver aftale med TR/FSL). Weekendtimerne udbetales.",I26="X",C26="ikke relevant",S26="X"))),(V26),0)</f>
        <v>0</v>
      </c>
      <c r="FI26" s="283">
        <f>IF(AND(Stamoplysninger!$B$26="Weekendtimer og weekendtillæg afspadseres.",I26="X"),K26,0)</f>
        <v>0</v>
      </c>
      <c r="FJ26" s="251">
        <f>IF(AND(Stamoplysninger!$B$26="Weekendtimer og weekendtillæg afspadseres.",Y26="X"),(AA26+AL26)/2,0)</f>
        <v>0</v>
      </c>
      <c r="FK26" s="674">
        <f>IF(AND(AND(Stamoplysninger!$B$26="Weekendtimer og weekendtillæg afspadseres.",I26="X",C26="ikke relevant")),K26,0)</f>
        <v>0</v>
      </c>
      <c r="FL26" s="675">
        <f>IF(AND(AND(Stamoplysninger!$B$26="Weekendtimer og weekendtillæg afspadseres.",Y26="X",S26="ikke relevant")),(AA26+AL26)/2,0)</f>
        <v>0</v>
      </c>
      <c r="FM26" s="283">
        <f>IF(AND(Stamoplysninger!$B$26="Der er indgået lokalaftale omkring weekendtillæg(Kræver aftale med TR/FSL). Weekendtimerne afspadseres.",I26="X"),K26,0)</f>
        <v>0</v>
      </c>
      <c r="FN26" s="674">
        <f>IF(AND(AND(Stamoplysninger!$B$26="Der er indgået lokalaftale omkring weekendtillæg(Kræver aftale med TR/FSL). Weekendtimerne afspadseres.",I26="X",C26="ikke relevant")),K26,0)</f>
        <v>0</v>
      </c>
      <c r="FO26" s="283">
        <f>IF(AND(Stamoplysninger!$B$26="Weekendtimer og weekendtillæg udbetales.",I26="X"),K26,0)</f>
        <v>0</v>
      </c>
      <c r="FP26" s="251">
        <f>IF(AND(Stamoplysninger!$B$26="Weekendtimer og weekendtillæg udbetales.",AA26="X"),(AC26+AN26)/2,0)</f>
        <v>0</v>
      </c>
      <c r="FQ26" s="674">
        <f>IF(AND(AND(Stamoplysninger!$B$26="Weekendtimer og weekendtillæg udbetales.",I26="X",C26="ikke relevant")),K26,0)</f>
        <v>0</v>
      </c>
      <c r="FR26" s="688">
        <f>IF(AND(AND(Stamoplysninger!$B$26="Weekendtimer og weekendtillæg udbetales.",AA26="X",U26="ikke relevant")),(AC26+AN26)/2,0)</f>
        <v>0</v>
      </c>
      <c r="FS26" s="283">
        <f t="shared" si="15"/>
        <v>0</v>
      </c>
      <c r="FT26" s="658">
        <f t="shared" si="16"/>
        <v>0</v>
      </c>
      <c r="FU26">
        <f t="shared" si="17"/>
        <v>0</v>
      </c>
      <c r="FV26" s="283">
        <f>IF(AND(Stamoplysninger!$B$26="Der er indgået lokalaftale omkring weekendtimer.(Kræver aftale med TR/FSL) Weekendtillæg afspadseres.",I26="X"),K26,0)</f>
        <v>0</v>
      </c>
      <c r="FW26" s="674">
        <f>IF(AND(AND(Stamoplysninger!$B$26="Der er indgået lokalaftale omkring weekendtimer.(Kræver aftale med TR/FSL) Weekendtillæg afspadseres.",I26="X",C26="ikke relevant")),K26,0)</f>
        <v>0</v>
      </c>
      <c r="FX26" s="283">
        <f>IF(AND(Stamoplysninger!$B$26="Der er indgået lokalaftale omkring weekendtimer(Kræver aftale med TR/FSL). Weekendtillæg udbetales.",I26="X"),K26,0)</f>
        <v>0</v>
      </c>
      <c r="FY26" s="674">
        <f>IF(AND(AND(Stamoplysninger!$B$26="Der er indgået lokalaftale omkring weekendtimer(Kræver aftale med TR/FSL). Weekendtillæg udbetales.",I26="X",C26="ikke relevant")),K26,0)</f>
        <v>0</v>
      </c>
      <c r="FZ26" s="283">
        <f>IF(AND(Stamoplysninger!$B$26="Der er indgået lokalaftale omkring weekendtillæg(Kræver aftale med TR/FSL). Weekendtimerne udbetales.",I26="X"),K26,0)</f>
        <v>0</v>
      </c>
      <c r="GA26" s="674">
        <f>IF(AND(AND(Stamoplysninger!$B$26="Der er indgået lokalaftale omkring weekendtillæg(Kræver aftale med TR/FSL). Weekendtimerne udbetales.",I26="X",C26="ikke relevant")),K26,0)</f>
        <v>0</v>
      </c>
      <c r="GB26" s="283">
        <f>IF(AND(Stamoplysninger!$B$26="Der er indgået lokalaftale omkring weekendtimer og weekendtillæg.(Kræver aftale med TR/FSL).",I26="X"),K26,0)</f>
        <v>0</v>
      </c>
      <c r="GC26" s="674">
        <f>IF(AND(AND(Stamoplysninger!$B$26="Der er indgået lokalaftale omkring weekendtimer og weekendtillæg.(Kræver aftale med TR/FSL).",I26="X",C26="ikke relevant")),K26,0)</f>
        <v>0</v>
      </c>
    </row>
    <row r="27" spans="1:185">
      <c r="A27" s="245">
        <f t="shared" si="18"/>
        <v>19</v>
      </c>
      <c r="B27" s="128" t="str">
        <f t="shared" si="0"/>
        <v>on</v>
      </c>
      <c r="C27" s="129" t="s">
        <v>211</v>
      </c>
      <c r="D27" s="130" t="str">
        <f t="shared" si="1"/>
        <v/>
      </c>
      <c r="E27" s="917" t="s">
        <v>710</v>
      </c>
      <c r="F27" s="918"/>
      <c r="G27" s="919"/>
      <c r="H27" s="298"/>
      <c r="I27" s="527"/>
      <c r="J27" s="413"/>
      <c r="K27" s="380">
        <v>7</v>
      </c>
      <c r="L27" s="380">
        <v>4</v>
      </c>
      <c r="M27" s="380">
        <v>1.5</v>
      </c>
      <c r="N27" s="318">
        <f t="shared" si="19"/>
        <v>7</v>
      </c>
      <c r="O27" s="318">
        <f t="shared" si="20"/>
        <v>4</v>
      </c>
      <c r="P27" s="318">
        <f>IF(Stamoplysninger!$H$29="JA",Marts!DG27,CX27)</f>
        <v>1.5</v>
      </c>
      <c r="Q27" s="318">
        <f t="shared" si="21"/>
        <v>1.5</v>
      </c>
      <c r="R27" s="319"/>
      <c r="S27" s="324"/>
      <c r="T27" s="325"/>
      <c r="U27" s="325"/>
      <c r="V27" s="435"/>
      <c r="W27" s="412"/>
      <c r="X27" s="642"/>
      <c r="Y27">
        <f t="shared" si="22"/>
        <v>0</v>
      </c>
      <c r="Z27">
        <f t="shared" si="2"/>
        <v>0</v>
      </c>
      <c r="AA27" s="1">
        <f t="shared" si="3"/>
        <v>7</v>
      </c>
      <c r="AB27" s="1">
        <f t="shared" si="4"/>
        <v>0</v>
      </c>
      <c r="AC27" s="1">
        <f t="shared" si="5"/>
        <v>0</v>
      </c>
      <c r="AD27" s="1">
        <f t="shared" si="6"/>
        <v>0</v>
      </c>
      <c r="AE27" s="1">
        <f t="shared" si="7"/>
        <v>0</v>
      </c>
      <c r="AF27" s="1">
        <f>IF(C27="Orlov",7.4*Stamoplysninger!$E$15,0)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7</v>
      </c>
      <c r="BB27" s="229">
        <f t="shared" si="8"/>
        <v>0</v>
      </c>
      <c r="BC27" s="1">
        <f t="shared" si="24"/>
        <v>0</v>
      </c>
      <c r="BD27" s="1">
        <f t="shared" si="9"/>
        <v>0</v>
      </c>
      <c r="BE27" s="1">
        <f t="shared" si="10"/>
        <v>0</v>
      </c>
      <c r="BF27" s="1">
        <f t="shared" si="11"/>
        <v>4</v>
      </c>
      <c r="BG27" s="210" t="str">
        <f>IF(AND(C27="Skema 1",B27="ma"),Skemaoplysninger!$E$30,"")</f>
        <v/>
      </c>
      <c r="BH27" s="210" t="str">
        <f>IF(AND(C27="Skema 1",B27="ti"),Skemaoplysninger!$G$30,"")</f>
        <v/>
      </c>
      <c r="BI27" s="210" t="str">
        <f>IF(AND(C27="Skema 1",B27="on"),Skemaoplysninger!$I$30,"")</f>
        <v/>
      </c>
      <c r="BJ27" s="210" t="str">
        <f>IF(AND(C27="Skema 1",B27="to"),Skemaoplysninger!$K$30,"")</f>
        <v/>
      </c>
      <c r="BK27" s="210" t="str">
        <f>IF(AND(C27="Skema 1",B27="fr"),Skemaoplysninger!$M$30,"")</f>
        <v/>
      </c>
      <c r="BL27" s="210" t="str">
        <f>IF(AND(C27="Skema 2",B27="ma"),Skemaoplysninger!$S$30,"")</f>
        <v/>
      </c>
      <c r="BM27" s="210" t="str">
        <f>IF(AND(C27="Skema 2",B27="ti"),Skemaoplysninger!$U$30,"")</f>
        <v/>
      </c>
      <c r="BN27" s="210" t="str">
        <f>IF(AND(C27="Skema 2",B27="on"),Skemaoplysninger!$W$30,"")</f>
        <v/>
      </c>
      <c r="BO27" s="210" t="str">
        <f>IF(AND(C27="Skema 2",B27="to"),Skemaoplysninger!$Y$30,"")</f>
        <v/>
      </c>
      <c r="BP27" s="210" t="str">
        <f>IF(AND(C27="Skema 2",B27="fr"),Skemaoplysninger!$AA$30,"")</f>
        <v/>
      </c>
      <c r="BQ27" s="210" t="str">
        <f>IF(AND(C27="Skema 3",B27="ma"),Skemaoplysninger!$AG$30,"")</f>
        <v/>
      </c>
      <c r="BR27" s="210" t="str">
        <f>IF(AND(C27="Skema 3",B27="ti"),Skemaoplysninger!$AI$30,"")</f>
        <v/>
      </c>
      <c r="BS27" s="210" t="str">
        <f>IF(AND(C27="Skema 3",B27="on"),Skemaoplysninger!$AK$30,"")</f>
        <v/>
      </c>
      <c r="BT27" s="210" t="str">
        <f>IF(AND(C27="Skema 3",B27="to"),Skemaoplysninger!$AM$30,"")</f>
        <v/>
      </c>
      <c r="BU27" s="210" t="str">
        <f>IF(AND(C27="Skema 3",B27="fr"),Skemaoplysninger!$AO$30,"")</f>
        <v/>
      </c>
      <c r="BV27" s="210" t="str">
        <f>IF(AND(C27="Skema 4",B27="ma"),Skemaoplysninger!$AU$30,"")</f>
        <v/>
      </c>
      <c r="BW27" s="210" t="str">
        <f>IF(AND(C27="Skema 4",B27="ti"),Skemaoplysninger!$AW$30,"")</f>
        <v/>
      </c>
      <c r="BX27" s="210" t="str">
        <f>IF(AND(C27="Skema 4",B27="on"),Skemaoplysninger!$AY$30,"")</f>
        <v/>
      </c>
      <c r="BY27" s="210" t="str">
        <f>IF(AND(C27="Skema 4",B27="to"),Skemaoplysninger!$BA$30,"")</f>
        <v/>
      </c>
      <c r="BZ27" s="210" t="str">
        <f>IF(AND(C27="Skema 4",B27="fr"),Skemaoplysninger!$BC$30,"")</f>
        <v/>
      </c>
      <c r="CA27" s="1">
        <f t="shared" si="25"/>
        <v>4</v>
      </c>
      <c r="CB27" s="1">
        <f t="shared" si="12"/>
        <v>0</v>
      </c>
      <c r="CC27" s="1">
        <f t="shared" si="13"/>
        <v>1.5</v>
      </c>
      <c r="CD27" s="210" t="str">
        <f>IF(AND(C27="Skema 1",B27="ma"),Skemaoplysninger!$E$31,"")</f>
        <v/>
      </c>
      <c r="CE27" s="210" t="str">
        <f>IF(AND(C27="Skema 1",B27="ti"),Skemaoplysninger!$G$31,"")</f>
        <v/>
      </c>
      <c r="CF27" s="210" t="str">
        <f>IF(AND(C27="Skema 1",B27="on"),Skemaoplysninger!$I$31,"")</f>
        <v/>
      </c>
      <c r="CG27" s="210" t="str">
        <f>IF(AND(C27="Skema 1",B27="to"),Skemaoplysninger!$K$31,"")</f>
        <v/>
      </c>
      <c r="CH27" s="210" t="str">
        <f>IF(AND(C27="Skema 1",B27="fr"),Skemaoplysninger!$M$31,"")</f>
        <v/>
      </c>
      <c r="CI27" s="210" t="str">
        <f>IF(AND(C27="Skema 2",B27="ma"),Skemaoplysninger!$S$31,"")</f>
        <v/>
      </c>
      <c r="CJ27" s="210" t="str">
        <f>IF(AND(C27="Skema 2",B27="ti"),Skemaoplysninger!$U$31,"")</f>
        <v/>
      </c>
      <c r="CK27" s="210" t="str">
        <f>IF(AND(C27="Skema 2",B27="on"),Skemaoplysninger!$W$31,"")</f>
        <v/>
      </c>
      <c r="CL27" s="210" t="str">
        <f>IF(AND(C27="Skema 2",B27="to"),Skemaoplysninger!$Y$31,"")</f>
        <v/>
      </c>
      <c r="CM27" s="210" t="str">
        <f>IF(AND(C27="Skema 2",B27="fr"),Skemaoplysninger!$AA$31,"")</f>
        <v/>
      </c>
      <c r="CN27" s="210" t="str">
        <f>IF(AND(C27="Skema 3",B27="ma"),Skemaoplysninger!$AG$31,"")</f>
        <v/>
      </c>
      <c r="CO27" s="210" t="str">
        <f>IF(AND(C27="Skema 3",B27="ti"),Skemaoplysninger!$AI$31,"")</f>
        <v/>
      </c>
      <c r="CP27" s="210" t="str">
        <f>IF(AND(C27="Skema 3",B27="on"),Skemaoplysninger!$AK$31,"")</f>
        <v/>
      </c>
      <c r="CQ27" s="210" t="str">
        <f>IF(AND(C27="Skema 3",B27="to"),Skemaoplysninger!$AM$31,"")</f>
        <v/>
      </c>
      <c r="CR27" s="210" t="str">
        <f>IF(AND(C27="Skema 3",B27="fr"),Skemaoplysninger!$AO$31,"")</f>
        <v/>
      </c>
      <c r="CS27" s="210" t="str">
        <f>IF(AND(C27="Skema 4",B27="ma"),Skemaoplysninger!$AU$31,"")</f>
        <v/>
      </c>
      <c r="CT27" s="210" t="str">
        <f>IF(AND(C27="Skema 4",B27="ti"),Skemaoplysninger!$AW$31,"")</f>
        <v/>
      </c>
      <c r="CU27" s="210" t="str">
        <f>IF(AND(C27="Skema 4",B27="on"),Skemaoplysninger!$AY$31,"")</f>
        <v/>
      </c>
      <c r="CV27" s="210" t="str">
        <f>IF(AND(C27="Skema 4",B27="to"),Skemaoplysninger!$BA$31,"")</f>
        <v/>
      </c>
      <c r="CW27" s="210" t="str">
        <f>IF(AND(C27="Skema 4",B27="fr"),Skemaoplysninger!$BC$31,"")</f>
        <v/>
      </c>
      <c r="CX27" s="249">
        <f>IF(Stamoplysninger!$H$29="NEJ",SUM(CD27:CW27)*24+CB27+CC27,0)</f>
        <v>1.5</v>
      </c>
      <c r="CY27" s="249">
        <f>IF(C27="Skema 1",Stamoplysninger!$H$30/200,0)</f>
        <v>0</v>
      </c>
      <c r="CZ27" s="249">
        <f>IF(C27="Skema 2",Stamoplysninger!$H$30/200,0)</f>
        <v>0</v>
      </c>
      <c r="DA27" s="249">
        <f>IF(C27="Skema 3",Stamoplysninger!$H$30/200,0)</f>
        <v>0</v>
      </c>
      <c r="DB27" s="249">
        <f>IF(C27="Skema 4",Stamoplysninger!$H$30/200,0)</f>
        <v>0</v>
      </c>
      <c r="DC27" s="249">
        <f>IF(C27="fagdag",Stamoplysninger!$H$30/200,0)</f>
        <v>0</v>
      </c>
      <c r="DD27" s="249">
        <f>IF(C27="emnedag",Stamoplysninger!$H$30/200,0)</f>
        <v>0</v>
      </c>
      <c r="DE27" s="249">
        <f>IF(C27="lejrskole",Stamoplysninger!$H$30/200,0)</f>
        <v>0</v>
      </c>
      <c r="DF27" s="249">
        <f>IF(C27="ekskursion",Stamoplysninger!$H$30/200,0)</f>
        <v>0</v>
      </c>
      <c r="DG27" s="249">
        <f t="shared" si="26"/>
        <v>0</v>
      </c>
      <c r="DH27" t="str">
        <f t="shared" si="27"/>
        <v/>
      </c>
      <c r="DI27" t="str">
        <f t="shared" si="28"/>
        <v>Tværdag med naboskole</v>
      </c>
      <c r="DJ27" t="str">
        <f t="shared" si="29"/>
        <v/>
      </c>
      <c r="DK27" t="str">
        <f t="shared" si="14"/>
        <v/>
      </c>
      <c r="DL27" t="str">
        <f t="shared" si="14"/>
        <v>Tværdag med naboskole</v>
      </c>
      <c r="DM27" t="str">
        <f t="shared" si="14"/>
        <v/>
      </c>
      <c r="DN27" t="str">
        <f t="shared" si="30"/>
        <v>Tværdag med naboskole</v>
      </c>
      <c r="DO27" s="652">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71">
        <f>IF(AND(Stamoplysninger!$B$22="Ulempetillæg udbetales med 25% af nettotimelønnen.",C27="ikke relevant"),(R27)/4,0)</f>
        <v>0</v>
      </c>
      <c r="DT27" s="671">
        <f>IF(AND(AND(Stamoplysninger!$B$22="Ulempetillæg udbetales med 25% af nettotimelønnen.",I27="X",C27="Ikke relevant")),K27/4,0)</f>
        <v>0</v>
      </c>
      <c r="DU27" s="671">
        <f>IF(AND(AND(Stamoplysninger!$B$22="Ulempetillæg udbetales med 25% af nettotimelønnen.",C27="ikke relevant",U27="X")),(X27/4),0)</f>
        <v>0</v>
      </c>
      <c r="DV27" s="672">
        <f>IF(AND(AND(AND(Stamoplysninger!$B$22="Ulempetillæg udbetales med 25% af nettotimelønnen.",I27="X",C27="Ikke relevant",S27="X"))),V27/4,0)</f>
        <v>0</v>
      </c>
      <c r="DW27" s="652"/>
      <c r="DZ27" s="671"/>
      <c r="EA27" s="671"/>
      <c r="EB27" s="672"/>
      <c r="EC27" s="652">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71">
        <f>IF(AND(Stamoplysninger!$B$22="Ulempetillæg afspadseres med 25%(Kræver en aftale imellem ledelsen og den ansatte)",C27="ikke relevant"),(R27)/4,0)</f>
        <v>0</v>
      </c>
      <c r="EH27" s="671">
        <f>IF(AND(AND(Stamoplysninger!$B$22="Ulempetillæg afspadseres med 25%(Kræver en aftale imellem ledelsen og den ansatte)",I27="X",C27="Ikke relevant")),K27/4,0)</f>
        <v>0</v>
      </c>
      <c r="EI27" s="671">
        <f>IF(AND(AND(Stamoplysninger!$B$22="Ulempetillæg afspadseres med 25%(Kræver en aftale imellem ledelsen og den ansatte)",U27="X",C27="Ikke relevant")),X27/4,0)</f>
        <v>0</v>
      </c>
      <c r="EJ27" s="671">
        <f>IF(AND(AND(AND(Stamoplysninger!$B$22="Ulempetillæg afspadseres med 25%(Kræver en aftale imellem ledelsen og den ansatte)",I27="X",C27="Ikke relevant",S27="X"))),V27/4,0)</f>
        <v>0</v>
      </c>
      <c r="EK27" s="283">
        <f>IF(AND(Stamoplysninger!$B$26="Weekendtimer og weekendtillæg afspadseres.",I27="X"),K27*1.5,0)</f>
        <v>0</v>
      </c>
      <c r="EL27" s="251">
        <f>IF(AND(AND(Stamoplysninger!$B$26="Weekendtimer og weekendtillæg afspadseres.",I27="X",S27="X")),V27*1.5,0)</f>
        <v>0</v>
      </c>
      <c r="EM27" s="674">
        <f>IF(AND(AND(Stamoplysninger!$B$26="Weekendtimer og weekendtillæg afspadseres.",I27="X",C27="ikke relevant")),K27*1.5,0)</f>
        <v>0</v>
      </c>
      <c r="EN27" s="675">
        <f>IF(AND(AND(AND(Stamoplysninger!$B$26="Weekendtimer og weekendtillæg afspadseres.",I27="X",C27="ikke relevant",S27="X"))),(V27*1.5),0)</f>
        <v>0</v>
      </c>
      <c r="EO27" s="283">
        <f>IF(AND(Stamoplysninger!$B$26="Weekendtimer og weekendtillæg udbetales.",I27="X"),K27*1.5,0)</f>
        <v>0</v>
      </c>
      <c r="EP27" s="251">
        <f>IF(AND(AND(Stamoplysninger!$B$26="Weekendtimer og weekendtillæg udbetales.",I27="X",S27="X")),V27*1.5,0)</f>
        <v>0</v>
      </c>
      <c r="EQ27" s="674">
        <f>IF(AND(AND(Stamoplysninger!$B$26="Weekendtimer og weekendtillæg udbetales.",I27="X",C27="ikke relevant")),K27*1.5,0)</f>
        <v>0</v>
      </c>
      <c r="ER27" s="675">
        <f>IF(AND(AND(AND(Stamoplysninger!$B$26="Weekendtimer og weekendtillæg udbetales.",I27="X",C27="ikke relevant",S27="X"))),(V27*1.5),0)</f>
        <v>0</v>
      </c>
      <c r="ES27" s="283">
        <f>IF(AND(Stamoplysninger!$B$26="Der er indgået lokalaftale omkring weekendtimer.(Kræver aftale med TR/FSL) Weekendtillæg afspadseres.",I27="X"),K27*0.5,0)</f>
        <v>0</v>
      </c>
      <c r="ET27" s="251">
        <f>IF(AND(AND(Stamoplysninger!$B$26="Der er indgået lokalaftale omkring weekendtimer.(Kræver aftale med TR/FSL) Weekendtillæg afspadseres.",I27="X",S27="X")),V27*0.5,0)</f>
        <v>0</v>
      </c>
      <c r="EU27" s="674">
        <f>IF(AND(AND(Stamoplysninger!$B$26="Der er indgået lokalaftale omkring weekendtimer.(Kræver aftale med TR/FSL) Weekendtillæg afspadseres.",I27="X",C27="ikke relevant")),K27*0.5,0)</f>
        <v>0</v>
      </c>
      <c r="EV27" s="675">
        <f>IF(AND(AND(AND(Stamoplysninger!$B$26="Der er indgået lokalaftale omkring weekendtimer.(Kræver aftale med TR/FSL) Weekendtillæg afspadseres.",I27="X",C27="ikke relevant",S27="X"))),(V27*0.5),0)</f>
        <v>0</v>
      </c>
      <c r="EW27" s="283">
        <f>IF(AND(Stamoplysninger!$B$26="Der er indgået lokalaftale omkring weekendtimer(Kræver aftale med TR/FSL). Weekendtillæg udbetales.",I27="X"),K27*0.5,0)</f>
        <v>0</v>
      </c>
      <c r="EX27" s="251">
        <f>IF(AND(AND(Stamoplysninger!$B$26="Der er indgået lokalaftale omkring weekendtimer(Kræver aftale med TR/FSL). Weekendtillæg udbetales.",I27="X",S27="X")),V27*0.5,0)</f>
        <v>0</v>
      </c>
      <c r="EY27" s="674">
        <f>IF(AND(AND(Stamoplysninger!$B$26="Der er indgået lokalaftale omkring weekendtimer(Kræver aftale med TR/FSL). Weekendtillæg udbetales.",I27="X",C27="ikke relevant")),K27*0.5,0)</f>
        <v>0</v>
      </c>
      <c r="EZ27" s="675">
        <f>IF(AND(AND(AND(Stamoplysninger!$B$26="Der er indgået lokalaftale omkring weekendtimer(Kræver aftale med TR/FSL). Weekendtillæg udbetales.",I27="X",C27="ikke relevant",S27="X"))),(V27*0.5),0)</f>
        <v>0</v>
      </c>
      <c r="FA27" s="283">
        <f>IF(AND(Stamoplysninger!$B$26="Der er indgået lokalaftale omkring weekendtillæg(Kræver aftale med TR/FSL). Weekendtimerne afspadseres.",I27="X"),K27,0)</f>
        <v>0</v>
      </c>
      <c r="FB27" s="251">
        <f>IF(AND(AND(Stamoplysninger!$B$26="Der er indgået lokalaftale omkring weekendtillæg(Kræver aftale med TR/FSL). Weekendtimerne afspadseres.",I27="X",S27="X")),V27,0)</f>
        <v>0</v>
      </c>
      <c r="FC27" s="674">
        <f>IF(AND(AND(Stamoplysninger!$B$26="Der er indgået lokalaftale omkring weekendtillæg(Kræver aftale med TR/FSL). Weekendtimerne afspadseres..",I27="X",C27="ikke relevant")),K27,0)</f>
        <v>0</v>
      </c>
      <c r="FD27" s="675">
        <f>IF(AND(AND(AND(Stamoplysninger!$B$26="Der er indgået lokalaftale omkring weekendtillæg(Kræver aftale med TR/FSL). Weekendtimerne afspadseres.",I27="X",C27="ikke relevant",S27="X"))),(V27),0)</f>
        <v>0</v>
      </c>
      <c r="FE27" s="283">
        <f>IF(AND(Stamoplysninger!$B$26="Der er indgået lokalaftale omkring weekendtillæg(Kræver aftale med TR/FSL). Weekendtimerne udbetales.",I27="X"),K27,0)</f>
        <v>0</v>
      </c>
      <c r="FF27" s="251">
        <f>IF(AND(AND(Stamoplysninger!$B$26="Der er indgået lokalaftale omkring weekendtillæg(Kræver aftale med TR/FSL). Weekendtimerne udbetales.",I27="X",S27="X")),V27,0)</f>
        <v>0</v>
      </c>
      <c r="FG27" s="674">
        <f>IF(AND(AND(Stamoplysninger!$B$26="Der er indgået lokalaftale omkring weekendtillæg(Kræver aftale med TR/FSL). Weekendtimerne udbetales.",I27="X",C27="ikke relevant")),K27,0)</f>
        <v>0</v>
      </c>
      <c r="FH27" s="675">
        <f>IF(AND(AND(AND(Stamoplysninger!$B$26="Der er indgået lokalaftale omkring weekendtillæg(Kræver aftale med TR/FSL). Weekendtimerne udbetales.",I27="X",C27="ikke relevant",S27="X"))),(V27),0)</f>
        <v>0</v>
      </c>
      <c r="FI27" s="283">
        <f>IF(AND(Stamoplysninger!$B$26="Weekendtimer og weekendtillæg afspadseres.",I27="X"),K27,0)</f>
        <v>0</v>
      </c>
      <c r="FJ27" s="251">
        <f>IF(AND(Stamoplysninger!$B$26="Weekendtimer og weekendtillæg afspadseres.",Y27="X"),(AA27+AL27)/2,0)</f>
        <v>0</v>
      </c>
      <c r="FK27" s="674">
        <f>IF(AND(AND(Stamoplysninger!$B$26="Weekendtimer og weekendtillæg afspadseres.",I27="X",C27="ikke relevant")),K27,0)</f>
        <v>0</v>
      </c>
      <c r="FL27" s="675">
        <f>IF(AND(AND(Stamoplysninger!$B$26="Weekendtimer og weekendtillæg afspadseres.",Y27="X",S27="ikke relevant")),(AA27+AL27)/2,0)</f>
        <v>0</v>
      </c>
      <c r="FM27" s="283">
        <f>IF(AND(Stamoplysninger!$B$26="Der er indgået lokalaftale omkring weekendtillæg(Kræver aftale med TR/FSL). Weekendtimerne afspadseres.",I27="X"),K27,0)</f>
        <v>0</v>
      </c>
      <c r="FN27" s="674">
        <f>IF(AND(AND(Stamoplysninger!$B$26="Der er indgået lokalaftale omkring weekendtillæg(Kræver aftale med TR/FSL). Weekendtimerne afspadseres.",I27="X",C27="ikke relevant")),K27,0)</f>
        <v>0</v>
      </c>
      <c r="FO27" s="283">
        <f>IF(AND(Stamoplysninger!$B$26="Weekendtimer og weekendtillæg udbetales.",I27="X"),K27,0)</f>
        <v>0</v>
      </c>
      <c r="FP27" s="251">
        <f>IF(AND(Stamoplysninger!$B$26="Weekendtimer og weekendtillæg udbetales.",AA27="X"),(AC27+AN27)/2,0)</f>
        <v>0</v>
      </c>
      <c r="FQ27" s="674">
        <f>IF(AND(AND(Stamoplysninger!$B$26="Weekendtimer og weekendtillæg udbetales.",I27="X",C27="ikke relevant")),K27,0)</f>
        <v>0</v>
      </c>
      <c r="FR27" s="688">
        <f>IF(AND(AND(Stamoplysninger!$B$26="Weekendtimer og weekendtillæg udbetales.",AA27="X",U27="ikke relevant")),(AC27+AN27)/2,0)</f>
        <v>0</v>
      </c>
      <c r="FS27" s="283">
        <f t="shared" si="15"/>
        <v>0</v>
      </c>
      <c r="FT27" s="658">
        <f t="shared" si="16"/>
        <v>0</v>
      </c>
      <c r="FU27">
        <f t="shared" si="17"/>
        <v>0</v>
      </c>
      <c r="FV27" s="283">
        <f>IF(AND(Stamoplysninger!$B$26="Der er indgået lokalaftale omkring weekendtimer.(Kræver aftale med TR/FSL) Weekendtillæg afspadseres.",I27="X"),K27,0)</f>
        <v>0</v>
      </c>
      <c r="FW27" s="674">
        <f>IF(AND(AND(Stamoplysninger!$B$26="Der er indgået lokalaftale omkring weekendtimer.(Kræver aftale med TR/FSL) Weekendtillæg afspadseres.",I27="X",C27="ikke relevant")),K27,0)</f>
        <v>0</v>
      </c>
      <c r="FX27" s="283">
        <f>IF(AND(Stamoplysninger!$B$26="Der er indgået lokalaftale omkring weekendtimer(Kræver aftale med TR/FSL). Weekendtillæg udbetales.",I27="X"),K27,0)</f>
        <v>0</v>
      </c>
      <c r="FY27" s="674">
        <f>IF(AND(AND(Stamoplysninger!$B$26="Der er indgået lokalaftale omkring weekendtimer(Kræver aftale med TR/FSL). Weekendtillæg udbetales.",I27="X",C27="ikke relevant")),K27,0)</f>
        <v>0</v>
      </c>
      <c r="FZ27" s="283">
        <f>IF(AND(Stamoplysninger!$B$26="Der er indgået lokalaftale omkring weekendtillæg(Kræver aftale med TR/FSL). Weekendtimerne udbetales.",I27="X"),K27,0)</f>
        <v>0</v>
      </c>
      <c r="GA27" s="674">
        <f>IF(AND(AND(Stamoplysninger!$B$26="Der er indgået lokalaftale omkring weekendtillæg(Kræver aftale med TR/FSL). Weekendtimerne udbetales.",I27="X",C27="ikke relevant")),K27,0)</f>
        <v>0</v>
      </c>
      <c r="GB27" s="283">
        <f>IF(AND(Stamoplysninger!$B$26="Der er indgået lokalaftale omkring weekendtimer og weekendtillæg.(Kræver aftale med TR/FSL).",I27="X"),K27,0)</f>
        <v>0</v>
      </c>
      <c r="GC27" s="674">
        <f>IF(AND(AND(Stamoplysninger!$B$26="Der er indgået lokalaftale omkring weekendtimer og weekendtillæg.(Kræver aftale med TR/FSL).",I27="X",C27="ikke relevant")),K27,0)</f>
        <v>0</v>
      </c>
    </row>
    <row r="28" spans="1:185">
      <c r="A28" s="245">
        <f t="shared" si="18"/>
        <v>20</v>
      </c>
      <c r="B28" s="128" t="str">
        <f t="shared" si="0"/>
        <v>to</v>
      </c>
      <c r="C28" s="129" t="s">
        <v>211</v>
      </c>
      <c r="D28" s="130" t="str">
        <f t="shared" si="1"/>
        <v/>
      </c>
      <c r="E28" s="917" t="s">
        <v>710</v>
      </c>
      <c r="F28" s="918"/>
      <c r="G28" s="919"/>
      <c r="H28" s="298"/>
      <c r="I28" s="527"/>
      <c r="J28" s="413"/>
      <c r="K28" s="380">
        <v>7</v>
      </c>
      <c r="L28" s="380">
        <v>4</v>
      </c>
      <c r="M28" s="380">
        <v>1.5</v>
      </c>
      <c r="N28" s="318">
        <f t="shared" si="19"/>
        <v>7</v>
      </c>
      <c r="O28" s="318">
        <f t="shared" si="20"/>
        <v>4</v>
      </c>
      <c r="P28" s="318">
        <f>IF(Stamoplysninger!$H$29="JA",Marts!DG28,CX28)</f>
        <v>1.5</v>
      </c>
      <c r="Q28" s="318">
        <f t="shared" si="21"/>
        <v>1.5</v>
      </c>
      <c r="R28" s="319"/>
      <c r="S28" s="324"/>
      <c r="T28" s="325"/>
      <c r="U28" s="325"/>
      <c r="V28" s="435"/>
      <c r="W28" s="412"/>
      <c r="X28" s="642"/>
      <c r="Y28">
        <f t="shared" si="22"/>
        <v>0</v>
      </c>
      <c r="Z28">
        <f t="shared" si="2"/>
        <v>0</v>
      </c>
      <c r="AA28" s="1">
        <f t="shared" si="3"/>
        <v>7</v>
      </c>
      <c r="AB28" s="1">
        <f t="shared" si="4"/>
        <v>0</v>
      </c>
      <c r="AC28" s="1">
        <f t="shared" si="5"/>
        <v>0</v>
      </c>
      <c r="AD28" s="1">
        <f t="shared" si="6"/>
        <v>0</v>
      </c>
      <c r="AE28" s="1">
        <f t="shared" si="7"/>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7</v>
      </c>
      <c r="BB28" s="229">
        <f t="shared" si="8"/>
        <v>0</v>
      </c>
      <c r="BC28" s="1">
        <f t="shared" si="24"/>
        <v>0</v>
      </c>
      <c r="BD28" s="1">
        <f t="shared" si="9"/>
        <v>0</v>
      </c>
      <c r="BE28" s="1">
        <f t="shared" si="10"/>
        <v>0</v>
      </c>
      <c r="BF28" s="1">
        <f t="shared" si="11"/>
        <v>4</v>
      </c>
      <c r="BG28" s="210" t="str">
        <f>IF(AND(C28="Skema 1",B28="ma"),Skemaoplysninger!$E$30,"")</f>
        <v/>
      </c>
      <c r="BH28" s="210" t="str">
        <f>IF(AND(C28="Skema 1",B28="ti"),Skemaoplysninger!$G$30,"")</f>
        <v/>
      </c>
      <c r="BI28" s="210" t="str">
        <f>IF(AND(C28="Skema 1",B28="on"),Skemaoplysninger!$I$30,"")</f>
        <v/>
      </c>
      <c r="BJ28" s="210" t="str">
        <f>IF(AND(C28="Skema 1",B28="to"),Skemaoplysninger!$K$30,"")</f>
        <v/>
      </c>
      <c r="BK28" s="210" t="str">
        <f>IF(AND(C28="Skema 1",B28="fr"),Skemaoplysninger!$M$30,"")</f>
        <v/>
      </c>
      <c r="BL28" s="210" t="str">
        <f>IF(AND(C28="Skema 2",B28="ma"),Skemaoplysninger!$S$30,"")</f>
        <v/>
      </c>
      <c r="BM28" s="210" t="str">
        <f>IF(AND(C28="Skema 2",B28="ti"),Skemaoplysninger!$U$30,"")</f>
        <v/>
      </c>
      <c r="BN28" s="210" t="str">
        <f>IF(AND(C28="Skema 2",B28="on"),Skemaoplysninger!$W$30,"")</f>
        <v/>
      </c>
      <c r="BO28" s="210" t="str">
        <f>IF(AND(C28="Skema 2",B28="to"),Skemaoplysninger!$Y$30,"")</f>
        <v/>
      </c>
      <c r="BP28" s="210" t="str">
        <f>IF(AND(C28="Skema 2",B28="fr"),Skemaoplysninger!$AA$30,"")</f>
        <v/>
      </c>
      <c r="BQ28" s="210" t="str">
        <f>IF(AND(C28="Skema 3",B28="ma"),Skemaoplysninger!$AG$30,"")</f>
        <v/>
      </c>
      <c r="BR28" s="210" t="str">
        <f>IF(AND(C28="Skema 3",B28="ti"),Skemaoplysninger!$AI$30,"")</f>
        <v/>
      </c>
      <c r="BS28" s="210" t="str">
        <f>IF(AND(C28="Skema 3",B28="on"),Skemaoplysninger!$AK$30,"")</f>
        <v/>
      </c>
      <c r="BT28" s="210" t="str">
        <f>IF(AND(C28="Skema 3",B28="to"),Skemaoplysninger!$AM$30,"")</f>
        <v/>
      </c>
      <c r="BU28" s="210" t="str">
        <f>IF(AND(C28="Skema 3",B28="fr"),Skemaoplysninger!$AO$30,"")</f>
        <v/>
      </c>
      <c r="BV28" s="210" t="str">
        <f>IF(AND(C28="Skema 4",B28="ma"),Skemaoplysninger!$AU$30,"")</f>
        <v/>
      </c>
      <c r="BW28" s="210" t="str">
        <f>IF(AND(C28="Skema 4",B28="ti"),Skemaoplysninger!$AW$30,"")</f>
        <v/>
      </c>
      <c r="BX28" s="210" t="str">
        <f>IF(AND(C28="Skema 4",B28="on"),Skemaoplysninger!$AY$30,"")</f>
        <v/>
      </c>
      <c r="BY28" s="210" t="str">
        <f>IF(AND(C28="Skema 4",B28="to"),Skemaoplysninger!$BA$30,"")</f>
        <v/>
      </c>
      <c r="BZ28" s="210" t="str">
        <f>IF(AND(C28="Skema 4",B28="fr"),Skemaoplysninger!$BC$30,"")</f>
        <v/>
      </c>
      <c r="CA28" s="1">
        <f t="shared" si="25"/>
        <v>4</v>
      </c>
      <c r="CB28" s="1">
        <f t="shared" si="12"/>
        <v>0</v>
      </c>
      <c r="CC28" s="1">
        <f t="shared" si="13"/>
        <v>1.5</v>
      </c>
      <c r="CD28" s="210" t="str">
        <f>IF(AND(C28="Skema 1",B28="ma"),Skemaoplysninger!$E$31,"")</f>
        <v/>
      </c>
      <c r="CE28" s="210" t="str">
        <f>IF(AND(C28="Skema 1",B28="ti"),Skemaoplysninger!$G$31,"")</f>
        <v/>
      </c>
      <c r="CF28" s="210" t="str">
        <f>IF(AND(C28="Skema 1",B28="on"),Skemaoplysninger!$I$31,"")</f>
        <v/>
      </c>
      <c r="CG28" s="210" t="str">
        <f>IF(AND(C28="Skema 1",B28="to"),Skemaoplysninger!$K$31,"")</f>
        <v/>
      </c>
      <c r="CH28" s="210" t="str">
        <f>IF(AND(C28="Skema 1",B28="fr"),Skemaoplysninger!$M$31,"")</f>
        <v/>
      </c>
      <c r="CI28" s="210" t="str">
        <f>IF(AND(C28="Skema 2",B28="ma"),Skemaoplysninger!$S$31,"")</f>
        <v/>
      </c>
      <c r="CJ28" s="210" t="str">
        <f>IF(AND(C28="Skema 2",B28="ti"),Skemaoplysninger!$U$31,"")</f>
        <v/>
      </c>
      <c r="CK28" s="210" t="str">
        <f>IF(AND(C28="Skema 2",B28="on"),Skemaoplysninger!$W$31,"")</f>
        <v/>
      </c>
      <c r="CL28" s="210" t="str">
        <f>IF(AND(C28="Skema 2",B28="to"),Skemaoplysninger!$Y$31,"")</f>
        <v/>
      </c>
      <c r="CM28" s="210" t="str">
        <f>IF(AND(C28="Skema 2",B28="fr"),Skemaoplysninger!$AA$31,"")</f>
        <v/>
      </c>
      <c r="CN28" s="210" t="str">
        <f>IF(AND(C28="Skema 3",B28="ma"),Skemaoplysninger!$AG$31,"")</f>
        <v/>
      </c>
      <c r="CO28" s="210" t="str">
        <f>IF(AND(C28="Skema 3",B28="ti"),Skemaoplysninger!$AI$31,"")</f>
        <v/>
      </c>
      <c r="CP28" s="210" t="str">
        <f>IF(AND(C28="Skema 3",B28="on"),Skemaoplysninger!$AK$31,"")</f>
        <v/>
      </c>
      <c r="CQ28" s="210" t="str">
        <f>IF(AND(C28="Skema 3",B28="to"),Skemaoplysninger!$AM$31,"")</f>
        <v/>
      </c>
      <c r="CR28" s="210" t="str">
        <f>IF(AND(C28="Skema 3",B28="fr"),Skemaoplysninger!$AO$31,"")</f>
        <v/>
      </c>
      <c r="CS28" s="210" t="str">
        <f>IF(AND(C28="Skema 4",B28="ma"),Skemaoplysninger!$AU$31,"")</f>
        <v/>
      </c>
      <c r="CT28" s="210" t="str">
        <f>IF(AND(C28="Skema 4",B28="ti"),Skemaoplysninger!$AW$31,"")</f>
        <v/>
      </c>
      <c r="CU28" s="210" t="str">
        <f>IF(AND(C28="Skema 4",B28="on"),Skemaoplysninger!$AY$31,"")</f>
        <v/>
      </c>
      <c r="CV28" s="210" t="str">
        <f>IF(AND(C28="Skema 4",B28="to"),Skemaoplysninger!$BA$31,"")</f>
        <v/>
      </c>
      <c r="CW28" s="210" t="str">
        <f>IF(AND(C28="Skema 4",B28="fr"),Skemaoplysninger!$BC$31,"")</f>
        <v/>
      </c>
      <c r="CX28" s="249">
        <f>IF(Stamoplysninger!$H$29="NEJ",SUM(CD28:CW28)*24+CB28+CC28,0)</f>
        <v>1.5</v>
      </c>
      <c r="CY28" s="249">
        <f>IF(C28="Skema 1",Stamoplysninger!$H$30/200,0)</f>
        <v>0</v>
      </c>
      <c r="CZ28" s="249">
        <f>IF(C28="Skema 2",Stamoplysninger!$H$30/200,0)</f>
        <v>0</v>
      </c>
      <c r="DA28" s="249">
        <f>IF(C28="Skema 3",Stamoplysninger!$H$30/200,0)</f>
        <v>0</v>
      </c>
      <c r="DB28" s="249">
        <f>IF(C28="Skema 4",Stamoplysninger!$H$30/200,0)</f>
        <v>0</v>
      </c>
      <c r="DC28" s="249">
        <f>IF(C28="fagdag",Stamoplysninger!$H$30/200,0)</f>
        <v>0</v>
      </c>
      <c r="DD28" s="249">
        <f>IF(C28="emnedag",Stamoplysninger!$H$30/200,0)</f>
        <v>0</v>
      </c>
      <c r="DE28" s="249">
        <f>IF(C28="lejrskole",Stamoplysninger!$H$30/200,0)</f>
        <v>0</v>
      </c>
      <c r="DF28" s="249">
        <f>IF(C28="ekskursion",Stamoplysninger!$H$30/200,0)</f>
        <v>0</v>
      </c>
      <c r="DG28" s="249">
        <f t="shared" si="26"/>
        <v>0</v>
      </c>
      <c r="DH28" t="str">
        <f t="shared" si="27"/>
        <v/>
      </c>
      <c r="DI28" t="str">
        <f t="shared" si="28"/>
        <v>Tværdag med naboskole</v>
      </c>
      <c r="DJ28" t="str">
        <f t="shared" si="29"/>
        <v/>
      </c>
      <c r="DK28" t="str">
        <f t="shared" si="14"/>
        <v/>
      </c>
      <c r="DL28" t="str">
        <f t="shared" si="14"/>
        <v>Tværdag med naboskole</v>
      </c>
      <c r="DM28" t="str">
        <f t="shared" si="14"/>
        <v/>
      </c>
      <c r="DN28" t="str">
        <f t="shared" si="30"/>
        <v>Tværdag med naboskole</v>
      </c>
      <c r="DO28" s="652">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71">
        <f>IF(AND(Stamoplysninger!$B$22="Ulempetillæg udbetales med 25% af nettotimelønnen.",C28="ikke relevant"),(R28)/4,0)</f>
        <v>0</v>
      </c>
      <c r="DT28" s="671">
        <f>IF(AND(AND(Stamoplysninger!$B$22="Ulempetillæg udbetales med 25% af nettotimelønnen.",I28="X",C28="Ikke relevant")),K28/4,0)</f>
        <v>0</v>
      </c>
      <c r="DU28" s="671">
        <f>IF(AND(AND(Stamoplysninger!$B$22="Ulempetillæg udbetales med 25% af nettotimelønnen.",C28="ikke relevant",U28="X")),(X28/4),0)</f>
        <v>0</v>
      </c>
      <c r="DV28" s="672">
        <f>IF(AND(AND(AND(Stamoplysninger!$B$22="Ulempetillæg udbetales med 25% af nettotimelønnen.",I28="X",C28="Ikke relevant",S28="X"))),V28/4,0)</f>
        <v>0</v>
      </c>
      <c r="DW28" s="652"/>
      <c r="DZ28" s="671"/>
      <c r="EA28" s="671"/>
      <c r="EB28" s="672"/>
      <c r="EC28" s="652">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71">
        <f>IF(AND(Stamoplysninger!$B$22="Ulempetillæg afspadseres med 25%(Kræver en aftale imellem ledelsen og den ansatte)",C28="ikke relevant"),(R28)/4,0)</f>
        <v>0</v>
      </c>
      <c r="EH28" s="671">
        <f>IF(AND(AND(Stamoplysninger!$B$22="Ulempetillæg afspadseres med 25%(Kræver en aftale imellem ledelsen og den ansatte)",I28="X",C28="Ikke relevant")),K28/4,0)</f>
        <v>0</v>
      </c>
      <c r="EI28" s="671">
        <f>IF(AND(AND(Stamoplysninger!$B$22="Ulempetillæg afspadseres med 25%(Kræver en aftale imellem ledelsen og den ansatte)",U28="X",C28="Ikke relevant")),X28/4,0)</f>
        <v>0</v>
      </c>
      <c r="EJ28" s="671">
        <f>IF(AND(AND(AND(Stamoplysninger!$B$22="Ulempetillæg afspadseres med 25%(Kræver en aftale imellem ledelsen og den ansatte)",I28="X",C28="Ikke relevant",S28="X"))),V28/4,0)</f>
        <v>0</v>
      </c>
      <c r="EK28" s="283">
        <f>IF(AND(Stamoplysninger!$B$26="Weekendtimer og weekendtillæg afspadseres.",I28="X"),K28*1.5,0)</f>
        <v>0</v>
      </c>
      <c r="EL28" s="251">
        <f>IF(AND(AND(Stamoplysninger!$B$26="Weekendtimer og weekendtillæg afspadseres.",I28="X",S28="X")),V28*1.5,0)</f>
        <v>0</v>
      </c>
      <c r="EM28" s="674">
        <f>IF(AND(AND(Stamoplysninger!$B$26="Weekendtimer og weekendtillæg afspadseres.",I28="X",C28="ikke relevant")),K28*1.5,0)</f>
        <v>0</v>
      </c>
      <c r="EN28" s="675">
        <f>IF(AND(AND(AND(Stamoplysninger!$B$26="Weekendtimer og weekendtillæg afspadseres.",I28="X",C28="ikke relevant",S28="X"))),(V28*1.5),0)</f>
        <v>0</v>
      </c>
      <c r="EO28" s="283">
        <f>IF(AND(Stamoplysninger!$B$26="Weekendtimer og weekendtillæg udbetales.",I28="X"),K28*1.5,0)</f>
        <v>0</v>
      </c>
      <c r="EP28" s="251">
        <f>IF(AND(AND(Stamoplysninger!$B$26="Weekendtimer og weekendtillæg udbetales.",I28="X",S28="X")),V28*1.5,0)</f>
        <v>0</v>
      </c>
      <c r="EQ28" s="674">
        <f>IF(AND(AND(Stamoplysninger!$B$26="Weekendtimer og weekendtillæg udbetales.",I28="X",C28="ikke relevant")),K28*1.5,0)</f>
        <v>0</v>
      </c>
      <c r="ER28" s="675">
        <f>IF(AND(AND(AND(Stamoplysninger!$B$26="Weekendtimer og weekendtillæg udbetales.",I28="X",C28="ikke relevant",S28="X"))),(V28*1.5),0)</f>
        <v>0</v>
      </c>
      <c r="ES28" s="283">
        <f>IF(AND(Stamoplysninger!$B$26="Der er indgået lokalaftale omkring weekendtimer.(Kræver aftale med TR/FSL) Weekendtillæg afspadseres.",I28="X"),K28*0.5,0)</f>
        <v>0</v>
      </c>
      <c r="ET28" s="251">
        <f>IF(AND(AND(Stamoplysninger!$B$26="Der er indgået lokalaftale omkring weekendtimer.(Kræver aftale med TR/FSL) Weekendtillæg afspadseres.",I28="X",S28="X")),V28*0.5,0)</f>
        <v>0</v>
      </c>
      <c r="EU28" s="674">
        <f>IF(AND(AND(Stamoplysninger!$B$26="Der er indgået lokalaftale omkring weekendtimer.(Kræver aftale med TR/FSL) Weekendtillæg afspadseres.",I28="X",C28="ikke relevant")),K28*0.5,0)</f>
        <v>0</v>
      </c>
      <c r="EV28" s="675">
        <f>IF(AND(AND(AND(Stamoplysninger!$B$26="Der er indgået lokalaftale omkring weekendtimer.(Kræver aftale med TR/FSL) Weekendtillæg afspadseres.",I28="X",C28="ikke relevant",S28="X"))),(V28*0.5),0)</f>
        <v>0</v>
      </c>
      <c r="EW28" s="283">
        <f>IF(AND(Stamoplysninger!$B$26="Der er indgået lokalaftale omkring weekendtimer(Kræver aftale med TR/FSL). Weekendtillæg udbetales.",I28="X"),K28*0.5,0)</f>
        <v>0</v>
      </c>
      <c r="EX28" s="251">
        <f>IF(AND(AND(Stamoplysninger!$B$26="Der er indgået lokalaftale omkring weekendtimer(Kræver aftale med TR/FSL). Weekendtillæg udbetales.",I28="X",S28="X")),V28*0.5,0)</f>
        <v>0</v>
      </c>
      <c r="EY28" s="674">
        <f>IF(AND(AND(Stamoplysninger!$B$26="Der er indgået lokalaftale omkring weekendtimer(Kræver aftale med TR/FSL). Weekendtillæg udbetales.",I28="X",C28="ikke relevant")),K28*0.5,0)</f>
        <v>0</v>
      </c>
      <c r="EZ28" s="675">
        <f>IF(AND(AND(AND(Stamoplysninger!$B$26="Der er indgået lokalaftale omkring weekendtimer(Kræver aftale med TR/FSL). Weekendtillæg udbetales.",I28="X",C28="ikke relevant",S28="X"))),(V28*0.5),0)</f>
        <v>0</v>
      </c>
      <c r="FA28" s="283">
        <f>IF(AND(Stamoplysninger!$B$26="Der er indgået lokalaftale omkring weekendtillæg(Kræver aftale med TR/FSL). Weekendtimerne afspadseres.",I28="X"),K28,0)</f>
        <v>0</v>
      </c>
      <c r="FB28" s="251">
        <f>IF(AND(AND(Stamoplysninger!$B$26="Der er indgået lokalaftale omkring weekendtillæg(Kræver aftale med TR/FSL). Weekendtimerne afspadseres.",I28="X",S28="X")),V28,0)</f>
        <v>0</v>
      </c>
      <c r="FC28" s="674">
        <f>IF(AND(AND(Stamoplysninger!$B$26="Der er indgået lokalaftale omkring weekendtillæg(Kræver aftale med TR/FSL). Weekendtimerne afspadseres..",I28="X",C28="ikke relevant")),K28,0)</f>
        <v>0</v>
      </c>
      <c r="FD28" s="675">
        <f>IF(AND(AND(AND(Stamoplysninger!$B$26="Der er indgået lokalaftale omkring weekendtillæg(Kræver aftale med TR/FSL). Weekendtimerne afspadseres.",I28="X",C28="ikke relevant",S28="X"))),(V28),0)</f>
        <v>0</v>
      </c>
      <c r="FE28" s="283">
        <f>IF(AND(Stamoplysninger!$B$26="Der er indgået lokalaftale omkring weekendtillæg(Kræver aftale med TR/FSL). Weekendtimerne udbetales.",I28="X"),K28,0)</f>
        <v>0</v>
      </c>
      <c r="FF28" s="251">
        <f>IF(AND(AND(Stamoplysninger!$B$26="Der er indgået lokalaftale omkring weekendtillæg(Kræver aftale med TR/FSL). Weekendtimerne udbetales.",I28="X",S28="X")),V28,0)</f>
        <v>0</v>
      </c>
      <c r="FG28" s="674">
        <f>IF(AND(AND(Stamoplysninger!$B$26="Der er indgået lokalaftale omkring weekendtillæg(Kræver aftale med TR/FSL). Weekendtimerne udbetales.",I28="X",C28="ikke relevant")),K28,0)</f>
        <v>0</v>
      </c>
      <c r="FH28" s="675">
        <f>IF(AND(AND(AND(Stamoplysninger!$B$26="Der er indgået lokalaftale omkring weekendtillæg(Kræver aftale med TR/FSL). Weekendtimerne udbetales.",I28="X",C28="ikke relevant",S28="X"))),(V28),0)</f>
        <v>0</v>
      </c>
      <c r="FI28" s="283">
        <f>IF(AND(Stamoplysninger!$B$26="Weekendtimer og weekendtillæg afspadseres.",I28="X"),K28,0)</f>
        <v>0</v>
      </c>
      <c r="FJ28" s="251">
        <f>IF(AND(Stamoplysninger!$B$26="Weekendtimer og weekendtillæg afspadseres.",Y28="X"),(AA28+AL28)/2,0)</f>
        <v>0</v>
      </c>
      <c r="FK28" s="674">
        <f>IF(AND(AND(Stamoplysninger!$B$26="Weekendtimer og weekendtillæg afspadseres.",I28="X",C28="ikke relevant")),K28,0)</f>
        <v>0</v>
      </c>
      <c r="FL28" s="675">
        <f>IF(AND(AND(Stamoplysninger!$B$26="Weekendtimer og weekendtillæg afspadseres.",Y28="X",S28="ikke relevant")),(AA28+AL28)/2,0)</f>
        <v>0</v>
      </c>
      <c r="FM28" s="283">
        <f>IF(AND(Stamoplysninger!$B$26="Der er indgået lokalaftale omkring weekendtillæg(Kræver aftale med TR/FSL). Weekendtimerne afspadseres.",I28="X"),K28,0)</f>
        <v>0</v>
      </c>
      <c r="FN28" s="674">
        <f>IF(AND(AND(Stamoplysninger!$B$26="Der er indgået lokalaftale omkring weekendtillæg(Kræver aftale med TR/FSL). Weekendtimerne afspadseres.",I28="X",C28="ikke relevant")),K28,0)</f>
        <v>0</v>
      </c>
      <c r="FO28" s="283">
        <f>IF(AND(Stamoplysninger!$B$26="Weekendtimer og weekendtillæg udbetales.",I28="X"),K28,0)</f>
        <v>0</v>
      </c>
      <c r="FP28" s="251">
        <f>IF(AND(Stamoplysninger!$B$26="Weekendtimer og weekendtillæg udbetales.",AA28="X"),(AC28+AN28)/2,0)</f>
        <v>0</v>
      </c>
      <c r="FQ28" s="674">
        <f>IF(AND(AND(Stamoplysninger!$B$26="Weekendtimer og weekendtillæg udbetales.",I28="X",C28="ikke relevant")),K28,0)</f>
        <v>0</v>
      </c>
      <c r="FR28" s="688">
        <f>IF(AND(AND(Stamoplysninger!$B$26="Weekendtimer og weekendtillæg udbetales.",AA28="X",U28="ikke relevant")),(AC28+AN28)/2,0)</f>
        <v>0</v>
      </c>
      <c r="FS28" s="283">
        <f t="shared" si="15"/>
        <v>0</v>
      </c>
      <c r="FT28" s="658">
        <f t="shared" si="16"/>
        <v>0</v>
      </c>
      <c r="FU28">
        <f t="shared" si="17"/>
        <v>0</v>
      </c>
      <c r="FV28" s="283">
        <f>IF(AND(Stamoplysninger!$B$26="Der er indgået lokalaftale omkring weekendtimer.(Kræver aftale med TR/FSL) Weekendtillæg afspadseres.",I28="X"),K28,0)</f>
        <v>0</v>
      </c>
      <c r="FW28" s="674">
        <f>IF(AND(AND(Stamoplysninger!$B$26="Der er indgået lokalaftale omkring weekendtimer.(Kræver aftale med TR/FSL) Weekendtillæg afspadseres.",I28="X",C28="ikke relevant")),K28,0)</f>
        <v>0</v>
      </c>
      <c r="FX28" s="283">
        <f>IF(AND(Stamoplysninger!$B$26="Der er indgået lokalaftale omkring weekendtimer(Kræver aftale med TR/FSL). Weekendtillæg udbetales.",I28="X"),K28,0)</f>
        <v>0</v>
      </c>
      <c r="FY28" s="674">
        <f>IF(AND(AND(Stamoplysninger!$B$26="Der er indgået lokalaftale omkring weekendtimer(Kræver aftale med TR/FSL). Weekendtillæg udbetales.",I28="X",C28="ikke relevant")),K28,0)</f>
        <v>0</v>
      </c>
      <c r="FZ28" s="283">
        <f>IF(AND(Stamoplysninger!$B$26="Der er indgået lokalaftale omkring weekendtillæg(Kræver aftale med TR/FSL). Weekendtimerne udbetales.",I28="X"),K28,0)</f>
        <v>0</v>
      </c>
      <c r="GA28" s="674">
        <f>IF(AND(AND(Stamoplysninger!$B$26="Der er indgået lokalaftale omkring weekendtillæg(Kræver aftale med TR/FSL). Weekendtimerne udbetales.",I28="X",C28="ikke relevant")),K28,0)</f>
        <v>0</v>
      </c>
      <c r="GB28" s="283">
        <f>IF(AND(Stamoplysninger!$B$26="Der er indgået lokalaftale omkring weekendtimer og weekendtillæg.(Kræver aftale med TR/FSL).",I28="X"),K28,0)</f>
        <v>0</v>
      </c>
      <c r="GC28" s="674">
        <f>IF(AND(AND(Stamoplysninger!$B$26="Der er indgået lokalaftale omkring weekendtimer og weekendtillæg.(Kræver aftale med TR/FSL).",I28="X",C28="ikke relevant")),K28,0)</f>
        <v>0</v>
      </c>
    </row>
    <row r="29" spans="1:185">
      <c r="A29" s="245">
        <f t="shared" si="18"/>
        <v>21</v>
      </c>
      <c r="B29" s="128" t="str">
        <f t="shared" si="0"/>
        <v>fr</v>
      </c>
      <c r="C29" s="129" t="s">
        <v>207</v>
      </c>
      <c r="D29" s="130" t="str">
        <f t="shared" si="1"/>
        <v/>
      </c>
      <c r="E29" s="917"/>
      <c r="F29" s="918"/>
      <c r="G29" s="919"/>
      <c r="H29" s="298"/>
      <c r="I29" s="527"/>
      <c r="J29" s="413"/>
      <c r="K29" s="380"/>
      <c r="L29" s="380"/>
      <c r="M29" s="380"/>
      <c r="N29" s="318">
        <f t="shared" si="19"/>
        <v>7</v>
      </c>
      <c r="O29" s="318">
        <f t="shared" si="20"/>
        <v>3</v>
      </c>
      <c r="P29" s="318">
        <f>IF(Stamoplysninger!$H$29="JA",Marts!DG29,CX29)</f>
        <v>0.83333333333333337</v>
      </c>
      <c r="Q29" s="318">
        <f t="shared" si="21"/>
        <v>3.1666666666666665</v>
      </c>
      <c r="R29" s="319"/>
      <c r="S29" s="324"/>
      <c r="T29" s="325"/>
      <c r="U29" s="325"/>
      <c r="V29" s="435"/>
      <c r="W29" s="412"/>
      <c r="X29" s="642"/>
      <c r="Y29">
        <f t="shared" si="22"/>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f>IF(AND(C29="Skema 2",B29="fr"),Arbejdstidsoversigt!$E$85,"")</f>
        <v>7</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7</v>
      </c>
      <c r="BB29" s="229">
        <f t="shared" si="8"/>
        <v>0</v>
      </c>
      <c r="BC29" s="1">
        <f t="shared" si="24"/>
        <v>0</v>
      </c>
      <c r="BD29" s="1">
        <f t="shared" si="9"/>
        <v>0</v>
      </c>
      <c r="BE29" s="1">
        <f t="shared" si="10"/>
        <v>0</v>
      </c>
      <c r="BF29" s="1">
        <f t="shared" si="11"/>
        <v>0</v>
      </c>
      <c r="BG29" s="210" t="str">
        <f>IF(AND(C29="Skema 1",B29="ma"),Skemaoplysninger!$E$30,"")</f>
        <v/>
      </c>
      <c r="BH29" s="210" t="str">
        <f>IF(AND(C29="Skema 1",B29="ti"),Skemaoplysninger!$G$30,"")</f>
        <v/>
      </c>
      <c r="BI29" s="210" t="str">
        <f>IF(AND(C29="Skema 1",B29="on"),Skemaoplysninger!$I$30,"")</f>
        <v/>
      </c>
      <c r="BJ29" s="210" t="str">
        <f>IF(AND(C29="Skema 1",B29="to"),Skemaoplysninger!$K$30,"")</f>
        <v/>
      </c>
      <c r="BK29" s="210" t="str">
        <f>IF(AND(C29="Skema 1",B29="fr"),Skemaoplysninger!$M$30,"")</f>
        <v/>
      </c>
      <c r="BL29" s="210" t="str">
        <f>IF(AND(C29="Skema 2",B29="ma"),Skemaoplysninger!$S$30,"")</f>
        <v/>
      </c>
      <c r="BM29" s="210" t="str">
        <f>IF(AND(C29="Skema 2",B29="ti"),Skemaoplysninger!$U$30,"")</f>
        <v/>
      </c>
      <c r="BN29" s="210" t="str">
        <f>IF(AND(C29="Skema 2",B29="on"),Skemaoplysninger!$W$30,"")</f>
        <v/>
      </c>
      <c r="BO29" s="210" t="str">
        <f>IF(AND(C29="Skema 2",B29="to"),Skemaoplysninger!$Y$30,"")</f>
        <v/>
      </c>
      <c r="BP29" s="210">
        <f>IF(AND(C29="Skema 2",B29="fr"),Skemaoplysninger!$AA$30,"")</f>
        <v>0.125</v>
      </c>
      <c r="BQ29" s="210" t="str">
        <f>IF(AND(C29="Skema 3",B29="ma"),Skemaoplysninger!$AG$30,"")</f>
        <v/>
      </c>
      <c r="BR29" s="210" t="str">
        <f>IF(AND(C29="Skema 3",B29="ti"),Skemaoplysninger!$AI$30,"")</f>
        <v/>
      </c>
      <c r="BS29" s="210" t="str">
        <f>IF(AND(C29="Skema 3",B29="on"),Skemaoplysninger!$AK$30,"")</f>
        <v/>
      </c>
      <c r="BT29" s="210" t="str">
        <f>IF(AND(C29="Skema 3",B29="to"),Skemaoplysninger!$AM$30,"")</f>
        <v/>
      </c>
      <c r="BU29" s="210" t="str">
        <f>IF(AND(C29="Skema 3",B29="fr"),Skemaoplysninger!$AO$30,"")</f>
        <v/>
      </c>
      <c r="BV29" s="210" t="str">
        <f>IF(AND(C29="Skema 4",B29="ma"),Skemaoplysninger!$AU$30,"")</f>
        <v/>
      </c>
      <c r="BW29" s="210" t="str">
        <f>IF(AND(C29="Skema 4",B29="ti"),Skemaoplysninger!$AW$30,"")</f>
        <v/>
      </c>
      <c r="BX29" s="210" t="str">
        <f>IF(AND(C29="Skema 4",B29="on"),Skemaoplysninger!$AY$30,"")</f>
        <v/>
      </c>
      <c r="BY29" s="210" t="str">
        <f>IF(AND(C29="Skema 4",B29="to"),Skemaoplysninger!$BA$30,"")</f>
        <v/>
      </c>
      <c r="BZ29" s="210" t="str">
        <f>IF(AND(C29="Skema 4",B29="fr"),Skemaoplysninger!$BC$30,"")</f>
        <v/>
      </c>
      <c r="CA29" s="1">
        <f t="shared" si="25"/>
        <v>3</v>
      </c>
      <c r="CB29" s="1">
        <f t="shared" si="12"/>
        <v>0</v>
      </c>
      <c r="CC29" s="1">
        <f t="shared" si="13"/>
        <v>0</v>
      </c>
      <c r="CD29" s="210" t="str">
        <f>IF(AND(C29="Skema 1",B29="ma"),Skemaoplysninger!$E$31,"")</f>
        <v/>
      </c>
      <c r="CE29" s="210" t="str">
        <f>IF(AND(C29="Skema 1",B29="ti"),Skemaoplysninger!$G$31,"")</f>
        <v/>
      </c>
      <c r="CF29" s="210" t="str">
        <f>IF(AND(C29="Skema 1",B29="on"),Skemaoplysninger!$I$31,"")</f>
        <v/>
      </c>
      <c r="CG29" s="210" t="str">
        <f>IF(AND(C29="Skema 1",B29="to"),Skemaoplysninger!$K$31,"")</f>
        <v/>
      </c>
      <c r="CH29" s="210" t="str">
        <f>IF(AND(C29="Skema 1",B29="fr"),Skemaoplysninger!$M$31,"")</f>
        <v/>
      </c>
      <c r="CI29" s="210" t="str">
        <f>IF(AND(C29="Skema 2",B29="ma"),Skemaoplysninger!$S$31,"")</f>
        <v/>
      </c>
      <c r="CJ29" s="210" t="str">
        <f>IF(AND(C29="Skema 2",B29="ti"),Skemaoplysninger!$U$31,"")</f>
        <v/>
      </c>
      <c r="CK29" s="210" t="str">
        <f>IF(AND(C29="Skema 2",B29="on"),Skemaoplysninger!$W$31,"")</f>
        <v/>
      </c>
      <c r="CL29" s="210" t="str">
        <f>IF(AND(C29="Skema 2",B29="to"),Skemaoplysninger!$Y$31,"")</f>
        <v/>
      </c>
      <c r="CM29" s="210">
        <f>IF(AND(C29="Skema 2",B29="fr"),Skemaoplysninger!$AA$31,"")</f>
        <v>3.4722222222222224E-2</v>
      </c>
      <c r="CN29" s="210" t="str">
        <f>IF(AND(C29="Skema 3",B29="ma"),Skemaoplysninger!$AG$31,"")</f>
        <v/>
      </c>
      <c r="CO29" s="210" t="str">
        <f>IF(AND(C29="Skema 3",B29="ti"),Skemaoplysninger!$AI$31,"")</f>
        <v/>
      </c>
      <c r="CP29" s="210" t="str">
        <f>IF(AND(C29="Skema 3",B29="on"),Skemaoplysninger!$AK$31,"")</f>
        <v/>
      </c>
      <c r="CQ29" s="210" t="str">
        <f>IF(AND(C29="Skema 3",B29="to"),Skemaoplysninger!$AM$31,"")</f>
        <v/>
      </c>
      <c r="CR29" s="210" t="str">
        <f>IF(AND(C29="Skema 3",B29="fr"),Skemaoplysninger!$AO$31,"")</f>
        <v/>
      </c>
      <c r="CS29" s="210" t="str">
        <f>IF(AND(C29="Skema 4",B29="ma"),Skemaoplysninger!$AU$31,"")</f>
        <v/>
      </c>
      <c r="CT29" s="210" t="str">
        <f>IF(AND(C29="Skema 4",B29="ti"),Skemaoplysninger!$AW$31,"")</f>
        <v/>
      </c>
      <c r="CU29" s="210" t="str">
        <f>IF(AND(C29="Skema 4",B29="on"),Skemaoplysninger!$AY$31,"")</f>
        <v/>
      </c>
      <c r="CV29" s="210" t="str">
        <f>IF(AND(C29="Skema 4",B29="to"),Skemaoplysninger!$BA$31,"")</f>
        <v/>
      </c>
      <c r="CW29" s="210" t="str">
        <f>IF(AND(C29="Skema 4",B29="fr"),Skemaoplysninger!$BC$31,"")</f>
        <v/>
      </c>
      <c r="CX29" s="249">
        <f>IF(Stamoplysninger!$H$29="NEJ",SUM(CD29:CW29)*24+CB29+CC29,0)</f>
        <v>0.83333333333333337</v>
      </c>
      <c r="CY29" s="249">
        <f>IF(C29="Skema 1",Stamoplysninger!$H$30/200,0)</f>
        <v>0</v>
      </c>
      <c r="CZ29" s="249">
        <f>IF(C29="Skema 2",Stamoplysninger!$H$30/200,0)</f>
        <v>0</v>
      </c>
      <c r="DA29" s="249">
        <f>IF(C29="Skema 3",Stamoplysninger!$H$30/200,0)</f>
        <v>0</v>
      </c>
      <c r="DB29" s="249">
        <f>IF(C29="Skema 4",Stamoplysninger!$H$30/200,0)</f>
        <v>0</v>
      </c>
      <c r="DC29" s="249">
        <f>IF(C29="fagdag",Stamoplysninger!$H$30/200,0)</f>
        <v>0</v>
      </c>
      <c r="DD29" s="249">
        <f>IF(C29="emnedag",Stamoplysninger!$H$30/200,0)</f>
        <v>0</v>
      </c>
      <c r="DE29" s="249">
        <f>IF(C29="lejrskole",Stamoplysninger!$H$30/200,0)</f>
        <v>0</v>
      </c>
      <c r="DF29" s="249">
        <f>IF(C29="ekskursion",Stamoplysninger!$H$30/200,0)</f>
        <v>0</v>
      </c>
      <c r="DG29" s="249">
        <f t="shared" si="26"/>
        <v>0</v>
      </c>
      <c r="DH29" t="str">
        <f t="shared" si="27"/>
        <v/>
      </c>
      <c r="DI29">
        <f t="shared" si="28"/>
        <v>0</v>
      </c>
      <c r="DJ29">
        <f t="shared" si="29"/>
        <v>0</v>
      </c>
      <c r="DK29" t="str">
        <f t="shared" si="14"/>
        <v/>
      </c>
      <c r="DL29" t="str">
        <f t="shared" si="14"/>
        <v/>
      </c>
      <c r="DM29" t="str">
        <f t="shared" si="14"/>
        <v/>
      </c>
      <c r="DN29" t="str">
        <f t="shared" si="30"/>
        <v/>
      </c>
      <c r="DO29" s="652">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71">
        <f>IF(AND(Stamoplysninger!$B$22="Ulempetillæg udbetales med 25% af nettotimelønnen.",C29="ikke relevant"),(R29)/4,0)</f>
        <v>0</v>
      </c>
      <c r="DT29" s="671">
        <f>IF(AND(AND(Stamoplysninger!$B$22="Ulempetillæg udbetales med 25% af nettotimelønnen.",I29="X",C29="Ikke relevant")),K29/4,0)</f>
        <v>0</v>
      </c>
      <c r="DU29" s="671">
        <f>IF(AND(AND(Stamoplysninger!$B$22="Ulempetillæg udbetales med 25% af nettotimelønnen.",C29="ikke relevant",U29="X")),(X29/4),0)</f>
        <v>0</v>
      </c>
      <c r="DV29" s="672">
        <f>IF(AND(AND(AND(Stamoplysninger!$B$22="Ulempetillæg udbetales med 25% af nettotimelønnen.",I29="X",C29="Ikke relevant",S29="X"))),V29/4,0)</f>
        <v>0</v>
      </c>
      <c r="DW29" s="652"/>
      <c r="DZ29" s="671"/>
      <c r="EA29" s="671"/>
      <c r="EB29" s="672"/>
      <c r="EC29" s="652">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71">
        <f>IF(AND(Stamoplysninger!$B$22="Ulempetillæg afspadseres med 25%(Kræver en aftale imellem ledelsen og den ansatte)",C29="ikke relevant"),(R29)/4,0)</f>
        <v>0</v>
      </c>
      <c r="EH29" s="671">
        <f>IF(AND(AND(Stamoplysninger!$B$22="Ulempetillæg afspadseres med 25%(Kræver en aftale imellem ledelsen og den ansatte)",I29="X",C29="Ikke relevant")),K29/4,0)</f>
        <v>0</v>
      </c>
      <c r="EI29" s="671">
        <f>IF(AND(AND(Stamoplysninger!$B$22="Ulempetillæg afspadseres med 25%(Kræver en aftale imellem ledelsen og den ansatte)",U29="X",C29="Ikke relevant")),X29/4,0)</f>
        <v>0</v>
      </c>
      <c r="EJ29" s="671">
        <f>IF(AND(AND(AND(Stamoplysninger!$B$22="Ulempetillæg afspadseres med 25%(Kræver en aftale imellem ledelsen og den ansatte)",I29="X",C29="Ikke relevant",S29="X"))),V29/4,0)</f>
        <v>0</v>
      </c>
      <c r="EK29" s="283">
        <f>IF(AND(Stamoplysninger!$B$26="Weekendtimer og weekendtillæg afspadseres.",I29="X"),K29*1.5,0)</f>
        <v>0</v>
      </c>
      <c r="EL29" s="251">
        <f>IF(AND(AND(Stamoplysninger!$B$26="Weekendtimer og weekendtillæg afspadseres.",I29="X",S29="X")),V29*1.5,0)</f>
        <v>0</v>
      </c>
      <c r="EM29" s="674">
        <f>IF(AND(AND(Stamoplysninger!$B$26="Weekendtimer og weekendtillæg afspadseres.",I29="X",C29="ikke relevant")),K29*1.5,0)</f>
        <v>0</v>
      </c>
      <c r="EN29" s="675">
        <f>IF(AND(AND(AND(Stamoplysninger!$B$26="Weekendtimer og weekendtillæg afspadseres.",I29="X",C29="ikke relevant",S29="X"))),(V29*1.5),0)</f>
        <v>0</v>
      </c>
      <c r="EO29" s="283">
        <f>IF(AND(Stamoplysninger!$B$26="Weekendtimer og weekendtillæg udbetales.",I29="X"),K29*1.5,0)</f>
        <v>0</v>
      </c>
      <c r="EP29" s="251">
        <f>IF(AND(AND(Stamoplysninger!$B$26="Weekendtimer og weekendtillæg udbetales.",I29="X",S29="X")),V29*1.5,0)</f>
        <v>0</v>
      </c>
      <c r="EQ29" s="674">
        <f>IF(AND(AND(Stamoplysninger!$B$26="Weekendtimer og weekendtillæg udbetales.",I29="X",C29="ikke relevant")),K29*1.5,0)</f>
        <v>0</v>
      </c>
      <c r="ER29" s="675">
        <f>IF(AND(AND(AND(Stamoplysninger!$B$26="Weekendtimer og weekendtillæg udbetales.",I29="X",C29="ikke relevant",S29="X"))),(V29*1.5),0)</f>
        <v>0</v>
      </c>
      <c r="ES29" s="283">
        <f>IF(AND(Stamoplysninger!$B$26="Der er indgået lokalaftale omkring weekendtimer.(Kræver aftale med TR/FSL) Weekendtillæg afspadseres.",I29="X"),K29*0.5,0)</f>
        <v>0</v>
      </c>
      <c r="ET29" s="251">
        <f>IF(AND(AND(Stamoplysninger!$B$26="Der er indgået lokalaftale omkring weekendtimer.(Kræver aftale med TR/FSL) Weekendtillæg afspadseres.",I29="X",S29="X")),V29*0.5,0)</f>
        <v>0</v>
      </c>
      <c r="EU29" s="674">
        <f>IF(AND(AND(Stamoplysninger!$B$26="Der er indgået lokalaftale omkring weekendtimer.(Kræver aftale med TR/FSL) Weekendtillæg afspadseres.",I29="X",C29="ikke relevant")),K29*0.5,0)</f>
        <v>0</v>
      </c>
      <c r="EV29" s="675">
        <f>IF(AND(AND(AND(Stamoplysninger!$B$26="Der er indgået lokalaftale omkring weekendtimer.(Kræver aftale med TR/FSL) Weekendtillæg afspadseres.",I29="X",C29="ikke relevant",S29="X"))),(V29*0.5),0)</f>
        <v>0</v>
      </c>
      <c r="EW29" s="283">
        <f>IF(AND(Stamoplysninger!$B$26="Der er indgået lokalaftale omkring weekendtimer(Kræver aftale med TR/FSL). Weekendtillæg udbetales.",I29="X"),K29*0.5,0)</f>
        <v>0</v>
      </c>
      <c r="EX29" s="251">
        <f>IF(AND(AND(Stamoplysninger!$B$26="Der er indgået lokalaftale omkring weekendtimer(Kræver aftale med TR/FSL). Weekendtillæg udbetales.",I29="X",S29="X")),V29*0.5,0)</f>
        <v>0</v>
      </c>
      <c r="EY29" s="674">
        <f>IF(AND(AND(Stamoplysninger!$B$26="Der er indgået lokalaftale omkring weekendtimer(Kræver aftale med TR/FSL). Weekendtillæg udbetales.",I29="X",C29="ikke relevant")),K29*0.5,0)</f>
        <v>0</v>
      </c>
      <c r="EZ29" s="675">
        <f>IF(AND(AND(AND(Stamoplysninger!$B$26="Der er indgået lokalaftale omkring weekendtimer(Kræver aftale med TR/FSL). Weekendtillæg udbetales.",I29="X",C29="ikke relevant",S29="X"))),(V29*0.5),0)</f>
        <v>0</v>
      </c>
      <c r="FA29" s="283">
        <f>IF(AND(Stamoplysninger!$B$26="Der er indgået lokalaftale omkring weekendtillæg(Kræver aftale med TR/FSL). Weekendtimerne afspadseres.",I29="X"),K29,0)</f>
        <v>0</v>
      </c>
      <c r="FB29" s="251">
        <f>IF(AND(AND(Stamoplysninger!$B$26="Der er indgået lokalaftale omkring weekendtillæg(Kræver aftale med TR/FSL). Weekendtimerne afspadseres.",I29="X",S29="X")),V29,0)</f>
        <v>0</v>
      </c>
      <c r="FC29" s="674">
        <f>IF(AND(AND(Stamoplysninger!$B$26="Der er indgået lokalaftale omkring weekendtillæg(Kræver aftale med TR/FSL). Weekendtimerne afspadseres..",I29="X",C29="ikke relevant")),K29,0)</f>
        <v>0</v>
      </c>
      <c r="FD29" s="675">
        <f>IF(AND(AND(AND(Stamoplysninger!$B$26="Der er indgået lokalaftale omkring weekendtillæg(Kræver aftale med TR/FSL). Weekendtimerne afspadseres.",I29="X",C29="ikke relevant",S29="X"))),(V29),0)</f>
        <v>0</v>
      </c>
      <c r="FE29" s="283">
        <f>IF(AND(Stamoplysninger!$B$26="Der er indgået lokalaftale omkring weekendtillæg(Kræver aftale med TR/FSL). Weekendtimerne udbetales.",I29="X"),K29,0)</f>
        <v>0</v>
      </c>
      <c r="FF29" s="251">
        <f>IF(AND(AND(Stamoplysninger!$B$26="Der er indgået lokalaftale omkring weekendtillæg(Kræver aftale med TR/FSL). Weekendtimerne udbetales.",I29="X",S29="X")),V29,0)</f>
        <v>0</v>
      </c>
      <c r="FG29" s="674">
        <f>IF(AND(AND(Stamoplysninger!$B$26="Der er indgået lokalaftale omkring weekendtillæg(Kræver aftale med TR/FSL). Weekendtimerne udbetales.",I29="X",C29="ikke relevant")),K29,0)</f>
        <v>0</v>
      </c>
      <c r="FH29" s="675">
        <f>IF(AND(AND(AND(Stamoplysninger!$B$26="Der er indgået lokalaftale omkring weekendtillæg(Kræver aftale med TR/FSL). Weekendtimerne udbetales.",I29="X",C29="ikke relevant",S29="X"))),(V29),0)</f>
        <v>0</v>
      </c>
      <c r="FI29" s="283">
        <f>IF(AND(Stamoplysninger!$B$26="Weekendtimer og weekendtillæg afspadseres.",I29="X"),K29,0)</f>
        <v>0</v>
      </c>
      <c r="FJ29" s="251">
        <f>IF(AND(Stamoplysninger!$B$26="Weekendtimer og weekendtillæg afspadseres.",Y29="X"),(AA29+AL29)/2,0)</f>
        <v>0</v>
      </c>
      <c r="FK29" s="674">
        <f>IF(AND(AND(Stamoplysninger!$B$26="Weekendtimer og weekendtillæg afspadseres.",I29="X",C29="ikke relevant")),K29,0)</f>
        <v>0</v>
      </c>
      <c r="FL29" s="675">
        <f>IF(AND(AND(Stamoplysninger!$B$26="Weekendtimer og weekendtillæg afspadseres.",Y29="X",S29="ikke relevant")),(AA29+AL29)/2,0)</f>
        <v>0</v>
      </c>
      <c r="FM29" s="283">
        <f>IF(AND(Stamoplysninger!$B$26="Der er indgået lokalaftale omkring weekendtillæg(Kræver aftale med TR/FSL). Weekendtimerne afspadseres.",I29="X"),K29,0)</f>
        <v>0</v>
      </c>
      <c r="FN29" s="674">
        <f>IF(AND(AND(Stamoplysninger!$B$26="Der er indgået lokalaftale omkring weekendtillæg(Kræver aftale med TR/FSL). Weekendtimerne afspadseres.",I29="X",C29="ikke relevant")),K29,0)</f>
        <v>0</v>
      </c>
      <c r="FO29" s="283">
        <f>IF(AND(Stamoplysninger!$B$26="Weekendtimer og weekendtillæg udbetales.",I29="X"),K29,0)</f>
        <v>0</v>
      </c>
      <c r="FP29" s="251">
        <f>IF(AND(Stamoplysninger!$B$26="Weekendtimer og weekendtillæg udbetales.",AA29="X"),(AC29+AN29)/2,0)</f>
        <v>0</v>
      </c>
      <c r="FQ29" s="674">
        <f>IF(AND(AND(Stamoplysninger!$B$26="Weekendtimer og weekendtillæg udbetales.",I29="X",C29="ikke relevant")),K29,0)</f>
        <v>0</v>
      </c>
      <c r="FR29" s="688">
        <f>IF(AND(AND(Stamoplysninger!$B$26="Weekendtimer og weekendtillæg udbetales.",AA29="X",U29="ikke relevant")),(AC29+AN29)/2,0)</f>
        <v>0</v>
      </c>
      <c r="FS29" s="283">
        <f t="shared" si="15"/>
        <v>0</v>
      </c>
      <c r="FT29" s="658">
        <f t="shared" si="16"/>
        <v>0</v>
      </c>
      <c r="FU29">
        <f>IF(AND(C29="weekend",I29="X"),K29,0)</f>
        <v>0</v>
      </c>
      <c r="FV29" s="283">
        <f>IF(AND(Stamoplysninger!$B$26="Der er indgået lokalaftale omkring weekendtimer.(Kræver aftale med TR/FSL) Weekendtillæg afspadseres.",I29="X"),K29,0)</f>
        <v>0</v>
      </c>
      <c r="FW29" s="674">
        <f>IF(AND(AND(Stamoplysninger!$B$26="Der er indgået lokalaftale omkring weekendtimer.(Kræver aftale med TR/FSL) Weekendtillæg afspadseres.",I29="X",C29="ikke relevant")),K29,0)</f>
        <v>0</v>
      </c>
      <c r="FX29" s="283">
        <f>IF(AND(Stamoplysninger!$B$26="Der er indgået lokalaftale omkring weekendtimer(Kræver aftale med TR/FSL). Weekendtillæg udbetales.",I29="X"),K29,0)</f>
        <v>0</v>
      </c>
      <c r="FY29" s="674">
        <f>IF(AND(AND(Stamoplysninger!$B$26="Der er indgået lokalaftale omkring weekendtimer(Kræver aftale med TR/FSL). Weekendtillæg udbetales.",I29="X",C29="ikke relevant")),K29,0)</f>
        <v>0</v>
      </c>
      <c r="FZ29" s="283">
        <f>IF(AND(Stamoplysninger!$B$26="Der er indgået lokalaftale omkring weekendtillæg(Kræver aftale med TR/FSL). Weekendtimerne udbetales.",I29="X"),K29,0)</f>
        <v>0</v>
      </c>
      <c r="GA29" s="674">
        <f>IF(AND(AND(Stamoplysninger!$B$26="Der er indgået lokalaftale omkring weekendtillæg(Kræver aftale med TR/FSL). Weekendtimerne udbetales.",I29="X",C29="ikke relevant")),K29,0)</f>
        <v>0</v>
      </c>
      <c r="GB29" s="283">
        <f>IF(AND(Stamoplysninger!$B$26="Der er indgået lokalaftale omkring weekendtimer og weekendtillæg.(Kræver aftale med TR/FSL).",I29="X"),K29,0)</f>
        <v>0</v>
      </c>
      <c r="GC29" s="674">
        <f>IF(AND(AND(Stamoplysninger!$B$26="Der er indgået lokalaftale omkring weekendtimer og weekendtillæg.(Kræver aftale med TR/FSL).",I29="X",C29="ikke relevant")),K29,0)</f>
        <v>0</v>
      </c>
    </row>
    <row r="30" spans="1:185">
      <c r="A30" s="245">
        <f t="shared" si="18"/>
        <v>22</v>
      </c>
      <c r="B30" s="128" t="str">
        <f t="shared" si="0"/>
        <v>lø</v>
      </c>
      <c r="C30" s="129" t="s">
        <v>120</v>
      </c>
      <c r="D30" s="130" t="str">
        <f t="shared" si="1"/>
        <v/>
      </c>
      <c r="E30" s="917"/>
      <c r="F30" s="918"/>
      <c r="G30" s="919"/>
      <c r="H30" s="298"/>
      <c r="I30" s="311"/>
      <c r="J30" s="413"/>
      <c r="K30" s="380"/>
      <c r="L30" s="380"/>
      <c r="M30" s="380"/>
      <c r="N30" s="318">
        <f t="shared" si="19"/>
        <v>0</v>
      </c>
      <c r="O30" s="318">
        <f t="shared" si="20"/>
        <v>0</v>
      </c>
      <c r="P30" s="318">
        <f>IF(Stamoplysninger!$H$29="JA",Marts!DG30,CX30)</f>
        <v>0</v>
      </c>
      <c r="Q30" s="318">
        <f t="shared" si="21"/>
        <v>0</v>
      </c>
      <c r="R30" s="319"/>
      <c r="S30" s="324"/>
      <c r="T30" s="325"/>
      <c r="U30" s="325"/>
      <c r="V30" s="435"/>
      <c r="W30" s="412"/>
      <c r="X30" s="642"/>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9">
        <f t="shared" si="8"/>
        <v>0</v>
      </c>
      <c r="BC30" s="1">
        <f t="shared" si="24"/>
        <v>0</v>
      </c>
      <c r="BD30" s="1">
        <f t="shared" si="9"/>
        <v>0</v>
      </c>
      <c r="BE30" s="1">
        <f t="shared" si="10"/>
        <v>0</v>
      </c>
      <c r="BF30" s="1">
        <f t="shared" si="11"/>
        <v>0</v>
      </c>
      <c r="BG30" s="210" t="str">
        <f>IF(AND(C30="Skema 1",B30="ma"),Skemaoplysninger!$E$30,"")</f>
        <v/>
      </c>
      <c r="BH30" s="210" t="str">
        <f>IF(AND(C30="Skema 1",B30="ti"),Skemaoplysninger!$G$30,"")</f>
        <v/>
      </c>
      <c r="BI30" s="210" t="str">
        <f>IF(AND(C30="Skema 1",B30="on"),Skemaoplysninger!$I$30,"")</f>
        <v/>
      </c>
      <c r="BJ30" s="210" t="str">
        <f>IF(AND(C30="Skema 1",B30="to"),Skemaoplysninger!$K$30,"")</f>
        <v/>
      </c>
      <c r="BK30" s="210" t="str">
        <f>IF(AND(C30="Skema 1",B30="fr"),Skemaoplysninger!$M$30,"")</f>
        <v/>
      </c>
      <c r="BL30" s="210" t="str">
        <f>IF(AND(C30="Skema 2",B30="ma"),Skemaoplysninger!$S$30,"")</f>
        <v/>
      </c>
      <c r="BM30" s="210" t="str">
        <f>IF(AND(C30="Skema 2",B30="ti"),Skemaoplysninger!$U$30,"")</f>
        <v/>
      </c>
      <c r="BN30" s="210" t="str">
        <f>IF(AND(C30="Skema 2",B30="on"),Skemaoplysninger!$W$30,"")</f>
        <v/>
      </c>
      <c r="BO30" s="210" t="str">
        <f>IF(AND(C30="Skema 2",B30="to"),Skemaoplysninger!$Y$30,"")</f>
        <v/>
      </c>
      <c r="BP30" s="210" t="str">
        <f>IF(AND(C30="Skema 2",B30="fr"),Skemaoplysninger!$AA$30,"")</f>
        <v/>
      </c>
      <c r="BQ30" s="210" t="str">
        <f>IF(AND(C30="Skema 3",B30="ma"),Skemaoplysninger!$AG$30,"")</f>
        <v/>
      </c>
      <c r="BR30" s="210" t="str">
        <f>IF(AND(C30="Skema 3",B30="ti"),Skemaoplysninger!$AI$30,"")</f>
        <v/>
      </c>
      <c r="BS30" s="210" t="str">
        <f>IF(AND(C30="Skema 3",B30="on"),Skemaoplysninger!$AK$30,"")</f>
        <v/>
      </c>
      <c r="BT30" s="210" t="str">
        <f>IF(AND(C30="Skema 3",B30="to"),Skemaoplysninger!$AM$30,"")</f>
        <v/>
      </c>
      <c r="BU30" s="210" t="str">
        <f>IF(AND(C30="Skema 3",B30="fr"),Skemaoplysninger!$AO$30,"")</f>
        <v/>
      </c>
      <c r="BV30" s="210" t="str">
        <f>IF(AND(C30="Skema 4",B30="ma"),Skemaoplysninger!$AU$30,"")</f>
        <v/>
      </c>
      <c r="BW30" s="210" t="str">
        <f>IF(AND(C30="Skema 4",B30="ti"),Skemaoplysninger!$AW$30,"")</f>
        <v/>
      </c>
      <c r="BX30" s="210" t="str">
        <f>IF(AND(C30="Skema 4",B30="on"),Skemaoplysninger!$AY$30,"")</f>
        <v/>
      </c>
      <c r="BY30" s="210" t="str">
        <f>IF(AND(C30="Skema 4",B30="to"),Skemaoplysninger!$BA$30,"")</f>
        <v/>
      </c>
      <c r="BZ30" s="210" t="str">
        <f>IF(AND(C30="Skema 4",B30="fr"),Skemaoplysninger!$BC$30,"")</f>
        <v/>
      </c>
      <c r="CA30" s="1">
        <f t="shared" si="25"/>
        <v>0</v>
      </c>
      <c r="CB30" s="1">
        <f t="shared" si="12"/>
        <v>0</v>
      </c>
      <c r="CC30" s="1">
        <f t="shared" si="13"/>
        <v>0</v>
      </c>
      <c r="CD30" s="210" t="str">
        <f>IF(AND(C30="Skema 1",B30="ma"),Skemaoplysninger!$E$31,"")</f>
        <v/>
      </c>
      <c r="CE30" s="210" t="str">
        <f>IF(AND(C30="Skema 1",B30="ti"),Skemaoplysninger!$G$31,"")</f>
        <v/>
      </c>
      <c r="CF30" s="210" t="str">
        <f>IF(AND(C30="Skema 1",B30="on"),Skemaoplysninger!$I$31,"")</f>
        <v/>
      </c>
      <c r="CG30" s="210" t="str">
        <f>IF(AND(C30="Skema 1",B30="to"),Skemaoplysninger!$K$31,"")</f>
        <v/>
      </c>
      <c r="CH30" s="210" t="str">
        <f>IF(AND(C30="Skema 1",B30="fr"),Skemaoplysninger!$M$31,"")</f>
        <v/>
      </c>
      <c r="CI30" s="210" t="str">
        <f>IF(AND(C30="Skema 2",B30="ma"),Skemaoplysninger!$S$31,"")</f>
        <v/>
      </c>
      <c r="CJ30" s="210" t="str">
        <f>IF(AND(C30="Skema 2",B30="ti"),Skemaoplysninger!$U$31,"")</f>
        <v/>
      </c>
      <c r="CK30" s="210" t="str">
        <f>IF(AND(C30="Skema 2",B30="on"),Skemaoplysninger!$W$31,"")</f>
        <v/>
      </c>
      <c r="CL30" s="210" t="str">
        <f>IF(AND(C30="Skema 2",B30="to"),Skemaoplysninger!$Y$31,"")</f>
        <v/>
      </c>
      <c r="CM30" s="210" t="str">
        <f>IF(AND(C30="Skema 2",B30="fr"),Skemaoplysninger!$AA$31,"")</f>
        <v/>
      </c>
      <c r="CN30" s="210" t="str">
        <f>IF(AND(C30="Skema 3",B30="ma"),Skemaoplysninger!$AG$31,"")</f>
        <v/>
      </c>
      <c r="CO30" s="210" t="str">
        <f>IF(AND(C30="Skema 3",B30="ti"),Skemaoplysninger!$AI$31,"")</f>
        <v/>
      </c>
      <c r="CP30" s="210" t="str">
        <f>IF(AND(C30="Skema 3",B30="on"),Skemaoplysninger!$AK$31,"")</f>
        <v/>
      </c>
      <c r="CQ30" s="210" t="str">
        <f>IF(AND(C30="Skema 3",B30="to"),Skemaoplysninger!$AM$31,"")</f>
        <v/>
      </c>
      <c r="CR30" s="210" t="str">
        <f>IF(AND(C30="Skema 3",B30="fr"),Skemaoplysninger!$AO$31,"")</f>
        <v/>
      </c>
      <c r="CS30" s="210" t="str">
        <f>IF(AND(C30="Skema 4",B30="ma"),Skemaoplysninger!$AU$31,"")</f>
        <v/>
      </c>
      <c r="CT30" s="210" t="str">
        <f>IF(AND(C30="Skema 4",B30="ti"),Skemaoplysninger!$AW$31,"")</f>
        <v/>
      </c>
      <c r="CU30" s="210" t="str">
        <f>IF(AND(C30="Skema 4",B30="on"),Skemaoplysninger!$AY$31,"")</f>
        <v/>
      </c>
      <c r="CV30" s="210" t="str">
        <f>IF(AND(C30="Skema 4",B30="to"),Skemaoplysninger!$BA$31,"")</f>
        <v/>
      </c>
      <c r="CW30" s="210" t="str">
        <f>IF(AND(C30="Skema 4",B30="fr"),Skemaoplysninger!$BC$31,"")</f>
        <v/>
      </c>
      <c r="CX30" s="249">
        <f>IF(Stamoplysninger!$H$29="NEJ",SUM(CD30:CW30)*24+CB30+CC30,0)</f>
        <v>0</v>
      </c>
      <c r="CY30" s="249">
        <f>IF(C30="Skema 1",Stamoplysninger!$H$30/200,0)</f>
        <v>0</v>
      </c>
      <c r="CZ30" s="249">
        <f>IF(C30="Skema 2",Stamoplysninger!$H$30/200,0)</f>
        <v>0</v>
      </c>
      <c r="DA30" s="249">
        <f>IF(C30="Skema 3",Stamoplysninger!$H$30/200,0)</f>
        <v>0</v>
      </c>
      <c r="DB30" s="249">
        <f>IF(C30="Skema 4",Stamoplysninger!$H$30/200,0)</f>
        <v>0</v>
      </c>
      <c r="DC30" s="249">
        <f>IF(C30="fagdag",Stamoplysninger!$H$30/200,0)</f>
        <v>0</v>
      </c>
      <c r="DD30" s="249">
        <f>IF(C30="emnedag",Stamoplysninger!$H$30/200,0)</f>
        <v>0</v>
      </c>
      <c r="DE30" s="249">
        <f>IF(C30="lejrskole",Stamoplysninger!$H$30/200,0)</f>
        <v>0</v>
      </c>
      <c r="DF30" s="249">
        <f>IF(C30="ekskursion",Stamoplysninger!$H$30/200,0)</f>
        <v>0</v>
      </c>
      <c r="DG30" s="249">
        <f t="shared" si="26"/>
        <v>0</v>
      </c>
      <c r="DH30" t="str">
        <f t="shared" si="27"/>
        <v/>
      </c>
      <c r="DI30">
        <f t="shared" si="28"/>
        <v>0</v>
      </c>
      <c r="DJ30">
        <f t="shared" si="29"/>
        <v>0</v>
      </c>
      <c r="DK30" t="str">
        <f t="shared" si="14"/>
        <v/>
      </c>
      <c r="DL30" t="str">
        <f t="shared" si="14"/>
        <v/>
      </c>
      <c r="DM30" t="str">
        <f t="shared" si="14"/>
        <v/>
      </c>
      <c r="DN30" t="str">
        <f t="shared" si="30"/>
        <v/>
      </c>
      <c r="DO30" s="652">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71">
        <f>IF(AND(Stamoplysninger!$B$22="Ulempetillæg udbetales med 25% af nettotimelønnen.",C30="ikke relevant"),(R30)/4,0)</f>
        <v>0</v>
      </c>
      <c r="DT30" s="671">
        <f>IF(AND(AND(Stamoplysninger!$B$22="Ulempetillæg udbetales med 25% af nettotimelønnen.",I30="X",C30="Ikke relevant")),K30/4,0)</f>
        <v>0</v>
      </c>
      <c r="DU30" s="671">
        <f>IF(AND(AND(Stamoplysninger!$B$22="Ulempetillæg udbetales med 25% af nettotimelønnen.",C30="ikke relevant",U30="X")),(X30/4),0)</f>
        <v>0</v>
      </c>
      <c r="DV30" s="672">
        <f>IF(AND(AND(AND(Stamoplysninger!$B$22="Ulempetillæg udbetales med 25% af nettotimelønnen.",I30="X",C30="Ikke relevant",S30="X"))),V30/4,0)</f>
        <v>0</v>
      </c>
      <c r="DW30" s="652"/>
      <c r="DZ30" s="671"/>
      <c r="EA30" s="671"/>
      <c r="EB30" s="672"/>
      <c r="EC30" s="652">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71">
        <f>IF(AND(Stamoplysninger!$B$22="Ulempetillæg afspadseres med 25%(Kræver en aftale imellem ledelsen og den ansatte)",C30="ikke relevant"),(R30)/4,0)</f>
        <v>0</v>
      </c>
      <c r="EH30" s="671">
        <f>IF(AND(AND(Stamoplysninger!$B$22="Ulempetillæg afspadseres med 25%(Kræver en aftale imellem ledelsen og den ansatte)",I30="X",C30="Ikke relevant")),K30/4,0)</f>
        <v>0</v>
      </c>
      <c r="EI30" s="671">
        <f>IF(AND(AND(Stamoplysninger!$B$22="Ulempetillæg afspadseres med 25%(Kræver en aftale imellem ledelsen og den ansatte)",U30="X",C30="Ikke relevant")),X30/4,0)</f>
        <v>0</v>
      </c>
      <c r="EJ30" s="671">
        <f>IF(AND(AND(AND(Stamoplysninger!$B$22="Ulempetillæg afspadseres med 25%(Kræver en aftale imellem ledelsen og den ansatte)",I30="X",C30="Ikke relevant",S30="X"))),V30/4,0)</f>
        <v>0</v>
      </c>
      <c r="EK30" s="283">
        <f>IF(AND(Stamoplysninger!$B$26="Weekendtimer og weekendtillæg afspadseres.",I30="X"),K30*1.5,0)</f>
        <v>0</v>
      </c>
      <c r="EL30" s="251">
        <f>IF(AND(AND(Stamoplysninger!$B$26="Weekendtimer og weekendtillæg afspadseres.",I30="X",S30="X")),V30*1.5,0)</f>
        <v>0</v>
      </c>
      <c r="EM30" s="674">
        <f>IF(AND(AND(Stamoplysninger!$B$26="Weekendtimer og weekendtillæg afspadseres.",I30="X",C30="ikke relevant")),K30*1.5,0)</f>
        <v>0</v>
      </c>
      <c r="EN30" s="675">
        <f>IF(AND(AND(AND(Stamoplysninger!$B$26="Weekendtimer og weekendtillæg afspadseres.",I30="X",C30="ikke relevant",S30="X"))),(V30*1.5),0)</f>
        <v>0</v>
      </c>
      <c r="EO30" s="283">
        <f>IF(AND(Stamoplysninger!$B$26="Weekendtimer og weekendtillæg udbetales.",I30="X"),K30*1.5,0)</f>
        <v>0</v>
      </c>
      <c r="EP30" s="251">
        <f>IF(AND(AND(Stamoplysninger!$B$26="Weekendtimer og weekendtillæg udbetales.",I30="X",S30="X")),V30*1.5,0)</f>
        <v>0</v>
      </c>
      <c r="EQ30" s="674">
        <f>IF(AND(AND(Stamoplysninger!$B$26="Weekendtimer og weekendtillæg udbetales.",I30="X",C30="ikke relevant")),K30*1.5,0)</f>
        <v>0</v>
      </c>
      <c r="ER30" s="675">
        <f>IF(AND(AND(AND(Stamoplysninger!$B$26="Weekendtimer og weekendtillæg udbetales.",I30="X",C30="ikke relevant",S30="X"))),(V30*1.5),0)</f>
        <v>0</v>
      </c>
      <c r="ES30" s="283">
        <f>IF(AND(Stamoplysninger!$B$26="Der er indgået lokalaftale omkring weekendtimer.(Kræver aftale med TR/FSL) Weekendtillæg afspadseres.",I30="X"),K30*0.5,0)</f>
        <v>0</v>
      </c>
      <c r="ET30" s="251">
        <f>IF(AND(AND(Stamoplysninger!$B$26="Der er indgået lokalaftale omkring weekendtimer.(Kræver aftale med TR/FSL) Weekendtillæg afspadseres.",I30="X",S30="X")),V30*0.5,0)</f>
        <v>0</v>
      </c>
      <c r="EU30" s="674">
        <f>IF(AND(AND(Stamoplysninger!$B$26="Der er indgået lokalaftale omkring weekendtimer.(Kræver aftale med TR/FSL) Weekendtillæg afspadseres.",I30="X",C30="ikke relevant")),K30*0.5,0)</f>
        <v>0</v>
      </c>
      <c r="EV30" s="675">
        <f>IF(AND(AND(AND(Stamoplysninger!$B$26="Der er indgået lokalaftale omkring weekendtimer.(Kræver aftale med TR/FSL) Weekendtillæg afspadseres.",I30="X",C30="ikke relevant",S30="X"))),(V30*0.5),0)</f>
        <v>0</v>
      </c>
      <c r="EW30" s="283">
        <f>IF(AND(Stamoplysninger!$B$26="Der er indgået lokalaftale omkring weekendtimer(Kræver aftale med TR/FSL). Weekendtillæg udbetales.",I30="X"),K30*0.5,0)</f>
        <v>0</v>
      </c>
      <c r="EX30" s="251">
        <f>IF(AND(AND(Stamoplysninger!$B$26="Der er indgået lokalaftale omkring weekendtimer(Kræver aftale med TR/FSL). Weekendtillæg udbetales.",I30="X",S30="X")),V30*0.5,0)</f>
        <v>0</v>
      </c>
      <c r="EY30" s="674">
        <f>IF(AND(AND(Stamoplysninger!$B$26="Der er indgået lokalaftale omkring weekendtimer(Kræver aftale med TR/FSL). Weekendtillæg udbetales.",I30="X",C30="ikke relevant")),K30*0.5,0)</f>
        <v>0</v>
      </c>
      <c r="EZ30" s="675">
        <f>IF(AND(AND(AND(Stamoplysninger!$B$26="Der er indgået lokalaftale omkring weekendtimer(Kræver aftale med TR/FSL). Weekendtillæg udbetales.",I30="X",C30="ikke relevant",S30="X"))),(V30*0.5),0)</f>
        <v>0</v>
      </c>
      <c r="FA30" s="283">
        <f>IF(AND(Stamoplysninger!$B$26="Der er indgået lokalaftale omkring weekendtillæg(Kræver aftale med TR/FSL). Weekendtimerne afspadseres.",I30="X"),K30,0)</f>
        <v>0</v>
      </c>
      <c r="FB30" s="251">
        <f>IF(AND(AND(Stamoplysninger!$B$26="Der er indgået lokalaftale omkring weekendtillæg(Kræver aftale med TR/FSL). Weekendtimerne afspadseres.",I30="X",S30="X")),V30,0)</f>
        <v>0</v>
      </c>
      <c r="FC30" s="674">
        <f>IF(AND(AND(Stamoplysninger!$B$26="Der er indgået lokalaftale omkring weekendtillæg(Kræver aftale med TR/FSL). Weekendtimerne afspadseres..",I30="X",C30="ikke relevant")),K30,0)</f>
        <v>0</v>
      </c>
      <c r="FD30" s="675">
        <f>IF(AND(AND(AND(Stamoplysninger!$B$26="Der er indgået lokalaftale omkring weekendtillæg(Kræver aftale med TR/FSL). Weekendtimerne afspadseres.",I30="X",C30="ikke relevant",S30="X"))),(V30),0)</f>
        <v>0</v>
      </c>
      <c r="FE30" s="283">
        <f>IF(AND(Stamoplysninger!$B$26="Der er indgået lokalaftale omkring weekendtillæg(Kræver aftale med TR/FSL). Weekendtimerne udbetales.",I30="X"),K30,0)</f>
        <v>0</v>
      </c>
      <c r="FF30" s="251">
        <f>IF(AND(AND(Stamoplysninger!$B$26="Der er indgået lokalaftale omkring weekendtillæg(Kræver aftale med TR/FSL). Weekendtimerne udbetales.",I30="X",S30="X")),V30,0)</f>
        <v>0</v>
      </c>
      <c r="FG30" s="674">
        <f>IF(AND(AND(Stamoplysninger!$B$26="Der er indgået lokalaftale omkring weekendtillæg(Kræver aftale med TR/FSL). Weekendtimerne udbetales.",I30="X",C30="ikke relevant")),K30,0)</f>
        <v>0</v>
      </c>
      <c r="FH30" s="675">
        <f>IF(AND(AND(AND(Stamoplysninger!$B$26="Der er indgået lokalaftale omkring weekendtillæg(Kræver aftale med TR/FSL). Weekendtimerne udbetales.",I30="X",C30="ikke relevant",S30="X"))),(V30),0)</f>
        <v>0</v>
      </c>
      <c r="FI30" s="283">
        <f>IF(AND(Stamoplysninger!$B$26="Weekendtimer og weekendtillæg afspadseres.",I30="X"),K30,0)</f>
        <v>0</v>
      </c>
      <c r="FJ30" s="251">
        <f>IF(AND(Stamoplysninger!$B$26="Weekendtimer og weekendtillæg afspadseres.",Y30="X"),(AA30+AL30)/2,0)</f>
        <v>0</v>
      </c>
      <c r="FK30" s="674">
        <f>IF(AND(AND(Stamoplysninger!$B$26="Weekendtimer og weekendtillæg afspadseres.",I30="X",C30="ikke relevant")),K30,0)</f>
        <v>0</v>
      </c>
      <c r="FL30" s="675">
        <f>IF(AND(AND(Stamoplysninger!$B$26="Weekendtimer og weekendtillæg afspadseres.",Y30="X",S30="ikke relevant")),(AA30+AL30)/2,0)</f>
        <v>0</v>
      </c>
      <c r="FM30" s="283">
        <f>IF(AND(Stamoplysninger!$B$26="Der er indgået lokalaftale omkring weekendtillæg(Kræver aftale med TR/FSL). Weekendtimerne afspadseres.",I30="X"),K30,0)</f>
        <v>0</v>
      </c>
      <c r="FN30" s="674">
        <f>IF(AND(AND(Stamoplysninger!$B$26="Der er indgået lokalaftale omkring weekendtillæg(Kræver aftale med TR/FSL). Weekendtimerne afspadseres.",I30="X",C30="ikke relevant")),K30,0)</f>
        <v>0</v>
      </c>
      <c r="FO30" s="283">
        <f>IF(AND(Stamoplysninger!$B$26="Weekendtimer og weekendtillæg udbetales.",I30="X"),K30,0)</f>
        <v>0</v>
      </c>
      <c r="FP30" s="251">
        <f>IF(AND(Stamoplysninger!$B$26="Weekendtimer og weekendtillæg udbetales.",AA30="X"),(AC30+AN30)/2,0)</f>
        <v>0</v>
      </c>
      <c r="FQ30" s="674">
        <f>IF(AND(AND(Stamoplysninger!$B$26="Weekendtimer og weekendtillæg udbetales.",I30="X",C30="ikke relevant")),K30,0)</f>
        <v>0</v>
      </c>
      <c r="FR30" s="688">
        <f>IF(AND(AND(Stamoplysninger!$B$26="Weekendtimer og weekendtillæg udbetales.",AA30="X",U30="ikke relevant")),(AC30+AN30)/2,0)</f>
        <v>0</v>
      </c>
      <c r="FS30" s="283">
        <f t="shared" si="15"/>
        <v>0</v>
      </c>
      <c r="FT30" s="658">
        <f t="shared" si="16"/>
        <v>0</v>
      </c>
      <c r="FU30">
        <f t="shared" ref="FU30:FU39" si="31">IF(AND(C30="weekend",I30="X"),K30,0)</f>
        <v>0</v>
      </c>
      <c r="FV30" s="283">
        <f>IF(AND(Stamoplysninger!$B$26="Der er indgået lokalaftale omkring weekendtimer.(Kræver aftale med TR/FSL) Weekendtillæg afspadseres.",I30="X"),K30,0)</f>
        <v>0</v>
      </c>
      <c r="FW30" s="674">
        <f>IF(AND(AND(Stamoplysninger!$B$26="Der er indgået lokalaftale omkring weekendtimer.(Kræver aftale med TR/FSL) Weekendtillæg afspadseres.",I30="X",C30="ikke relevant")),K30,0)</f>
        <v>0</v>
      </c>
      <c r="FX30" s="283">
        <f>IF(AND(Stamoplysninger!$B$26="Der er indgået lokalaftale omkring weekendtimer(Kræver aftale med TR/FSL). Weekendtillæg udbetales.",I30="X"),K30,0)</f>
        <v>0</v>
      </c>
      <c r="FY30" s="674">
        <f>IF(AND(AND(Stamoplysninger!$B$26="Der er indgået lokalaftale omkring weekendtimer(Kræver aftale med TR/FSL). Weekendtillæg udbetales.",I30="X",C30="ikke relevant")),K30,0)</f>
        <v>0</v>
      </c>
      <c r="FZ30" s="283">
        <f>IF(AND(Stamoplysninger!$B$26="Der er indgået lokalaftale omkring weekendtillæg(Kræver aftale med TR/FSL). Weekendtimerne udbetales.",I30="X"),K30,0)</f>
        <v>0</v>
      </c>
      <c r="GA30" s="674">
        <f>IF(AND(AND(Stamoplysninger!$B$26="Der er indgået lokalaftale omkring weekendtillæg(Kræver aftale med TR/FSL). Weekendtimerne udbetales.",I30="X",C30="ikke relevant")),K30,0)</f>
        <v>0</v>
      </c>
      <c r="GB30" s="283">
        <f>IF(AND(Stamoplysninger!$B$26="Der er indgået lokalaftale omkring weekendtimer og weekendtillæg.(Kræver aftale med TR/FSL).",I30="X"),K30,0)</f>
        <v>0</v>
      </c>
      <c r="GC30" s="674">
        <f>IF(AND(AND(Stamoplysninger!$B$26="Der er indgået lokalaftale omkring weekendtimer og weekendtillæg.(Kræver aftale med TR/FSL).",I30="X",C30="ikke relevant")),K30,0)</f>
        <v>0</v>
      </c>
    </row>
    <row r="31" spans="1:185">
      <c r="A31" s="245">
        <f t="shared" si="18"/>
        <v>23</v>
      </c>
      <c r="B31" s="128" t="str">
        <f t="shared" si="0"/>
        <v>sø</v>
      </c>
      <c r="C31" s="129" t="s">
        <v>120</v>
      </c>
      <c r="D31" s="130" t="str">
        <f t="shared" si="1"/>
        <v/>
      </c>
      <c r="E31" s="917"/>
      <c r="F31" s="918"/>
      <c r="G31" s="919"/>
      <c r="H31" s="298"/>
      <c r="I31" s="311"/>
      <c r="J31" s="413"/>
      <c r="K31" s="380"/>
      <c r="L31" s="380"/>
      <c r="M31" s="380"/>
      <c r="N31" s="318">
        <f t="shared" si="19"/>
        <v>0</v>
      </c>
      <c r="O31" s="318">
        <f t="shared" si="20"/>
        <v>0</v>
      </c>
      <c r="P31" s="318">
        <f>IF(Stamoplysninger!$H$29="JA",Marts!DG31,CX31)</f>
        <v>0</v>
      </c>
      <c r="Q31" s="318">
        <f t="shared" si="21"/>
        <v>0</v>
      </c>
      <c r="R31" s="319"/>
      <c r="S31" s="324"/>
      <c r="T31" s="325"/>
      <c r="U31" s="325"/>
      <c r="V31" s="435"/>
      <c r="W31" s="412"/>
      <c r="X31" s="642"/>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9">
        <f t="shared" si="8"/>
        <v>0</v>
      </c>
      <c r="BC31" s="1">
        <f t="shared" si="24"/>
        <v>0</v>
      </c>
      <c r="BD31" s="1">
        <f t="shared" si="9"/>
        <v>0</v>
      </c>
      <c r="BE31" s="1">
        <f t="shared" si="10"/>
        <v>0</v>
      </c>
      <c r="BF31" s="1">
        <f t="shared" si="11"/>
        <v>0</v>
      </c>
      <c r="BG31" s="210" t="str">
        <f>IF(AND(C31="Skema 1",B31="ma"),Skemaoplysninger!$E$30,"")</f>
        <v/>
      </c>
      <c r="BH31" s="210" t="str">
        <f>IF(AND(C31="Skema 1",B31="ti"),Skemaoplysninger!$G$30,"")</f>
        <v/>
      </c>
      <c r="BI31" s="210" t="str">
        <f>IF(AND(C31="Skema 1",B31="on"),Skemaoplysninger!$I$30,"")</f>
        <v/>
      </c>
      <c r="BJ31" s="210" t="str">
        <f>IF(AND(C31="Skema 1",B31="to"),Skemaoplysninger!$K$30,"")</f>
        <v/>
      </c>
      <c r="BK31" s="210" t="str">
        <f>IF(AND(C31="Skema 1",B31="fr"),Skemaoplysninger!$M$30,"")</f>
        <v/>
      </c>
      <c r="BL31" s="210" t="str">
        <f>IF(AND(C31="Skema 2",B31="ma"),Skemaoplysninger!$S$30,"")</f>
        <v/>
      </c>
      <c r="BM31" s="210" t="str">
        <f>IF(AND(C31="Skema 2",B31="ti"),Skemaoplysninger!$U$30,"")</f>
        <v/>
      </c>
      <c r="BN31" s="210" t="str">
        <f>IF(AND(C31="Skema 2",B31="on"),Skemaoplysninger!$W$30,"")</f>
        <v/>
      </c>
      <c r="BO31" s="210" t="str">
        <f>IF(AND(C31="Skema 2",B31="to"),Skemaoplysninger!$Y$30,"")</f>
        <v/>
      </c>
      <c r="BP31" s="210" t="str">
        <f>IF(AND(C31="Skema 2",B31="fr"),Skemaoplysninger!$AA$30,"")</f>
        <v/>
      </c>
      <c r="BQ31" s="210" t="str">
        <f>IF(AND(C31="Skema 3",B31="ma"),Skemaoplysninger!$AG$30,"")</f>
        <v/>
      </c>
      <c r="BR31" s="210" t="str">
        <f>IF(AND(C31="Skema 3",B31="ti"),Skemaoplysninger!$AI$30,"")</f>
        <v/>
      </c>
      <c r="BS31" s="210" t="str">
        <f>IF(AND(C31="Skema 3",B31="on"),Skemaoplysninger!$AK$30,"")</f>
        <v/>
      </c>
      <c r="BT31" s="210" t="str">
        <f>IF(AND(C31="Skema 3",B31="to"),Skemaoplysninger!$AM$30,"")</f>
        <v/>
      </c>
      <c r="BU31" s="210" t="str">
        <f>IF(AND(C31="Skema 3",B31="fr"),Skemaoplysninger!$AO$30,"")</f>
        <v/>
      </c>
      <c r="BV31" s="210" t="str">
        <f>IF(AND(C31="Skema 4",B31="ma"),Skemaoplysninger!$AU$30,"")</f>
        <v/>
      </c>
      <c r="BW31" s="210" t="str">
        <f>IF(AND(C31="Skema 4",B31="ti"),Skemaoplysninger!$AW$30,"")</f>
        <v/>
      </c>
      <c r="BX31" s="210" t="str">
        <f>IF(AND(C31="Skema 4",B31="on"),Skemaoplysninger!$AY$30,"")</f>
        <v/>
      </c>
      <c r="BY31" s="210" t="str">
        <f>IF(AND(C31="Skema 4",B31="to"),Skemaoplysninger!$BA$30,"")</f>
        <v/>
      </c>
      <c r="BZ31" s="210" t="str">
        <f>IF(AND(C31="Skema 4",B31="fr"),Skemaoplysninger!$BC$30,"")</f>
        <v/>
      </c>
      <c r="CA31" s="1">
        <f t="shared" si="25"/>
        <v>0</v>
      </c>
      <c r="CB31" s="1">
        <f t="shared" si="12"/>
        <v>0</v>
      </c>
      <c r="CC31" s="1">
        <f t="shared" si="13"/>
        <v>0</v>
      </c>
      <c r="CD31" s="210" t="str">
        <f>IF(AND(C31="Skema 1",B31="ma"),Skemaoplysninger!$E$31,"")</f>
        <v/>
      </c>
      <c r="CE31" s="210" t="str">
        <f>IF(AND(C31="Skema 1",B31="ti"),Skemaoplysninger!$G$31,"")</f>
        <v/>
      </c>
      <c r="CF31" s="210" t="str">
        <f>IF(AND(C31="Skema 1",B31="on"),Skemaoplysninger!$I$31,"")</f>
        <v/>
      </c>
      <c r="CG31" s="210" t="str">
        <f>IF(AND(C31="Skema 1",B31="to"),Skemaoplysninger!$K$31,"")</f>
        <v/>
      </c>
      <c r="CH31" s="210" t="str">
        <f>IF(AND(C31="Skema 1",B31="fr"),Skemaoplysninger!$M$31,"")</f>
        <v/>
      </c>
      <c r="CI31" s="210" t="str">
        <f>IF(AND(C31="Skema 2",B31="ma"),Skemaoplysninger!$S$31,"")</f>
        <v/>
      </c>
      <c r="CJ31" s="210" t="str">
        <f>IF(AND(C31="Skema 2",B31="ti"),Skemaoplysninger!$U$31,"")</f>
        <v/>
      </c>
      <c r="CK31" s="210" t="str">
        <f>IF(AND(C31="Skema 2",B31="on"),Skemaoplysninger!$W$31,"")</f>
        <v/>
      </c>
      <c r="CL31" s="210" t="str">
        <f>IF(AND(C31="Skema 2",B31="to"),Skemaoplysninger!$Y$31,"")</f>
        <v/>
      </c>
      <c r="CM31" s="210" t="str">
        <f>IF(AND(C31="Skema 2",B31="fr"),Skemaoplysninger!$AA$31,"")</f>
        <v/>
      </c>
      <c r="CN31" s="210" t="str">
        <f>IF(AND(C31="Skema 3",B31="ma"),Skemaoplysninger!$AG$31,"")</f>
        <v/>
      </c>
      <c r="CO31" s="210" t="str">
        <f>IF(AND(C31="Skema 3",B31="ti"),Skemaoplysninger!$AI$31,"")</f>
        <v/>
      </c>
      <c r="CP31" s="210" t="str">
        <f>IF(AND(C31="Skema 3",B31="on"),Skemaoplysninger!$AK$31,"")</f>
        <v/>
      </c>
      <c r="CQ31" s="210" t="str">
        <f>IF(AND(C31="Skema 3",B31="to"),Skemaoplysninger!$AM$31,"")</f>
        <v/>
      </c>
      <c r="CR31" s="210" t="str">
        <f>IF(AND(C31="Skema 3",B31="fr"),Skemaoplysninger!$AO$31,"")</f>
        <v/>
      </c>
      <c r="CS31" s="210" t="str">
        <f>IF(AND(C31="Skema 4",B31="ma"),Skemaoplysninger!$AU$31,"")</f>
        <v/>
      </c>
      <c r="CT31" s="210" t="str">
        <f>IF(AND(C31="Skema 4",B31="ti"),Skemaoplysninger!$AW$31,"")</f>
        <v/>
      </c>
      <c r="CU31" s="210" t="str">
        <f>IF(AND(C31="Skema 4",B31="on"),Skemaoplysninger!$AY$31,"")</f>
        <v/>
      </c>
      <c r="CV31" s="210" t="str">
        <f>IF(AND(C31="Skema 4",B31="to"),Skemaoplysninger!$BA$31,"")</f>
        <v/>
      </c>
      <c r="CW31" s="210" t="str">
        <f>IF(AND(C31="Skema 4",B31="fr"),Skemaoplysninger!$BC$31,"")</f>
        <v/>
      </c>
      <c r="CX31" s="249">
        <f>IF(Stamoplysninger!$H$29="NEJ",SUM(CD31:CW31)*24+CB31+CC31,0)</f>
        <v>0</v>
      </c>
      <c r="CY31" s="249">
        <f>IF(C31="Skema 1",Stamoplysninger!$H$30/200,0)</f>
        <v>0</v>
      </c>
      <c r="CZ31" s="249">
        <f>IF(C31="Skema 2",Stamoplysninger!$H$30/200,0)</f>
        <v>0</v>
      </c>
      <c r="DA31" s="249">
        <f>IF(C31="Skema 3",Stamoplysninger!$H$30/200,0)</f>
        <v>0</v>
      </c>
      <c r="DB31" s="249">
        <f>IF(C31="Skema 4",Stamoplysninger!$H$30/200,0)</f>
        <v>0</v>
      </c>
      <c r="DC31" s="249">
        <f>IF(C31="fagdag",Stamoplysninger!$H$30/200,0)</f>
        <v>0</v>
      </c>
      <c r="DD31" s="249">
        <f>IF(C31="emnedag",Stamoplysninger!$H$30/200,0)</f>
        <v>0</v>
      </c>
      <c r="DE31" s="249">
        <f>IF(C31="lejrskole",Stamoplysninger!$H$30/200,0)</f>
        <v>0</v>
      </c>
      <c r="DF31" s="249">
        <f>IF(C31="ekskursion",Stamoplysninger!$H$30/200,0)</f>
        <v>0</v>
      </c>
      <c r="DG31" s="249">
        <f t="shared" si="26"/>
        <v>0</v>
      </c>
      <c r="DH31" t="str">
        <f t="shared" si="27"/>
        <v/>
      </c>
      <c r="DI31">
        <f t="shared" si="28"/>
        <v>0</v>
      </c>
      <c r="DJ31">
        <f t="shared" si="29"/>
        <v>0</v>
      </c>
      <c r="DK31" t="str">
        <f t="shared" si="14"/>
        <v/>
      </c>
      <c r="DL31" t="str">
        <f t="shared" si="14"/>
        <v/>
      </c>
      <c r="DM31" t="str">
        <f t="shared" si="14"/>
        <v/>
      </c>
      <c r="DN31" t="str">
        <f t="shared" si="30"/>
        <v/>
      </c>
      <c r="DO31" s="652">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71">
        <f>IF(AND(Stamoplysninger!$B$22="Ulempetillæg udbetales med 25% af nettotimelønnen.",C31="ikke relevant"),(R31)/4,0)</f>
        <v>0</v>
      </c>
      <c r="DT31" s="671">
        <f>IF(AND(AND(Stamoplysninger!$B$22="Ulempetillæg udbetales med 25% af nettotimelønnen.",I31="X",C31="Ikke relevant")),K31/4,0)</f>
        <v>0</v>
      </c>
      <c r="DU31" s="671">
        <f>IF(AND(AND(Stamoplysninger!$B$22="Ulempetillæg udbetales med 25% af nettotimelønnen.",C31="ikke relevant",U31="X")),(X31/4),0)</f>
        <v>0</v>
      </c>
      <c r="DV31" s="672">
        <f>IF(AND(AND(AND(Stamoplysninger!$B$22="Ulempetillæg udbetales med 25% af nettotimelønnen.",I31="X",C31="Ikke relevant",S31="X"))),V31/4,0)</f>
        <v>0</v>
      </c>
      <c r="DW31" s="652"/>
      <c r="DZ31" s="671"/>
      <c r="EA31" s="671"/>
      <c r="EB31" s="672"/>
      <c r="EC31" s="652">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71">
        <f>IF(AND(Stamoplysninger!$B$22="Ulempetillæg afspadseres med 25%(Kræver en aftale imellem ledelsen og den ansatte)",C31="ikke relevant"),(R31)/4,0)</f>
        <v>0</v>
      </c>
      <c r="EH31" s="671">
        <f>IF(AND(AND(Stamoplysninger!$B$22="Ulempetillæg afspadseres med 25%(Kræver en aftale imellem ledelsen og den ansatte)",I31="X",C31="Ikke relevant")),K31/4,0)</f>
        <v>0</v>
      </c>
      <c r="EI31" s="671">
        <f>IF(AND(AND(Stamoplysninger!$B$22="Ulempetillæg afspadseres med 25%(Kræver en aftale imellem ledelsen og den ansatte)",U31="X",C31="Ikke relevant")),X31/4,0)</f>
        <v>0</v>
      </c>
      <c r="EJ31" s="671">
        <f>IF(AND(AND(AND(Stamoplysninger!$B$22="Ulempetillæg afspadseres med 25%(Kræver en aftale imellem ledelsen og den ansatte)",I31="X",C31="Ikke relevant",S31="X"))),V31/4,0)</f>
        <v>0</v>
      </c>
      <c r="EK31" s="283">
        <f>IF(AND(Stamoplysninger!$B$26="Weekendtimer og weekendtillæg afspadseres.",I31="X"),K31*1.5,0)</f>
        <v>0</v>
      </c>
      <c r="EL31" s="251">
        <f>IF(AND(AND(Stamoplysninger!$B$26="Weekendtimer og weekendtillæg afspadseres.",I31="X",S31="X")),V31*1.5,0)</f>
        <v>0</v>
      </c>
      <c r="EM31" s="674">
        <f>IF(AND(AND(Stamoplysninger!$B$26="Weekendtimer og weekendtillæg afspadseres.",I31="X",C31="ikke relevant")),K31*1.5,0)</f>
        <v>0</v>
      </c>
      <c r="EN31" s="675">
        <f>IF(AND(AND(AND(Stamoplysninger!$B$26="Weekendtimer og weekendtillæg afspadseres.",I31="X",C31="ikke relevant",S31="X"))),(V31*1.5),0)</f>
        <v>0</v>
      </c>
      <c r="EO31" s="283">
        <f>IF(AND(Stamoplysninger!$B$26="Weekendtimer og weekendtillæg udbetales.",I31="X"),K31*1.5,0)</f>
        <v>0</v>
      </c>
      <c r="EP31" s="251">
        <f>IF(AND(AND(Stamoplysninger!$B$26="Weekendtimer og weekendtillæg udbetales.",I31="X",S31="X")),V31*1.5,0)</f>
        <v>0</v>
      </c>
      <c r="EQ31" s="674">
        <f>IF(AND(AND(Stamoplysninger!$B$26="Weekendtimer og weekendtillæg udbetales.",I31="X",C31="ikke relevant")),K31*1.5,0)</f>
        <v>0</v>
      </c>
      <c r="ER31" s="675">
        <f>IF(AND(AND(AND(Stamoplysninger!$B$26="Weekendtimer og weekendtillæg udbetales.",I31="X",C31="ikke relevant",S31="X"))),(V31*1.5),0)</f>
        <v>0</v>
      </c>
      <c r="ES31" s="283">
        <f>IF(AND(Stamoplysninger!$B$26="Der er indgået lokalaftale omkring weekendtimer.(Kræver aftale med TR/FSL) Weekendtillæg afspadseres.",I31="X"),K31*0.5,0)</f>
        <v>0</v>
      </c>
      <c r="ET31" s="251">
        <f>IF(AND(AND(Stamoplysninger!$B$26="Der er indgået lokalaftale omkring weekendtimer.(Kræver aftale med TR/FSL) Weekendtillæg afspadseres.",I31="X",S31="X")),V31*0.5,0)</f>
        <v>0</v>
      </c>
      <c r="EU31" s="674">
        <f>IF(AND(AND(Stamoplysninger!$B$26="Der er indgået lokalaftale omkring weekendtimer.(Kræver aftale med TR/FSL) Weekendtillæg afspadseres.",I31="X",C31="ikke relevant")),K31*0.5,0)</f>
        <v>0</v>
      </c>
      <c r="EV31" s="675">
        <f>IF(AND(AND(AND(Stamoplysninger!$B$26="Der er indgået lokalaftale omkring weekendtimer.(Kræver aftale med TR/FSL) Weekendtillæg afspadseres.",I31="X",C31="ikke relevant",S31="X"))),(V31*0.5),0)</f>
        <v>0</v>
      </c>
      <c r="EW31" s="283">
        <f>IF(AND(Stamoplysninger!$B$26="Der er indgået lokalaftale omkring weekendtimer(Kræver aftale med TR/FSL). Weekendtillæg udbetales.",I31="X"),K31*0.5,0)</f>
        <v>0</v>
      </c>
      <c r="EX31" s="251">
        <f>IF(AND(AND(Stamoplysninger!$B$26="Der er indgået lokalaftale omkring weekendtimer(Kræver aftale med TR/FSL). Weekendtillæg udbetales.",I31="X",S31="X")),V31*0.5,0)</f>
        <v>0</v>
      </c>
      <c r="EY31" s="674">
        <f>IF(AND(AND(Stamoplysninger!$B$26="Der er indgået lokalaftale omkring weekendtimer(Kræver aftale med TR/FSL). Weekendtillæg udbetales.",I31="X",C31="ikke relevant")),K31*0.5,0)</f>
        <v>0</v>
      </c>
      <c r="EZ31" s="675">
        <f>IF(AND(AND(AND(Stamoplysninger!$B$26="Der er indgået lokalaftale omkring weekendtimer(Kræver aftale med TR/FSL). Weekendtillæg udbetales.",I31="X",C31="ikke relevant",S31="X"))),(V31*0.5),0)</f>
        <v>0</v>
      </c>
      <c r="FA31" s="283">
        <f>IF(AND(Stamoplysninger!$B$26="Der er indgået lokalaftale omkring weekendtillæg(Kræver aftale med TR/FSL). Weekendtimerne afspadseres.",I31="X"),K31,0)</f>
        <v>0</v>
      </c>
      <c r="FB31" s="251">
        <f>IF(AND(AND(Stamoplysninger!$B$26="Der er indgået lokalaftale omkring weekendtillæg(Kræver aftale med TR/FSL). Weekendtimerne afspadseres.",I31="X",S31="X")),V31,0)</f>
        <v>0</v>
      </c>
      <c r="FC31" s="674">
        <f>IF(AND(AND(Stamoplysninger!$B$26="Der er indgået lokalaftale omkring weekendtillæg(Kræver aftale med TR/FSL). Weekendtimerne afspadseres..",I31="X",C31="ikke relevant")),K31,0)</f>
        <v>0</v>
      </c>
      <c r="FD31" s="675">
        <f>IF(AND(AND(AND(Stamoplysninger!$B$26="Der er indgået lokalaftale omkring weekendtillæg(Kræver aftale med TR/FSL). Weekendtimerne afspadseres.",I31="X",C31="ikke relevant",S31="X"))),(V31),0)</f>
        <v>0</v>
      </c>
      <c r="FE31" s="283">
        <f>IF(AND(Stamoplysninger!$B$26="Der er indgået lokalaftale omkring weekendtillæg(Kræver aftale med TR/FSL). Weekendtimerne udbetales.",I31="X"),K31,0)</f>
        <v>0</v>
      </c>
      <c r="FF31" s="251">
        <f>IF(AND(AND(Stamoplysninger!$B$26="Der er indgået lokalaftale omkring weekendtillæg(Kræver aftale med TR/FSL). Weekendtimerne udbetales.",I31="X",S31="X")),V31,0)</f>
        <v>0</v>
      </c>
      <c r="FG31" s="674">
        <f>IF(AND(AND(Stamoplysninger!$B$26="Der er indgået lokalaftale omkring weekendtillæg(Kræver aftale med TR/FSL). Weekendtimerne udbetales.",I31="X",C31="ikke relevant")),K31,0)</f>
        <v>0</v>
      </c>
      <c r="FH31" s="675">
        <f>IF(AND(AND(AND(Stamoplysninger!$B$26="Der er indgået lokalaftale omkring weekendtillæg(Kræver aftale med TR/FSL). Weekendtimerne udbetales.",I31="X",C31="ikke relevant",S31="X"))),(V31),0)</f>
        <v>0</v>
      </c>
      <c r="FI31" s="283">
        <f>IF(AND(Stamoplysninger!$B$26="Weekendtimer og weekendtillæg afspadseres.",I31="X"),K31,0)</f>
        <v>0</v>
      </c>
      <c r="FJ31" s="251">
        <f>IF(AND(Stamoplysninger!$B$26="Weekendtimer og weekendtillæg afspadseres.",Y31="X"),(AA31+AL31)/2,0)</f>
        <v>0</v>
      </c>
      <c r="FK31" s="674">
        <f>IF(AND(AND(Stamoplysninger!$B$26="Weekendtimer og weekendtillæg afspadseres.",I31="X",C31="ikke relevant")),K31,0)</f>
        <v>0</v>
      </c>
      <c r="FL31" s="675">
        <f>IF(AND(AND(Stamoplysninger!$B$26="Weekendtimer og weekendtillæg afspadseres.",Y31="X",S31="ikke relevant")),(AA31+AL31)/2,0)</f>
        <v>0</v>
      </c>
      <c r="FM31" s="283">
        <f>IF(AND(Stamoplysninger!$B$26="Der er indgået lokalaftale omkring weekendtillæg(Kræver aftale med TR/FSL). Weekendtimerne afspadseres.",I31="X"),K31,0)</f>
        <v>0</v>
      </c>
      <c r="FN31" s="674">
        <f>IF(AND(AND(Stamoplysninger!$B$26="Der er indgået lokalaftale omkring weekendtillæg(Kræver aftale med TR/FSL). Weekendtimerne afspadseres.",I31="X",C31="ikke relevant")),K31,0)</f>
        <v>0</v>
      </c>
      <c r="FO31" s="283">
        <f>IF(AND(Stamoplysninger!$B$26="Weekendtimer og weekendtillæg udbetales.",I31="X"),K31,0)</f>
        <v>0</v>
      </c>
      <c r="FP31" s="251">
        <f>IF(AND(Stamoplysninger!$B$26="Weekendtimer og weekendtillæg udbetales.",AA31="X"),(AC31+AN31)/2,0)</f>
        <v>0</v>
      </c>
      <c r="FQ31" s="674">
        <f>IF(AND(AND(Stamoplysninger!$B$26="Weekendtimer og weekendtillæg udbetales.",I31="X",C31="ikke relevant")),K31,0)</f>
        <v>0</v>
      </c>
      <c r="FR31" s="688">
        <f>IF(AND(AND(Stamoplysninger!$B$26="Weekendtimer og weekendtillæg udbetales.",AA31="X",U31="ikke relevant")),(AC31+AN31)/2,0)</f>
        <v>0</v>
      </c>
      <c r="FS31" s="283">
        <f t="shared" si="15"/>
        <v>0</v>
      </c>
      <c r="FT31" s="658">
        <f t="shared" si="16"/>
        <v>0</v>
      </c>
      <c r="FU31">
        <f t="shared" si="31"/>
        <v>0</v>
      </c>
      <c r="FV31" s="283">
        <f>IF(AND(Stamoplysninger!$B$26="Der er indgået lokalaftale omkring weekendtimer.(Kræver aftale med TR/FSL) Weekendtillæg afspadseres.",I31="X"),K31,0)</f>
        <v>0</v>
      </c>
      <c r="FW31" s="674">
        <f>IF(AND(AND(Stamoplysninger!$B$26="Der er indgået lokalaftale omkring weekendtimer.(Kræver aftale med TR/FSL) Weekendtillæg afspadseres.",I31="X",C31="ikke relevant")),K31,0)</f>
        <v>0</v>
      </c>
      <c r="FX31" s="283">
        <f>IF(AND(Stamoplysninger!$B$26="Der er indgået lokalaftale omkring weekendtimer(Kræver aftale med TR/FSL). Weekendtillæg udbetales.",I31="X"),K31,0)</f>
        <v>0</v>
      </c>
      <c r="FY31" s="674">
        <f>IF(AND(AND(Stamoplysninger!$B$26="Der er indgået lokalaftale omkring weekendtimer(Kræver aftale med TR/FSL). Weekendtillæg udbetales.",I31="X",C31="ikke relevant")),K31,0)</f>
        <v>0</v>
      </c>
      <c r="FZ31" s="283">
        <f>IF(AND(Stamoplysninger!$B$26="Der er indgået lokalaftale omkring weekendtillæg(Kræver aftale med TR/FSL). Weekendtimerne udbetales.",I31="X"),K31,0)</f>
        <v>0</v>
      </c>
      <c r="GA31" s="674">
        <f>IF(AND(AND(Stamoplysninger!$B$26="Der er indgået lokalaftale omkring weekendtillæg(Kræver aftale med TR/FSL). Weekendtimerne udbetales.",I31="X",C31="ikke relevant")),K31,0)</f>
        <v>0</v>
      </c>
      <c r="GB31" s="283">
        <f>IF(AND(Stamoplysninger!$B$26="Der er indgået lokalaftale omkring weekendtimer og weekendtillæg.(Kræver aftale med TR/FSL).",I31="X"),K31,0)</f>
        <v>0</v>
      </c>
      <c r="GC31" s="674">
        <f>IF(AND(AND(Stamoplysninger!$B$26="Der er indgået lokalaftale omkring weekendtimer og weekendtillæg.(Kræver aftale med TR/FSL).",I31="X",C31="ikke relevant")),K31,0)</f>
        <v>0</v>
      </c>
    </row>
    <row r="32" spans="1:185">
      <c r="A32" s="245">
        <f t="shared" si="18"/>
        <v>24</v>
      </c>
      <c r="B32" s="128" t="str">
        <f t="shared" si="0"/>
        <v>ma</v>
      </c>
      <c r="C32" s="129" t="s">
        <v>207</v>
      </c>
      <c r="D32" s="130">
        <f t="shared" si="1"/>
        <v>12.714285714285714</v>
      </c>
      <c r="E32" s="949"/>
      <c r="F32" s="950"/>
      <c r="G32" s="951"/>
      <c r="H32" s="298"/>
      <c r="I32" s="527"/>
      <c r="J32" s="413"/>
      <c r="K32" s="380"/>
      <c r="L32" s="380"/>
      <c r="M32" s="380"/>
      <c r="N32" s="318">
        <f t="shared" si="19"/>
        <v>7.75</v>
      </c>
      <c r="O32" s="318">
        <f t="shared" si="20"/>
        <v>3.4999999999999996</v>
      </c>
      <c r="P32" s="318">
        <f>IF(Stamoplysninger!$H$29="JA",Marts!DG32,CX32)</f>
        <v>1</v>
      </c>
      <c r="Q32" s="318">
        <f t="shared" si="21"/>
        <v>3.25</v>
      </c>
      <c r="R32" s="319"/>
      <c r="S32" s="324"/>
      <c r="T32" s="325"/>
      <c r="U32" s="325"/>
      <c r="V32" s="435"/>
      <c r="W32" s="412"/>
      <c r="X32" s="642"/>
      <c r="Y32">
        <f t="shared" si="22"/>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f>IF(AND(C32="Skema 2",B32="ma"),Arbejdstidsoversigt!$E$81,"")</f>
        <v>7.75</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7.75</v>
      </c>
      <c r="BB32" s="229">
        <f t="shared" si="8"/>
        <v>0</v>
      </c>
      <c r="BC32" s="1">
        <f t="shared" si="24"/>
        <v>0</v>
      </c>
      <c r="BD32" s="1">
        <f t="shared" si="9"/>
        <v>0</v>
      </c>
      <c r="BE32" s="1">
        <f t="shared" si="10"/>
        <v>0</v>
      </c>
      <c r="BF32" s="1">
        <f t="shared" si="11"/>
        <v>0</v>
      </c>
      <c r="BG32" s="210" t="str">
        <f>IF(AND(C32="Skema 1",B32="ma"),Skemaoplysninger!$E$30,"")</f>
        <v/>
      </c>
      <c r="BH32" s="210" t="str">
        <f>IF(AND(C32="Skema 1",B32="ti"),Skemaoplysninger!$G$30,"")</f>
        <v/>
      </c>
      <c r="BI32" s="210" t="str">
        <f>IF(AND(C32="Skema 1",B32="on"),Skemaoplysninger!$I$30,"")</f>
        <v/>
      </c>
      <c r="BJ32" s="210" t="str">
        <f>IF(AND(C32="Skema 1",B32="to"),Skemaoplysninger!$K$30,"")</f>
        <v/>
      </c>
      <c r="BK32" s="210" t="str">
        <f>IF(AND(C32="Skema 1",B32="fr"),Skemaoplysninger!$M$30,"")</f>
        <v/>
      </c>
      <c r="BL32" s="210">
        <f>IF(AND(C32="Skema 2",B32="ma"),Skemaoplysninger!$S$30,"")</f>
        <v>0.14583333333333331</v>
      </c>
      <c r="BM32" s="210" t="str">
        <f>IF(AND(C32="Skema 2",B32="ti"),Skemaoplysninger!$U$30,"")</f>
        <v/>
      </c>
      <c r="BN32" s="210" t="str">
        <f>IF(AND(C32="Skema 2",B32="on"),Skemaoplysninger!$W$30,"")</f>
        <v/>
      </c>
      <c r="BO32" s="210" t="str">
        <f>IF(AND(C32="Skema 2",B32="to"),Skemaoplysninger!$Y$30,"")</f>
        <v/>
      </c>
      <c r="BP32" s="210" t="str">
        <f>IF(AND(C32="Skema 2",B32="fr"),Skemaoplysninger!$AA$30,"")</f>
        <v/>
      </c>
      <c r="BQ32" s="210" t="str">
        <f>IF(AND(C32="Skema 3",B32="ma"),Skemaoplysninger!$AG$30,"")</f>
        <v/>
      </c>
      <c r="BR32" s="210" t="str">
        <f>IF(AND(C32="Skema 3",B32="ti"),Skemaoplysninger!$AI$30,"")</f>
        <v/>
      </c>
      <c r="BS32" s="210" t="str">
        <f>IF(AND(C32="Skema 3",B32="on"),Skemaoplysninger!$AK$30,"")</f>
        <v/>
      </c>
      <c r="BT32" s="210" t="str">
        <f>IF(AND(C32="Skema 3",B32="to"),Skemaoplysninger!$AM$30,"")</f>
        <v/>
      </c>
      <c r="BU32" s="210" t="str">
        <f>IF(AND(C32="Skema 3",B32="fr"),Skemaoplysninger!$AO$30,"")</f>
        <v/>
      </c>
      <c r="BV32" s="210" t="str">
        <f>IF(AND(C32="Skema 4",B32="ma"),Skemaoplysninger!$AU$30,"")</f>
        <v/>
      </c>
      <c r="BW32" s="210" t="str">
        <f>IF(AND(C32="Skema 4",B32="ti"),Skemaoplysninger!$AW$30,"")</f>
        <v/>
      </c>
      <c r="BX32" s="210" t="str">
        <f>IF(AND(C32="Skema 4",B32="on"),Skemaoplysninger!$AY$30,"")</f>
        <v/>
      </c>
      <c r="BY32" s="210" t="str">
        <f>IF(AND(C32="Skema 4",B32="to"),Skemaoplysninger!$BA$30,"")</f>
        <v/>
      </c>
      <c r="BZ32" s="210" t="str">
        <f>IF(AND(C32="Skema 4",B32="fr"),Skemaoplysninger!$BC$30,"")</f>
        <v/>
      </c>
      <c r="CA32" s="1">
        <f t="shared" si="25"/>
        <v>3.4999999999999996</v>
      </c>
      <c r="CB32" s="1">
        <f t="shared" si="12"/>
        <v>0</v>
      </c>
      <c r="CC32" s="1">
        <f t="shared" si="13"/>
        <v>0</v>
      </c>
      <c r="CD32" s="210" t="str">
        <f>IF(AND(C32="Skema 1",B32="ma"),Skemaoplysninger!$E$31,"")</f>
        <v/>
      </c>
      <c r="CE32" s="210" t="str">
        <f>IF(AND(C32="Skema 1",B32="ti"),Skemaoplysninger!$G$31,"")</f>
        <v/>
      </c>
      <c r="CF32" s="210" t="str">
        <f>IF(AND(C32="Skema 1",B32="on"),Skemaoplysninger!$I$31,"")</f>
        <v/>
      </c>
      <c r="CG32" s="210" t="str">
        <f>IF(AND(C32="Skema 1",B32="to"),Skemaoplysninger!$K$31,"")</f>
        <v/>
      </c>
      <c r="CH32" s="210" t="str">
        <f>IF(AND(C32="Skema 1",B32="fr"),Skemaoplysninger!$M$31,"")</f>
        <v/>
      </c>
      <c r="CI32" s="210">
        <f>IF(AND(C32="Skema 2",B32="ma"),Skemaoplysninger!$S$31,"")</f>
        <v>4.1666666666666671E-2</v>
      </c>
      <c r="CJ32" s="210" t="str">
        <f>IF(AND(C32="Skema 2",B32="ti"),Skemaoplysninger!$U$31,"")</f>
        <v/>
      </c>
      <c r="CK32" s="210" t="str">
        <f>IF(AND(C32="Skema 2",B32="on"),Skemaoplysninger!$W$31,"")</f>
        <v/>
      </c>
      <c r="CL32" s="210" t="str">
        <f>IF(AND(C32="Skema 2",B32="to"),Skemaoplysninger!$Y$31,"")</f>
        <v/>
      </c>
      <c r="CM32" s="210" t="str">
        <f>IF(AND(C32="Skema 2",B32="fr"),Skemaoplysninger!$AA$31,"")</f>
        <v/>
      </c>
      <c r="CN32" s="210" t="str">
        <f>IF(AND(C32="Skema 3",B32="ma"),Skemaoplysninger!$AG$31,"")</f>
        <v/>
      </c>
      <c r="CO32" s="210" t="str">
        <f>IF(AND(C32="Skema 3",B32="ti"),Skemaoplysninger!$AI$31,"")</f>
        <v/>
      </c>
      <c r="CP32" s="210" t="str">
        <f>IF(AND(C32="Skema 3",B32="on"),Skemaoplysninger!$AK$31,"")</f>
        <v/>
      </c>
      <c r="CQ32" s="210" t="str">
        <f>IF(AND(C32="Skema 3",B32="to"),Skemaoplysninger!$AM$31,"")</f>
        <v/>
      </c>
      <c r="CR32" s="210" t="str">
        <f>IF(AND(C32="Skema 3",B32="fr"),Skemaoplysninger!$AO$31,"")</f>
        <v/>
      </c>
      <c r="CS32" s="210" t="str">
        <f>IF(AND(C32="Skema 4",B32="ma"),Skemaoplysninger!$AU$31,"")</f>
        <v/>
      </c>
      <c r="CT32" s="210" t="str">
        <f>IF(AND(C32="Skema 4",B32="ti"),Skemaoplysninger!$AW$31,"")</f>
        <v/>
      </c>
      <c r="CU32" s="210" t="str">
        <f>IF(AND(C32="Skema 4",B32="on"),Skemaoplysninger!$AY$31,"")</f>
        <v/>
      </c>
      <c r="CV32" s="210" t="str">
        <f>IF(AND(C32="Skema 4",B32="to"),Skemaoplysninger!$BA$31,"")</f>
        <v/>
      </c>
      <c r="CW32" s="210" t="str">
        <f>IF(AND(C32="Skema 4",B32="fr"),Skemaoplysninger!$BC$31,"")</f>
        <v/>
      </c>
      <c r="CX32" s="249">
        <f>IF(Stamoplysninger!$H$29="NEJ",SUM(CD32:CW32)*24+CB32+CC32,0)</f>
        <v>1</v>
      </c>
      <c r="CY32" s="249">
        <f>IF(C32="Skema 1",Stamoplysninger!$H$30/200,0)</f>
        <v>0</v>
      </c>
      <c r="CZ32" s="249">
        <f>IF(C32="Skema 2",Stamoplysninger!$H$30/200,0)</f>
        <v>0</v>
      </c>
      <c r="DA32" s="249">
        <f>IF(C32="Skema 3",Stamoplysninger!$H$30/200,0)</f>
        <v>0</v>
      </c>
      <c r="DB32" s="249">
        <f>IF(C32="Skema 4",Stamoplysninger!$H$30/200,0)</f>
        <v>0</v>
      </c>
      <c r="DC32" s="249">
        <f>IF(C32="fagdag",Stamoplysninger!$H$30/200,0)</f>
        <v>0</v>
      </c>
      <c r="DD32" s="249">
        <f>IF(C32="emnedag",Stamoplysninger!$H$30/200,0)</f>
        <v>0</v>
      </c>
      <c r="DE32" s="249">
        <f>IF(C32="lejrskole",Stamoplysninger!$H$30/200,0)</f>
        <v>0</v>
      </c>
      <c r="DF32" s="249">
        <f>IF(C32="ekskursion",Stamoplysninger!$H$30/200,0)</f>
        <v>0</v>
      </c>
      <c r="DG32" s="249">
        <f t="shared" si="26"/>
        <v>0</v>
      </c>
      <c r="DH32" t="str">
        <f t="shared" si="27"/>
        <v/>
      </c>
      <c r="DI32">
        <f t="shared" si="28"/>
        <v>0</v>
      </c>
      <c r="DJ32">
        <f t="shared" si="29"/>
        <v>0</v>
      </c>
      <c r="DK32" t="str">
        <f t="shared" si="14"/>
        <v/>
      </c>
      <c r="DL32" t="str">
        <f t="shared" si="14"/>
        <v/>
      </c>
      <c r="DM32" t="str">
        <f t="shared" si="14"/>
        <v/>
      </c>
      <c r="DN32" t="str">
        <f t="shared" si="30"/>
        <v/>
      </c>
      <c r="DO32" s="652">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71">
        <f>IF(AND(Stamoplysninger!$B$22="Ulempetillæg udbetales med 25% af nettotimelønnen.",C32="ikke relevant"),(R32)/4,0)</f>
        <v>0</v>
      </c>
      <c r="DT32" s="671">
        <f>IF(AND(AND(Stamoplysninger!$B$22="Ulempetillæg udbetales med 25% af nettotimelønnen.",I32="X",C32="Ikke relevant")),K32/4,0)</f>
        <v>0</v>
      </c>
      <c r="DU32" s="671">
        <f>IF(AND(AND(Stamoplysninger!$B$22="Ulempetillæg udbetales med 25% af nettotimelønnen.",C32="ikke relevant",U32="X")),(X32/4),0)</f>
        <v>0</v>
      </c>
      <c r="DV32" s="672">
        <f>IF(AND(AND(AND(Stamoplysninger!$B$22="Ulempetillæg udbetales med 25% af nettotimelønnen.",I32="X",C32="Ikke relevant",S32="X"))),V32/4,0)</f>
        <v>0</v>
      </c>
      <c r="DW32" s="652"/>
      <c r="DZ32" s="671"/>
      <c r="EA32" s="671"/>
      <c r="EB32" s="672"/>
      <c r="EC32" s="652">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71">
        <f>IF(AND(Stamoplysninger!$B$22="Ulempetillæg afspadseres med 25%(Kræver en aftale imellem ledelsen og den ansatte)",C32="ikke relevant"),(R32)/4,0)</f>
        <v>0</v>
      </c>
      <c r="EH32" s="671">
        <f>IF(AND(AND(Stamoplysninger!$B$22="Ulempetillæg afspadseres med 25%(Kræver en aftale imellem ledelsen og den ansatte)",I32="X",C32="Ikke relevant")),K32/4,0)</f>
        <v>0</v>
      </c>
      <c r="EI32" s="671">
        <f>IF(AND(AND(Stamoplysninger!$B$22="Ulempetillæg afspadseres med 25%(Kræver en aftale imellem ledelsen og den ansatte)",U32="X",C32="Ikke relevant")),X32/4,0)</f>
        <v>0</v>
      </c>
      <c r="EJ32" s="671">
        <f>IF(AND(AND(AND(Stamoplysninger!$B$22="Ulempetillæg afspadseres med 25%(Kræver en aftale imellem ledelsen og den ansatte)",I32="X",C32="Ikke relevant",S32="X"))),V32/4,0)</f>
        <v>0</v>
      </c>
      <c r="EK32" s="283">
        <f>IF(AND(Stamoplysninger!$B$26="Weekendtimer og weekendtillæg afspadseres.",I32="X"),K32*1.5,0)</f>
        <v>0</v>
      </c>
      <c r="EL32" s="251">
        <f>IF(AND(AND(Stamoplysninger!$B$26="Weekendtimer og weekendtillæg afspadseres.",I32="X",S32="X")),V32*1.5,0)</f>
        <v>0</v>
      </c>
      <c r="EM32" s="674">
        <f>IF(AND(AND(Stamoplysninger!$B$26="Weekendtimer og weekendtillæg afspadseres.",I32="X",C32="ikke relevant")),K32*1.5,0)</f>
        <v>0</v>
      </c>
      <c r="EN32" s="675">
        <f>IF(AND(AND(AND(Stamoplysninger!$B$26="Weekendtimer og weekendtillæg afspadseres.",I32="X",C32="ikke relevant",S32="X"))),(V32*1.5),0)</f>
        <v>0</v>
      </c>
      <c r="EO32" s="283">
        <f>IF(AND(Stamoplysninger!$B$26="Weekendtimer og weekendtillæg udbetales.",I32="X"),K32*1.5,0)</f>
        <v>0</v>
      </c>
      <c r="EP32" s="251">
        <f>IF(AND(AND(Stamoplysninger!$B$26="Weekendtimer og weekendtillæg udbetales.",I32="X",S32="X")),V32*1.5,0)</f>
        <v>0</v>
      </c>
      <c r="EQ32" s="674">
        <f>IF(AND(AND(Stamoplysninger!$B$26="Weekendtimer og weekendtillæg udbetales.",I32="X",C32="ikke relevant")),K32*1.5,0)</f>
        <v>0</v>
      </c>
      <c r="ER32" s="675">
        <f>IF(AND(AND(AND(Stamoplysninger!$B$26="Weekendtimer og weekendtillæg udbetales.",I32="X",C32="ikke relevant",S32="X"))),(V32*1.5),0)</f>
        <v>0</v>
      </c>
      <c r="ES32" s="283">
        <f>IF(AND(Stamoplysninger!$B$26="Der er indgået lokalaftale omkring weekendtimer.(Kræver aftale med TR/FSL) Weekendtillæg afspadseres.",I32="X"),K32*0.5,0)</f>
        <v>0</v>
      </c>
      <c r="ET32" s="251">
        <f>IF(AND(AND(Stamoplysninger!$B$26="Der er indgået lokalaftale omkring weekendtimer.(Kræver aftale med TR/FSL) Weekendtillæg afspadseres.",I32="X",S32="X")),V32*0.5,0)</f>
        <v>0</v>
      </c>
      <c r="EU32" s="674">
        <f>IF(AND(AND(Stamoplysninger!$B$26="Der er indgået lokalaftale omkring weekendtimer.(Kræver aftale med TR/FSL) Weekendtillæg afspadseres.",I32="X",C32="ikke relevant")),K32*0.5,0)</f>
        <v>0</v>
      </c>
      <c r="EV32" s="675">
        <f>IF(AND(AND(AND(Stamoplysninger!$B$26="Der er indgået lokalaftale omkring weekendtimer.(Kræver aftale med TR/FSL) Weekendtillæg afspadseres.",I32="X",C32="ikke relevant",S32="X"))),(V32*0.5),0)</f>
        <v>0</v>
      </c>
      <c r="EW32" s="283">
        <f>IF(AND(Stamoplysninger!$B$26="Der er indgået lokalaftale omkring weekendtimer(Kræver aftale med TR/FSL). Weekendtillæg udbetales.",I32="X"),K32*0.5,0)</f>
        <v>0</v>
      </c>
      <c r="EX32" s="251">
        <f>IF(AND(AND(Stamoplysninger!$B$26="Der er indgået lokalaftale omkring weekendtimer(Kræver aftale med TR/FSL). Weekendtillæg udbetales.",I32="X",S32="X")),V32*0.5,0)</f>
        <v>0</v>
      </c>
      <c r="EY32" s="674">
        <f>IF(AND(AND(Stamoplysninger!$B$26="Der er indgået lokalaftale omkring weekendtimer(Kræver aftale med TR/FSL). Weekendtillæg udbetales.",I32="X",C32="ikke relevant")),K32*0.5,0)</f>
        <v>0</v>
      </c>
      <c r="EZ32" s="675">
        <f>IF(AND(AND(AND(Stamoplysninger!$B$26="Der er indgået lokalaftale omkring weekendtimer(Kræver aftale med TR/FSL). Weekendtillæg udbetales.",I32="X",C32="ikke relevant",S32="X"))),(V32*0.5),0)</f>
        <v>0</v>
      </c>
      <c r="FA32" s="283">
        <f>IF(AND(Stamoplysninger!$B$26="Der er indgået lokalaftale omkring weekendtillæg(Kræver aftale med TR/FSL). Weekendtimerne afspadseres.",I32="X"),K32,0)</f>
        <v>0</v>
      </c>
      <c r="FB32" s="251">
        <f>IF(AND(AND(Stamoplysninger!$B$26="Der er indgået lokalaftale omkring weekendtillæg(Kræver aftale med TR/FSL). Weekendtimerne afspadseres.",I32="X",S32="X")),V32,0)</f>
        <v>0</v>
      </c>
      <c r="FC32" s="674">
        <f>IF(AND(AND(Stamoplysninger!$B$26="Der er indgået lokalaftale omkring weekendtillæg(Kræver aftale med TR/FSL). Weekendtimerne afspadseres..",I32="X",C32="ikke relevant")),K32,0)</f>
        <v>0</v>
      </c>
      <c r="FD32" s="675">
        <f>IF(AND(AND(AND(Stamoplysninger!$B$26="Der er indgået lokalaftale omkring weekendtillæg(Kræver aftale med TR/FSL). Weekendtimerne afspadseres.",I32="X",C32="ikke relevant",S32="X"))),(V32),0)</f>
        <v>0</v>
      </c>
      <c r="FE32" s="283">
        <f>IF(AND(Stamoplysninger!$B$26="Der er indgået lokalaftale omkring weekendtillæg(Kræver aftale med TR/FSL). Weekendtimerne udbetales.",I32="X"),K32,0)</f>
        <v>0</v>
      </c>
      <c r="FF32" s="251">
        <f>IF(AND(AND(Stamoplysninger!$B$26="Der er indgået lokalaftale omkring weekendtillæg(Kræver aftale med TR/FSL). Weekendtimerne udbetales.",I32="X",S32="X")),V32,0)</f>
        <v>0</v>
      </c>
      <c r="FG32" s="674">
        <f>IF(AND(AND(Stamoplysninger!$B$26="Der er indgået lokalaftale omkring weekendtillæg(Kræver aftale med TR/FSL). Weekendtimerne udbetales.",I32="X",C32="ikke relevant")),K32,0)</f>
        <v>0</v>
      </c>
      <c r="FH32" s="675">
        <f>IF(AND(AND(AND(Stamoplysninger!$B$26="Der er indgået lokalaftale omkring weekendtillæg(Kræver aftale med TR/FSL). Weekendtimerne udbetales.",I32="X",C32="ikke relevant",S32="X"))),(V32),0)</f>
        <v>0</v>
      </c>
      <c r="FI32" s="283">
        <f>IF(AND(Stamoplysninger!$B$26="Weekendtimer og weekendtillæg afspadseres.",I32="X"),K32,0)</f>
        <v>0</v>
      </c>
      <c r="FJ32" s="251">
        <f>IF(AND(Stamoplysninger!$B$26="Weekendtimer og weekendtillæg afspadseres.",Y32="X"),(AA32+AL32)/2,0)</f>
        <v>0</v>
      </c>
      <c r="FK32" s="674">
        <f>IF(AND(AND(Stamoplysninger!$B$26="Weekendtimer og weekendtillæg afspadseres.",I32="X",C32="ikke relevant")),K32,0)</f>
        <v>0</v>
      </c>
      <c r="FL32" s="675">
        <f>IF(AND(AND(Stamoplysninger!$B$26="Weekendtimer og weekendtillæg afspadseres.",Y32="X",S32="ikke relevant")),(AA32+AL32)/2,0)</f>
        <v>0</v>
      </c>
      <c r="FM32" s="283">
        <f>IF(AND(Stamoplysninger!$B$26="Der er indgået lokalaftale omkring weekendtillæg(Kræver aftale med TR/FSL). Weekendtimerne afspadseres.",I32="X"),K32,0)</f>
        <v>0</v>
      </c>
      <c r="FN32" s="674">
        <f>IF(AND(AND(Stamoplysninger!$B$26="Der er indgået lokalaftale omkring weekendtillæg(Kræver aftale med TR/FSL). Weekendtimerne afspadseres.",I32="X",C32="ikke relevant")),K32,0)</f>
        <v>0</v>
      </c>
      <c r="FO32" s="283">
        <f>IF(AND(Stamoplysninger!$B$26="Weekendtimer og weekendtillæg udbetales.",I32="X"),K32,0)</f>
        <v>0</v>
      </c>
      <c r="FP32" s="251">
        <f>IF(AND(Stamoplysninger!$B$26="Weekendtimer og weekendtillæg udbetales.",AA32="X"),(AC32+AN32)/2,0)</f>
        <v>0</v>
      </c>
      <c r="FQ32" s="674">
        <f>IF(AND(AND(Stamoplysninger!$B$26="Weekendtimer og weekendtillæg udbetales.",I32="X",C32="ikke relevant")),K32,0)</f>
        <v>0</v>
      </c>
      <c r="FR32" s="688">
        <f>IF(AND(AND(Stamoplysninger!$B$26="Weekendtimer og weekendtillæg udbetales.",AA32="X",U32="ikke relevant")),(AC32+AN32)/2,0)</f>
        <v>0</v>
      </c>
      <c r="FS32" s="283">
        <f t="shared" si="15"/>
        <v>0</v>
      </c>
      <c r="FT32" s="658">
        <f t="shared" si="16"/>
        <v>0</v>
      </c>
      <c r="FU32">
        <f t="shared" si="31"/>
        <v>0</v>
      </c>
      <c r="FV32" s="283">
        <f>IF(AND(Stamoplysninger!$B$26="Der er indgået lokalaftale omkring weekendtimer.(Kræver aftale med TR/FSL) Weekendtillæg afspadseres.",I32="X"),K32,0)</f>
        <v>0</v>
      </c>
      <c r="FW32" s="674">
        <f>IF(AND(AND(Stamoplysninger!$B$26="Der er indgået lokalaftale omkring weekendtimer.(Kræver aftale med TR/FSL) Weekendtillæg afspadseres.",I32="X",C32="ikke relevant")),K32,0)</f>
        <v>0</v>
      </c>
      <c r="FX32" s="283">
        <f>IF(AND(Stamoplysninger!$B$26="Der er indgået lokalaftale omkring weekendtimer(Kræver aftale med TR/FSL). Weekendtillæg udbetales.",I32="X"),K32,0)</f>
        <v>0</v>
      </c>
      <c r="FY32" s="674">
        <f>IF(AND(AND(Stamoplysninger!$B$26="Der er indgået lokalaftale omkring weekendtimer(Kræver aftale med TR/FSL). Weekendtillæg udbetales.",I32="X",C32="ikke relevant")),K32,0)</f>
        <v>0</v>
      </c>
      <c r="FZ32" s="283">
        <f>IF(AND(Stamoplysninger!$B$26="Der er indgået lokalaftale omkring weekendtillæg(Kræver aftale med TR/FSL). Weekendtimerne udbetales.",I32="X"),K32,0)</f>
        <v>0</v>
      </c>
      <c r="GA32" s="674">
        <f>IF(AND(AND(Stamoplysninger!$B$26="Der er indgået lokalaftale omkring weekendtillæg(Kræver aftale med TR/FSL). Weekendtimerne udbetales.",I32="X",C32="ikke relevant")),K32,0)</f>
        <v>0</v>
      </c>
      <c r="GB32" s="283">
        <f>IF(AND(Stamoplysninger!$B$26="Der er indgået lokalaftale omkring weekendtimer og weekendtillæg.(Kræver aftale med TR/FSL).",I32="X"),K32,0)</f>
        <v>0</v>
      </c>
      <c r="GC32" s="674">
        <f>IF(AND(AND(Stamoplysninger!$B$26="Der er indgået lokalaftale omkring weekendtimer og weekendtillæg.(Kræver aftale med TR/FSL).",I32="X",C32="ikke relevant")),K32,0)</f>
        <v>0</v>
      </c>
    </row>
    <row r="33" spans="1:185">
      <c r="A33" s="245">
        <f t="shared" si="18"/>
        <v>25</v>
      </c>
      <c r="B33" s="128" t="str">
        <f t="shared" si="0"/>
        <v>ti</v>
      </c>
      <c r="C33" s="129" t="s">
        <v>207</v>
      </c>
      <c r="D33" s="130" t="str">
        <f t="shared" si="1"/>
        <v/>
      </c>
      <c r="E33" s="917"/>
      <c r="F33" s="918"/>
      <c r="G33" s="919"/>
      <c r="H33" s="298"/>
      <c r="I33" s="527"/>
      <c r="J33" s="413"/>
      <c r="K33" s="380"/>
      <c r="L33" s="380"/>
      <c r="M33" s="380"/>
      <c r="N33" s="318">
        <f t="shared" si="19"/>
        <v>8.5</v>
      </c>
      <c r="O33" s="318">
        <f t="shared" si="20"/>
        <v>3.75</v>
      </c>
      <c r="P33" s="318">
        <f>IF(Stamoplysninger!$H$29="JA",Marts!DG33,CX33)</f>
        <v>1.5</v>
      </c>
      <c r="Q33" s="318">
        <f t="shared" si="21"/>
        <v>3.25</v>
      </c>
      <c r="R33" s="319"/>
      <c r="S33" s="324"/>
      <c r="T33" s="325"/>
      <c r="U33" s="325"/>
      <c r="V33" s="435"/>
      <c r="W33" s="412"/>
      <c r="X33" s="642"/>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f>IF(AND(C33="Skema 2",B33="ti"),Arbejdstidsoversigt!$E$82,"")</f>
        <v>8.5</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8.5</v>
      </c>
      <c r="BB33" s="229">
        <f t="shared" si="8"/>
        <v>0</v>
      </c>
      <c r="BC33" s="1">
        <f t="shared" si="24"/>
        <v>0</v>
      </c>
      <c r="BD33" s="1">
        <f t="shared" si="9"/>
        <v>0</v>
      </c>
      <c r="BE33" s="1">
        <f t="shared" si="10"/>
        <v>0</v>
      </c>
      <c r="BF33" s="1">
        <f t="shared" si="11"/>
        <v>0</v>
      </c>
      <c r="BG33" s="210" t="str">
        <f>IF(AND(C33="Skema 1",B33="ma"),Skemaoplysninger!$E$30,"")</f>
        <v/>
      </c>
      <c r="BH33" s="210" t="str">
        <f>IF(AND(C33="Skema 1",B33="ti"),Skemaoplysninger!$G$30,"")</f>
        <v/>
      </c>
      <c r="BI33" s="210" t="str">
        <f>IF(AND(C33="Skema 1",B33="on"),Skemaoplysninger!$I$30,"")</f>
        <v/>
      </c>
      <c r="BJ33" s="210" t="str">
        <f>IF(AND(C33="Skema 1",B33="to"),Skemaoplysninger!$K$30,"")</f>
        <v/>
      </c>
      <c r="BK33" s="210" t="str">
        <f>IF(AND(C33="Skema 1",B33="fr"),Skemaoplysninger!$M$30,"")</f>
        <v/>
      </c>
      <c r="BL33" s="210" t="str">
        <f>IF(AND(C33="Skema 2",B33="ma"),Skemaoplysninger!$S$30,"")</f>
        <v/>
      </c>
      <c r="BM33" s="210">
        <f>IF(AND(C33="Skema 2",B33="ti"),Skemaoplysninger!$U$30,"")</f>
        <v>0.15625</v>
      </c>
      <c r="BN33" s="210" t="str">
        <f>IF(AND(C33="Skema 2",B33="on"),Skemaoplysninger!$W$30,"")</f>
        <v/>
      </c>
      <c r="BO33" s="210" t="str">
        <f>IF(AND(C33="Skema 2",B33="to"),Skemaoplysninger!$Y$30,"")</f>
        <v/>
      </c>
      <c r="BP33" s="210" t="str">
        <f>IF(AND(C33="Skema 2",B33="fr"),Skemaoplysninger!$AA$30,"")</f>
        <v/>
      </c>
      <c r="BQ33" s="210" t="str">
        <f>IF(AND(C33="Skema 3",B33="ma"),Skemaoplysninger!$AG$30,"")</f>
        <v/>
      </c>
      <c r="BR33" s="210" t="str">
        <f>IF(AND(C33="Skema 3",B33="ti"),Skemaoplysninger!$AI$30,"")</f>
        <v/>
      </c>
      <c r="BS33" s="210" t="str">
        <f>IF(AND(C33="Skema 3",B33="on"),Skemaoplysninger!$AK$30,"")</f>
        <v/>
      </c>
      <c r="BT33" s="210" t="str">
        <f>IF(AND(C33="Skema 3",B33="to"),Skemaoplysninger!$AM$30,"")</f>
        <v/>
      </c>
      <c r="BU33" s="210" t="str">
        <f>IF(AND(C33="Skema 3",B33="fr"),Skemaoplysninger!$AO$30,"")</f>
        <v/>
      </c>
      <c r="BV33" s="210" t="str">
        <f>IF(AND(C33="Skema 4",B33="ma"),Skemaoplysninger!$AU$30,"")</f>
        <v/>
      </c>
      <c r="BW33" s="210" t="str">
        <f>IF(AND(C33="Skema 4",B33="ti"),Skemaoplysninger!$AW$30,"")</f>
        <v/>
      </c>
      <c r="BX33" s="210" t="str">
        <f>IF(AND(C33="Skema 4",B33="on"),Skemaoplysninger!$AY$30,"")</f>
        <v/>
      </c>
      <c r="BY33" s="210" t="str">
        <f>IF(AND(C33="Skema 4",B33="to"),Skemaoplysninger!$BA$30,"")</f>
        <v/>
      </c>
      <c r="BZ33" s="210" t="str">
        <f>IF(AND(C33="Skema 4",B33="fr"),Skemaoplysninger!$BC$30,"")</f>
        <v/>
      </c>
      <c r="CA33" s="1">
        <f t="shared" si="25"/>
        <v>3.75</v>
      </c>
      <c r="CB33" s="1">
        <f t="shared" si="12"/>
        <v>0</v>
      </c>
      <c r="CC33" s="1">
        <f t="shared" si="13"/>
        <v>0</v>
      </c>
      <c r="CD33" s="210" t="str">
        <f>IF(AND(C33="Skema 1",B33="ma"),Skemaoplysninger!$E$31,"")</f>
        <v/>
      </c>
      <c r="CE33" s="210" t="str">
        <f>IF(AND(C33="Skema 1",B33="ti"),Skemaoplysninger!$G$31,"")</f>
        <v/>
      </c>
      <c r="CF33" s="210" t="str">
        <f>IF(AND(C33="Skema 1",B33="on"),Skemaoplysninger!$I$31,"")</f>
        <v/>
      </c>
      <c r="CG33" s="210" t="str">
        <f>IF(AND(C33="Skema 1",B33="to"),Skemaoplysninger!$K$31,"")</f>
        <v/>
      </c>
      <c r="CH33" s="210" t="str">
        <f>IF(AND(C33="Skema 1",B33="fr"),Skemaoplysninger!$M$31,"")</f>
        <v/>
      </c>
      <c r="CI33" s="210" t="str">
        <f>IF(AND(C33="Skema 2",B33="ma"),Skemaoplysninger!$S$31,"")</f>
        <v/>
      </c>
      <c r="CJ33" s="210">
        <f>IF(AND(C33="Skema 2",B33="ti"),Skemaoplysninger!$U$31,"")</f>
        <v>6.25E-2</v>
      </c>
      <c r="CK33" s="210" t="str">
        <f>IF(AND(C33="Skema 2",B33="on"),Skemaoplysninger!$W$31,"")</f>
        <v/>
      </c>
      <c r="CL33" s="210" t="str">
        <f>IF(AND(C33="Skema 2",B33="to"),Skemaoplysninger!$Y$31,"")</f>
        <v/>
      </c>
      <c r="CM33" s="210" t="str">
        <f>IF(AND(C33="Skema 2",B33="fr"),Skemaoplysninger!$AA$31,"")</f>
        <v/>
      </c>
      <c r="CN33" s="210" t="str">
        <f>IF(AND(C33="Skema 3",B33="ma"),Skemaoplysninger!$AG$31,"")</f>
        <v/>
      </c>
      <c r="CO33" s="210" t="str">
        <f>IF(AND(C33="Skema 3",B33="ti"),Skemaoplysninger!$AI$31,"")</f>
        <v/>
      </c>
      <c r="CP33" s="210" t="str">
        <f>IF(AND(C33="Skema 3",B33="on"),Skemaoplysninger!$AK$31,"")</f>
        <v/>
      </c>
      <c r="CQ33" s="210" t="str">
        <f>IF(AND(C33="Skema 3",B33="to"),Skemaoplysninger!$AM$31,"")</f>
        <v/>
      </c>
      <c r="CR33" s="210" t="str">
        <f>IF(AND(C33="Skema 3",B33="fr"),Skemaoplysninger!$AO$31,"")</f>
        <v/>
      </c>
      <c r="CS33" s="210" t="str">
        <f>IF(AND(C33="Skema 4",B33="ma"),Skemaoplysninger!$AU$31,"")</f>
        <v/>
      </c>
      <c r="CT33" s="210" t="str">
        <f>IF(AND(C33="Skema 4",B33="ti"),Skemaoplysninger!$AW$31,"")</f>
        <v/>
      </c>
      <c r="CU33" s="210" t="str">
        <f>IF(AND(C33="Skema 4",B33="on"),Skemaoplysninger!$AY$31,"")</f>
        <v/>
      </c>
      <c r="CV33" s="210" t="str">
        <f>IF(AND(C33="Skema 4",B33="to"),Skemaoplysninger!$BA$31,"")</f>
        <v/>
      </c>
      <c r="CW33" s="210" t="str">
        <f>IF(AND(C33="Skema 4",B33="fr"),Skemaoplysninger!$BC$31,"")</f>
        <v/>
      </c>
      <c r="CX33" s="249">
        <f>IF(Stamoplysninger!$H$29="NEJ",SUM(CD33:CW33)*24+CB33+CC33,0)</f>
        <v>1.5</v>
      </c>
      <c r="CY33" s="249">
        <f>IF(C33="Skema 1",Stamoplysninger!$H$30/200,0)</f>
        <v>0</v>
      </c>
      <c r="CZ33" s="249">
        <f>IF(C33="Skema 2",Stamoplysninger!$H$30/200,0)</f>
        <v>0</v>
      </c>
      <c r="DA33" s="249">
        <f>IF(C33="Skema 3",Stamoplysninger!$H$30/200,0)</f>
        <v>0</v>
      </c>
      <c r="DB33" s="249">
        <f>IF(C33="Skema 4",Stamoplysninger!$H$30/200,0)</f>
        <v>0</v>
      </c>
      <c r="DC33" s="249">
        <f>IF(C33="fagdag",Stamoplysninger!$H$30/200,0)</f>
        <v>0</v>
      </c>
      <c r="DD33" s="249">
        <f>IF(C33="emnedag",Stamoplysninger!$H$30/200,0)</f>
        <v>0</v>
      </c>
      <c r="DE33" s="249">
        <f>IF(C33="lejrskole",Stamoplysninger!$H$30/200,0)</f>
        <v>0</v>
      </c>
      <c r="DF33" s="249">
        <f>IF(C33="ekskursion",Stamoplysninger!$H$30/200,0)</f>
        <v>0</v>
      </c>
      <c r="DG33" s="249">
        <f t="shared" si="26"/>
        <v>0</v>
      </c>
      <c r="DH33" t="str">
        <f t="shared" si="27"/>
        <v/>
      </c>
      <c r="DI33">
        <f t="shared" si="28"/>
        <v>0</v>
      </c>
      <c r="DJ33">
        <f t="shared" si="29"/>
        <v>0</v>
      </c>
      <c r="DK33" t="str">
        <f t="shared" si="14"/>
        <v/>
      </c>
      <c r="DL33" t="str">
        <f t="shared" si="14"/>
        <v/>
      </c>
      <c r="DM33" t="str">
        <f t="shared" si="14"/>
        <v/>
      </c>
      <c r="DN33" t="str">
        <f t="shared" si="30"/>
        <v/>
      </c>
      <c r="DO33" s="652">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71">
        <f>IF(AND(Stamoplysninger!$B$22="Ulempetillæg udbetales med 25% af nettotimelønnen.",C33="ikke relevant"),(R33)/4,0)</f>
        <v>0</v>
      </c>
      <c r="DT33" s="671">
        <f>IF(AND(AND(Stamoplysninger!$B$22="Ulempetillæg udbetales med 25% af nettotimelønnen.",I33="X",C33="Ikke relevant")),K33/4,0)</f>
        <v>0</v>
      </c>
      <c r="DU33" s="671">
        <f>IF(AND(AND(Stamoplysninger!$B$22="Ulempetillæg udbetales med 25% af nettotimelønnen.",C33="ikke relevant",U33="X")),(X33/4),0)</f>
        <v>0</v>
      </c>
      <c r="DV33" s="672">
        <f>IF(AND(AND(AND(Stamoplysninger!$B$22="Ulempetillæg udbetales med 25% af nettotimelønnen.",I33="X",C33="Ikke relevant",S33="X"))),V33/4,0)</f>
        <v>0</v>
      </c>
      <c r="DW33" s="652"/>
      <c r="DZ33" s="671"/>
      <c r="EA33" s="671"/>
      <c r="EB33" s="672"/>
      <c r="EC33" s="652">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71">
        <f>IF(AND(Stamoplysninger!$B$22="Ulempetillæg afspadseres med 25%(Kræver en aftale imellem ledelsen og den ansatte)",C33="ikke relevant"),(R33)/4,0)</f>
        <v>0</v>
      </c>
      <c r="EH33" s="671">
        <f>IF(AND(AND(Stamoplysninger!$B$22="Ulempetillæg afspadseres med 25%(Kræver en aftale imellem ledelsen og den ansatte)",I33="X",C33="Ikke relevant")),K33/4,0)</f>
        <v>0</v>
      </c>
      <c r="EI33" s="671">
        <f>IF(AND(AND(Stamoplysninger!$B$22="Ulempetillæg afspadseres med 25%(Kræver en aftale imellem ledelsen og den ansatte)",U33="X",C33="Ikke relevant")),X33/4,0)</f>
        <v>0</v>
      </c>
      <c r="EJ33" s="671">
        <f>IF(AND(AND(AND(Stamoplysninger!$B$22="Ulempetillæg afspadseres med 25%(Kræver en aftale imellem ledelsen og den ansatte)",I33="X",C33="Ikke relevant",S33="X"))),V33/4,0)</f>
        <v>0</v>
      </c>
      <c r="EK33" s="283">
        <f>IF(AND(Stamoplysninger!$B$26="Weekendtimer og weekendtillæg afspadseres.",I33="X"),K33*1.5,0)</f>
        <v>0</v>
      </c>
      <c r="EL33" s="251">
        <f>IF(AND(AND(Stamoplysninger!$B$26="Weekendtimer og weekendtillæg afspadseres.",I33="X",S33="X")),V33*1.5,0)</f>
        <v>0</v>
      </c>
      <c r="EM33" s="674">
        <f>IF(AND(AND(Stamoplysninger!$B$26="Weekendtimer og weekendtillæg afspadseres.",I33="X",C33="ikke relevant")),K33*1.5,0)</f>
        <v>0</v>
      </c>
      <c r="EN33" s="675">
        <f>IF(AND(AND(AND(Stamoplysninger!$B$26="Weekendtimer og weekendtillæg afspadseres.",I33="X",C33="ikke relevant",S33="X"))),(V33*1.5),0)</f>
        <v>0</v>
      </c>
      <c r="EO33" s="283">
        <f>IF(AND(Stamoplysninger!$B$26="Weekendtimer og weekendtillæg udbetales.",I33="X"),K33*1.5,0)</f>
        <v>0</v>
      </c>
      <c r="EP33" s="251">
        <f>IF(AND(AND(Stamoplysninger!$B$26="Weekendtimer og weekendtillæg udbetales.",I33="X",S33="X")),V33*1.5,0)</f>
        <v>0</v>
      </c>
      <c r="EQ33" s="674">
        <f>IF(AND(AND(Stamoplysninger!$B$26="Weekendtimer og weekendtillæg udbetales.",I33="X",C33="ikke relevant")),K33*1.5,0)</f>
        <v>0</v>
      </c>
      <c r="ER33" s="675">
        <f>IF(AND(AND(AND(Stamoplysninger!$B$26="Weekendtimer og weekendtillæg udbetales.",I33="X",C33="ikke relevant",S33="X"))),(V33*1.5),0)</f>
        <v>0</v>
      </c>
      <c r="ES33" s="283">
        <f>IF(AND(Stamoplysninger!$B$26="Der er indgået lokalaftale omkring weekendtimer.(Kræver aftale med TR/FSL) Weekendtillæg afspadseres.",I33="X"),K33*0.5,0)</f>
        <v>0</v>
      </c>
      <c r="ET33" s="251">
        <f>IF(AND(AND(Stamoplysninger!$B$26="Der er indgået lokalaftale omkring weekendtimer.(Kræver aftale med TR/FSL) Weekendtillæg afspadseres.",I33="X",S33="X")),V33*0.5,0)</f>
        <v>0</v>
      </c>
      <c r="EU33" s="674">
        <f>IF(AND(AND(Stamoplysninger!$B$26="Der er indgået lokalaftale omkring weekendtimer.(Kræver aftale med TR/FSL) Weekendtillæg afspadseres.",I33="X",C33="ikke relevant")),K33*0.5,0)</f>
        <v>0</v>
      </c>
      <c r="EV33" s="675">
        <f>IF(AND(AND(AND(Stamoplysninger!$B$26="Der er indgået lokalaftale omkring weekendtimer.(Kræver aftale med TR/FSL) Weekendtillæg afspadseres.",I33="X",C33="ikke relevant",S33="X"))),(V33*0.5),0)</f>
        <v>0</v>
      </c>
      <c r="EW33" s="283">
        <f>IF(AND(Stamoplysninger!$B$26="Der er indgået lokalaftale omkring weekendtimer(Kræver aftale med TR/FSL). Weekendtillæg udbetales.",I33="X"),K33*0.5,0)</f>
        <v>0</v>
      </c>
      <c r="EX33" s="251">
        <f>IF(AND(AND(Stamoplysninger!$B$26="Der er indgået lokalaftale omkring weekendtimer(Kræver aftale med TR/FSL). Weekendtillæg udbetales.",I33="X",S33="X")),V33*0.5,0)</f>
        <v>0</v>
      </c>
      <c r="EY33" s="674">
        <f>IF(AND(AND(Stamoplysninger!$B$26="Der er indgået lokalaftale omkring weekendtimer(Kræver aftale med TR/FSL). Weekendtillæg udbetales.",I33="X",C33="ikke relevant")),K33*0.5,0)</f>
        <v>0</v>
      </c>
      <c r="EZ33" s="675">
        <f>IF(AND(AND(AND(Stamoplysninger!$B$26="Der er indgået lokalaftale omkring weekendtimer(Kræver aftale med TR/FSL). Weekendtillæg udbetales.",I33="X",C33="ikke relevant",S33="X"))),(V33*0.5),0)</f>
        <v>0</v>
      </c>
      <c r="FA33" s="283">
        <f>IF(AND(Stamoplysninger!$B$26="Der er indgået lokalaftale omkring weekendtillæg(Kræver aftale med TR/FSL). Weekendtimerne afspadseres.",I33="X"),K33,0)</f>
        <v>0</v>
      </c>
      <c r="FB33" s="251">
        <f>IF(AND(AND(Stamoplysninger!$B$26="Der er indgået lokalaftale omkring weekendtillæg(Kræver aftale med TR/FSL). Weekendtimerne afspadseres.",I33="X",S33="X")),V33,0)</f>
        <v>0</v>
      </c>
      <c r="FC33" s="674">
        <f>IF(AND(AND(Stamoplysninger!$B$26="Der er indgået lokalaftale omkring weekendtillæg(Kræver aftale med TR/FSL). Weekendtimerne afspadseres..",I33="X",C33="ikke relevant")),K33,0)</f>
        <v>0</v>
      </c>
      <c r="FD33" s="675">
        <f>IF(AND(AND(AND(Stamoplysninger!$B$26="Der er indgået lokalaftale omkring weekendtillæg(Kræver aftale med TR/FSL). Weekendtimerne afspadseres.",I33="X",C33="ikke relevant",S33="X"))),(V33),0)</f>
        <v>0</v>
      </c>
      <c r="FE33" s="283">
        <f>IF(AND(Stamoplysninger!$B$26="Der er indgået lokalaftale omkring weekendtillæg(Kræver aftale med TR/FSL). Weekendtimerne udbetales.",I33="X"),K33,0)</f>
        <v>0</v>
      </c>
      <c r="FF33" s="251">
        <f>IF(AND(AND(Stamoplysninger!$B$26="Der er indgået lokalaftale omkring weekendtillæg(Kræver aftale med TR/FSL). Weekendtimerne udbetales.",I33="X",S33="X")),V33,0)</f>
        <v>0</v>
      </c>
      <c r="FG33" s="674">
        <f>IF(AND(AND(Stamoplysninger!$B$26="Der er indgået lokalaftale omkring weekendtillæg(Kræver aftale med TR/FSL). Weekendtimerne udbetales.",I33="X",C33="ikke relevant")),K33,0)</f>
        <v>0</v>
      </c>
      <c r="FH33" s="675">
        <f>IF(AND(AND(AND(Stamoplysninger!$B$26="Der er indgået lokalaftale omkring weekendtillæg(Kræver aftale med TR/FSL). Weekendtimerne udbetales.",I33="X",C33="ikke relevant",S33="X"))),(V33),0)</f>
        <v>0</v>
      </c>
      <c r="FI33" s="283">
        <f>IF(AND(Stamoplysninger!$B$26="Weekendtimer og weekendtillæg afspadseres.",I33="X"),K33,0)</f>
        <v>0</v>
      </c>
      <c r="FJ33" s="251">
        <f>IF(AND(Stamoplysninger!$B$26="Weekendtimer og weekendtillæg afspadseres.",Y33="X"),(AA33+AL33)/2,0)</f>
        <v>0</v>
      </c>
      <c r="FK33" s="674">
        <f>IF(AND(AND(Stamoplysninger!$B$26="Weekendtimer og weekendtillæg afspadseres.",I33="X",C33="ikke relevant")),K33,0)</f>
        <v>0</v>
      </c>
      <c r="FL33" s="675">
        <f>IF(AND(AND(Stamoplysninger!$B$26="Weekendtimer og weekendtillæg afspadseres.",Y33="X",S33="ikke relevant")),(AA33+AL33)/2,0)</f>
        <v>0</v>
      </c>
      <c r="FM33" s="283">
        <f>IF(AND(Stamoplysninger!$B$26="Der er indgået lokalaftale omkring weekendtillæg(Kræver aftale med TR/FSL). Weekendtimerne afspadseres.",I33="X"),K33,0)</f>
        <v>0</v>
      </c>
      <c r="FN33" s="674">
        <f>IF(AND(AND(Stamoplysninger!$B$26="Der er indgået lokalaftale omkring weekendtillæg(Kræver aftale med TR/FSL). Weekendtimerne afspadseres.",I33="X",C33="ikke relevant")),K33,0)</f>
        <v>0</v>
      </c>
      <c r="FO33" s="283">
        <f>IF(AND(Stamoplysninger!$B$26="Weekendtimer og weekendtillæg udbetales.",I33="X"),K33,0)</f>
        <v>0</v>
      </c>
      <c r="FP33" s="251">
        <f>IF(AND(Stamoplysninger!$B$26="Weekendtimer og weekendtillæg udbetales.",AA33="X"),(AC33+AN33)/2,0)</f>
        <v>0</v>
      </c>
      <c r="FQ33" s="674">
        <f>IF(AND(AND(Stamoplysninger!$B$26="Weekendtimer og weekendtillæg udbetales.",I33="X",C33="ikke relevant")),K33,0)</f>
        <v>0</v>
      </c>
      <c r="FR33" s="688">
        <f>IF(AND(AND(Stamoplysninger!$B$26="Weekendtimer og weekendtillæg udbetales.",AA33="X",U33="ikke relevant")),(AC33+AN33)/2,0)</f>
        <v>0</v>
      </c>
      <c r="FS33" s="283">
        <f t="shared" si="15"/>
        <v>0</v>
      </c>
      <c r="FT33" s="658">
        <f t="shared" si="16"/>
        <v>0</v>
      </c>
      <c r="FU33">
        <f t="shared" si="31"/>
        <v>0</v>
      </c>
      <c r="FV33" s="283">
        <f>IF(AND(Stamoplysninger!$B$26="Der er indgået lokalaftale omkring weekendtimer.(Kræver aftale med TR/FSL) Weekendtillæg afspadseres.",I33="X"),K33,0)</f>
        <v>0</v>
      </c>
      <c r="FW33" s="674">
        <f>IF(AND(AND(Stamoplysninger!$B$26="Der er indgået lokalaftale omkring weekendtimer.(Kræver aftale med TR/FSL) Weekendtillæg afspadseres.",I33="X",C33="ikke relevant")),K33,0)</f>
        <v>0</v>
      </c>
      <c r="FX33" s="283">
        <f>IF(AND(Stamoplysninger!$B$26="Der er indgået lokalaftale omkring weekendtimer(Kræver aftale med TR/FSL). Weekendtillæg udbetales.",I33="X"),K33,0)</f>
        <v>0</v>
      </c>
      <c r="FY33" s="674">
        <f>IF(AND(AND(Stamoplysninger!$B$26="Der er indgået lokalaftale omkring weekendtimer(Kræver aftale med TR/FSL). Weekendtillæg udbetales.",I33="X",C33="ikke relevant")),K33,0)</f>
        <v>0</v>
      </c>
      <c r="FZ33" s="283">
        <f>IF(AND(Stamoplysninger!$B$26="Der er indgået lokalaftale omkring weekendtillæg(Kræver aftale med TR/FSL). Weekendtimerne udbetales.",I33="X"),K33,0)</f>
        <v>0</v>
      </c>
      <c r="GA33" s="674">
        <f>IF(AND(AND(Stamoplysninger!$B$26="Der er indgået lokalaftale omkring weekendtillæg(Kræver aftale med TR/FSL). Weekendtimerne udbetales.",I33="X",C33="ikke relevant")),K33,0)</f>
        <v>0</v>
      </c>
      <c r="GB33" s="283">
        <f>IF(AND(Stamoplysninger!$B$26="Der er indgået lokalaftale omkring weekendtimer og weekendtillæg.(Kræver aftale med TR/FSL).",I33="X"),K33,0)</f>
        <v>0</v>
      </c>
      <c r="GC33" s="674">
        <f>IF(AND(AND(Stamoplysninger!$B$26="Der er indgået lokalaftale omkring weekendtimer og weekendtillæg.(Kræver aftale med TR/FSL).",I33="X",C33="ikke relevant")),K33,0)</f>
        <v>0</v>
      </c>
    </row>
    <row r="34" spans="1:185">
      <c r="A34" s="245">
        <f t="shared" si="18"/>
        <v>26</v>
      </c>
      <c r="B34" s="128" t="str">
        <f t="shared" si="0"/>
        <v>on</v>
      </c>
      <c r="C34" s="129" t="s">
        <v>207</v>
      </c>
      <c r="D34" s="130" t="str">
        <f t="shared" si="1"/>
        <v/>
      </c>
      <c r="E34" s="917"/>
      <c r="F34" s="918"/>
      <c r="G34" s="919"/>
      <c r="H34" s="298"/>
      <c r="I34" s="527"/>
      <c r="J34" s="413"/>
      <c r="K34" s="380"/>
      <c r="L34" s="380"/>
      <c r="M34" s="380"/>
      <c r="N34" s="318">
        <f t="shared" si="19"/>
        <v>7.75</v>
      </c>
      <c r="O34" s="318">
        <f t="shared" si="20"/>
        <v>4.25</v>
      </c>
      <c r="P34" s="318">
        <f>IF(Stamoplysninger!$H$29="JA",Marts!DG34,CX34)</f>
        <v>1</v>
      </c>
      <c r="Q34" s="318">
        <f t="shared" si="21"/>
        <v>2.5</v>
      </c>
      <c r="R34" s="319"/>
      <c r="S34" s="324"/>
      <c r="T34" s="325"/>
      <c r="U34" s="325"/>
      <c r="V34" s="435"/>
      <c r="W34" s="412"/>
      <c r="X34" s="642"/>
      <c r="Y34">
        <f t="shared" si="22"/>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f>IF(AND(C34="Skema 2",B34="on"),Arbejdstidsoversigt!$E$83,"")</f>
        <v>7.75</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7.75</v>
      </c>
      <c r="BB34" s="229">
        <f t="shared" si="8"/>
        <v>0</v>
      </c>
      <c r="BC34" s="1">
        <f t="shared" si="24"/>
        <v>0</v>
      </c>
      <c r="BD34" s="1">
        <f t="shared" si="9"/>
        <v>0</v>
      </c>
      <c r="BE34" s="1">
        <f t="shared" si="10"/>
        <v>0</v>
      </c>
      <c r="BF34" s="1">
        <f t="shared" si="11"/>
        <v>0</v>
      </c>
      <c r="BG34" s="210" t="str">
        <f>IF(AND(C34="Skema 1",B34="ma"),Skemaoplysninger!$E$30,"")</f>
        <v/>
      </c>
      <c r="BH34" s="210" t="str">
        <f>IF(AND(C34="Skema 1",B34="ti"),Skemaoplysninger!$G$30,"")</f>
        <v/>
      </c>
      <c r="BI34" s="210" t="str">
        <f>IF(AND(C34="Skema 1",B34="on"),Skemaoplysninger!$I$30,"")</f>
        <v/>
      </c>
      <c r="BJ34" s="210" t="str">
        <f>IF(AND(C34="Skema 1",B34="to"),Skemaoplysninger!$K$30,"")</f>
        <v/>
      </c>
      <c r="BK34" s="210" t="str">
        <f>IF(AND(C34="Skema 1",B34="fr"),Skemaoplysninger!$M$30,"")</f>
        <v/>
      </c>
      <c r="BL34" s="210" t="str">
        <f>IF(AND(C34="Skema 2",B34="ma"),Skemaoplysninger!$S$30,"")</f>
        <v/>
      </c>
      <c r="BM34" s="210" t="str">
        <f>IF(AND(C34="Skema 2",B34="ti"),Skemaoplysninger!$U$30,"")</f>
        <v/>
      </c>
      <c r="BN34" s="210">
        <f>IF(AND(C34="Skema 2",B34="on"),Skemaoplysninger!$W$30,"")</f>
        <v>0.17708333333333331</v>
      </c>
      <c r="BO34" s="210" t="str">
        <f>IF(AND(C34="Skema 2",B34="to"),Skemaoplysninger!$Y$30,"")</f>
        <v/>
      </c>
      <c r="BP34" s="210" t="str">
        <f>IF(AND(C34="Skema 2",B34="fr"),Skemaoplysninger!$AA$30,"")</f>
        <v/>
      </c>
      <c r="BQ34" s="210" t="str">
        <f>IF(AND(C34="Skema 3",B34="ma"),Skemaoplysninger!$AG$30,"")</f>
        <v/>
      </c>
      <c r="BR34" s="210" t="str">
        <f>IF(AND(C34="Skema 3",B34="ti"),Skemaoplysninger!$AI$30,"")</f>
        <v/>
      </c>
      <c r="BS34" s="210" t="str">
        <f>IF(AND(C34="Skema 3",B34="on"),Skemaoplysninger!$AK$30,"")</f>
        <v/>
      </c>
      <c r="BT34" s="210" t="str">
        <f>IF(AND(C34="Skema 3",B34="to"),Skemaoplysninger!$AM$30,"")</f>
        <v/>
      </c>
      <c r="BU34" s="210" t="str">
        <f>IF(AND(C34="Skema 3",B34="fr"),Skemaoplysninger!$AO$30,"")</f>
        <v/>
      </c>
      <c r="BV34" s="210" t="str">
        <f>IF(AND(C34="Skema 4",B34="ma"),Skemaoplysninger!$AU$30,"")</f>
        <v/>
      </c>
      <c r="BW34" s="210" t="str">
        <f>IF(AND(C34="Skema 4",B34="ti"),Skemaoplysninger!$AW$30,"")</f>
        <v/>
      </c>
      <c r="BX34" s="210" t="str">
        <f>IF(AND(C34="Skema 4",B34="on"),Skemaoplysninger!$AY$30,"")</f>
        <v/>
      </c>
      <c r="BY34" s="210" t="str">
        <f>IF(AND(C34="Skema 4",B34="to"),Skemaoplysninger!$BA$30,"")</f>
        <v/>
      </c>
      <c r="BZ34" s="210" t="str">
        <f>IF(AND(C34="Skema 4",B34="fr"),Skemaoplysninger!$BC$30,"")</f>
        <v/>
      </c>
      <c r="CA34" s="1">
        <f t="shared" si="25"/>
        <v>4.25</v>
      </c>
      <c r="CB34" s="1">
        <f t="shared" si="12"/>
        <v>0</v>
      </c>
      <c r="CC34" s="1">
        <f t="shared" si="13"/>
        <v>0</v>
      </c>
      <c r="CD34" s="210" t="str">
        <f>IF(AND(C34="Skema 1",B34="ma"),Skemaoplysninger!$E$31,"")</f>
        <v/>
      </c>
      <c r="CE34" s="210" t="str">
        <f>IF(AND(C34="Skema 1",B34="ti"),Skemaoplysninger!$G$31,"")</f>
        <v/>
      </c>
      <c r="CF34" s="210" t="str">
        <f>IF(AND(C34="Skema 1",B34="on"),Skemaoplysninger!$I$31,"")</f>
        <v/>
      </c>
      <c r="CG34" s="210" t="str">
        <f>IF(AND(C34="Skema 1",B34="to"),Skemaoplysninger!$K$31,"")</f>
        <v/>
      </c>
      <c r="CH34" s="210" t="str">
        <f>IF(AND(C34="Skema 1",B34="fr"),Skemaoplysninger!$M$31,"")</f>
        <v/>
      </c>
      <c r="CI34" s="210" t="str">
        <f>IF(AND(C34="Skema 2",B34="ma"),Skemaoplysninger!$S$31,"")</f>
        <v/>
      </c>
      <c r="CJ34" s="210" t="str">
        <f>IF(AND(C34="Skema 2",B34="ti"),Skemaoplysninger!$U$31,"")</f>
        <v/>
      </c>
      <c r="CK34" s="210">
        <f>IF(AND(C34="Skema 2",B34="on"),Skemaoplysninger!$W$31,"")</f>
        <v>4.1666666666666664E-2</v>
      </c>
      <c r="CL34" s="210" t="str">
        <f>IF(AND(C34="Skema 2",B34="to"),Skemaoplysninger!$Y$31,"")</f>
        <v/>
      </c>
      <c r="CM34" s="210" t="str">
        <f>IF(AND(C34="Skema 2",B34="fr"),Skemaoplysninger!$AA$31,"")</f>
        <v/>
      </c>
      <c r="CN34" s="210" t="str">
        <f>IF(AND(C34="Skema 3",B34="ma"),Skemaoplysninger!$AG$31,"")</f>
        <v/>
      </c>
      <c r="CO34" s="210" t="str">
        <f>IF(AND(C34="Skema 3",B34="ti"),Skemaoplysninger!$AI$31,"")</f>
        <v/>
      </c>
      <c r="CP34" s="210" t="str">
        <f>IF(AND(C34="Skema 3",B34="on"),Skemaoplysninger!$AK$31,"")</f>
        <v/>
      </c>
      <c r="CQ34" s="210" t="str">
        <f>IF(AND(C34="Skema 3",B34="to"),Skemaoplysninger!$AM$31,"")</f>
        <v/>
      </c>
      <c r="CR34" s="210" t="str">
        <f>IF(AND(C34="Skema 3",B34="fr"),Skemaoplysninger!$AO$31,"")</f>
        <v/>
      </c>
      <c r="CS34" s="210" t="str">
        <f>IF(AND(C34="Skema 4",B34="ma"),Skemaoplysninger!$AU$31,"")</f>
        <v/>
      </c>
      <c r="CT34" s="210" t="str">
        <f>IF(AND(C34="Skema 4",B34="ti"),Skemaoplysninger!$AW$31,"")</f>
        <v/>
      </c>
      <c r="CU34" s="210" t="str">
        <f>IF(AND(C34="Skema 4",B34="on"),Skemaoplysninger!$AY$31,"")</f>
        <v/>
      </c>
      <c r="CV34" s="210" t="str">
        <f>IF(AND(C34="Skema 4",B34="to"),Skemaoplysninger!$BA$31,"")</f>
        <v/>
      </c>
      <c r="CW34" s="210" t="str">
        <f>IF(AND(C34="Skema 4",B34="fr"),Skemaoplysninger!$BC$31,"")</f>
        <v/>
      </c>
      <c r="CX34" s="249">
        <f>IF(Stamoplysninger!$H$29="NEJ",SUM(CD34:CW34)*24+CB34+CC34,0)</f>
        <v>1</v>
      </c>
      <c r="CY34" s="249">
        <f>IF(C34="Skema 1",Stamoplysninger!$H$30/200,0)</f>
        <v>0</v>
      </c>
      <c r="CZ34" s="249">
        <f>IF(C34="Skema 2",Stamoplysninger!$H$30/200,0)</f>
        <v>0</v>
      </c>
      <c r="DA34" s="249">
        <f>IF(C34="Skema 3",Stamoplysninger!$H$30/200,0)</f>
        <v>0</v>
      </c>
      <c r="DB34" s="249">
        <f>IF(C34="Skema 4",Stamoplysninger!$H$30/200,0)</f>
        <v>0</v>
      </c>
      <c r="DC34" s="249">
        <f>IF(C34="fagdag",Stamoplysninger!$H$30/200,0)</f>
        <v>0</v>
      </c>
      <c r="DD34" s="249">
        <f>IF(C34="emnedag",Stamoplysninger!$H$30/200,0)</f>
        <v>0</v>
      </c>
      <c r="DE34" s="249">
        <f>IF(C34="lejrskole",Stamoplysninger!$H$30/200,0)</f>
        <v>0</v>
      </c>
      <c r="DF34" s="249">
        <f>IF(C34="ekskursion",Stamoplysninger!$H$30/200,0)</f>
        <v>0</v>
      </c>
      <c r="DG34" s="249">
        <f t="shared" si="26"/>
        <v>0</v>
      </c>
      <c r="DH34" t="str">
        <f t="shared" si="27"/>
        <v/>
      </c>
      <c r="DI34">
        <f t="shared" si="28"/>
        <v>0</v>
      </c>
      <c r="DJ34">
        <f t="shared" si="29"/>
        <v>0</v>
      </c>
      <c r="DK34" t="str">
        <f t="shared" si="14"/>
        <v/>
      </c>
      <c r="DL34" t="str">
        <f t="shared" si="14"/>
        <v/>
      </c>
      <c r="DM34" t="str">
        <f t="shared" si="14"/>
        <v/>
      </c>
      <c r="DN34" t="str">
        <f t="shared" si="30"/>
        <v/>
      </c>
      <c r="DO34" s="652">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71">
        <f>IF(AND(Stamoplysninger!$B$22="Ulempetillæg udbetales med 25% af nettotimelønnen.",C34="ikke relevant"),(R34)/4,0)</f>
        <v>0</v>
      </c>
      <c r="DT34" s="671">
        <f>IF(AND(AND(Stamoplysninger!$B$22="Ulempetillæg udbetales med 25% af nettotimelønnen.",I34="X",C34="Ikke relevant")),K34/4,0)</f>
        <v>0</v>
      </c>
      <c r="DU34" s="671">
        <f>IF(AND(AND(Stamoplysninger!$B$22="Ulempetillæg udbetales med 25% af nettotimelønnen.",C34="ikke relevant",U34="X")),(X34/4),0)</f>
        <v>0</v>
      </c>
      <c r="DV34" s="672">
        <f>IF(AND(AND(AND(Stamoplysninger!$B$22="Ulempetillæg udbetales med 25% af nettotimelønnen.",I34="X",C34="Ikke relevant",S34="X"))),V34/4,0)</f>
        <v>0</v>
      </c>
      <c r="DW34" s="652"/>
      <c r="DZ34" s="671"/>
      <c r="EA34" s="671"/>
      <c r="EB34" s="672"/>
      <c r="EC34" s="652">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71">
        <f>IF(AND(Stamoplysninger!$B$22="Ulempetillæg afspadseres med 25%(Kræver en aftale imellem ledelsen og den ansatte)",C34="ikke relevant"),(R34)/4,0)</f>
        <v>0</v>
      </c>
      <c r="EH34" s="671">
        <f>IF(AND(AND(Stamoplysninger!$B$22="Ulempetillæg afspadseres med 25%(Kræver en aftale imellem ledelsen og den ansatte)",I34="X",C34="Ikke relevant")),K34/4,0)</f>
        <v>0</v>
      </c>
      <c r="EI34" s="671">
        <f>IF(AND(AND(Stamoplysninger!$B$22="Ulempetillæg afspadseres med 25%(Kræver en aftale imellem ledelsen og den ansatte)",U34="X",C34="Ikke relevant")),X34/4,0)</f>
        <v>0</v>
      </c>
      <c r="EJ34" s="671">
        <f>IF(AND(AND(AND(Stamoplysninger!$B$22="Ulempetillæg afspadseres med 25%(Kræver en aftale imellem ledelsen og den ansatte)",I34="X",C34="Ikke relevant",S34="X"))),V34/4,0)</f>
        <v>0</v>
      </c>
      <c r="EK34" s="283">
        <f>IF(AND(Stamoplysninger!$B$26="Weekendtimer og weekendtillæg afspadseres.",I34="X"),K34*1.5,0)</f>
        <v>0</v>
      </c>
      <c r="EL34" s="251">
        <f>IF(AND(AND(Stamoplysninger!$B$26="Weekendtimer og weekendtillæg afspadseres.",I34="X",S34="X")),V34*1.5,0)</f>
        <v>0</v>
      </c>
      <c r="EM34" s="674">
        <f>IF(AND(AND(Stamoplysninger!$B$26="Weekendtimer og weekendtillæg afspadseres.",I34="X",C34="ikke relevant")),K34*1.5,0)</f>
        <v>0</v>
      </c>
      <c r="EN34" s="675">
        <f>IF(AND(AND(AND(Stamoplysninger!$B$26="Weekendtimer og weekendtillæg afspadseres.",I34="X",C34="ikke relevant",S34="X"))),(V34*1.5),0)</f>
        <v>0</v>
      </c>
      <c r="EO34" s="283">
        <f>IF(AND(Stamoplysninger!$B$26="Weekendtimer og weekendtillæg udbetales.",I34="X"),K34*1.5,0)</f>
        <v>0</v>
      </c>
      <c r="EP34" s="251">
        <f>IF(AND(AND(Stamoplysninger!$B$26="Weekendtimer og weekendtillæg udbetales.",I34="X",S34="X")),V34*1.5,0)</f>
        <v>0</v>
      </c>
      <c r="EQ34" s="674">
        <f>IF(AND(AND(Stamoplysninger!$B$26="Weekendtimer og weekendtillæg udbetales.",I34="X",C34="ikke relevant")),K34*1.5,0)</f>
        <v>0</v>
      </c>
      <c r="ER34" s="675">
        <f>IF(AND(AND(AND(Stamoplysninger!$B$26="Weekendtimer og weekendtillæg udbetales.",I34="X",C34="ikke relevant",S34="X"))),(V34*1.5),0)</f>
        <v>0</v>
      </c>
      <c r="ES34" s="283">
        <f>IF(AND(Stamoplysninger!$B$26="Der er indgået lokalaftale omkring weekendtimer.(Kræver aftale med TR/FSL) Weekendtillæg afspadseres.",I34="X"),K34*0.5,0)</f>
        <v>0</v>
      </c>
      <c r="ET34" s="251">
        <f>IF(AND(AND(Stamoplysninger!$B$26="Der er indgået lokalaftale omkring weekendtimer.(Kræver aftale med TR/FSL) Weekendtillæg afspadseres.",I34="X",S34="X")),V34*0.5,0)</f>
        <v>0</v>
      </c>
      <c r="EU34" s="674">
        <f>IF(AND(AND(Stamoplysninger!$B$26="Der er indgået lokalaftale omkring weekendtimer.(Kræver aftale med TR/FSL) Weekendtillæg afspadseres.",I34="X",C34="ikke relevant")),K34*0.5,0)</f>
        <v>0</v>
      </c>
      <c r="EV34" s="675">
        <f>IF(AND(AND(AND(Stamoplysninger!$B$26="Der er indgået lokalaftale omkring weekendtimer.(Kræver aftale med TR/FSL) Weekendtillæg afspadseres.",I34="X",C34="ikke relevant",S34="X"))),(V34*0.5),0)</f>
        <v>0</v>
      </c>
      <c r="EW34" s="283">
        <f>IF(AND(Stamoplysninger!$B$26="Der er indgået lokalaftale omkring weekendtimer(Kræver aftale med TR/FSL). Weekendtillæg udbetales.",I34="X"),K34*0.5,0)</f>
        <v>0</v>
      </c>
      <c r="EX34" s="251">
        <f>IF(AND(AND(Stamoplysninger!$B$26="Der er indgået lokalaftale omkring weekendtimer(Kræver aftale med TR/FSL). Weekendtillæg udbetales.",I34="X",S34="X")),V34*0.5,0)</f>
        <v>0</v>
      </c>
      <c r="EY34" s="674">
        <f>IF(AND(AND(Stamoplysninger!$B$26="Der er indgået lokalaftale omkring weekendtimer(Kræver aftale med TR/FSL). Weekendtillæg udbetales.",I34="X",C34="ikke relevant")),K34*0.5,0)</f>
        <v>0</v>
      </c>
      <c r="EZ34" s="675">
        <f>IF(AND(AND(AND(Stamoplysninger!$B$26="Der er indgået lokalaftale omkring weekendtimer(Kræver aftale med TR/FSL). Weekendtillæg udbetales.",I34="X",C34="ikke relevant",S34="X"))),(V34*0.5),0)</f>
        <v>0</v>
      </c>
      <c r="FA34" s="283">
        <f>IF(AND(Stamoplysninger!$B$26="Der er indgået lokalaftale omkring weekendtillæg(Kræver aftale med TR/FSL). Weekendtimerne afspadseres.",I34="X"),K34,0)</f>
        <v>0</v>
      </c>
      <c r="FB34" s="251">
        <f>IF(AND(AND(Stamoplysninger!$B$26="Der er indgået lokalaftale omkring weekendtillæg(Kræver aftale med TR/FSL). Weekendtimerne afspadseres.",I34="X",S34="X")),V34,0)</f>
        <v>0</v>
      </c>
      <c r="FC34" s="674">
        <f>IF(AND(AND(Stamoplysninger!$B$26="Der er indgået lokalaftale omkring weekendtillæg(Kræver aftale med TR/FSL). Weekendtimerne afspadseres..",I34="X",C34="ikke relevant")),K34,0)</f>
        <v>0</v>
      </c>
      <c r="FD34" s="675">
        <f>IF(AND(AND(AND(Stamoplysninger!$B$26="Der er indgået lokalaftale omkring weekendtillæg(Kræver aftale med TR/FSL). Weekendtimerne afspadseres.",I34="X",C34="ikke relevant",S34="X"))),(V34),0)</f>
        <v>0</v>
      </c>
      <c r="FE34" s="283">
        <f>IF(AND(Stamoplysninger!$B$26="Der er indgået lokalaftale omkring weekendtillæg(Kræver aftale med TR/FSL). Weekendtimerne udbetales.",I34="X"),K34,0)</f>
        <v>0</v>
      </c>
      <c r="FF34" s="251">
        <f>IF(AND(AND(Stamoplysninger!$B$26="Der er indgået lokalaftale omkring weekendtillæg(Kræver aftale med TR/FSL). Weekendtimerne udbetales.",I34="X",S34="X")),V34,0)</f>
        <v>0</v>
      </c>
      <c r="FG34" s="674">
        <f>IF(AND(AND(Stamoplysninger!$B$26="Der er indgået lokalaftale omkring weekendtillæg(Kræver aftale med TR/FSL). Weekendtimerne udbetales.",I34="X",C34="ikke relevant")),K34,0)</f>
        <v>0</v>
      </c>
      <c r="FH34" s="675">
        <f>IF(AND(AND(AND(Stamoplysninger!$B$26="Der er indgået lokalaftale omkring weekendtillæg(Kræver aftale med TR/FSL). Weekendtimerne udbetales.",I34="X",C34="ikke relevant",S34="X"))),(V34),0)</f>
        <v>0</v>
      </c>
      <c r="FI34" s="283">
        <f>IF(AND(Stamoplysninger!$B$26="Weekendtimer og weekendtillæg afspadseres.",I34="X"),K34,0)</f>
        <v>0</v>
      </c>
      <c r="FJ34" s="251">
        <f>IF(AND(Stamoplysninger!$B$26="Weekendtimer og weekendtillæg afspadseres.",Y34="X"),(AA34+AL34)/2,0)</f>
        <v>0</v>
      </c>
      <c r="FK34" s="674">
        <f>IF(AND(AND(Stamoplysninger!$B$26="Weekendtimer og weekendtillæg afspadseres.",I34="X",C34="ikke relevant")),K34,0)</f>
        <v>0</v>
      </c>
      <c r="FL34" s="675">
        <f>IF(AND(AND(Stamoplysninger!$B$26="Weekendtimer og weekendtillæg afspadseres.",Y34="X",S34="ikke relevant")),(AA34+AL34)/2,0)</f>
        <v>0</v>
      </c>
      <c r="FM34" s="283">
        <f>IF(AND(Stamoplysninger!$B$26="Der er indgået lokalaftale omkring weekendtillæg(Kræver aftale med TR/FSL). Weekendtimerne afspadseres.",I34="X"),K34,0)</f>
        <v>0</v>
      </c>
      <c r="FN34" s="674">
        <f>IF(AND(AND(Stamoplysninger!$B$26="Der er indgået lokalaftale omkring weekendtillæg(Kræver aftale med TR/FSL). Weekendtimerne afspadseres.",I34="X",C34="ikke relevant")),K34,0)</f>
        <v>0</v>
      </c>
      <c r="FO34" s="283">
        <f>IF(AND(Stamoplysninger!$B$26="Weekendtimer og weekendtillæg udbetales.",I34="X"),K34,0)</f>
        <v>0</v>
      </c>
      <c r="FP34" s="251">
        <f>IF(AND(Stamoplysninger!$B$26="Weekendtimer og weekendtillæg udbetales.",AA34="X"),(AC34+AN34)/2,0)</f>
        <v>0</v>
      </c>
      <c r="FQ34" s="674">
        <f>IF(AND(AND(Stamoplysninger!$B$26="Weekendtimer og weekendtillæg udbetales.",I34="X",C34="ikke relevant")),K34,0)</f>
        <v>0</v>
      </c>
      <c r="FR34" s="688">
        <f>IF(AND(AND(Stamoplysninger!$B$26="Weekendtimer og weekendtillæg udbetales.",AA34="X",U34="ikke relevant")),(AC34+AN34)/2,0)</f>
        <v>0</v>
      </c>
      <c r="FS34" s="283">
        <f t="shared" si="15"/>
        <v>0</v>
      </c>
      <c r="FT34" s="658">
        <f t="shared" si="16"/>
        <v>0</v>
      </c>
      <c r="FU34">
        <f>IF(AND(C34="weekend",I34="X"),K34,0)</f>
        <v>0</v>
      </c>
      <c r="FV34" s="283">
        <f>IF(AND(Stamoplysninger!$B$26="Der er indgået lokalaftale omkring weekendtimer.(Kræver aftale med TR/FSL) Weekendtillæg afspadseres.",I34="X"),K34,0)</f>
        <v>0</v>
      </c>
      <c r="FW34" s="674">
        <f>IF(AND(AND(Stamoplysninger!$B$26="Der er indgået lokalaftale omkring weekendtimer.(Kræver aftale med TR/FSL) Weekendtillæg afspadseres.",I34="X",C34="ikke relevant")),K34,0)</f>
        <v>0</v>
      </c>
      <c r="FX34" s="283">
        <f>IF(AND(Stamoplysninger!$B$26="Der er indgået lokalaftale omkring weekendtimer(Kræver aftale med TR/FSL). Weekendtillæg udbetales.",I34="X"),K34,0)</f>
        <v>0</v>
      </c>
      <c r="FY34" s="674">
        <f>IF(AND(AND(Stamoplysninger!$B$26="Der er indgået lokalaftale omkring weekendtimer(Kræver aftale med TR/FSL). Weekendtillæg udbetales.",I34="X",C34="ikke relevant")),K34,0)</f>
        <v>0</v>
      </c>
      <c r="FZ34" s="283">
        <f>IF(AND(Stamoplysninger!$B$26="Der er indgået lokalaftale omkring weekendtillæg(Kræver aftale med TR/FSL). Weekendtimerne udbetales.",I34="X"),K34,0)</f>
        <v>0</v>
      </c>
      <c r="GA34" s="674">
        <f>IF(AND(AND(Stamoplysninger!$B$26="Der er indgået lokalaftale omkring weekendtillæg(Kræver aftale med TR/FSL). Weekendtimerne udbetales.",I34="X",C34="ikke relevant")),K34,0)</f>
        <v>0</v>
      </c>
      <c r="GB34" s="283">
        <f>IF(AND(Stamoplysninger!$B$26="Der er indgået lokalaftale omkring weekendtimer og weekendtillæg.(Kræver aftale med TR/FSL).",I34="X"),K34,0)</f>
        <v>0</v>
      </c>
      <c r="GC34" s="674">
        <f>IF(AND(AND(Stamoplysninger!$B$26="Der er indgået lokalaftale omkring weekendtimer og weekendtillæg.(Kræver aftale med TR/FSL).",I34="X",C34="ikke relevant")),K34,0)</f>
        <v>0</v>
      </c>
    </row>
    <row r="35" spans="1:185">
      <c r="A35" s="245">
        <f t="shared" si="18"/>
        <v>27</v>
      </c>
      <c r="B35" s="128" t="str">
        <f t="shared" si="0"/>
        <v>to</v>
      </c>
      <c r="C35" s="129" t="s">
        <v>207</v>
      </c>
      <c r="D35" s="130" t="str">
        <f t="shared" si="1"/>
        <v/>
      </c>
      <c r="E35" s="917"/>
      <c r="F35" s="918"/>
      <c r="G35" s="919"/>
      <c r="H35" s="298"/>
      <c r="I35" s="527"/>
      <c r="J35" s="413"/>
      <c r="K35" s="380"/>
      <c r="L35" s="380"/>
      <c r="M35" s="380"/>
      <c r="N35" s="318">
        <f t="shared" si="19"/>
        <v>7.75</v>
      </c>
      <c r="O35" s="318">
        <f t="shared" si="20"/>
        <v>3</v>
      </c>
      <c r="P35" s="318">
        <f>IF(Stamoplysninger!$H$29="JA",Marts!DG35,CX35)</f>
        <v>0.83333333333333337</v>
      </c>
      <c r="Q35" s="318">
        <f t="shared" si="21"/>
        <v>3.9166666666666665</v>
      </c>
      <c r="R35" s="319"/>
      <c r="S35" s="324"/>
      <c r="T35" s="325"/>
      <c r="U35" s="325"/>
      <c r="V35" s="435"/>
      <c r="W35" s="412"/>
      <c r="X35" s="642"/>
      <c r="Y35">
        <f t="shared" si="22"/>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f>IF(AND(C35="Skema 2",B35="to"),Arbejdstidsoversigt!$E$84,"")</f>
        <v>7.75</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7.75</v>
      </c>
      <c r="BB35" s="229">
        <f t="shared" si="8"/>
        <v>0</v>
      </c>
      <c r="BC35" s="1">
        <f t="shared" si="24"/>
        <v>0</v>
      </c>
      <c r="BD35" s="1">
        <f t="shared" si="9"/>
        <v>0</v>
      </c>
      <c r="BE35" s="1">
        <f t="shared" si="10"/>
        <v>0</v>
      </c>
      <c r="BF35" s="1">
        <f t="shared" si="11"/>
        <v>0</v>
      </c>
      <c r="BG35" s="210" t="str">
        <f>IF(AND(C35="Skema 1",B35="ma"),Skemaoplysninger!$E$30,"")</f>
        <v/>
      </c>
      <c r="BH35" s="210" t="str">
        <f>IF(AND(C35="Skema 1",B35="ti"),Skemaoplysninger!$G$30,"")</f>
        <v/>
      </c>
      <c r="BI35" s="210" t="str">
        <f>IF(AND(C35="Skema 1",B35="on"),Skemaoplysninger!$I$30,"")</f>
        <v/>
      </c>
      <c r="BJ35" s="210" t="str">
        <f>IF(AND(C35="Skema 1",B35="to"),Skemaoplysninger!$K$30,"")</f>
        <v/>
      </c>
      <c r="BK35" s="210" t="str">
        <f>IF(AND(C35="Skema 1",B35="fr"),Skemaoplysninger!$M$30,"")</f>
        <v/>
      </c>
      <c r="BL35" s="210" t="str">
        <f>IF(AND(C35="Skema 2",B35="ma"),Skemaoplysninger!$S$30,"")</f>
        <v/>
      </c>
      <c r="BM35" s="210" t="str">
        <f>IF(AND(C35="Skema 2",B35="ti"),Skemaoplysninger!$U$30,"")</f>
        <v/>
      </c>
      <c r="BN35" s="210" t="str">
        <f>IF(AND(C35="Skema 2",B35="on"),Skemaoplysninger!$W$30,"")</f>
        <v/>
      </c>
      <c r="BO35" s="210">
        <f>IF(AND(C35="Skema 2",B35="to"),Skemaoplysninger!$Y$30,"")</f>
        <v>0.125</v>
      </c>
      <c r="BP35" s="210" t="str">
        <f>IF(AND(C35="Skema 2",B35="fr"),Skemaoplysninger!$AA$30,"")</f>
        <v/>
      </c>
      <c r="BQ35" s="210" t="str">
        <f>IF(AND(C35="Skema 3",B35="ma"),Skemaoplysninger!$AG$30,"")</f>
        <v/>
      </c>
      <c r="BR35" s="210" t="str">
        <f>IF(AND(C35="Skema 3",B35="ti"),Skemaoplysninger!$AI$30,"")</f>
        <v/>
      </c>
      <c r="BS35" s="210" t="str">
        <f>IF(AND(C35="Skema 3",B35="on"),Skemaoplysninger!$AK$30,"")</f>
        <v/>
      </c>
      <c r="BT35" s="210" t="str">
        <f>IF(AND(C35="Skema 3",B35="to"),Skemaoplysninger!$AM$30,"")</f>
        <v/>
      </c>
      <c r="BU35" s="210" t="str">
        <f>IF(AND(C35="Skema 3",B35="fr"),Skemaoplysninger!$AO$30,"")</f>
        <v/>
      </c>
      <c r="BV35" s="210" t="str">
        <f>IF(AND(C35="Skema 4",B35="ma"),Skemaoplysninger!$AU$30,"")</f>
        <v/>
      </c>
      <c r="BW35" s="210" t="str">
        <f>IF(AND(C35="Skema 4",B35="ti"),Skemaoplysninger!$AW$30,"")</f>
        <v/>
      </c>
      <c r="BX35" s="210" t="str">
        <f>IF(AND(C35="Skema 4",B35="on"),Skemaoplysninger!$AY$30,"")</f>
        <v/>
      </c>
      <c r="BY35" s="210" t="str">
        <f>IF(AND(C35="Skema 4",B35="to"),Skemaoplysninger!$BA$30,"")</f>
        <v/>
      </c>
      <c r="BZ35" s="210" t="str">
        <f>IF(AND(C35="Skema 4",B35="fr"),Skemaoplysninger!$BC$30,"")</f>
        <v/>
      </c>
      <c r="CA35" s="1">
        <f t="shared" si="25"/>
        <v>3</v>
      </c>
      <c r="CB35" s="1">
        <f t="shared" si="12"/>
        <v>0</v>
      </c>
      <c r="CC35" s="1">
        <f t="shared" si="13"/>
        <v>0</v>
      </c>
      <c r="CD35" s="210" t="str">
        <f>IF(AND(C35="Skema 1",B35="ma"),Skemaoplysninger!$E$31,"")</f>
        <v/>
      </c>
      <c r="CE35" s="210" t="str">
        <f>IF(AND(C35="Skema 1",B35="ti"),Skemaoplysninger!$G$31,"")</f>
        <v/>
      </c>
      <c r="CF35" s="210" t="str">
        <f>IF(AND(C35="Skema 1",B35="on"),Skemaoplysninger!$I$31,"")</f>
        <v/>
      </c>
      <c r="CG35" s="210" t="str">
        <f>IF(AND(C35="Skema 1",B35="to"),Skemaoplysninger!$K$31,"")</f>
        <v/>
      </c>
      <c r="CH35" s="210" t="str">
        <f>IF(AND(C35="Skema 1",B35="fr"),Skemaoplysninger!$M$31,"")</f>
        <v/>
      </c>
      <c r="CI35" s="210" t="str">
        <f>IF(AND(C35="Skema 2",B35="ma"),Skemaoplysninger!$S$31,"")</f>
        <v/>
      </c>
      <c r="CJ35" s="210" t="str">
        <f>IF(AND(C35="Skema 2",B35="ti"),Skemaoplysninger!$U$31,"")</f>
        <v/>
      </c>
      <c r="CK35" s="210" t="str">
        <f>IF(AND(C35="Skema 2",B35="on"),Skemaoplysninger!$W$31,"")</f>
        <v/>
      </c>
      <c r="CL35" s="210">
        <f>IF(AND(C35="Skema 2",B35="to"),Skemaoplysninger!$Y$31,"")</f>
        <v>3.4722222222222224E-2</v>
      </c>
      <c r="CM35" s="210" t="str">
        <f>IF(AND(C35="Skema 2",B35="fr"),Skemaoplysninger!$AA$31,"")</f>
        <v/>
      </c>
      <c r="CN35" s="210" t="str">
        <f>IF(AND(C35="Skema 3",B35="ma"),Skemaoplysninger!$AG$31,"")</f>
        <v/>
      </c>
      <c r="CO35" s="210" t="str">
        <f>IF(AND(C35="Skema 3",B35="ti"),Skemaoplysninger!$AI$31,"")</f>
        <v/>
      </c>
      <c r="CP35" s="210" t="str">
        <f>IF(AND(C35="Skema 3",B35="on"),Skemaoplysninger!$AK$31,"")</f>
        <v/>
      </c>
      <c r="CQ35" s="210" t="str">
        <f>IF(AND(C35="Skema 3",B35="to"),Skemaoplysninger!$AM$31,"")</f>
        <v/>
      </c>
      <c r="CR35" s="210" t="str">
        <f>IF(AND(C35="Skema 3",B35="fr"),Skemaoplysninger!$AO$31,"")</f>
        <v/>
      </c>
      <c r="CS35" s="210" t="str">
        <f>IF(AND(C35="Skema 4",B35="ma"),Skemaoplysninger!$AU$31,"")</f>
        <v/>
      </c>
      <c r="CT35" s="210" t="str">
        <f>IF(AND(C35="Skema 4",B35="ti"),Skemaoplysninger!$AW$31,"")</f>
        <v/>
      </c>
      <c r="CU35" s="210" t="str">
        <f>IF(AND(C35="Skema 4",B35="on"),Skemaoplysninger!$AY$31,"")</f>
        <v/>
      </c>
      <c r="CV35" s="210" t="str">
        <f>IF(AND(C35="Skema 4",B35="to"),Skemaoplysninger!$BA$31,"")</f>
        <v/>
      </c>
      <c r="CW35" s="210" t="str">
        <f>IF(AND(C35="Skema 4",B35="fr"),Skemaoplysninger!$BC$31,"")</f>
        <v/>
      </c>
      <c r="CX35" s="249">
        <f>IF(Stamoplysninger!$H$29="NEJ",SUM(CD35:CW35)*24+CB35+CC35,0)</f>
        <v>0.83333333333333337</v>
      </c>
      <c r="CY35" s="249">
        <f>IF(C35="Skema 1",Stamoplysninger!$H$30/200,0)</f>
        <v>0</v>
      </c>
      <c r="CZ35" s="249">
        <f>IF(C35="Skema 2",Stamoplysninger!$H$30/200,0)</f>
        <v>0</v>
      </c>
      <c r="DA35" s="249">
        <f>IF(C35="Skema 3",Stamoplysninger!$H$30/200,0)</f>
        <v>0</v>
      </c>
      <c r="DB35" s="249">
        <f>IF(C35="Skema 4",Stamoplysninger!$H$30/200,0)</f>
        <v>0</v>
      </c>
      <c r="DC35" s="249">
        <f>IF(C35="fagdag",Stamoplysninger!$H$30/200,0)</f>
        <v>0</v>
      </c>
      <c r="DD35" s="249">
        <f>IF(C35="emnedag",Stamoplysninger!$H$30/200,0)</f>
        <v>0</v>
      </c>
      <c r="DE35" s="249">
        <f>IF(C35="lejrskole",Stamoplysninger!$H$30/200,0)</f>
        <v>0</v>
      </c>
      <c r="DF35" s="249">
        <f>IF(C35="ekskursion",Stamoplysninger!$H$30/200,0)</f>
        <v>0</v>
      </c>
      <c r="DG35" s="249">
        <f t="shared" si="26"/>
        <v>0</v>
      </c>
      <c r="DH35" t="str">
        <f t="shared" si="27"/>
        <v/>
      </c>
      <c r="DI35">
        <f t="shared" si="28"/>
        <v>0</v>
      </c>
      <c r="DJ35">
        <f t="shared" si="29"/>
        <v>0</v>
      </c>
      <c r="DK35" t="str">
        <f t="shared" si="14"/>
        <v/>
      </c>
      <c r="DL35" t="str">
        <f t="shared" si="14"/>
        <v/>
      </c>
      <c r="DM35" t="str">
        <f t="shared" si="14"/>
        <v/>
      </c>
      <c r="DN35" t="str">
        <f t="shared" si="30"/>
        <v/>
      </c>
      <c r="DO35" s="652">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71">
        <f>IF(AND(Stamoplysninger!$B$22="Ulempetillæg udbetales med 25% af nettotimelønnen.",C35="ikke relevant"),(R35)/4,0)</f>
        <v>0</v>
      </c>
      <c r="DT35" s="671">
        <f>IF(AND(AND(Stamoplysninger!$B$22="Ulempetillæg udbetales med 25% af nettotimelønnen.",I35="X",C35="Ikke relevant")),K35/4,0)</f>
        <v>0</v>
      </c>
      <c r="DU35" s="671">
        <f>IF(AND(AND(Stamoplysninger!$B$22="Ulempetillæg udbetales med 25% af nettotimelønnen.",C35="ikke relevant",U35="X")),(X35/4),0)</f>
        <v>0</v>
      </c>
      <c r="DV35" s="672">
        <f>IF(AND(AND(AND(Stamoplysninger!$B$22="Ulempetillæg udbetales med 25% af nettotimelønnen.",I35="X",C35="Ikke relevant",S35="X"))),V35/4,0)</f>
        <v>0</v>
      </c>
      <c r="DW35" s="652"/>
      <c r="DZ35" s="671"/>
      <c r="EA35" s="671"/>
      <c r="EB35" s="672"/>
      <c r="EC35" s="652">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71">
        <f>IF(AND(Stamoplysninger!$B$22="Ulempetillæg afspadseres med 25%(Kræver en aftale imellem ledelsen og den ansatte)",C35="ikke relevant"),(R35)/4,0)</f>
        <v>0</v>
      </c>
      <c r="EH35" s="671">
        <f>IF(AND(AND(Stamoplysninger!$B$22="Ulempetillæg afspadseres med 25%(Kræver en aftale imellem ledelsen og den ansatte)",I35="X",C35="Ikke relevant")),K35/4,0)</f>
        <v>0</v>
      </c>
      <c r="EI35" s="671">
        <f>IF(AND(AND(Stamoplysninger!$B$22="Ulempetillæg afspadseres med 25%(Kræver en aftale imellem ledelsen og den ansatte)",U35="X",C35="Ikke relevant")),X35/4,0)</f>
        <v>0</v>
      </c>
      <c r="EJ35" s="671">
        <f>IF(AND(AND(AND(Stamoplysninger!$B$22="Ulempetillæg afspadseres med 25%(Kræver en aftale imellem ledelsen og den ansatte)",I35="X",C35="Ikke relevant",S35="X"))),V35/4,0)</f>
        <v>0</v>
      </c>
      <c r="EK35" s="283">
        <f>IF(AND(Stamoplysninger!$B$26="Weekendtimer og weekendtillæg afspadseres.",I35="X"),K35*1.5,0)</f>
        <v>0</v>
      </c>
      <c r="EL35" s="251">
        <f>IF(AND(AND(Stamoplysninger!$B$26="Weekendtimer og weekendtillæg afspadseres.",I35="X",S35="X")),V35*1.5,0)</f>
        <v>0</v>
      </c>
      <c r="EM35" s="674">
        <f>IF(AND(AND(Stamoplysninger!$B$26="Weekendtimer og weekendtillæg afspadseres.",I35="X",C35="ikke relevant")),K35*1.5,0)</f>
        <v>0</v>
      </c>
      <c r="EN35" s="675">
        <f>IF(AND(AND(AND(Stamoplysninger!$B$26="Weekendtimer og weekendtillæg afspadseres.",I35="X",C35="ikke relevant",S35="X"))),(V35*1.5),0)</f>
        <v>0</v>
      </c>
      <c r="EO35" s="283">
        <f>IF(AND(Stamoplysninger!$B$26="Weekendtimer og weekendtillæg udbetales.",I35="X"),K35*1.5,0)</f>
        <v>0</v>
      </c>
      <c r="EP35" s="251">
        <f>IF(AND(AND(Stamoplysninger!$B$26="Weekendtimer og weekendtillæg udbetales.",I35="X",S35="X")),V35*1.5,0)</f>
        <v>0</v>
      </c>
      <c r="EQ35" s="674">
        <f>IF(AND(AND(Stamoplysninger!$B$26="Weekendtimer og weekendtillæg udbetales.",I35="X",C35="ikke relevant")),K35*1.5,0)</f>
        <v>0</v>
      </c>
      <c r="ER35" s="675">
        <f>IF(AND(AND(AND(Stamoplysninger!$B$26="Weekendtimer og weekendtillæg udbetales.",I35="X",C35="ikke relevant",S35="X"))),(V35*1.5),0)</f>
        <v>0</v>
      </c>
      <c r="ES35" s="283">
        <f>IF(AND(Stamoplysninger!$B$26="Der er indgået lokalaftale omkring weekendtimer.(Kræver aftale med TR/FSL) Weekendtillæg afspadseres.",I35="X"),K35*0.5,0)</f>
        <v>0</v>
      </c>
      <c r="ET35" s="251">
        <f>IF(AND(AND(Stamoplysninger!$B$26="Der er indgået lokalaftale omkring weekendtimer.(Kræver aftale med TR/FSL) Weekendtillæg afspadseres.",I35="X",S35="X")),V35*0.5,0)</f>
        <v>0</v>
      </c>
      <c r="EU35" s="674">
        <f>IF(AND(AND(Stamoplysninger!$B$26="Der er indgået lokalaftale omkring weekendtimer.(Kræver aftale med TR/FSL) Weekendtillæg afspadseres.",I35="X",C35="ikke relevant")),K35*0.5,0)</f>
        <v>0</v>
      </c>
      <c r="EV35" s="675">
        <f>IF(AND(AND(AND(Stamoplysninger!$B$26="Der er indgået lokalaftale omkring weekendtimer.(Kræver aftale med TR/FSL) Weekendtillæg afspadseres.",I35="X",C35="ikke relevant",S35="X"))),(V35*0.5),0)</f>
        <v>0</v>
      </c>
      <c r="EW35" s="283">
        <f>IF(AND(Stamoplysninger!$B$26="Der er indgået lokalaftale omkring weekendtimer(Kræver aftale med TR/FSL). Weekendtillæg udbetales.",I35="X"),K35*0.5,0)</f>
        <v>0</v>
      </c>
      <c r="EX35" s="251">
        <f>IF(AND(AND(Stamoplysninger!$B$26="Der er indgået lokalaftale omkring weekendtimer(Kræver aftale med TR/FSL). Weekendtillæg udbetales.",I35="X",S35="X")),V35*0.5,0)</f>
        <v>0</v>
      </c>
      <c r="EY35" s="674">
        <f>IF(AND(AND(Stamoplysninger!$B$26="Der er indgået lokalaftale omkring weekendtimer(Kræver aftale med TR/FSL). Weekendtillæg udbetales.",I35="X",C35="ikke relevant")),K35*0.5,0)</f>
        <v>0</v>
      </c>
      <c r="EZ35" s="675">
        <f>IF(AND(AND(AND(Stamoplysninger!$B$26="Der er indgået lokalaftale omkring weekendtimer(Kræver aftale med TR/FSL). Weekendtillæg udbetales.",I35="X",C35="ikke relevant",S35="X"))),(V35*0.5),0)</f>
        <v>0</v>
      </c>
      <c r="FA35" s="283">
        <f>IF(AND(Stamoplysninger!$B$26="Der er indgået lokalaftale omkring weekendtillæg(Kræver aftale med TR/FSL). Weekendtimerne afspadseres.",I35="X"),K35,0)</f>
        <v>0</v>
      </c>
      <c r="FB35" s="251">
        <f>IF(AND(AND(Stamoplysninger!$B$26="Der er indgået lokalaftale omkring weekendtillæg(Kræver aftale med TR/FSL). Weekendtimerne afspadseres.",I35="X",S35="X")),V35,0)</f>
        <v>0</v>
      </c>
      <c r="FC35" s="674">
        <f>IF(AND(AND(Stamoplysninger!$B$26="Der er indgået lokalaftale omkring weekendtillæg(Kræver aftale med TR/FSL). Weekendtimerne afspadseres..",I35="X",C35="ikke relevant")),K35,0)</f>
        <v>0</v>
      </c>
      <c r="FD35" s="675">
        <f>IF(AND(AND(AND(Stamoplysninger!$B$26="Der er indgået lokalaftale omkring weekendtillæg(Kræver aftale med TR/FSL). Weekendtimerne afspadseres.",I35="X",C35="ikke relevant",S35="X"))),(V35),0)</f>
        <v>0</v>
      </c>
      <c r="FE35" s="283">
        <f>IF(AND(Stamoplysninger!$B$26="Der er indgået lokalaftale omkring weekendtillæg(Kræver aftale med TR/FSL). Weekendtimerne udbetales.",I35="X"),K35,0)</f>
        <v>0</v>
      </c>
      <c r="FF35" s="251">
        <f>IF(AND(AND(Stamoplysninger!$B$26="Der er indgået lokalaftale omkring weekendtillæg(Kræver aftale med TR/FSL). Weekendtimerne udbetales.",I35="X",S35="X")),V35,0)</f>
        <v>0</v>
      </c>
      <c r="FG35" s="674">
        <f>IF(AND(AND(Stamoplysninger!$B$26="Der er indgået lokalaftale omkring weekendtillæg(Kræver aftale med TR/FSL). Weekendtimerne udbetales.",I35="X",C35="ikke relevant")),K35,0)</f>
        <v>0</v>
      </c>
      <c r="FH35" s="675">
        <f>IF(AND(AND(AND(Stamoplysninger!$B$26="Der er indgået lokalaftale omkring weekendtillæg(Kræver aftale med TR/FSL). Weekendtimerne udbetales.",I35="X",C35="ikke relevant",S35="X"))),(V35),0)</f>
        <v>0</v>
      </c>
      <c r="FI35" s="283">
        <f>IF(AND(Stamoplysninger!$B$26="Weekendtimer og weekendtillæg afspadseres.",I35="X"),K35,0)</f>
        <v>0</v>
      </c>
      <c r="FJ35" s="251">
        <f>IF(AND(Stamoplysninger!$B$26="Weekendtimer og weekendtillæg afspadseres.",Y35="X"),(AA35+AL35)/2,0)</f>
        <v>0</v>
      </c>
      <c r="FK35" s="674">
        <f>IF(AND(AND(Stamoplysninger!$B$26="Weekendtimer og weekendtillæg afspadseres.",I35="X",C35="ikke relevant")),K35,0)</f>
        <v>0</v>
      </c>
      <c r="FL35" s="675">
        <f>IF(AND(AND(Stamoplysninger!$B$26="Weekendtimer og weekendtillæg afspadseres.",Y35="X",S35="ikke relevant")),(AA35+AL35)/2,0)</f>
        <v>0</v>
      </c>
      <c r="FM35" s="283">
        <f>IF(AND(Stamoplysninger!$B$26="Der er indgået lokalaftale omkring weekendtillæg(Kræver aftale med TR/FSL). Weekendtimerne afspadseres.",I35="X"),K35,0)</f>
        <v>0</v>
      </c>
      <c r="FN35" s="674">
        <f>IF(AND(AND(Stamoplysninger!$B$26="Der er indgået lokalaftale omkring weekendtillæg(Kræver aftale med TR/FSL). Weekendtimerne afspadseres.",I35="X",C35="ikke relevant")),K35,0)</f>
        <v>0</v>
      </c>
      <c r="FO35" s="283">
        <f>IF(AND(Stamoplysninger!$B$26="Weekendtimer og weekendtillæg udbetales.",I35="X"),K35,0)</f>
        <v>0</v>
      </c>
      <c r="FP35" s="251">
        <f>IF(AND(Stamoplysninger!$B$26="Weekendtimer og weekendtillæg udbetales.",AA35="X"),(AC35+AN35)/2,0)</f>
        <v>0</v>
      </c>
      <c r="FQ35" s="674">
        <f>IF(AND(AND(Stamoplysninger!$B$26="Weekendtimer og weekendtillæg udbetales.",I35="X",C35="ikke relevant")),K35,0)</f>
        <v>0</v>
      </c>
      <c r="FR35" s="688">
        <f>IF(AND(AND(Stamoplysninger!$B$26="Weekendtimer og weekendtillæg udbetales.",AA35="X",U35="ikke relevant")),(AC35+AN35)/2,0)</f>
        <v>0</v>
      </c>
      <c r="FS35" s="283">
        <f t="shared" si="15"/>
        <v>0</v>
      </c>
      <c r="FT35" s="658">
        <f t="shared" si="16"/>
        <v>0</v>
      </c>
      <c r="FU35">
        <f t="shared" si="31"/>
        <v>0</v>
      </c>
      <c r="FV35" s="283">
        <f>IF(AND(Stamoplysninger!$B$26="Der er indgået lokalaftale omkring weekendtimer.(Kræver aftale med TR/FSL) Weekendtillæg afspadseres.",I35="X"),K35,0)</f>
        <v>0</v>
      </c>
      <c r="FW35" s="674">
        <f>IF(AND(AND(Stamoplysninger!$B$26="Der er indgået lokalaftale omkring weekendtimer.(Kræver aftale med TR/FSL) Weekendtillæg afspadseres.",I35="X",C35="ikke relevant")),K35,0)</f>
        <v>0</v>
      </c>
      <c r="FX35" s="283">
        <f>IF(AND(Stamoplysninger!$B$26="Der er indgået lokalaftale omkring weekendtimer(Kræver aftale med TR/FSL). Weekendtillæg udbetales.",I35="X"),K35,0)</f>
        <v>0</v>
      </c>
      <c r="FY35" s="674">
        <f>IF(AND(AND(Stamoplysninger!$B$26="Der er indgået lokalaftale omkring weekendtimer(Kræver aftale med TR/FSL). Weekendtillæg udbetales.",I35="X",C35="ikke relevant")),K35,0)</f>
        <v>0</v>
      </c>
      <c r="FZ35" s="283">
        <f>IF(AND(Stamoplysninger!$B$26="Der er indgået lokalaftale omkring weekendtillæg(Kræver aftale med TR/FSL). Weekendtimerne udbetales.",I35="X"),K35,0)</f>
        <v>0</v>
      </c>
      <c r="GA35" s="674">
        <f>IF(AND(AND(Stamoplysninger!$B$26="Der er indgået lokalaftale omkring weekendtillæg(Kræver aftale med TR/FSL). Weekendtimerne udbetales.",I35="X",C35="ikke relevant")),K35,0)</f>
        <v>0</v>
      </c>
      <c r="GB35" s="283">
        <f>IF(AND(Stamoplysninger!$B$26="Der er indgået lokalaftale omkring weekendtimer og weekendtillæg.(Kræver aftale med TR/FSL).",I35="X"),K35,0)</f>
        <v>0</v>
      </c>
      <c r="GC35" s="674">
        <f>IF(AND(AND(Stamoplysninger!$B$26="Der er indgået lokalaftale omkring weekendtimer og weekendtillæg.(Kræver aftale med TR/FSL).",I35="X",C35="ikke relevant")),K35,0)</f>
        <v>0</v>
      </c>
    </row>
    <row r="36" spans="1:185">
      <c r="A36" s="245">
        <f t="shared" si="18"/>
        <v>28</v>
      </c>
      <c r="B36" s="128" t="str">
        <f t="shared" si="0"/>
        <v>fr</v>
      </c>
      <c r="C36" s="129" t="s">
        <v>207</v>
      </c>
      <c r="D36" s="130" t="str">
        <f t="shared" si="1"/>
        <v/>
      </c>
      <c r="E36" s="917"/>
      <c r="F36" s="918"/>
      <c r="G36" s="919"/>
      <c r="H36" s="298"/>
      <c r="I36" s="527"/>
      <c r="J36" s="413"/>
      <c r="K36" s="380"/>
      <c r="L36" s="380"/>
      <c r="M36" s="380"/>
      <c r="N36" s="318">
        <f t="shared" si="19"/>
        <v>7</v>
      </c>
      <c r="O36" s="318">
        <f t="shared" si="20"/>
        <v>3</v>
      </c>
      <c r="P36" s="318">
        <f>IF(Stamoplysninger!$H$29="JA",Marts!DG36,CX36)</f>
        <v>0.83333333333333337</v>
      </c>
      <c r="Q36" s="318">
        <f t="shared" si="21"/>
        <v>3.1666666666666665</v>
      </c>
      <c r="R36" s="319"/>
      <c r="S36" s="324"/>
      <c r="T36" s="325"/>
      <c r="U36" s="325"/>
      <c r="V36" s="435"/>
      <c r="W36" s="412"/>
      <c r="X36" s="642"/>
      <c r="Y36">
        <f t="shared" si="22"/>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f>IF(AND(C36="Skema 2",B36="fr"),Arbejdstidsoversigt!$E$85,"")</f>
        <v>7</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7</v>
      </c>
      <c r="BB36" s="229">
        <f t="shared" si="8"/>
        <v>0</v>
      </c>
      <c r="BC36" s="1">
        <f t="shared" si="24"/>
        <v>0</v>
      </c>
      <c r="BD36" s="1">
        <f t="shared" si="9"/>
        <v>0</v>
      </c>
      <c r="BE36" s="1">
        <f t="shared" si="10"/>
        <v>0</v>
      </c>
      <c r="BF36" s="1">
        <f t="shared" si="11"/>
        <v>0</v>
      </c>
      <c r="BG36" s="210" t="str">
        <f>IF(AND(C36="Skema 1",B36="ma"),Skemaoplysninger!$E$30,"")</f>
        <v/>
      </c>
      <c r="BH36" s="210" t="str">
        <f>IF(AND(C36="Skema 1",B36="ti"),Skemaoplysninger!$G$30,"")</f>
        <v/>
      </c>
      <c r="BI36" s="210" t="str">
        <f>IF(AND(C36="Skema 1",B36="on"),Skemaoplysninger!$I$30,"")</f>
        <v/>
      </c>
      <c r="BJ36" s="210" t="str">
        <f>IF(AND(C36="Skema 1",B36="to"),Skemaoplysninger!$K$30,"")</f>
        <v/>
      </c>
      <c r="BK36" s="210" t="str">
        <f>IF(AND(C36="Skema 1",B36="fr"),Skemaoplysninger!$M$30,"")</f>
        <v/>
      </c>
      <c r="BL36" s="210" t="str">
        <f>IF(AND(C36="Skema 2",B36="ma"),Skemaoplysninger!$S$30,"")</f>
        <v/>
      </c>
      <c r="BM36" s="210" t="str">
        <f>IF(AND(C36="Skema 2",B36="ti"),Skemaoplysninger!$U$30,"")</f>
        <v/>
      </c>
      <c r="BN36" s="210" t="str">
        <f>IF(AND(C36="Skema 2",B36="on"),Skemaoplysninger!$W$30,"")</f>
        <v/>
      </c>
      <c r="BO36" s="210" t="str">
        <f>IF(AND(C36="Skema 2",B36="to"),Skemaoplysninger!$Y$30,"")</f>
        <v/>
      </c>
      <c r="BP36" s="210">
        <f>IF(AND(C36="Skema 2",B36="fr"),Skemaoplysninger!$AA$30,"")</f>
        <v>0.125</v>
      </c>
      <c r="BQ36" s="210" t="str">
        <f>IF(AND(C36="Skema 3",B36="ma"),Skemaoplysninger!$AG$30,"")</f>
        <v/>
      </c>
      <c r="BR36" s="210" t="str">
        <f>IF(AND(C36="Skema 3",B36="ti"),Skemaoplysninger!$AI$30,"")</f>
        <v/>
      </c>
      <c r="BS36" s="210" t="str">
        <f>IF(AND(C36="Skema 3",B36="on"),Skemaoplysninger!$AK$30,"")</f>
        <v/>
      </c>
      <c r="BT36" s="210" t="str">
        <f>IF(AND(C36="Skema 3",B36="to"),Skemaoplysninger!$AM$30,"")</f>
        <v/>
      </c>
      <c r="BU36" s="210" t="str">
        <f>IF(AND(C36="Skema 3",B36="fr"),Skemaoplysninger!$AO$30,"")</f>
        <v/>
      </c>
      <c r="BV36" s="210" t="str">
        <f>IF(AND(C36="Skema 4",B36="ma"),Skemaoplysninger!$AU$30,"")</f>
        <v/>
      </c>
      <c r="BW36" s="210" t="str">
        <f>IF(AND(C36="Skema 4",B36="ti"),Skemaoplysninger!$AW$30,"")</f>
        <v/>
      </c>
      <c r="BX36" s="210" t="str">
        <f>IF(AND(C36="Skema 4",B36="on"),Skemaoplysninger!$AY$30,"")</f>
        <v/>
      </c>
      <c r="BY36" s="210" t="str">
        <f>IF(AND(C36="Skema 4",B36="to"),Skemaoplysninger!$BA$30,"")</f>
        <v/>
      </c>
      <c r="BZ36" s="210" t="str">
        <f>IF(AND(C36="Skema 4",B36="fr"),Skemaoplysninger!$BC$30,"")</f>
        <v/>
      </c>
      <c r="CA36" s="1">
        <f t="shared" si="25"/>
        <v>3</v>
      </c>
      <c r="CB36" s="1">
        <f t="shared" si="12"/>
        <v>0</v>
      </c>
      <c r="CC36" s="1">
        <f t="shared" si="13"/>
        <v>0</v>
      </c>
      <c r="CD36" s="210" t="str">
        <f>IF(AND(C36="Skema 1",B36="ma"),Skemaoplysninger!$E$31,"")</f>
        <v/>
      </c>
      <c r="CE36" s="210" t="str">
        <f>IF(AND(C36="Skema 1",B36="ti"),Skemaoplysninger!$G$31,"")</f>
        <v/>
      </c>
      <c r="CF36" s="210" t="str">
        <f>IF(AND(C36="Skema 1",B36="on"),Skemaoplysninger!$I$31,"")</f>
        <v/>
      </c>
      <c r="CG36" s="210" t="str">
        <f>IF(AND(C36="Skema 1",B36="to"),Skemaoplysninger!$K$31,"")</f>
        <v/>
      </c>
      <c r="CH36" s="210" t="str">
        <f>IF(AND(C36="Skema 1",B36="fr"),Skemaoplysninger!$M$31,"")</f>
        <v/>
      </c>
      <c r="CI36" s="210" t="str">
        <f>IF(AND(C36="Skema 2",B36="ma"),Skemaoplysninger!$S$31,"")</f>
        <v/>
      </c>
      <c r="CJ36" s="210" t="str">
        <f>IF(AND(C36="Skema 2",B36="ti"),Skemaoplysninger!$U$31,"")</f>
        <v/>
      </c>
      <c r="CK36" s="210" t="str">
        <f>IF(AND(C36="Skema 2",B36="on"),Skemaoplysninger!$W$31,"")</f>
        <v/>
      </c>
      <c r="CL36" s="210" t="str">
        <f>IF(AND(C36="Skema 2",B36="to"),Skemaoplysninger!$Y$31,"")</f>
        <v/>
      </c>
      <c r="CM36" s="210">
        <f>IF(AND(C36="Skema 2",B36="fr"),Skemaoplysninger!$AA$31,"")</f>
        <v>3.4722222222222224E-2</v>
      </c>
      <c r="CN36" s="210" t="str">
        <f>IF(AND(C36="Skema 3",B36="ma"),Skemaoplysninger!$AG$31,"")</f>
        <v/>
      </c>
      <c r="CO36" s="210" t="str">
        <f>IF(AND(C36="Skema 3",B36="ti"),Skemaoplysninger!$AI$31,"")</f>
        <v/>
      </c>
      <c r="CP36" s="210" t="str">
        <f>IF(AND(C36="Skema 3",B36="on"),Skemaoplysninger!$AK$31,"")</f>
        <v/>
      </c>
      <c r="CQ36" s="210" t="str">
        <f>IF(AND(C36="Skema 3",B36="to"),Skemaoplysninger!$AM$31,"")</f>
        <v/>
      </c>
      <c r="CR36" s="210" t="str">
        <f>IF(AND(C36="Skema 3",B36="fr"),Skemaoplysninger!$AO$31,"")</f>
        <v/>
      </c>
      <c r="CS36" s="210" t="str">
        <f>IF(AND(C36="Skema 4",B36="ma"),Skemaoplysninger!$AU$31,"")</f>
        <v/>
      </c>
      <c r="CT36" s="210" t="str">
        <f>IF(AND(C36="Skema 4",B36="ti"),Skemaoplysninger!$AW$31,"")</f>
        <v/>
      </c>
      <c r="CU36" s="210" t="str">
        <f>IF(AND(C36="Skema 4",B36="on"),Skemaoplysninger!$AY$31,"")</f>
        <v/>
      </c>
      <c r="CV36" s="210" t="str">
        <f>IF(AND(C36="Skema 4",B36="to"),Skemaoplysninger!$BA$31,"")</f>
        <v/>
      </c>
      <c r="CW36" s="210" t="str">
        <f>IF(AND(C36="Skema 4",B36="fr"),Skemaoplysninger!$BC$31,"")</f>
        <v/>
      </c>
      <c r="CX36" s="249">
        <f>IF(Stamoplysninger!$H$29="NEJ",SUM(CD36:CW36)*24+CB36+CC36,0)</f>
        <v>0.83333333333333337</v>
      </c>
      <c r="CY36" s="249">
        <f>IF(C36="Skema 1",Stamoplysninger!$H$30/200,0)</f>
        <v>0</v>
      </c>
      <c r="CZ36" s="249">
        <f>IF(C36="Skema 2",Stamoplysninger!$H$30/200,0)</f>
        <v>0</v>
      </c>
      <c r="DA36" s="249">
        <f>IF(C36="Skema 3",Stamoplysninger!$H$30/200,0)</f>
        <v>0</v>
      </c>
      <c r="DB36" s="249">
        <f>IF(C36="Skema 4",Stamoplysninger!$H$30/200,0)</f>
        <v>0</v>
      </c>
      <c r="DC36" s="249">
        <f>IF(C36="fagdag",Stamoplysninger!$H$30/200,0)</f>
        <v>0</v>
      </c>
      <c r="DD36" s="249">
        <f>IF(C36="emnedag",Stamoplysninger!$H$30/200,0)</f>
        <v>0</v>
      </c>
      <c r="DE36" s="249">
        <f>IF(C36="lejrskole",Stamoplysninger!$H$30/200,0)</f>
        <v>0</v>
      </c>
      <c r="DF36" s="249">
        <f>IF(C36="ekskursion",Stamoplysninger!$H$30/200,0)</f>
        <v>0</v>
      </c>
      <c r="DG36" s="249">
        <f t="shared" si="26"/>
        <v>0</v>
      </c>
      <c r="DH36" t="str">
        <f t="shared" si="27"/>
        <v/>
      </c>
      <c r="DI36">
        <f t="shared" si="28"/>
        <v>0</v>
      </c>
      <c r="DJ36">
        <f t="shared" si="29"/>
        <v>0</v>
      </c>
      <c r="DK36" t="str">
        <f t="shared" si="14"/>
        <v/>
      </c>
      <c r="DL36" t="str">
        <f t="shared" si="14"/>
        <v/>
      </c>
      <c r="DM36" t="str">
        <f t="shared" si="14"/>
        <v/>
      </c>
      <c r="DN36" t="str">
        <f t="shared" si="30"/>
        <v/>
      </c>
      <c r="DO36" s="652">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71">
        <f>IF(AND(Stamoplysninger!$B$22="Ulempetillæg udbetales med 25% af nettotimelønnen.",C36="ikke relevant"),(R36)/4,0)</f>
        <v>0</v>
      </c>
      <c r="DT36" s="671">
        <f>IF(AND(AND(Stamoplysninger!$B$22="Ulempetillæg udbetales med 25% af nettotimelønnen.",I36="X",C36="Ikke relevant")),K36/4,0)</f>
        <v>0</v>
      </c>
      <c r="DU36" s="671">
        <f>IF(AND(AND(Stamoplysninger!$B$22="Ulempetillæg udbetales med 25% af nettotimelønnen.",C36="ikke relevant",U36="X")),(X36/4),0)</f>
        <v>0</v>
      </c>
      <c r="DV36" s="672">
        <f>IF(AND(AND(AND(Stamoplysninger!$B$22="Ulempetillæg udbetales med 25% af nettotimelønnen.",I36="X",C36="Ikke relevant",S36="X"))),V36/4,0)</f>
        <v>0</v>
      </c>
      <c r="DW36" s="652"/>
      <c r="DZ36" s="671"/>
      <c r="EA36" s="671"/>
      <c r="EB36" s="672"/>
      <c r="EC36" s="652">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71">
        <f>IF(AND(Stamoplysninger!$B$22="Ulempetillæg afspadseres med 25%(Kræver en aftale imellem ledelsen og den ansatte)",C36="ikke relevant"),(R36)/4,0)</f>
        <v>0</v>
      </c>
      <c r="EH36" s="671">
        <f>IF(AND(AND(Stamoplysninger!$B$22="Ulempetillæg afspadseres med 25%(Kræver en aftale imellem ledelsen og den ansatte)",I36="X",C36="Ikke relevant")),K36/4,0)</f>
        <v>0</v>
      </c>
      <c r="EI36" s="671">
        <f>IF(AND(AND(Stamoplysninger!$B$22="Ulempetillæg afspadseres med 25%(Kræver en aftale imellem ledelsen og den ansatte)",U36="X",C36="Ikke relevant")),X36/4,0)</f>
        <v>0</v>
      </c>
      <c r="EJ36" s="671">
        <f>IF(AND(AND(AND(Stamoplysninger!$B$22="Ulempetillæg afspadseres med 25%(Kræver en aftale imellem ledelsen og den ansatte)",I36="X",C36="Ikke relevant",S36="X"))),V36/4,0)</f>
        <v>0</v>
      </c>
      <c r="EK36" s="283">
        <f>IF(AND(Stamoplysninger!$B$26="Weekendtimer og weekendtillæg afspadseres.",I36="X"),K36*1.5,0)</f>
        <v>0</v>
      </c>
      <c r="EL36" s="251">
        <f>IF(AND(AND(Stamoplysninger!$B$26="Weekendtimer og weekendtillæg afspadseres.",I36="X",S36="X")),V36*1.5,0)</f>
        <v>0</v>
      </c>
      <c r="EM36" s="674">
        <f>IF(AND(AND(Stamoplysninger!$B$26="Weekendtimer og weekendtillæg afspadseres.",I36="X",C36="ikke relevant")),K36*1.5,0)</f>
        <v>0</v>
      </c>
      <c r="EN36" s="675">
        <f>IF(AND(AND(AND(Stamoplysninger!$B$26="Weekendtimer og weekendtillæg afspadseres.",I36="X",C36="ikke relevant",S36="X"))),(V36*1.5),0)</f>
        <v>0</v>
      </c>
      <c r="EO36" s="283">
        <f>IF(AND(Stamoplysninger!$B$26="Weekendtimer og weekendtillæg udbetales.",I36="X"),K36*1.5,0)</f>
        <v>0</v>
      </c>
      <c r="EP36" s="251">
        <f>IF(AND(AND(Stamoplysninger!$B$26="Weekendtimer og weekendtillæg udbetales.",I36="X",S36="X")),V36*1.5,0)</f>
        <v>0</v>
      </c>
      <c r="EQ36" s="674">
        <f>IF(AND(AND(Stamoplysninger!$B$26="Weekendtimer og weekendtillæg udbetales.",I36="X",C36="ikke relevant")),K36*1.5,0)</f>
        <v>0</v>
      </c>
      <c r="ER36" s="675">
        <f>IF(AND(AND(AND(Stamoplysninger!$B$26="Weekendtimer og weekendtillæg udbetales.",I36="X",C36="ikke relevant",S36="X"))),(V36*1.5),0)</f>
        <v>0</v>
      </c>
      <c r="ES36" s="283">
        <f>IF(AND(Stamoplysninger!$B$26="Der er indgået lokalaftale omkring weekendtimer.(Kræver aftale med TR/FSL) Weekendtillæg afspadseres.",I36="X"),K36*0.5,0)</f>
        <v>0</v>
      </c>
      <c r="ET36" s="251">
        <f>IF(AND(AND(Stamoplysninger!$B$26="Der er indgået lokalaftale omkring weekendtimer.(Kræver aftale med TR/FSL) Weekendtillæg afspadseres.",I36="X",S36="X")),V36*0.5,0)</f>
        <v>0</v>
      </c>
      <c r="EU36" s="674">
        <f>IF(AND(AND(Stamoplysninger!$B$26="Der er indgået lokalaftale omkring weekendtimer.(Kræver aftale med TR/FSL) Weekendtillæg afspadseres.",I36="X",C36="ikke relevant")),K36*0.5,0)</f>
        <v>0</v>
      </c>
      <c r="EV36" s="675">
        <f>IF(AND(AND(AND(Stamoplysninger!$B$26="Der er indgået lokalaftale omkring weekendtimer.(Kræver aftale med TR/FSL) Weekendtillæg afspadseres.",I36="X",C36="ikke relevant",S36="X"))),(V36*0.5),0)</f>
        <v>0</v>
      </c>
      <c r="EW36" s="283">
        <f>IF(AND(Stamoplysninger!$B$26="Der er indgået lokalaftale omkring weekendtimer(Kræver aftale med TR/FSL). Weekendtillæg udbetales.",I36="X"),K36*0.5,0)</f>
        <v>0</v>
      </c>
      <c r="EX36" s="251">
        <f>IF(AND(AND(Stamoplysninger!$B$26="Der er indgået lokalaftale omkring weekendtimer(Kræver aftale med TR/FSL). Weekendtillæg udbetales.",I36="X",S36="X")),V36*0.5,0)</f>
        <v>0</v>
      </c>
      <c r="EY36" s="674">
        <f>IF(AND(AND(Stamoplysninger!$B$26="Der er indgået lokalaftale omkring weekendtimer(Kræver aftale med TR/FSL). Weekendtillæg udbetales.",I36="X",C36="ikke relevant")),K36*0.5,0)</f>
        <v>0</v>
      </c>
      <c r="EZ36" s="675">
        <f>IF(AND(AND(AND(Stamoplysninger!$B$26="Der er indgået lokalaftale omkring weekendtimer(Kræver aftale med TR/FSL). Weekendtillæg udbetales.",I36="X",C36="ikke relevant",S36="X"))),(V36*0.5),0)</f>
        <v>0</v>
      </c>
      <c r="FA36" s="283">
        <f>IF(AND(Stamoplysninger!$B$26="Der er indgået lokalaftale omkring weekendtillæg(Kræver aftale med TR/FSL). Weekendtimerne afspadseres.",I36="X"),K36,0)</f>
        <v>0</v>
      </c>
      <c r="FB36" s="251">
        <f>IF(AND(AND(Stamoplysninger!$B$26="Der er indgået lokalaftale omkring weekendtillæg(Kræver aftale med TR/FSL). Weekendtimerne afspadseres.",I36="X",S36="X")),V36,0)</f>
        <v>0</v>
      </c>
      <c r="FC36" s="674">
        <f>IF(AND(AND(Stamoplysninger!$B$26="Der er indgået lokalaftale omkring weekendtillæg(Kræver aftale med TR/FSL). Weekendtimerne afspadseres..",I36="X",C36="ikke relevant")),K36,0)</f>
        <v>0</v>
      </c>
      <c r="FD36" s="675">
        <f>IF(AND(AND(AND(Stamoplysninger!$B$26="Der er indgået lokalaftale omkring weekendtillæg(Kræver aftale med TR/FSL). Weekendtimerne afspadseres.",I36="X",C36="ikke relevant",S36="X"))),(V36),0)</f>
        <v>0</v>
      </c>
      <c r="FE36" s="283">
        <f>IF(AND(Stamoplysninger!$B$26="Der er indgået lokalaftale omkring weekendtillæg(Kræver aftale med TR/FSL). Weekendtimerne udbetales.",I36="X"),K36,0)</f>
        <v>0</v>
      </c>
      <c r="FF36" s="251">
        <f>IF(AND(AND(Stamoplysninger!$B$26="Der er indgået lokalaftale omkring weekendtillæg(Kræver aftale med TR/FSL). Weekendtimerne udbetales.",I36="X",S36="X")),V36,0)</f>
        <v>0</v>
      </c>
      <c r="FG36" s="674">
        <f>IF(AND(AND(Stamoplysninger!$B$26="Der er indgået lokalaftale omkring weekendtillæg(Kræver aftale med TR/FSL). Weekendtimerne udbetales.",I36="X",C36="ikke relevant")),K36,0)</f>
        <v>0</v>
      </c>
      <c r="FH36" s="675">
        <f>IF(AND(AND(AND(Stamoplysninger!$B$26="Der er indgået lokalaftale omkring weekendtillæg(Kræver aftale med TR/FSL). Weekendtimerne udbetales.",I36="X",C36="ikke relevant",S36="X"))),(V36),0)</f>
        <v>0</v>
      </c>
      <c r="FI36" s="283">
        <f>IF(AND(Stamoplysninger!$B$26="Weekendtimer og weekendtillæg afspadseres.",I36="X"),K36,0)</f>
        <v>0</v>
      </c>
      <c r="FJ36" s="251">
        <f>IF(AND(Stamoplysninger!$B$26="Weekendtimer og weekendtillæg afspadseres.",Y36="X"),(AA36+AL36)/2,0)</f>
        <v>0</v>
      </c>
      <c r="FK36" s="674">
        <f>IF(AND(AND(Stamoplysninger!$B$26="Weekendtimer og weekendtillæg afspadseres.",I36="X",C36="ikke relevant")),K36,0)</f>
        <v>0</v>
      </c>
      <c r="FL36" s="675">
        <f>IF(AND(AND(Stamoplysninger!$B$26="Weekendtimer og weekendtillæg afspadseres.",Y36="X",S36="ikke relevant")),(AA36+AL36)/2,0)</f>
        <v>0</v>
      </c>
      <c r="FM36" s="283">
        <f>IF(AND(Stamoplysninger!$B$26="Der er indgået lokalaftale omkring weekendtillæg(Kræver aftale med TR/FSL). Weekendtimerne afspadseres.",I36="X"),K36,0)</f>
        <v>0</v>
      </c>
      <c r="FN36" s="674">
        <f>IF(AND(AND(Stamoplysninger!$B$26="Der er indgået lokalaftale omkring weekendtillæg(Kræver aftale med TR/FSL). Weekendtimerne afspadseres.",I36="X",C36="ikke relevant")),K36,0)</f>
        <v>0</v>
      </c>
      <c r="FO36" s="283">
        <f>IF(AND(Stamoplysninger!$B$26="Weekendtimer og weekendtillæg udbetales.",I36="X"),K36,0)</f>
        <v>0</v>
      </c>
      <c r="FP36" s="251">
        <f>IF(AND(Stamoplysninger!$B$26="Weekendtimer og weekendtillæg udbetales.",AA36="X"),(AC36+AN36)/2,0)</f>
        <v>0</v>
      </c>
      <c r="FQ36" s="674">
        <f>IF(AND(AND(Stamoplysninger!$B$26="Weekendtimer og weekendtillæg udbetales.",I36="X",C36="ikke relevant")),K36,0)</f>
        <v>0</v>
      </c>
      <c r="FR36" s="688">
        <f>IF(AND(AND(Stamoplysninger!$B$26="Weekendtimer og weekendtillæg udbetales.",AA36="X",U36="ikke relevant")),(AC36+AN36)/2,0)</f>
        <v>0</v>
      </c>
      <c r="FS36" s="283">
        <f t="shared" si="15"/>
        <v>0</v>
      </c>
      <c r="FT36" s="658">
        <f t="shared" si="16"/>
        <v>0</v>
      </c>
      <c r="FU36">
        <f t="shared" si="31"/>
        <v>0</v>
      </c>
      <c r="FV36" s="283">
        <f>IF(AND(Stamoplysninger!$B$26="Der er indgået lokalaftale omkring weekendtimer.(Kræver aftale med TR/FSL) Weekendtillæg afspadseres.",I36="X"),K36,0)</f>
        <v>0</v>
      </c>
      <c r="FW36" s="674">
        <f>IF(AND(AND(Stamoplysninger!$B$26="Der er indgået lokalaftale omkring weekendtimer.(Kræver aftale med TR/FSL) Weekendtillæg afspadseres.",I36="X",C36="ikke relevant")),K36,0)</f>
        <v>0</v>
      </c>
      <c r="FX36" s="283">
        <f>IF(AND(Stamoplysninger!$B$26="Der er indgået lokalaftale omkring weekendtimer(Kræver aftale med TR/FSL). Weekendtillæg udbetales.",I36="X"),K36,0)</f>
        <v>0</v>
      </c>
      <c r="FY36" s="674">
        <f>IF(AND(AND(Stamoplysninger!$B$26="Der er indgået lokalaftale omkring weekendtimer(Kræver aftale med TR/FSL). Weekendtillæg udbetales.",I36="X",C36="ikke relevant")),K36,0)</f>
        <v>0</v>
      </c>
      <c r="FZ36" s="283">
        <f>IF(AND(Stamoplysninger!$B$26="Der er indgået lokalaftale omkring weekendtillæg(Kræver aftale med TR/FSL). Weekendtimerne udbetales.",I36="X"),K36,0)</f>
        <v>0</v>
      </c>
      <c r="GA36" s="674">
        <f>IF(AND(AND(Stamoplysninger!$B$26="Der er indgået lokalaftale omkring weekendtillæg(Kræver aftale med TR/FSL). Weekendtimerne udbetales.",I36="X",C36="ikke relevant")),K36,0)</f>
        <v>0</v>
      </c>
      <c r="GB36" s="283">
        <f>IF(AND(Stamoplysninger!$B$26="Der er indgået lokalaftale omkring weekendtimer og weekendtillæg.(Kræver aftale med TR/FSL).",I36="X"),K36,0)</f>
        <v>0</v>
      </c>
      <c r="GC36" s="674">
        <f>IF(AND(AND(Stamoplysninger!$B$26="Der er indgået lokalaftale omkring weekendtimer og weekendtillæg.(Kræver aftale med TR/FSL).",I36="X",C36="ikke relevant")),K36,0)</f>
        <v>0</v>
      </c>
    </row>
    <row r="37" spans="1:185">
      <c r="A37" s="245">
        <f>IF(ISNUMBER(A36),A36+1,1)</f>
        <v>29</v>
      </c>
      <c r="B37" s="128" t="str">
        <f t="shared" si="0"/>
        <v>lø</v>
      </c>
      <c r="C37" s="129" t="s">
        <v>120</v>
      </c>
      <c r="D37" s="130" t="str">
        <f t="shared" si="1"/>
        <v/>
      </c>
      <c r="E37" s="917"/>
      <c r="F37" s="918"/>
      <c r="G37" s="919"/>
      <c r="H37" s="298"/>
      <c r="I37" s="413"/>
      <c r="J37" s="413"/>
      <c r="K37" s="380"/>
      <c r="L37" s="380"/>
      <c r="M37" s="380"/>
      <c r="N37" s="318">
        <f t="shared" si="19"/>
        <v>0</v>
      </c>
      <c r="O37" s="318">
        <f t="shared" si="20"/>
        <v>0</v>
      </c>
      <c r="P37" s="318">
        <f>IF(Stamoplysninger!$H$29="JA",Marts!DG37,CX37)</f>
        <v>0</v>
      </c>
      <c r="Q37" s="318">
        <f t="shared" si="21"/>
        <v>0</v>
      </c>
      <c r="R37" s="319"/>
      <c r="S37" s="324"/>
      <c r="T37" s="325"/>
      <c r="U37" s="325"/>
      <c r="V37" s="435"/>
      <c r="W37" s="412"/>
      <c r="X37" s="642"/>
      <c r="Y37">
        <f t="shared" si="22"/>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9">
        <f t="shared" si="8"/>
        <v>0</v>
      </c>
      <c r="BC37" s="1">
        <f t="shared" si="24"/>
        <v>0</v>
      </c>
      <c r="BD37" s="1">
        <f t="shared" si="9"/>
        <v>0</v>
      </c>
      <c r="BE37" s="1">
        <f t="shared" si="10"/>
        <v>0</v>
      </c>
      <c r="BF37" s="1">
        <f t="shared" si="11"/>
        <v>0</v>
      </c>
      <c r="BG37" s="210" t="str">
        <f>IF(AND(C37="Skema 1",B37="ma"),Skemaoplysninger!$E$30,"")</f>
        <v/>
      </c>
      <c r="BH37" s="210" t="str">
        <f>IF(AND(C37="Skema 1",B37="ti"),Skemaoplysninger!$G$30,"")</f>
        <v/>
      </c>
      <c r="BI37" s="210" t="str">
        <f>IF(AND(C37="Skema 1",B37="on"),Skemaoplysninger!$I$30,"")</f>
        <v/>
      </c>
      <c r="BJ37" s="210" t="str">
        <f>IF(AND(C37="Skema 1",B37="to"),Skemaoplysninger!$K$30,"")</f>
        <v/>
      </c>
      <c r="BK37" s="210" t="str">
        <f>IF(AND(C37="Skema 1",B37="fr"),Skemaoplysninger!$M$30,"")</f>
        <v/>
      </c>
      <c r="BL37" s="210" t="str">
        <f>IF(AND(C37="Skema 2",B37="ma"),Skemaoplysninger!$S$30,"")</f>
        <v/>
      </c>
      <c r="BM37" s="210" t="str">
        <f>IF(AND(C37="Skema 2",B37="ti"),Skemaoplysninger!$U$30,"")</f>
        <v/>
      </c>
      <c r="BN37" s="210" t="str">
        <f>IF(AND(C37="Skema 2",B37="on"),Skemaoplysninger!$W$30,"")</f>
        <v/>
      </c>
      <c r="BO37" s="210" t="str">
        <f>IF(AND(C37="Skema 2",B37="to"),Skemaoplysninger!$Y$30,"")</f>
        <v/>
      </c>
      <c r="BP37" s="210" t="str">
        <f>IF(AND(C37="Skema 2",B37="fr"),Skemaoplysninger!$AA$30,"")</f>
        <v/>
      </c>
      <c r="BQ37" s="210" t="str">
        <f>IF(AND(C37="Skema 3",B37="ma"),Skemaoplysninger!$AG$30,"")</f>
        <v/>
      </c>
      <c r="BR37" s="210" t="str">
        <f>IF(AND(C37="Skema 3",B37="ti"),Skemaoplysninger!$AI$30,"")</f>
        <v/>
      </c>
      <c r="BS37" s="210" t="str">
        <f>IF(AND(C37="Skema 3",B37="on"),Skemaoplysninger!$AK$30,"")</f>
        <v/>
      </c>
      <c r="BT37" s="210" t="str">
        <f>IF(AND(C37="Skema 3",B37="to"),Skemaoplysninger!$AM$30,"")</f>
        <v/>
      </c>
      <c r="BU37" s="210" t="str">
        <f>IF(AND(C37="Skema 3",B37="fr"),Skemaoplysninger!$AO$30,"")</f>
        <v/>
      </c>
      <c r="BV37" s="210" t="str">
        <f>IF(AND(C37="Skema 4",B37="ma"),Skemaoplysninger!$AU$30,"")</f>
        <v/>
      </c>
      <c r="BW37" s="210" t="str">
        <f>IF(AND(C37="Skema 4",B37="ti"),Skemaoplysninger!$AW$30,"")</f>
        <v/>
      </c>
      <c r="BX37" s="210" t="str">
        <f>IF(AND(C37="Skema 4",B37="on"),Skemaoplysninger!$AY$30,"")</f>
        <v/>
      </c>
      <c r="BY37" s="210" t="str">
        <f>IF(AND(C37="Skema 4",B37="to"),Skemaoplysninger!$BA$30,"")</f>
        <v/>
      </c>
      <c r="BZ37" s="210" t="str">
        <f>IF(AND(C37="Skema 4",B37="fr"),Skemaoplysninger!$BC$30,"")</f>
        <v/>
      </c>
      <c r="CA37" s="1">
        <f t="shared" si="25"/>
        <v>0</v>
      </c>
      <c r="CB37" s="1">
        <f t="shared" si="12"/>
        <v>0</v>
      </c>
      <c r="CC37" s="1">
        <f t="shared" si="13"/>
        <v>0</v>
      </c>
      <c r="CD37" s="210" t="str">
        <f>IF(AND(C37="Skema 1",B37="ma"),Skemaoplysninger!$E$31,"")</f>
        <v/>
      </c>
      <c r="CE37" s="210" t="str">
        <f>IF(AND(C37="Skema 1",B37="ti"),Skemaoplysninger!$G$31,"")</f>
        <v/>
      </c>
      <c r="CF37" s="210" t="str">
        <f>IF(AND(C37="Skema 1",B37="on"),Skemaoplysninger!$I$31,"")</f>
        <v/>
      </c>
      <c r="CG37" s="210" t="str">
        <f>IF(AND(C37="Skema 1",B37="to"),Skemaoplysninger!$K$31,"")</f>
        <v/>
      </c>
      <c r="CH37" s="210" t="str">
        <f>IF(AND(C37="Skema 1",B37="fr"),Skemaoplysninger!$M$31,"")</f>
        <v/>
      </c>
      <c r="CI37" s="210" t="str">
        <f>IF(AND(C37="Skema 2",B37="ma"),Skemaoplysninger!$S$31,"")</f>
        <v/>
      </c>
      <c r="CJ37" s="210" t="str">
        <f>IF(AND(C37="Skema 2",B37="ti"),Skemaoplysninger!$U$31,"")</f>
        <v/>
      </c>
      <c r="CK37" s="210" t="str">
        <f>IF(AND(C37="Skema 2",B37="on"),Skemaoplysninger!$W$31,"")</f>
        <v/>
      </c>
      <c r="CL37" s="210" t="str">
        <f>IF(AND(C37="Skema 2",B37="to"),Skemaoplysninger!$Y$31,"")</f>
        <v/>
      </c>
      <c r="CM37" s="210" t="str">
        <f>IF(AND(C37="Skema 2",B37="fr"),Skemaoplysninger!$AA$31,"")</f>
        <v/>
      </c>
      <c r="CN37" s="210" t="str">
        <f>IF(AND(C37="Skema 3",B37="ma"),Skemaoplysninger!$AG$31,"")</f>
        <v/>
      </c>
      <c r="CO37" s="210" t="str">
        <f>IF(AND(C37="Skema 3",B37="ti"),Skemaoplysninger!$AI$31,"")</f>
        <v/>
      </c>
      <c r="CP37" s="210" t="str">
        <f>IF(AND(C37="Skema 3",B37="on"),Skemaoplysninger!$AK$31,"")</f>
        <v/>
      </c>
      <c r="CQ37" s="210" t="str">
        <f>IF(AND(C37="Skema 3",B37="to"),Skemaoplysninger!$AM$31,"")</f>
        <v/>
      </c>
      <c r="CR37" s="210" t="str">
        <f>IF(AND(C37="Skema 3",B37="fr"),Skemaoplysninger!$AO$31,"")</f>
        <v/>
      </c>
      <c r="CS37" s="210" t="str">
        <f>IF(AND(C37="Skema 4",B37="ma"),Skemaoplysninger!$AU$31,"")</f>
        <v/>
      </c>
      <c r="CT37" s="210" t="str">
        <f>IF(AND(C37="Skema 4",B37="ti"),Skemaoplysninger!$AW$31,"")</f>
        <v/>
      </c>
      <c r="CU37" s="210" t="str">
        <f>IF(AND(C37="Skema 4",B37="on"),Skemaoplysninger!$AY$31,"")</f>
        <v/>
      </c>
      <c r="CV37" s="210" t="str">
        <f>IF(AND(C37="Skema 4",B37="to"),Skemaoplysninger!$BA$31,"")</f>
        <v/>
      </c>
      <c r="CW37" s="210" t="str">
        <f>IF(AND(C37="Skema 4",B37="fr"),Skemaoplysninger!$BC$31,"")</f>
        <v/>
      </c>
      <c r="CX37" s="249">
        <f>IF(Stamoplysninger!$H$29="NEJ",SUM(CD37:CW37)*24+CB37+CC37,0)</f>
        <v>0</v>
      </c>
      <c r="CY37" s="249">
        <f>IF(C37="Skema 1",Stamoplysninger!$H$30/200,0)</f>
        <v>0</v>
      </c>
      <c r="CZ37" s="249">
        <f>IF(C37="Skema 2",Stamoplysninger!$H$30/200,0)</f>
        <v>0</v>
      </c>
      <c r="DA37" s="249">
        <f>IF(C37="Skema 3",Stamoplysninger!$H$30/200,0)</f>
        <v>0</v>
      </c>
      <c r="DB37" s="249">
        <f>IF(C37="Skema 4",Stamoplysninger!$H$30/200,0)</f>
        <v>0</v>
      </c>
      <c r="DC37" s="249">
        <f>IF(C37="fagdag",Stamoplysninger!$H$30/200,0)</f>
        <v>0</v>
      </c>
      <c r="DD37" s="249">
        <f>IF(C37="emnedag",Stamoplysninger!$H$30/200,0)</f>
        <v>0</v>
      </c>
      <c r="DE37" s="249">
        <f>IF(C37="lejrskole",Stamoplysninger!$H$30/200,0)</f>
        <v>0</v>
      </c>
      <c r="DF37" s="249">
        <f>IF(C37="ekskursion",Stamoplysninger!$H$30/200,0)</f>
        <v>0</v>
      </c>
      <c r="DG37" s="249">
        <f t="shared" si="26"/>
        <v>0</v>
      </c>
      <c r="DH37" t="str">
        <f t="shared" si="27"/>
        <v/>
      </c>
      <c r="DI37">
        <f t="shared" si="28"/>
        <v>0</v>
      </c>
      <c r="DJ37">
        <f t="shared" si="29"/>
        <v>0</v>
      </c>
      <c r="DK37" t="str">
        <f t="shared" si="14"/>
        <v/>
      </c>
      <c r="DL37" t="str">
        <f t="shared" si="14"/>
        <v/>
      </c>
      <c r="DM37" t="str">
        <f t="shared" si="14"/>
        <v/>
      </c>
      <c r="DN37" t="str">
        <f t="shared" si="30"/>
        <v/>
      </c>
      <c r="DO37" s="652">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71">
        <f>IF(AND(Stamoplysninger!$B$22="Ulempetillæg udbetales med 25% af nettotimelønnen.",C37="ikke relevant"),(R37)/4,0)</f>
        <v>0</v>
      </c>
      <c r="DT37" s="671">
        <f>IF(AND(AND(Stamoplysninger!$B$22="Ulempetillæg udbetales med 25% af nettotimelønnen.",I37="X",C37="Ikke relevant")),K37/4,0)</f>
        <v>0</v>
      </c>
      <c r="DU37" s="671">
        <f>IF(AND(AND(Stamoplysninger!$B$22="Ulempetillæg udbetales med 25% af nettotimelønnen.",C37="ikke relevant",U37="X")),(X37/4),0)</f>
        <v>0</v>
      </c>
      <c r="DV37" s="672">
        <f>IF(AND(AND(AND(Stamoplysninger!$B$22="Ulempetillæg udbetales med 25% af nettotimelønnen.",I37="X",C37="Ikke relevant",U37="X"))),X37/4,0)</f>
        <v>0</v>
      </c>
      <c r="DW37" s="652"/>
      <c r="DZ37" s="671"/>
      <c r="EA37" s="671"/>
      <c r="EB37" s="672"/>
      <c r="EC37" s="652">
        <f>IF(Stamoplysninger!$B$22="Ulempetillæg afspadseres med 25%(Kræver en aftale imellem ledelsen og den ansatte)",(R37+X37)/4,0)</f>
        <v>0</v>
      </c>
      <c r="ED37">
        <f>IF(AND(Stamoplysninger!$B$22="Ulempetillæg afspadseres med 25%(Kræver en aftale imellem ledelsen og den ansatte)",I37="X"),K37/4,0)</f>
        <v>0</v>
      </c>
      <c r="EE37">
        <f>IF(AND(Stamoplysninger!$B$22="Ulempetillæg afspadseres med 25%(Kræver en aftale imellem ledelsen og den ansatte)",I37="X"),V37/4,0)</f>
        <v>0</v>
      </c>
      <c r="EF37">
        <f>IF(AND(AND(Stamoplysninger!$B$22="Ulempetillæg udbetales med 25% af nettotimelønnen.",AG37="X",W37="X")),AJ37/4,0)</f>
        <v>0</v>
      </c>
      <c r="EG37" s="671">
        <f>IF(AND(Stamoplysninger!$B$22="Ulempetillæg afspadseres med 25%(Kræver en aftale imellem ledelsen og den ansatte)",C37="ikke relevant"),(R37+X37)/4,0)</f>
        <v>0</v>
      </c>
      <c r="EH37" s="671">
        <f>IF(AND(AND(Stamoplysninger!$B$22="Ulempetillæg afspadseres med 25%(Kræver en aftale imellem ledelsen og den ansatte)",I37="X",C37="Ikke relevant")),K37/4,0)</f>
        <v>0</v>
      </c>
      <c r="EI37" s="671">
        <f>IF(AND(AND(Stamoplysninger!$B$22="Ulempetillæg afspadseres med 25%(Kræver en aftale imellem ledelsen og den ansatte)",I37="X",C37="Ikke relevant")),V37/4,0)</f>
        <v>0</v>
      </c>
      <c r="EJ37" s="671">
        <f>IF(AND(AND(Stamoplysninger!$B$22="Ulempetillæg afspadseres med 25%(Kræver en aftale imellem ledelsen og den ansatte)",J37="X",D37="Ikke relevant")),W37/4,0)</f>
        <v>0</v>
      </c>
      <c r="EK37" s="283">
        <f>IF(AND(Stamoplysninger!$B$26="Weekendtimer og weekendtillæg afspadseres.",I37="X"),K37+V37,0)</f>
        <v>0</v>
      </c>
      <c r="EL37" s="251">
        <f>IF(AND(Stamoplysninger!$B$26="Weekendtimer og weekendtillæg afspadseres.",J37="X"),(L37+W37)/2,0)</f>
        <v>0</v>
      </c>
      <c r="EM37" s="674">
        <f>IF(AND(AND(Stamoplysninger!$B$26="Weekendtimer og weekendtillæg afspadseres.",I37="X",C37="ikke relevant")),K37+V37,0)</f>
        <v>0</v>
      </c>
      <c r="EN37" s="675">
        <f>IF(AND(AND(Stamoplysninger!$B$26="Weekendtimer og weekendtillæg afspadseres.",I37="X",C37="ikke relevant")),(K37+V37)/2,0)</f>
        <v>0</v>
      </c>
      <c r="EO37" s="283">
        <f>IF(AND(Stamoplysninger!$B$26="Weekendtimer og weekendtillæg udbetales.",I37="X"),K37+V37,0)</f>
        <v>0</v>
      </c>
      <c r="EP37" s="251">
        <f>IF(AND(Stamoplysninger!$B$26="Weekendtimer og weekendtillæg udbetales.",I37="X"),(K37+V37)/2,0)</f>
        <v>0</v>
      </c>
      <c r="EQ37" s="674">
        <f>IF(AND(AND(Stamoplysninger!$B$26="Weekendtimer og weekendtillæg udbetales.",I37="X",C37="ikke relevant")),K37+V37,0)</f>
        <v>0</v>
      </c>
      <c r="ER37" s="675">
        <f>IF(AND(AND(Stamoplysninger!$B$26="Weekendtimer og weekendtillæg udbetales.",I37="X",C37="ikke relevant")),(K37+V37)/2,0)</f>
        <v>0</v>
      </c>
      <c r="ES37" s="283">
        <f>IF(AND(Stamoplysninger!$B$26="Weekendtimer og weekendtillæg udbetales.",M37="X"),O37+Z37,0)</f>
        <v>0</v>
      </c>
      <c r="ET37" s="251">
        <f>IF(AND(Stamoplysninger!$B$26="Weekendtimer og weekendtillæg udbetales.",M37="X"),(O37+Z37)/2,0)</f>
        <v>0</v>
      </c>
      <c r="EU37" s="674">
        <f>IF(AND(AND(Stamoplysninger!$B$26="Weekendtimer og weekendtillæg udbetales.",M37="X",G37="ikke relevant")),O37+Z37,0)</f>
        <v>0</v>
      </c>
      <c r="EV37" s="675">
        <f>IF(AND(AND(Stamoplysninger!$B$26="Weekendtimer og weekendtillæg udbetales.",M37="X",G37="ikke relevant")),(O37+Z37)/2,0)</f>
        <v>0</v>
      </c>
      <c r="EW37" s="283">
        <f>IF(AND(Stamoplysninger!$B$26="Der er indgået lokalaftale omkring weekendtimer(Kræver aftale med TR/FSL). Weekendtillæg udbetales.",I37="X"),K37*0.5,0)</f>
        <v>0</v>
      </c>
      <c r="EX37" s="251">
        <f>IF(AND(AND(Stamoplysninger!$B$26="Der er indgået lokalaftale omkring weekendtimer(Kræver aftale med TR/FSL). Weekendtillæg udbetales.",I37="X",S37="X")),V37*0.5,0)</f>
        <v>0</v>
      </c>
      <c r="EY37" s="674">
        <f>IF(AND(AND(Stamoplysninger!$B$26="Der er indgået lokalaftale omkring weekendtimer(Kræver aftale med TR/FSL). Weekendtillæg udbetales.",I37="X",C37="ikke relevant")),K37*0.5,0)</f>
        <v>0</v>
      </c>
      <c r="EZ37" s="675">
        <f>IF(AND(AND(AND(Stamoplysninger!$B$26="Der er indgået lokalaftale omkring weekendtimer(Kræver aftale med TR/FSL). Weekendtillæg udbetales.",I37="X",C37="ikke relevant",S37="X"))),(V37*0.5),0)</f>
        <v>0</v>
      </c>
      <c r="FA37" s="283">
        <f>IF(AND(Stamoplysninger!$B$26="Der er indgået lokalaftale omkring weekendtimer(Kræver aftale med TR/FSL). Weekendtillæg udbetales.",M37="X"),O37*0.5,0)</f>
        <v>0</v>
      </c>
      <c r="FB37" s="251">
        <f>IF(AND(AND(Stamoplysninger!$B$26="Der er indgået lokalaftale omkring weekendtimer(Kræver aftale med TR/FSL). Weekendtillæg udbetales.",M37="X",W37="X")),Z37*0.5,0)</f>
        <v>0</v>
      </c>
      <c r="FC37" s="674">
        <f>IF(AND(AND(Stamoplysninger!$B$26="Der er indgået lokalaftale omkring weekendtimer(Kræver aftale med TR/FSL). Weekendtillæg udbetales.",M37="X",G37="ikke relevant")),O37*0.5,0)</f>
        <v>0</v>
      </c>
      <c r="FD37" s="675">
        <f>IF(AND(AND(AND(Stamoplysninger!$B$26="Der er indgået lokalaftale omkring weekendtimer(Kræver aftale med TR/FSL). Weekendtillæg udbetales.",M37="X",G37="ikke relevant",W37="X"))),(Z37*0.5),0)</f>
        <v>0</v>
      </c>
      <c r="FE37" s="283">
        <f>IF(AND(Stamoplysninger!$B$26="Der er indgået lokalaftale omkring weekendtimer(Kræver aftale med TR/FSL). Weekendtillæg udbetales.",Q37="X"),S37*0.5,0)</f>
        <v>0</v>
      </c>
      <c r="FF37" s="251">
        <f>IF(AND(AND(Stamoplysninger!$B$26="Der er indgået lokalaftale omkring weekendtimer(Kræver aftale med TR/FSL). Weekendtillæg udbetales.",Q37="X",AA37="X")),AD37*0.5,0)</f>
        <v>0</v>
      </c>
      <c r="FG37" s="674">
        <f>IF(AND(AND(Stamoplysninger!$B$26="Der er indgået lokalaftale omkring weekendtimer(Kræver aftale med TR/FSL). Weekendtillæg udbetales.",Q37="X",K37="ikke relevant")),S37*0.5,0)</f>
        <v>0</v>
      </c>
      <c r="FH37" s="675">
        <f>IF(AND(AND(AND(Stamoplysninger!$B$26="Der er indgået lokalaftale omkring weekendtimer(Kræver aftale med TR/FSL). Weekendtillæg udbetales.",Q37="X",K37="ikke relevant",AA37="X"))),(AD37*0.5),0)</f>
        <v>0</v>
      </c>
      <c r="FI37" s="283">
        <f>IF(AND(Stamoplysninger!$B$26="Weekendtimer og weekendtillæg afspadseres.",I37="X"),K37,0)</f>
        <v>0</v>
      </c>
      <c r="FJ37" s="251">
        <f>IF(AND(Stamoplysninger!$B$26="Weekendtimer og weekendtillæg afspadseres.",Y37="X"),(AA37+AL37)/2,0)</f>
        <v>0</v>
      </c>
      <c r="FK37" s="674">
        <f>IF(AND(AND(Stamoplysninger!$B$26="Weekendtimer og weekendtillæg afspadseres.",I37="X",C37="ikke relevant")),K37,0)</f>
        <v>0</v>
      </c>
      <c r="FL37" s="675">
        <f>IF(AND(AND(Stamoplysninger!$B$26="Weekendtimer og weekendtillæg afspadseres.",Y37="X",S37="ikke relevant")),(AA37+AL37)/2,0)</f>
        <v>0</v>
      </c>
      <c r="FM37" s="283">
        <f>IF(AND(Stamoplysninger!$B$26="Der er indgået lokalaftale omkring weekendtillæg(Kræver aftale med TR/FSL). Weekendtimerne afspadseres.",I37="X"),K37,0)</f>
        <v>0</v>
      </c>
      <c r="FN37" s="674">
        <f>IF(AND(AND(Stamoplysninger!$B$26="Der er indgået lokalaftale omkring weekendtillæg(Kræver aftale med TR/FSL). Weekendtimerne afspadseres.",I37="X",C37="ikke relevant")),K37,0)</f>
        <v>0</v>
      </c>
      <c r="FO37" s="283">
        <f>IF(AND(Stamoplysninger!$B$26="Weekendtimer og weekendtillæg udbetales.",I37="X"),K37,0)</f>
        <v>0</v>
      </c>
      <c r="FP37" s="251">
        <f>IF(AND(Stamoplysninger!$B$26="Weekendtimer og weekendtillæg udbetales.",AA37="X"),(AC37+AN37)/2,0)</f>
        <v>0</v>
      </c>
      <c r="FQ37" s="674">
        <f>IF(AND(AND(Stamoplysninger!$B$26="Weekendtimer og weekendtillæg udbetales.",I37="X",C37="ikke relevant")),K37,0)</f>
        <v>0</v>
      </c>
      <c r="FR37" s="688">
        <f>IF(AND(AND(Stamoplysninger!$B$26="Weekendtimer og weekendtillæg udbetales.",AA37="X",U37="ikke relevant")),(AC37+AN37)/2,0)</f>
        <v>0</v>
      </c>
      <c r="FS37" s="283">
        <f t="shared" si="15"/>
        <v>0</v>
      </c>
      <c r="FT37" s="658">
        <f t="shared" si="16"/>
        <v>0</v>
      </c>
      <c r="FU37">
        <f t="shared" si="31"/>
        <v>0</v>
      </c>
      <c r="FV37" s="283">
        <f>IF(AND(Stamoplysninger!$B$26="Der er indgået lokalaftale omkring weekendtimer.(Kræver aftale med TR/FSL) Weekendtillæg afspadseres.",I37="X"),K37,0)</f>
        <v>0</v>
      </c>
      <c r="FW37" s="674">
        <f>IF(AND(AND(Stamoplysninger!$B$26="Der er indgået lokalaftale omkring weekendtimer.(Kræver aftale med TR/FSL) Weekendtillæg afspadseres.",I37="X",C37="ikke relevant")),K37,0)</f>
        <v>0</v>
      </c>
      <c r="FX37" s="283">
        <f>IF(AND(Stamoplysninger!$B$26="Der er indgået lokalaftale omkring weekendtimer(Kræver aftale med TR/FSL). Weekendtillæg udbetales.",I37="X"),K37,0)</f>
        <v>0</v>
      </c>
      <c r="FY37" s="674">
        <f>IF(AND(AND(Stamoplysninger!$B$26="Der er indgået lokalaftale omkring weekendtimer(Kræver aftale med TR/FSL). Weekendtillæg udbetales.",I37="X",C37="ikke relevant")),K37,0)</f>
        <v>0</v>
      </c>
      <c r="FZ37" s="283">
        <f>IF(AND(Stamoplysninger!$B$26="Der er indgået lokalaftale omkring weekendtillæg(Kræver aftale med TR/FSL). Weekendtimerne udbetales.",I37="X"),K37,0)</f>
        <v>0</v>
      </c>
      <c r="GA37" s="674">
        <f>IF(AND(AND(Stamoplysninger!$B$26="Der er indgået lokalaftale omkring weekendtillæg(Kræver aftale med TR/FSL). Weekendtimerne udbetales.",I37="X",C37="ikke relevant")),K37,0)</f>
        <v>0</v>
      </c>
      <c r="GB37" s="283">
        <f>IF(AND(Stamoplysninger!$B$26="Der er indgået lokalaftale omkring weekendtimer og weekendtillæg.(Kræver aftale med TR/FSL).",I37="X"),K37,0)</f>
        <v>0</v>
      </c>
      <c r="GC37" s="674">
        <f>IF(AND(AND(Stamoplysninger!$B$26="Der er indgået lokalaftale omkring weekendtimer og weekendtillæg.(Kræver aftale med TR/FSL).",I37="X",C37="ikke relevant")),K37,0)</f>
        <v>0</v>
      </c>
    </row>
    <row r="38" spans="1:185">
      <c r="A38" s="245">
        <f t="shared" si="18"/>
        <v>30</v>
      </c>
      <c r="B38" s="128" t="str">
        <f t="shared" si="0"/>
        <v>sø</v>
      </c>
      <c r="C38" s="129" t="s">
        <v>120</v>
      </c>
      <c r="D38" s="130" t="str">
        <f t="shared" si="1"/>
        <v/>
      </c>
      <c r="E38" s="917"/>
      <c r="F38" s="918"/>
      <c r="G38" s="919"/>
      <c r="H38" s="298"/>
      <c r="I38" s="413"/>
      <c r="J38" s="413"/>
      <c r="K38" s="380"/>
      <c r="L38" s="380"/>
      <c r="M38" s="380"/>
      <c r="N38" s="318">
        <f t="shared" si="19"/>
        <v>0</v>
      </c>
      <c r="O38" s="318">
        <f t="shared" si="20"/>
        <v>0</v>
      </c>
      <c r="P38" s="318">
        <f>IF(Stamoplysninger!$H$29="JA",Marts!DG38,CX38)</f>
        <v>0</v>
      </c>
      <c r="Q38" s="318">
        <f t="shared" si="21"/>
        <v>0</v>
      </c>
      <c r="R38" s="319"/>
      <c r="S38" s="324"/>
      <c r="T38" s="325"/>
      <c r="U38" s="441"/>
      <c r="V38" s="435"/>
      <c r="W38" s="412"/>
      <c r="X38" s="642"/>
      <c r="Y38">
        <f t="shared" si="22"/>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9">
        <f t="shared" si="8"/>
        <v>0</v>
      </c>
      <c r="BC38" s="1">
        <f t="shared" si="24"/>
        <v>0</v>
      </c>
      <c r="BD38" s="1">
        <f t="shared" si="9"/>
        <v>0</v>
      </c>
      <c r="BE38" s="1">
        <f t="shared" si="10"/>
        <v>0</v>
      </c>
      <c r="BF38" s="1">
        <f t="shared" si="11"/>
        <v>0</v>
      </c>
      <c r="BG38" s="210" t="str">
        <f>IF(AND(C38="Skema 1",B38="ma"),Skemaoplysninger!$E$30,"")</f>
        <v/>
      </c>
      <c r="BH38" s="210" t="str">
        <f>IF(AND(C38="Skema 1",B38="ti"),Skemaoplysninger!$G$30,"")</f>
        <v/>
      </c>
      <c r="BI38" s="210" t="str">
        <f>IF(AND(C38="Skema 1",B38="on"),Skemaoplysninger!$I$30,"")</f>
        <v/>
      </c>
      <c r="BJ38" s="210" t="str">
        <f>IF(AND(C38="Skema 1",B38="to"),Skemaoplysninger!$K$30,"")</f>
        <v/>
      </c>
      <c r="BK38" s="210" t="str">
        <f>IF(AND(C38="Skema 1",B38="fr"),Skemaoplysninger!$M$30,"")</f>
        <v/>
      </c>
      <c r="BL38" s="210" t="str">
        <f>IF(AND(C38="Skema 2",B38="ma"),Skemaoplysninger!$S$30,"")</f>
        <v/>
      </c>
      <c r="BM38" s="210" t="str">
        <f>IF(AND(C38="Skema 2",B38="ti"),Skemaoplysninger!$U$30,"")</f>
        <v/>
      </c>
      <c r="BN38" s="210" t="str">
        <f>IF(AND(C38="Skema 2",B38="on"),Skemaoplysninger!$W$30,"")</f>
        <v/>
      </c>
      <c r="BO38" s="210" t="str">
        <f>IF(AND(C38="Skema 2",B38="to"),Skemaoplysninger!$Y$30,"")</f>
        <v/>
      </c>
      <c r="BP38" s="210" t="str">
        <f>IF(AND(C38="Skema 2",B38="fr"),Skemaoplysninger!$AA$30,"")</f>
        <v/>
      </c>
      <c r="BQ38" s="210" t="str">
        <f>IF(AND(C38="Skema 3",B38="ma"),Skemaoplysninger!$AG$30,"")</f>
        <v/>
      </c>
      <c r="BR38" s="210" t="str">
        <f>IF(AND(C38="Skema 3",B38="ti"),Skemaoplysninger!$AI$30,"")</f>
        <v/>
      </c>
      <c r="BS38" s="210" t="str">
        <f>IF(AND(C38="Skema 3",B38="on"),Skemaoplysninger!$AK$30,"")</f>
        <v/>
      </c>
      <c r="BT38" s="210" t="str">
        <f>IF(AND(C38="Skema 3",B38="to"),Skemaoplysninger!$AM$30,"")</f>
        <v/>
      </c>
      <c r="BU38" s="210" t="str">
        <f>IF(AND(C38="Skema 3",B38="fr"),Skemaoplysninger!$AO$30,"")</f>
        <v/>
      </c>
      <c r="BV38" s="210" t="str">
        <f>IF(AND(C38="Skema 4",B38="ma"),Skemaoplysninger!$AU$30,"")</f>
        <v/>
      </c>
      <c r="BW38" s="210" t="str">
        <f>IF(AND(C38="Skema 4",B38="ti"),Skemaoplysninger!$AW$30,"")</f>
        <v/>
      </c>
      <c r="BX38" s="210" t="str">
        <f>IF(AND(C38="Skema 4",B38="on"),Skemaoplysninger!$AY$30,"")</f>
        <v/>
      </c>
      <c r="BY38" s="210" t="str">
        <f>IF(AND(C38="Skema 4",B38="to"),Skemaoplysninger!$BA$30,"")</f>
        <v/>
      </c>
      <c r="BZ38" s="210" t="str">
        <f>IF(AND(C38="Skema 4",B38="fr"),Skemaoplysninger!$BC$30,"")</f>
        <v/>
      </c>
      <c r="CA38" s="1">
        <f t="shared" si="25"/>
        <v>0</v>
      </c>
      <c r="CB38" s="1">
        <f t="shared" si="12"/>
        <v>0</v>
      </c>
      <c r="CC38" s="1">
        <f t="shared" si="13"/>
        <v>0</v>
      </c>
      <c r="CD38" s="210" t="str">
        <f>IF(AND(C38="Skema 1",B38="ma"),Skemaoplysninger!$E$31,"")</f>
        <v/>
      </c>
      <c r="CE38" s="210" t="str">
        <f>IF(AND(C38="Skema 1",B38="ti"),Skemaoplysninger!$G$31,"")</f>
        <v/>
      </c>
      <c r="CF38" s="210" t="str">
        <f>IF(AND(C38="Skema 1",B38="on"),Skemaoplysninger!$I$31,"")</f>
        <v/>
      </c>
      <c r="CG38" s="210" t="str">
        <f>IF(AND(C38="Skema 1",B38="to"),Skemaoplysninger!$K$31,"")</f>
        <v/>
      </c>
      <c r="CH38" s="210" t="str">
        <f>IF(AND(C38="Skema 1",B38="fr"),Skemaoplysninger!$M$31,"")</f>
        <v/>
      </c>
      <c r="CI38" s="210" t="str">
        <f>IF(AND(C38="Skema 2",B38="ma"),Skemaoplysninger!$S$31,"")</f>
        <v/>
      </c>
      <c r="CJ38" s="210" t="str">
        <f>IF(AND(C38="Skema 2",B38="ti"),Skemaoplysninger!$U$31,"")</f>
        <v/>
      </c>
      <c r="CK38" s="210" t="str">
        <f>IF(AND(C38="Skema 2",B38="on"),Skemaoplysninger!$W$31,"")</f>
        <v/>
      </c>
      <c r="CL38" s="210" t="str">
        <f>IF(AND(C38="Skema 2",B38="to"),Skemaoplysninger!$Y$31,"")</f>
        <v/>
      </c>
      <c r="CM38" s="210" t="str">
        <f>IF(AND(C38="Skema 2",B38="fr"),Skemaoplysninger!$AA$31,"")</f>
        <v/>
      </c>
      <c r="CN38" s="210" t="str">
        <f>IF(AND(C38="Skema 3",B38="ma"),Skemaoplysninger!$AG$31,"")</f>
        <v/>
      </c>
      <c r="CO38" s="210" t="str">
        <f>IF(AND(C38="Skema 3",B38="ti"),Skemaoplysninger!$AI$31,"")</f>
        <v/>
      </c>
      <c r="CP38" s="210" t="str">
        <f>IF(AND(C38="Skema 3",B38="on"),Skemaoplysninger!$AK$31,"")</f>
        <v/>
      </c>
      <c r="CQ38" s="210" t="str">
        <f>IF(AND(C38="Skema 3",B38="to"),Skemaoplysninger!$AM$31,"")</f>
        <v/>
      </c>
      <c r="CR38" s="210" t="str">
        <f>IF(AND(C38="Skema 3",B38="fr"),Skemaoplysninger!$AO$31,"")</f>
        <v/>
      </c>
      <c r="CS38" s="210" t="str">
        <f>IF(AND(C38="Skema 4",B38="ma"),Skemaoplysninger!$AU$31,"")</f>
        <v/>
      </c>
      <c r="CT38" s="210" t="str">
        <f>IF(AND(C38="Skema 4",B38="ti"),Skemaoplysninger!$AW$31,"")</f>
        <v/>
      </c>
      <c r="CU38" s="210" t="str">
        <f>IF(AND(C38="Skema 4",B38="on"),Skemaoplysninger!$AY$31,"")</f>
        <v/>
      </c>
      <c r="CV38" s="210" t="str">
        <f>IF(AND(C38="Skema 4",B38="to"),Skemaoplysninger!$BA$31,"")</f>
        <v/>
      </c>
      <c r="CW38" s="210" t="str">
        <f>IF(AND(C38="Skema 4",B38="fr"),Skemaoplysninger!$BC$31,"")</f>
        <v/>
      </c>
      <c r="CX38" s="249">
        <f>IF(Stamoplysninger!$H$29="NEJ",SUM(CD38:CW38)*24+CB38+CC38,0)</f>
        <v>0</v>
      </c>
      <c r="CY38" s="249">
        <f>IF(C38="Skema 1",Stamoplysninger!$H$30/200,0)</f>
        <v>0</v>
      </c>
      <c r="CZ38" s="249">
        <f>IF(C38="Skema 2",Stamoplysninger!$H$30/200,0)</f>
        <v>0</v>
      </c>
      <c r="DA38" s="249">
        <f>IF(C38="Skema 3",Stamoplysninger!$H$30/200,0)</f>
        <v>0</v>
      </c>
      <c r="DB38" s="249">
        <f>IF(C38="Skema 4",Stamoplysninger!$H$30/200,0)</f>
        <v>0</v>
      </c>
      <c r="DC38" s="249">
        <f>IF(C38="fagdag",Stamoplysninger!$H$30/200,0)</f>
        <v>0</v>
      </c>
      <c r="DD38" s="249">
        <f>IF(C38="emnedag",Stamoplysninger!$H$30/200,0)</f>
        <v>0</v>
      </c>
      <c r="DE38" s="249">
        <f>IF(C38="lejrskole",Stamoplysninger!$H$30/200,0)</f>
        <v>0</v>
      </c>
      <c r="DF38" s="249">
        <f>IF(C38="ekskursion",Stamoplysninger!$H$30/200,0)</f>
        <v>0</v>
      </c>
      <c r="DG38" s="249">
        <f t="shared" si="26"/>
        <v>0</v>
      </c>
      <c r="DH38" t="str">
        <f t="shared" si="27"/>
        <v/>
      </c>
      <c r="DI38">
        <f t="shared" si="28"/>
        <v>0</v>
      </c>
      <c r="DJ38">
        <f t="shared" si="29"/>
        <v>0</v>
      </c>
      <c r="DK38" t="str">
        <f t="shared" si="14"/>
        <v/>
      </c>
      <c r="DL38" t="str">
        <f t="shared" si="14"/>
        <v/>
      </c>
      <c r="DM38" t="str">
        <f t="shared" si="14"/>
        <v/>
      </c>
      <c r="DN38" t="str">
        <f t="shared" si="30"/>
        <v/>
      </c>
      <c r="DO38" s="652">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71">
        <f>IF(AND(Stamoplysninger!$B$22="Ulempetillæg udbetales med 25% af nettotimelønnen.",C38="ikke relevant"),(R38)/4,0)</f>
        <v>0</v>
      </c>
      <c r="DT38" s="671">
        <f>IF(AND(AND(Stamoplysninger!$B$22="Ulempetillæg udbetales med 25% af nettotimelønnen.",I38="X",C38="Ikke relevant")),K38/4,0)</f>
        <v>0</v>
      </c>
      <c r="DU38" s="671">
        <f>IF(AND(AND(Stamoplysninger!$B$22="Ulempetillæg udbetales med 25% af nettotimelønnen.",C38="ikke relevant",U38="X")),(X38/4),0)</f>
        <v>0</v>
      </c>
      <c r="DV38" s="672">
        <f>IF(AND(AND(AND(Stamoplysninger!$B$22="Ulempetillæg udbetales med 25% af nettotimelønnen.",I38="X",C38="Ikke relevant",U38="X"))),X38/4,0)</f>
        <v>0</v>
      </c>
      <c r="DW38" s="652"/>
      <c r="DZ38" s="671"/>
      <c r="EA38" s="671"/>
      <c r="EB38" s="672"/>
      <c r="EC38" s="652">
        <f>IF(Stamoplysninger!$B$22="Ulempetillæg afspadseres med 25%(Kræver en aftale imellem ledelsen og den ansatte)",(R38+X38)/4,0)</f>
        <v>0</v>
      </c>
      <c r="ED38">
        <f>IF(AND(Stamoplysninger!$B$22="Ulempetillæg afspadseres med 25%(Kræver en aftale imellem ledelsen og den ansatte)",I38="X"),K38/4,0)</f>
        <v>0</v>
      </c>
      <c r="EE38">
        <f>IF(AND(Stamoplysninger!$B$22="Ulempetillæg afspadseres med 25%(Kræver en aftale imellem ledelsen og den ansatte)",I38="X"),V38/4,0)</f>
        <v>0</v>
      </c>
      <c r="EF38">
        <f>IF(AND(AND(Stamoplysninger!$B$22="Ulempetillæg udbetales med 25% af nettotimelønnen.",AG38="X",W38="X")),AJ38/4,0)</f>
        <v>0</v>
      </c>
      <c r="EG38" s="671">
        <f>IF(AND(Stamoplysninger!$B$22="Ulempetillæg afspadseres med 25%(Kræver en aftale imellem ledelsen og den ansatte)",C38="ikke relevant"),(R38+X38)/4,0)</f>
        <v>0</v>
      </c>
      <c r="EH38" s="671">
        <f>IF(AND(AND(Stamoplysninger!$B$22="Ulempetillæg afspadseres med 25%(Kræver en aftale imellem ledelsen og den ansatte)",I38="X",C38="Ikke relevant")),K38/4,0)</f>
        <v>0</v>
      </c>
      <c r="EI38" s="671">
        <f>IF(AND(AND(Stamoplysninger!$B$22="Ulempetillæg afspadseres med 25%(Kræver en aftale imellem ledelsen og den ansatte)",I38="X",C38="Ikke relevant")),V38/4,0)</f>
        <v>0</v>
      </c>
      <c r="EJ38" s="671">
        <f>IF(AND(AND(Stamoplysninger!$B$22="Ulempetillæg afspadseres med 25%(Kræver en aftale imellem ledelsen og den ansatte)",J38="X",D38="Ikke relevant")),W38/4,0)</f>
        <v>0</v>
      </c>
      <c r="EK38" s="283">
        <f>IF(AND(Stamoplysninger!$B$26="Weekendtimer og weekendtillæg afspadseres.",I38="X"),K38+V38,0)</f>
        <v>0</v>
      </c>
      <c r="EL38" s="251">
        <f>IF(AND(Stamoplysninger!$B$26="Weekendtimer og weekendtillæg afspadseres.",J38="X"),(L38+W38)/2,0)</f>
        <v>0</v>
      </c>
      <c r="EM38" s="674">
        <f>IF(AND(AND(Stamoplysninger!$B$26="Weekendtimer og weekendtillæg afspadseres.",I38="X",C38="ikke relevant")),K38+V38,0)</f>
        <v>0</v>
      </c>
      <c r="EN38" s="675">
        <f>IF(AND(AND(Stamoplysninger!$B$26="Weekendtimer og weekendtillæg afspadseres.",I38="X",C38="ikke relevant")),(K38+V38)/2,0)</f>
        <v>0</v>
      </c>
      <c r="EO38" s="283">
        <f>IF(AND(Stamoplysninger!$B$26="Weekendtimer og weekendtillæg udbetales.",I38="X"),K38+V38,0)</f>
        <v>0</v>
      </c>
      <c r="EP38" s="251">
        <f>IF(AND(Stamoplysninger!$B$26="Weekendtimer og weekendtillæg udbetales.",I38="X"),(K38+V38)/2,0)</f>
        <v>0</v>
      </c>
      <c r="EQ38" s="674">
        <f>IF(AND(AND(Stamoplysninger!$B$26="Weekendtimer og weekendtillæg udbetales.",I38="X",C38="ikke relevant")),K38+V38,0)</f>
        <v>0</v>
      </c>
      <c r="ER38" s="675">
        <f>IF(AND(AND(Stamoplysninger!$B$26="Weekendtimer og weekendtillæg udbetales.",I38="X",C38="ikke relevant")),(K38+V38)/2,0)</f>
        <v>0</v>
      </c>
      <c r="ES38" s="283">
        <f>IF(AND(Stamoplysninger!$B$26="Weekendtimer og weekendtillæg udbetales.",M38="X"),O38+Z38,0)</f>
        <v>0</v>
      </c>
      <c r="ET38" s="251">
        <f>IF(AND(Stamoplysninger!$B$26="Weekendtimer og weekendtillæg udbetales.",M38="X"),(O38+Z38)/2,0)</f>
        <v>0</v>
      </c>
      <c r="EU38" s="674">
        <f>IF(AND(AND(Stamoplysninger!$B$26="Weekendtimer og weekendtillæg udbetales.",M38="X",G38="ikke relevant")),O38+Z38,0)</f>
        <v>0</v>
      </c>
      <c r="EV38" s="675">
        <f>IF(AND(AND(Stamoplysninger!$B$26="Weekendtimer og weekendtillæg udbetales.",M38="X",G38="ikke relevant")),(O38+Z38)/2,0)</f>
        <v>0</v>
      </c>
      <c r="EW38" s="283">
        <f>IF(AND(Stamoplysninger!$B$26="Der er indgået lokalaftale omkring weekendtimer(Kræver aftale med TR/FSL). Weekendtillæg udbetales.",I38="X"),K38*0.5,0)</f>
        <v>0</v>
      </c>
      <c r="EX38" s="251">
        <f>IF(AND(AND(Stamoplysninger!$B$26="Der er indgået lokalaftale omkring weekendtimer(Kræver aftale med TR/FSL). Weekendtillæg udbetales.",I38="X",S38="X")),V38*0.5,0)</f>
        <v>0</v>
      </c>
      <c r="EY38" s="674">
        <f>IF(AND(AND(Stamoplysninger!$B$26="Der er indgået lokalaftale omkring weekendtimer(Kræver aftale med TR/FSL). Weekendtillæg udbetales.",I38="X",C38="ikke relevant")),K38*0.5,0)</f>
        <v>0</v>
      </c>
      <c r="EZ38" s="675">
        <f>IF(AND(AND(AND(Stamoplysninger!$B$26="Der er indgået lokalaftale omkring weekendtimer(Kræver aftale med TR/FSL). Weekendtillæg udbetales.",I38="X",C38="ikke relevant",S38="X"))),(V38*0.5),0)</f>
        <v>0</v>
      </c>
      <c r="FA38" s="283">
        <f>IF(AND(Stamoplysninger!$B$26="Der er indgået lokalaftale omkring weekendtimer(Kræver aftale med TR/FSL). Weekendtillæg udbetales.",M38="X"),O38*0.5,0)</f>
        <v>0</v>
      </c>
      <c r="FB38" s="251">
        <f>IF(AND(AND(Stamoplysninger!$B$26="Der er indgået lokalaftale omkring weekendtimer(Kræver aftale med TR/FSL). Weekendtillæg udbetales.",M38="X",W38="X")),Z38*0.5,0)</f>
        <v>0</v>
      </c>
      <c r="FC38" s="674">
        <f>IF(AND(AND(Stamoplysninger!$B$26="Der er indgået lokalaftale omkring weekendtimer(Kræver aftale med TR/FSL). Weekendtillæg udbetales.",M38="X",G38="ikke relevant")),O38*0.5,0)</f>
        <v>0</v>
      </c>
      <c r="FD38" s="675">
        <f>IF(AND(AND(AND(Stamoplysninger!$B$26="Der er indgået lokalaftale omkring weekendtimer(Kræver aftale med TR/FSL). Weekendtillæg udbetales.",M38="X",G38="ikke relevant",W38="X"))),(Z38*0.5),0)</f>
        <v>0</v>
      </c>
      <c r="FE38" s="283">
        <f>IF(AND(Stamoplysninger!$B$26="Der er indgået lokalaftale omkring weekendtimer(Kræver aftale med TR/FSL). Weekendtillæg udbetales.",Q38="X"),S38*0.5,0)</f>
        <v>0</v>
      </c>
      <c r="FF38" s="251">
        <f>IF(AND(AND(Stamoplysninger!$B$26="Der er indgået lokalaftale omkring weekendtimer(Kræver aftale med TR/FSL). Weekendtillæg udbetales.",Q38="X",AA38="X")),AD38*0.5,0)</f>
        <v>0</v>
      </c>
      <c r="FG38" s="674">
        <f>IF(AND(AND(Stamoplysninger!$B$26="Der er indgået lokalaftale omkring weekendtimer(Kræver aftale med TR/FSL). Weekendtillæg udbetales.",Q38="X",K38="ikke relevant")),S38*0.5,0)</f>
        <v>0</v>
      </c>
      <c r="FH38" s="675">
        <f>IF(AND(AND(AND(Stamoplysninger!$B$26="Der er indgået lokalaftale omkring weekendtimer(Kræver aftale med TR/FSL). Weekendtillæg udbetales.",Q38="X",K38="ikke relevant",AA38="X"))),(AD38*0.5),0)</f>
        <v>0</v>
      </c>
      <c r="FI38" s="283">
        <f>IF(AND(Stamoplysninger!$B$26="Weekendtimer og weekendtillæg afspadseres.",I38="X"),K38,0)</f>
        <v>0</v>
      </c>
      <c r="FJ38" s="251">
        <f>IF(AND(Stamoplysninger!$B$26="Weekendtimer og weekendtillæg afspadseres.",Y38="X"),(AA38+AL38)/2,0)</f>
        <v>0</v>
      </c>
      <c r="FK38" s="674">
        <f>IF(AND(AND(Stamoplysninger!$B$26="Weekendtimer og weekendtillæg afspadseres.",I38="X",C38="ikke relevant")),K38,0)</f>
        <v>0</v>
      </c>
      <c r="FL38" s="675">
        <f>IF(AND(AND(Stamoplysninger!$B$26="Weekendtimer og weekendtillæg afspadseres.",Y38="X",S38="ikke relevant")),(AA38+AL38)/2,0)</f>
        <v>0</v>
      </c>
      <c r="FM38" s="283">
        <f>IF(AND(Stamoplysninger!$B$26="Der er indgået lokalaftale omkring weekendtillæg(Kræver aftale med TR/FSL). Weekendtimerne afspadseres.",I38="X"),K38,0)</f>
        <v>0</v>
      </c>
      <c r="FN38" s="674">
        <f>IF(AND(AND(Stamoplysninger!$B$26="Der er indgået lokalaftale omkring weekendtillæg(Kræver aftale med TR/FSL). Weekendtimerne afspadseres.",I38="X",C38="ikke relevant")),K38,0)</f>
        <v>0</v>
      </c>
      <c r="FO38" s="283">
        <f>IF(AND(Stamoplysninger!$B$26="Weekendtimer og weekendtillæg udbetales.",I38="X"),K38,0)</f>
        <v>0</v>
      </c>
      <c r="FP38" s="251">
        <f>IF(AND(Stamoplysninger!$B$26="Weekendtimer og weekendtillæg udbetales.",AA38="X"),(AC38+AN38)/2,0)</f>
        <v>0</v>
      </c>
      <c r="FQ38" s="674">
        <f>IF(AND(AND(Stamoplysninger!$B$26="Weekendtimer og weekendtillæg udbetales.",I38="X",C38="ikke relevant")),K38,0)</f>
        <v>0</v>
      </c>
      <c r="FR38" s="688">
        <f>IF(AND(AND(Stamoplysninger!$B$26="Weekendtimer og weekendtillæg udbetales.",AA38="X",U38="ikke relevant")),(AC38+AN38)/2,0)</f>
        <v>0</v>
      </c>
      <c r="FS38" s="283">
        <f>IF(AND(I38="X",S38="X"),V38,0)</f>
        <v>0</v>
      </c>
      <c r="FT38" s="658">
        <f>IF(AND(AND(C38="ikke relevant",I38="X",S38="X")),V38,0)</f>
        <v>0</v>
      </c>
      <c r="FU38">
        <f t="shared" si="31"/>
        <v>0</v>
      </c>
      <c r="FV38" s="283">
        <f>IF(AND(Stamoplysninger!$B$26="Der er indgået lokalaftale omkring weekendtimer.(Kræver aftale med TR/FSL) Weekendtillæg afspadseres.",I38="X"),K38,0)</f>
        <v>0</v>
      </c>
      <c r="FW38" s="674">
        <f>IF(AND(AND(Stamoplysninger!$B$26="Der er indgået lokalaftale omkring weekendtimer.(Kræver aftale med TR/FSL) Weekendtillæg afspadseres.",I38="X",C38="ikke relevant")),K38,0)</f>
        <v>0</v>
      </c>
      <c r="FX38" s="283">
        <f>IF(AND(Stamoplysninger!$B$26="Der er indgået lokalaftale omkring weekendtimer(Kræver aftale med TR/FSL). Weekendtillæg udbetales.",I38="X"),K38,0)</f>
        <v>0</v>
      </c>
      <c r="FY38" s="674">
        <f>IF(AND(AND(Stamoplysninger!$B$26="Der er indgået lokalaftale omkring weekendtimer(Kræver aftale med TR/FSL). Weekendtillæg udbetales.",I38="X",C38="ikke relevant")),K38,0)</f>
        <v>0</v>
      </c>
      <c r="FZ38" s="283">
        <f>IF(AND(Stamoplysninger!$B$26="Der er indgået lokalaftale omkring weekendtillæg(Kræver aftale med TR/FSL). Weekendtimerne udbetales.",I38="X"),K38,0)</f>
        <v>0</v>
      </c>
      <c r="GA38" s="674">
        <f>IF(AND(AND(Stamoplysninger!$B$26="Der er indgået lokalaftale omkring weekendtillæg(Kræver aftale med TR/FSL). Weekendtimerne udbetales.",I38="X",C38="ikke relevant")),K38,0)</f>
        <v>0</v>
      </c>
      <c r="GB38" s="283">
        <f>IF(AND(Stamoplysninger!$B$26="Der er indgået lokalaftale omkring weekendtimer og weekendtillæg.(Kræver aftale med TR/FSL).",I38="X"),K38,0)</f>
        <v>0</v>
      </c>
      <c r="GC38" s="674">
        <f>IF(AND(AND(Stamoplysninger!$B$26="Der er indgået lokalaftale omkring weekendtimer og weekendtillæg.(Kræver aftale med TR/FSL).",I38="X",C38="ikke relevant")),K38,0)</f>
        <v>0</v>
      </c>
    </row>
    <row r="39" spans="1:185" ht="17" thickBot="1">
      <c r="A39" s="245">
        <f>IF(ISNUMBER(A38),A38+1,1)</f>
        <v>31</v>
      </c>
      <c r="B39" s="128" t="str">
        <f t="shared" si="0"/>
        <v>ma</v>
      </c>
      <c r="C39" s="129" t="s">
        <v>207</v>
      </c>
      <c r="D39" s="130">
        <f t="shared" si="1"/>
        <v>13.714285714285714</v>
      </c>
      <c r="E39" s="949"/>
      <c r="F39" s="950"/>
      <c r="G39" s="951"/>
      <c r="H39" s="297"/>
      <c r="I39" s="527"/>
      <c r="J39" s="413"/>
      <c r="K39" s="380"/>
      <c r="L39" s="380"/>
      <c r="M39" s="380"/>
      <c r="N39" s="318">
        <f t="shared" si="19"/>
        <v>7.75</v>
      </c>
      <c r="O39" s="318">
        <f t="shared" si="20"/>
        <v>3.4999999999999996</v>
      </c>
      <c r="P39" s="318">
        <f>IF(Stamoplysninger!$H$29="JA",Marts!DG39,CX39)</f>
        <v>1</v>
      </c>
      <c r="Q39" s="318">
        <f t="shared" si="21"/>
        <v>3.25</v>
      </c>
      <c r="R39" s="319"/>
      <c r="S39" s="324"/>
      <c r="T39" s="325"/>
      <c r="U39" s="214"/>
      <c r="V39" s="435"/>
      <c r="W39" s="412"/>
      <c r="X39" s="643"/>
      <c r="Y39">
        <f t="shared" si="22"/>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1",B39="ma"),Arbejdstidsoversigt!$E$72,"")</f>
        <v/>
      </c>
      <c r="AH39" t="str">
        <f>IF(AND(C39="Skema 1",B39="ti"),Arbejdstidsoversigt!$E$73,"")</f>
        <v/>
      </c>
      <c r="AI39" t="str">
        <f>IF(AND(C39="Skema 1",B39="on"),Arbejdstidsoversigt!$E$74,"")</f>
        <v/>
      </c>
      <c r="AJ39" t="str">
        <f>IF(AND(C39="Skema 1",B39="to"),Arbejdstidsoversigt!$E$75,"")</f>
        <v/>
      </c>
      <c r="AK39" t="str">
        <f>IF(AND(C39="Skema 1",B39="fr"),Arbejdstidsoversigt!$E$76,"")</f>
        <v/>
      </c>
      <c r="AL39">
        <f>IF(AND(C39="Skema 2",B39="ma"),Arbejdstidsoversigt!$E$81,"")</f>
        <v>7.75</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23"/>
        <v>7.75</v>
      </c>
      <c r="BB39" s="229">
        <f t="shared" si="8"/>
        <v>0</v>
      </c>
      <c r="BC39" s="1">
        <f t="shared" si="24"/>
        <v>0</v>
      </c>
      <c r="BD39" s="1">
        <f t="shared" si="9"/>
        <v>0</v>
      </c>
      <c r="BE39" s="1">
        <f t="shared" si="10"/>
        <v>0</v>
      </c>
      <c r="BF39" s="1">
        <f t="shared" si="11"/>
        <v>0</v>
      </c>
      <c r="BG39" s="210" t="str">
        <f>IF(AND(C39="Skema 1",B39="ma"),Skemaoplysninger!$E$30,"")</f>
        <v/>
      </c>
      <c r="BH39" s="210" t="str">
        <f>IF(AND(C39="Skema 1",B39="ti"),Skemaoplysninger!$G$30,"")</f>
        <v/>
      </c>
      <c r="BI39" s="210" t="str">
        <f>IF(AND(C39="Skema 1",B39="on"),Skemaoplysninger!$I$30,"")</f>
        <v/>
      </c>
      <c r="BJ39" s="210" t="str">
        <f>IF(AND(C39="Skema 1",B39="to"),Skemaoplysninger!$K$30,"")</f>
        <v/>
      </c>
      <c r="BK39" s="210" t="str">
        <f>IF(AND(C39="Skema 1",B39="fr"),Skemaoplysninger!$M$30,"")</f>
        <v/>
      </c>
      <c r="BL39" s="210">
        <f>IF(AND(C39="Skema 2",B39="ma"),Skemaoplysninger!$S$30,"")</f>
        <v>0.14583333333333331</v>
      </c>
      <c r="BM39" s="210" t="str">
        <f>IF(AND(C39="Skema 2",B39="ti"),Skemaoplysninger!$U$30,"")</f>
        <v/>
      </c>
      <c r="BN39" s="210" t="str">
        <f>IF(AND(C39="Skema 2",B39="on"),Skemaoplysninger!$W$30,"")</f>
        <v/>
      </c>
      <c r="BO39" s="210" t="str">
        <f>IF(AND(C39="Skema 2",B39="to"),Skemaoplysninger!$Y$30,"")</f>
        <v/>
      </c>
      <c r="BP39" s="210" t="str">
        <f>IF(AND(C39="Skema 2",B39="fr"),Skemaoplysninger!$AA$30,"")</f>
        <v/>
      </c>
      <c r="BQ39" s="210" t="str">
        <f>IF(AND(C39="Skema 3",B39="ma"),Skemaoplysninger!$AG$30,"")</f>
        <v/>
      </c>
      <c r="BR39" s="210" t="str">
        <f>IF(AND(C39="Skema 3",B39="ti"),Skemaoplysninger!$AI$30,"")</f>
        <v/>
      </c>
      <c r="BS39" s="210" t="str">
        <f>IF(AND(C39="Skema 3",B39="on"),Skemaoplysninger!$AK$30,"")</f>
        <v/>
      </c>
      <c r="BT39" s="210" t="str">
        <f>IF(AND(C39="Skema 3",B39="to"),Skemaoplysninger!$AM$30,"")</f>
        <v/>
      </c>
      <c r="BU39" s="210" t="str">
        <f>IF(AND(C39="Skema 3",B39="fr"),Skemaoplysninger!$AO$30,"")</f>
        <v/>
      </c>
      <c r="BV39" s="210" t="str">
        <f>IF(AND(C39="Skema 4",B39="ma"),Skemaoplysninger!$AU$30,"")</f>
        <v/>
      </c>
      <c r="BW39" s="210" t="str">
        <f>IF(AND(C39="Skema 4",B39="ti"),Skemaoplysninger!$AW$30,"")</f>
        <v/>
      </c>
      <c r="BX39" s="210" t="str">
        <f>IF(AND(C39="Skema 4",B39="on"),Skemaoplysninger!$AY$30,"")</f>
        <v/>
      </c>
      <c r="BY39" s="210" t="str">
        <f>IF(AND(C39="Skema 4",B39="to"),Skemaoplysninger!$BA$30,"")</f>
        <v/>
      </c>
      <c r="BZ39" s="210" t="str">
        <f>IF(AND(C39="Skema 4",B39="fr"),Skemaoplysninger!$BC$30,"")</f>
        <v/>
      </c>
      <c r="CA39" s="1">
        <f t="shared" si="25"/>
        <v>3.4999999999999996</v>
      </c>
      <c r="CB39" s="1">
        <f t="shared" si="12"/>
        <v>0</v>
      </c>
      <c r="CC39" s="1">
        <f t="shared" si="13"/>
        <v>0</v>
      </c>
      <c r="CD39" s="210" t="str">
        <f>IF(AND(C39="Skema 1",B39="ma"),Skemaoplysninger!$E$31,"")</f>
        <v/>
      </c>
      <c r="CE39" s="210" t="str">
        <f>IF(AND(C39="Skema 1",B39="ti"),Skemaoplysninger!$G$31,"")</f>
        <v/>
      </c>
      <c r="CF39" s="210" t="str">
        <f>IF(AND(C39="Skema 1",B39="on"),Skemaoplysninger!$I$31,"")</f>
        <v/>
      </c>
      <c r="CG39" s="210" t="str">
        <f>IF(AND(C39="Skema 1",B39="to"),Skemaoplysninger!$K$31,"")</f>
        <v/>
      </c>
      <c r="CH39" s="210" t="str">
        <f>IF(AND(C39="Skema 1",B39="fr"),Skemaoplysninger!$M$31,"")</f>
        <v/>
      </c>
      <c r="CI39" s="210">
        <f>IF(AND(C39="Skema 2",B39="ma"),Skemaoplysninger!$S$31,"")</f>
        <v>4.1666666666666671E-2</v>
      </c>
      <c r="CJ39" s="210" t="str">
        <f>IF(AND(C39="Skema 2",B39="ti"),Skemaoplysninger!$U$31,"")</f>
        <v/>
      </c>
      <c r="CK39" s="210" t="str">
        <f>IF(AND(C39="Skema 2",B39="on"),Skemaoplysninger!$W$31,"")</f>
        <v/>
      </c>
      <c r="CL39" s="210" t="str">
        <f>IF(AND(C39="Skema 2",B39="to"),Skemaoplysninger!$Y$32,"")</f>
        <v/>
      </c>
      <c r="CM39" s="210" t="str">
        <f>IF(AND(C39="Skema 2",B39="fr"),Skemaoplysninger!$AA$31,"")</f>
        <v/>
      </c>
      <c r="CN39" s="210" t="str">
        <f>IF(AND(C39="Skema 3",B39="ma"),Skemaoplysninger!$AG$31,"")</f>
        <v/>
      </c>
      <c r="CO39" s="210" t="str">
        <f>IF(AND(C39="Skema 3",B39="ti"),Skemaoplysninger!$AI$31,"")</f>
        <v/>
      </c>
      <c r="CP39" s="210" t="str">
        <f>IF(AND(C39="Skema 3",B39="on"),Skemaoplysninger!$AK$31,"")</f>
        <v/>
      </c>
      <c r="CQ39" s="210" t="str">
        <f>IF(AND(C39="Skema 3",B39="to"),Skemaoplysninger!$AM$31,"")</f>
        <v/>
      </c>
      <c r="CR39" s="210" t="str">
        <f>IF(AND(C39="Skema 3",B39="fr"),Skemaoplysninger!$AO$31,"")</f>
        <v/>
      </c>
      <c r="CS39" s="210" t="str">
        <f>IF(AND(C39="Skema 4",B39="ma"),Skemaoplysninger!$AU$31,"")</f>
        <v/>
      </c>
      <c r="CT39" s="210" t="str">
        <f>IF(AND(C39="Skema 4",B39="ti"),Skemaoplysninger!$AW$31,"")</f>
        <v/>
      </c>
      <c r="CU39" s="210" t="str">
        <f>IF(AND(C39="Skema 4",B39="on"),Skemaoplysninger!$AY$31,"")</f>
        <v/>
      </c>
      <c r="CV39" s="210" t="str">
        <f>IF(AND(C39="Skema 4",B39="to"),Skemaoplysninger!$BA$31,"")</f>
        <v/>
      </c>
      <c r="CW39" s="210" t="str">
        <f>IF(AND(C39="Skema 4",B39="fr"),Skemaoplysninger!$BC$31,"")</f>
        <v/>
      </c>
      <c r="CX39" s="249">
        <f>IF(Stamoplysninger!$H$29="NEJ",SUM(CD39:CW39)*24+CB39+CC39,0)</f>
        <v>1</v>
      </c>
      <c r="CY39" s="249">
        <f>IF(C39="Skema 1",Stamoplysninger!$H$30/200,0)</f>
        <v>0</v>
      </c>
      <c r="CZ39" s="249">
        <f>IF(C39="Skema 2",Stamoplysninger!$H$30/200,0)</f>
        <v>0</v>
      </c>
      <c r="DA39" s="249">
        <f>IF(C39="Skema 3",Stamoplysninger!$H$30/200,0)</f>
        <v>0</v>
      </c>
      <c r="DB39" s="249">
        <f>IF(C39="Skema 4",Stamoplysninger!$H$30/200,0)</f>
        <v>0</v>
      </c>
      <c r="DC39" s="249">
        <f>IF(C39="fagdag",Stamoplysninger!$H$30/200,0)</f>
        <v>0</v>
      </c>
      <c r="DD39" s="249">
        <f>IF(C39="emnedag",Stamoplysninger!$H$30/200,0)</f>
        <v>0</v>
      </c>
      <c r="DE39" s="249">
        <f>IF(C39="lejrskole",Stamoplysninger!$H$30/200,0)</f>
        <v>0</v>
      </c>
      <c r="DF39" s="249">
        <f>IF(C39="ekskursion",Stamoplysninger!$H$30/200,0)</f>
        <v>0</v>
      </c>
      <c r="DG39" s="249">
        <f t="shared" si="26"/>
        <v>0</v>
      </c>
      <c r="DH39" t="str">
        <f t="shared" si="27"/>
        <v/>
      </c>
      <c r="DI39">
        <f t="shared" si="28"/>
        <v>0</v>
      </c>
      <c r="DJ39">
        <f t="shared" si="29"/>
        <v>0</v>
      </c>
      <c r="DK39" t="str">
        <f>IF(DH39=0,"",DH39)</f>
        <v/>
      </c>
      <c r="DL39" t="str">
        <f>IF(DI39=0,"",DI39)</f>
        <v/>
      </c>
      <c r="DM39" t="str">
        <f>IF(DJ39=0,"",DJ39)</f>
        <v/>
      </c>
      <c r="DN39" t="str">
        <f t="shared" si="30"/>
        <v/>
      </c>
      <c r="DO39" s="652">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71">
        <f>IF(AND(Stamoplysninger!$B$22="Ulempetillæg udbetales med 25% af nettotimelønnen.",C39="ikke relevant"),(R39)/4,0)</f>
        <v>0</v>
      </c>
      <c r="DT39" s="671">
        <f>IF(AND(AND(Stamoplysninger!$B$22="Ulempetillæg udbetales med 25% af nettotimelønnen.",I39="X",C39="Ikke relevant")),K39/4,0)</f>
        <v>0</v>
      </c>
      <c r="DU39" s="671">
        <f>IF(AND(AND(Stamoplysninger!$B$22="Ulempetillæg udbetales med 25% af nettotimelønnen.",C39="ikke relevant",U39="X")),(X39/4),0)</f>
        <v>0</v>
      </c>
      <c r="DV39" s="672">
        <f>IF(AND(AND(AND(Stamoplysninger!$B$22="Ulempetillæg udbetales med 25% af nettotimelønnen.",I39="X",C39="Ikke relevant",U39="X"))),X39/4,0)</f>
        <v>0</v>
      </c>
      <c r="DW39" s="652"/>
      <c r="DZ39" s="671"/>
      <c r="EA39" s="671"/>
      <c r="EB39" s="672"/>
      <c r="EC39" s="652">
        <f>IF(Stamoplysninger!$B$22="Ulempetillæg afspadseres med 25%(Kræver en aftale imellem ledelsen og den ansatte)",(R39+X39)/4,0)</f>
        <v>0</v>
      </c>
      <c r="ED39">
        <f>IF(AND(Stamoplysninger!$B$22="Ulempetillæg afspadseres med 25%(Kræver en aftale imellem ledelsen og den ansatte)",I39="X"),K39/4,0)</f>
        <v>0</v>
      </c>
      <c r="EE39">
        <f>IF(AND(Stamoplysninger!$B$22="Ulempetillæg afspadseres med 25%(Kræver en aftale imellem ledelsen og den ansatte)",I39="X"),V39/4,0)</f>
        <v>0</v>
      </c>
      <c r="EF39">
        <f>IF(AND(AND(Stamoplysninger!$B$22="Ulempetillæg udbetales med 25% af nettotimelønnen.",AG39="X",W39="X")),AJ39/4,0)</f>
        <v>0</v>
      </c>
      <c r="EG39" s="671">
        <f>IF(AND(Stamoplysninger!$B$22="Ulempetillæg afspadseres med 25%(Kræver en aftale imellem ledelsen og den ansatte)",C39="ikke relevant"),(R39+X39)/4,0)</f>
        <v>0</v>
      </c>
      <c r="EH39" s="671">
        <f>IF(AND(AND(Stamoplysninger!$B$22="Ulempetillæg afspadseres med 25%(Kræver en aftale imellem ledelsen og den ansatte)",I39="X",C39="Ikke relevant")),K39/4,0)</f>
        <v>0</v>
      </c>
      <c r="EI39" s="671">
        <f>IF(AND(AND(Stamoplysninger!$B$22="Ulempetillæg afspadseres med 25%(Kræver en aftale imellem ledelsen og den ansatte)",I39="X",C39="Ikke relevant")),V39/4,0)</f>
        <v>0</v>
      </c>
      <c r="EJ39" s="671">
        <f>IF(AND(AND(Stamoplysninger!$B$22="Ulempetillæg afspadseres med 25%(Kræver en aftale imellem ledelsen og den ansatte)",J39="X",D39="Ikke relevant")),W39/4,0)</f>
        <v>0</v>
      </c>
      <c r="EK39" s="283">
        <f>IF(AND(Stamoplysninger!$B$26="Weekendtimer og weekendtillæg afspadseres.",I39="X"),K39+V39,0)</f>
        <v>0</v>
      </c>
      <c r="EL39" s="251">
        <f>IF(AND(Stamoplysninger!$B$26="Weekendtimer og weekendtillæg afspadseres.",J39="X"),(L39+W39)/2,0)</f>
        <v>0</v>
      </c>
      <c r="EM39" s="674">
        <f>IF(AND(AND(Stamoplysninger!$B$26="Weekendtimer og weekendtillæg afspadseres.",I39="X",C39="ikke relevant")),K39+V39,0)</f>
        <v>0</v>
      </c>
      <c r="EN39" s="675">
        <f>IF(AND(AND(Stamoplysninger!$B$26="Weekendtimer og weekendtillæg afspadseres.",I39="X",C39="ikke relevant")),(K39+V39)/2,0)</f>
        <v>0</v>
      </c>
      <c r="EO39" s="283">
        <f>IF(AND(Stamoplysninger!$B$26="Weekendtimer og weekendtillæg udbetales.",I39="X"),K39+V39,0)</f>
        <v>0</v>
      </c>
      <c r="EP39" s="251">
        <f>IF(AND(Stamoplysninger!$B$26="Weekendtimer og weekendtillæg udbetales.",I39="X"),(K39+V39)/2,0)</f>
        <v>0</v>
      </c>
      <c r="EQ39" s="674">
        <f>IF(AND(AND(Stamoplysninger!$B$26="Weekendtimer og weekendtillæg udbetales.",I39="X",C39="ikke relevant")),K39+V39,0)</f>
        <v>0</v>
      </c>
      <c r="ER39" s="675">
        <f>IF(AND(AND(Stamoplysninger!$B$26="Weekendtimer og weekendtillæg udbetales.",I39="X",C39="ikke relevant")),(K39+V39)/2,0)</f>
        <v>0</v>
      </c>
      <c r="ES39" s="283">
        <f>IF(AND(Stamoplysninger!$B$26="Weekendtimer og weekendtillæg udbetales.",M39="X"),O39+Z39,0)</f>
        <v>0</v>
      </c>
      <c r="ET39" s="251">
        <f>IF(AND(Stamoplysninger!$B$26="Weekendtimer og weekendtillæg udbetales.",M39="X"),(O39+Z39)/2,0)</f>
        <v>0</v>
      </c>
      <c r="EU39" s="674">
        <f>IF(AND(AND(Stamoplysninger!$B$26="Weekendtimer og weekendtillæg udbetales.",M39="X",G39="ikke relevant")),O39+Z39,0)</f>
        <v>0</v>
      </c>
      <c r="EV39" s="675">
        <f>IF(AND(AND(Stamoplysninger!$B$26="Weekendtimer og weekendtillæg udbetales.",M39="X",G39="ikke relevant")),(O39+Z39)/2,0)</f>
        <v>0</v>
      </c>
      <c r="EW39" s="283">
        <f>IF(AND(Stamoplysninger!$B$26="Der er indgået lokalaftale omkring weekendtimer(Kræver aftale med TR/FSL). Weekendtillæg udbetales.",I39="X"),K39*0.5,0)</f>
        <v>0</v>
      </c>
      <c r="EX39" s="251">
        <f>IF(AND(AND(Stamoplysninger!$B$26="Der er indgået lokalaftale omkring weekendtimer(Kræver aftale med TR/FSL). Weekendtillæg udbetales.",I39="X",S39="X")),V39*0.5,0)</f>
        <v>0</v>
      </c>
      <c r="EY39" s="674">
        <f>IF(AND(AND(Stamoplysninger!$B$26="Der er indgået lokalaftale omkring weekendtimer(Kræver aftale med TR/FSL). Weekendtillæg udbetales.",I39="X",C39="ikke relevant")),K39*0.5,0)</f>
        <v>0</v>
      </c>
      <c r="EZ39" s="675">
        <f>IF(AND(AND(AND(Stamoplysninger!$B$26="Der er indgået lokalaftale omkring weekendtimer(Kræver aftale med TR/FSL). Weekendtillæg udbetales.",I39="X",C39="ikke relevant",S39="X"))),(V39*0.5),0)</f>
        <v>0</v>
      </c>
      <c r="FA39" s="283">
        <f>IF(AND(Stamoplysninger!$B$26="Der er indgået lokalaftale omkring weekendtimer(Kræver aftale med TR/FSL). Weekendtillæg udbetales.",M39="X"),O39*0.5,0)</f>
        <v>0</v>
      </c>
      <c r="FB39" s="251">
        <f>IF(AND(AND(Stamoplysninger!$B$26="Der er indgået lokalaftale omkring weekendtimer(Kræver aftale med TR/FSL). Weekendtillæg udbetales.",M39="X",W39="X")),Z39*0.5,0)</f>
        <v>0</v>
      </c>
      <c r="FC39" s="674">
        <f>IF(AND(AND(Stamoplysninger!$B$26="Der er indgået lokalaftale omkring weekendtimer(Kræver aftale med TR/FSL). Weekendtillæg udbetales.",M39="X",G39="ikke relevant")),O39*0.5,0)</f>
        <v>0</v>
      </c>
      <c r="FD39" s="675">
        <f>IF(AND(AND(AND(Stamoplysninger!$B$26="Der er indgået lokalaftale omkring weekendtimer(Kræver aftale med TR/FSL). Weekendtillæg udbetales.",M39="X",G39="ikke relevant",W39="X"))),(Z39*0.5),0)</f>
        <v>0</v>
      </c>
      <c r="FE39" s="283">
        <f>IF(AND(Stamoplysninger!$B$26="Der er indgået lokalaftale omkring weekendtimer(Kræver aftale med TR/FSL). Weekendtillæg udbetales.",Q39="X"),S39*0.5,0)</f>
        <v>0</v>
      </c>
      <c r="FF39" s="251">
        <f>IF(AND(AND(Stamoplysninger!$B$26="Der er indgået lokalaftale omkring weekendtimer(Kræver aftale med TR/FSL). Weekendtillæg udbetales.",Q39="X",AA39="X")),AD39*0.5,0)</f>
        <v>0</v>
      </c>
      <c r="FG39" s="674">
        <f>IF(AND(AND(Stamoplysninger!$B$26="Der er indgået lokalaftale omkring weekendtimer(Kræver aftale med TR/FSL). Weekendtillæg udbetales.",Q39="X",K39="ikke relevant")),S39*0.5,0)</f>
        <v>0</v>
      </c>
      <c r="FH39" s="675">
        <f>IF(AND(AND(AND(Stamoplysninger!$B$26="Der er indgået lokalaftale omkring weekendtimer(Kræver aftale med TR/FSL). Weekendtillæg udbetales.",Q39="X",K39="ikke relevant",AA39="X"))),(AD39*0.5),0)</f>
        <v>0</v>
      </c>
      <c r="FI39" s="283">
        <f>IF(AND(Stamoplysninger!$B$26="Weekendtimer og weekendtillæg afspadseres.",I39="X"),K39,0)</f>
        <v>0</v>
      </c>
      <c r="FJ39" s="251">
        <f>IF(AND(Stamoplysninger!$B$26="Weekendtimer og weekendtillæg afspadseres.",Y39="X"),(AA39+AL39)/2,0)</f>
        <v>0</v>
      </c>
      <c r="FK39" s="674">
        <f>IF(AND(AND(Stamoplysninger!$B$26="Weekendtimer og weekendtillæg afspadseres.",I39="X",C39="ikke relevant")),K39,0)</f>
        <v>0</v>
      </c>
      <c r="FL39" s="675">
        <f>IF(AND(AND(Stamoplysninger!$B$26="Weekendtimer og weekendtillæg afspadseres.",Y39="X",S39="ikke relevant")),(AA39+AL39)/2,0)</f>
        <v>0</v>
      </c>
      <c r="FM39" s="283">
        <f>IF(AND(Stamoplysninger!$B$26="Der er indgået lokalaftale omkring weekendtillæg(Kræver aftale med TR/FSL). Weekendtimerne afspadseres.",I39="X"),K39,0)</f>
        <v>0</v>
      </c>
      <c r="FN39" s="674">
        <f>IF(AND(AND(Stamoplysninger!$B$26="Der er indgået lokalaftale omkring weekendtillæg(Kræver aftale med TR/FSL). Weekendtimerne afspadseres.",I39="X",C39="ikke relevant")),K39,0)</f>
        <v>0</v>
      </c>
      <c r="FO39" s="283">
        <f>IF(AND(Stamoplysninger!$B$26="Weekendtimer og weekendtillæg udbetales.",I39="X"),K39,0)</f>
        <v>0</v>
      </c>
      <c r="FP39" s="251">
        <f>IF(AND(Stamoplysninger!$B$26="Weekendtimer og weekendtillæg udbetales.",AA39="X"),(AC39+AN39)/2,0)</f>
        <v>0</v>
      </c>
      <c r="FQ39" s="674">
        <f>IF(AND(AND(Stamoplysninger!$B$26="Weekendtimer og weekendtillæg udbetales.",I39="X",C39="ikke relevant")),K39,0)</f>
        <v>0</v>
      </c>
      <c r="FR39" s="688">
        <f>IF(AND(AND(Stamoplysninger!$B$26="Weekendtimer og weekendtillæg udbetales.",AA39="X",U39="ikke relevant")),(AC39+AN39)/2,0)</f>
        <v>0</v>
      </c>
      <c r="FS39" s="283">
        <f>IF(AND(I39="X",S39="X"),V39,0)</f>
        <v>0</v>
      </c>
      <c r="FT39" s="658">
        <f>IF(AND(AND(C39="ikke relevant",I39="X",S39="X")),V39,0)</f>
        <v>0</v>
      </c>
      <c r="FU39">
        <f t="shared" si="31"/>
        <v>0</v>
      </c>
      <c r="FV39" s="283">
        <f>IF(AND(Stamoplysninger!$B$26="Der er indgået lokalaftale omkring weekendtimer.(Kræver aftale med TR/FSL) Weekendtillæg afspadseres.",I39="X"),K39,0)</f>
        <v>0</v>
      </c>
      <c r="FW39" s="674">
        <f>IF(AND(AND(Stamoplysninger!$B$26="Der er indgået lokalaftale omkring weekendtimer.(Kræver aftale med TR/FSL) Weekendtillæg afspadseres.",I39="X",C39="ikke relevant")),K39,0)</f>
        <v>0</v>
      </c>
      <c r="FX39" s="283">
        <f>IF(AND(Stamoplysninger!$B$26="Der er indgået lokalaftale omkring weekendtimer(Kræver aftale med TR/FSL). Weekendtillæg udbetales.",I39="X"),K39,0)</f>
        <v>0</v>
      </c>
      <c r="FY39" s="674">
        <f>IF(AND(AND(Stamoplysninger!$B$26="Der er indgået lokalaftale omkring weekendtimer(Kræver aftale med TR/FSL). Weekendtillæg udbetales.",I39="X",C39="ikke relevant")),K39,0)</f>
        <v>0</v>
      </c>
      <c r="FZ39" s="283">
        <f>IF(AND(Stamoplysninger!$B$26="Der er indgået lokalaftale omkring weekendtillæg(Kræver aftale med TR/FSL). Weekendtimerne udbetales.",I39="X"),K39,0)</f>
        <v>0</v>
      </c>
      <c r="GA39" s="674">
        <f>IF(AND(AND(Stamoplysninger!$B$26="Der er indgået lokalaftale omkring weekendtillæg(Kræver aftale med TR/FSL). Weekendtimerne udbetales.",I39="X",C39="ikke relevant")),K39,0)</f>
        <v>0</v>
      </c>
      <c r="GB39" s="283">
        <f>IF(AND(Stamoplysninger!$B$26="Der er indgået lokalaftale omkring weekendtimer og weekendtillæg.(Kræver aftale med TR/FSL).",I39="X"),K39,0)</f>
        <v>0</v>
      </c>
      <c r="GC39" s="674">
        <f>IF(AND(AND(Stamoplysninger!$B$26="Der er indgået lokalaftale omkring weekendtimer og weekendtillæg.(Kræver aftale med TR/FSL).",I39="X",C39="ikke relevant")),K39,0)</f>
        <v>0</v>
      </c>
    </row>
    <row r="40" spans="1:185" ht="17" thickBot="1">
      <c r="A40" s="972" t="s">
        <v>260</v>
      </c>
      <c r="B40" s="973"/>
      <c r="C40" s="973"/>
      <c r="D40" s="973"/>
      <c r="E40" s="973"/>
      <c r="F40" s="973"/>
      <c r="G40" s="973"/>
      <c r="H40" s="973"/>
      <c r="I40" s="974"/>
      <c r="J40" s="313"/>
      <c r="K40" s="321"/>
      <c r="L40" s="321"/>
      <c r="M40" s="321"/>
      <c r="N40" s="322">
        <f>SUM(N9:N39)</f>
        <v>163.25</v>
      </c>
      <c r="O40" s="322">
        <f>SUM(O9:O39)</f>
        <v>71.25</v>
      </c>
      <c r="P40" s="322">
        <f>SUM(P9:P39)</f>
        <v>22</v>
      </c>
      <c r="Q40" s="322">
        <f>SUM(Q9:Q39)</f>
        <v>70</v>
      </c>
      <c r="R40" s="32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32"/>
      <c r="T40" s="433"/>
      <c r="U40" s="433"/>
      <c r="V40" s="43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3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3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1">
        <f>SUM(Y9:Y39)</f>
        <v>0</v>
      </c>
      <c r="Z40" s="398">
        <f>Z9+Z10+Z11+Z12+Z13+Z14+Z15+Z16+Z17+Z18+Z19+Z20+Z21+Z22+Z23+Z24+Z25+Z26+Z27+Z28+Z29+Z30+Z31+Z32+Z33+Z34+Z35+Z36+Z37+Z38+Z39</f>
        <v>0</v>
      </c>
      <c r="AA40" s="235">
        <f t="shared" ref="AA40:AF40" si="32">SUM(AA9:AA39)</f>
        <v>14</v>
      </c>
      <c r="AB40" s="235">
        <f t="shared" si="32"/>
        <v>0</v>
      </c>
      <c r="AC40" s="235">
        <f t="shared" si="32"/>
        <v>9</v>
      </c>
      <c r="AD40" s="235">
        <f t="shared" si="32"/>
        <v>0</v>
      </c>
      <c r="AE40" s="235">
        <f t="shared" si="32"/>
        <v>0</v>
      </c>
      <c r="AF40" s="235">
        <f t="shared" si="32"/>
        <v>0</v>
      </c>
      <c r="BA40" s="1">
        <f>SUM(BA9:BA39)</f>
        <v>163.25</v>
      </c>
      <c r="BB40" s="112"/>
      <c r="BC40" s="235">
        <f>SUM(BC9:BC39)</f>
        <v>0</v>
      </c>
      <c r="BD40" s="235">
        <f>SUM(BD9:BD39)</f>
        <v>0</v>
      </c>
      <c r="BE40" s="235">
        <f>SUM(BE9:BE39)</f>
        <v>0</v>
      </c>
      <c r="BF40" s="235">
        <f>SUM(BF9:BF39)</f>
        <v>8</v>
      </c>
      <c r="CA40" s="235">
        <f>SUM(CA9:CA39)</f>
        <v>71.25</v>
      </c>
      <c r="CB40" s="235">
        <f>SUM(CB9:CB39)</f>
        <v>0</v>
      </c>
      <c r="CC40" s="235">
        <f>SUM(CC9:CC39)</f>
        <v>3</v>
      </c>
      <c r="CX40" s="249"/>
      <c r="CY40" s="249">
        <f t="shared" ref="CY40:DG40" si="33">SUM(CY9:CY39)</f>
        <v>0</v>
      </c>
      <c r="CZ40" s="249">
        <f t="shared" si="33"/>
        <v>0</v>
      </c>
      <c r="DA40" s="249">
        <f t="shared" si="33"/>
        <v>0</v>
      </c>
      <c r="DB40" s="249">
        <f t="shared" si="33"/>
        <v>0</v>
      </c>
      <c r="DC40" s="249">
        <f t="shared" si="33"/>
        <v>0</v>
      </c>
      <c r="DD40" s="249">
        <f t="shared" si="33"/>
        <v>0</v>
      </c>
      <c r="DE40" s="249">
        <f t="shared" si="33"/>
        <v>0</v>
      </c>
      <c r="DF40" s="249">
        <f t="shared" si="33"/>
        <v>0</v>
      </c>
      <c r="DG40" s="249">
        <f t="shared" si="33"/>
        <v>0</v>
      </c>
      <c r="DO40" s="669">
        <f>SUM(DO9:DO39)</f>
        <v>0</v>
      </c>
      <c r="DP40" s="670">
        <f t="shared" ref="DP40:GC40" si="34">SUM(DP9:DP39)</f>
        <v>0</v>
      </c>
      <c r="DQ40" s="670">
        <f t="shared" si="34"/>
        <v>0</v>
      </c>
      <c r="DR40" s="670">
        <f t="shared" si="34"/>
        <v>0</v>
      </c>
      <c r="DS40" s="673">
        <f t="shared" si="34"/>
        <v>0</v>
      </c>
      <c r="DT40" s="673">
        <f t="shared" si="34"/>
        <v>0</v>
      </c>
      <c r="DU40" s="670">
        <f t="shared" si="34"/>
        <v>0</v>
      </c>
      <c r="DV40" s="673">
        <f t="shared" si="34"/>
        <v>0</v>
      </c>
      <c r="DW40" s="669">
        <f t="shared" ref="DW40:EB40" si="35">SUM(DW9:DW39)</f>
        <v>0</v>
      </c>
      <c r="DX40" s="670">
        <f t="shared" si="35"/>
        <v>0</v>
      </c>
      <c r="DY40" s="670">
        <f t="shared" si="35"/>
        <v>0</v>
      </c>
      <c r="DZ40" s="673">
        <f t="shared" si="35"/>
        <v>0</v>
      </c>
      <c r="EA40" s="673">
        <f t="shared" si="35"/>
        <v>0</v>
      </c>
      <c r="EB40" s="673">
        <f t="shared" si="35"/>
        <v>0</v>
      </c>
      <c r="EC40" s="670">
        <f t="shared" si="34"/>
        <v>0</v>
      </c>
      <c r="ED40" s="670">
        <f t="shared" si="34"/>
        <v>0</v>
      </c>
      <c r="EE40" s="670">
        <f t="shared" si="34"/>
        <v>0</v>
      </c>
      <c r="EF40" s="670">
        <f t="shared" si="34"/>
        <v>0</v>
      </c>
      <c r="EG40" s="673">
        <f t="shared" si="34"/>
        <v>0</v>
      </c>
      <c r="EH40" s="673">
        <f t="shared" si="34"/>
        <v>0</v>
      </c>
      <c r="EI40" s="673">
        <f t="shared" si="34"/>
        <v>0</v>
      </c>
      <c r="EJ40" s="673">
        <f t="shared" si="34"/>
        <v>0</v>
      </c>
      <c r="EK40" s="670">
        <f t="shared" si="34"/>
        <v>0</v>
      </c>
      <c r="EL40" s="670">
        <f t="shared" si="34"/>
        <v>0</v>
      </c>
      <c r="EM40" s="673">
        <f t="shared" si="34"/>
        <v>0</v>
      </c>
      <c r="EN40" s="673">
        <f t="shared" si="34"/>
        <v>0</v>
      </c>
      <c r="EO40" s="670">
        <f t="shared" si="34"/>
        <v>0</v>
      </c>
      <c r="EP40" s="670">
        <f t="shared" si="34"/>
        <v>0</v>
      </c>
      <c r="EQ40" s="673">
        <f t="shared" si="34"/>
        <v>0</v>
      </c>
      <c r="ER40" s="676">
        <f t="shared" si="34"/>
        <v>0</v>
      </c>
      <c r="ES40" s="670">
        <f t="shared" si="34"/>
        <v>0</v>
      </c>
      <c r="ET40" s="670">
        <f t="shared" si="34"/>
        <v>0</v>
      </c>
      <c r="EU40" s="673">
        <f t="shared" si="34"/>
        <v>0</v>
      </c>
      <c r="EV40" s="676">
        <f t="shared" si="34"/>
        <v>0</v>
      </c>
      <c r="EW40" s="670">
        <f t="shared" si="34"/>
        <v>0</v>
      </c>
      <c r="EX40" s="670">
        <f t="shared" si="34"/>
        <v>0</v>
      </c>
      <c r="EY40" s="673">
        <f t="shared" si="34"/>
        <v>0</v>
      </c>
      <c r="EZ40" s="676">
        <f t="shared" si="34"/>
        <v>0</v>
      </c>
      <c r="FA40" s="670">
        <f t="shared" si="34"/>
        <v>0</v>
      </c>
      <c r="FB40" s="670">
        <f t="shared" si="34"/>
        <v>0</v>
      </c>
      <c r="FC40" s="673">
        <f t="shared" si="34"/>
        <v>0</v>
      </c>
      <c r="FD40" s="676">
        <f t="shared" si="34"/>
        <v>0</v>
      </c>
      <c r="FE40" s="670">
        <f t="shared" si="34"/>
        <v>0</v>
      </c>
      <c r="FF40" s="670">
        <f t="shared" si="34"/>
        <v>0</v>
      </c>
      <c r="FG40" s="673">
        <f t="shared" si="34"/>
        <v>0</v>
      </c>
      <c r="FH40" s="676">
        <f t="shared" si="34"/>
        <v>0</v>
      </c>
      <c r="FI40" s="685">
        <f t="shared" si="34"/>
        <v>0</v>
      </c>
      <c r="FJ40" s="670">
        <f t="shared" si="34"/>
        <v>0</v>
      </c>
      <c r="FK40" s="685">
        <f t="shared" si="34"/>
        <v>0</v>
      </c>
      <c r="FL40" s="673">
        <f t="shared" si="34"/>
        <v>0</v>
      </c>
      <c r="FM40" s="685">
        <f t="shared" si="34"/>
        <v>0</v>
      </c>
      <c r="FN40" s="685">
        <f t="shared" si="34"/>
        <v>0</v>
      </c>
      <c r="FO40" s="685">
        <f t="shared" si="34"/>
        <v>0</v>
      </c>
      <c r="FP40" s="670">
        <f t="shared" si="34"/>
        <v>0</v>
      </c>
      <c r="FQ40" s="685">
        <f t="shared" si="34"/>
        <v>0</v>
      </c>
      <c r="FR40" s="676">
        <f t="shared" si="34"/>
        <v>0</v>
      </c>
      <c r="FS40" s="689">
        <f t="shared" si="34"/>
        <v>0</v>
      </c>
      <c r="FT40" s="690">
        <f t="shared" si="34"/>
        <v>0</v>
      </c>
      <c r="FU40" s="690">
        <f t="shared" si="34"/>
        <v>0</v>
      </c>
      <c r="FV40" s="689">
        <f>SUM(FV9:FV39)</f>
        <v>0</v>
      </c>
      <c r="FW40" s="690">
        <f t="shared" si="34"/>
        <v>0</v>
      </c>
      <c r="FX40" s="689">
        <f t="shared" si="34"/>
        <v>0</v>
      </c>
      <c r="FY40" s="690">
        <f t="shared" si="34"/>
        <v>0</v>
      </c>
      <c r="FZ40" s="685">
        <f t="shared" si="34"/>
        <v>0</v>
      </c>
      <c r="GA40" s="685">
        <f t="shared" si="34"/>
        <v>0</v>
      </c>
      <c r="GB40" s="685">
        <f t="shared" si="34"/>
        <v>0</v>
      </c>
      <c r="GC40" s="685">
        <f t="shared" si="34"/>
        <v>0</v>
      </c>
    </row>
    <row r="41" spans="1:185" ht="26" thickBot="1">
      <c r="A41" s="232"/>
      <c r="B41" s="232"/>
      <c r="C41" s="232"/>
      <c r="D41" s="232"/>
      <c r="E41" s="232"/>
      <c r="F41" s="232"/>
      <c r="G41" s="232"/>
      <c r="H41" s="232"/>
      <c r="I41" s="232"/>
      <c r="J41" s="232"/>
      <c r="K41" s="239"/>
      <c r="L41" s="239"/>
      <c r="M41" s="239"/>
      <c r="N41" s="239"/>
      <c r="O41" s="239"/>
      <c r="P41" s="239"/>
      <c r="Q41" s="239"/>
      <c r="R41" s="239"/>
      <c r="S41" s="446"/>
      <c r="T41" s="446"/>
      <c r="U41" s="446"/>
      <c r="V41" s="446"/>
      <c r="W41" s="446"/>
      <c r="X41" s="446"/>
      <c r="Y41" s="235"/>
      <c r="Z41" s="211"/>
      <c r="AA41" s="235"/>
      <c r="AB41" s="211"/>
      <c r="AC41" s="211"/>
      <c r="AD41" s="235"/>
      <c r="AE41" s="235"/>
      <c r="AG41" s="235"/>
      <c r="BC41" s="235"/>
      <c r="BD41" s="235"/>
      <c r="BE41" s="235"/>
      <c r="BF41" s="235"/>
      <c r="BG41" s="112"/>
      <c r="CB41" s="235"/>
      <c r="CC41" s="235"/>
      <c r="CD41" s="112"/>
      <c r="CX41" s="248"/>
      <c r="CZ41"/>
    </row>
    <row r="42" spans="1:185" ht="70" customHeight="1">
      <c r="A42" s="958" t="str">
        <f>"Arbejdstid for "&amp;A7&amp;" måned:"</f>
        <v>Arbejdstid for Marts måned:</v>
      </c>
      <c r="B42" s="959"/>
      <c r="C42" s="959"/>
      <c r="D42" s="959"/>
      <c r="E42" s="959"/>
      <c r="F42" s="959"/>
      <c r="G42" s="959"/>
      <c r="H42" s="330" t="s">
        <v>255</v>
      </c>
      <c r="I42" s="959" t="s">
        <v>221</v>
      </c>
      <c r="J42" s="960"/>
      <c r="K42" s="961"/>
      <c r="L42" s="262"/>
      <c r="M42" s="1011" t="str">
        <f>"Ulempetimer og weekendtimer i "&amp;A5&amp;""</f>
        <v>Ulempetimer og weekendtimer i Marts måneds kalender for: Beate Simonsen. Måneden vedr. normperioden: 01.08.2024 - 31.07.2025.</v>
      </c>
      <c r="N42" s="989"/>
      <c r="O42" s="989"/>
      <c r="P42" s="989"/>
      <c r="Q42" s="989"/>
      <c r="R42" s="989"/>
      <c r="S42" s="989"/>
      <c r="T42" s="989"/>
      <c r="U42" s="989"/>
      <c r="V42" s="989"/>
      <c r="W42" s="989"/>
      <c r="X42" s="990"/>
      <c r="Y42" s="239"/>
      <c r="Z42" s="239"/>
      <c r="AD42" s="90"/>
      <c r="AE42" s="90"/>
      <c r="BM42" s="1"/>
      <c r="CJ42" s="1"/>
      <c r="CU42" s="248"/>
      <c r="CV42" s="248"/>
      <c r="CY42"/>
      <c r="CZ42"/>
    </row>
    <row r="43" spans="1:185">
      <c r="A43" s="962" t="s">
        <v>534</v>
      </c>
      <c r="B43" s="963"/>
      <c r="C43" s="963"/>
      <c r="D43" s="963"/>
      <c r="E43" s="963"/>
      <c r="F43" s="963"/>
      <c r="G43" s="963"/>
      <c r="H43" s="256">
        <f>D78</f>
        <v>21</v>
      </c>
      <c r="I43" s="975">
        <f>IF(Stamoplysninger!$E$12="Ja",1924/Arbejdstidsoversigt!$K$9*Stamoplysninger!$E$15*H43,H43*7.4*Stamoplysninger!$E$15)</f>
        <v>154.80459770114942</v>
      </c>
      <c r="J43" s="976"/>
      <c r="K43" s="977"/>
      <c r="L43" s="258"/>
      <c r="M43" s="1012" t="s">
        <v>312</v>
      </c>
      <c r="N43" s="1013"/>
      <c r="O43" s="1013"/>
      <c r="P43" s="1013"/>
      <c r="Q43" s="1013"/>
      <c r="R43" s="1013"/>
      <c r="S43" s="1013"/>
      <c r="T43" s="1013"/>
      <c r="U43" s="1014"/>
      <c r="V43" s="1093">
        <f>P65+P69+P72+P74</f>
        <v>0</v>
      </c>
      <c r="W43" s="1093"/>
      <c r="X43" s="1094"/>
      <c r="Y43" s="239"/>
      <c r="Z43" s="239"/>
      <c r="AD43" s="90"/>
      <c r="AE43" s="90"/>
      <c r="BM43" s="1"/>
      <c r="CJ43" s="1"/>
      <c r="CU43" s="248"/>
      <c r="CV43" s="248"/>
      <c r="CY43"/>
      <c r="CZ43"/>
    </row>
    <row r="44" spans="1:185">
      <c r="A44" s="962" t="str">
        <f>"Ferie "&amp;A7&amp;" måned"</f>
        <v>Ferie Marts måned</v>
      </c>
      <c r="B44" s="963"/>
      <c r="C44" s="963"/>
      <c r="D44" s="963"/>
      <c r="E44" s="963"/>
      <c r="F44" s="963"/>
      <c r="G44" s="963"/>
      <c r="H44" s="257" t="str">
        <f>IF(D73&gt;0,$D$73,"0")</f>
        <v>0</v>
      </c>
      <c r="I44" s="964">
        <f>H44*7.4*Stamoplysninger!$E$15</f>
        <v>0</v>
      </c>
      <c r="J44" s="965"/>
      <c r="K44" s="966"/>
      <c r="L44" s="258"/>
      <c r="M44" s="1018" t="s">
        <v>259</v>
      </c>
      <c r="N44" s="1019"/>
      <c r="O44" s="1019"/>
      <c r="P44" s="1019"/>
      <c r="Q44" s="1019"/>
      <c r="R44" s="1019"/>
      <c r="S44" s="1019"/>
      <c r="T44" s="1019"/>
      <c r="U44" s="1020"/>
      <c r="V44" s="1095">
        <f>Q66+Q68+Q71+Q73</f>
        <v>0</v>
      </c>
      <c r="W44" s="1095"/>
      <c r="X44" s="1096"/>
      <c r="Y44" s="239"/>
      <c r="Z44" s="239"/>
      <c r="AD44" s="90"/>
      <c r="AE44" s="90"/>
      <c r="BM44" s="1"/>
      <c r="CJ44" s="1"/>
      <c r="CU44" s="248"/>
      <c r="CV44" s="248"/>
      <c r="CY44"/>
      <c r="CZ44"/>
    </row>
    <row r="45" spans="1:185">
      <c r="A45" s="962" t="str">
        <f>"Søgnehelligdage i "&amp;A7&amp;" måned"</f>
        <v>Søgnehelligdage i Marts måned</v>
      </c>
      <c r="B45" s="963"/>
      <c r="C45" s="963"/>
      <c r="D45" s="963"/>
      <c r="E45" s="963"/>
      <c r="F45" s="963"/>
      <c r="G45" s="963"/>
      <c r="H45" s="257">
        <f>IF(D72&gt;0,D72,0)</f>
        <v>0</v>
      </c>
      <c r="I45" s="964">
        <f>H45*7.4*Stamoplysninger!$E$15</f>
        <v>0</v>
      </c>
      <c r="J45" s="965"/>
      <c r="K45" s="966"/>
      <c r="L45" s="259"/>
      <c r="M45" s="1128" t="s">
        <v>295</v>
      </c>
      <c r="N45" s="1129"/>
      <c r="O45" s="1129"/>
      <c r="P45" s="1129"/>
      <c r="Q45" s="1129"/>
      <c r="R45" s="1129"/>
      <c r="S45" s="1129"/>
      <c r="T45" s="1129"/>
      <c r="U45" s="1130"/>
      <c r="V45" s="1133">
        <f>Februar!V51</f>
        <v>0</v>
      </c>
      <c r="W45" s="1134"/>
      <c r="X45" s="1135"/>
      <c r="Y45" s="239"/>
      <c r="Z45" s="239"/>
      <c r="AD45" s="90"/>
      <c r="AE45" s="90"/>
      <c r="BM45" s="1"/>
      <c r="CJ45" s="1"/>
      <c r="CU45" s="248"/>
      <c r="CV45" s="248"/>
      <c r="CY45"/>
      <c r="CZ45"/>
    </row>
    <row r="46" spans="1:185">
      <c r="A46" s="962" t="str">
        <f>"Nettoarbejdstid ialt i "&amp;A7&amp;" måned"</f>
        <v>Nettoarbejdstid ialt i Marts måned</v>
      </c>
      <c r="B46" s="963"/>
      <c r="C46" s="963"/>
      <c r="D46" s="963"/>
      <c r="E46" s="963"/>
      <c r="F46" s="963"/>
      <c r="G46" s="963"/>
      <c r="H46" s="260">
        <f>H43-H44-H45</f>
        <v>21</v>
      </c>
      <c r="I46" s="964">
        <f>I43-I44-I45</f>
        <v>154.80459770114942</v>
      </c>
      <c r="J46" s="965"/>
      <c r="K46" s="966"/>
      <c r="L46" s="259"/>
      <c r="M46" s="1026" t="s">
        <v>302</v>
      </c>
      <c r="N46" s="1027"/>
      <c r="O46" s="1027"/>
      <c r="P46" s="1027"/>
      <c r="Q46" s="1027"/>
      <c r="R46" s="1027"/>
      <c r="S46" s="1027"/>
      <c r="T46" s="1027"/>
      <c r="U46" s="1028"/>
      <c r="V46" s="1029">
        <f>V44+V45</f>
        <v>0</v>
      </c>
      <c r="W46" s="1030"/>
      <c r="X46" s="1136"/>
      <c r="Y46" s="239"/>
      <c r="Z46" s="239"/>
      <c r="AD46" s="90"/>
      <c r="AE46" s="90"/>
      <c r="BM46" s="1"/>
      <c r="CJ46" s="1"/>
      <c r="CU46" s="248"/>
      <c r="CV46" s="248"/>
      <c r="CY46"/>
      <c r="CZ46"/>
    </row>
    <row r="47" spans="1:185">
      <c r="A47" s="978" t="str">
        <f>"Planlagt arbejdstid efter ovennstående "&amp;A7&amp;" måned kalender"</f>
        <v>Planlagt arbejdstid efter ovennstående Marts måned kalender</v>
      </c>
      <c r="B47" s="979"/>
      <c r="C47" s="979"/>
      <c r="D47" s="979"/>
      <c r="E47" s="979"/>
      <c r="F47" s="979"/>
      <c r="G47" s="979"/>
      <c r="H47" s="475">
        <f>D64+D65+D66+D67+D68+D69+D70</f>
        <v>21</v>
      </c>
      <c r="I47" s="980">
        <f>N40+R40+V106</f>
        <v>163.25</v>
      </c>
      <c r="J47" s="981"/>
      <c r="K47" s="982"/>
      <c r="L47" s="387"/>
      <c r="M47" s="1038" t="s">
        <v>293</v>
      </c>
      <c r="N47" s="1039"/>
      <c r="O47" s="1039"/>
      <c r="P47" s="1039"/>
      <c r="Q47" s="1039"/>
      <c r="R47" s="1039"/>
      <c r="S47" s="1039"/>
      <c r="T47" s="1039"/>
      <c r="U47" s="1039"/>
      <c r="V47" s="1039"/>
      <c r="W47" s="1039"/>
      <c r="X47" s="1131"/>
      <c r="Y47" s="239"/>
      <c r="Z47" s="239"/>
      <c r="AD47" s="90"/>
      <c r="AE47" s="90"/>
      <c r="BM47" s="1"/>
      <c r="CJ47" s="1"/>
      <c r="CU47" s="248"/>
      <c r="CV47" s="248"/>
      <c r="CY47"/>
      <c r="CZ47"/>
    </row>
    <row r="48" spans="1:185">
      <c r="A48" s="986" t="s">
        <v>452</v>
      </c>
      <c r="B48" s="987"/>
      <c r="C48" s="987"/>
      <c r="D48" s="987"/>
      <c r="E48" s="987"/>
      <c r="F48" s="987"/>
      <c r="G48" s="987"/>
      <c r="H48" s="988"/>
      <c r="I48" s="983">
        <f>(FI40+FM40+FO40+FV40+FX40+FZ40+GB40)*-1+FK40+FN40+FQ40+FW40+FY40+GA40+GC40+FU40</f>
        <v>0</v>
      </c>
      <c r="J48" s="984"/>
      <c r="K48" s="985"/>
      <c r="L48" s="388"/>
      <c r="M48" s="1041" t="s">
        <v>463</v>
      </c>
      <c r="N48" s="1042"/>
      <c r="O48" s="1042"/>
      <c r="P48" s="1042"/>
      <c r="Q48" s="1042"/>
      <c r="R48" s="1042"/>
      <c r="S48" s="1042"/>
      <c r="T48" s="1042"/>
      <c r="U48" s="1043"/>
      <c r="V48" s="1044" t="s">
        <v>221</v>
      </c>
      <c r="W48" s="1045"/>
      <c r="X48" s="1132"/>
      <c r="Y48" s="239"/>
      <c r="Z48" s="239"/>
      <c r="AD48" s="90"/>
      <c r="AE48" s="90"/>
      <c r="BM48" s="1"/>
      <c r="CJ48" s="1"/>
      <c r="CU48" s="248"/>
      <c r="CV48" s="248"/>
      <c r="CY48"/>
      <c r="CZ48"/>
    </row>
    <row r="49" spans="1:110">
      <c r="A49" s="1005" t="str">
        <f>"Arbejde særligt planlagt for "&amp;A7&amp;" måned efter fanen skemaoplysninger"</f>
        <v>Arbejde særligt planlagt for Marts måned efter fanen skemaoplysninger</v>
      </c>
      <c r="B49" s="1006"/>
      <c r="C49" s="1006"/>
      <c r="D49" s="1006"/>
      <c r="E49" s="1006"/>
      <c r="F49" s="1006"/>
      <c r="G49" s="1006"/>
      <c r="H49" s="1007"/>
      <c r="I49" s="981">
        <f>Skemaoplysninger!R91</f>
        <v>2</v>
      </c>
      <c r="J49" s="1003"/>
      <c r="K49" s="1004"/>
      <c r="L49" s="241"/>
      <c r="M49" s="867"/>
      <c r="N49" s="868"/>
      <c r="O49" s="868"/>
      <c r="P49" s="868"/>
      <c r="Q49" s="868"/>
      <c r="R49" s="868"/>
      <c r="S49" s="868"/>
      <c r="T49" s="868"/>
      <c r="U49" s="869"/>
      <c r="V49" s="1047"/>
      <c r="W49" s="1047"/>
      <c r="X49" s="1048"/>
      <c r="Y49"/>
      <c r="Z49" s="239"/>
      <c r="AA49" s="239"/>
      <c r="AG49" s="90"/>
      <c r="AH49" s="90"/>
      <c r="BA49" s="239"/>
      <c r="BO49" s="1"/>
      <c r="CL49" s="1"/>
      <c r="CV49" s="248"/>
      <c r="CW49" s="248"/>
      <c r="CY49"/>
      <c r="CZ49"/>
    </row>
    <row r="50" spans="1:110">
      <c r="A50" s="967" t="s">
        <v>291</v>
      </c>
      <c r="B50" s="968"/>
      <c r="C50" s="968"/>
      <c r="D50" s="968"/>
      <c r="E50" s="968"/>
      <c r="F50" s="968"/>
      <c r="G50" s="968"/>
      <c r="H50" s="968"/>
      <c r="I50" s="969">
        <f>V40+X40-FA40+R106</f>
        <v>0</v>
      </c>
      <c r="J50" s="970"/>
      <c r="K50" s="971"/>
      <c r="L50" s="241"/>
      <c r="M50" s="867"/>
      <c r="N50" s="868"/>
      <c r="O50" s="868"/>
      <c r="P50" s="868"/>
      <c r="Q50" s="868"/>
      <c r="R50" s="868"/>
      <c r="S50" s="868"/>
      <c r="T50" s="868"/>
      <c r="U50" s="869"/>
      <c r="V50" s="870"/>
      <c r="W50" s="871"/>
      <c r="X50" s="872"/>
      <c r="Y50"/>
      <c r="Z50" s="239"/>
      <c r="AA50" s="239"/>
      <c r="AE50" s="90"/>
      <c r="AF50" s="247"/>
      <c r="AG50" s="90"/>
      <c r="BN50" s="1"/>
      <c r="CK50" s="1"/>
      <c r="CV50" s="248"/>
      <c r="CW50" s="248"/>
      <c r="CY50"/>
      <c r="CZ50"/>
    </row>
    <row r="51" spans="1:110" ht="17" thickBot="1">
      <c r="A51" s="261" t="str">
        <f>"Faktisk arbejdstid ialt i "&amp;A7&amp;" måned"</f>
        <v>Faktisk arbejdstid ialt i Marts måned</v>
      </c>
      <c r="B51" s="314"/>
      <c r="C51" s="315"/>
      <c r="D51" s="315"/>
      <c r="E51" s="315"/>
      <c r="F51" s="315"/>
      <c r="G51" s="315"/>
      <c r="H51" s="316"/>
      <c r="I51" s="1008">
        <f>I47+I50+I49+I48</f>
        <v>165.25</v>
      </c>
      <c r="J51" s="1009"/>
      <c r="K51" s="1010"/>
      <c r="L51" s="241"/>
      <c r="M51" s="867"/>
      <c r="N51" s="868"/>
      <c r="O51" s="868"/>
      <c r="P51" s="868"/>
      <c r="Q51" s="868"/>
      <c r="R51" s="868"/>
      <c r="S51" s="868"/>
      <c r="T51" s="868"/>
      <c r="U51" s="869"/>
      <c r="V51" s="870"/>
      <c r="W51" s="871"/>
      <c r="X51" s="872"/>
      <c r="Y51" s="239"/>
      <c r="Z51" s="239"/>
      <c r="AA51" s="214"/>
      <c r="AB51" s="247"/>
      <c r="AC51" s="247"/>
      <c r="AD51" s="247"/>
      <c r="AE51" s="239"/>
      <c r="AF51" s="247"/>
      <c r="AH51" s="239"/>
      <c r="AI51" s="239"/>
      <c r="AM51" s="90"/>
      <c r="AN51" s="90"/>
      <c r="BU51" s="1"/>
      <c r="CR51" s="1"/>
      <c r="CY51"/>
      <c r="CZ51"/>
      <c r="DC51" s="248"/>
      <c r="DD51" s="248"/>
    </row>
    <row r="52" spans="1:110" ht="17" thickBot="1">
      <c r="A52" s="255"/>
      <c r="B52" s="255"/>
      <c r="C52" s="255"/>
      <c r="D52" s="255"/>
      <c r="E52" s="255"/>
      <c r="F52" s="255"/>
      <c r="G52" s="255"/>
      <c r="H52" s="255"/>
      <c r="I52" s="522"/>
      <c r="J52" s="522"/>
      <c r="K52" s="522"/>
      <c r="L52" s="500"/>
      <c r="M52" s="867"/>
      <c r="N52" s="868"/>
      <c r="O52" s="868"/>
      <c r="P52" s="868"/>
      <c r="Q52" s="868"/>
      <c r="R52" s="868"/>
      <c r="S52" s="868"/>
      <c r="T52" s="868"/>
      <c r="U52" s="869"/>
      <c r="V52" s="870"/>
      <c r="W52" s="871"/>
      <c r="X52" s="872"/>
      <c r="Y52" s="239"/>
      <c r="Z52" s="239"/>
      <c r="AA52" s="239"/>
      <c r="AB52" s="239"/>
      <c r="AC52" s="214"/>
      <c r="AD52" s="247"/>
      <c r="AE52" s="247"/>
      <c r="AF52" s="247"/>
      <c r="AG52" s="247"/>
      <c r="AH52" s="239"/>
      <c r="AJ52" s="239"/>
      <c r="AK52" s="239"/>
      <c r="AO52" s="90"/>
      <c r="AP52" s="90"/>
      <c r="BW52" s="1"/>
      <c r="CT52" s="1"/>
      <c r="CY52"/>
      <c r="CZ52"/>
      <c r="DE52" s="248"/>
      <c r="DF52" s="248"/>
    </row>
    <row r="53" spans="1:110" ht="25" thickBot="1">
      <c r="A53" s="958" t="s">
        <v>479</v>
      </c>
      <c r="B53" s="959"/>
      <c r="C53" s="959"/>
      <c r="D53" s="959"/>
      <c r="E53" s="959"/>
      <c r="F53" s="959"/>
      <c r="G53" s="959"/>
      <c r="H53" s="707" t="s">
        <v>740</v>
      </c>
      <c r="I53" s="1118" t="s">
        <v>478</v>
      </c>
      <c r="J53" s="1118"/>
      <c r="K53" s="1119"/>
      <c r="L53" s="500"/>
      <c r="M53" s="1032" t="s">
        <v>294</v>
      </c>
      <c r="N53" s="1033"/>
      <c r="O53" s="1033"/>
      <c r="P53" s="1033"/>
      <c r="Q53" s="1033"/>
      <c r="R53" s="1033"/>
      <c r="S53" s="1033"/>
      <c r="T53" s="1033"/>
      <c r="U53" s="1034"/>
      <c r="V53" s="1081">
        <f>V46-SUM(V49:X52)</f>
        <v>0</v>
      </c>
      <c r="W53" s="1082"/>
      <c r="X53" s="1083"/>
      <c r="Y53" s="239"/>
      <c r="Z53" s="239"/>
      <c r="AA53" s="239"/>
      <c r="AB53" s="239"/>
      <c r="AC53" s="214"/>
      <c r="AD53" s="247"/>
      <c r="AE53" s="247"/>
      <c r="AF53" s="247"/>
      <c r="AG53" s="247"/>
      <c r="AH53" s="239"/>
      <c r="AJ53" s="239"/>
      <c r="AK53" s="239"/>
      <c r="AO53" s="90"/>
      <c r="AP53" s="90"/>
      <c r="BW53" s="1"/>
      <c r="CT53" s="1"/>
      <c r="CY53"/>
      <c r="CZ53"/>
      <c r="DE53" s="248"/>
      <c r="DF53" s="248"/>
    </row>
    <row r="54" spans="1:110" ht="16" customHeight="1">
      <c r="A54" s="993"/>
      <c r="B54" s="994"/>
      <c r="C54" s="994"/>
      <c r="D54" s="994"/>
      <c r="E54" s="994"/>
      <c r="F54" s="994"/>
      <c r="G54" s="994"/>
      <c r="H54" s="605">
        <f>Februar!H60</f>
        <v>0</v>
      </c>
      <c r="I54" s="1084">
        <f>Februar!I60</f>
        <v>0</v>
      </c>
      <c r="J54" s="1084"/>
      <c r="K54" s="1085"/>
      <c r="L54" s="500"/>
      <c r="M54" s="523"/>
      <c r="N54" s="523"/>
      <c r="O54" s="523"/>
      <c r="P54" s="523"/>
      <c r="Q54" s="524"/>
      <c r="R54" s="525"/>
      <c r="S54" s="525"/>
      <c r="T54" s="525"/>
      <c r="U54" s="525"/>
      <c r="V54" s="523"/>
      <c r="W54" s="526"/>
      <c r="X54" s="523"/>
      <c r="Y54" s="239"/>
      <c r="Z54" s="239"/>
      <c r="AA54" s="239"/>
      <c r="AB54" s="239"/>
      <c r="AC54" s="214"/>
      <c r="AD54" s="247"/>
      <c r="AE54" s="247"/>
      <c r="AF54" s="247"/>
      <c r="AG54" s="247"/>
      <c r="AH54" s="239"/>
      <c r="AJ54" s="239"/>
      <c r="AK54" s="239"/>
      <c r="AO54" s="90"/>
      <c r="AP54" s="90"/>
      <c r="BW54" s="1"/>
      <c r="CT54" s="1"/>
      <c r="CY54"/>
      <c r="CZ54"/>
      <c r="DE54" s="248"/>
      <c r="DF54" s="248"/>
    </row>
    <row r="55" spans="1:110" ht="16" customHeight="1">
      <c r="A55" s="1069" t="s">
        <v>482</v>
      </c>
      <c r="B55" s="1070"/>
      <c r="C55" s="1070"/>
      <c r="D55" s="1070"/>
      <c r="E55" s="1070"/>
      <c r="F55" s="1070"/>
      <c r="G55" s="1071"/>
      <c r="H55" s="603"/>
      <c r="I55" s="1072"/>
      <c r="J55" s="1073"/>
      <c r="K55" s="1074"/>
      <c r="L55" s="500"/>
      <c r="M55" s="523"/>
      <c r="N55" s="523"/>
      <c r="O55" s="523"/>
      <c r="P55" s="523"/>
      <c r="Q55" s="524"/>
      <c r="R55" s="525"/>
      <c r="S55" s="525"/>
      <c r="T55" s="525"/>
      <c r="U55" s="525"/>
      <c r="V55" s="523"/>
      <c r="W55" s="526"/>
      <c r="X55" s="523"/>
      <c r="Y55" s="239"/>
      <c r="Z55" s="239"/>
      <c r="AA55" s="239"/>
      <c r="AB55" s="239"/>
      <c r="AC55" s="214"/>
      <c r="AD55" s="247"/>
      <c r="AE55" s="247"/>
      <c r="AF55" s="247"/>
      <c r="AG55" s="247"/>
      <c r="AH55" s="239"/>
      <c r="AJ55" s="239"/>
      <c r="AK55" s="239"/>
      <c r="AO55" s="90"/>
      <c r="AP55" s="90"/>
      <c r="BW55" s="1"/>
      <c r="CT55" s="1"/>
      <c r="CY55"/>
      <c r="CZ55"/>
      <c r="DE55" s="248"/>
      <c r="DF55" s="248"/>
    </row>
    <row r="56" spans="1:110" ht="37" customHeight="1">
      <c r="A56" s="864" t="s">
        <v>741</v>
      </c>
      <c r="B56" s="865"/>
      <c r="C56" s="865"/>
      <c r="D56" s="865"/>
      <c r="E56" s="865"/>
      <c r="F56" s="865"/>
      <c r="G56" s="865"/>
      <c r="H56" s="865"/>
      <c r="I56" s="865"/>
      <c r="J56" s="865"/>
      <c r="K56" s="866"/>
      <c r="L56" s="500"/>
      <c r="M56" s="523"/>
      <c r="N56" s="523"/>
      <c r="O56" s="523"/>
      <c r="P56" s="523"/>
      <c r="Q56" s="524"/>
      <c r="R56" s="525"/>
      <c r="S56" s="525"/>
      <c r="T56" s="525"/>
      <c r="U56" s="525"/>
      <c r="V56" s="523"/>
      <c r="W56" s="526"/>
      <c r="X56" s="523"/>
      <c r="Y56" s="239"/>
      <c r="Z56" s="239"/>
      <c r="AA56" s="239"/>
      <c r="AB56" s="239"/>
      <c r="AC56" s="214"/>
      <c r="AD56" s="247"/>
      <c r="AE56" s="247"/>
      <c r="AF56" s="247"/>
      <c r="AG56" s="247"/>
      <c r="AH56" s="239"/>
      <c r="AJ56" s="239"/>
      <c r="AK56" s="239"/>
      <c r="AO56" s="90"/>
      <c r="AP56" s="90"/>
      <c r="BW56" s="1"/>
      <c r="CT56" s="1"/>
      <c r="CY56"/>
      <c r="CZ56"/>
      <c r="DE56" s="248"/>
      <c r="DF56" s="248"/>
    </row>
    <row r="57" spans="1:110" ht="35" customHeight="1">
      <c r="A57" s="995" t="s">
        <v>742</v>
      </c>
      <c r="B57" s="996"/>
      <c r="C57" s="898" t="s">
        <v>510</v>
      </c>
      <c r="D57" s="899"/>
      <c r="E57" s="900" t="s">
        <v>511</v>
      </c>
      <c r="F57" s="865"/>
      <c r="G57" s="901"/>
      <c r="H57" s="910" t="s">
        <v>480</v>
      </c>
      <c r="I57" s="910"/>
      <c r="J57" s="910"/>
      <c r="K57" s="911"/>
      <c r="L57" s="500"/>
      <c r="M57" s="523"/>
      <c r="N57" s="523"/>
      <c r="O57" s="523"/>
      <c r="P57" s="523"/>
      <c r="Q57" s="524"/>
      <c r="R57" s="525"/>
      <c r="S57" s="525"/>
      <c r="T57" s="525"/>
      <c r="U57" s="525"/>
      <c r="V57" s="523"/>
      <c r="W57" s="526"/>
      <c r="X57" s="523"/>
      <c r="Y57" s="239"/>
      <c r="Z57" s="239"/>
      <c r="AA57" s="239"/>
      <c r="AB57" s="239"/>
      <c r="AC57" s="214"/>
      <c r="AD57" s="247"/>
      <c r="AE57" s="247"/>
      <c r="AF57" s="247"/>
      <c r="AG57" s="247"/>
      <c r="AH57" s="239"/>
      <c r="AJ57" s="239"/>
      <c r="AK57" s="239"/>
      <c r="AO57" s="90"/>
      <c r="AP57" s="90"/>
      <c r="BW57" s="1"/>
      <c r="CT57" s="1"/>
      <c r="CY57"/>
      <c r="CZ57"/>
      <c r="DE57" s="248"/>
      <c r="DF57" s="248"/>
    </row>
    <row r="58" spans="1:110">
      <c r="A58" s="902"/>
      <c r="B58" s="903"/>
      <c r="C58" s="906"/>
      <c r="D58" s="905"/>
      <c r="E58" s="907"/>
      <c r="F58" s="908"/>
      <c r="G58" s="909"/>
      <c r="H58" s="604"/>
      <c r="I58" s="896"/>
      <c r="J58" s="896"/>
      <c r="K58" s="897"/>
      <c r="L58" s="500"/>
      <c r="M58" s="523"/>
      <c r="N58" s="523"/>
      <c r="O58" s="523"/>
      <c r="P58" s="523"/>
      <c r="Q58" s="524"/>
      <c r="R58" s="525"/>
      <c r="S58" s="525"/>
      <c r="T58" s="525"/>
      <c r="U58" s="525"/>
      <c r="V58" s="523"/>
      <c r="W58" s="526"/>
      <c r="X58" s="523"/>
      <c r="Y58" s="239"/>
      <c r="Z58" s="239"/>
      <c r="AA58" s="239"/>
      <c r="AB58" s="239"/>
      <c r="AC58" s="214"/>
      <c r="AD58" s="247"/>
      <c r="AE58" s="247"/>
      <c r="AF58" s="247"/>
      <c r="AG58" s="247"/>
      <c r="AH58" s="239"/>
      <c r="AJ58" s="239"/>
      <c r="AK58" s="239"/>
      <c r="AO58" s="90"/>
      <c r="AP58" s="90"/>
      <c r="BW58" s="1"/>
      <c r="CT58" s="1"/>
      <c r="CY58"/>
      <c r="CZ58"/>
      <c r="DE58" s="248"/>
      <c r="DF58" s="248"/>
    </row>
    <row r="59" spans="1:110">
      <c r="A59" s="904"/>
      <c r="B59" s="905"/>
      <c r="C59" s="906"/>
      <c r="D59" s="905"/>
      <c r="E59" s="907"/>
      <c r="F59" s="908"/>
      <c r="G59" s="909"/>
      <c r="H59" s="604"/>
      <c r="I59" s="896"/>
      <c r="J59" s="896"/>
      <c r="K59" s="897"/>
      <c r="L59" s="500"/>
      <c r="M59" s="523"/>
      <c r="N59" s="523"/>
      <c r="O59" s="523"/>
      <c r="P59" s="523"/>
      <c r="Q59" s="524"/>
      <c r="R59" s="525"/>
      <c r="S59" s="525"/>
      <c r="T59" s="525"/>
      <c r="U59" s="525"/>
      <c r="V59" s="523"/>
      <c r="W59" s="526"/>
      <c r="X59" s="523"/>
      <c r="Y59" s="239"/>
      <c r="Z59" s="239"/>
      <c r="AA59" s="239"/>
      <c r="AB59" s="239"/>
      <c r="AC59" s="214"/>
      <c r="AD59" s="247"/>
      <c r="AE59" s="247"/>
      <c r="AF59" s="247"/>
      <c r="AG59" s="247"/>
      <c r="AH59" s="239"/>
      <c r="AJ59" s="239"/>
      <c r="AK59" s="239"/>
      <c r="AO59" s="90"/>
      <c r="AP59" s="90"/>
      <c r="BW59" s="1"/>
      <c r="CT59" s="1"/>
      <c r="CY59"/>
      <c r="CZ59"/>
      <c r="DE59" s="248"/>
      <c r="DF59" s="248"/>
    </row>
    <row r="60" spans="1:110">
      <c r="A60" s="904"/>
      <c r="B60" s="905"/>
      <c r="C60" s="906"/>
      <c r="D60" s="905"/>
      <c r="E60" s="907"/>
      <c r="F60" s="908"/>
      <c r="G60" s="909"/>
      <c r="H60" s="604"/>
      <c r="I60" s="896"/>
      <c r="J60" s="896"/>
      <c r="K60" s="897"/>
      <c r="L60" s="500"/>
      <c r="M60" s="523"/>
      <c r="N60" s="523"/>
      <c r="O60" s="523"/>
      <c r="P60" s="523"/>
      <c r="Q60" s="524"/>
      <c r="R60" s="525"/>
      <c r="S60" s="525"/>
      <c r="T60" s="525"/>
      <c r="U60" s="525"/>
      <c r="V60" s="523"/>
      <c r="W60" s="526"/>
      <c r="X60" s="523"/>
      <c r="Y60" s="239"/>
      <c r="Z60" s="239"/>
      <c r="AA60" s="239"/>
      <c r="AB60" s="239"/>
      <c r="AC60" s="214"/>
      <c r="AD60" s="247"/>
      <c r="AE60" s="247"/>
      <c r="AF60" s="247"/>
      <c r="AG60" s="247"/>
      <c r="AH60" s="239"/>
      <c r="AJ60" s="239"/>
      <c r="AK60" s="239"/>
      <c r="AO60" s="90"/>
      <c r="AP60" s="90"/>
      <c r="BW60" s="1"/>
      <c r="CT60" s="1"/>
      <c r="CY60"/>
      <c r="CZ60"/>
      <c r="DE60" s="248"/>
      <c r="DF60" s="248"/>
    </row>
    <row r="61" spans="1:110">
      <c r="A61" s="904"/>
      <c r="B61" s="905"/>
      <c r="C61" s="906"/>
      <c r="D61" s="905"/>
      <c r="E61" s="907"/>
      <c r="F61" s="908"/>
      <c r="G61" s="909"/>
      <c r="H61" s="604"/>
      <c r="I61" s="896"/>
      <c r="J61" s="896"/>
      <c r="K61" s="897"/>
      <c r="L61" s="500"/>
      <c r="M61" s="523"/>
      <c r="N61" s="523"/>
      <c r="O61" s="523"/>
      <c r="P61" s="523"/>
      <c r="Q61" s="524"/>
      <c r="R61" s="525"/>
      <c r="S61" s="525"/>
      <c r="T61" s="525"/>
      <c r="U61" s="525"/>
      <c r="V61" s="523"/>
      <c r="W61" s="526"/>
      <c r="X61" s="523"/>
      <c r="Y61" s="239"/>
      <c r="Z61" s="239"/>
      <c r="AA61" s="239"/>
      <c r="AB61" s="239"/>
      <c r="AC61" s="214"/>
      <c r="AD61" s="247"/>
      <c r="AE61" s="247"/>
      <c r="AF61" s="247"/>
      <c r="AG61" s="247"/>
      <c r="AH61" s="239"/>
      <c r="AJ61" s="239"/>
      <c r="AK61" s="239"/>
      <c r="AO61" s="90"/>
      <c r="AP61" s="90"/>
      <c r="BW61" s="1"/>
      <c r="CT61" s="1"/>
      <c r="CY61"/>
      <c r="CZ61"/>
      <c r="DE61" s="248"/>
      <c r="DF61" s="248"/>
    </row>
    <row r="62" spans="1:110" ht="17" thickBot="1">
      <c r="A62" s="893" t="s">
        <v>481</v>
      </c>
      <c r="B62" s="894"/>
      <c r="C62" s="895"/>
      <c r="D62" s="895"/>
      <c r="E62" s="895"/>
      <c r="F62" s="895"/>
      <c r="G62" s="895"/>
      <c r="H62" s="606">
        <f>H55+H54-SUM(H58:H61)</f>
        <v>0</v>
      </c>
      <c r="I62" s="912">
        <f>I54+I55-SUM(I58:K61)</f>
        <v>0</v>
      </c>
      <c r="J62" s="913"/>
      <c r="K62" s="914"/>
      <c r="L62" s="500"/>
      <c r="M62" s="523"/>
      <c r="N62" s="523"/>
      <c r="O62" s="523"/>
      <c r="P62" s="523"/>
      <c r="Q62" s="524"/>
      <c r="R62" s="525"/>
      <c r="S62" s="525"/>
      <c r="T62" s="525"/>
      <c r="U62" s="525"/>
      <c r="V62" s="523"/>
      <c r="W62" s="526"/>
      <c r="X62" s="523"/>
      <c r="Y62" s="239"/>
      <c r="Z62" s="239"/>
      <c r="AA62" s="239"/>
      <c r="AB62" s="239"/>
      <c r="AC62" s="214"/>
      <c r="AD62" s="247"/>
      <c r="AE62" s="247"/>
      <c r="AF62" s="247"/>
      <c r="AG62" s="247"/>
      <c r="AH62" s="239"/>
      <c r="AJ62" s="239"/>
      <c r="AK62" s="239"/>
      <c r="AO62" s="90"/>
      <c r="AP62" s="90"/>
      <c r="BW62" s="1"/>
      <c r="CT62" s="1"/>
      <c r="CY62"/>
      <c r="CZ62"/>
      <c r="DE62" s="248"/>
      <c r="DF62" s="248"/>
    </row>
    <row r="63" spans="1:110" hidden="1">
      <c r="A63" s="255"/>
      <c r="B63" s="255"/>
      <c r="C63" s="255"/>
      <c r="D63" s="255"/>
      <c r="E63" s="255"/>
      <c r="F63" s="255"/>
      <c r="G63" s="255"/>
      <c r="H63" s="450"/>
      <c r="I63" s="506"/>
      <c r="J63" s="506"/>
      <c r="K63" s="496"/>
      <c r="L63" s="659"/>
      <c r="M63" s="659"/>
      <c r="N63" s="659"/>
      <c r="O63" s="659"/>
      <c r="P63" s="659"/>
      <c r="Q63" s="524"/>
      <c r="R63" s="525"/>
      <c r="S63" s="525"/>
      <c r="T63" s="525"/>
      <c r="U63" s="525"/>
      <c r="V63" s="523" t="s">
        <v>583</v>
      </c>
      <c r="W63" s="526"/>
      <c r="X63" s="523"/>
      <c r="Y63"/>
      <c r="Z63"/>
      <c r="AA63" s="90"/>
      <c r="AB63" s="90"/>
      <c r="BI63" s="1"/>
      <c r="CF63" s="1"/>
      <c r="CQ63" s="248"/>
      <c r="CR63" s="248"/>
      <c r="CY63"/>
      <c r="CZ63"/>
    </row>
    <row r="64" spans="1:110" hidden="1">
      <c r="A64" s="123" t="s">
        <v>206</v>
      </c>
      <c r="B64" s="123"/>
      <c r="C64" s="123"/>
      <c r="D64" s="123">
        <f>COUNTIF([0]!Marts,"Skema 1")</f>
        <v>0</v>
      </c>
      <c r="E64" s="395"/>
      <c r="F64" s="123" t="s">
        <v>186</v>
      </c>
      <c r="G64" s="123">
        <f>COUNTIFS($B$9:$B$39,"ma",[0]!Marts,"Skema 1")</f>
        <v>0</v>
      </c>
      <c r="H64" s="123"/>
      <c r="I64" s="511"/>
      <c r="J64" s="659"/>
      <c r="K64" s="659"/>
      <c r="L64" s="511"/>
      <c r="M64" s="660"/>
      <c r="N64" s="659"/>
      <c r="O64" s="660"/>
      <c r="P64" s="678" t="s">
        <v>601</v>
      </c>
      <c r="Q64" s="680" t="s">
        <v>612</v>
      </c>
      <c r="R64" s="230"/>
      <c r="S64" s="230"/>
      <c r="T64" s="230"/>
      <c r="U64" s="230"/>
      <c r="V64" s="230"/>
      <c r="W64" s="118"/>
      <c r="X64" s="118"/>
      <c r="Y64"/>
      <c r="Z64"/>
      <c r="AA64" s="90"/>
      <c r="AB64" s="90"/>
      <c r="BI64" s="1"/>
      <c r="CF64" s="1"/>
      <c r="CQ64" s="248"/>
      <c r="CR64" s="248"/>
      <c r="CY64"/>
      <c r="CZ64"/>
    </row>
    <row r="65" spans="1:109" hidden="1">
      <c r="A65" s="1113" t="s">
        <v>207</v>
      </c>
      <c r="B65" s="1113"/>
      <c r="C65" s="1113"/>
      <c r="D65" s="498">
        <f>COUNTIF([0]!Marts,"Skema 2")</f>
        <v>18</v>
      </c>
      <c r="E65" s="499"/>
      <c r="F65" s="498" t="s">
        <v>187</v>
      </c>
      <c r="G65" s="498">
        <f>COUNTIFS($B$9:$B$39,"ti",[0]!Marts,"Skema 1")</f>
        <v>0</v>
      </c>
      <c r="H65" s="123"/>
      <c r="I65" s="511" t="s">
        <v>602</v>
      </c>
      <c r="J65" s="659"/>
      <c r="K65" s="511"/>
      <c r="L65" s="662"/>
      <c r="M65" s="660"/>
      <c r="N65" s="660"/>
      <c r="O65" s="663"/>
      <c r="P65" s="678">
        <f>IF(Stamoplysninger!$B$22="Ulempetillæg udbetales med 25% af nettotimelønnen.",SUM(DO40:DR40)-SUM(DS40:DV40),0)</f>
        <v>0</v>
      </c>
      <c r="Q65" s="680"/>
      <c r="R65" s="230"/>
      <c r="S65" s="230"/>
      <c r="T65" s="230"/>
      <c r="U65" s="230"/>
      <c r="V65" s="230"/>
      <c r="W65" s="118"/>
      <c r="X65" s="118"/>
      <c r="Y65"/>
      <c r="Z65"/>
      <c r="AA65" s="90"/>
      <c r="AB65" s="90"/>
      <c r="BI65" s="1"/>
      <c r="CF65" s="1"/>
      <c r="CQ65" s="248"/>
      <c r="CR65" s="248"/>
      <c r="CY65"/>
      <c r="CZ65"/>
    </row>
    <row r="66" spans="1:109" hidden="1">
      <c r="A66" s="1113" t="s">
        <v>208</v>
      </c>
      <c r="B66" s="1113"/>
      <c r="C66" s="1113"/>
      <c r="D66" s="498">
        <f>COUNTIF([0]!Marts,"Skema 3")</f>
        <v>0</v>
      </c>
      <c r="E66" s="499"/>
      <c r="F66" s="498" t="s">
        <v>188</v>
      </c>
      <c r="G66" s="498">
        <f>COUNTIFS($B$9:$B$39,"on",[0]!Marts,"Skema 1")</f>
        <v>0</v>
      </c>
      <c r="H66" s="498"/>
      <c r="I66" s="677" t="s">
        <v>603</v>
      </c>
      <c r="J66" s="659"/>
      <c r="K66" s="511"/>
      <c r="L66" s="662"/>
      <c r="M66" s="660"/>
      <c r="N66" s="660"/>
      <c r="O66" s="660"/>
      <c r="P66" s="678"/>
      <c r="Q66" s="680">
        <f>IF(Stamoplysninger!$B$22="Ulempetillæg afspadseres med 25%(Kræver en aftale imellem ledelsen og den ansatte)",EC40+ED40+EE40+EF40-EG40-EH40-EI40-EJ40,0)</f>
        <v>0</v>
      </c>
      <c r="R66" s="230"/>
      <c r="S66" s="230"/>
      <c r="T66" s="230"/>
      <c r="U66" s="230"/>
      <c r="V66" s="230"/>
      <c r="W66" s="118"/>
      <c r="X66" s="118"/>
      <c r="Y66"/>
      <c r="Z66"/>
      <c r="AA66" s="90"/>
      <c r="AB66" s="90"/>
      <c r="BI66" s="1"/>
      <c r="CF66" s="1"/>
      <c r="CQ66" s="248"/>
      <c r="CR66" s="248"/>
      <c r="CY66"/>
      <c r="CZ66"/>
    </row>
    <row r="67" spans="1:109" hidden="1">
      <c r="A67" s="1113" t="s">
        <v>209</v>
      </c>
      <c r="B67" s="1113"/>
      <c r="C67" s="1113"/>
      <c r="D67" s="498">
        <f>COUNTIF([0]!Marts,"Skema 4")</f>
        <v>0</v>
      </c>
      <c r="E67" s="499"/>
      <c r="F67" s="498" t="s">
        <v>190</v>
      </c>
      <c r="G67" s="498">
        <f>COUNTIFS($B$9:$B$39,"to",[0]!Marts,"Skema 1")</f>
        <v>0</v>
      </c>
      <c r="H67" s="498"/>
      <c r="I67" s="677" t="s">
        <v>604</v>
      </c>
      <c r="J67" s="659"/>
      <c r="K67" s="511"/>
      <c r="L67" s="662"/>
      <c r="M67" s="665"/>
      <c r="N67" s="665"/>
      <c r="O67" s="4"/>
      <c r="P67" s="678"/>
      <c r="Q67" s="680"/>
      <c r="R67" s="230"/>
      <c r="S67" s="230"/>
      <c r="T67" s="230"/>
      <c r="U67" s="230"/>
      <c r="V67" s="230"/>
      <c r="W67" s="118"/>
      <c r="X67" s="118"/>
      <c r="Y67" s="239"/>
      <c r="Z67" s="239"/>
      <c r="AA67" s="239"/>
      <c r="AB67" s="214"/>
      <c r="AC67" s="247"/>
      <c r="AD67" s="247"/>
      <c r="AE67" s="247"/>
      <c r="AF67" s="214"/>
      <c r="AG67" s="239"/>
      <c r="AI67" s="239"/>
      <c r="AJ67" s="239"/>
      <c r="AN67" s="90"/>
      <c r="AO67" s="90"/>
      <c r="BV67" s="1"/>
      <c r="CS67" s="1"/>
      <c r="CY67"/>
      <c r="CZ67"/>
      <c r="DD67" s="248"/>
      <c r="DE67" s="248"/>
    </row>
    <row r="68" spans="1:109" hidden="1">
      <c r="A68" s="498" t="s">
        <v>112</v>
      </c>
      <c r="B68" s="498"/>
      <c r="C68" s="498"/>
      <c r="D68" s="498">
        <f>COUNTIF([0]!Marts,"Fagdag")+COUNTIF([0]!Marts,"emnedag")</f>
        <v>2</v>
      </c>
      <c r="E68" s="499"/>
      <c r="F68" s="498" t="s">
        <v>189</v>
      </c>
      <c r="G68" s="498">
        <f>COUNTIFS($B$9:$B$39,"fr",[0]!Marts,"Skema 1")</f>
        <v>0</v>
      </c>
      <c r="H68" s="498"/>
      <c r="I68" s="662" t="s">
        <v>605</v>
      </c>
      <c r="J68" s="659"/>
      <c r="K68" s="511"/>
      <c r="L68" s="662"/>
      <c r="M68" s="665"/>
      <c r="N68" s="665"/>
      <c r="O68" s="4"/>
      <c r="P68" s="678"/>
      <c r="Q68" s="680">
        <f>IF(Stamoplysninger!$B$26="Weekendtimer og weekendtillæg afspadseres.",EK40+EL40-EM40-EN40,0)</f>
        <v>0</v>
      </c>
      <c r="R68" s="230"/>
      <c r="S68" s="230"/>
      <c r="T68" s="230"/>
      <c r="U68" s="230"/>
      <c r="V68" s="230"/>
      <c r="W68" s="118"/>
      <c r="X68" s="118"/>
      <c r="Y68" s="239"/>
      <c r="Z68" s="239"/>
      <c r="AA68" s="239"/>
      <c r="AB68" s="214"/>
      <c r="AC68" s="247"/>
      <c r="AD68" s="247"/>
      <c r="AE68" s="247"/>
      <c r="AF68" s="214"/>
      <c r="AG68" s="239"/>
      <c r="AI68" s="239"/>
      <c r="AJ68" s="239"/>
      <c r="AN68" s="90"/>
      <c r="AO68" s="90"/>
      <c r="BV68" s="1"/>
      <c r="CS68" s="1"/>
      <c r="CY68"/>
      <c r="CZ68"/>
      <c r="DD68" s="248"/>
      <c r="DE68" s="248"/>
    </row>
    <row r="69" spans="1:109" hidden="1">
      <c r="A69" s="502" t="s">
        <v>111</v>
      </c>
      <c r="B69" s="498"/>
      <c r="C69" s="498"/>
      <c r="D69" s="498">
        <f>COUNTIF([0]!Marts,"Lejrskole")+COUNTIF([0]!Marts,"Ekskursion")</f>
        <v>0</v>
      </c>
      <c r="E69" s="499"/>
      <c r="F69" s="498"/>
      <c r="G69" s="498"/>
      <c r="H69" s="498"/>
      <c r="I69" s="662" t="s">
        <v>606</v>
      </c>
      <c r="J69" s="662"/>
      <c r="K69" s="662"/>
      <c r="L69" s="662"/>
      <c r="M69" s="666"/>
      <c r="N69" s="666"/>
      <c r="O69" s="4"/>
      <c r="P69" s="679">
        <f>IF(Stamoplysninger!$B$26="Weekendtimer og weekendtillæg udbetales.",EO40+EP40-EQ40-ER40,0)</f>
        <v>0</v>
      </c>
      <c r="Q69" s="680"/>
      <c r="R69" s="230"/>
      <c r="S69" s="230"/>
      <c r="T69" s="230"/>
      <c r="U69" s="230"/>
      <c r="V69" s="230"/>
      <c r="W69" s="118"/>
      <c r="X69" s="118"/>
      <c r="Y69" s="239"/>
      <c r="Z69" s="239"/>
      <c r="AA69" s="239"/>
      <c r="AB69" s="214"/>
      <c r="AC69" s="247"/>
      <c r="AD69" s="247"/>
      <c r="AE69" s="247"/>
      <c r="AF69" s="214"/>
      <c r="AG69" s="239"/>
      <c r="AI69" s="239"/>
      <c r="AJ69" s="239"/>
      <c r="AN69" s="90"/>
      <c r="AO69" s="90"/>
      <c r="BV69" s="1"/>
      <c r="CS69" s="1"/>
      <c r="CY69"/>
      <c r="CZ69"/>
      <c r="DD69" s="248"/>
      <c r="DE69" s="248"/>
    </row>
    <row r="70" spans="1:109" hidden="1">
      <c r="A70" s="498" t="s">
        <v>110</v>
      </c>
      <c r="B70" s="498"/>
      <c r="C70" s="498"/>
      <c r="D70" s="498">
        <f>COUNTIF([0]!Marts,"Pæd.dag")</f>
        <v>1</v>
      </c>
      <c r="E70" s="499"/>
      <c r="F70" s="498" t="s">
        <v>191</v>
      </c>
      <c r="G70" s="498">
        <f>COUNTIFS($B$9:$B$39,"ma",[0]!Marts,"Skema 2")</f>
        <v>5</v>
      </c>
      <c r="H70" s="498"/>
      <c r="I70" s="662" t="s">
        <v>607</v>
      </c>
      <c r="J70" s="662"/>
      <c r="K70" s="662"/>
      <c r="L70" s="662"/>
      <c r="M70" s="666"/>
      <c r="N70" s="666"/>
      <c r="O70" s="4"/>
      <c r="P70" s="678"/>
      <c r="Q70" s="680"/>
      <c r="R70" s="230"/>
      <c r="S70" s="230"/>
      <c r="T70" s="230"/>
      <c r="U70" s="230"/>
      <c r="V70" s="230"/>
      <c r="W70" s="118"/>
      <c r="X70" s="118"/>
      <c r="Y70" s="239"/>
      <c r="Z70" s="239"/>
      <c r="AA70" s="239"/>
      <c r="AB70" s="214"/>
      <c r="AC70" s="247"/>
      <c r="AD70" s="247"/>
      <c r="AE70" s="247"/>
      <c r="AG70" s="239"/>
      <c r="AI70" s="239"/>
      <c r="AJ70" s="239"/>
      <c r="AN70" s="90"/>
      <c r="AO70" s="90"/>
      <c r="BV70" s="1"/>
      <c r="CS70" s="1"/>
      <c r="CY70"/>
      <c r="CZ70"/>
      <c r="DD70" s="248"/>
      <c r="DE70" s="248"/>
    </row>
    <row r="71" spans="1:109" hidden="1">
      <c r="A71" s="498" t="s">
        <v>120</v>
      </c>
      <c r="B71" s="498"/>
      <c r="C71" s="498"/>
      <c r="D71" s="498">
        <f>COUNTIF([0]!Marts,"Weekend")</f>
        <v>10</v>
      </c>
      <c r="E71" s="499"/>
      <c r="F71" s="498" t="s">
        <v>192</v>
      </c>
      <c r="G71" s="498">
        <f>COUNTIFS($B$9:$B$39,"ti",[0]!Marts,"Skema 2")</f>
        <v>4</v>
      </c>
      <c r="H71" s="498"/>
      <c r="I71" s="662" t="s">
        <v>608</v>
      </c>
      <c r="J71" s="662"/>
      <c r="K71" s="662"/>
      <c r="L71" s="662"/>
      <c r="M71" s="667"/>
      <c r="N71" s="667"/>
      <c r="O71" s="4"/>
      <c r="P71" s="678"/>
      <c r="Q71" s="681">
        <f>IF(Stamoplysninger!$B$26="Der er indgået lokalaftale omkring weekendtimer.(Kræver aftale med TR/FSL) Weekendtillæg afspadseres.",ES40+ET40-EU40-EV40,0)</f>
        <v>0</v>
      </c>
      <c r="R71" s="230"/>
      <c r="S71" s="230"/>
      <c r="T71" s="230"/>
      <c r="U71" s="230"/>
      <c r="V71" s="230"/>
      <c r="W71" s="118"/>
      <c r="X71" s="118"/>
      <c r="Y71"/>
      <c r="Z71"/>
      <c r="AM71" s="1"/>
      <c r="BJ71" s="1"/>
      <c r="BU71" s="248"/>
      <c r="BV71" s="248"/>
      <c r="CY71"/>
      <c r="CZ71"/>
    </row>
    <row r="72" spans="1:109" hidden="1">
      <c r="A72" s="498" t="s">
        <v>127</v>
      </c>
      <c r="B72" s="498"/>
      <c r="C72" s="498"/>
      <c r="D72" s="498">
        <f>COUNTIF([0]!Marts,"SH-dag")</f>
        <v>0</v>
      </c>
      <c r="E72" s="499"/>
      <c r="F72" s="498" t="s">
        <v>193</v>
      </c>
      <c r="G72" s="498">
        <f>COUNTIFS($B$9:$B$39,"on",[0]!Marts,"Skema 2")</f>
        <v>3</v>
      </c>
      <c r="H72" s="498"/>
      <c r="I72" s="662" t="s">
        <v>609</v>
      </c>
      <c r="J72" s="662"/>
      <c r="K72" s="662"/>
      <c r="L72" s="662"/>
      <c r="M72" s="667"/>
      <c r="N72" s="667"/>
      <c r="O72" s="4"/>
      <c r="P72" s="678">
        <f>IF(Stamoplysninger!$B$26="Der er indgået lokalaftale omkring weekendtimer(Kræver aftale med TR/FSL). Weekendtillæg udbetales.",EW40+EX40-EY40-EZ40,0)</f>
        <v>0</v>
      </c>
      <c r="Q72" s="680"/>
      <c r="R72" s="230"/>
      <c r="S72" s="230"/>
      <c r="T72" s="230"/>
      <c r="U72" s="230"/>
      <c r="V72" s="230"/>
      <c r="W72" s="118"/>
      <c r="X72" s="118"/>
      <c r="Y72"/>
      <c r="Z72"/>
      <c r="AM72" s="1"/>
      <c r="BJ72" s="1"/>
      <c r="BU72" s="248"/>
      <c r="BV72" s="248"/>
      <c r="CY72"/>
      <c r="CZ72"/>
    </row>
    <row r="73" spans="1:109" hidden="1">
      <c r="A73" s="498" t="s">
        <v>109</v>
      </c>
      <c r="B73" s="498"/>
      <c r="C73" s="498"/>
      <c r="D73" s="498">
        <f>COUNTIF([0]!Marts,"Feriedag")</f>
        <v>0</v>
      </c>
      <c r="E73" s="499"/>
      <c r="F73" s="498" t="s">
        <v>194</v>
      </c>
      <c r="G73" s="498">
        <f>COUNTIFS($B$9:$B$39,"to",[0]!Marts,"Skema 2")</f>
        <v>3</v>
      </c>
      <c r="H73" s="498"/>
      <c r="I73" s="662" t="s">
        <v>610</v>
      </c>
      <c r="J73" s="662"/>
      <c r="K73" s="662"/>
      <c r="L73" s="662"/>
      <c r="M73" s="667"/>
      <c r="N73" s="667"/>
      <c r="O73" s="4"/>
      <c r="P73" s="678"/>
      <c r="Q73" s="629">
        <f>IF(Stamoplysninger!$B$26="Der er indgået lokalaftale omkring weekendtillæg(Kræver aftale med TR/FSL). Weekendtimerne afspadseres.",FA40+FB40-FC40-FD40,0)</f>
        <v>0</v>
      </c>
      <c r="R73" s="41"/>
      <c r="S73" s="41"/>
      <c r="T73" s="41"/>
      <c r="Y73"/>
      <c r="Z73"/>
      <c r="AM73" s="1"/>
      <c r="BJ73" s="1"/>
      <c r="BU73" s="248"/>
      <c r="BV73" s="248"/>
      <c r="CY73"/>
      <c r="CZ73"/>
    </row>
    <row r="74" spans="1:109" hidden="1">
      <c r="A74" s="498" t="s">
        <v>178</v>
      </c>
      <c r="B74" s="498"/>
      <c r="C74" s="498"/>
      <c r="D74" s="498">
        <f>COUNTIF([0]!Marts,"Nul-dag")</f>
        <v>0</v>
      </c>
      <c r="E74" s="499"/>
      <c r="F74" s="498" t="s">
        <v>195</v>
      </c>
      <c r="G74" s="498">
        <f>COUNTIFS($B$9:$B$39,"fr",[0]!Marts,"Skema 2")</f>
        <v>3</v>
      </c>
      <c r="H74" s="498"/>
      <c r="I74" s="662" t="s">
        <v>611</v>
      </c>
      <c r="J74" s="662"/>
      <c r="K74" s="662"/>
      <c r="L74" s="662"/>
      <c r="M74" s="667"/>
      <c r="N74" s="667"/>
      <c r="O74" s="4"/>
      <c r="P74" s="678">
        <f>IF(Stamoplysninger!$B$26="Der er indgået lokalaftale omkring weekendtillæg(Kræver aftale med TR/FSL). Weekendtimerne udbetales.",FE40+FF40-FG40-FH40,0)</f>
        <v>0</v>
      </c>
      <c r="Q74" s="629"/>
      <c r="V74" t="s">
        <v>618</v>
      </c>
      <c r="Y74"/>
      <c r="Z74"/>
      <c r="AM74" s="1"/>
      <c r="BJ74" s="1"/>
      <c r="BU74" s="248"/>
      <c r="BV74" s="248"/>
      <c r="CY74"/>
      <c r="CZ74"/>
    </row>
    <row r="75" spans="1:109" hidden="1">
      <c r="A75" s="498" t="s">
        <v>416</v>
      </c>
      <c r="B75" s="498"/>
      <c r="C75" s="498"/>
      <c r="D75" s="498">
        <f>COUNTIF([0]!Marts,"Orlov")</f>
        <v>0</v>
      </c>
      <c r="E75" s="499"/>
      <c r="F75" s="504"/>
      <c r="G75" s="504"/>
      <c r="H75" s="504"/>
      <c r="I75" s="662" t="s">
        <v>617</v>
      </c>
      <c r="J75" s="662"/>
      <c r="K75" s="662"/>
      <c r="L75" s="662"/>
      <c r="M75" s="668"/>
      <c r="N75" s="668"/>
      <c r="O75" s="4"/>
      <c r="P75" s="661"/>
      <c r="R75">
        <f>IF(C10="ikke relevant",V10*-1+X10*-1,0)</f>
        <v>0</v>
      </c>
      <c r="S75" t="s">
        <v>623</v>
      </c>
      <c r="V75">
        <f>IF(C10="ikke relevant",R10*-1,0)</f>
        <v>0</v>
      </c>
      <c r="Y75"/>
      <c r="Z75"/>
      <c r="AM75" s="1"/>
      <c r="BJ75" s="1"/>
      <c r="BU75" s="248"/>
      <c r="BV75" s="248"/>
      <c r="CY75"/>
      <c r="CZ75"/>
    </row>
    <row r="76" spans="1:109" hidden="1">
      <c r="A76" s="498" t="s">
        <v>160</v>
      </c>
      <c r="B76" s="498"/>
      <c r="C76" s="498"/>
      <c r="D76" s="498">
        <f>COUNTIF([0]!Marts,"Ikke relevant")</f>
        <v>0</v>
      </c>
      <c r="E76" s="499"/>
      <c r="F76" s="498" t="s">
        <v>196</v>
      </c>
      <c r="G76" s="498">
        <f>COUNTIFS($B$9:$B$39,"ma",[0]!Marts,"Skema 3")</f>
        <v>0</v>
      </c>
      <c r="H76" s="498"/>
      <c r="I76" s="662"/>
      <c r="J76" s="662"/>
      <c r="K76" s="662"/>
      <c r="L76" s="511"/>
      <c r="M76" s="668"/>
      <c r="N76" s="668"/>
      <c r="O76" s="4"/>
      <c r="P76" s="661"/>
      <c r="R76">
        <f>IF(C11="ikke relevant",V11*-1+X11*-1,0)</f>
        <v>0</v>
      </c>
      <c r="V76">
        <f>IF(C11="ikke relevant",R11*-1,0)</f>
        <v>0</v>
      </c>
      <c r="Y76"/>
      <c r="Z76"/>
      <c r="AM76" s="1"/>
      <c r="BJ76" s="1"/>
      <c r="BU76" s="248"/>
      <c r="BV76" s="248"/>
      <c r="CY76"/>
      <c r="CZ76"/>
    </row>
    <row r="77" spans="1:109" hidden="1">
      <c r="A77" s="498" t="s">
        <v>108</v>
      </c>
      <c r="B77" s="498"/>
      <c r="C77" s="498"/>
      <c r="D77" s="498">
        <f>SUM(D64:D76)</f>
        <v>31</v>
      </c>
      <c r="E77" s="498"/>
      <c r="F77" s="498" t="s">
        <v>197</v>
      </c>
      <c r="G77" s="498">
        <f>COUNTIFS($B$9:$B$39,"ti",[0]!Marts,"Skema 3")</f>
        <v>0</v>
      </c>
      <c r="H77" s="498"/>
      <c r="I77" s="662"/>
      <c r="J77" s="662"/>
      <c r="K77" s="662"/>
      <c r="L77" s="511"/>
      <c r="M77" s="668"/>
      <c r="N77" s="668"/>
      <c r="O77" s="4"/>
      <c r="P77" s="661"/>
      <c r="R77">
        <f t="shared" ref="R77:R105" si="36">IF(C12="ikke relevant",V12*-1+X12*-1,0)</f>
        <v>0</v>
      </c>
      <c r="V77">
        <f t="shared" ref="V77:V105" si="37">IF(C12="ikke relevant",R12*-1,0)</f>
        <v>0</v>
      </c>
      <c r="Y77"/>
      <c r="Z77" s="1"/>
      <c r="AX77" s="1"/>
      <c r="BI77" s="248"/>
      <c r="BJ77" s="248"/>
      <c r="CY77"/>
      <c r="CZ77"/>
    </row>
    <row r="78" spans="1:109" hidden="1">
      <c r="A78" s="498" t="s">
        <v>239</v>
      </c>
      <c r="B78" s="498"/>
      <c r="C78" s="498"/>
      <c r="D78" s="498">
        <f>D77-D71-A87-D76</f>
        <v>21</v>
      </c>
      <c r="E78" s="505"/>
      <c r="F78" s="498" t="s">
        <v>198</v>
      </c>
      <c r="G78" s="498">
        <f>COUNTIFS($B$9:$B$39,"on",[0]!Marts,"Skema 3")</f>
        <v>0</v>
      </c>
      <c r="H78" s="498"/>
      <c r="I78" s="662"/>
      <c r="J78" s="662"/>
      <c r="K78" s="662"/>
      <c r="L78" s="511"/>
      <c r="M78" s="668"/>
      <c r="N78" s="668"/>
      <c r="O78" s="4"/>
      <c r="P78" s="661"/>
      <c r="R78">
        <f t="shared" si="36"/>
        <v>0</v>
      </c>
      <c r="V78">
        <f t="shared" si="37"/>
        <v>0</v>
      </c>
      <c r="Y78"/>
      <c r="Z78" s="1"/>
      <c r="AX78" s="1"/>
      <c r="BI78" s="248"/>
      <c r="BJ78" s="248"/>
      <c r="CY78"/>
      <c r="CZ78"/>
    </row>
    <row r="79" spans="1:109" hidden="1">
      <c r="A79" s="498"/>
      <c r="B79" s="498"/>
      <c r="C79" s="498"/>
      <c r="D79" s="498"/>
      <c r="E79" s="498"/>
      <c r="F79" s="498" t="s">
        <v>199</v>
      </c>
      <c r="G79" s="498">
        <f>COUNTIFS($B$9:$B$39,"to",[0]!Marts,"Skema 3")</f>
        <v>0</v>
      </c>
      <c r="H79" s="498"/>
      <c r="I79" s="664"/>
      <c r="J79" s="662"/>
      <c r="K79" s="662"/>
      <c r="L79" s="511"/>
      <c r="M79" s="660"/>
      <c r="N79" s="660"/>
      <c r="O79" s="4"/>
      <c r="P79" s="661"/>
      <c r="R79">
        <f t="shared" si="36"/>
        <v>0</v>
      </c>
      <c r="V79">
        <f t="shared" si="37"/>
        <v>0</v>
      </c>
      <c r="Y79"/>
      <c r="Z79" s="1"/>
      <c r="AO79" s="1"/>
      <c r="BL79" s="1"/>
      <c r="BW79" s="248"/>
      <c r="BX79" s="248"/>
      <c r="CY79"/>
      <c r="CZ79"/>
    </row>
    <row r="80" spans="1:109" hidden="1">
      <c r="A80" s="498"/>
      <c r="B80" s="498"/>
      <c r="C80" s="498"/>
      <c r="D80" s="498"/>
      <c r="E80" s="498"/>
      <c r="F80" s="498" t="s">
        <v>200</v>
      </c>
      <c r="G80" s="498">
        <f>COUNTIFS($B$9:$B$39,"fr",[0]!Marts,"Skema 3")</f>
        <v>0</v>
      </c>
      <c r="H80" s="498"/>
      <c r="I80" s="506"/>
      <c r="J80" s="511"/>
      <c r="K80" s="511"/>
      <c r="L80" s="511"/>
      <c r="M80" s="4"/>
      <c r="N80" s="4"/>
      <c r="O80" s="4"/>
      <c r="P80" s="4"/>
      <c r="R80">
        <f t="shared" si="36"/>
        <v>0</v>
      </c>
      <c r="V80">
        <f t="shared" si="37"/>
        <v>0</v>
      </c>
      <c r="Y80"/>
      <c r="Z80" s="1"/>
      <c r="AO80" s="1"/>
      <c r="BL80" s="1"/>
      <c r="BW80" s="248"/>
      <c r="BX80" s="248"/>
      <c r="CY80"/>
      <c r="CZ80"/>
    </row>
    <row r="81" spans="1:111" hidden="1">
      <c r="A81" s="498" t="s">
        <v>292</v>
      </c>
      <c r="B81" s="498"/>
      <c r="C81" s="498"/>
      <c r="D81" s="498"/>
      <c r="E81" s="498"/>
      <c r="F81" s="498"/>
      <c r="G81" s="498"/>
      <c r="H81" s="498"/>
      <c r="I81" s="506"/>
      <c r="J81" s="511"/>
      <c r="K81" s="511"/>
      <c r="L81" s="511"/>
      <c r="M81" s="4"/>
      <c r="N81" s="4"/>
      <c r="O81" s="4"/>
      <c r="P81" s="4"/>
      <c r="R81">
        <f t="shared" si="36"/>
        <v>0</v>
      </c>
      <c r="V81">
        <f t="shared" si="37"/>
        <v>0</v>
      </c>
      <c r="Y81"/>
      <c r="Z81" s="1"/>
      <c r="AO81" s="1"/>
      <c r="BL81" s="1"/>
      <c r="BW81" s="248"/>
      <c r="BX81" s="248"/>
      <c r="CY81"/>
      <c r="CZ81"/>
    </row>
    <row r="82" spans="1:111" hidden="1">
      <c r="A82" s="498">
        <f>COUNTIF($C$9:$C$10,"Skema 1")+COUNTIF($C$9:$C$10,"Skema 2")+COUNTIF($C$9:$C$10,"Skema 3")+COUNTIF($C$9:$C$10,"Skema 4")+COUNTIF($C$9:$C$10,"Fagdag")+COUNTIF($C$9:$C$10,"Emnedag")+COUNTIF($C$9:$C$10,"Lejrskole")+COUNTIF($C$9:$C$10,"Ekskursion")+COUNTIF($C$9:$C$10,"Pæd.dag")</f>
        <v>0</v>
      </c>
      <c r="B82" s="498"/>
      <c r="C82" s="498"/>
      <c r="D82" s="498"/>
      <c r="E82" s="498"/>
      <c r="F82" s="498" t="s">
        <v>201</v>
      </c>
      <c r="G82" s="498">
        <f>COUNTIFS($B$9:$B$39,"ma",[0]!Marts,"Skema 4")</f>
        <v>0</v>
      </c>
      <c r="H82" s="498"/>
      <c r="I82" s="506"/>
      <c r="J82" s="511"/>
      <c r="K82" s="511"/>
      <c r="L82" s="511"/>
      <c r="M82" s="4"/>
      <c r="N82" s="4"/>
      <c r="O82" s="4"/>
      <c r="P82" s="4"/>
      <c r="R82">
        <f t="shared" si="36"/>
        <v>0</v>
      </c>
      <c r="V82">
        <f t="shared" si="37"/>
        <v>0</v>
      </c>
      <c r="Y82"/>
      <c r="Z82" s="1"/>
      <c r="AO82" s="1"/>
      <c r="BL82" s="1"/>
      <c r="BW82" s="248"/>
      <c r="BX82" s="248"/>
      <c r="CY82"/>
      <c r="CZ82"/>
    </row>
    <row r="83" spans="1:111" hidden="1">
      <c r="A83" s="498">
        <f>COUNTIF(C16:C17,"Skema 1")+COUNTIF(C16:C17,"Skema 2")+COUNTIF(C16:C17,"Skema 3")+COUNTIF(C16:C17,"Skema 4")+COUNTIF(C16:C17,"Fagdag")+COUNTIF(C16:C17,"Emnedag")+COUNTIF(C16:C17,"Lejrskole")+COUNTIF(C16:C17,"Ekskursion")+COUNTIF(C16:C17,"Pæd.dag")</f>
        <v>0</v>
      </c>
      <c r="B83" s="498"/>
      <c r="C83" s="498"/>
      <c r="D83" s="498"/>
      <c r="E83" s="498"/>
      <c r="F83" s="498" t="s">
        <v>202</v>
      </c>
      <c r="G83" s="498">
        <f>COUNTIFS($B$9:$B$39,"ti",[0]!Marts,"Skema 4")</f>
        <v>0</v>
      </c>
      <c r="H83" s="498"/>
      <c r="I83" s="506"/>
      <c r="J83" s="511"/>
      <c r="K83" s="511"/>
      <c r="L83" s="511"/>
      <c r="M83" s="4"/>
      <c r="N83" s="4"/>
      <c r="O83" s="4"/>
      <c r="P83" s="4"/>
      <c r="R83">
        <f t="shared" si="36"/>
        <v>0</v>
      </c>
      <c r="V83">
        <f t="shared" si="37"/>
        <v>0</v>
      </c>
      <c r="Y83"/>
      <c r="Z83" s="1"/>
      <c r="AO83" s="1"/>
      <c r="BL83" s="1"/>
      <c r="BW83" s="248"/>
      <c r="BX83" s="248"/>
      <c r="CY83"/>
      <c r="CZ83"/>
    </row>
    <row r="84" spans="1:111" hidden="1">
      <c r="A84" s="498">
        <f>COUNTIF($C$23:$C$24,"Skema 1")+COUNTIF($C$23:$C$24,"Skema 2")+COUNTIF($C$23:$C$24,"Skema 3")+COUNTIF($C$23:$C$24,"Skema 4")+COUNTIF($C$23:$C$24,"Fagdag")+COUNTIF($C$23:$C$24,"Emnedag")+COUNTIF($C$23:$C$24,"Lejrskole")+COUNTIF($C$23:$C$24,"Ekskursion")+COUNTIF($C$23:$C$24,"Pæd.dag")</f>
        <v>0</v>
      </c>
      <c r="B84" s="498"/>
      <c r="C84" s="498"/>
      <c r="D84" s="498"/>
      <c r="E84" s="498"/>
      <c r="F84" s="498" t="s">
        <v>203</v>
      </c>
      <c r="G84" s="498">
        <f>COUNTIFS($B$9:$B$39,"on",[0]!Marts,"Skema 4")</f>
        <v>0</v>
      </c>
      <c r="H84" s="498"/>
      <c r="I84" s="506"/>
      <c r="J84" s="511"/>
      <c r="K84" s="511"/>
      <c r="L84" s="511"/>
      <c r="M84" s="4"/>
      <c r="N84" s="4"/>
      <c r="O84" s="4"/>
      <c r="P84" s="4"/>
      <c r="R84">
        <f t="shared" si="36"/>
        <v>0</v>
      </c>
      <c r="V84">
        <f t="shared" si="37"/>
        <v>0</v>
      </c>
      <c r="Y84"/>
      <c r="Z84" s="1"/>
      <c r="AO84" s="1"/>
      <c r="BL84" s="1"/>
      <c r="BW84" s="248"/>
      <c r="BX84" s="248"/>
      <c r="CY84"/>
      <c r="CZ84"/>
    </row>
    <row r="85" spans="1:111" hidden="1">
      <c r="A85" s="498">
        <f>COUNTIF(C30:C31,"Skema 1")+COUNTIF(C30:C31,"Skema 2")+COUNTIF(C30:C31,"Skema 3")+COUNTIF(C30:C31,"Skema 4")+COUNTIF(C30:C31,"Fagdag")+COUNTIF(C30:C31,"Emnedag")+COUNTIF(C30:C31,"Lejrskole")+COUNTIF(C30:C31,"Ekskursion")+COUNTIF(C30:C31,"Pæd.dag")</f>
        <v>0</v>
      </c>
      <c r="B85" s="498"/>
      <c r="C85" s="498"/>
      <c r="D85" s="498"/>
      <c r="E85" s="498"/>
      <c r="F85" s="498" t="s">
        <v>204</v>
      </c>
      <c r="G85" s="498">
        <f>COUNTIFS($B$9:$B$39,"to",[0]!Marts,"Skema 4")</f>
        <v>0</v>
      </c>
      <c r="H85" s="498"/>
      <c r="I85" s="506"/>
      <c r="J85" s="511"/>
      <c r="K85" s="511"/>
      <c r="L85" s="511"/>
      <c r="M85" s="4"/>
      <c r="N85" s="4"/>
      <c r="O85" s="4"/>
      <c r="P85" s="4"/>
      <c r="R85">
        <f t="shared" si="36"/>
        <v>0</v>
      </c>
      <c r="V85">
        <f t="shared" si="37"/>
        <v>0</v>
      </c>
      <c r="Y85"/>
      <c r="Z85"/>
      <c r="AO85" s="1">
        <f>SUM(N85:AN85)</f>
        <v>0</v>
      </c>
      <c r="BL85" s="1">
        <f>SUM(AI85:BK85)</f>
        <v>0</v>
      </c>
      <c r="BW85" s="248"/>
      <c r="BX85" s="248"/>
      <c r="CY85"/>
      <c r="CZ85"/>
    </row>
    <row r="86" spans="1:111" hidden="1">
      <c r="A86" s="498">
        <f>COUNTIF(C37:C38,"Skema 1")+COUNTIF(C37:C38,"Skema 2")+COUNTIF(C37:C38,"Skema 3")+COUNTIF(C37:C38,"Skema 4")+COUNTIF(C37:C38,"Fagdag")+COUNTIF(C37:C38,"Emnedag")+COUNTIF(C37:C38,"Lejrskole")+COUNTIF(C37:C38,"Ekskursion")+COUNTIF(C37:C38,"Pæd.dag")</f>
        <v>0</v>
      </c>
      <c r="B86" s="498"/>
      <c r="C86" s="498"/>
      <c r="D86" s="498"/>
      <c r="E86" s="498"/>
      <c r="F86" s="498" t="s">
        <v>205</v>
      </c>
      <c r="G86" s="498">
        <f>COUNTIFS($B$9:$B$39,"fr",[0]!Marts,"Skema 4")</f>
        <v>0</v>
      </c>
      <c r="H86" s="498"/>
      <c r="I86" s="498"/>
      <c r="J86" s="501"/>
      <c r="K86" s="501"/>
      <c r="L86" s="41"/>
      <c r="R86">
        <f t="shared" si="36"/>
        <v>0</v>
      </c>
      <c r="V86">
        <f t="shared" si="37"/>
        <v>0</v>
      </c>
      <c r="Y86"/>
      <c r="Z86"/>
      <c r="AO86" s="1">
        <f>SUM(N86:AN86)</f>
        <v>0</v>
      </c>
      <c r="BL86" s="1">
        <f>SUM(AI86:BK86)</f>
        <v>0</v>
      </c>
      <c r="BW86" s="248"/>
      <c r="BX86" s="248"/>
      <c r="CY86"/>
      <c r="CZ86"/>
    </row>
    <row r="87" spans="1:111" hidden="1">
      <c r="A87" s="498">
        <f>SUM(A82:A86)</f>
        <v>0</v>
      </c>
      <c r="B87" s="498"/>
      <c r="C87" s="498"/>
      <c r="D87" s="498"/>
      <c r="E87" s="498"/>
      <c r="F87" s="498"/>
      <c r="G87" s="503">
        <f>SUM(G64:G86)</f>
        <v>18</v>
      </c>
      <c r="H87" s="501"/>
      <c r="I87" s="498"/>
      <c r="J87" s="501"/>
      <c r="K87" s="501"/>
      <c r="L87" s="41"/>
      <c r="R87">
        <f t="shared" si="36"/>
        <v>0</v>
      </c>
      <c r="V87">
        <f t="shared" si="37"/>
        <v>0</v>
      </c>
      <c r="Y87"/>
      <c r="Z87"/>
      <c r="AO87" s="1">
        <f>SUM(N87:AN87)</f>
        <v>0</v>
      </c>
      <c r="BL87" s="1">
        <f>SUM(AI87:BK87)</f>
        <v>0</v>
      </c>
      <c r="BW87" s="248"/>
      <c r="BX87" s="248"/>
      <c r="CY87"/>
      <c r="CZ87"/>
    </row>
    <row r="88" spans="1:111" hidden="1">
      <c r="A88" s="501"/>
      <c r="B88" s="501"/>
      <c r="C88" s="501"/>
      <c r="D88" s="501"/>
      <c r="E88" s="498"/>
      <c r="F88" s="498"/>
      <c r="G88" s="498"/>
      <c r="H88" s="41"/>
      <c r="I88" s="501"/>
      <c r="J88" s="501"/>
      <c r="K88" s="501"/>
      <c r="L88" s="41"/>
      <c r="R88">
        <f t="shared" si="36"/>
        <v>0</v>
      </c>
      <c r="V88">
        <f t="shared" si="37"/>
        <v>0</v>
      </c>
      <c r="Y88"/>
      <c r="Z88"/>
      <c r="AO88" s="1">
        <f>SUM(N88:AN88)</f>
        <v>0</v>
      </c>
      <c r="BL88" s="1">
        <f>SUM(AI88:BK88)</f>
        <v>0</v>
      </c>
      <c r="BW88" s="248"/>
      <c r="BX88" s="248"/>
      <c r="CY88"/>
      <c r="CZ88"/>
    </row>
    <row r="89" spans="1:111" hidden="1">
      <c r="A89" s="501"/>
      <c r="B89" s="501"/>
      <c r="C89" s="501"/>
      <c r="D89" s="501"/>
      <c r="E89" s="498"/>
      <c r="F89" s="498"/>
      <c r="G89" s="498"/>
      <c r="H89" s="41"/>
      <c r="I89" s="41"/>
      <c r="J89" s="501"/>
      <c r="K89" s="501"/>
      <c r="L89" s="41"/>
      <c r="R89">
        <f t="shared" si="36"/>
        <v>0</v>
      </c>
      <c r="V89">
        <f t="shared" si="37"/>
        <v>0</v>
      </c>
      <c r="Y89"/>
      <c r="Z89"/>
      <c r="BW89" s="248"/>
      <c r="BX89" s="248"/>
      <c r="CY89"/>
      <c r="CZ89"/>
    </row>
    <row r="90" spans="1:111" hidden="1">
      <c r="A90" s="501"/>
      <c r="B90" s="501"/>
      <c r="C90" s="501"/>
      <c r="D90" s="501"/>
      <c r="E90" s="498"/>
      <c r="F90" s="498"/>
      <c r="G90" s="498"/>
      <c r="H90" s="41"/>
      <c r="I90" s="41"/>
      <c r="J90" s="41"/>
      <c r="K90" s="41"/>
      <c r="L90" s="41"/>
      <c r="R90">
        <f t="shared" si="36"/>
        <v>0</v>
      </c>
      <c r="V90">
        <f t="shared" si="37"/>
        <v>0</v>
      </c>
      <c r="Y90"/>
      <c r="Z90"/>
      <c r="BW90" s="248"/>
      <c r="BX90" s="248"/>
      <c r="CY90"/>
      <c r="CZ90"/>
    </row>
    <row r="91" spans="1:111" hidden="1">
      <c r="A91" s="501"/>
      <c r="B91" s="501"/>
      <c r="C91" s="501"/>
      <c r="D91" s="501"/>
      <c r="E91" s="498"/>
      <c r="F91" s="498"/>
      <c r="G91" s="498"/>
      <c r="H91" s="41"/>
      <c r="I91" s="41"/>
      <c r="J91" s="41"/>
      <c r="K91" s="41"/>
      <c r="L91" s="41"/>
      <c r="R91">
        <f t="shared" si="36"/>
        <v>0</v>
      </c>
      <c r="V91">
        <f t="shared" si="37"/>
        <v>0</v>
      </c>
      <c r="Y91"/>
      <c r="Z91"/>
      <c r="BW91" s="248"/>
      <c r="BX91" s="248"/>
      <c r="CY91"/>
      <c r="CZ91"/>
    </row>
    <row r="92" spans="1:111" hidden="1">
      <c r="A92" s="501"/>
      <c r="B92" s="501"/>
      <c r="C92" s="501"/>
      <c r="D92" s="501"/>
      <c r="E92" s="498"/>
      <c r="F92" s="498"/>
      <c r="G92" s="498"/>
      <c r="I92" s="41"/>
      <c r="J92" s="41"/>
      <c r="K92" s="41"/>
      <c r="L92" s="41"/>
      <c r="R92">
        <f t="shared" si="36"/>
        <v>0</v>
      </c>
      <c r="V92">
        <f t="shared" si="37"/>
        <v>0</v>
      </c>
      <c r="Y92"/>
      <c r="Z92"/>
      <c r="BW92" s="248"/>
      <c r="BX92" s="248"/>
      <c r="CY92"/>
      <c r="CZ92"/>
    </row>
    <row r="93" spans="1:111" hidden="1">
      <c r="A93" s="501"/>
      <c r="B93" s="501"/>
      <c r="C93" s="501"/>
      <c r="D93" s="501"/>
      <c r="E93" s="498"/>
      <c r="F93" s="498"/>
      <c r="G93" s="498"/>
      <c r="I93" s="41"/>
      <c r="J93" s="41"/>
      <c r="K93" s="41"/>
      <c r="L93" s="41"/>
      <c r="R93">
        <f t="shared" si="36"/>
        <v>0</v>
      </c>
      <c r="V93">
        <f t="shared" si="37"/>
        <v>0</v>
      </c>
      <c r="Y93"/>
      <c r="Z93"/>
      <c r="AF93" s="231"/>
      <c r="BW93" s="248"/>
      <c r="BX93" s="248"/>
      <c r="CY93"/>
      <c r="CZ93"/>
    </row>
    <row r="94" spans="1:111" hidden="1">
      <c r="E94" s="90"/>
      <c r="F94" s="90"/>
      <c r="G94" s="90"/>
      <c r="I94" s="41"/>
      <c r="J94" s="41"/>
      <c r="K94" s="41"/>
      <c r="L94" s="41"/>
      <c r="R94">
        <f t="shared" si="36"/>
        <v>0</v>
      </c>
      <c r="V94">
        <f t="shared" si="37"/>
        <v>0</v>
      </c>
      <c r="Y94"/>
      <c r="Z94"/>
      <c r="AD94" s="4"/>
      <c r="AE94" s="231"/>
      <c r="AF94" s="231"/>
      <c r="AG94" s="231"/>
      <c r="AH94" s="231"/>
      <c r="CY94"/>
      <c r="CZ94"/>
      <c r="DF94" s="248"/>
      <c r="DG94" s="248"/>
    </row>
    <row r="95" spans="1:111" hidden="1">
      <c r="E95" s="90"/>
      <c r="F95" s="90"/>
      <c r="G95" s="90"/>
      <c r="I95" s="41"/>
      <c r="J95" s="41"/>
      <c r="K95" s="41"/>
      <c r="L95" s="41"/>
      <c r="R95">
        <f t="shared" si="36"/>
        <v>0</v>
      </c>
      <c r="V95">
        <f t="shared" si="37"/>
        <v>0</v>
      </c>
      <c r="Y95"/>
      <c r="Z95"/>
      <c r="AD95" s="4"/>
      <c r="AE95" s="231"/>
      <c r="AG95" s="231"/>
      <c r="AH95" s="231"/>
      <c r="CY95"/>
      <c r="CZ95"/>
      <c r="DF95" s="248"/>
      <c r="DG95" s="248"/>
    </row>
    <row r="96" spans="1:111" hidden="1">
      <c r="E96" s="90"/>
      <c r="F96" s="90"/>
      <c r="G96" s="90"/>
      <c r="I96" s="41"/>
      <c r="J96" s="41"/>
      <c r="K96" s="41"/>
      <c r="L96" s="41"/>
      <c r="R96">
        <f t="shared" si="36"/>
        <v>0</v>
      </c>
      <c r="V96">
        <f t="shared" si="37"/>
        <v>0</v>
      </c>
    </row>
    <row r="97" spans="5:22" hidden="1">
      <c r="E97" s="90"/>
      <c r="F97" s="90"/>
      <c r="G97" s="90"/>
      <c r="I97" s="41"/>
      <c r="J97" s="41"/>
      <c r="K97" s="41"/>
      <c r="L97" s="41"/>
      <c r="R97">
        <f t="shared" si="36"/>
        <v>0</v>
      </c>
      <c r="V97">
        <f t="shared" si="37"/>
        <v>0</v>
      </c>
    </row>
    <row r="98" spans="5:22" hidden="1">
      <c r="I98" s="41"/>
      <c r="J98" s="41"/>
      <c r="K98" s="41"/>
      <c r="L98" s="41"/>
      <c r="R98">
        <f t="shared" si="36"/>
        <v>0</v>
      </c>
      <c r="V98">
        <f t="shared" si="37"/>
        <v>0</v>
      </c>
    </row>
    <row r="99" spans="5:22" hidden="1">
      <c r="I99" s="41"/>
      <c r="J99" s="41"/>
      <c r="K99" s="41"/>
      <c r="L99" s="41"/>
      <c r="R99">
        <f t="shared" si="36"/>
        <v>0</v>
      </c>
      <c r="V99">
        <f t="shared" si="37"/>
        <v>0</v>
      </c>
    </row>
    <row r="100" spans="5:22" hidden="1">
      <c r="I100" s="41"/>
      <c r="J100" s="41"/>
      <c r="K100" s="41"/>
      <c r="L100" s="445"/>
      <c r="R100">
        <f t="shared" si="36"/>
        <v>0</v>
      </c>
      <c r="V100">
        <f t="shared" si="37"/>
        <v>0</v>
      </c>
    </row>
    <row r="101" spans="5:22" hidden="1">
      <c r="I101" s="41"/>
      <c r="J101" s="41"/>
      <c r="K101" s="41"/>
      <c r="L101" s="445"/>
      <c r="R101">
        <f t="shared" si="36"/>
        <v>0</v>
      </c>
      <c r="V101">
        <f t="shared" si="37"/>
        <v>0</v>
      </c>
    </row>
    <row r="102" spans="5:22" hidden="1">
      <c r="I102" s="41"/>
      <c r="J102" s="41"/>
      <c r="K102" s="41"/>
      <c r="L102" s="445"/>
      <c r="R102">
        <f t="shared" si="36"/>
        <v>0</v>
      </c>
      <c r="V102">
        <f t="shared" si="37"/>
        <v>0</v>
      </c>
    </row>
    <row r="103" spans="5:22" hidden="1">
      <c r="I103" s="445"/>
      <c r="J103" s="41"/>
      <c r="K103" s="41"/>
      <c r="L103" s="445"/>
      <c r="R103">
        <f t="shared" si="36"/>
        <v>0</v>
      </c>
      <c r="V103">
        <f t="shared" si="37"/>
        <v>0</v>
      </c>
    </row>
    <row r="104" spans="5:22" hidden="1">
      <c r="I104" s="445"/>
      <c r="J104" s="445"/>
      <c r="K104" s="445"/>
      <c r="L104" s="445"/>
      <c r="R104">
        <f t="shared" si="36"/>
        <v>0</v>
      </c>
      <c r="V104">
        <f t="shared" si="37"/>
        <v>0</v>
      </c>
    </row>
    <row r="105" spans="5:22" ht="17" hidden="1" thickBot="1">
      <c r="I105" s="445"/>
      <c r="J105" s="445"/>
      <c r="K105" s="445"/>
      <c r="L105" s="445"/>
      <c r="R105">
        <f t="shared" si="36"/>
        <v>0</v>
      </c>
      <c r="V105">
        <f t="shared" si="37"/>
        <v>0</v>
      </c>
    </row>
    <row r="106" spans="5:22" ht="17" hidden="1" thickBot="1">
      <c r="I106" s="445"/>
      <c r="J106" s="445"/>
      <c r="K106" s="445"/>
      <c r="L106" s="445"/>
      <c r="R106" s="693">
        <f>SUM(R75:R105)+FB40</f>
        <v>0</v>
      </c>
      <c r="V106">
        <f>SUM(V75:V105)</f>
        <v>0</v>
      </c>
    </row>
    <row r="107" spans="5:22" hidden="1">
      <c r="I107" s="445"/>
      <c r="J107" s="445"/>
      <c r="K107" s="445"/>
      <c r="L107" s="445"/>
    </row>
  </sheetData>
  <sheetProtection sheet="1" objects="1" scenarios="1"/>
  <mergeCells count="174">
    <mergeCell ref="FQ8:FR8"/>
    <mergeCell ref="DS8:DV8"/>
    <mergeCell ref="DZ8:EB8"/>
    <mergeCell ref="EG8:EI8"/>
    <mergeCell ref="EM8:EN8"/>
    <mergeCell ref="EQ8:ER8"/>
    <mergeCell ref="EU8:EV8"/>
    <mergeCell ref="FC8:FD8"/>
    <mergeCell ref="FG8:FH8"/>
    <mergeCell ref="FK8:FL8"/>
    <mergeCell ref="EY8:EZ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EW6:EZ6"/>
    <mergeCell ref="A61:B61"/>
    <mergeCell ref="C61:D61"/>
    <mergeCell ref="E61:G61"/>
    <mergeCell ref="I61:K61"/>
    <mergeCell ref="A62:G62"/>
    <mergeCell ref="I62:K62"/>
    <mergeCell ref="A58:B58"/>
    <mergeCell ref="C58:D58"/>
    <mergeCell ref="E58:G58"/>
    <mergeCell ref="I58:K58"/>
    <mergeCell ref="A59:B59"/>
    <mergeCell ref="C59:D59"/>
    <mergeCell ref="E59:G59"/>
    <mergeCell ref="I59:K59"/>
    <mergeCell ref="A60:B60"/>
    <mergeCell ref="C60:D60"/>
    <mergeCell ref="E60:G60"/>
    <mergeCell ref="I60:K60"/>
    <mergeCell ref="M53:U53"/>
    <mergeCell ref="V53:X53"/>
    <mergeCell ref="I54:K54"/>
    <mergeCell ref="A67:C67"/>
    <mergeCell ref="E32:G32"/>
    <mergeCell ref="A66:C66"/>
    <mergeCell ref="I51:K51"/>
    <mergeCell ref="M50:U50"/>
    <mergeCell ref="V50:X50"/>
    <mergeCell ref="M51:U51"/>
    <mergeCell ref="V51:X51"/>
    <mergeCell ref="A50:H50"/>
    <mergeCell ref="I50:K50"/>
    <mergeCell ref="A46:G46"/>
    <mergeCell ref="I46:K46"/>
    <mergeCell ref="A47:G47"/>
    <mergeCell ref="I47:K47"/>
    <mergeCell ref="M46:U46"/>
    <mergeCell ref="A48:H48"/>
    <mergeCell ref="A56:K56"/>
    <mergeCell ref="A57:B57"/>
    <mergeCell ref="C57:D57"/>
    <mergeCell ref="E57:G57"/>
    <mergeCell ref="H57:K57"/>
    <mergeCell ref="E31:G31"/>
    <mergeCell ref="E33:G33"/>
    <mergeCell ref="E34:G34"/>
    <mergeCell ref="E35:G35"/>
    <mergeCell ref="A65:C65"/>
    <mergeCell ref="V46:X46"/>
    <mergeCell ref="M47:X47"/>
    <mergeCell ref="M48:U48"/>
    <mergeCell ref="V48:X48"/>
    <mergeCell ref="M49:U49"/>
    <mergeCell ref="V49:X49"/>
    <mergeCell ref="A44:G44"/>
    <mergeCell ref="I44:K44"/>
    <mergeCell ref="A45:G45"/>
    <mergeCell ref="I45:K45"/>
    <mergeCell ref="M45:U45"/>
    <mergeCell ref="V45:X45"/>
    <mergeCell ref="A49:H49"/>
    <mergeCell ref="I49:K49"/>
    <mergeCell ref="I48:K48"/>
    <mergeCell ref="M52:U52"/>
    <mergeCell ref="V52:X52"/>
    <mergeCell ref="A53:G54"/>
    <mergeCell ref="I53:K53"/>
    <mergeCell ref="M42:X42"/>
    <mergeCell ref="M43:U43"/>
    <mergeCell ref="V43:X43"/>
    <mergeCell ref="M44:U44"/>
    <mergeCell ref="V44:X44"/>
    <mergeCell ref="E36:G36"/>
    <mergeCell ref="E37:G37"/>
    <mergeCell ref="E38:G38"/>
    <mergeCell ref="E39:G39"/>
    <mergeCell ref="A40:I40"/>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8:J8"/>
    <mergeCell ref="AA6:AE6"/>
    <mergeCell ref="S5:X5"/>
    <mergeCell ref="A3:X3"/>
    <mergeCell ref="AG6:AK6"/>
    <mergeCell ref="E6:G8"/>
    <mergeCell ref="K6:L6"/>
    <mergeCell ref="N6:N7"/>
    <mergeCell ref="O6:O7"/>
    <mergeCell ref="E11:G11"/>
    <mergeCell ref="K8:R8"/>
    <mergeCell ref="I6:I7"/>
    <mergeCell ref="J6:J7"/>
    <mergeCell ref="S6:X6"/>
    <mergeCell ref="S8:U8"/>
    <mergeCell ref="V8:X8"/>
    <mergeCell ref="B2:E2"/>
    <mergeCell ref="E4:G4"/>
    <mergeCell ref="K4:L4"/>
    <mergeCell ref="A5:R5"/>
    <mergeCell ref="P6:P7"/>
    <mergeCell ref="Q6:Q7"/>
    <mergeCell ref="R6:R7"/>
    <mergeCell ref="A4:D4"/>
    <mergeCell ref="E12:G12"/>
    <mergeCell ref="A55:G55"/>
    <mergeCell ref="I55:K55"/>
    <mergeCell ref="E13:G13"/>
    <mergeCell ref="E14:G14"/>
    <mergeCell ref="E15:G15"/>
    <mergeCell ref="E16:G16"/>
    <mergeCell ref="E23:G23"/>
    <mergeCell ref="E24:G24"/>
    <mergeCell ref="E25:G25"/>
    <mergeCell ref="E26:G26"/>
    <mergeCell ref="E27:G27"/>
    <mergeCell ref="E17:G17"/>
    <mergeCell ref="E18:G18"/>
    <mergeCell ref="E19:G19"/>
    <mergeCell ref="E20:G20"/>
    <mergeCell ref="E21:G21"/>
    <mergeCell ref="E22:G22"/>
    <mergeCell ref="E28:G28"/>
    <mergeCell ref="A42:G42"/>
    <mergeCell ref="I42:K42"/>
    <mergeCell ref="A43:G43"/>
    <mergeCell ref="I43:K43"/>
    <mergeCell ref="E29:G29"/>
    <mergeCell ref="E30:G30"/>
  </mergeCells>
  <phoneticPr fontId="5" type="noConversion"/>
  <conditionalFormatting sqref="A9:H9 D10:H31 A10:C39 D32:E32 H32 D33:H39">
    <cfRule type="expression" dxfId="593" priority="116">
      <formula>OR($C9="ekskursion")</formula>
    </cfRule>
    <cfRule type="expression" dxfId="592" priority="122" stopIfTrue="1">
      <formula>OR($C9="Orlov")</formula>
    </cfRule>
    <cfRule type="expression" dxfId="591" priority="121">
      <formula>OR($C9="weekend")</formula>
    </cfRule>
    <cfRule type="expression" dxfId="590" priority="120">
      <formula>OR($C9="feriedag")</formula>
    </cfRule>
    <cfRule type="expression" dxfId="589" priority="119">
      <formula>OR($C9="fagdag")</formula>
    </cfRule>
    <cfRule type="expression" dxfId="588" priority="118">
      <formula>OR($C9="emnedag")</formula>
    </cfRule>
    <cfRule type="expression" dxfId="587" priority="117">
      <formula>OR($C9="lejrskole")</formula>
    </cfRule>
    <cfRule type="expression" dxfId="586" priority="115">
      <formula>OR($C9="SH-dag")</formula>
    </cfRule>
    <cfRule type="expression" dxfId="585" priority="114">
      <formula>OR($C9="nul-dag")</formula>
    </cfRule>
    <cfRule type="expression" dxfId="584" priority="113">
      <formula>OR($C9="pæd.dag")</formula>
    </cfRule>
    <cfRule type="expression" dxfId="583" priority="112">
      <formula>OR($C9="Ikke relevant")</formula>
    </cfRule>
    <cfRule type="expression" dxfId="582" priority="108">
      <formula>OR($C9="Skema 1")</formula>
    </cfRule>
    <cfRule type="expression" dxfId="581" priority="109">
      <formula>OR($C9="skema 2")</formula>
    </cfRule>
    <cfRule type="expression" dxfId="580" priority="110">
      <formula>OR($C9="Skema 3")</formula>
    </cfRule>
    <cfRule type="expression" dxfId="579" priority="111">
      <formula>OR($C9="Skema 4")</formula>
    </cfRule>
  </conditionalFormatting>
  <conditionalFormatting sqref="E20">
    <cfRule type="expression" dxfId="578" priority="124">
      <formula>OR($D19="nul-dag")</formula>
    </cfRule>
    <cfRule type="expression" dxfId="577" priority="125">
      <formula>OR($D19="SH-dag")</formula>
    </cfRule>
    <cfRule type="expression" dxfId="576" priority="126">
      <formula>OR($D19="ekskursion")</formula>
    </cfRule>
    <cfRule type="expression" dxfId="575" priority="127">
      <formula>OR($D19="lejrskole")</formula>
    </cfRule>
    <cfRule type="expression" dxfId="574" priority="123">
      <formula>OR($D19="pæd.dag")</formula>
    </cfRule>
    <cfRule type="expression" dxfId="573" priority="128">
      <formula>OR($D19="emnedag")</formula>
    </cfRule>
    <cfRule type="expression" dxfId="572" priority="129">
      <formula>OR($D19="fagdag")</formula>
    </cfRule>
    <cfRule type="expression" dxfId="571" priority="130">
      <formula>OR($D19="feriedag")</formula>
    </cfRule>
    <cfRule type="expression" dxfId="570" priority="131">
      <formula>OR($D19="weekend")</formula>
    </cfRule>
    <cfRule type="expression" dxfId="569" priority="132" stopIfTrue="1">
      <formula>OR($D19="skoledag")</formula>
    </cfRule>
    <cfRule type="expression" dxfId="568" priority="133">
      <formula>OR($D19="Ikke relevant")</formula>
    </cfRule>
  </conditionalFormatting>
  <conditionalFormatting sqref="H58:H61">
    <cfRule type="expression" dxfId="567" priority="61">
      <formula>OR($A58&gt;0,)</formula>
    </cfRule>
  </conditionalFormatting>
  <conditionalFormatting sqref="I58:I61">
    <cfRule type="expression" dxfId="566" priority="62">
      <formula>OR($C58&gt;0,)</formula>
    </cfRule>
  </conditionalFormatting>
  <conditionalFormatting sqref="K9:K39">
    <cfRule type="expression" dxfId="565" priority="105">
      <formula>OR($C9="Pæd.dag",)</formula>
    </cfRule>
  </conditionalFormatting>
  <conditionalFormatting sqref="K9:L39">
    <cfRule type="expression" dxfId="564" priority="107">
      <formula>OR($C9="Ekskursion",)</formula>
    </cfRule>
    <cfRule type="expression" dxfId="563" priority="106">
      <formula>OR($C9="Lejrskole",)</formula>
    </cfRule>
  </conditionalFormatting>
  <conditionalFormatting sqref="K9:M39">
    <cfRule type="expression" dxfId="562" priority="104">
      <formula>OR($C9="emnedag",)</formula>
    </cfRule>
    <cfRule type="expression" dxfId="561" priority="103">
      <formula>OR($C9="fagdag",)</formula>
    </cfRule>
  </conditionalFormatting>
  <conditionalFormatting sqref="R9:R39">
    <cfRule type="expression" dxfId="560" priority="134">
      <formula>OR($H9&gt;"0",)</formula>
    </cfRule>
  </conditionalFormatting>
  <conditionalFormatting sqref="V9:V39">
    <cfRule type="expression" dxfId="559" priority="70">
      <formula>OR($S9="X",)</formula>
    </cfRule>
  </conditionalFormatting>
  <conditionalFormatting sqref="V49:X52">
    <cfRule type="expression" dxfId="558" priority="63">
      <formula>OR($M49&gt;0,)</formula>
    </cfRule>
  </conditionalFormatting>
  <conditionalFormatting sqref="W9:W39">
    <cfRule type="expression" dxfId="557" priority="69">
      <formula>OR($T9="X",)</formula>
    </cfRule>
  </conditionalFormatting>
  <conditionalFormatting sqref="X9:X39">
    <cfRule type="expression" dxfId="556" priority="68">
      <formula>OR($U9="X",)</formula>
    </cfRule>
  </conditionalFormatting>
  <dataValidations count="3">
    <dataValidation type="list" allowBlank="1" showInputMessage="1" showErrorMessage="1" sqref="S9:T39 U9:U37 A58:D61" xr:uid="{F4D63E90-AEB6-994C-9941-9168DC196939}">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3:I24 I30:I31 I16:I17 I9:I10 I37:I38" xr:uid="{C24FDA66-9E9E-4644-A0F5-51911EDF1903}">
      <formula1>$W$1:$W$2</formula1>
    </dataValidation>
    <dataValidation type="list" allowBlank="1" showInputMessage="1" showErrorMessage="1" promptTitle="OBS:" prompt="Ved arrangementer med overnatning ydes istedet for ulempe- og weekendgodtgørelse på hhv. 25% og 50% faste tillæg pr. påbegyndt dag. " sqref="J9:J39" xr:uid="{59B184ED-E1DB-2540-90DF-6BA7DFBEFA4B}">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54CB9A82-557A-8945-AC1B-7C7EDF28BC5F}">
          <x14:formula1>
            <xm:f>August!$A$89:$A$103</xm:f>
          </x14:formula1>
          <xm:sqref>C9:C39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E09-7903-0A48-8AA4-7EF2F707F10D}">
  <sheetPr>
    <tabColor theme="4" tint="-0.249977111117893"/>
    <pageSetUpPr fitToPage="1"/>
  </sheetPr>
  <dimension ref="A1:GC106"/>
  <sheetViews>
    <sheetView topLeftCell="A7" zoomScale="90" workbookViewId="0">
      <selection activeCell="J23" sqref="J23"/>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1" hidden="1" customWidth="1"/>
    <col min="26" max="26" width="7" style="231"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8" hidden="1" customWidth="1"/>
    <col min="105" max="118" width="10.83203125" hidden="1" customWidth="1"/>
    <col min="119" max="185" width="0" hidden="1" customWidth="1"/>
  </cols>
  <sheetData>
    <row r="1" spans="1:185" ht="16" customHeight="1">
      <c r="A1" s="93"/>
      <c r="B1" s="90"/>
      <c r="C1" s="90"/>
      <c r="D1" s="90"/>
      <c r="E1" s="90"/>
      <c r="F1" s="90"/>
      <c r="G1" s="90"/>
      <c r="H1" s="279"/>
      <c r="I1" s="278"/>
      <c r="J1" s="90"/>
      <c r="K1" s="230"/>
      <c r="L1" s="230"/>
      <c r="M1" s="230"/>
      <c r="N1" s="230"/>
      <c r="O1" s="230"/>
      <c r="P1" s="90"/>
      <c r="Q1" s="90"/>
      <c r="R1" s="90"/>
      <c r="S1" s="90"/>
      <c r="T1" s="90"/>
      <c r="U1" s="90"/>
      <c r="V1" s="90"/>
      <c r="W1" s="90"/>
      <c r="X1" s="90"/>
      <c r="Y1"/>
      <c r="Z1" s="90"/>
      <c r="AB1" s="90"/>
      <c r="AC1" s="90"/>
      <c r="AH1" s="90"/>
      <c r="AI1" s="90"/>
      <c r="CX1" s="248"/>
      <c r="CZ1"/>
    </row>
    <row r="2" spans="1:185" ht="21" thickBot="1">
      <c r="A2" s="92">
        <v>4</v>
      </c>
      <c r="B2" s="1086"/>
      <c r="C2" s="1086"/>
      <c r="D2" s="1086"/>
      <c r="E2" s="1086"/>
      <c r="F2" s="90"/>
      <c r="G2" s="90"/>
      <c r="H2" s="279"/>
      <c r="I2" s="278"/>
      <c r="J2" s="230"/>
      <c r="K2" s="230"/>
      <c r="L2" s="230"/>
      <c r="M2" s="230"/>
      <c r="N2" s="230"/>
      <c r="O2" s="230"/>
      <c r="P2" s="90"/>
      <c r="Q2" s="90"/>
      <c r="R2" s="90"/>
      <c r="S2" s="90"/>
      <c r="T2" s="90"/>
      <c r="U2" s="90"/>
      <c r="V2" s="90"/>
      <c r="W2" s="123" t="s">
        <v>31</v>
      </c>
      <c r="X2" s="123" t="s">
        <v>31</v>
      </c>
      <c r="Y2"/>
      <c r="Z2" s="90"/>
      <c r="AB2" s="90"/>
      <c r="AC2" s="90"/>
      <c r="AH2" s="90"/>
      <c r="AI2" s="90"/>
      <c r="CX2" s="248"/>
      <c r="CZ2"/>
    </row>
    <row r="3" spans="1:185" ht="17" thickBot="1">
      <c r="A3" s="1115" t="s">
        <v>310</v>
      </c>
      <c r="B3" s="1116"/>
      <c r="C3" s="1116"/>
      <c r="D3" s="1116"/>
      <c r="E3" s="1116"/>
      <c r="F3" s="1116"/>
      <c r="G3" s="1116"/>
      <c r="H3" s="1116"/>
      <c r="I3" s="1116"/>
      <c r="J3" s="1116"/>
      <c r="K3" s="1116"/>
      <c r="L3" s="1116"/>
      <c r="M3" s="1116"/>
      <c r="N3" s="1116"/>
      <c r="O3" s="1116"/>
      <c r="P3" s="1116"/>
      <c r="Q3" s="1116"/>
      <c r="R3" s="1116"/>
      <c r="S3" s="1116"/>
      <c r="T3" s="1116"/>
      <c r="U3" s="1116"/>
      <c r="V3" s="1116"/>
      <c r="W3" s="1116"/>
      <c r="X3" s="1117"/>
      <c r="Y3" s="90"/>
      <c r="Z3"/>
      <c r="AC3" s="90"/>
      <c r="AD3" s="90"/>
      <c r="AF3" s="90"/>
      <c r="CT3" s="248"/>
      <c r="CU3" s="248"/>
      <c r="CY3"/>
      <c r="CZ3"/>
      <c r="FI3" s="878" t="s">
        <v>636</v>
      </c>
      <c r="FJ3" s="879"/>
      <c r="FK3" s="879"/>
      <c r="FL3" s="879"/>
      <c r="FM3" s="879"/>
      <c r="FN3" s="879"/>
      <c r="FO3" s="879"/>
      <c r="FP3" s="879"/>
      <c r="FQ3" s="879"/>
      <c r="FR3" s="879"/>
      <c r="FS3" s="879"/>
      <c r="FT3" s="879"/>
      <c r="FU3" s="879"/>
      <c r="FV3" s="879"/>
      <c r="FW3" s="879"/>
      <c r="FX3" s="879"/>
      <c r="FY3" s="879"/>
      <c r="FZ3" s="879"/>
      <c r="GA3" s="879"/>
      <c r="GB3" s="879"/>
      <c r="GC3" s="880"/>
    </row>
    <row r="4" spans="1:185" ht="236" customHeight="1" thickBot="1">
      <c r="A4" s="915" t="s">
        <v>432</v>
      </c>
      <c r="B4" s="916"/>
      <c r="C4" s="916"/>
      <c r="D4" s="916"/>
      <c r="E4" s="920" t="s">
        <v>311</v>
      </c>
      <c r="F4" s="920"/>
      <c r="G4" s="920"/>
      <c r="H4" s="280" t="s">
        <v>414</v>
      </c>
      <c r="I4" s="438" t="s">
        <v>467</v>
      </c>
      <c r="J4" s="438" t="s">
        <v>468</v>
      </c>
      <c r="K4" s="931" t="s">
        <v>515</v>
      </c>
      <c r="L4" s="931"/>
      <c r="M4" s="486" t="s">
        <v>457</v>
      </c>
      <c r="N4" s="486" t="s">
        <v>433</v>
      </c>
      <c r="O4" s="486" t="s">
        <v>434</v>
      </c>
      <c r="P4" s="487" t="s">
        <v>458</v>
      </c>
      <c r="Q4" s="487" t="s">
        <v>309</v>
      </c>
      <c r="R4" s="487" t="s">
        <v>435</v>
      </c>
      <c r="S4" s="488" t="s">
        <v>465</v>
      </c>
      <c r="T4" s="488" t="s">
        <v>436</v>
      </c>
      <c r="U4" s="488" t="s">
        <v>437</v>
      </c>
      <c r="V4" s="489" t="s">
        <v>459</v>
      </c>
      <c r="W4" s="489" t="s">
        <v>400</v>
      </c>
      <c r="X4" s="490" t="s">
        <v>399</v>
      </c>
      <c r="Y4" s="246"/>
      <c r="Z4" s="90"/>
      <c r="AB4" s="90"/>
      <c r="AC4" s="90"/>
      <c r="AH4" s="90"/>
      <c r="AI4" s="90"/>
      <c r="CX4" s="248"/>
      <c r="CZ4"/>
      <c r="FI4" s="730" t="s">
        <v>634</v>
      </c>
      <c r="FJ4" s="730"/>
      <c r="FK4" s="730"/>
      <c r="FL4" s="730"/>
      <c r="FM4" t="s">
        <v>627</v>
      </c>
      <c r="FO4" s="730" t="s">
        <v>633</v>
      </c>
      <c r="FP4" s="730"/>
      <c r="FQ4" s="730"/>
      <c r="FR4" s="730"/>
    </row>
    <row r="5" spans="1:185" ht="26" customHeight="1" thickBot="1">
      <c r="A5" s="932" t="str">
        <f>""&amp;A7&amp;" måneds kalender for: "&amp;Stamoplysninger!E8&amp;". Måneden vedr. normperioden: "&amp;Stamoplysninger!E11&amp;" - "&amp;Stamoplysninger!G11&amp;"."</f>
        <v>April måneds kalender for: Beate Simonsen. Måneden vedr. normperioden: 01.08.2024 - 31.07.2025.</v>
      </c>
      <c r="B5" s="933"/>
      <c r="C5" s="933"/>
      <c r="D5" s="933"/>
      <c r="E5" s="933"/>
      <c r="F5" s="933"/>
      <c r="G5" s="933"/>
      <c r="H5" s="933"/>
      <c r="I5" s="933"/>
      <c r="J5" s="933"/>
      <c r="K5" s="933"/>
      <c r="L5" s="933"/>
      <c r="M5" s="933"/>
      <c r="N5" s="933"/>
      <c r="O5" s="933"/>
      <c r="P5" s="933"/>
      <c r="Q5" s="933"/>
      <c r="R5" s="933"/>
      <c r="S5" s="925" t="s">
        <v>397</v>
      </c>
      <c r="T5" s="926"/>
      <c r="U5" s="926"/>
      <c r="V5" s="926"/>
      <c r="W5" s="926"/>
      <c r="X5" s="927"/>
      <c r="Y5" s="246"/>
      <c r="Z5" s="90"/>
      <c r="AB5" s="90"/>
      <c r="AC5" s="90"/>
      <c r="AH5" s="90"/>
      <c r="AI5" s="90"/>
      <c r="CX5" s="248"/>
      <c r="CZ5"/>
      <c r="FI5" s="881" t="s">
        <v>620</v>
      </c>
      <c r="FJ5" s="881"/>
      <c r="FK5" s="881"/>
      <c r="FL5" s="881"/>
      <c r="FM5" s="881"/>
      <c r="FN5" s="881"/>
      <c r="FO5" s="881"/>
      <c r="FP5" s="881"/>
      <c r="FQ5" s="881"/>
      <c r="FR5" s="881"/>
      <c r="FU5" t="s">
        <v>635</v>
      </c>
      <c r="FV5" t="s">
        <v>628</v>
      </c>
      <c r="FX5" t="s">
        <v>629</v>
      </c>
      <c r="FZ5" t="s">
        <v>630</v>
      </c>
      <c r="GB5" s="526" t="s">
        <v>631</v>
      </c>
    </row>
    <row r="6" spans="1:185" ht="47" customHeight="1">
      <c r="A6" s="329">
        <f>Januar!A6</f>
        <v>2025</v>
      </c>
      <c r="B6" s="242"/>
      <c r="C6" s="243"/>
      <c r="D6" s="244"/>
      <c r="E6" s="940" t="s">
        <v>471</v>
      </c>
      <c r="F6" s="941"/>
      <c r="G6" s="942"/>
      <c r="H6" s="326" t="s">
        <v>324</v>
      </c>
      <c r="I6" s="888" t="s">
        <v>466</v>
      </c>
      <c r="J6" s="938" t="s">
        <v>487</v>
      </c>
      <c r="K6" s="934" t="s">
        <v>303</v>
      </c>
      <c r="L6" s="935"/>
      <c r="M6" s="327" t="s">
        <v>304</v>
      </c>
      <c r="N6" s="888" t="s">
        <v>447</v>
      </c>
      <c r="O6" s="888" t="s">
        <v>308</v>
      </c>
      <c r="P6" s="888" t="s">
        <v>456</v>
      </c>
      <c r="Q6" s="888" t="s">
        <v>387</v>
      </c>
      <c r="R6" s="891" t="s">
        <v>516</v>
      </c>
      <c r="S6" s="953" t="s">
        <v>305</v>
      </c>
      <c r="T6" s="954"/>
      <c r="U6" s="954"/>
      <c r="V6" s="954"/>
      <c r="W6" s="954"/>
      <c r="X6" s="955"/>
      <c r="Y6" s="212"/>
      <c r="Z6" s="212"/>
      <c r="AA6" s="890" t="s">
        <v>261</v>
      </c>
      <c r="AB6" s="890"/>
      <c r="AC6" s="890"/>
      <c r="AD6" s="890"/>
      <c r="AE6" s="890"/>
      <c r="AF6" s="209"/>
      <c r="AG6" s="890" t="s">
        <v>222</v>
      </c>
      <c r="AH6" s="890"/>
      <c r="AI6" s="890"/>
      <c r="AJ6" s="890"/>
      <c r="AK6" s="890"/>
      <c r="AL6" s="890" t="s">
        <v>223</v>
      </c>
      <c r="AM6" s="890"/>
      <c r="AN6" s="890"/>
      <c r="AO6" s="890"/>
      <c r="AP6" s="890"/>
      <c r="AQ6" s="890" t="s">
        <v>224</v>
      </c>
      <c r="AR6" s="890"/>
      <c r="AS6" s="890"/>
      <c r="AT6" s="890"/>
      <c r="AU6" s="890"/>
      <c r="AV6" s="890" t="s">
        <v>225</v>
      </c>
      <c r="AW6" s="890"/>
      <c r="AX6" s="890"/>
      <c r="AY6" s="890"/>
      <c r="AZ6" s="890"/>
      <c r="BA6" s="299"/>
      <c r="BB6" s="209"/>
      <c r="BC6" s="890" t="s">
        <v>264</v>
      </c>
      <c r="BD6" s="890"/>
      <c r="BE6" s="890"/>
      <c r="BF6" s="890"/>
      <c r="BG6" s="890" t="s">
        <v>227</v>
      </c>
      <c r="BH6" s="890"/>
      <c r="BI6" s="890"/>
      <c r="BJ6" s="890"/>
      <c r="BK6" s="890"/>
      <c r="BL6" s="890" t="s">
        <v>228</v>
      </c>
      <c r="BM6" s="890"/>
      <c r="BN6" s="890"/>
      <c r="BO6" s="890"/>
      <c r="BP6" s="890"/>
      <c r="BQ6" s="890" t="s">
        <v>229</v>
      </c>
      <c r="BR6" s="890"/>
      <c r="BS6" s="890"/>
      <c r="BT6" s="890"/>
      <c r="BU6" s="890"/>
      <c r="BV6" s="890" t="s">
        <v>230</v>
      </c>
      <c r="BW6" s="890"/>
      <c r="BX6" s="890"/>
      <c r="BY6" s="890"/>
      <c r="BZ6" s="890"/>
      <c r="CD6" s="890" t="s">
        <v>265</v>
      </c>
      <c r="CE6" s="890"/>
      <c r="CF6" s="890"/>
      <c r="CG6" s="890"/>
      <c r="CH6" s="890"/>
      <c r="CI6" s="890" t="s">
        <v>267</v>
      </c>
      <c r="CJ6" s="890"/>
      <c r="CK6" s="890"/>
      <c r="CL6" s="890"/>
      <c r="CM6" s="890"/>
      <c r="CN6" s="890" t="s">
        <v>266</v>
      </c>
      <c r="CO6" s="890"/>
      <c r="CP6" s="890"/>
      <c r="CQ6" s="890"/>
      <c r="CR6" s="890"/>
      <c r="CS6" s="890" t="s">
        <v>268</v>
      </c>
      <c r="CT6" s="890"/>
      <c r="CU6" s="890"/>
      <c r="CV6" s="890"/>
      <c r="CW6" s="890"/>
      <c r="CX6" s="248"/>
      <c r="CZ6"/>
      <c r="DA6" s="730" t="s">
        <v>212</v>
      </c>
      <c r="DB6" s="730"/>
      <c r="DC6" s="730"/>
      <c r="DD6" s="730"/>
      <c r="DE6" s="730"/>
      <c r="DO6" s="1049" t="s">
        <v>320</v>
      </c>
      <c r="DP6" s="1050"/>
      <c r="DQ6" s="1050"/>
      <c r="DR6" s="1050"/>
      <c r="DS6" s="1050"/>
      <c r="DT6" s="1050"/>
      <c r="DU6" s="1050"/>
      <c r="DV6" s="1051"/>
      <c r="DW6" s="1052" t="s">
        <v>320</v>
      </c>
      <c r="DX6" s="1053"/>
      <c r="DY6" s="1053"/>
      <c r="DZ6" s="1053"/>
      <c r="EA6" s="1053"/>
      <c r="EB6" s="1054"/>
      <c r="EC6" s="1055" t="s">
        <v>376</v>
      </c>
      <c r="ED6" s="1056"/>
      <c r="EE6" s="1056"/>
      <c r="EF6" s="1056"/>
      <c r="EG6" s="1056"/>
      <c r="EH6" s="1056"/>
      <c r="EI6" s="1056"/>
      <c r="EJ6" s="1057"/>
      <c r="EK6" s="1058" t="s">
        <v>321</v>
      </c>
      <c r="EL6" s="1059"/>
      <c r="EM6" s="1059"/>
      <c r="EN6" s="1060"/>
      <c r="EO6" s="1058" t="s">
        <v>325</v>
      </c>
      <c r="EP6" s="1059"/>
      <c r="EQ6" s="1059"/>
      <c r="ER6" s="1060"/>
      <c r="ES6" s="873" t="s">
        <v>379</v>
      </c>
      <c r="ET6" s="874"/>
      <c r="EU6" s="874"/>
      <c r="EV6" s="875"/>
      <c r="EW6" s="873" t="s">
        <v>380</v>
      </c>
      <c r="EX6" s="874"/>
      <c r="EY6" s="874"/>
      <c r="EZ6" s="875"/>
      <c r="FA6" s="873" t="s">
        <v>381</v>
      </c>
      <c r="FB6" s="874"/>
      <c r="FC6" s="874"/>
      <c r="FD6" s="875"/>
      <c r="FE6" s="873" t="s">
        <v>382</v>
      </c>
      <c r="FF6" s="874"/>
      <c r="FG6" s="874"/>
      <c r="FH6" s="875"/>
      <c r="FI6" s="883" t="s">
        <v>605</v>
      </c>
      <c r="FJ6" s="884"/>
      <c r="FK6" s="884"/>
      <c r="FL6" s="1061"/>
      <c r="FM6" s="882" t="s">
        <v>381</v>
      </c>
      <c r="FN6" s="882"/>
      <c r="FO6" s="883" t="s">
        <v>632</v>
      </c>
      <c r="FP6" s="884"/>
      <c r="FQ6" s="884"/>
      <c r="FR6" s="885"/>
      <c r="FS6" s="886" t="s">
        <v>622</v>
      </c>
      <c r="FT6" s="887"/>
      <c r="FU6" t="s">
        <v>625</v>
      </c>
      <c r="FV6" s="882" t="s">
        <v>379</v>
      </c>
      <c r="FW6" s="882"/>
      <c r="FX6" s="882" t="s">
        <v>380</v>
      </c>
      <c r="FY6" s="882"/>
      <c r="FZ6" s="882" t="s">
        <v>382</v>
      </c>
      <c r="GA6" s="882"/>
      <c r="GB6" s="882" t="s">
        <v>378</v>
      </c>
      <c r="GC6" s="882"/>
    </row>
    <row r="7" spans="1:185" ht="201" customHeight="1">
      <c r="A7" s="997" t="s">
        <v>286</v>
      </c>
      <c r="B7" s="998"/>
      <c r="C7" s="998"/>
      <c r="D7" s="999"/>
      <c r="E7" s="943"/>
      <c r="F7" s="944"/>
      <c r="G7" s="945"/>
      <c r="H7" s="952" t="s">
        <v>486</v>
      </c>
      <c r="I7" s="937"/>
      <c r="J7" s="939"/>
      <c r="K7" s="328" t="s">
        <v>517</v>
      </c>
      <c r="L7" s="328" t="s">
        <v>518</v>
      </c>
      <c r="M7" s="328" t="s">
        <v>519</v>
      </c>
      <c r="N7" s="889"/>
      <c r="O7" s="889"/>
      <c r="P7" s="889"/>
      <c r="Q7" s="889"/>
      <c r="R7" s="892"/>
      <c r="S7" s="492" t="s">
        <v>738</v>
      </c>
      <c r="T7" s="327" t="s">
        <v>307</v>
      </c>
      <c r="U7" s="327" t="s">
        <v>401</v>
      </c>
      <c r="V7" s="443" t="s">
        <v>439</v>
      </c>
      <c r="W7" s="443" t="s">
        <v>438</v>
      </c>
      <c r="X7" s="444" t="s">
        <v>398</v>
      </c>
      <c r="Y7" s="212" t="s">
        <v>279</v>
      </c>
      <c r="Z7" s="436" t="s">
        <v>280</v>
      </c>
      <c r="AA7" s="300" t="s">
        <v>211</v>
      </c>
      <c r="AB7" t="s">
        <v>136</v>
      </c>
      <c r="AC7" t="s">
        <v>139</v>
      </c>
      <c r="AD7" t="s">
        <v>138</v>
      </c>
      <c r="AE7" t="s">
        <v>137</v>
      </c>
      <c r="AF7" t="s">
        <v>416</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8"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2" t="s">
        <v>231</v>
      </c>
      <c r="CB7" s="234" t="s">
        <v>251</v>
      </c>
      <c r="CC7" s="300"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8" t="s">
        <v>277</v>
      </c>
      <c r="CY7" s="248" t="s">
        <v>269</v>
      </c>
      <c r="CZ7" s="248" t="s">
        <v>270</v>
      </c>
      <c r="DA7" s="248" t="s">
        <v>271</v>
      </c>
      <c r="DB7" s="248" t="s">
        <v>272</v>
      </c>
      <c r="DC7" s="248" t="s">
        <v>273</v>
      </c>
      <c r="DD7" s="248" t="s">
        <v>274</v>
      </c>
      <c r="DE7" s="248" t="s">
        <v>275</v>
      </c>
      <c r="DF7" s="248" t="s">
        <v>276</v>
      </c>
      <c r="DG7" s="248"/>
      <c r="DO7" s="649" t="s">
        <v>720</v>
      </c>
      <c r="DP7" s="300" t="s">
        <v>721</v>
      </c>
      <c r="DQ7" s="703" t="s">
        <v>725</v>
      </c>
      <c r="DR7" s="703" t="s">
        <v>722</v>
      </c>
      <c r="DS7" s="650" t="s">
        <v>727</v>
      </c>
      <c r="DT7" s="650" t="str">
        <f>DP7</f>
        <v>Ulempetillæg på weekenddage - kræver der er sat kryds i weekendarbejde. KOLONNE I</v>
      </c>
      <c r="DU7" s="705" t="s">
        <v>728</v>
      </c>
      <c r="DV7" s="704" t="str">
        <f>DR7</f>
        <v>Ulempetillæg ændringer på weekenddage. Kræver der er sat kryds i ændring i timetal og at det er en weekeend. KOLONNE I OG S</v>
      </c>
      <c r="DW7" s="649" t="s">
        <v>598</v>
      </c>
      <c r="DX7" s="300" t="s">
        <v>596</v>
      </c>
      <c r="DY7" s="300" t="s">
        <v>597</v>
      </c>
      <c r="DZ7" s="650" t="str">
        <f>DW7</f>
        <v>17-06 timer til udbetaling inkl. ændringer 17-06</v>
      </c>
      <c r="EA7" s="650" t="str">
        <f>DX7</f>
        <v>Ulempetillæg på weekenddage</v>
      </c>
      <c r="EB7" s="651" t="str">
        <f>DY7</f>
        <v>Ulempetillæg ændringer på weekenddage</v>
      </c>
      <c r="EC7" s="706" t="s">
        <v>723</v>
      </c>
      <c r="ED7" s="703" t="s">
        <v>724</v>
      </c>
      <c r="EE7" s="703" t="s">
        <v>726</v>
      </c>
      <c r="EF7" s="703" t="s">
        <v>722</v>
      </c>
      <c r="EG7" s="650" t="s">
        <v>727</v>
      </c>
      <c r="EH7" s="705" t="str">
        <f>ED7</f>
        <v>Ulempetillæg på weekenddage til afspadsering. Kræver der er sat kryds i weekendarb. KOLONNE I</v>
      </c>
      <c r="EI7" s="705" t="s">
        <v>728</v>
      </c>
      <c r="EJ7" s="704" t="str">
        <f>EF7</f>
        <v>Ulempetillæg ændringer på weekenddage. Kræver der er sat kryds i ændring i timetal og at det er en weekeend. KOLONNE I OG S</v>
      </c>
      <c r="EK7" s="656" t="s">
        <v>730</v>
      </c>
      <c r="EL7" s="654" t="s">
        <v>729</v>
      </c>
      <c r="EM7" s="655" t="s">
        <v>733</v>
      </c>
      <c r="EN7" s="657" t="s">
        <v>732</v>
      </c>
      <c r="EO7" s="656" t="s">
        <v>730</v>
      </c>
      <c r="EP7" s="654" t="s">
        <v>729</v>
      </c>
      <c r="EQ7" s="655" t="s">
        <v>733</v>
      </c>
      <c r="ER7" s="657" t="s">
        <v>732</v>
      </c>
      <c r="ES7" s="656" t="s">
        <v>734</v>
      </c>
      <c r="ET7" s="654" t="s">
        <v>735</v>
      </c>
      <c r="EU7" s="655" t="s">
        <v>731</v>
      </c>
      <c r="EV7" s="657" t="s">
        <v>736</v>
      </c>
      <c r="EW7" s="656" t="s">
        <v>734</v>
      </c>
      <c r="EX7" s="654" t="s">
        <v>735</v>
      </c>
      <c r="EY7" s="655" t="s">
        <v>731</v>
      </c>
      <c r="EZ7" s="657" t="s">
        <v>736</v>
      </c>
      <c r="FA7" s="656" t="s">
        <v>737</v>
      </c>
      <c r="FB7" s="654" t="s">
        <v>735</v>
      </c>
      <c r="FC7" s="655" t="s">
        <v>731</v>
      </c>
      <c r="FD7" s="657" t="s">
        <v>736</v>
      </c>
      <c r="FE7" s="656" t="str">
        <f>FA7</f>
        <v>Weekendtimer på weekenddage</v>
      </c>
      <c r="FF7" s="654" t="s">
        <v>735</v>
      </c>
      <c r="FG7" s="655" t="s">
        <v>731</v>
      </c>
      <c r="FH7" s="657" t="s">
        <v>736</v>
      </c>
      <c r="FI7" s="682" t="s">
        <v>619</v>
      </c>
      <c r="FJ7" s="654" t="s">
        <v>600</v>
      </c>
      <c r="FK7" s="682" t="s">
        <v>619</v>
      </c>
      <c r="FL7" s="657" t="s">
        <v>600</v>
      </c>
      <c r="FM7" s="683" t="s">
        <v>613</v>
      </c>
      <c r="FN7" s="684" t="s">
        <v>614</v>
      </c>
      <c r="FO7" s="682" t="s">
        <v>599</v>
      </c>
      <c r="FP7" s="654" t="s">
        <v>600</v>
      </c>
      <c r="FQ7" s="686" t="s">
        <v>599</v>
      </c>
      <c r="FR7" s="687" t="s">
        <v>600</v>
      </c>
      <c r="FS7" s="691" t="s">
        <v>621</v>
      </c>
      <c r="FT7" s="684" t="s">
        <v>621</v>
      </c>
      <c r="FU7" s="300" t="s">
        <v>624</v>
      </c>
      <c r="FV7" s="683" t="s">
        <v>626</v>
      </c>
      <c r="FW7" s="683" t="s">
        <v>626</v>
      </c>
      <c r="FX7" s="683" t="s">
        <v>626</v>
      </c>
      <c r="FY7" s="683" t="s">
        <v>626</v>
      </c>
      <c r="FZ7" s="683" t="s">
        <v>615</v>
      </c>
      <c r="GA7" s="684" t="s">
        <v>616</v>
      </c>
      <c r="GB7" s="683" t="s">
        <v>615</v>
      </c>
      <c r="GC7" s="684" t="s">
        <v>616</v>
      </c>
    </row>
    <row r="8" spans="1:185" ht="20" customHeight="1">
      <c r="A8" s="1000"/>
      <c r="B8" s="1001"/>
      <c r="C8" s="1001"/>
      <c r="D8" s="1002"/>
      <c r="E8" s="946"/>
      <c r="F8" s="947"/>
      <c r="G8" s="948"/>
      <c r="H8" s="889"/>
      <c r="I8" s="928" t="s">
        <v>383</v>
      </c>
      <c r="J8" s="936"/>
      <c r="K8" s="928" t="s">
        <v>326</v>
      </c>
      <c r="L8" s="929"/>
      <c r="M8" s="929"/>
      <c r="N8" s="929"/>
      <c r="O8" s="929"/>
      <c r="P8" s="929"/>
      <c r="Q8" s="929"/>
      <c r="R8" s="929"/>
      <c r="S8" s="956" t="s">
        <v>383</v>
      </c>
      <c r="T8" s="929"/>
      <c r="U8" s="936"/>
      <c r="V8" s="1090" t="s">
        <v>384</v>
      </c>
      <c r="W8" s="1091"/>
      <c r="X8" s="1092"/>
      <c r="Y8" s="212"/>
      <c r="Z8" s="436"/>
      <c r="AA8" s="300"/>
      <c r="BB8" s="228"/>
      <c r="CA8" s="112"/>
      <c r="CB8" s="234"/>
      <c r="CC8" s="300"/>
      <c r="CX8" s="248"/>
      <c r="DA8" s="248"/>
      <c r="DB8" s="248"/>
      <c r="DC8" s="248"/>
      <c r="DD8" s="248"/>
      <c r="DE8" s="248"/>
      <c r="DF8" s="248"/>
      <c r="DG8" s="248"/>
      <c r="DH8" t="s">
        <v>493</v>
      </c>
      <c r="DI8" t="s">
        <v>494</v>
      </c>
      <c r="DJ8" t="s">
        <v>495</v>
      </c>
      <c r="DO8" s="652"/>
      <c r="DS8" s="1063" t="s">
        <v>162</v>
      </c>
      <c r="DT8" s="1063"/>
      <c r="DU8" s="1063"/>
      <c r="DV8" s="1064"/>
      <c r="DW8" s="652"/>
      <c r="DZ8" s="1065" t="s">
        <v>162</v>
      </c>
      <c r="EA8" s="1065"/>
      <c r="EB8" s="1066"/>
      <c r="EG8" s="1065" t="s">
        <v>162</v>
      </c>
      <c r="EH8" s="1065"/>
      <c r="EI8" s="1065"/>
      <c r="EJ8" s="653"/>
      <c r="EK8" s="283"/>
      <c r="EL8" s="251"/>
      <c r="EM8" s="876" t="s">
        <v>162</v>
      </c>
      <c r="EN8" s="877"/>
      <c r="EO8" s="283"/>
      <c r="EP8" s="251"/>
      <c r="EQ8" s="876" t="s">
        <v>162</v>
      </c>
      <c r="ER8" s="877"/>
      <c r="ES8" s="283"/>
      <c r="ET8" s="251"/>
      <c r="EU8" s="876" t="s">
        <v>162</v>
      </c>
      <c r="EV8" s="877"/>
      <c r="EW8" s="283"/>
      <c r="EX8" s="251"/>
      <c r="EY8" s="876" t="s">
        <v>162</v>
      </c>
      <c r="EZ8" s="877"/>
      <c r="FA8" s="283"/>
      <c r="FB8" s="251"/>
      <c r="FC8" s="876" t="s">
        <v>162</v>
      </c>
      <c r="FD8" s="877"/>
      <c r="FE8" s="283"/>
      <c r="FF8" s="251"/>
      <c r="FG8" s="876" t="s">
        <v>162</v>
      </c>
      <c r="FH8" s="877"/>
      <c r="FI8" s="283"/>
      <c r="FJ8" s="251"/>
      <c r="FK8" s="876" t="s">
        <v>162</v>
      </c>
      <c r="FL8" s="877"/>
      <c r="FN8" s="645" t="s">
        <v>160</v>
      </c>
      <c r="FO8" s="283"/>
      <c r="FP8" s="251"/>
      <c r="FQ8" s="876" t="s">
        <v>162</v>
      </c>
      <c r="FR8" s="1062"/>
      <c r="FS8" s="283"/>
      <c r="FT8" s="692" t="s">
        <v>160</v>
      </c>
      <c r="FW8" s="645" t="s">
        <v>160</v>
      </c>
      <c r="FY8" s="645" t="s">
        <v>160</v>
      </c>
      <c r="GA8" s="645" t="s">
        <v>160</v>
      </c>
      <c r="GC8" s="645" t="s">
        <v>160</v>
      </c>
    </row>
    <row r="9" spans="1:185">
      <c r="A9" s="245">
        <f>IF(ISNUMBER(A7),A7+1,1)</f>
        <v>1</v>
      </c>
      <c r="B9" s="128" t="str">
        <f t="shared" ref="B9:B38" si="0">CHOOSE(MOD(WEEKDAY(DATE(A$6,A$2,A9)),7)+1,"lø","sø","ma","ti","on","to","fr",)</f>
        <v>ti</v>
      </c>
      <c r="C9" s="129" t="s">
        <v>207</v>
      </c>
      <c r="D9" s="130" t="str">
        <f t="shared" ref="D9:D38" si="1">IF(B9="ma",(DATE(A$6,A$2,A9)-DATE(A$6,1,1)+7)/7,"")</f>
        <v/>
      </c>
      <c r="E9" s="917"/>
      <c r="F9" s="918"/>
      <c r="G9" s="919"/>
      <c r="H9" s="298"/>
      <c r="I9" s="527"/>
      <c r="J9" s="413"/>
      <c r="K9" s="380"/>
      <c r="L9" s="380"/>
      <c r="M9" s="380"/>
      <c r="N9" s="318">
        <f>BA9</f>
        <v>8.5</v>
      </c>
      <c r="O9" s="318">
        <f>CA9</f>
        <v>3.75</v>
      </c>
      <c r="P9" s="318">
        <f>IF(Stamoplysninger!$H$29="JA",April!DG9,CX9)</f>
        <v>1.5</v>
      </c>
      <c r="Q9" s="318">
        <f>IF(OR(C9="Lejrskole",C9="Ekskursion"),0,N9-O9-P9)</f>
        <v>3.25</v>
      </c>
      <c r="R9" s="319"/>
      <c r="S9" s="324"/>
      <c r="T9" s="325"/>
      <c r="U9" s="325"/>
      <c r="V9" s="435"/>
      <c r="W9" s="435"/>
      <c r="X9" s="644"/>
      <c r="Y9">
        <f>IF($S$9="x",V9-N9,0)</f>
        <v>0</v>
      </c>
      <c r="Z9" s="437">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f>IF(AND(C9="Skema 2",B9="ti"),Arbejdstidsoversigt!$E$82,"")</f>
        <v>8.5</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8.5</v>
      </c>
      <c r="BB9" s="229">
        <f t="shared" ref="BB9:BB38" si="7">SUM(AG9:AK9)*24</f>
        <v>0</v>
      </c>
      <c r="BC9" s="1">
        <f>IF($C$9="Lejrskole",$L$9,0)</f>
        <v>0</v>
      </c>
      <c r="BD9" s="1">
        <f t="shared" ref="BD9:BD38" si="8">IF(C9="Ekskursion",L9,0)</f>
        <v>0</v>
      </c>
      <c r="BE9" s="1">
        <f t="shared" ref="BE9:BE38" si="9">IF(C9="fagdag",L9,0)</f>
        <v>0</v>
      </c>
      <c r="BF9" s="1">
        <f t="shared" ref="BF9:BF38" si="10">IF(C9="emnedag",L9,0)</f>
        <v>0</v>
      </c>
      <c r="BG9" s="210" t="str">
        <f>IF(AND(C9="Skema 1",B9="ma"),Skemaoplysninger!$E$30,"")</f>
        <v/>
      </c>
      <c r="BH9" s="210" t="str">
        <f>IF(AND(C9="Skema 1",B9="ti"),Skemaoplysninger!$G$30,"")</f>
        <v/>
      </c>
      <c r="BI9" s="210" t="str">
        <f>IF(AND(C9="Skema 1",B9="on"),Skemaoplysninger!$I$30,"")</f>
        <v/>
      </c>
      <c r="BJ9" s="210" t="str">
        <f>IF(AND(C9="Skema 1",B9="to"),Skemaoplysninger!$K$30,"")</f>
        <v/>
      </c>
      <c r="BK9" s="210" t="str">
        <f>IF(AND(C9="Skema 1",B9="fr"),Skemaoplysninger!$M$30,"")</f>
        <v/>
      </c>
      <c r="BL9" s="210" t="str">
        <f>IF(AND(C9="Skema 2",B9="ma"),Skemaoplysninger!$S$30,"")</f>
        <v/>
      </c>
      <c r="BM9" s="210">
        <f>IF(AND(C9="Skema 2",B9="ti"),Skemaoplysninger!$U$30,"")</f>
        <v>0.15625</v>
      </c>
      <c r="BN9" s="210" t="str">
        <f>IF(AND(C9="Skema 2",B9="on"),Skemaoplysninger!$W$30,"")</f>
        <v/>
      </c>
      <c r="BO9" s="210" t="str">
        <f>IF(AND(C9="Skema 2",B9="to"),Skemaoplysninger!$Y$30,"")</f>
        <v/>
      </c>
      <c r="BP9" s="210" t="str">
        <f>IF(AND(C9="Skema 2",B9="fr"),Skemaoplysninger!$AA$30,"")</f>
        <v/>
      </c>
      <c r="BQ9" s="210" t="str">
        <f>IF(AND(C9="Skema 3",B9="ma"),Skemaoplysninger!$AG$30,"")</f>
        <v/>
      </c>
      <c r="BR9" s="210" t="str">
        <f>IF(AND(C9="Skema 3",B9="ti"),Skemaoplysninger!$AI$30,"")</f>
        <v/>
      </c>
      <c r="BS9" s="210" t="str">
        <f>IF(AND(C9="Skema 3",B9="on"),Skemaoplysninger!$AK$30,"")</f>
        <v/>
      </c>
      <c r="BT9" s="210" t="str">
        <f>IF(AND(C9="Skema 3",B9="to"),Skemaoplysninger!$AM$30,"")</f>
        <v/>
      </c>
      <c r="BU9" s="210" t="str">
        <f>IF(AND(C9="Skema 3",B9="fr"),Skemaoplysninger!$AO$30,"")</f>
        <v/>
      </c>
      <c r="BV9" s="210" t="str">
        <f>IF(AND(C9="Skema 4",B9="ma"),Skemaoplysninger!$AU$30,"")</f>
        <v/>
      </c>
      <c r="BW9" s="210" t="str">
        <f>IF(AND(C9="Skema 4",B9="ti"),Skemaoplysninger!$AW$30,"")</f>
        <v/>
      </c>
      <c r="BX9" s="210" t="str">
        <f>IF(AND(C9="Skema 4",B9="on"),Skemaoplysninger!$AY$30,"")</f>
        <v/>
      </c>
      <c r="BY9" s="210" t="str">
        <f>IF(AND(C9="Skema 4",B9="to"),Skemaoplysninger!$BA$30,"")</f>
        <v/>
      </c>
      <c r="BZ9" s="210" t="str">
        <f>IF(AND(C9="Skema 4",B9="fr"),Skemaoplysninger!$BC$30,"")</f>
        <v/>
      </c>
      <c r="CA9" s="1">
        <f>SUM(BG9:BZ9)*24+SUM(BC9:BF9)</f>
        <v>3.75</v>
      </c>
      <c r="CB9" s="1">
        <f t="shared" ref="CB9:CB38" si="11">IF(C9="fagdag",M9,0)</f>
        <v>0</v>
      </c>
      <c r="CC9" s="1">
        <f t="shared" ref="CC9:CC38" si="12">IF(C9="emnedag",M9,0)</f>
        <v>0</v>
      </c>
      <c r="CD9" s="210" t="str">
        <f>IF(AND(C9="Skema 1",B9="ma"),Skemaoplysninger!$E$31,"")</f>
        <v/>
      </c>
      <c r="CE9" s="210" t="str">
        <f>IF(AND(C9="Skema 1",B9="ti"),Skemaoplysninger!$G$31,"")</f>
        <v/>
      </c>
      <c r="CF9" s="210" t="str">
        <f>IF(AND(C9="Skema 1",B9="on"),Skemaoplysninger!$I$31,"")</f>
        <v/>
      </c>
      <c r="CG9" s="210" t="str">
        <f>IF(AND(C9="Skema 1",B9="to"),Skemaoplysninger!$K$31,"")</f>
        <v/>
      </c>
      <c r="CH9" s="210" t="str">
        <f>IF(AND(C9="Skema 1",B9="fr"),Skemaoplysninger!$M$31,"")</f>
        <v/>
      </c>
      <c r="CI9" s="210" t="str">
        <f>IF(AND(C9="Skema 2",B9="ma"),Skemaoplysninger!$S$31,"")</f>
        <v/>
      </c>
      <c r="CJ9" s="210">
        <f>IF(AND(C9="Skema 2",B9="ti"),Skemaoplysninger!$U$31,"")</f>
        <v>6.25E-2</v>
      </c>
      <c r="CK9" s="210" t="str">
        <f>IF(AND(C9="Skema 2",B9="on"),Skemaoplysninger!$W$31,"")</f>
        <v/>
      </c>
      <c r="CL9" s="210" t="str">
        <f>IF(AND(C9="Skema 2",B9="to"),Skemaoplysninger!$Y$31,"")</f>
        <v/>
      </c>
      <c r="CM9" s="210" t="str">
        <f>IF(AND(C9="Skema 2",B9="fr"),Skemaoplysninger!$AA$31,"")</f>
        <v/>
      </c>
      <c r="CN9" s="210" t="str">
        <f>IF(AND(C9="Skema 3",B9="ma"),Skemaoplysninger!$AG$31,"")</f>
        <v/>
      </c>
      <c r="CO9" s="210" t="str">
        <f>IF(AND(C9="Skema 3",B9="ti"),Skemaoplysninger!$AI$31,"")</f>
        <v/>
      </c>
      <c r="CP9" s="210" t="str">
        <f>IF(AND(C9="Skema 3",B9="on"),Skemaoplysninger!$AK$31,"")</f>
        <v/>
      </c>
      <c r="CQ9" s="210" t="str">
        <f>IF(AND(C9="Skema 3",B9="to"),Skemaoplysninger!$AM$31,"")</f>
        <v/>
      </c>
      <c r="CR9" s="210" t="str">
        <f>IF(AND(C9="Skema 3",B9="fr"),Skemaoplysninger!$AO$31,"")</f>
        <v/>
      </c>
      <c r="CS9" s="210" t="str">
        <f>IF(AND(C9="Skema 4",B9="ma"),Skemaoplysninger!$AU$31,"")</f>
        <v/>
      </c>
      <c r="CT9" s="210" t="str">
        <f>IF(AND(C9="Skema 4",B9="ti"),Skemaoplysninger!$AW$31,"")</f>
        <v/>
      </c>
      <c r="CU9" s="210" t="str">
        <f>IF(AND(C9="Skema 4",B9="on"),Skemaoplysninger!$AY$31,"")</f>
        <v/>
      </c>
      <c r="CV9" s="210" t="str">
        <f>IF(AND(C9="Skema 4",B9="to"),Skemaoplysninger!$BA$31,"")</f>
        <v/>
      </c>
      <c r="CW9" s="210" t="str">
        <f>IF(AND(C9="Skema 4",B9="fr"),Skemaoplysninger!$BC$31,"")</f>
        <v/>
      </c>
      <c r="CX9" s="249">
        <f>IF(Stamoplysninger!$H$29="NEJ",SUM(CD9:CW9)*24+CB9+CC9,0)</f>
        <v>1.5</v>
      </c>
      <c r="CY9" s="249">
        <f>IF(C9="Skema 1",Stamoplysninger!$H$30/200,0)</f>
        <v>0</v>
      </c>
      <c r="CZ9" s="249">
        <f>IF(C9="Skema 2",Stamoplysninger!$H$30/200,0)</f>
        <v>0</v>
      </c>
      <c r="DA9" s="249">
        <f>IF(C9="Skema 3",Stamoplysninger!$H$30/200,0)</f>
        <v>0</v>
      </c>
      <c r="DB9" s="249">
        <f>IF(C9="Skema 4",Stamoplysninger!$H$30/200,0)</f>
        <v>0</v>
      </c>
      <c r="DC9" s="249">
        <f>IF(C9="fagdag",Stamoplysninger!$H$30/200,0)</f>
        <v>0</v>
      </c>
      <c r="DD9" s="249">
        <f>IF(C9="emnedag",Stamoplysninger!$H$30/200,0)</f>
        <v>0</v>
      </c>
      <c r="DE9" s="249">
        <f>IF(C9="lejrskole",Stamoplysninger!$H$30/200,0)</f>
        <v>0</v>
      </c>
      <c r="DF9" s="249">
        <f>IF(C9="ekskursion",Stamoplysninger!$H$30/200,0)</f>
        <v>0</v>
      </c>
      <c r="DG9" s="249">
        <f>SUM(CY9:DF9)</f>
        <v>0</v>
      </c>
      <c r="DH9" t="str">
        <f>IF(AND(E9&gt;0,H9&gt;0),""&amp;E9&amp;" og "&amp;H9&amp;"","")</f>
        <v/>
      </c>
      <c r="DI9">
        <f>IF(H9="",E9,"")</f>
        <v>0</v>
      </c>
      <c r="DJ9">
        <f>IF(E9="",H9,"")</f>
        <v>0</v>
      </c>
      <c r="DK9" t="str">
        <f t="shared" ref="DK9:DM38" si="13">IF(DH9=0,"",DH9)</f>
        <v/>
      </c>
      <c r="DL9" t="str">
        <f>IF(DI9=0,"",DI9)</f>
        <v/>
      </c>
      <c r="DM9" t="str">
        <f>IF(DJ9=0,"",DJ9)</f>
        <v/>
      </c>
      <c r="DN9" t="str">
        <f>DK9&amp;""&amp;DL9&amp;""&amp;DM9</f>
        <v/>
      </c>
      <c r="DO9" s="652">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71">
        <f>IF(AND(Stamoplysninger!$B$22="Ulempetillæg udbetales med 25% af nettotimelønnen.",C9="ikke relevant"),(R9)/4,0)</f>
        <v>0</v>
      </c>
      <c r="DT9" s="671">
        <f>IF(AND(AND(Stamoplysninger!$B$22="Ulempetillæg udbetales med 25% af nettotimelønnen.",I9="X",C9="Ikke relevant")),K9/4,0)</f>
        <v>0</v>
      </c>
      <c r="DU9" s="671">
        <f>IF(AND(AND(Stamoplysninger!$B$22="Ulempetillæg udbetales med 25% af nettotimelønnen.",C9="ikke relevant",U9="X")),(X9/4),0)</f>
        <v>0</v>
      </c>
      <c r="DV9" s="672">
        <f>IF(AND(AND(AND(Stamoplysninger!$B$22="Ulempetillæg udbetales med 25% af nettotimelønnen.",I9="X",C9="Ikke relevant",S9="X"))),V9/4,0)</f>
        <v>0</v>
      </c>
      <c r="DW9" s="652"/>
      <c r="DZ9" s="671"/>
      <c r="EA9" s="671"/>
      <c r="EB9" s="672"/>
      <c r="EC9" s="652">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71">
        <f>IF(AND(Stamoplysninger!$B$22="Ulempetillæg afspadseres med 25%(Kræver en aftale imellem ledelsen og den ansatte)",C9="ikke relevant"),(R9)/4,0)</f>
        <v>0</v>
      </c>
      <c r="EH9" s="671">
        <f>IF(AND(AND(Stamoplysninger!$B$22="Ulempetillæg afspadseres med 25%(Kræver en aftale imellem ledelsen og den ansatte)",I9="X",C9="Ikke relevant")),K9/4,0)</f>
        <v>0</v>
      </c>
      <c r="EI9" s="671">
        <f>IF(AND(AND(Stamoplysninger!$B$22="Ulempetillæg afspadseres med 25%(Kræver en aftale imellem ledelsen og den ansatte)",U9="X",C9="Ikke relevant")),X9/4,0)</f>
        <v>0</v>
      </c>
      <c r="EJ9" s="671">
        <f>IF(AND(AND(AND(Stamoplysninger!$B$22="Ulempetillæg afspadseres med 25%(Kræver en aftale imellem ledelsen og den ansatte)",I9="X",C9="Ikke relevant",S9="X"))),V9/4,0)</f>
        <v>0</v>
      </c>
      <c r="EK9" s="283">
        <f>IF(AND(Stamoplysninger!$B$26="Weekendtimer og weekendtillæg afspadseres.",$I$9="X"),$K$9*1.5,0)</f>
        <v>0</v>
      </c>
      <c r="EL9" s="251">
        <f>IF(AND(AND(Stamoplysninger!$B$26="Weekendtimer og weekendtillæg afspadseres.",$I$9="X",$S$9="X")),$V$9*1.5,0)</f>
        <v>0</v>
      </c>
      <c r="EM9" s="674">
        <f>IF(AND(AND(Stamoplysninger!$B$26="Weekendtimer og weekendtillæg afspadseres.",$I$9="X",$C$9="ikke relevant")),$K$9*1.5,0)</f>
        <v>0</v>
      </c>
      <c r="EN9" s="675">
        <f>IF(AND(AND(AND(Stamoplysninger!$B$26="Weekendtimer og weekendtillæg afspadseres.",$I$9="X",$C$9="ikke relevant",$S$9="X"))),($V$9*1.5),0)</f>
        <v>0</v>
      </c>
      <c r="EO9" s="283">
        <f>IF(AND(Stamoplysninger!$B$26="Weekendtimer og weekendtillæg udbetales.",$I$9="X"),$K$9*1.5,0)</f>
        <v>0</v>
      </c>
      <c r="EP9" s="251">
        <f>IF(AND(AND(Stamoplysninger!$B$26="Weekendtimer og weekendtillæg udbetales.",$I$9="X",$S$9="X")),$V$9*1.5,0)</f>
        <v>0</v>
      </c>
      <c r="EQ9" s="674">
        <f>IF(AND(AND(Stamoplysninger!$B$26="Weekendtimer og weekendtillæg udbetales.",$I$9="X",$C$9="ikke relevant")),$K$9*1.5,0)</f>
        <v>0</v>
      </c>
      <c r="ER9" s="675">
        <f>IF(AND(AND(AND(Stamoplysninger!$B$26="Weekendtimer og weekendtillæg udbetales.",$I$9="X",$C$9="ikke relevant",$S$9="X"))),($V$9*1.5),0)</f>
        <v>0</v>
      </c>
      <c r="ES9" s="283">
        <f>IF(AND(Stamoplysninger!$B$26="Der er indgået lokalaftale omkring weekendtimer.(Kræver aftale med TR/FSL) Weekendtillæg afspadseres.",$I$9="X"),$K$9*0.5,0)</f>
        <v>0</v>
      </c>
      <c r="ET9" s="251">
        <f>IF(AND(AND(Stamoplysninger!$B$26="Der er indgået lokalaftale omkring weekendtimer.(Kræver aftale med TR/FSL) Weekendtillæg afspadseres.",$I$9="X",$S$9="X")),$V$9*0.5,0)</f>
        <v>0</v>
      </c>
      <c r="EU9" s="674">
        <f>IF(AND(AND(Stamoplysninger!$B$26="Der er indgået lokalaftale omkring weekendtimer.(Kræver aftale med TR/FSL) Weekendtillæg afspadseres.",$I$9="X",$C$9="ikke relevant")),$K$9*0.5,0)</f>
        <v>0</v>
      </c>
      <c r="EV9" s="675">
        <f>IF(AND(AND(AND(Stamoplysninger!$B$26="Der er indgået lokalaftale omkring weekendtimer.(Kræver aftale med TR/FSL) Weekendtillæg afspadseres.",$I$9="X",$C$9="ikke relevant",$S$9="X"))),($V$9*0.5),0)</f>
        <v>0</v>
      </c>
      <c r="EW9" s="283">
        <f>IF(AND(Stamoplysninger!$B$26="Der er indgået lokalaftale omkring weekendtimer(Kræver aftale med TR/FSL). Weekendtillæg udbetales.",$I$9="X"),$K$9*0.5,0)</f>
        <v>0</v>
      </c>
      <c r="EX9" s="251">
        <f>IF(AND(AND(Stamoplysninger!$B$26="Der er indgået lokalaftale omkring weekendtimer(Kræver aftale med TR/FSL). Weekendtillæg udbetales.",$I$9="X",$S$9="X")),$V$9*0.5,0)</f>
        <v>0</v>
      </c>
      <c r="EY9" s="674">
        <f>IF(AND(AND(Stamoplysninger!$B$26="Der er indgået lokalaftale omkring weekendtimer(Kræver aftale med TR/FSL). Weekendtillæg udbetales.",$I$9="X",$C$9="ikke relevant")),$K$9*0.5,0)</f>
        <v>0</v>
      </c>
      <c r="EZ9" s="675">
        <f>IF(AND(AND(AND(Stamoplysninger!$B$26="Der er indgået lokalaftale omkring weekendtimer(Kræver aftale med TR/FSL). Weekendtillæg udbetales.",$I$9="X",$C$9="ikke relevant",$S$9="X"))),($V$9*0.5),0)</f>
        <v>0</v>
      </c>
      <c r="FA9" s="283">
        <f>IF(AND(Stamoplysninger!$B$26="Der er indgået lokalaftale omkring weekendtillæg(Kræver aftale med TR/FSL). Weekendtimerne afspadseres.",I9="X"),K9,0)</f>
        <v>0</v>
      </c>
      <c r="FB9" s="251">
        <f>IF(AND(AND(Stamoplysninger!$B$26="Der er indgået lokalaftale omkring weekendtillæg(Kræver aftale med TR/FSL). Weekendtimerne afspadseres.",I9="X",S9="X")),V9,0)</f>
        <v>0</v>
      </c>
      <c r="FC9" s="674">
        <f>IF(AND(AND(Stamoplysninger!$B$26="Der er indgået lokalaftale omkring weekendtillæg(Kræver aftale med TR/FSL). Weekendtimerne afspadseres..",I9="X",C9="ikke relevant")),K9,0)</f>
        <v>0</v>
      </c>
      <c r="FD9" s="675">
        <f>IF(AND(AND(AND(Stamoplysninger!$B$26="Der er indgået lokalaftale omkring weekendtillæg(Kræver aftale med TR/FSL). Weekendtimerne afspadseres.",I9="X",C9="ikke relevant",S9="X"))),(V9),0)</f>
        <v>0</v>
      </c>
      <c r="FE9" s="283">
        <f>IF(AND(Stamoplysninger!$B$26="Der er indgået lokalaftale omkring weekendtillæg(Kræver aftale med TR/FSL). Weekendtimerne udbetales.",I9="X"),K9,0)</f>
        <v>0</v>
      </c>
      <c r="FF9" s="251">
        <f>IF(AND(AND(Stamoplysninger!$B$26="Der er indgået lokalaftale omkring weekendtillæg(Kræver aftale med TR/FSL). Weekendtimerne udbetales.",I9="X",S9="X")),V9,0)</f>
        <v>0</v>
      </c>
      <c r="FG9" s="674">
        <f>IF(AND(AND(Stamoplysninger!$B$26="Der er indgået lokalaftale omkring weekendtillæg(Kræver aftale med TR/FSL). Weekendtimerne udbetales.",I9="X",C9="ikke relevant")),K9,0)</f>
        <v>0</v>
      </c>
      <c r="FH9" s="675">
        <f>IF(AND(AND(AND(Stamoplysninger!$B$26="Der er indgået lokalaftale omkring weekendtillæg(Kræver aftale med TR/FSL). Weekendtimerne udbetales.",I9="X",C9="ikke relevant",S9="X"))),(V9),0)</f>
        <v>0</v>
      </c>
      <c r="FI9" s="283">
        <f>IF(AND(Stamoplysninger!$B$26="Weekendtimer og weekendtillæg afspadseres.",I9="X"),K9,0)</f>
        <v>0</v>
      </c>
      <c r="FJ9" s="251">
        <f>IF(AND(Stamoplysninger!$B$26="Weekendtimer og weekendtillæg afspadseres.",I9="X"),(K9+V9)/2,0)</f>
        <v>0</v>
      </c>
      <c r="FK9" s="674">
        <f>IF(AND(AND(Stamoplysninger!$B$26="Weekendtimer og weekendtillæg afspadseres.",I9="X",C9="ikke relevant")),K9,0)</f>
        <v>0</v>
      </c>
      <c r="FL9" s="675">
        <f>IF(AND(AND(Stamoplysninger!$B$26="Weekendtimer og weekendtillæg afspadseres.",I9="X",C9="ikke relevant")),(K9+V9)/2,0)</f>
        <v>0</v>
      </c>
      <c r="FM9" s="283">
        <f>IF(AND(Stamoplysninger!$B$26="Der er indgået lokalaftale omkring weekendtillæg(Kræver aftale med TR/FSL). Weekendtimerne afspadseres.",I9="X"),K9,0)</f>
        <v>0</v>
      </c>
      <c r="FN9" s="674">
        <f>IF(AND(AND(Stamoplysninger!$B$26="Der er indgået lokalaftale omkring weekendtillæg(Kræver aftale med TR/FSL). Weekendtimerne afspadseres.",I9="X",C9="ikke relevant")),K9,0)</f>
        <v>0</v>
      </c>
      <c r="FO9" s="283">
        <f>IF(AND(Stamoplysninger!$B$26="Weekendtimer og weekendtillæg udbetales.",I9="X"),K9,0)</f>
        <v>0</v>
      </c>
      <c r="FP9" s="251">
        <f>IF(AND(Stamoplysninger!$B$26="Weekendtimer og weekendtillæg udbetales.",AA9="X"),(AC9+AN9)/2,0)</f>
        <v>0</v>
      </c>
      <c r="FQ9" s="674">
        <f>IF(AND(AND(Stamoplysninger!$B$26="Weekendtimer og weekendtillæg udbetales.",I9="X",C9="ikke relevant")),K9,0)</f>
        <v>0</v>
      </c>
      <c r="FR9" s="688">
        <f>IF(AND(AND(Stamoplysninger!$B$26="Weekendtimer og weekendtillæg udbetales.",AA9="X",U9="ikke relevant")),(AC9+AN9)/2,0)</f>
        <v>0</v>
      </c>
      <c r="FS9" s="283">
        <f t="shared" ref="FS9:FS37" si="14">IF(AND(I9="X",S9="X"),V9,0)</f>
        <v>0</v>
      </c>
      <c r="FT9" s="658">
        <f t="shared" ref="FT9:FT37" si="15">IF(AND(AND(C9="ikke relevant",I9="X",S9="X")),V9,0)</f>
        <v>0</v>
      </c>
      <c r="FU9">
        <f t="shared" ref="FU9:FU28" si="16">IF(AND(C9="weekend",I9="X"),K9,0)</f>
        <v>0</v>
      </c>
      <c r="FV9" s="283">
        <f>IF(AND(Stamoplysninger!$B$26="Der er indgået lokalaftale omkring weekendtimer.(Kræver aftale med TR/FSL) Weekendtillæg afspadseres.",I9="X"),K9,0)</f>
        <v>0</v>
      </c>
      <c r="FW9" s="674">
        <f>IF(AND(AND(Stamoplysninger!$B$26="Der er indgået lokalaftale omkring weekendtimer.(Kræver aftale med TR/FSL) Weekendtillæg afspadseres.",I9="X",C9="ikke relevant")),K9,0)</f>
        <v>0</v>
      </c>
      <c r="FX9" s="283">
        <f>IF(AND(Stamoplysninger!$B$26="Der er indgået lokalaftale omkring weekendtimer(Kræver aftale med TR/FSL). Weekendtillæg udbetales.",I9="X"),K9,0)</f>
        <v>0</v>
      </c>
      <c r="FY9" s="674">
        <f>IF(AND(AND(Stamoplysninger!$B$26="Der er indgået lokalaftale omkring weekendtimer(Kræver aftale med TR/FSL). Weekendtillæg udbetales.",I9="X",C9="ikke relevant")),K9,0)</f>
        <v>0</v>
      </c>
      <c r="FZ9" s="283">
        <f>IF(AND(Stamoplysninger!$B$26="Der er indgået lokalaftale omkring weekendtillæg(Kræver aftale med TR/FSL). Weekendtimerne udbetales.",I9="X"),K9,0)</f>
        <v>0</v>
      </c>
      <c r="GA9" s="674">
        <f>IF(AND(AND(Stamoplysninger!$B$26="Der er indgået lokalaftale omkring weekendtillæg(Kræver aftale med TR/FSL). Weekendtimerne udbetales.",I9="X",C9="ikke relevant")),K9,0)</f>
        <v>0</v>
      </c>
      <c r="GB9" s="283">
        <f>IF(AND(Stamoplysninger!$B$26="Der er indgået lokalaftale omkring weekendtimer og weekendtillæg.(Kræver aftale med TR/FSL).",I9="X"),K9,0)</f>
        <v>0</v>
      </c>
      <c r="GC9" s="674">
        <f>IF(AND(AND(Stamoplysninger!$B$26="Der er indgået lokalaftale omkring weekendtimer og weekendtillæg.(Kræver aftale med TR/FSL).",I9="X",C9="ikke relevant")),K9,0)</f>
        <v>0</v>
      </c>
    </row>
    <row r="10" spans="1:185">
      <c r="A10" s="245">
        <f t="shared" ref="A10:A38" si="17">IF(ISNUMBER(A9),A9+1,1)</f>
        <v>2</v>
      </c>
      <c r="B10" s="128" t="str">
        <f t="shared" si="0"/>
        <v>on</v>
      </c>
      <c r="C10" s="129" t="s">
        <v>207</v>
      </c>
      <c r="D10" s="130" t="str">
        <f t="shared" si="1"/>
        <v/>
      </c>
      <c r="E10" s="917"/>
      <c r="F10" s="918"/>
      <c r="G10" s="919"/>
      <c r="H10" s="298"/>
      <c r="I10" s="527"/>
      <c r="J10" s="413"/>
      <c r="K10" s="380"/>
      <c r="L10" s="380"/>
      <c r="M10" s="380"/>
      <c r="N10" s="318">
        <f t="shared" ref="N10:N38" si="18">BA10</f>
        <v>7.75</v>
      </c>
      <c r="O10" s="318">
        <f t="shared" ref="O10:O38" si="19">CA10</f>
        <v>4.25</v>
      </c>
      <c r="P10" s="318">
        <f>IF(Stamoplysninger!$H$29="JA",April!DG10,CX10)</f>
        <v>1</v>
      </c>
      <c r="Q10" s="318">
        <f t="shared" ref="Q10:Q38" si="20">IF(OR(C10="Lejrskole",C10="Ekskursion"),0,N10-O10-P10)</f>
        <v>2.5</v>
      </c>
      <c r="R10" s="319"/>
      <c r="S10" s="324"/>
      <c r="T10" s="325"/>
      <c r="U10" s="325"/>
      <c r="V10" s="435"/>
      <c r="W10" s="435"/>
      <c r="X10" s="644"/>
      <c r="Y10">
        <f t="shared" ref="Y10:Y38" si="21">IF(S10="x",V10-N10,0)</f>
        <v>0</v>
      </c>
      <c r="Z10" s="437">
        <f t="shared" ref="Z10:Z38" si="22">W10</f>
        <v>0</v>
      </c>
      <c r="AA10" s="1">
        <f t="shared" si="2"/>
        <v>0</v>
      </c>
      <c r="AB10" s="1">
        <f t="shared" si="3"/>
        <v>0</v>
      </c>
      <c r="AC10" s="1">
        <f t="shared" si="4"/>
        <v>0</v>
      </c>
      <c r="AD10" s="1">
        <f t="shared" si="5"/>
        <v>0</v>
      </c>
      <c r="AE10" s="1">
        <f t="shared" si="6"/>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f>IF(AND(C10="Skema 2",B10="on"),Arbejdstidsoversigt!$E$83,"")</f>
        <v>7.75</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8" si="23">SUM(AA10:AZ10)</f>
        <v>7.75</v>
      </c>
      <c r="BB10" s="229">
        <f t="shared" si="7"/>
        <v>0</v>
      </c>
      <c r="BC10" s="1">
        <f t="shared" ref="BC10:BC38" si="24">IF(C10="Lejrskole",L10,0)</f>
        <v>0</v>
      </c>
      <c r="BD10" s="1">
        <f t="shared" si="8"/>
        <v>0</v>
      </c>
      <c r="BE10" s="1">
        <f t="shared" si="9"/>
        <v>0</v>
      </c>
      <c r="BF10" s="1">
        <f t="shared" si="10"/>
        <v>0</v>
      </c>
      <c r="BG10" s="210" t="str">
        <f>IF(AND(C10="Skema 1",B10="ma"),Skemaoplysninger!$E$30,"")</f>
        <v/>
      </c>
      <c r="BH10" s="210" t="str">
        <f>IF(AND(C10="Skema 1",B10="ti"),Skemaoplysninger!$G$30,"")</f>
        <v/>
      </c>
      <c r="BI10" s="210" t="str">
        <f>IF(AND(C10="Skema 1",B10="on"),Skemaoplysninger!$I$30,"")</f>
        <v/>
      </c>
      <c r="BJ10" s="210" t="str">
        <f>IF(AND(C10="Skema 1",B10="to"),Skemaoplysninger!$K$30,"")</f>
        <v/>
      </c>
      <c r="BK10" s="210" t="str">
        <f>IF(AND(C10="Skema 1",B10="fr"),Skemaoplysninger!$M$30,"")</f>
        <v/>
      </c>
      <c r="BL10" s="210" t="str">
        <f>IF(AND(C10="Skema 2",B10="ma"),Skemaoplysninger!$S$30,"")</f>
        <v/>
      </c>
      <c r="BM10" s="210" t="str">
        <f>IF(AND(C10="Skema 2",B10="ti"),Skemaoplysninger!$U$30,"")</f>
        <v/>
      </c>
      <c r="BN10" s="210">
        <f>IF(AND(C10="Skema 2",B10="on"),Skemaoplysninger!$W$30,"")</f>
        <v>0.17708333333333331</v>
      </c>
      <c r="BO10" s="210" t="str">
        <f>IF(AND(C10="Skema 2",B10="to"),Skemaoplysninger!$Y$30,"")</f>
        <v/>
      </c>
      <c r="BP10" s="210" t="str">
        <f>IF(AND(C10="Skema 2",B10="fr"),Skemaoplysninger!$AA$30,"")</f>
        <v/>
      </c>
      <c r="BQ10" s="210" t="str">
        <f>IF(AND(C10="Skema 3",B10="ma"),Skemaoplysninger!$AG$30,"")</f>
        <v/>
      </c>
      <c r="BR10" s="210" t="str">
        <f>IF(AND(C10="Skema 3",B10="ti"),Skemaoplysninger!$AI$30,"")</f>
        <v/>
      </c>
      <c r="BS10" s="210" t="str">
        <f>IF(AND(C10="Skema 3",B10="on"),Skemaoplysninger!$AK$30,"")</f>
        <v/>
      </c>
      <c r="BT10" s="210" t="str">
        <f>IF(AND(C10="Skema 3",B10="to"),Skemaoplysninger!$AM$30,"")</f>
        <v/>
      </c>
      <c r="BU10" s="210" t="str">
        <f>IF(AND(C10="Skema 3",B10="fr"),Skemaoplysninger!$AO$30,"")</f>
        <v/>
      </c>
      <c r="BV10" s="210" t="str">
        <f>IF(AND(C10="Skema 4",B10="ma"),Skemaoplysninger!$AU$30,"")</f>
        <v/>
      </c>
      <c r="BW10" s="210" t="str">
        <f>IF(AND(C10="Skema 4",B10="ti"),Skemaoplysninger!$AW$30,"")</f>
        <v/>
      </c>
      <c r="BX10" s="210" t="str">
        <f>IF(AND(C10="Skema 4",B10="on"),Skemaoplysninger!$AY$30,"")</f>
        <v/>
      </c>
      <c r="BY10" s="210" t="str">
        <f>IF(AND(C10="Skema 4",B10="to"),Skemaoplysninger!$BA$30,"")</f>
        <v/>
      </c>
      <c r="BZ10" s="210" t="str">
        <f>IF(AND(C10="Skema 4",B10="fr"),Skemaoplysninger!$BC$30,"")</f>
        <v/>
      </c>
      <c r="CA10" s="1">
        <f t="shared" ref="CA10:CA38" si="25">SUM(BG10:BZ10)*24+SUM(BC10:BF10)</f>
        <v>4.25</v>
      </c>
      <c r="CB10" s="1">
        <f t="shared" si="11"/>
        <v>0</v>
      </c>
      <c r="CC10" s="1">
        <f t="shared" si="12"/>
        <v>0</v>
      </c>
      <c r="CD10" s="210" t="str">
        <f>IF(AND(C10="Skema 1",B10="ma"),Skemaoplysninger!$E$31,"")</f>
        <v/>
      </c>
      <c r="CE10" s="210" t="str">
        <f>IF(AND(C10="Skema 1",B10="ti"),Skemaoplysninger!$G$31,"")</f>
        <v/>
      </c>
      <c r="CF10" s="210" t="str">
        <f>IF(AND(C10="Skema 1",B10="on"),Skemaoplysninger!$I$31,"")</f>
        <v/>
      </c>
      <c r="CG10" s="210" t="str">
        <f>IF(AND(C10="Skema 1",B10="to"),Skemaoplysninger!$K$31,"")</f>
        <v/>
      </c>
      <c r="CH10" s="210" t="str">
        <f>IF(AND(C10="Skema 1",B10="fr"),Skemaoplysninger!$M$31,"")</f>
        <v/>
      </c>
      <c r="CI10" s="210" t="str">
        <f>IF(AND(C10="Skema 2",B10="ma"),Skemaoplysninger!$S$31,"")</f>
        <v/>
      </c>
      <c r="CJ10" s="210" t="str">
        <f>IF(AND(C10="Skema 2",B10="ti"),Skemaoplysninger!$U$31,"")</f>
        <v/>
      </c>
      <c r="CK10" s="210">
        <f>IF(AND(C10="Skema 2",B10="on"),Skemaoplysninger!$W$31,"")</f>
        <v>4.1666666666666664E-2</v>
      </c>
      <c r="CL10" s="210" t="str">
        <f>IF(AND(C10="Skema 2",B10="to"),Skemaoplysninger!$Y$31,"")</f>
        <v/>
      </c>
      <c r="CM10" s="210" t="str">
        <f>IF(AND(C10="Skema 2",B10="fr"),Skemaoplysninger!$AA$31,"")</f>
        <v/>
      </c>
      <c r="CN10" s="210" t="str">
        <f>IF(AND(C10="Skema 3",B10="ma"),Skemaoplysninger!$AG$31,"")</f>
        <v/>
      </c>
      <c r="CO10" s="210" t="str">
        <f>IF(AND(C10="Skema 3",B10="ti"),Skemaoplysninger!$AI$31,"")</f>
        <v/>
      </c>
      <c r="CP10" s="210" t="str">
        <f>IF(AND(C10="Skema 3",B10="on"),Skemaoplysninger!$AK$31,"")</f>
        <v/>
      </c>
      <c r="CQ10" s="210" t="str">
        <f>IF(AND(C10="Skema 3",B10="to"),Skemaoplysninger!$AM$31,"")</f>
        <v/>
      </c>
      <c r="CR10" s="210" t="str">
        <f>IF(AND(C10="Skema 3",B10="fr"),Skemaoplysninger!$AO$31,"")</f>
        <v/>
      </c>
      <c r="CS10" s="210" t="str">
        <f>IF(AND(C10="Skema 4",B10="ma"),Skemaoplysninger!$AU$31,"")</f>
        <v/>
      </c>
      <c r="CT10" s="210" t="str">
        <f>IF(AND(C10="Skema 4",B10="ti"),Skemaoplysninger!$AW$31,"")</f>
        <v/>
      </c>
      <c r="CU10" s="210" t="str">
        <f>IF(AND(C10="Skema 4",B10="on"),Skemaoplysninger!$AY$31,"")</f>
        <v/>
      </c>
      <c r="CV10" s="210" t="str">
        <f>IF(AND(C10="Skema 4",B10="to"),Skemaoplysninger!$BA$31,"")</f>
        <v/>
      </c>
      <c r="CW10" s="210" t="str">
        <f>IF(AND(C10="Skema 4",B10="fr"),Skemaoplysninger!$BC$31,"")</f>
        <v/>
      </c>
      <c r="CX10" s="249">
        <f>IF(Stamoplysninger!$H$29="NEJ",SUM(CD10:CW10)*24+CB10+CC10,0)</f>
        <v>1</v>
      </c>
      <c r="CY10" s="249">
        <f>IF(C10="Skema 1",Stamoplysninger!$H$30/200,0)</f>
        <v>0</v>
      </c>
      <c r="CZ10" s="249">
        <f>IF(C10="Skema 2",Stamoplysninger!$H$30/200,0)</f>
        <v>0</v>
      </c>
      <c r="DA10" s="249">
        <f>IF(C10="Skema 3",Stamoplysninger!$H$30/200,0)</f>
        <v>0</v>
      </c>
      <c r="DB10" s="249">
        <f>IF(C10="Skema 4",Stamoplysninger!$H$30/200,0)</f>
        <v>0</v>
      </c>
      <c r="DC10" s="249">
        <f>IF(C10="fagdag",Stamoplysninger!$H$30/200,0)</f>
        <v>0</v>
      </c>
      <c r="DD10" s="249">
        <f>IF(C10="emnedag",Stamoplysninger!$H$30/200,0)</f>
        <v>0</v>
      </c>
      <c r="DE10" s="249">
        <f>IF(C10="lejrskole",Stamoplysninger!$H$30/200,0)</f>
        <v>0</v>
      </c>
      <c r="DF10" s="249">
        <f>IF(C10="ekskursion",Stamoplysninger!$H$30/200,0)</f>
        <v>0</v>
      </c>
      <c r="DG10" s="249">
        <f t="shared" ref="DG10:DG38" si="26">SUM(CY10:DF10)</f>
        <v>0</v>
      </c>
      <c r="DH10" t="str">
        <f t="shared" ref="DH10:DH38" si="27">IF(AND(E10&gt;0,H10&gt;0),""&amp;E10&amp;" og "&amp;H10&amp;"","")</f>
        <v/>
      </c>
      <c r="DI10">
        <f t="shared" ref="DI10:DI38" si="28">IF(H10="",E10,"")</f>
        <v>0</v>
      </c>
      <c r="DJ10">
        <f t="shared" ref="DJ10:DJ38" si="29">IF(E10="",H10,"")</f>
        <v>0</v>
      </c>
      <c r="DK10" t="str">
        <f t="shared" si="13"/>
        <v/>
      </c>
      <c r="DL10" t="str">
        <f t="shared" si="13"/>
        <v/>
      </c>
      <c r="DM10" t="str">
        <f t="shared" si="13"/>
        <v/>
      </c>
      <c r="DN10" t="str">
        <f t="shared" ref="DN10:DN38" si="30">DK10&amp;""&amp;DL10&amp;""&amp;DM10</f>
        <v/>
      </c>
      <c r="DO10" s="652">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71">
        <f>IF(AND(Stamoplysninger!$B$22="Ulempetillæg udbetales med 25% af nettotimelønnen.",C10="ikke relevant"),(R10)/4,0)</f>
        <v>0</v>
      </c>
      <c r="DT10" s="671">
        <f>IF(AND(AND(Stamoplysninger!$B$22="Ulempetillæg udbetales med 25% af nettotimelønnen.",I10="X",C10="Ikke relevant")),K10/4,0)</f>
        <v>0</v>
      </c>
      <c r="DU10" s="671">
        <f>IF(AND(AND(Stamoplysninger!$B$22="Ulempetillæg udbetales med 25% af nettotimelønnen.",C10="ikke relevant",U10="X")),(X10/4),0)</f>
        <v>0</v>
      </c>
      <c r="DV10" s="672">
        <f>IF(AND(AND(AND(Stamoplysninger!$B$22="Ulempetillæg udbetales med 25% af nettotimelønnen.",I10="X",C10="Ikke relevant",S10="X"))),V10/4,0)</f>
        <v>0</v>
      </c>
      <c r="DW10" s="652"/>
      <c r="DZ10" s="671"/>
      <c r="EA10" s="671"/>
      <c r="EB10" s="672"/>
      <c r="EC10" s="652">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71">
        <f>IF(AND(Stamoplysninger!$B$22="Ulempetillæg afspadseres med 25%(Kræver en aftale imellem ledelsen og den ansatte)",C10="ikke relevant"),(R10)/4,0)</f>
        <v>0</v>
      </c>
      <c r="EH10" s="671">
        <f>IF(AND(AND(Stamoplysninger!$B$22="Ulempetillæg afspadseres med 25%(Kræver en aftale imellem ledelsen og den ansatte)",I10="X",C10="Ikke relevant")),K10/4,0)</f>
        <v>0</v>
      </c>
      <c r="EI10" s="671">
        <f>IF(AND(AND(Stamoplysninger!$B$22="Ulempetillæg afspadseres med 25%(Kræver en aftale imellem ledelsen og den ansatte)",U10="X",C10="Ikke relevant")),X10/4,0)</f>
        <v>0</v>
      </c>
      <c r="EJ10" s="671">
        <f>IF(AND(AND(AND(Stamoplysninger!$B$22="Ulempetillæg afspadseres med 25%(Kræver en aftale imellem ledelsen og den ansatte)",I10="X",C10="Ikke relevant",S10="X"))),V10/4,0)</f>
        <v>0</v>
      </c>
      <c r="EK10" s="283">
        <f>IF(AND(Stamoplysninger!$B$26="Weekendtimer og weekendtillæg afspadseres.",I10="X"),K10*1.5,0)</f>
        <v>0</v>
      </c>
      <c r="EL10" s="251">
        <f>IF(AND(AND(Stamoplysninger!$B$26="Weekendtimer og weekendtillæg afspadseres.",I10="X",S10="X")),V10*1.5,0)</f>
        <v>0</v>
      </c>
      <c r="EM10" s="674">
        <f>IF(AND(AND(Stamoplysninger!$B$26="Weekendtimer og weekendtillæg afspadseres.",I10="X",C10="ikke relevant")),K10*1.5,0)</f>
        <v>0</v>
      </c>
      <c r="EN10" s="675">
        <f>IF(AND(AND(AND(Stamoplysninger!$B$26="Weekendtimer og weekendtillæg afspadseres.",I10="X",C10="ikke relevant",S10="X"))),(V10*1.5),0)</f>
        <v>0</v>
      </c>
      <c r="EO10" s="283">
        <f>IF(AND(Stamoplysninger!$B$26="Weekendtimer og weekendtillæg udbetales.",I10="X"),K10*1.5,0)</f>
        <v>0</v>
      </c>
      <c r="EP10" s="251">
        <f>IF(AND(AND(Stamoplysninger!$B$26="Weekendtimer og weekendtillæg udbetales.",I10="X",S10="X")),V10*1.5,0)</f>
        <v>0</v>
      </c>
      <c r="EQ10" s="674">
        <f>IF(AND(AND(Stamoplysninger!$B$26="Weekendtimer og weekendtillæg udbetales.",I10="X",C10="ikke relevant")),K10*1.5,0)</f>
        <v>0</v>
      </c>
      <c r="ER10" s="675">
        <f>IF(AND(AND(AND(Stamoplysninger!$B$26="Weekendtimer og weekendtillæg udbetales.",I10="X",C10="ikke relevant",S10="X"))),(V10*1.5),0)</f>
        <v>0</v>
      </c>
      <c r="ES10" s="283">
        <f>IF(AND(Stamoplysninger!$B$26="Der er indgået lokalaftale omkring weekendtimer.(Kræver aftale med TR/FSL) Weekendtillæg afspadseres.",I10="X"),K10*0.5,0)</f>
        <v>0</v>
      </c>
      <c r="ET10" s="251">
        <f>IF(AND(AND(Stamoplysninger!$B$26="Der er indgået lokalaftale omkring weekendtimer.(Kræver aftale med TR/FSL) Weekendtillæg afspadseres.",I10="X",S10="X")),V10*0.5,0)</f>
        <v>0</v>
      </c>
      <c r="EU10" s="674">
        <f>IF(AND(AND(Stamoplysninger!$B$26="Der er indgået lokalaftale omkring weekendtimer.(Kræver aftale med TR/FSL) Weekendtillæg afspadseres.",I10="X",C10="ikke relevant")),K10*0.5,0)</f>
        <v>0</v>
      </c>
      <c r="EV10" s="675">
        <f>IF(AND(AND(AND(Stamoplysninger!$B$26="Der er indgået lokalaftale omkring weekendtimer.(Kræver aftale med TR/FSL) Weekendtillæg afspadseres.",I10="X",C10="ikke relevant",S10="X"))),(V10*0.5),0)</f>
        <v>0</v>
      </c>
      <c r="EW10" s="283">
        <f>IF(AND(Stamoplysninger!$B$26="Der er indgået lokalaftale omkring weekendtimer(Kræver aftale med TR/FSL). Weekendtillæg udbetales.",I10="X"),K10*0.5,0)</f>
        <v>0</v>
      </c>
      <c r="EX10" s="251">
        <f>IF(AND(AND(Stamoplysninger!$B$26="Der er indgået lokalaftale omkring weekendtimer(Kræver aftale med TR/FSL). Weekendtillæg udbetales.",I10="X",S10="X")),V10*0.5,0)</f>
        <v>0</v>
      </c>
      <c r="EY10" s="674">
        <f>IF(AND(AND(Stamoplysninger!$B$26="Der er indgået lokalaftale omkring weekendtimer(Kræver aftale med TR/FSL). Weekendtillæg udbetales.",I10="X",C10="ikke relevant")),K10*0.5,0)</f>
        <v>0</v>
      </c>
      <c r="EZ10" s="675">
        <f>IF(AND(AND(AND(Stamoplysninger!$B$26="Der er indgået lokalaftale omkring weekendtimer(Kræver aftale med TR/FSL). Weekendtillæg udbetales.",I10="X",C10="ikke relevant",S10="X"))),(V10*0.5),0)</f>
        <v>0</v>
      </c>
      <c r="FA10" s="283">
        <f>IF(AND(Stamoplysninger!$B$26="Der er indgået lokalaftale omkring weekendtillæg(Kræver aftale med TR/FSL). Weekendtimerne afspadseres.",I10="X"),K10,0)</f>
        <v>0</v>
      </c>
      <c r="FB10" s="251">
        <f>IF(AND(AND(Stamoplysninger!$B$26="Der er indgået lokalaftale omkring weekendtillæg(Kræver aftale med TR/FSL). Weekendtimerne afspadseres.",I10="X",S10="X")),V10,0)</f>
        <v>0</v>
      </c>
      <c r="FC10" s="674">
        <f>IF(AND(AND(Stamoplysninger!$B$26="Der er indgået lokalaftale omkring weekendtillæg(Kræver aftale med TR/FSL). Weekendtimerne afspadseres..",I10="X",C10="ikke relevant")),K10,0)</f>
        <v>0</v>
      </c>
      <c r="FD10" s="675">
        <f>IF(AND(AND(AND(Stamoplysninger!$B$26="Der er indgået lokalaftale omkring weekendtillæg(Kræver aftale med TR/FSL). Weekendtimerne afspadseres.",I10="X",C10="ikke relevant",S10="X"))),(V10),0)</f>
        <v>0</v>
      </c>
      <c r="FE10" s="283">
        <f>IF(AND(Stamoplysninger!$B$26="Der er indgået lokalaftale omkring weekendtillæg(Kræver aftale med TR/FSL). Weekendtimerne udbetales.",I10="X"),K10,0)</f>
        <v>0</v>
      </c>
      <c r="FF10" s="251">
        <f>IF(AND(AND(Stamoplysninger!$B$26="Der er indgået lokalaftale omkring weekendtillæg(Kræver aftale med TR/FSL). Weekendtimerne udbetales.",I10="X",S10="X")),V10,0)</f>
        <v>0</v>
      </c>
      <c r="FG10" s="674">
        <f>IF(AND(AND(Stamoplysninger!$B$26="Der er indgået lokalaftale omkring weekendtillæg(Kræver aftale med TR/FSL). Weekendtimerne udbetales.",I10="X",C10="ikke relevant")),K10,0)</f>
        <v>0</v>
      </c>
      <c r="FH10" s="675">
        <f>IF(AND(AND(AND(Stamoplysninger!$B$26="Der er indgået lokalaftale omkring weekendtillæg(Kræver aftale med TR/FSL). Weekendtimerne udbetales.",I10="X",C10="ikke relevant",S10="X"))),(V10),0)</f>
        <v>0</v>
      </c>
      <c r="FI10" s="283">
        <f>IF(AND(Stamoplysninger!$B$26="Weekendtimer og weekendtillæg afspadseres.",I10="X"),K10,0)</f>
        <v>0</v>
      </c>
      <c r="FJ10" s="251">
        <f>IF(AND(Stamoplysninger!$B$26="Weekendtimer og weekendtillæg afspadseres.",Y10="X"),(AA10+AL10)/2,0)</f>
        <v>0</v>
      </c>
      <c r="FK10" s="674">
        <f>IF(AND(AND(Stamoplysninger!$B$26="Weekendtimer og weekendtillæg afspadseres.",I10="X",C10="ikke relevant")),K10,0)</f>
        <v>0</v>
      </c>
      <c r="FL10" s="675">
        <f>IF(AND(AND(Stamoplysninger!$B$26="Weekendtimer og weekendtillæg afspadseres.",Y10="X",S10="ikke relevant")),(AA10+AL10)/2,0)</f>
        <v>0</v>
      </c>
      <c r="FM10" s="283">
        <f>IF(AND(Stamoplysninger!$B$26="Der er indgået lokalaftale omkring weekendtillæg(Kræver aftale med TR/FSL). Weekendtimerne afspadseres.",I10="X"),K10,0)</f>
        <v>0</v>
      </c>
      <c r="FN10" s="674">
        <f>IF(AND(AND(Stamoplysninger!$B$26="Der er indgået lokalaftale omkring weekendtillæg(Kræver aftale med TR/FSL). Weekendtimerne afspadseres.",I10="X",C10="ikke relevant")),K10,0)</f>
        <v>0</v>
      </c>
      <c r="FO10" s="283">
        <f>IF(AND(Stamoplysninger!$B$26="Weekendtimer og weekendtillæg udbetales.",I10="X"),K10,0)</f>
        <v>0</v>
      </c>
      <c r="FP10" s="251">
        <f>IF(AND(Stamoplysninger!$B$26="Weekendtimer og weekendtillæg udbetales.",AA10="X"),(AC10+AN10)/2,0)</f>
        <v>0</v>
      </c>
      <c r="FQ10" s="674">
        <f>IF(AND(AND(Stamoplysninger!$B$26="Weekendtimer og weekendtillæg udbetales.",I10="X",C10="ikke relevant")),K10,0)</f>
        <v>0</v>
      </c>
      <c r="FR10" s="688">
        <f>IF(AND(AND(Stamoplysninger!$B$26="Weekendtimer og weekendtillæg udbetales.",AA10="X",U10="ikke relevant")),(AC10+AN10)/2,0)</f>
        <v>0</v>
      </c>
      <c r="FS10" s="283">
        <f t="shared" si="14"/>
        <v>0</v>
      </c>
      <c r="FT10" s="658">
        <f t="shared" si="15"/>
        <v>0</v>
      </c>
      <c r="FU10">
        <f t="shared" si="16"/>
        <v>0</v>
      </c>
      <c r="FV10" s="283">
        <f>IF(AND(Stamoplysninger!$B$26="Der er indgået lokalaftale omkring weekendtimer.(Kræver aftale med TR/FSL) Weekendtillæg afspadseres.",I10="X"),K10,0)</f>
        <v>0</v>
      </c>
      <c r="FW10" s="674">
        <f>IF(AND(AND(Stamoplysninger!$B$26="Der er indgået lokalaftale omkring weekendtimer.(Kræver aftale med TR/FSL) Weekendtillæg afspadseres.",I10="X",C10="ikke relevant")),K10,0)</f>
        <v>0</v>
      </c>
      <c r="FX10" s="283">
        <f>IF(AND(Stamoplysninger!$B$26="Der er indgået lokalaftale omkring weekendtimer(Kræver aftale med TR/FSL). Weekendtillæg udbetales.",I10="X"),K10,0)</f>
        <v>0</v>
      </c>
      <c r="FY10" s="674">
        <f>IF(AND(AND(Stamoplysninger!$B$26="Der er indgået lokalaftale omkring weekendtimer(Kræver aftale med TR/FSL). Weekendtillæg udbetales.",I10="X",C10="ikke relevant")),K10,0)</f>
        <v>0</v>
      </c>
      <c r="FZ10" s="283">
        <f>IF(AND(Stamoplysninger!$B$26="Der er indgået lokalaftale omkring weekendtillæg(Kræver aftale med TR/FSL). Weekendtimerne udbetales.",I10="X"),K10,0)</f>
        <v>0</v>
      </c>
      <c r="GA10" s="674">
        <f>IF(AND(AND(Stamoplysninger!$B$26="Der er indgået lokalaftale omkring weekendtillæg(Kræver aftale med TR/FSL). Weekendtimerne udbetales.",I10="X",C10="ikke relevant")),K10,0)</f>
        <v>0</v>
      </c>
      <c r="GB10" s="283">
        <f>IF(AND(Stamoplysninger!$B$26="Der er indgået lokalaftale omkring weekendtimer og weekendtillæg.(Kræver aftale med TR/FSL).",I10="X"),K10,0)</f>
        <v>0</v>
      </c>
      <c r="GC10" s="674">
        <f>IF(AND(AND(Stamoplysninger!$B$26="Der er indgået lokalaftale omkring weekendtimer og weekendtillæg.(Kræver aftale med TR/FSL).",I10="X",C10="ikke relevant")),K10,0)</f>
        <v>0</v>
      </c>
    </row>
    <row r="11" spans="1:185">
      <c r="A11" s="245">
        <f t="shared" si="17"/>
        <v>3</v>
      </c>
      <c r="B11" s="128" t="str">
        <f t="shared" si="0"/>
        <v>to</v>
      </c>
      <c r="C11" s="129" t="s">
        <v>207</v>
      </c>
      <c r="D11" s="130" t="str">
        <f t="shared" si="1"/>
        <v/>
      </c>
      <c r="E11" s="917"/>
      <c r="F11" s="918"/>
      <c r="G11" s="919"/>
      <c r="H11" s="298"/>
      <c r="I11" s="527"/>
      <c r="J11" s="413"/>
      <c r="K11" s="380"/>
      <c r="L11" s="380"/>
      <c r="M11" s="380"/>
      <c r="N11" s="318">
        <f t="shared" si="18"/>
        <v>7.75</v>
      </c>
      <c r="O11" s="318">
        <f t="shared" si="19"/>
        <v>3</v>
      </c>
      <c r="P11" s="318">
        <f>IF(Stamoplysninger!$H$29="JA",April!DG11,CX11)</f>
        <v>0.83333333333333337</v>
      </c>
      <c r="Q11" s="318">
        <f t="shared" si="20"/>
        <v>3.9166666666666665</v>
      </c>
      <c r="R11" s="319"/>
      <c r="S11" s="324"/>
      <c r="T11" s="325"/>
      <c r="U11" s="325"/>
      <c r="V11" s="435"/>
      <c r="W11" s="435"/>
      <c r="X11" s="644"/>
      <c r="Y11">
        <f t="shared" si="21"/>
        <v>0</v>
      </c>
      <c r="Z11" s="437">
        <f t="shared" si="22"/>
        <v>0</v>
      </c>
      <c r="AA11" s="1">
        <f t="shared" si="2"/>
        <v>0</v>
      </c>
      <c r="AB11" s="1">
        <f t="shared" si="3"/>
        <v>0</v>
      </c>
      <c r="AC11" s="1">
        <f t="shared" si="4"/>
        <v>0</v>
      </c>
      <c r="AD11" s="1">
        <f t="shared" si="5"/>
        <v>0</v>
      </c>
      <c r="AE11" s="1">
        <f t="shared" si="6"/>
        <v>0</v>
      </c>
      <c r="AF11" s="1">
        <f>IF(C11="Orlov",7.4*Stamoplysninger!$E$15,0)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f>IF(AND(C11="Skema 2",B11="to"),Arbejdstidsoversigt!$E$84,"")</f>
        <v>7.75</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7.75</v>
      </c>
      <c r="BB11" s="229">
        <f t="shared" si="7"/>
        <v>0</v>
      </c>
      <c r="BC11" s="1">
        <f t="shared" si="24"/>
        <v>0</v>
      </c>
      <c r="BD11" s="1">
        <f t="shared" si="8"/>
        <v>0</v>
      </c>
      <c r="BE11" s="1">
        <f t="shared" si="9"/>
        <v>0</v>
      </c>
      <c r="BF11" s="1">
        <f t="shared" si="10"/>
        <v>0</v>
      </c>
      <c r="BG11" s="210" t="str">
        <f>IF(AND(C11="Skema 1",B11="ma"),Skemaoplysninger!$E$30,"")</f>
        <v/>
      </c>
      <c r="BH11" s="210" t="str">
        <f>IF(AND(C11="Skema 1",B11="ti"),Skemaoplysninger!$G$30,"")</f>
        <v/>
      </c>
      <c r="BI11" s="210" t="str">
        <f>IF(AND(C11="Skema 1",B11="on"),Skemaoplysninger!$I$30,"")</f>
        <v/>
      </c>
      <c r="BJ11" s="210" t="str">
        <f>IF(AND(C11="Skema 1",B11="to"),Skemaoplysninger!$K$30,"")</f>
        <v/>
      </c>
      <c r="BK11" s="210" t="str">
        <f>IF(AND(C11="Skema 1",B11="fr"),Skemaoplysninger!$M$30,"")</f>
        <v/>
      </c>
      <c r="BL11" s="210" t="str">
        <f>IF(AND(C11="Skema 2",B11="ma"),Skemaoplysninger!$S$30,"")</f>
        <v/>
      </c>
      <c r="BM11" s="210" t="str">
        <f>IF(AND(C11="Skema 2",B11="ti"),Skemaoplysninger!$U$30,"")</f>
        <v/>
      </c>
      <c r="BN11" s="210" t="str">
        <f>IF(AND(C11="Skema 2",B11="on"),Skemaoplysninger!$W$30,"")</f>
        <v/>
      </c>
      <c r="BO11" s="210">
        <f>IF(AND(C11="Skema 2",B11="to"),Skemaoplysninger!$Y$30,"")</f>
        <v>0.125</v>
      </c>
      <c r="BP11" s="210" t="str">
        <f>IF(AND(C11="Skema 2",B11="fr"),Skemaoplysninger!$AA$30,"")</f>
        <v/>
      </c>
      <c r="BQ11" s="210" t="str">
        <f>IF(AND(C11="Skema 3",B11="ma"),Skemaoplysninger!$AG$30,"")</f>
        <v/>
      </c>
      <c r="BR11" s="210" t="str">
        <f>IF(AND(C11="Skema 3",B11="ti"),Skemaoplysninger!$AI$30,"")</f>
        <v/>
      </c>
      <c r="BS11" s="210" t="str">
        <f>IF(AND(C11="Skema 3",B11="on"),Skemaoplysninger!$AK$30,"")</f>
        <v/>
      </c>
      <c r="BT11" s="210" t="str">
        <f>IF(AND(C11="Skema 3",B11="to"),Skemaoplysninger!$AM$30,"")</f>
        <v/>
      </c>
      <c r="BU11" s="210" t="str">
        <f>IF(AND(C11="Skema 3",B11="fr"),Skemaoplysninger!$AO$30,"")</f>
        <v/>
      </c>
      <c r="BV11" s="210" t="str">
        <f>IF(AND(C11="Skema 4",B11="ma"),Skemaoplysninger!$AU$30,"")</f>
        <v/>
      </c>
      <c r="BW11" s="210" t="str">
        <f>IF(AND(C11="Skema 4",B11="ti"),Skemaoplysninger!$AW$30,"")</f>
        <v/>
      </c>
      <c r="BX11" s="210" t="str">
        <f>IF(AND(C11="Skema 4",B11="on"),Skemaoplysninger!$AY$30,"")</f>
        <v/>
      </c>
      <c r="BY11" s="210" t="str">
        <f>IF(AND(C11="Skema 4",B11="to"),Skemaoplysninger!$BA$30,"")</f>
        <v/>
      </c>
      <c r="BZ11" s="210" t="str">
        <f>IF(AND(C11="Skema 4",B11="fr"),Skemaoplysninger!$BC$30,"")</f>
        <v/>
      </c>
      <c r="CA11" s="1">
        <f t="shared" si="25"/>
        <v>3</v>
      </c>
      <c r="CB11" s="1">
        <f t="shared" si="11"/>
        <v>0</v>
      </c>
      <c r="CC11" s="1">
        <f t="shared" si="12"/>
        <v>0</v>
      </c>
      <c r="CD11" s="210" t="str">
        <f>IF(AND(C11="Skema 1",B11="ma"),Skemaoplysninger!$E$31,"")</f>
        <v/>
      </c>
      <c r="CE11" s="210" t="str">
        <f>IF(AND(C11="Skema 1",B11="ti"),Skemaoplysninger!$G$31,"")</f>
        <v/>
      </c>
      <c r="CF11" s="210" t="str">
        <f>IF(AND(C11="Skema 1",B11="on"),Skemaoplysninger!$I$31,"")</f>
        <v/>
      </c>
      <c r="CG11" s="210" t="str">
        <f>IF(AND(C11="Skema 1",B11="to"),Skemaoplysninger!$K$31,"")</f>
        <v/>
      </c>
      <c r="CH11" s="210" t="str">
        <f>IF(AND(C11="Skema 1",B11="fr"),Skemaoplysninger!$M$31,"")</f>
        <v/>
      </c>
      <c r="CI11" s="210" t="str">
        <f>IF(AND(C11="Skema 2",B11="ma"),Skemaoplysninger!$S$31,"")</f>
        <v/>
      </c>
      <c r="CJ11" s="210" t="str">
        <f>IF(AND(C11="Skema 2",B11="ti"),Skemaoplysninger!$U$31,"")</f>
        <v/>
      </c>
      <c r="CK11" s="210" t="str">
        <f>IF(AND(C11="Skema 2",B11="on"),Skemaoplysninger!$W$31,"")</f>
        <v/>
      </c>
      <c r="CL11" s="210">
        <f>IF(AND(C11="Skema 2",B11="to"),Skemaoplysninger!$Y$31,"")</f>
        <v>3.4722222222222224E-2</v>
      </c>
      <c r="CM11" s="210" t="str">
        <f>IF(AND(C11="Skema 2",B11="fr"),Skemaoplysninger!$AA$31,"")</f>
        <v/>
      </c>
      <c r="CN11" s="210" t="str">
        <f>IF(AND(C11="Skema 3",B11="ma"),Skemaoplysninger!$AG$31,"")</f>
        <v/>
      </c>
      <c r="CO11" s="210" t="str">
        <f>IF(AND(C11="Skema 3",B11="ti"),Skemaoplysninger!$AI$31,"")</f>
        <v/>
      </c>
      <c r="CP11" s="210" t="str">
        <f>IF(AND(C11="Skema 3",B11="on"),Skemaoplysninger!$AK$31,"")</f>
        <v/>
      </c>
      <c r="CQ11" s="210" t="str">
        <f>IF(AND(C11="Skema 3",B11="to"),Skemaoplysninger!$AM$31,"")</f>
        <v/>
      </c>
      <c r="CR11" s="210" t="str">
        <f>IF(AND(C11="Skema 3",B11="fr"),Skemaoplysninger!$AO$31,"")</f>
        <v/>
      </c>
      <c r="CS11" s="210" t="str">
        <f>IF(AND(C11="Skema 4",B11="ma"),Skemaoplysninger!$AU$31,"")</f>
        <v/>
      </c>
      <c r="CT11" s="210" t="str">
        <f>IF(AND(C11="Skema 4",B11="ti"),Skemaoplysninger!$AW$31,"")</f>
        <v/>
      </c>
      <c r="CU11" s="210" t="str">
        <f>IF(AND(C11="Skema 4",B11="on"),Skemaoplysninger!$AY$31,"")</f>
        <v/>
      </c>
      <c r="CV11" s="210" t="str">
        <f>IF(AND(C11="Skema 4",B11="to"),Skemaoplysninger!$BA$31,"")</f>
        <v/>
      </c>
      <c r="CW11" s="210" t="str">
        <f>IF(AND(C11="Skema 4",B11="fr"),Skemaoplysninger!$BC$31,"")</f>
        <v/>
      </c>
      <c r="CX11" s="249">
        <f>IF(Stamoplysninger!$H$29="NEJ",SUM(CD11:CW11)*24+CB11+CC11,0)</f>
        <v>0.83333333333333337</v>
      </c>
      <c r="CY11" s="249">
        <f>IF(C11="Skema 1",Stamoplysninger!$H$30/200,0)</f>
        <v>0</v>
      </c>
      <c r="CZ11" s="249">
        <f>IF(C11="Skema 2",Stamoplysninger!$H$30/200,0)</f>
        <v>0</v>
      </c>
      <c r="DA11" s="249">
        <f>IF(C11="Skema 3",Stamoplysninger!$H$30/200,0)</f>
        <v>0</v>
      </c>
      <c r="DB11" s="249">
        <f>IF(C11="Skema 4",Stamoplysninger!$H$30/200,0)</f>
        <v>0</v>
      </c>
      <c r="DC11" s="249">
        <f>IF(C11="fagdag",Stamoplysninger!$H$30/200,0)</f>
        <v>0</v>
      </c>
      <c r="DD11" s="249">
        <f>IF(C11="emnedag",Stamoplysninger!$H$30/200,0)</f>
        <v>0</v>
      </c>
      <c r="DE11" s="249">
        <f>IF(C11="lejrskole",Stamoplysninger!$H$30/200,0)</f>
        <v>0</v>
      </c>
      <c r="DF11" s="249">
        <f>IF(C11="ekskursion",Stamoplysninger!$H$30/200,0)</f>
        <v>0</v>
      </c>
      <c r="DG11" s="249">
        <f t="shared" si="26"/>
        <v>0</v>
      </c>
      <c r="DH11" t="str">
        <f t="shared" si="27"/>
        <v/>
      </c>
      <c r="DI11">
        <f t="shared" si="28"/>
        <v>0</v>
      </c>
      <c r="DJ11">
        <f t="shared" si="29"/>
        <v>0</v>
      </c>
      <c r="DK11" t="str">
        <f t="shared" si="13"/>
        <v/>
      </c>
      <c r="DL11" t="str">
        <f t="shared" si="13"/>
        <v/>
      </c>
      <c r="DM11" t="str">
        <f t="shared" si="13"/>
        <v/>
      </c>
      <c r="DN11" t="str">
        <f t="shared" si="30"/>
        <v/>
      </c>
      <c r="DO11" s="652">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71">
        <f>IF(AND(Stamoplysninger!$B$22="Ulempetillæg udbetales med 25% af nettotimelønnen.",C11="ikke relevant"),(R11)/4,0)</f>
        <v>0</v>
      </c>
      <c r="DT11" s="671">
        <f>IF(AND(AND(Stamoplysninger!$B$22="Ulempetillæg udbetales med 25% af nettotimelønnen.",I11="X",C11="Ikke relevant")),K11/4,0)</f>
        <v>0</v>
      </c>
      <c r="DU11" s="671">
        <f>IF(AND(AND(Stamoplysninger!$B$22="Ulempetillæg udbetales med 25% af nettotimelønnen.",C11="ikke relevant",U11="X")),(X11/4),0)</f>
        <v>0</v>
      </c>
      <c r="DV11" s="672">
        <f>IF(AND(AND(AND(Stamoplysninger!$B$22="Ulempetillæg udbetales med 25% af nettotimelønnen.",I11="X",C11="Ikke relevant",S11="X"))),V11/4,0)</f>
        <v>0</v>
      </c>
      <c r="DW11" s="652"/>
      <c r="DZ11" s="671"/>
      <c r="EA11" s="671"/>
      <c r="EB11" s="672"/>
      <c r="EC11" s="652">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71">
        <f>IF(AND(Stamoplysninger!$B$22="Ulempetillæg afspadseres med 25%(Kræver en aftale imellem ledelsen og den ansatte)",C11="ikke relevant"),(R11)/4,0)</f>
        <v>0</v>
      </c>
      <c r="EH11" s="671">
        <f>IF(AND(AND(Stamoplysninger!$B$22="Ulempetillæg afspadseres med 25%(Kræver en aftale imellem ledelsen og den ansatte)",I11="X",C11="Ikke relevant")),K11/4,0)</f>
        <v>0</v>
      </c>
      <c r="EI11" s="671">
        <f>IF(AND(AND(Stamoplysninger!$B$22="Ulempetillæg afspadseres med 25%(Kræver en aftale imellem ledelsen og den ansatte)",U11="X",C11="Ikke relevant")),X11/4,0)</f>
        <v>0</v>
      </c>
      <c r="EJ11" s="671">
        <f>IF(AND(AND(AND(Stamoplysninger!$B$22="Ulempetillæg afspadseres med 25%(Kræver en aftale imellem ledelsen og den ansatte)",I11="X",C11="Ikke relevant",S11="X"))),V11/4,0)</f>
        <v>0</v>
      </c>
      <c r="EK11" s="283">
        <f>IF(AND(Stamoplysninger!$B$26="Weekendtimer og weekendtillæg afspadseres.",I11="X"),K11*1.5,0)</f>
        <v>0</v>
      </c>
      <c r="EL11" s="251">
        <f>IF(AND(AND(Stamoplysninger!$B$26="Weekendtimer og weekendtillæg afspadseres.",I11="X",S11="X")),V11*1.5,0)</f>
        <v>0</v>
      </c>
      <c r="EM11" s="674">
        <f>IF(AND(AND(Stamoplysninger!$B$26="Weekendtimer og weekendtillæg afspadseres.",I11="X",C11="ikke relevant")),K11*1.5,0)</f>
        <v>0</v>
      </c>
      <c r="EN11" s="675">
        <f>IF(AND(AND(AND(Stamoplysninger!$B$26="Weekendtimer og weekendtillæg afspadseres.",I11="X",C11="ikke relevant",S11="X"))),(V11*1.5),0)</f>
        <v>0</v>
      </c>
      <c r="EO11" s="283">
        <f>IF(AND(Stamoplysninger!$B$26="Weekendtimer og weekendtillæg udbetales.",I11="X"),K11*1.5,0)</f>
        <v>0</v>
      </c>
      <c r="EP11" s="251">
        <f>IF(AND(AND(Stamoplysninger!$B$26="Weekendtimer og weekendtillæg udbetales.",I11="X",S11="X")),V11*1.5,0)</f>
        <v>0</v>
      </c>
      <c r="EQ11" s="674">
        <f>IF(AND(AND(Stamoplysninger!$B$26="Weekendtimer og weekendtillæg udbetales.",I11="X",C11="ikke relevant")),K11*1.5,0)</f>
        <v>0</v>
      </c>
      <c r="ER11" s="675">
        <f>IF(AND(AND(AND(Stamoplysninger!$B$26="Weekendtimer og weekendtillæg udbetales.",I11="X",C11="ikke relevant",S11="X"))),(V11*1.5),0)</f>
        <v>0</v>
      </c>
      <c r="ES11" s="283">
        <f>IF(AND(Stamoplysninger!$B$26="Der er indgået lokalaftale omkring weekendtimer.(Kræver aftale med TR/FSL) Weekendtillæg afspadseres.",I11="X"),K11*0.5,0)</f>
        <v>0</v>
      </c>
      <c r="ET11" s="251">
        <f>IF(AND(AND(Stamoplysninger!$B$26="Der er indgået lokalaftale omkring weekendtimer.(Kræver aftale med TR/FSL) Weekendtillæg afspadseres.",I11="X",S11="X")),V11*0.5,0)</f>
        <v>0</v>
      </c>
      <c r="EU11" s="674">
        <f>IF(AND(AND(Stamoplysninger!$B$26="Der er indgået lokalaftale omkring weekendtimer.(Kræver aftale med TR/FSL) Weekendtillæg afspadseres.",I11="X",C11="ikke relevant")),K11*0.5,0)</f>
        <v>0</v>
      </c>
      <c r="EV11" s="675">
        <f>IF(AND(AND(AND(Stamoplysninger!$B$26="Der er indgået lokalaftale omkring weekendtimer.(Kræver aftale med TR/FSL) Weekendtillæg afspadseres.",I11="X",C11="ikke relevant",S11="X"))),(V11*0.5),0)</f>
        <v>0</v>
      </c>
      <c r="EW11" s="283">
        <f>IF(AND(Stamoplysninger!$B$26="Der er indgået lokalaftale omkring weekendtimer(Kræver aftale med TR/FSL). Weekendtillæg udbetales.",I11="X"),K11*0.5,0)</f>
        <v>0</v>
      </c>
      <c r="EX11" s="251">
        <f>IF(AND(AND(Stamoplysninger!$B$26="Der er indgået lokalaftale omkring weekendtimer(Kræver aftale med TR/FSL). Weekendtillæg udbetales.",I11="X",S11="X")),V11*0.5,0)</f>
        <v>0</v>
      </c>
      <c r="EY11" s="674">
        <f>IF(AND(AND(Stamoplysninger!$B$26="Der er indgået lokalaftale omkring weekendtimer(Kræver aftale med TR/FSL). Weekendtillæg udbetales.",I11="X",C11="ikke relevant")),K11*0.5,0)</f>
        <v>0</v>
      </c>
      <c r="EZ11" s="675">
        <f>IF(AND(AND(AND(Stamoplysninger!$B$26="Der er indgået lokalaftale omkring weekendtimer(Kræver aftale med TR/FSL). Weekendtillæg udbetales.",I11="X",C11="ikke relevant",S11="X"))),(V11*0.5),0)</f>
        <v>0</v>
      </c>
      <c r="FA11" s="283">
        <f>IF(AND(Stamoplysninger!$B$26="Der er indgået lokalaftale omkring weekendtillæg(Kræver aftale med TR/FSL). Weekendtimerne afspadseres.",I11="X"),K11,0)</f>
        <v>0</v>
      </c>
      <c r="FB11" s="251">
        <f>IF(AND(AND(Stamoplysninger!$B$26="Der er indgået lokalaftale omkring weekendtillæg(Kræver aftale med TR/FSL). Weekendtimerne afspadseres.",I11="X",S11="X")),V11,0)</f>
        <v>0</v>
      </c>
      <c r="FC11" s="674">
        <f>IF(AND(AND(Stamoplysninger!$B$26="Der er indgået lokalaftale omkring weekendtillæg(Kræver aftale med TR/FSL). Weekendtimerne afspadseres..",I11="X",C11="ikke relevant")),K11,0)</f>
        <v>0</v>
      </c>
      <c r="FD11" s="675">
        <f>IF(AND(AND(AND(Stamoplysninger!$B$26="Der er indgået lokalaftale omkring weekendtillæg(Kræver aftale med TR/FSL). Weekendtimerne afspadseres.",I11="X",C11="ikke relevant",S11="X"))),(V11),0)</f>
        <v>0</v>
      </c>
      <c r="FE11" s="283">
        <f>IF(AND(Stamoplysninger!$B$26="Der er indgået lokalaftale omkring weekendtillæg(Kræver aftale med TR/FSL). Weekendtimerne udbetales.",I11="X"),K11,0)</f>
        <v>0</v>
      </c>
      <c r="FF11" s="251">
        <f>IF(AND(AND(Stamoplysninger!$B$26="Der er indgået lokalaftale omkring weekendtillæg(Kræver aftale med TR/FSL). Weekendtimerne udbetales.",I11="X",S11="X")),V11,0)</f>
        <v>0</v>
      </c>
      <c r="FG11" s="674">
        <f>IF(AND(AND(Stamoplysninger!$B$26="Der er indgået lokalaftale omkring weekendtillæg(Kræver aftale med TR/FSL). Weekendtimerne udbetales.",I11="X",C11="ikke relevant")),K11,0)</f>
        <v>0</v>
      </c>
      <c r="FH11" s="675">
        <f>IF(AND(AND(AND(Stamoplysninger!$B$26="Der er indgået lokalaftale omkring weekendtillæg(Kræver aftale med TR/FSL). Weekendtimerne udbetales.",I11="X",C11="ikke relevant",S11="X"))),(V11),0)</f>
        <v>0</v>
      </c>
      <c r="FI11" s="283">
        <f>IF(AND(Stamoplysninger!$B$26="Weekendtimer og weekendtillæg afspadseres.",I11="X"),K11,0)</f>
        <v>0</v>
      </c>
      <c r="FJ11" s="251">
        <f>IF(AND(Stamoplysninger!$B$26="Weekendtimer og weekendtillæg afspadseres.",Y11="X"),(AA11+AL11)/2,0)</f>
        <v>0</v>
      </c>
      <c r="FK11" s="674">
        <f>IF(AND(AND(Stamoplysninger!$B$26="Weekendtimer og weekendtillæg afspadseres.",I11="X",C11="ikke relevant")),K11,0)</f>
        <v>0</v>
      </c>
      <c r="FL11" s="675">
        <f>IF(AND(AND(Stamoplysninger!$B$26="Weekendtimer og weekendtillæg afspadseres.",Y11="X",S11="ikke relevant")),(AA11+AL11)/2,0)</f>
        <v>0</v>
      </c>
      <c r="FM11" s="283">
        <f>IF(AND(Stamoplysninger!$B$26="Der er indgået lokalaftale omkring weekendtillæg(Kræver aftale med TR/FSL). Weekendtimerne afspadseres.",I11="X"),K11,0)</f>
        <v>0</v>
      </c>
      <c r="FN11" s="674">
        <f>IF(AND(AND(Stamoplysninger!$B$26="Der er indgået lokalaftale omkring weekendtillæg(Kræver aftale med TR/FSL). Weekendtimerne afspadseres.",I11="X",C11="ikke relevant")),K11,0)</f>
        <v>0</v>
      </c>
      <c r="FO11" s="283">
        <f>IF(AND(Stamoplysninger!$B$26="Weekendtimer og weekendtillæg udbetales.",I11="X"),K11,0)</f>
        <v>0</v>
      </c>
      <c r="FP11" s="251">
        <f>IF(AND(Stamoplysninger!$B$26="Weekendtimer og weekendtillæg udbetales.",AA11="X"),(AC11+AN11)/2,0)</f>
        <v>0</v>
      </c>
      <c r="FQ11" s="674">
        <f>IF(AND(AND(Stamoplysninger!$B$26="Weekendtimer og weekendtillæg udbetales.",I11="X",C11="ikke relevant")),K11,0)</f>
        <v>0</v>
      </c>
      <c r="FR11" s="688">
        <f>IF(AND(AND(Stamoplysninger!$B$26="Weekendtimer og weekendtillæg udbetales.",AA11="X",U11="ikke relevant")),(AC11+AN11)/2,0)</f>
        <v>0</v>
      </c>
      <c r="FS11" s="283">
        <f t="shared" si="14"/>
        <v>0</v>
      </c>
      <c r="FT11" s="658">
        <f t="shared" si="15"/>
        <v>0</v>
      </c>
      <c r="FU11">
        <f t="shared" si="16"/>
        <v>0</v>
      </c>
      <c r="FV11" s="283">
        <f>IF(AND(Stamoplysninger!$B$26="Der er indgået lokalaftale omkring weekendtimer.(Kræver aftale med TR/FSL) Weekendtillæg afspadseres.",I11="X"),K11,0)</f>
        <v>0</v>
      </c>
      <c r="FW11" s="674">
        <f>IF(AND(AND(Stamoplysninger!$B$26="Der er indgået lokalaftale omkring weekendtimer.(Kræver aftale med TR/FSL) Weekendtillæg afspadseres.",I11="X",C11="ikke relevant")),K11,0)</f>
        <v>0</v>
      </c>
      <c r="FX11" s="283">
        <f>IF(AND(Stamoplysninger!$B$26="Der er indgået lokalaftale omkring weekendtimer(Kræver aftale med TR/FSL). Weekendtillæg udbetales.",I11="X"),K11,0)</f>
        <v>0</v>
      </c>
      <c r="FY11" s="674">
        <f>IF(AND(AND(Stamoplysninger!$B$26="Der er indgået lokalaftale omkring weekendtimer(Kræver aftale med TR/FSL). Weekendtillæg udbetales.",I11="X",C11="ikke relevant")),K11,0)</f>
        <v>0</v>
      </c>
      <c r="FZ11" s="283">
        <f>IF(AND(Stamoplysninger!$B$26="Der er indgået lokalaftale omkring weekendtillæg(Kræver aftale med TR/FSL). Weekendtimerne udbetales.",I11="X"),K11,0)</f>
        <v>0</v>
      </c>
      <c r="GA11" s="674">
        <f>IF(AND(AND(Stamoplysninger!$B$26="Der er indgået lokalaftale omkring weekendtillæg(Kræver aftale med TR/FSL). Weekendtimerne udbetales.",I11="X",C11="ikke relevant")),K11,0)</f>
        <v>0</v>
      </c>
      <c r="GB11" s="283">
        <f>IF(AND(Stamoplysninger!$B$26="Der er indgået lokalaftale omkring weekendtimer og weekendtillæg.(Kræver aftale med TR/FSL).",I11="X"),K11,0)</f>
        <v>0</v>
      </c>
      <c r="GC11" s="674">
        <f>IF(AND(AND(Stamoplysninger!$B$26="Der er indgået lokalaftale omkring weekendtimer og weekendtillæg.(Kræver aftale med TR/FSL).",I11="X",C11="ikke relevant")),K11,0)</f>
        <v>0</v>
      </c>
    </row>
    <row r="12" spans="1:185">
      <c r="A12" s="245">
        <f t="shared" si="17"/>
        <v>4</v>
      </c>
      <c r="B12" s="128" t="str">
        <f t="shared" si="0"/>
        <v>fr</v>
      </c>
      <c r="C12" s="129" t="s">
        <v>207</v>
      </c>
      <c r="D12" s="130" t="str">
        <f t="shared" si="1"/>
        <v/>
      </c>
      <c r="E12" s="917"/>
      <c r="F12" s="918"/>
      <c r="G12" s="919"/>
      <c r="H12" s="298"/>
      <c r="I12" s="527"/>
      <c r="J12" s="413"/>
      <c r="K12" s="380"/>
      <c r="L12" s="380"/>
      <c r="M12" s="380"/>
      <c r="N12" s="318">
        <f t="shared" si="18"/>
        <v>7</v>
      </c>
      <c r="O12" s="318">
        <f t="shared" si="19"/>
        <v>3</v>
      </c>
      <c r="P12" s="318">
        <f>IF(Stamoplysninger!$H$29="JA",April!DG12,CX12)</f>
        <v>0.83333333333333337</v>
      </c>
      <c r="Q12" s="318">
        <f t="shared" si="20"/>
        <v>3.1666666666666665</v>
      </c>
      <c r="R12" s="319"/>
      <c r="S12" s="324"/>
      <c r="T12" s="325"/>
      <c r="U12" s="325"/>
      <c r="V12" s="435"/>
      <c r="W12" s="435"/>
      <c r="X12" s="644"/>
      <c r="Y12">
        <f t="shared" si="21"/>
        <v>0</v>
      </c>
      <c r="Z12" s="437">
        <f t="shared" si="22"/>
        <v>0</v>
      </c>
      <c r="AA12" s="1">
        <f t="shared" si="2"/>
        <v>0</v>
      </c>
      <c r="AB12" s="1">
        <f t="shared" si="3"/>
        <v>0</v>
      </c>
      <c r="AC12" s="1">
        <f t="shared" si="4"/>
        <v>0</v>
      </c>
      <c r="AD12" s="1">
        <f t="shared" si="5"/>
        <v>0</v>
      </c>
      <c r="AE12" s="1">
        <f t="shared" si="6"/>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f>IF(AND(C12="Skema 2",B12="fr"),Arbejdstidsoversigt!$E$85,"")</f>
        <v>7</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7</v>
      </c>
      <c r="BB12" s="229">
        <f t="shared" si="7"/>
        <v>0</v>
      </c>
      <c r="BC12" s="1">
        <f t="shared" si="24"/>
        <v>0</v>
      </c>
      <c r="BD12" s="1">
        <f t="shared" si="8"/>
        <v>0</v>
      </c>
      <c r="BE12" s="1">
        <f t="shared" si="9"/>
        <v>0</v>
      </c>
      <c r="BF12" s="1">
        <f t="shared" si="10"/>
        <v>0</v>
      </c>
      <c r="BG12" s="210" t="str">
        <f>IF(AND(C12="Skema 1",B12="ma"),Skemaoplysninger!$E$30,"")</f>
        <v/>
      </c>
      <c r="BH12" s="210" t="str">
        <f>IF(AND(C12="Skema 1",B12="ti"),Skemaoplysninger!$G$30,"")</f>
        <v/>
      </c>
      <c r="BI12" s="210" t="str">
        <f>IF(AND(C12="Skema 1",B12="on"),Skemaoplysninger!$I$30,"")</f>
        <v/>
      </c>
      <c r="BJ12" s="210" t="str">
        <f>IF(AND(C12="Skema 1",B12="to"),Skemaoplysninger!$K$30,"")</f>
        <v/>
      </c>
      <c r="BK12" s="210" t="str">
        <f>IF(AND(C12="Skema 1",B12="fr"),Skemaoplysninger!$M$30,"")</f>
        <v/>
      </c>
      <c r="BL12" s="210" t="str">
        <f>IF(AND(C12="Skema 2",B12="ma"),Skemaoplysninger!$S$30,"")</f>
        <v/>
      </c>
      <c r="BM12" s="210" t="str">
        <f>IF(AND(C12="Skema 2",B12="ti"),Skemaoplysninger!$U$30,"")</f>
        <v/>
      </c>
      <c r="BN12" s="210" t="str">
        <f>IF(AND(C12="Skema 2",B12="on"),Skemaoplysninger!$W$30,"")</f>
        <v/>
      </c>
      <c r="BO12" s="210" t="str">
        <f>IF(AND(C12="Skema 2",B12="to"),Skemaoplysninger!$Y$30,"")</f>
        <v/>
      </c>
      <c r="BP12" s="210">
        <f>IF(AND(C12="Skema 2",B12="fr"),Skemaoplysninger!$AA$30,"")</f>
        <v>0.125</v>
      </c>
      <c r="BQ12" s="210" t="str">
        <f>IF(AND(C12="Skema 3",B12="ma"),Skemaoplysninger!$AG$30,"")</f>
        <v/>
      </c>
      <c r="BR12" s="210" t="str">
        <f>IF(AND(C12="Skema 3",B12="ti"),Skemaoplysninger!$AI$30,"")</f>
        <v/>
      </c>
      <c r="BS12" s="210" t="str">
        <f>IF(AND(C12="Skema 3",B12="on"),Skemaoplysninger!$AK$30,"")</f>
        <v/>
      </c>
      <c r="BT12" s="210" t="str">
        <f>IF(AND(C12="Skema 3",B12="to"),Skemaoplysninger!$AM$30,"")</f>
        <v/>
      </c>
      <c r="BU12" s="210" t="str">
        <f>IF(AND(C12="Skema 3",B12="fr"),Skemaoplysninger!$AO$30,"")</f>
        <v/>
      </c>
      <c r="BV12" s="210" t="str">
        <f>IF(AND(C12="Skema 4",B12="ma"),Skemaoplysninger!$AU$30,"")</f>
        <v/>
      </c>
      <c r="BW12" s="210" t="str">
        <f>IF(AND(C12="Skema 4",B12="ti"),Skemaoplysninger!$AW$30,"")</f>
        <v/>
      </c>
      <c r="BX12" s="210" t="str">
        <f>IF(AND(C12="Skema 4",B12="on"),Skemaoplysninger!$AY$30,"")</f>
        <v/>
      </c>
      <c r="BY12" s="210" t="str">
        <f>IF(AND(C12="Skema 4",B12="to"),Skemaoplysninger!$BA$30,"")</f>
        <v/>
      </c>
      <c r="BZ12" s="210" t="str">
        <f>IF(AND(C12="Skema 4",B12="fr"),Skemaoplysninger!$BC$30,"")</f>
        <v/>
      </c>
      <c r="CA12" s="1">
        <f t="shared" si="25"/>
        <v>3</v>
      </c>
      <c r="CB12" s="1">
        <f t="shared" si="11"/>
        <v>0</v>
      </c>
      <c r="CC12" s="1">
        <f t="shared" si="12"/>
        <v>0</v>
      </c>
      <c r="CD12" s="210" t="str">
        <f>IF(AND(C12="Skema 1",B12="ma"),Skemaoplysninger!$E$31,"")</f>
        <v/>
      </c>
      <c r="CE12" s="210" t="str">
        <f>IF(AND(C12="Skema 1",B12="ti"),Skemaoplysninger!$G$31,"")</f>
        <v/>
      </c>
      <c r="CF12" s="210" t="str">
        <f>IF(AND(C12="Skema 1",B12="on"),Skemaoplysninger!$I$31,"")</f>
        <v/>
      </c>
      <c r="CG12" s="210" t="str">
        <f>IF(AND(C12="Skema 1",B12="to"),Skemaoplysninger!$K$31,"")</f>
        <v/>
      </c>
      <c r="CH12" s="210" t="str">
        <f>IF(AND(C12="Skema 1",B12="fr"),Skemaoplysninger!$M$31,"")</f>
        <v/>
      </c>
      <c r="CI12" s="210" t="str">
        <f>IF(AND(C12="Skema 2",B12="ma"),Skemaoplysninger!$S$31,"")</f>
        <v/>
      </c>
      <c r="CJ12" s="210" t="str">
        <f>IF(AND(C12="Skema 2",B12="ti"),Skemaoplysninger!$U$31,"")</f>
        <v/>
      </c>
      <c r="CK12" s="210" t="str">
        <f>IF(AND(C12="Skema 2",B12="on"),Skemaoplysninger!$W$31,"")</f>
        <v/>
      </c>
      <c r="CL12" s="210" t="str">
        <f>IF(AND(C12="Skema 2",B12="to"),Skemaoplysninger!$Y$31,"")</f>
        <v/>
      </c>
      <c r="CM12" s="210">
        <f>IF(AND(C12="Skema 2",B12="fr"),Skemaoplysninger!$AA$31,"")</f>
        <v>3.4722222222222224E-2</v>
      </c>
      <c r="CN12" s="210" t="str">
        <f>IF(AND(C12="Skema 3",B12="ma"),Skemaoplysninger!$AG$31,"")</f>
        <v/>
      </c>
      <c r="CO12" s="210" t="str">
        <f>IF(AND(C12="Skema 3",B12="ti"),Skemaoplysninger!$AI$31,"")</f>
        <v/>
      </c>
      <c r="CP12" s="210" t="str">
        <f>IF(AND(C12="Skema 3",B12="on"),Skemaoplysninger!$AK$31,"")</f>
        <v/>
      </c>
      <c r="CQ12" s="210" t="str">
        <f>IF(AND(C12="Skema 3",B12="to"),Skemaoplysninger!$AM$31,"")</f>
        <v/>
      </c>
      <c r="CR12" s="210" t="str">
        <f>IF(AND(C12="Skema 3",B12="fr"),Skemaoplysninger!$AO$31,"")</f>
        <v/>
      </c>
      <c r="CS12" s="210" t="str">
        <f>IF(AND(C12="Skema 4",B12="ma"),Skemaoplysninger!$AU$31,"")</f>
        <v/>
      </c>
      <c r="CT12" s="210" t="str">
        <f>IF(AND(C12="Skema 4",B12="ti"),Skemaoplysninger!$AW$31,"")</f>
        <v/>
      </c>
      <c r="CU12" s="210" t="str">
        <f>IF(AND(C12="Skema 4",B12="on"),Skemaoplysninger!$AY$31,"")</f>
        <v/>
      </c>
      <c r="CV12" s="210" t="str">
        <f>IF(AND(C12="Skema 4",B12="to"),Skemaoplysninger!$BA$31,"")</f>
        <v/>
      </c>
      <c r="CW12" s="210" t="str">
        <f>IF(AND(C12="Skema 4",B12="fr"),Skemaoplysninger!$BC$31,"")</f>
        <v/>
      </c>
      <c r="CX12" s="249">
        <f>IF(Stamoplysninger!$H$29="NEJ",SUM(CD12:CW12)*24+CB12+CC12,0)</f>
        <v>0.83333333333333337</v>
      </c>
      <c r="CY12" s="249">
        <f>IF(C12="Skema 1",Stamoplysninger!$H$30/200,0)</f>
        <v>0</v>
      </c>
      <c r="CZ12" s="249">
        <f>IF(C12="Skema 2",Stamoplysninger!$H$30/200,0)</f>
        <v>0</v>
      </c>
      <c r="DA12" s="249">
        <f>IF(C12="Skema 3",Stamoplysninger!$H$30/200,0)</f>
        <v>0</v>
      </c>
      <c r="DB12" s="249">
        <f>IF(C12="Skema 4",Stamoplysninger!$H$30/200,0)</f>
        <v>0</v>
      </c>
      <c r="DC12" s="249">
        <f>IF(C12="fagdag",Stamoplysninger!$H$30/200,0)</f>
        <v>0</v>
      </c>
      <c r="DD12" s="249">
        <f>IF(C12="emnedag",Stamoplysninger!$H$30/200,0)</f>
        <v>0</v>
      </c>
      <c r="DE12" s="249">
        <f>IF(C12="lejrskole",Stamoplysninger!$H$30/200,0)</f>
        <v>0</v>
      </c>
      <c r="DF12" s="249">
        <f>IF(C12="ekskursion",Stamoplysninger!$H$30/200,0)</f>
        <v>0</v>
      </c>
      <c r="DG12" s="249">
        <f t="shared" si="26"/>
        <v>0</v>
      </c>
      <c r="DH12" t="str">
        <f t="shared" si="27"/>
        <v/>
      </c>
      <c r="DI12">
        <f t="shared" si="28"/>
        <v>0</v>
      </c>
      <c r="DJ12">
        <f>IF(E12="",H12,"")</f>
        <v>0</v>
      </c>
      <c r="DK12" t="str">
        <f t="shared" si="13"/>
        <v/>
      </c>
      <c r="DL12" t="str">
        <f t="shared" si="13"/>
        <v/>
      </c>
      <c r="DM12" t="str">
        <f t="shared" si="13"/>
        <v/>
      </c>
      <c r="DN12" t="str">
        <f t="shared" si="30"/>
        <v/>
      </c>
      <c r="DO12" s="652">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71">
        <f>IF(AND(Stamoplysninger!$B$22="Ulempetillæg udbetales med 25% af nettotimelønnen.",C12="ikke relevant"),(R12)/4,0)</f>
        <v>0</v>
      </c>
      <c r="DT12" s="671">
        <f>IF(AND(AND(Stamoplysninger!$B$22="Ulempetillæg udbetales med 25% af nettotimelønnen.",I12="X",C12="Ikke relevant")),K12/4,0)</f>
        <v>0</v>
      </c>
      <c r="DU12" s="671">
        <f>IF(AND(AND(Stamoplysninger!$B$22="Ulempetillæg udbetales med 25% af nettotimelønnen.",C12="ikke relevant",U12="X")),(X12/4),0)</f>
        <v>0</v>
      </c>
      <c r="DV12" s="672">
        <f>IF(AND(AND(AND(Stamoplysninger!$B$22="Ulempetillæg udbetales med 25% af nettotimelønnen.",I12="X",C12="Ikke relevant",S12="X"))),V12/4,0)</f>
        <v>0</v>
      </c>
      <c r="DW12" s="652"/>
      <c r="DZ12" s="671"/>
      <c r="EA12" s="671"/>
      <c r="EB12" s="672"/>
      <c r="EC12" s="652">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71">
        <f>IF(AND(Stamoplysninger!$B$22="Ulempetillæg afspadseres med 25%(Kræver en aftale imellem ledelsen og den ansatte)",C12="ikke relevant"),(R12)/4,0)</f>
        <v>0</v>
      </c>
      <c r="EH12" s="671">
        <f>IF(AND(AND(Stamoplysninger!$B$22="Ulempetillæg afspadseres med 25%(Kræver en aftale imellem ledelsen og den ansatte)",I12="X",C12="Ikke relevant")),K12/4,0)</f>
        <v>0</v>
      </c>
      <c r="EI12" s="671">
        <f>IF(AND(AND(Stamoplysninger!$B$22="Ulempetillæg afspadseres med 25%(Kræver en aftale imellem ledelsen og den ansatte)",U12="X",C12="Ikke relevant")),X12/4,0)</f>
        <v>0</v>
      </c>
      <c r="EJ12" s="671">
        <f>IF(AND(AND(AND(Stamoplysninger!$B$22="Ulempetillæg afspadseres med 25%(Kræver en aftale imellem ledelsen og den ansatte)",I12="X",C12="Ikke relevant",S12="X"))),V12/4,0)</f>
        <v>0</v>
      </c>
      <c r="EK12" s="283">
        <f>IF(AND(Stamoplysninger!$B$26="Weekendtimer og weekendtillæg afspadseres.",I12="X"),K12*1.5,0)</f>
        <v>0</v>
      </c>
      <c r="EL12" s="251">
        <f>IF(AND(AND(Stamoplysninger!$B$26="Weekendtimer og weekendtillæg afspadseres.",I12="X",S12="X")),V12*1.5,0)</f>
        <v>0</v>
      </c>
      <c r="EM12" s="674">
        <f>IF(AND(AND(Stamoplysninger!$B$26="Weekendtimer og weekendtillæg afspadseres.",I12="X",C12="ikke relevant")),K12*1.5,0)</f>
        <v>0</v>
      </c>
      <c r="EN12" s="675">
        <f>IF(AND(AND(AND(Stamoplysninger!$B$26="Weekendtimer og weekendtillæg afspadseres.",I12="X",C12="ikke relevant",S12="X"))),(V12*1.5),0)</f>
        <v>0</v>
      </c>
      <c r="EO12" s="283">
        <f>IF(AND(Stamoplysninger!$B$26="Weekendtimer og weekendtillæg udbetales.",I12="X"),K12*1.5,0)</f>
        <v>0</v>
      </c>
      <c r="EP12" s="251">
        <f>IF(AND(AND(Stamoplysninger!$B$26="Weekendtimer og weekendtillæg udbetales.",I12="X",S12="X")),V12*1.5,0)</f>
        <v>0</v>
      </c>
      <c r="EQ12" s="674">
        <f>IF(AND(AND(Stamoplysninger!$B$26="Weekendtimer og weekendtillæg udbetales.",I12="X",C12="ikke relevant")),K12*1.5,0)</f>
        <v>0</v>
      </c>
      <c r="ER12" s="675">
        <f>IF(AND(AND(AND(Stamoplysninger!$B$26="Weekendtimer og weekendtillæg udbetales.",I12="X",C12="ikke relevant",S12="X"))),(V12*1.5),0)</f>
        <v>0</v>
      </c>
      <c r="ES12" s="283">
        <f>IF(AND(Stamoplysninger!$B$26="Der er indgået lokalaftale omkring weekendtimer.(Kræver aftale med TR/FSL) Weekendtillæg afspadseres.",I12="X"),K12*0.5,0)</f>
        <v>0</v>
      </c>
      <c r="ET12" s="251">
        <f>IF(AND(AND(Stamoplysninger!$B$26="Der er indgået lokalaftale omkring weekendtimer.(Kræver aftale med TR/FSL) Weekendtillæg afspadseres.",I12="X",S12="X")),V12*0.5,0)</f>
        <v>0</v>
      </c>
      <c r="EU12" s="674">
        <f>IF(AND(AND(Stamoplysninger!$B$26="Der er indgået lokalaftale omkring weekendtimer.(Kræver aftale med TR/FSL) Weekendtillæg afspadseres.",I12="X",C12="ikke relevant")),K12*0.5,0)</f>
        <v>0</v>
      </c>
      <c r="EV12" s="675">
        <f>IF(AND(AND(AND(Stamoplysninger!$B$26="Der er indgået lokalaftale omkring weekendtimer.(Kræver aftale med TR/FSL) Weekendtillæg afspadseres.",I12="X",C12="ikke relevant",S12="X"))),(V12*0.5),0)</f>
        <v>0</v>
      </c>
      <c r="EW12" s="283">
        <f>IF(AND(Stamoplysninger!$B$26="Der er indgået lokalaftale omkring weekendtimer(Kræver aftale med TR/FSL). Weekendtillæg udbetales.",I12="X"),K12*0.5,0)</f>
        <v>0</v>
      </c>
      <c r="EX12" s="251">
        <f>IF(AND(AND(Stamoplysninger!$B$26="Der er indgået lokalaftale omkring weekendtimer(Kræver aftale med TR/FSL). Weekendtillæg udbetales.",I12="X",S12="X")),V12*0.5,0)</f>
        <v>0</v>
      </c>
      <c r="EY12" s="674">
        <f>IF(AND(AND(Stamoplysninger!$B$26="Der er indgået lokalaftale omkring weekendtimer(Kræver aftale med TR/FSL). Weekendtillæg udbetales.",I12="X",C12="ikke relevant")),K12*0.5,0)</f>
        <v>0</v>
      </c>
      <c r="EZ12" s="675">
        <f>IF(AND(AND(AND(Stamoplysninger!$B$26="Der er indgået lokalaftale omkring weekendtimer(Kræver aftale med TR/FSL). Weekendtillæg udbetales.",I12="X",C12="ikke relevant",S12="X"))),(V12*0.5),0)</f>
        <v>0</v>
      </c>
      <c r="FA12" s="283">
        <f>IF(AND(Stamoplysninger!$B$26="Der er indgået lokalaftale omkring weekendtillæg(Kræver aftale med TR/FSL). Weekendtimerne afspadseres.",I12="X"),K12,0)</f>
        <v>0</v>
      </c>
      <c r="FB12" s="251">
        <f>IF(AND(AND(Stamoplysninger!$B$26="Der er indgået lokalaftale omkring weekendtillæg(Kræver aftale med TR/FSL). Weekendtimerne afspadseres.",I12="X",S12="X")),V12,0)</f>
        <v>0</v>
      </c>
      <c r="FC12" s="674">
        <f>IF(AND(AND(Stamoplysninger!$B$26="Der er indgået lokalaftale omkring weekendtillæg(Kræver aftale med TR/FSL). Weekendtimerne afspadseres..",I12="X",C12="ikke relevant")),K12,0)</f>
        <v>0</v>
      </c>
      <c r="FD12" s="675">
        <f>IF(AND(AND(AND(Stamoplysninger!$B$26="Der er indgået lokalaftale omkring weekendtillæg(Kræver aftale med TR/FSL). Weekendtimerne afspadseres.",I12="X",C12="ikke relevant",S12="X"))),(V12),0)</f>
        <v>0</v>
      </c>
      <c r="FE12" s="283">
        <f>IF(AND(Stamoplysninger!$B$26="Der er indgået lokalaftale omkring weekendtillæg(Kræver aftale med TR/FSL). Weekendtimerne udbetales.",I12="X"),K12,0)</f>
        <v>0</v>
      </c>
      <c r="FF12" s="251">
        <f>IF(AND(AND(Stamoplysninger!$B$26="Der er indgået lokalaftale omkring weekendtillæg(Kræver aftale med TR/FSL). Weekendtimerne udbetales.",I12="X",S12="X")),V12,0)</f>
        <v>0</v>
      </c>
      <c r="FG12" s="674">
        <f>IF(AND(AND(Stamoplysninger!$B$26="Der er indgået lokalaftale omkring weekendtillæg(Kræver aftale med TR/FSL). Weekendtimerne udbetales.",I12="X",C12="ikke relevant")),K12,0)</f>
        <v>0</v>
      </c>
      <c r="FH12" s="675">
        <f>IF(AND(AND(AND(Stamoplysninger!$B$26="Der er indgået lokalaftale omkring weekendtillæg(Kræver aftale med TR/FSL). Weekendtimerne udbetales.",I12="X",C12="ikke relevant",S12="X"))),(V12),0)</f>
        <v>0</v>
      </c>
      <c r="FI12" s="283">
        <f>IF(AND(Stamoplysninger!$B$26="Weekendtimer og weekendtillæg afspadseres.",I12="X"),K12,0)</f>
        <v>0</v>
      </c>
      <c r="FJ12" s="251">
        <f>IF(AND(Stamoplysninger!$B$26="Weekendtimer og weekendtillæg afspadseres.",Y12="X"),(AA12+AL12)/2,0)</f>
        <v>0</v>
      </c>
      <c r="FK12" s="674">
        <f>IF(AND(AND(Stamoplysninger!$B$26="Weekendtimer og weekendtillæg afspadseres.",I12="X",C12="ikke relevant")),K12,0)</f>
        <v>0</v>
      </c>
      <c r="FL12" s="675">
        <f>IF(AND(AND(Stamoplysninger!$B$26="Weekendtimer og weekendtillæg afspadseres.",Y12="X",S12="ikke relevant")),(AA12+AL12)/2,0)</f>
        <v>0</v>
      </c>
      <c r="FM12" s="283">
        <f>IF(AND(Stamoplysninger!$B$26="Der er indgået lokalaftale omkring weekendtillæg(Kræver aftale med TR/FSL). Weekendtimerne afspadseres.",I12="X"),K12,0)</f>
        <v>0</v>
      </c>
      <c r="FN12" s="674">
        <f>IF(AND(AND(Stamoplysninger!$B$26="Der er indgået lokalaftale omkring weekendtillæg(Kræver aftale med TR/FSL). Weekendtimerne afspadseres.",I12="X",C12="ikke relevant")),K12,0)</f>
        <v>0</v>
      </c>
      <c r="FO12" s="283">
        <f>IF(AND(Stamoplysninger!$B$26="Weekendtimer og weekendtillæg udbetales.",I12="X"),K12,0)</f>
        <v>0</v>
      </c>
      <c r="FP12" s="251">
        <f>IF(AND(Stamoplysninger!$B$26="Weekendtimer og weekendtillæg udbetales.",AA12="X"),(AC12+AN12)/2,0)</f>
        <v>0</v>
      </c>
      <c r="FQ12" s="674">
        <f>IF(AND(AND(Stamoplysninger!$B$26="Weekendtimer og weekendtillæg udbetales.",I12="X",C12="ikke relevant")),K12,0)</f>
        <v>0</v>
      </c>
      <c r="FR12" s="688">
        <f>IF(AND(AND(Stamoplysninger!$B$26="Weekendtimer og weekendtillæg udbetales.",AA12="X",U12="ikke relevant")),(AC12+AN12)/2,0)</f>
        <v>0</v>
      </c>
      <c r="FS12" s="283">
        <f t="shared" si="14"/>
        <v>0</v>
      </c>
      <c r="FT12" s="658">
        <f t="shared" si="15"/>
        <v>0</v>
      </c>
      <c r="FU12">
        <f t="shared" si="16"/>
        <v>0</v>
      </c>
      <c r="FV12" s="283">
        <f>IF(AND(Stamoplysninger!$B$26="Der er indgået lokalaftale omkring weekendtimer.(Kræver aftale med TR/FSL) Weekendtillæg afspadseres.",I12="X"),K12,0)</f>
        <v>0</v>
      </c>
      <c r="FW12" s="674">
        <f>IF(AND(AND(Stamoplysninger!$B$26="Der er indgået lokalaftale omkring weekendtimer.(Kræver aftale med TR/FSL) Weekendtillæg afspadseres.",I12="X",C12="ikke relevant")),K12,0)</f>
        <v>0</v>
      </c>
      <c r="FX12" s="283">
        <f>IF(AND(Stamoplysninger!$B$26="Der er indgået lokalaftale omkring weekendtimer(Kræver aftale med TR/FSL). Weekendtillæg udbetales.",I12="X"),K12,0)</f>
        <v>0</v>
      </c>
      <c r="FY12" s="674">
        <f>IF(AND(AND(Stamoplysninger!$B$26="Der er indgået lokalaftale omkring weekendtimer(Kræver aftale med TR/FSL). Weekendtillæg udbetales.",I12="X",C12="ikke relevant")),K12,0)</f>
        <v>0</v>
      </c>
      <c r="FZ12" s="283">
        <f>IF(AND(Stamoplysninger!$B$26="Der er indgået lokalaftale omkring weekendtillæg(Kræver aftale med TR/FSL). Weekendtimerne udbetales.",I12="X"),K12,0)</f>
        <v>0</v>
      </c>
      <c r="GA12" s="674">
        <f>IF(AND(AND(Stamoplysninger!$B$26="Der er indgået lokalaftale omkring weekendtillæg(Kræver aftale med TR/FSL). Weekendtimerne udbetales.",I12="X",C12="ikke relevant")),K12,0)</f>
        <v>0</v>
      </c>
      <c r="GB12" s="283">
        <f>IF(AND(Stamoplysninger!$B$26="Der er indgået lokalaftale omkring weekendtimer og weekendtillæg.(Kræver aftale med TR/FSL).",I12="X"),K12,0)</f>
        <v>0</v>
      </c>
      <c r="GC12" s="674">
        <f>IF(AND(AND(Stamoplysninger!$B$26="Der er indgået lokalaftale omkring weekendtimer og weekendtillæg.(Kræver aftale med TR/FSL).",I12="X",C12="ikke relevant")),K12,0)</f>
        <v>0</v>
      </c>
    </row>
    <row r="13" spans="1:185">
      <c r="A13" s="245">
        <f t="shared" si="17"/>
        <v>5</v>
      </c>
      <c r="B13" s="128" t="str">
        <f t="shared" si="0"/>
        <v>lø</v>
      </c>
      <c r="C13" s="129" t="s">
        <v>120</v>
      </c>
      <c r="D13" s="130" t="str">
        <f t="shared" si="1"/>
        <v/>
      </c>
      <c r="E13" s="917"/>
      <c r="F13" s="918"/>
      <c r="G13" s="919"/>
      <c r="H13" s="298"/>
      <c r="I13" s="413"/>
      <c r="J13" s="413"/>
      <c r="K13" s="380"/>
      <c r="L13" s="380"/>
      <c r="M13" s="380"/>
      <c r="N13" s="318">
        <f t="shared" si="18"/>
        <v>0</v>
      </c>
      <c r="O13" s="318">
        <f t="shared" si="19"/>
        <v>0</v>
      </c>
      <c r="P13" s="318">
        <f>IF(Stamoplysninger!$H$29="JA",April!DG13,CX13)</f>
        <v>0</v>
      </c>
      <c r="Q13" s="318">
        <f t="shared" si="20"/>
        <v>0</v>
      </c>
      <c r="R13" s="319"/>
      <c r="S13" s="324"/>
      <c r="T13" s="325"/>
      <c r="U13" s="325"/>
      <c r="V13" s="435"/>
      <c r="W13" s="435"/>
      <c r="X13" s="644"/>
      <c r="Y13">
        <f t="shared" si="21"/>
        <v>0</v>
      </c>
      <c r="Z13" s="437">
        <f t="shared" si="22"/>
        <v>0</v>
      </c>
      <c r="AA13" s="1">
        <f t="shared" si="2"/>
        <v>0</v>
      </c>
      <c r="AB13" s="1">
        <f t="shared" si="3"/>
        <v>0</v>
      </c>
      <c r="AC13" s="1">
        <f t="shared" si="4"/>
        <v>0</v>
      </c>
      <c r="AD13" s="1">
        <f t="shared" si="5"/>
        <v>0</v>
      </c>
      <c r="AE13" s="1">
        <f t="shared" si="6"/>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9">
        <f t="shared" si="7"/>
        <v>0</v>
      </c>
      <c r="BC13" s="1">
        <f t="shared" si="24"/>
        <v>0</v>
      </c>
      <c r="BD13" s="1">
        <f t="shared" si="8"/>
        <v>0</v>
      </c>
      <c r="BE13" s="1">
        <f t="shared" si="9"/>
        <v>0</v>
      </c>
      <c r="BF13" s="1">
        <f t="shared" si="10"/>
        <v>0</v>
      </c>
      <c r="BG13" s="210" t="str">
        <f>IF(AND(C13="Skema 1",B13="ma"),Skemaoplysninger!$E$30,"")</f>
        <v/>
      </c>
      <c r="BH13" s="210" t="str">
        <f>IF(AND(C13="Skema 1",B13="ti"),Skemaoplysninger!$G$30,"")</f>
        <v/>
      </c>
      <c r="BI13" s="210" t="str">
        <f>IF(AND(C13="Skema 1",B13="on"),Skemaoplysninger!$I$30,"")</f>
        <v/>
      </c>
      <c r="BJ13" s="210" t="str">
        <f>IF(AND(C13="Skema 1",B13="to"),Skemaoplysninger!$K$30,"")</f>
        <v/>
      </c>
      <c r="BK13" s="210" t="str">
        <f>IF(AND(C13="Skema 1",B13="fr"),Skemaoplysninger!$M$30,"")</f>
        <v/>
      </c>
      <c r="BL13" s="210" t="str">
        <f>IF(AND(C13="Skema 2",B13="ma"),Skemaoplysninger!$S$30,"")</f>
        <v/>
      </c>
      <c r="BM13" s="210" t="str">
        <f>IF(AND(C13="Skema 2",B13="ti"),Skemaoplysninger!$U$30,"")</f>
        <v/>
      </c>
      <c r="BN13" s="210" t="str">
        <f>IF(AND(C13="Skema 2",B13="on"),Skemaoplysninger!$W$30,"")</f>
        <v/>
      </c>
      <c r="BO13" s="210" t="str">
        <f>IF(AND(C13="Skema 2",B13="to"),Skemaoplysninger!$Y$30,"")</f>
        <v/>
      </c>
      <c r="BP13" s="210" t="str">
        <f>IF(AND(C13="Skema 2",B13="fr"),Skemaoplysninger!$AA$30,"")</f>
        <v/>
      </c>
      <c r="BQ13" s="210" t="str">
        <f>IF(AND(C13="Skema 3",B13="ma"),Skemaoplysninger!$AG$30,"")</f>
        <v/>
      </c>
      <c r="BR13" s="210" t="str">
        <f>IF(AND(C13="Skema 3",B13="ti"),Skemaoplysninger!$AI$30,"")</f>
        <v/>
      </c>
      <c r="BS13" s="210" t="str">
        <f>IF(AND(C13="Skema 3",B13="on"),Skemaoplysninger!$AK$30,"")</f>
        <v/>
      </c>
      <c r="BT13" s="210" t="str">
        <f>IF(AND(C13="Skema 3",B13="to"),Skemaoplysninger!$AM$30,"")</f>
        <v/>
      </c>
      <c r="BU13" s="210" t="str">
        <f>IF(AND(C13="Skema 3",B13="fr"),Skemaoplysninger!$AO$30,"")</f>
        <v/>
      </c>
      <c r="BV13" s="210" t="str">
        <f>IF(AND(C13="Skema 4",B13="ma"),Skemaoplysninger!$AU$30,"")</f>
        <v/>
      </c>
      <c r="BW13" s="210" t="str">
        <f>IF(AND(C13="Skema 4",B13="ti"),Skemaoplysninger!$AW$30,"")</f>
        <v/>
      </c>
      <c r="BX13" s="210" t="str">
        <f>IF(AND(C13="Skema 4",B13="on"),Skemaoplysninger!$AY$30,"")</f>
        <v/>
      </c>
      <c r="BY13" s="210" t="str">
        <f>IF(AND(C13="Skema 4",B13="to"),Skemaoplysninger!$BA$30,"")</f>
        <v/>
      </c>
      <c r="BZ13" s="210" t="str">
        <f>IF(AND(C13="Skema 4",B13="fr"),Skemaoplysninger!$BC$30,"")</f>
        <v/>
      </c>
      <c r="CA13" s="1">
        <f t="shared" si="25"/>
        <v>0</v>
      </c>
      <c r="CB13" s="1">
        <f t="shared" si="11"/>
        <v>0</v>
      </c>
      <c r="CC13" s="1">
        <f t="shared" si="12"/>
        <v>0</v>
      </c>
      <c r="CD13" s="210" t="str">
        <f>IF(AND(C13="Skema 1",B13="ma"),Skemaoplysninger!$E$31,"")</f>
        <v/>
      </c>
      <c r="CE13" s="210" t="str">
        <f>IF(AND(C13="Skema 1",B13="ti"),Skemaoplysninger!$G$31,"")</f>
        <v/>
      </c>
      <c r="CF13" s="210" t="str">
        <f>IF(AND(C13="Skema 1",B13="on"),Skemaoplysninger!$I$31,"")</f>
        <v/>
      </c>
      <c r="CG13" s="210" t="str">
        <f>IF(AND(C13="Skema 1",B13="to"),Skemaoplysninger!$K$31,"")</f>
        <v/>
      </c>
      <c r="CH13" s="210" t="str">
        <f>IF(AND(C13="Skema 1",B13="fr"),Skemaoplysninger!$M$31,"")</f>
        <v/>
      </c>
      <c r="CI13" s="210" t="str">
        <f>IF(AND(C13="Skema 2",B13="ma"),Skemaoplysninger!$S$31,"")</f>
        <v/>
      </c>
      <c r="CJ13" s="210" t="str">
        <f>IF(AND(C13="Skema 2",B13="ti"),Skemaoplysninger!$U$31,"")</f>
        <v/>
      </c>
      <c r="CK13" s="210" t="str">
        <f>IF(AND(C13="Skema 2",B13="on"),Skemaoplysninger!$W$31,"")</f>
        <v/>
      </c>
      <c r="CL13" s="210" t="str">
        <f>IF(AND(C13="Skema 2",B13="to"),Skemaoplysninger!$Y$31,"")</f>
        <v/>
      </c>
      <c r="CM13" s="210" t="str">
        <f>IF(AND(C13="Skema 2",B13="fr"),Skemaoplysninger!$AA$31,"")</f>
        <v/>
      </c>
      <c r="CN13" s="210" t="str">
        <f>IF(AND(C13="Skema 3",B13="ma"),Skemaoplysninger!$AG$31,"")</f>
        <v/>
      </c>
      <c r="CO13" s="210" t="str">
        <f>IF(AND(C13="Skema 3",B13="ti"),Skemaoplysninger!$AI$31,"")</f>
        <v/>
      </c>
      <c r="CP13" s="210" t="str">
        <f>IF(AND(C13="Skema 3",B13="on"),Skemaoplysninger!$AK$31,"")</f>
        <v/>
      </c>
      <c r="CQ13" s="210" t="str">
        <f>IF(AND(C13="Skema 3",B13="to"),Skemaoplysninger!$AM$31,"")</f>
        <v/>
      </c>
      <c r="CR13" s="210" t="str">
        <f>IF(AND(C13="Skema 3",B13="fr"),Skemaoplysninger!$AO$31,"")</f>
        <v/>
      </c>
      <c r="CS13" s="210" t="str">
        <f>IF(AND(C13="Skema 4",B13="ma"),Skemaoplysninger!$AU$31,"")</f>
        <v/>
      </c>
      <c r="CT13" s="210" t="str">
        <f>IF(AND(C13="Skema 4",B13="ti"),Skemaoplysninger!$AW$31,"")</f>
        <v/>
      </c>
      <c r="CU13" s="210" t="str">
        <f>IF(AND(C13="Skema 4",B13="on"),Skemaoplysninger!$AY$31,"")</f>
        <v/>
      </c>
      <c r="CV13" s="210" t="str">
        <f>IF(AND(C13="Skema 4",B13="to"),Skemaoplysninger!$BA$31,"")</f>
        <v/>
      </c>
      <c r="CW13" s="210" t="str">
        <f>IF(AND(C13="Skema 4",B13="fr"),Skemaoplysninger!$BC$31,"")</f>
        <v/>
      </c>
      <c r="CX13" s="249">
        <f>IF(Stamoplysninger!$H$29="NEJ",SUM(CD13:CW13)*24+CB13+CC13,0)</f>
        <v>0</v>
      </c>
      <c r="CY13" s="249">
        <f>IF(C13="Skema 1",Stamoplysninger!$H$30/200,0)</f>
        <v>0</v>
      </c>
      <c r="CZ13" s="249">
        <f>IF(C13="Skema 2",Stamoplysninger!$H$30/200,0)</f>
        <v>0</v>
      </c>
      <c r="DA13" s="249">
        <f>IF(C13="Skema 3",Stamoplysninger!$H$30/200,0)</f>
        <v>0</v>
      </c>
      <c r="DB13" s="249">
        <f>IF(C13="Skema 4",Stamoplysninger!$H$30/200,0)</f>
        <v>0</v>
      </c>
      <c r="DC13" s="249">
        <f>IF(C13="fagdag",Stamoplysninger!$H$30/200,0)</f>
        <v>0</v>
      </c>
      <c r="DD13" s="249">
        <f>IF(C13="emnedag",Stamoplysninger!$H$30/200,0)</f>
        <v>0</v>
      </c>
      <c r="DE13" s="249">
        <f>IF(C13="lejrskole",Stamoplysninger!$H$30/200,0)</f>
        <v>0</v>
      </c>
      <c r="DF13" s="249">
        <f>IF(C13="ekskursion",Stamoplysninger!$H$30/200,0)</f>
        <v>0</v>
      </c>
      <c r="DG13" s="249">
        <f t="shared" si="26"/>
        <v>0</v>
      </c>
      <c r="DH13" t="str">
        <f t="shared" si="27"/>
        <v/>
      </c>
      <c r="DI13">
        <f t="shared" si="28"/>
        <v>0</v>
      </c>
      <c r="DJ13">
        <f t="shared" si="29"/>
        <v>0</v>
      </c>
      <c r="DK13" t="str">
        <f t="shared" si="13"/>
        <v/>
      </c>
      <c r="DL13" t="str">
        <f t="shared" si="13"/>
        <v/>
      </c>
      <c r="DM13" t="str">
        <f t="shared" si="13"/>
        <v/>
      </c>
      <c r="DN13" t="str">
        <f t="shared" si="30"/>
        <v/>
      </c>
      <c r="DO13" s="652">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71">
        <f>IF(AND(Stamoplysninger!$B$22="Ulempetillæg udbetales med 25% af nettotimelønnen.",C13="ikke relevant"),(R13)/4,0)</f>
        <v>0</v>
      </c>
      <c r="DT13" s="671">
        <f>IF(AND(AND(Stamoplysninger!$B$22="Ulempetillæg udbetales med 25% af nettotimelønnen.",I13="X",C13="Ikke relevant")),K13/4,0)</f>
        <v>0</v>
      </c>
      <c r="DU13" s="671">
        <f>IF(AND(AND(Stamoplysninger!$B$22="Ulempetillæg udbetales med 25% af nettotimelønnen.",C13="ikke relevant",U13="X")),(X13/4),0)</f>
        <v>0</v>
      </c>
      <c r="DV13" s="672">
        <f>IF(AND(AND(AND(Stamoplysninger!$B$22="Ulempetillæg udbetales med 25% af nettotimelønnen.",I13="X",C13="Ikke relevant",S13="X"))),V13/4,0)</f>
        <v>0</v>
      </c>
      <c r="DW13" s="652"/>
      <c r="DZ13" s="671"/>
      <c r="EA13" s="671"/>
      <c r="EB13" s="672"/>
      <c r="EC13" s="652">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71">
        <f>IF(AND(Stamoplysninger!$B$22="Ulempetillæg afspadseres med 25%(Kræver en aftale imellem ledelsen og den ansatte)",C13="ikke relevant"),(R13)/4,0)</f>
        <v>0</v>
      </c>
      <c r="EH13" s="671">
        <f>IF(AND(AND(Stamoplysninger!$B$22="Ulempetillæg afspadseres med 25%(Kræver en aftale imellem ledelsen og den ansatte)",I13="X",C13="Ikke relevant")),K13/4,0)</f>
        <v>0</v>
      </c>
      <c r="EI13" s="671">
        <f>IF(AND(AND(Stamoplysninger!$B$22="Ulempetillæg afspadseres med 25%(Kræver en aftale imellem ledelsen og den ansatte)",U13="X",C13="Ikke relevant")),X13/4,0)</f>
        <v>0</v>
      </c>
      <c r="EJ13" s="671">
        <f>IF(AND(AND(AND(Stamoplysninger!$B$22="Ulempetillæg afspadseres med 25%(Kræver en aftale imellem ledelsen og den ansatte)",I13="X",C13="Ikke relevant",S13="X"))),V13/4,0)</f>
        <v>0</v>
      </c>
      <c r="EK13" s="283">
        <f>IF(AND(Stamoplysninger!$B$26="Weekendtimer og weekendtillæg afspadseres.",I13="X"),K13*1.5,0)</f>
        <v>0</v>
      </c>
      <c r="EL13" s="251">
        <f>IF(AND(AND(Stamoplysninger!$B$26="Weekendtimer og weekendtillæg afspadseres.",I13="X",S13="X")),V13*1.5,0)</f>
        <v>0</v>
      </c>
      <c r="EM13" s="674">
        <f>IF(AND(AND(Stamoplysninger!$B$26="Weekendtimer og weekendtillæg afspadseres.",I13="X",C13="ikke relevant")),K13*1.5,0)</f>
        <v>0</v>
      </c>
      <c r="EN13" s="675">
        <f>IF(AND(AND(AND(Stamoplysninger!$B$26="Weekendtimer og weekendtillæg afspadseres.",I13="X",C13="ikke relevant",S13="X"))),(V13*1.5),0)</f>
        <v>0</v>
      </c>
      <c r="EO13" s="283">
        <f>IF(AND(Stamoplysninger!$B$26="Weekendtimer og weekendtillæg udbetales.",I13="X"),K13*1.5,0)</f>
        <v>0</v>
      </c>
      <c r="EP13" s="251">
        <f>IF(AND(AND(Stamoplysninger!$B$26="Weekendtimer og weekendtillæg udbetales.",I13="X",S13="X")),V13*1.5,0)</f>
        <v>0</v>
      </c>
      <c r="EQ13" s="674">
        <f>IF(AND(AND(Stamoplysninger!$B$26="Weekendtimer og weekendtillæg udbetales.",I13="X",C13="ikke relevant")),K13*1.5,0)</f>
        <v>0</v>
      </c>
      <c r="ER13" s="675">
        <f>IF(AND(AND(AND(Stamoplysninger!$B$26="Weekendtimer og weekendtillæg udbetales.",I13="X",C13="ikke relevant",S13="X"))),(V13*1.5),0)</f>
        <v>0</v>
      </c>
      <c r="ES13" s="283">
        <f>IF(AND(Stamoplysninger!$B$26="Der er indgået lokalaftale omkring weekendtimer.(Kræver aftale med TR/FSL) Weekendtillæg afspadseres.",I13="X"),K13*0.5,0)</f>
        <v>0</v>
      </c>
      <c r="ET13" s="251">
        <f>IF(AND(AND(Stamoplysninger!$B$26="Der er indgået lokalaftale omkring weekendtimer.(Kræver aftale med TR/FSL) Weekendtillæg afspadseres.",I13="X",S13="X")),V13*0.5,0)</f>
        <v>0</v>
      </c>
      <c r="EU13" s="674">
        <f>IF(AND(AND(Stamoplysninger!$B$26="Der er indgået lokalaftale omkring weekendtimer.(Kræver aftale med TR/FSL) Weekendtillæg afspadseres.",I13="X",C13="ikke relevant")),K13*0.5,0)</f>
        <v>0</v>
      </c>
      <c r="EV13" s="675">
        <f>IF(AND(AND(AND(Stamoplysninger!$B$26="Der er indgået lokalaftale omkring weekendtimer.(Kræver aftale med TR/FSL) Weekendtillæg afspadseres.",I13="X",C13="ikke relevant",S13="X"))),(V13*0.5),0)</f>
        <v>0</v>
      </c>
      <c r="EW13" s="283">
        <f>IF(AND(Stamoplysninger!$B$26="Der er indgået lokalaftale omkring weekendtimer(Kræver aftale med TR/FSL). Weekendtillæg udbetales.",I13="X"),K13*0.5,0)</f>
        <v>0</v>
      </c>
      <c r="EX13" s="251">
        <f>IF(AND(AND(Stamoplysninger!$B$26="Der er indgået lokalaftale omkring weekendtimer(Kræver aftale med TR/FSL). Weekendtillæg udbetales.",I13="X",S13="X")),V13*0.5,0)</f>
        <v>0</v>
      </c>
      <c r="EY13" s="674">
        <f>IF(AND(AND(Stamoplysninger!$B$26="Der er indgået lokalaftale omkring weekendtimer(Kræver aftale med TR/FSL). Weekendtillæg udbetales.",I13="X",C13="ikke relevant")),K13*0.5,0)</f>
        <v>0</v>
      </c>
      <c r="EZ13" s="675">
        <f>IF(AND(AND(AND(Stamoplysninger!$B$26="Der er indgået lokalaftale omkring weekendtimer(Kræver aftale med TR/FSL). Weekendtillæg udbetales.",I13="X",C13="ikke relevant",S13="X"))),(V13*0.5),0)</f>
        <v>0</v>
      </c>
      <c r="FA13" s="283">
        <f>IF(AND(Stamoplysninger!$B$26="Der er indgået lokalaftale omkring weekendtillæg(Kræver aftale med TR/FSL). Weekendtimerne afspadseres.",I13="X"),K13,0)</f>
        <v>0</v>
      </c>
      <c r="FB13" s="251">
        <f>IF(AND(AND(Stamoplysninger!$B$26="Der er indgået lokalaftale omkring weekendtillæg(Kræver aftale med TR/FSL). Weekendtimerne afspadseres.",I13="X",S13="X")),V13,0)</f>
        <v>0</v>
      </c>
      <c r="FC13" s="674">
        <f>IF(AND(AND(Stamoplysninger!$B$26="Der er indgået lokalaftale omkring weekendtillæg(Kræver aftale med TR/FSL). Weekendtimerne afspadseres..",I13="X",C13="ikke relevant")),K13,0)</f>
        <v>0</v>
      </c>
      <c r="FD13" s="675">
        <f>IF(AND(AND(AND(Stamoplysninger!$B$26="Der er indgået lokalaftale omkring weekendtillæg(Kræver aftale med TR/FSL). Weekendtimerne afspadseres.",I13="X",C13="ikke relevant",S13="X"))),(V13),0)</f>
        <v>0</v>
      </c>
      <c r="FE13" s="283">
        <f>IF(AND(Stamoplysninger!$B$26="Der er indgået lokalaftale omkring weekendtillæg(Kræver aftale med TR/FSL). Weekendtimerne udbetales.",I13="X"),K13,0)</f>
        <v>0</v>
      </c>
      <c r="FF13" s="251">
        <f>IF(AND(AND(Stamoplysninger!$B$26="Der er indgået lokalaftale omkring weekendtillæg(Kræver aftale med TR/FSL). Weekendtimerne udbetales.",I13="X",S13="X")),V13,0)</f>
        <v>0</v>
      </c>
      <c r="FG13" s="674">
        <f>IF(AND(AND(Stamoplysninger!$B$26="Der er indgået lokalaftale omkring weekendtillæg(Kræver aftale med TR/FSL). Weekendtimerne udbetales.",I13="X",C13="ikke relevant")),K13,0)</f>
        <v>0</v>
      </c>
      <c r="FH13" s="675">
        <f>IF(AND(AND(AND(Stamoplysninger!$B$26="Der er indgået lokalaftale omkring weekendtillæg(Kræver aftale med TR/FSL). Weekendtimerne udbetales.",I13="X",C13="ikke relevant",S13="X"))),(V13),0)</f>
        <v>0</v>
      </c>
      <c r="FI13" s="283">
        <f>IF(AND(Stamoplysninger!$B$26="Weekendtimer og weekendtillæg afspadseres.",I13="X"),K13,0)</f>
        <v>0</v>
      </c>
      <c r="FJ13" s="251">
        <f>IF(AND(Stamoplysninger!$B$26="Weekendtimer og weekendtillæg afspadseres.",Y13="X"),(AA13+AL13)/2,0)</f>
        <v>0</v>
      </c>
      <c r="FK13" s="674">
        <f>IF(AND(AND(Stamoplysninger!$B$26="Weekendtimer og weekendtillæg afspadseres.",I13="X",C13="ikke relevant")),K13,0)</f>
        <v>0</v>
      </c>
      <c r="FL13" s="675">
        <f>IF(AND(AND(Stamoplysninger!$B$26="Weekendtimer og weekendtillæg afspadseres.",Y13="X",S13="ikke relevant")),(AA13+AL13)/2,0)</f>
        <v>0</v>
      </c>
      <c r="FM13" s="283">
        <f>IF(AND(Stamoplysninger!$B$26="Der er indgået lokalaftale omkring weekendtillæg(Kræver aftale med TR/FSL). Weekendtimerne afspadseres.",I13="X"),K13,0)</f>
        <v>0</v>
      </c>
      <c r="FN13" s="674">
        <f>IF(AND(AND(Stamoplysninger!$B$26="Der er indgået lokalaftale omkring weekendtillæg(Kræver aftale med TR/FSL). Weekendtimerne afspadseres.",I13="X",C13="ikke relevant")),K13,0)</f>
        <v>0</v>
      </c>
      <c r="FO13" s="283">
        <f>IF(AND(Stamoplysninger!$B$26="Weekendtimer og weekendtillæg udbetales.",I13="X"),K13,0)</f>
        <v>0</v>
      </c>
      <c r="FP13" s="251">
        <f>IF(AND(Stamoplysninger!$B$26="Weekendtimer og weekendtillæg udbetales.",AA13="X"),(AC13+AN13)/2,0)</f>
        <v>0</v>
      </c>
      <c r="FQ13" s="674">
        <f>IF(AND(AND(Stamoplysninger!$B$26="Weekendtimer og weekendtillæg udbetales.",I13="X",C13="ikke relevant")),K13,0)</f>
        <v>0</v>
      </c>
      <c r="FR13" s="688">
        <f>IF(AND(AND(Stamoplysninger!$B$26="Weekendtimer og weekendtillæg udbetales.",AA13="X",U13="ikke relevant")),(AC13+AN13)/2,0)</f>
        <v>0</v>
      </c>
      <c r="FS13" s="283">
        <f t="shared" si="14"/>
        <v>0</v>
      </c>
      <c r="FT13" s="658">
        <f t="shared" si="15"/>
        <v>0</v>
      </c>
      <c r="FU13">
        <f t="shared" si="16"/>
        <v>0</v>
      </c>
      <c r="FV13" s="283">
        <f>IF(AND(Stamoplysninger!$B$26="Der er indgået lokalaftale omkring weekendtimer.(Kræver aftale med TR/FSL) Weekendtillæg afspadseres.",I13="X"),K13,0)</f>
        <v>0</v>
      </c>
      <c r="FW13" s="674">
        <f>IF(AND(AND(Stamoplysninger!$B$26="Der er indgået lokalaftale omkring weekendtimer.(Kræver aftale med TR/FSL) Weekendtillæg afspadseres.",I13="X",C13="ikke relevant")),K13,0)</f>
        <v>0</v>
      </c>
      <c r="FX13" s="283">
        <f>IF(AND(Stamoplysninger!$B$26="Der er indgået lokalaftale omkring weekendtimer(Kræver aftale med TR/FSL). Weekendtillæg udbetales.",I13="X"),K13,0)</f>
        <v>0</v>
      </c>
      <c r="FY13" s="674">
        <f>IF(AND(AND(Stamoplysninger!$B$26="Der er indgået lokalaftale omkring weekendtimer(Kræver aftale med TR/FSL). Weekendtillæg udbetales.",I13="X",C13="ikke relevant")),K13,0)</f>
        <v>0</v>
      </c>
      <c r="FZ13" s="283">
        <f>IF(AND(Stamoplysninger!$B$26="Der er indgået lokalaftale omkring weekendtillæg(Kræver aftale med TR/FSL). Weekendtimerne udbetales.",I13="X"),K13,0)</f>
        <v>0</v>
      </c>
      <c r="GA13" s="674">
        <f>IF(AND(AND(Stamoplysninger!$B$26="Der er indgået lokalaftale omkring weekendtillæg(Kræver aftale med TR/FSL). Weekendtimerne udbetales.",I13="X",C13="ikke relevant")),K13,0)</f>
        <v>0</v>
      </c>
      <c r="GB13" s="283">
        <f>IF(AND(Stamoplysninger!$B$26="Der er indgået lokalaftale omkring weekendtimer og weekendtillæg.(Kræver aftale med TR/FSL).",I13="X"),K13,0)</f>
        <v>0</v>
      </c>
      <c r="GC13" s="674">
        <f>IF(AND(AND(Stamoplysninger!$B$26="Der er indgået lokalaftale omkring weekendtimer og weekendtillæg.(Kræver aftale med TR/FSL).",I13="X",C13="ikke relevant")),K13,0)</f>
        <v>0</v>
      </c>
    </row>
    <row r="14" spans="1:185" ht="16" customHeight="1">
      <c r="A14" s="245">
        <f t="shared" si="17"/>
        <v>6</v>
      </c>
      <c r="B14" s="128" t="str">
        <f t="shared" si="0"/>
        <v>sø</v>
      </c>
      <c r="C14" s="129" t="s">
        <v>120</v>
      </c>
      <c r="D14" s="130" t="str">
        <f t="shared" si="1"/>
        <v/>
      </c>
      <c r="E14" s="917"/>
      <c r="F14" s="918"/>
      <c r="G14" s="919"/>
      <c r="H14" s="298"/>
      <c r="I14" s="413"/>
      <c r="J14" s="413"/>
      <c r="K14" s="380"/>
      <c r="L14" s="380"/>
      <c r="M14" s="380"/>
      <c r="N14" s="318">
        <f t="shared" si="18"/>
        <v>0</v>
      </c>
      <c r="O14" s="318">
        <f t="shared" si="19"/>
        <v>0</v>
      </c>
      <c r="P14" s="318">
        <f>IF(Stamoplysninger!$H$29="JA",April!DG14,CX14)</f>
        <v>0</v>
      </c>
      <c r="Q14" s="318">
        <f t="shared" si="20"/>
        <v>0</v>
      </c>
      <c r="R14" s="319"/>
      <c r="S14" s="324"/>
      <c r="T14" s="325"/>
      <c r="U14" s="325"/>
      <c r="V14" s="435"/>
      <c r="W14" s="435"/>
      <c r="X14" s="644"/>
      <c r="Y14">
        <f t="shared" si="21"/>
        <v>0</v>
      </c>
      <c r="Z14" s="437">
        <f t="shared" si="22"/>
        <v>0</v>
      </c>
      <c r="AA14" s="1">
        <f t="shared" si="2"/>
        <v>0</v>
      </c>
      <c r="AB14" s="1">
        <f t="shared" si="3"/>
        <v>0</v>
      </c>
      <c r="AC14" s="1">
        <f t="shared" si="4"/>
        <v>0</v>
      </c>
      <c r="AD14" s="1">
        <f t="shared" si="5"/>
        <v>0</v>
      </c>
      <c r="AE14" s="1">
        <f t="shared" si="6"/>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9">
        <f t="shared" si="7"/>
        <v>0</v>
      </c>
      <c r="BC14" s="1">
        <f t="shared" si="24"/>
        <v>0</v>
      </c>
      <c r="BD14" s="1">
        <f t="shared" si="8"/>
        <v>0</v>
      </c>
      <c r="BE14" s="1">
        <f t="shared" si="9"/>
        <v>0</v>
      </c>
      <c r="BF14" s="1">
        <f t="shared" si="10"/>
        <v>0</v>
      </c>
      <c r="BG14" s="210" t="str">
        <f>IF(AND(C14="Skema 1",B14="ma"),Skemaoplysninger!$E$30,"")</f>
        <v/>
      </c>
      <c r="BH14" s="210" t="str">
        <f>IF(AND(C14="Skema 1",B14="ti"),Skemaoplysninger!$G$30,"")</f>
        <v/>
      </c>
      <c r="BI14" s="210" t="str">
        <f>IF(AND(C14="Skema 1",B14="on"),Skemaoplysninger!$I$30,"")</f>
        <v/>
      </c>
      <c r="BJ14" s="210" t="str">
        <f>IF(AND(C14="Skema 1",B14="to"),Skemaoplysninger!$K$30,"")</f>
        <v/>
      </c>
      <c r="BK14" s="210" t="str">
        <f>IF(AND(C14="Skema 1",B14="fr"),Skemaoplysninger!$M$30,"")</f>
        <v/>
      </c>
      <c r="BL14" s="210" t="str">
        <f>IF(AND(C14="Skema 2",B14="ma"),Skemaoplysninger!$S$30,"")</f>
        <v/>
      </c>
      <c r="BM14" s="210" t="str">
        <f>IF(AND(C14="Skema 2",B14="ti"),Skemaoplysninger!$U$30,"")</f>
        <v/>
      </c>
      <c r="BN14" s="210" t="str">
        <f>IF(AND(C14="Skema 2",B14="on"),Skemaoplysninger!$W$30,"")</f>
        <v/>
      </c>
      <c r="BO14" s="210" t="str">
        <f>IF(AND(C14="Skema 2",B14="to"),Skemaoplysninger!$Y$30,"")</f>
        <v/>
      </c>
      <c r="BP14" s="210" t="str">
        <f>IF(AND(C14="Skema 2",B14="fr"),Skemaoplysninger!$AA$30,"")</f>
        <v/>
      </c>
      <c r="BQ14" s="210" t="str">
        <f>IF(AND(C14="Skema 3",B14="ma"),Skemaoplysninger!$AG$30,"")</f>
        <v/>
      </c>
      <c r="BR14" s="210" t="str">
        <f>IF(AND(C14="Skema 3",B14="ti"),Skemaoplysninger!$AI$30,"")</f>
        <v/>
      </c>
      <c r="BS14" s="210" t="str">
        <f>IF(AND(C14="Skema 3",B14="on"),Skemaoplysninger!$AK$30,"")</f>
        <v/>
      </c>
      <c r="BT14" s="210" t="str">
        <f>IF(AND(C14="Skema 3",B14="to"),Skemaoplysninger!$AM$30,"")</f>
        <v/>
      </c>
      <c r="BU14" s="210" t="str">
        <f>IF(AND(C14="Skema 3",B14="fr"),Skemaoplysninger!$AO$30,"")</f>
        <v/>
      </c>
      <c r="BV14" s="210" t="str">
        <f>IF(AND(C14="Skema 4",B14="ma"),Skemaoplysninger!$AU$30,"")</f>
        <v/>
      </c>
      <c r="BW14" s="210" t="str">
        <f>IF(AND(C14="Skema 4",B14="ti"),Skemaoplysninger!$AW$30,"")</f>
        <v/>
      </c>
      <c r="BX14" s="210" t="str">
        <f>IF(AND(C14="Skema 4",B14="on"),Skemaoplysninger!$AY$30,"")</f>
        <v/>
      </c>
      <c r="BY14" s="210" t="str">
        <f>IF(AND(C14="Skema 4",B14="to"),Skemaoplysninger!$BA$30,"")</f>
        <v/>
      </c>
      <c r="BZ14" s="210" t="str">
        <f>IF(AND(C14="Skema 4",B14="fr"),Skemaoplysninger!$BC$30,"")</f>
        <v/>
      </c>
      <c r="CA14" s="1">
        <f t="shared" si="25"/>
        <v>0</v>
      </c>
      <c r="CB14" s="1">
        <f t="shared" si="11"/>
        <v>0</v>
      </c>
      <c r="CC14" s="1">
        <f t="shared" si="12"/>
        <v>0</v>
      </c>
      <c r="CD14" s="210" t="str">
        <f>IF(AND(C14="Skema 1",B14="ma"),Skemaoplysninger!$E$31,"")</f>
        <v/>
      </c>
      <c r="CE14" s="210" t="str">
        <f>IF(AND(C14="Skema 1",B14="ti"),Skemaoplysninger!$G$31,"")</f>
        <v/>
      </c>
      <c r="CF14" s="210" t="str">
        <f>IF(AND(C14="Skema 1",B14="on"),Skemaoplysninger!$I$31,"")</f>
        <v/>
      </c>
      <c r="CG14" s="210" t="str">
        <f>IF(AND(C14="Skema 1",B14="to"),Skemaoplysninger!$K$31,"")</f>
        <v/>
      </c>
      <c r="CH14" s="210" t="str">
        <f>IF(AND(C14="Skema 1",B14="fr"),Skemaoplysninger!$M$31,"")</f>
        <v/>
      </c>
      <c r="CI14" s="210" t="str">
        <f>IF(AND(C14="Skema 2",B14="ma"),Skemaoplysninger!$S$31,"")</f>
        <v/>
      </c>
      <c r="CJ14" s="210" t="str">
        <f>IF(AND(C14="Skema 2",B14="ti"),Skemaoplysninger!$U$31,"")</f>
        <v/>
      </c>
      <c r="CK14" s="210" t="str">
        <f>IF(AND(C14="Skema 2",B14="on"),Skemaoplysninger!$W$31,"")</f>
        <v/>
      </c>
      <c r="CL14" s="210" t="str">
        <f>IF(AND(C14="Skema 2",B14="to"),Skemaoplysninger!$Y$31,"")</f>
        <v/>
      </c>
      <c r="CM14" s="210" t="str">
        <f>IF(AND(C14="Skema 2",B14="fr"),Skemaoplysninger!$AA$31,"")</f>
        <v/>
      </c>
      <c r="CN14" s="210" t="str">
        <f>IF(AND(C14="Skema 3",B14="ma"),Skemaoplysninger!$AG$31,"")</f>
        <v/>
      </c>
      <c r="CO14" s="210" t="str">
        <f>IF(AND(C14="Skema 3",B14="ti"),Skemaoplysninger!$AI$31,"")</f>
        <v/>
      </c>
      <c r="CP14" s="210" t="str">
        <f>IF(AND(C14="Skema 3",B14="on"),Skemaoplysninger!$AK$31,"")</f>
        <v/>
      </c>
      <c r="CQ14" s="210" t="str">
        <f>IF(AND(C14="Skema 3",B14="to"),Skemaoplysninger!$AM$31,"")</f>
        <v/>
      </c>
      <c r="CR14" s="210" t="str">
        <f>IF(AND(C14="Skema 3",B14="fr"),Skemaoplysninger!$AO$31,"")</f>
        <v/>
      </c>
      <c r="CS14" s="210" t="str">
        <f>IF(AND(C14="Skema 4",B14="ma"),Skemaoplysninger!$AU$31,"")</f>
        <v/>
      </c>
      <c r="CT14" s="210" t="str">
        <f>IF(AND(C14="Skema 4",B14="ti"),Skemaoplysninger!$AW$31,"")</f>
        <v/>
      </c>
      <c r="CU14" s="210" t="str">
        <f>IF(AND(C14="Skema 4",B14="on"),Skemaoplysninger!$AY$31,"")</f>
        <v/>
      </c>
      <c r="CV14" s="210" t="str">
        <f>IF(AND(C14="Skema 4",B14="to"),Skemaoplysninger!$BA$31,"")</f>
        <v/>
      </c>
      <c r="CW14" s="210" t="str">
        <f>IF(AND(C14="Skema 4",B14="fr"),Skemaoplysninger!$BC$31,"")</f>
        <v/>
      </c>
      <c r="CX14" s="249">
        <f>IF(Stamoplysninger!$H$29="NEJ",SUM(CD14:CW14)*24+CB14+CC14,0)</f>
        <v>0</v>
      </c>
      <c r="CY14" s="249">
        <f>IF(C14="Skema 1",Stamoplysninger!$H$30/200,0)</f>
        <v>0</v>
      </c>
      <c r="CZ14" s="249">
        <f>IF(C14="Skema 2",Stamoplysninger!$H$30/200,0)</f>
        <v>0</v>
      </c>
      <c r="DA14" s="249">
        <f>IF(C14="Skema 3",Stamoplysninger!$H$30/200,0)</f>
        <v>0</v>
      </c>
      <c r="DB14" s="249">
        <f>IF(C14="Skema 4",Stamoplysninger!$H$30/200,0)</f>
        <v>0</v>
      </c>
      <c r="DC14" s="249">
        <f>IF(C14="fagdag",Stamoplysninger!$H$30/200,0)</f>
        <v>0</v>
      </c>
      <c r="DD14" s="249">
        <f>IF(C14="emnedag",Stamoplysninger!$H$30/200,0)</f>
        <v>0</v>
      </c>
      <c r="DE14" s="249">
        <f>IF(C14="lejrskole",Stamoplysninger!$H$30/200,0)</f>
        <v>0</v>
      </c>
      <c r="DF14" s="249">
        <f>IF(C14="ekskursion",Stamoplysninger!$H$30/200,0)</f>
        <v>0</v>
      </c>
      <c r="DG14" s="249">
        <f t="shared" si="26"/>
        <v>0</v>
      </c>
      <c r="DH14" t="str">
        <f t="shared" si="27"/>
        <v/>
      </c>
      <c r="DI14">
        <f t="shared" si="28"/>
        <v>0</v>
      </c>
      <c r="DJ14">
        <f t="shared" si="29"/>
        <v>0</v>
      </c>
      <c r="DK14" t="str">
        <f t="shared" si="13"/>
        <v/>
      </c>
      <c r="DL14" t="str">
        <f t="shared" si="13"/>
        <v/>
      </c>
      <c r="DM14" t="str">
        <f t="shared" si="13"/>
        <v/>
      </c>
      <c r="DN14" t="str">
        <f t="shared" si="30"/>
        <v/>
      </c>
      <c r="DO14" s="652">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71">
        <f>IF(AND(Stamoplysninger!$B$22="Ulempetillæg udbetales med 25% af nettotimelønnen.",C14="ikke relevant"),(R14)/4,0)</f>
        <v>0</v>
      </c>
      <c r="DT14" s="671">
        <f>IF(AND(AND(Stamoplysninger!$B$22="Ulempetillæg udbetales med 25% af nettotimelønnen.",I14="X",C14="Ikke relevant")),K14/4,0)</f>
        <v>0</v>
      </c>
      <c r="DU14" s="671">
        <f>IF(AND(AND(Stamoplysninger!$B$22="Ulempetillæg udbetales med 25% af nettotimelønnen.",C14="ikke relevant",U14="X")),(X14/4),0)</f>
        <v>0</v>
      </c>
      <c r="DV14" s="672">
        <f>IF(AND(AND(AND(Stamoplysninger!$B$22="Ulempetillæg udbetales med 25% af nettotimelønnen.",I14="X",C14="Ikke relevant",S14="X"))),V14/4,0)</f>
        <v>0</v>
      </c>
      <c r="DW14" s="652"/>
      <c r="DZ14" s="671"/>
      <c r="EA14" s="671"/>
      <c r="EB14" s="672"/>
      <c r="EC14" s="652">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71">
        <f>IF(AND(Stamoplysninger!$B$22="Ulempetillæg afspadseres med 25%(Kræver en aftale imellem ledelsen og den ansatte)",C14="ikke relevant"),(R14)/4,0)</f>
        <v>0</v>
      </c>
      <c r="EH14" s="671">
        <f>IF(AND(AND(Stamoplysninger!$B$22="Ulempetillæg afspadseres med 25%(Kræver en aftale imellem ledelsen og den ansatte)",I14="X",C14="Ikke relevant")),K14/4,0)</f>
        <v>0</v>
      </c>
      <c r="EI14" s="671">
        <f>IF(AND(AND(Stamoplysninger!$B$22="Ulempetillæg afspadseres med 25%(Kræver en aftale imellem ledelsen og den ansatte)",U14="X",C14="Ikke relevant")),X14/4,0)</f>
        <v>0</v>
      </c>
      <c r="EJ14" s="671">
        <f>IF(AND(AND(AND(Stamoplysninger!$B$22="Ulempetillæg afspadseres med 25%(Kræver en aftale imellem ledelsen og den ansatte)",I14="X",C14="Ikke relevant",S14="X"))),V14/4,0)</f>
        <v>0</v>
      </c>
      <c r="EK14" s="283">
        <f>IF(AND(Stamoplysninger!$B$26="Weekendtimer og weekendtillæg afspadseres.",I14="X"),K14*1.5,0)</f>
        <v>0</v>
      </c>
      <c r="EL14" s="251">
        <f>IF(AND(AND(Stamoplysninger!$B$26="Weekendtimer og weekendtillæg afspadseres.",I14="X",S14="X")),V14*1.5,0)</f>
        <v>0</v>
      </c>
      <c r="EM14" s="674">
        <f>IF(AND(AND(Stamoplysninger!$B$26="Weekendtimer og weekendtillæg afspadseres.",I14="X",C14="ikke relevant")),K14*1.5,0)</f>
        <v>0</v>
      </c>
      <c r="EN14" s="675">
        <f>IF(AND(AND(AND(Stamoplysninger!$B$26="Weekendtimer og weekendtillæg afspadseres.",I14="X",C14="ikke relevant",S14="X"))),(V14*1.5),0)</f>
        <v>0</v>
      </c>
      <c r="EO14" s="283">
        <f>IF(AND(Stamoplysninger!$B$26="Weekendtimer og weekendtillæg udbetales.",I14="X"),K14*1.5,0)</f>
        <v>0</v>
      </c>
      <c r="EP14" s="251">
        <f>IF(AND(AND(Stamoplysninger!$B$26="Weekendtimer og weekendtillæg udbetales.",I14="X",S14="X")),V14*1.5,0)</f>
        <v>0</v>
      </c>
      <c r="EQ14" s="674">
        <f>IF(AND(AND(Stamoplysninger!$B$26="Weekendtimer og weekendtillæg udbetales.",I14="X",C14="ikke relevant")),K14*1.5,0)</f>
        <v>0</v>
      </c>
      <c r="ER14" s="675">
        <f>IF(AND(AND(AND(Stamoplysninger!$B$26="Weekendtimer og weekendtillæg udbetales.",I14="X",C14="ikke relevant",S14="X"))),(V14*1.5),0)</f>
        <v>0</v>
      </c>
      <c r="ES14" s="283">
        <f>IF(AND(Stamoplysninger!$B$26="Der er indgået lokalaftale omkring weekendtimer.(Kræver aftale med TR/FSL) Weekendtillæg afspadseres.",I14="X"),K14*0.5,0)</f>
        <v>0</v>
      </c>
      <c r="ET14" s="251">
        <f>IF(AND(AND(Stamoplysninger!$B$26="Der er indgået lokalaftale omkring weekendtimer.(Kræver aftale med TR/FSL) Weekendtillæg afspadseres.",I14="X",S14="X")),V14*0.5,0)</f>
        <v>0</v>
      </c>
      <c r="EU14" s="674">
        <f>IF(AND(AND(Stamoplysninger!$B$26="Der er indgået lokalaftale omkring weekendtimer.(Kræver aftale med TR/FSL) Weekendtillæg afspadseres.",I14="X",C14="ikke relevant")),K14*0.5,0)</f>
        <v>0</v>
      </c>
      <c r="EV14" s="675">
        <f>IF(AND(AND(AND(Stamoplysninger!$B$26="Der er indgået lokalaftale omkring weekendtimer.(Kræver aftale med TR/FSL) Weekendtillæg afspadseres.",I14="X",C14="ikke relevant",S14="X"))),(V14*0.5),0)</f>
        <v>0</v>
      </c>
      <c r="EW14" s="283">
        <f>IF(AND(Stamoplysninger!$B$26="Der er indgået lokalaftale omkring weekendtimer(Kræver aftale med TR/FSL). Weekendtillæg udbetales.",I14="X"),K14*0.5,0)</f>
        <v>0</v>
      </c>
      <c r="EX14" s="251">
        <f>IF(AND(AND(Stamoplysninger!$B$26="Der er indgået lokalaftale omkring weekendtimer(Kræver aftale med TR/FSL). Weekendtillæg udbetales.",I14="X",S14="X")),V14*0.5,0)</f>
        <v>0</v>
      </c>
      <c r="EY14" s="674">
        <f>IF(AND(AND(Stamoplysninger!$B$26="Der er indgået lokalaftale omkring weekendtimer(Kræver aftale med TR/FSL). Weekendtillæg udbetales.",I14="X",C14="ikke relevant")),K14*0.5,0)</f>
        <v>0</v>
      </c>
      <c r="EZ14" s="675">
        <f>IF(AND(AND(AND(Stamoplysninger!$B$26="Der er indgået lokalaftale omkring weekendtimer(Kræver aftale med TR/FSL). Weekendtillæg udbetales.",I14="X",C14="ikke relevant",S14="X"))),(V14*0.5),0)</f>
        <v>0</v>
      </c>
      <c r="FA14" s="283">
        <f>IF(AND(Stamoplysninger!$B$26="Der er indgået lokalaftale omkring weekendtillæg(Kræver aftale med TR/FSL). Weekendtimerne afspadseres.",I14="X"),K14,0)</f>
        <v>0</v>
      </c>
      <c r="FB14" s="251">
        <f>IF(AND(AND(Stamoplysninger!$B$26="Der er indgået lokalaftale omkring weekendtillæg(Kræver aftale med TR/FSL). Weekendtimerne afspadseres.",I14="X",S14="X")),V14,0)</f>
        <v>0</v>
      </c>
      <c r="FC14" s="674">
        <f>IF(AND(AND(Stamoplysninger!$B$26="Der er indgået lokalaftale omkring weekendtillæg(Kræver aftale med TR/FSL). Weekendtimerne afspadseres..",I14="X",C14="ikke relevant")),K14,0)</f>
        <v>0</v>
      </c>
      <c r="FD14" s="675">
        <f>IF(AND(AND(AND(Stamoplysninger!$B$26="Der er indgået lokalaftale omkring weekendtillæg(Kræver aftale med TR/FSL). Weekendtimerne afspadseres.",I14="X",C14="ikke relevant",S14="X"))),(V14),0)</f>
        <v>0</v>
      </c>
      <c r="FE14" s="283">
        <f>IF(AND(Stamoplysninger!$B$26="Der er indgået lokalaftale omkring weekendtillæg(Kræver aftale med TR/FSL). Weekendtimerne udbetales.",I14="X"),K14,0)</f>
        <v>0</v>
      </c>
      <c r="FF14" s="251">
        <f>IF(AND(AND(Stamoplysninger!$B$26="Der er indgået lokalaftale omkring weekendtillæg(Kræver aftale med TR/FSL). Weekendtimerne udbetales.",I14="X",S14="X")),V14,0)</f>
        <v>0</v>
      </c>
      <c r="FG14" s="674">
        <f>IF(AND(AND(Stamoplysninger!$B$26="Der er indgået lokalaftale omkring weekendtillæg(Kræver aftale med TR/FSL). Weekendtimerne udbetales.",I14="X",C14="ikke relevant")),K14,0)</f>
        <v>0</v>
      </c>
      <c r="FH14" s="675">
        <f>IF(AND(AND(AND(Stamoplysninger!$B$26="Der er indgået lokalaftale omkring weekendtillæg(Kræver aftale med TR/FSL). Weekendtimerne udbetales.",I14="X",C14="ikke relevant",S14="X"))),(V14),0)</f>
        <v>0</v>
      </c>
      <c r="FI14" s="283">
        <f>IF(AND(Stamoplysninger!$B$26="Weekendtimer og weekendtillæg afspadseres.",I14="X"),K14,0)</f>
        <v>0</v>
      </c>
      <c r="FJ14" s="251">
        <f>IF(AND(Stamoplysninger!$B$26="Weekendtimer og weekendtillæg afspadseres.",Y14="X"),(AA14+AL14)/2,0)</f>
        <v>0</v>
      </c>
      <c r="FK14" s="674">
        <f>IF(AND(AND(Stamoplysninger!$B$26="Weekendtimer og weekendtillæg afspadseres.",I14="X",C14="ikke relevant")),K14,0)</f>
        <v>0</v>
      </c>
      <c r="FL14" s="675">
        <f>IF(AND(AND(Stamoplysninger!$B$26="Weekendtimer og weekendtillæg afspadseres.",Y14="X",S14="ikke relevant")),(AA14+AL14)/2,0)</f>
        <v>0</v>
      </c>
      <c r="FM14" s="283">
        <f>IF(AND(Stamoplysninger!$B$26="Der er indgået lokalaftale omkring weekendtillæg(Kræver aftale med TR/FSL). Weekendtimerne afspadseres.",I14="X"),K14,0)</f>
        <v>0</v>
      </c>
      <c r="FN14" s="674">
        <f>IF(AND(AND(Stamoplysninger!$B$26="Der er indgået lokalaftale omkring weekendtillæg(Kræver aftale med TR/FSL). Weekendtimerne afspadseres.",I14="X",C14="ikke relevant")),K14,0)</f>
        <v>0</v>
      </c>
      <c r="FO14" s="283">
        <f>IF(AND(Stamoplysninger!$B$26="Weekendtimer og weekendtillæg udbetales.",I14="X"),K14,0)</f>
        <v>0</v>
      </c>
      <c r="FP14" s="251">
        <f>IF(AND(Stamoplysninger!$B$26="Weekendtimer og weekendtillæg udbetales.",AA14="X"),(AC14+AN14)/2,0)</f>
        <v>0</v>
      </c>
      <c r="FQ14" s="674">
        <f>IF(AND(AND(Stamoplysninger!$B$26="Weekendtimer og weekendtillæg udbetales.",I14="X",C14="ikke relevant")),K14,0)</f>
        <v>0</v>
      </c>
      <c r="FR14" s="688">
        <f>IF(AND(AND(Stamoplysninger!$B$26="Weekendtimer og weekendtillæg udbetales.",AA14="X",U14="ikke relevant")),(AC14+AN14)/2,0)</f>
        <v>0</v>
      </c>
      <c r="FS14" s="283">
        <f t="shared" si="14"/>
        <v>0</v>
      </c>
      <c r="FT14" s="658">
        <f t="shared" si="15"/>
        <v>0</v>
      </c>
      <c r="FU14">
        <f t="shared" si="16"/>
        <v>0</v>
      </c>
      <c r="FV14" s="283">
        <f>IF(AND(Stamoplysninger!$B$26="Der er indgået lokalaftale omkring weekendtimer.(Kræver aftale med TR/FSL) Weekendtillæg afspadseres.",I14="X"),K14,0)</f>
        <v>0</v>
      </c>
      <c r="FW14" s="674">
        <f>IF(AND(AND(Stamoplysninger!$B$26="Der er indgået lokalaftale omkring weekendtimer.(Kræver aftale med TR/FSL) Weekendtillæg afspadseres.",I14="X",C14="ikke relevant")),K14,0)</f>
        <v>0</v>
      </c>
      <c r="FX14" s="283">
        <f>IF(AND(Stamoplysninger!$B$26="Der er indgået lokalaftale omkring weekendtimer(Kræver aftale med TR/FSL). Weekendtillæg udbetales.",I14="X"),K14,0)</f>
        <v>0</v>
      </c>
      <c r="FY14" s="674">
        <f>IF(AND(AND(Stamoplysninger!$B$26="Der er indgået lokalaftale omkring weekendtimer(Kræver aftale med TR/FSL). Weekendtillæg udbetales.",I14="X",C14="ikke relevant")),K14,0)</f>
        <v>0</v>
      </c>
      <c r="FZ14" s="283">
        <f>IF(AND(Stamoplysninger!$B$26="Der er indgået lokalaftale omkring weekendtillæg(Kræver aftale med TR/FSL). Weekendtimerne udbetales.",I14="X"),K14,0)</f>
        <v>0</v>
      </c>
      <c r="GA14" s="674">
        <f>IF(AND(AND(Stamoplysninger!$B$26="Der er indgået lokalaftale omkring weekendtillæg(Kræver aftale med TR/FSL). Weekendtimerne udbetales.",I14="X",C14="ikke relevant")),K14,0)</f>
        <v>0</v>
      </c>
      <c r="GB14" s="283">
        <f>IF(AND(Stamoplysninger!$B$26="Der er indgået lokalaftale omkring weekendtimer og weekendtillæg.(Kræver aftale med TR/FSL).",I14="X"),K14,0)</f>
        <v>0</v>
      </c>
      <c r="GC14" s="674">
        <f>IF(AND(AND(Stamoplysninger!$B$26="Der er indgået lokalaftale omkring weekendtimer og weekendtillæg.(Kræver aftale med TR/FSL).",I14="X",C14="ikke relevant")),K14,0)</f>
        <v>0</v>
      </c>
    </row>
    <row r="15" spans="1:185" ht="16" customHeight="1">
      <c r="A15" s="245">
        <f t="shared" si="17"/>
        <v>7</v>
      </c>
      <c r="B15" s="128" t="str">
        <f t="shared" si="0"/>
        <v>ma</v>
      </c>
      <c r="C15" s="129" t="s">
        <v>207</v>
      </c>
      <c r="D15" s="130">
        <f t="shared" si="1"/>
        <v>14.714285714285714</v>
      </c>
      <c r="E15" s="917"/>
      <c r="F15" s="918"/>
      <c r="G15" s="919"/>
      <c r="H15" s="298" t="s">
        <v>711</v>
      </c>
      <c r="I15" s="527"/>
      <c r="J15" s="413"/>
      <c r="K15" s="380"/>
      <c r="L15" s="380"/>
      <c r="M15" s="380"/>
      <c r="N15" s="318">
        <f t="shared" si="18"/>
        <v>7.75</v>
      </c>
      <c r="O15" s="318">
        <f t="shared" si="19"/>
        <v>3.4999999999999996</v>
      </c>
      <c r="P15" s="318">
        <f>IF(Stamoplysninger!$H$29="JA",April!DG15,CX15)</f>
        <v>1</v>
      </c>
      <c r="Q15" s="318">
        <f t="shared" si="20"/>
        <v>3.25</v>
      </c>
      <c r="R15" s="319">
        <v>3</v>
      </c>
      <c r="S15" s="324"/>
      <c r="T15" s="325"/>
      <c r="U15" s="325"/>
      <c r="V15" s="435"/>
      <c r="W15" s="435"/>
      <c r="X15" s="644"/>
      <c r="Y15">
        <f t="shared" si="21"/>
        <v>0</v>
      </c>
      <c r="Z15" s="437">
        <f t="shared" si="22"/>
        <v>0</v>
      </c>
      <c r="AA15" s="1">
        <f t="shared" si="2"/>
        <v>0</v>
      </c>
      <c r="AB15" s="1">
        <f t="shared" si="3"/>
        <v>0</v>
      </c>
      <c r="AC15" s="1">
        <f t="shared" si="4"/>
        <v>0</v>
      </c>
      <c r="AD15" s="1">
        <f t="shared" si="5"/>
        <v>0</v>
      </c>
      <c r="AE15" s="1">
        <f t="shared" si="6"/>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f>IF(AND(C15="Skema 2",B15="ma"),Arbejdstidsoversigt!$E$81,"")</f>
        <v>7.75</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7.75</v>
      </c>
      <c r="BB15" s="229">
        <f t="shared" si="7"/>
        <v>0</v>
      </c>
      <c r="BC15" s="1">
        <f t="shared" si="24"/>
        <v>0</v>
      </c>
      <c r="BD15" s="1">
        <f t="shared" si="8"/>
        <v>0</v>
      </c>
      <c r="BE15" s="1">
        <f t="shared" si="9"/>
        <v>0</v>
      </c>
      <c r="BF15" s="1">
        <f t="shared" si="10"/>
        <v>0</v>
      </c>
      <c r="BG15" s="210" t="str">
        <f>IF(AND(C15="Skema 1",B15="ma"),Skemaoplysninger!$E$30,"")</f>
        <v/>
      </c>
      <c r="BH15" s="210" t="str">
        <f>IF(AND(C15="Skema 1",B15="ti"),Skemaoplysninger!$G$30,"")</f>
        <v/>
      </c>
      <c r="BI15" s="210" t="str">
        <f>IF(AND(C15="Skema 1",B15="on"),Skemaoplysninger!$I$30,"")</f>
        <v/>
      </c>
      <c r="BJ15" s="210" t="str">
        <f>IF(AND(C15="Skema 1",B15="to"),Skemaoplysninger!$K$30,"")</f>
        <v/>
      </c>
      <c r="BK15" s="210" t="str">
        <f>IF(AND(C15="Skema 1",B15="fr"),Skemaoplysninger!$M$30,"")</f>
        <v/>
      </c>
      <c r="BL15" s="210">
        <f>IF(AND(C15="Skema 2",B15="ma"),Skemaoplysninger!$S$30,"")</f>
        <v>0.14583333333333331</v>
      </c>
      <c r="BM15" s="210" t="str">
        <f>IF(AND(C15="Skema 2",B15="ti"),Skemaoplysninger!$U$30,"")</f>
        <v/>
      </c>
      <c r="BN15" s="210" t="str">
        <f>IF(AND(C15="Skema 2",B15="on"),Skemaoplysninger!$W$30,"")</f>
        <v/>
      </c>
      <c r="BO15" s="210" t="str">
        <f>IF(AND(C15="Skema 2",B15="to"),Skemaoplysninger!$Y$30,"")</f>
        <v/>
      </c>
      <c r="BP15" s="210" t="str">
        <f>IF(AND(C15="Skema 2",B15="fr"),Skemaoplysninger!$AA$30,"")</f>
        <v/>
      </c>
      <c r="BQ15" s="210" t="str">
        <f>IF(AND(C15="Skema 3",B15="ma"),Skemaoplysninger!$AG$30,"")</f>
        <v/>
      </c>
      <c r="BR15" s="210" t="str">
        <f>IF(AND(C15="Skema 3",B15="ti"),Skemaoplysninger!$AI$30,"")</f>
        <v/>
      </c>
      <c r="BS15" s="210" t="str">
        <f>IF(AND(C15="Skema 3",B15="on"),Skemaoplysninger!$AK$30,"")</f>
        <v/>
      </c>
      <c r="BT15" s="210" t="str">
        <f>IF(AND(C15="Skema 3",B15="to"),Skemaoplysninger!$AM$30,"")</f>
        <v/>
      </c>
      <c r="BU15" s="210" t="str">
        <f>IF(AND(C15="Skema 3",B15="fr"),Skemaoplysninger!$AO$30,"")</f>
        <v/>
      </c>
      <c r="BV15" s="210" t="str">
        <f>IF(AND(C15="Skema 4",B15="ma"),Skemaoplysninger!$AU$30,"")</f>
        <v/>
      </c>
      <c r="BW15" s="210" t="str">
        <f>IF(AND(C15="Skema 4",B15="ti"),Skemaoplysninger!$AW$30,"")</f>
        <v/>
      </c>
      <c r="BX15" s="210" t="str">
        <f>IF(AND(C15="Skema 4",B15="on"),Skemaoplysninger!$AY$30,"")</f>
        <v/>
      </c>
      <c r="BY15" s="210" t="str">
        <f>IF(AND(C15="Skema 4",B15="to"),Skemaoplysninger!$BA$30,"")</f>
        <v/>
      </c>
      <c r="BZ15" s="210" t="str">
        <f>IF(AND(C15="Skema 4",B15="fr"),Skemaoplysninger!$BC$30,"")</f>
        <v/>
      </c>
      <c r="CA15" s="1">
        <f t="shared" si="25"/>
        <v>3.4999999999999996</v>
      </c>
      <c r="CB15" s="1">
        <f t="shared" si="11"/>
        <v>0</v>
      </c>
      <c r="CC15" s="1">
        <f t="shared" si="12"/>
        <v>0</v>
      </c>
      <c r="CD15" s="210" t="str">
        <f>IF(AND(C15="Skema 1",B15="ma"),Skemaoplysninger!$E$31,"")</f>
        <v/>
      </c>
      <c r="CE15" s="210" t="str">
        <f>IF(AND(C15="Skema 1",B15="ti"),Skemaoplysninger!$G$31,"")</f>
        <v/>
      </c>
      <c r="CF15" s="210" t="str">
        <f>IF(AND(C15="Skema 1",B15="on"),Skemaoplysninger!$I$31,"")</f>
        <v/>
      </c>
      <c r="CG15" s="210" t="str">
        <f>IF(AND(C15="Skema 1",B15="to"),Skemaoplysninger!$K$31,"")</f>
        <v/>
      </c>
      <c r="CH15" s="210" t="str">
        <f>IF(AND(C15="Skema 1",B15="fr"),Skemaoplysninger!$M$31,"")</f>
        <v/>
      </c>
      <c r="CI15" s="210">
        <f>IF(AND(C15="Skema 2",B15="ma"),Skemaoplysninger!$S$31,"")</f>
        <v>4.1666666666666671E-2</v>
      </c>
      <c r="CJ15" s="210" t="str">
        <f>IF(AND(C15="Skema 2",B15="ti"),Skemaoplysninger!$U$31,"")</f>
        <v/>
      </c>
      <c r="CK15" s="210" t="str">
        <f>IF(AND(C15="Skema 2",B15="on"),Skemaoplysninger!$W$31,"")</f>
        <v/>
      </c>
      <c r="CL15" s="210" t="str">
        <f>IF(AND(C15="Skema 2",B15="to"),Skemaoplysninger!$Y$31,"")</f>
        <v/>
      </c>
      <c r="CM15" s="210" t="str">
        <f>IF(AND(C15="Skema 2",B15="fr"),Skemaoplysninger!$AA$31,"")</f>
        <v/>
      </c>
      <c r="CN15" s="210" t="str">
        <f>IF(AND(C15="Skema 3",B15="ma"),Skemaoplysninger!$AG$31,"")</f>
        <v/>
      </c>
      <c r="CO15" s="210" t="str">
        <f>IF(AND(C15="Skema 3",B15="ti"),Skemaoplysninger!$AI$31,"")</f>
        <v/>
      </c>
      <c r="CP15" s="210" t="str">
        <f>IF(AND(C15="Skema 3",B15="on"),Skemaoplysninger!$AK$31,"")</f>
        <v/>
      </c>
      <c r="CQ15" s="210" t="str">
        <f>IF(AND(C15="Skema 3",B15="to"),Skemaoplysninger!$AM$31,"")</f>
        <v/>
      </c>
      <c r="CR15" s="210" t="str">
        <f>IF(AND(C15="Skema 3",B15="fr"),Skemaoplysninger!$AO$31,"")</f>
        <v/>
      </c>
      <c r="CS15" s="210" t="str">
        <f>IF(AND(C15="Skema 4",B15="ma"),Skemaoplysninger!$AU$31,"")</f>
        <v/>
      </c>
      <c r="CT15" s="210" t="str">
        <f>IF(AND(C15="Skema 4",B15="ti"),Skemaoplysninger!$AW$31,"")</f>
        <v/>
      </c>
      <c r="CU15" s="210" t="str">
        <f>IF(AND(C15="Skema 4",B15="on"),Skemaoplysninger!$AY$31,"")</f>
        <v/>
      </c>
      <c r="CV15" s="210" t="str">
        <f>IF(AND(C15="Skema 4",B15="to"),Skemaoplysninger!$BA$31,"")</f>
        <v/>
      </c>
      <c r="CW15" s="210" t="str">
        <f>IF(AND(C15="Skema 4",B15="fr"),Skemaoplysninger!$BC$31,"")</f>
        <v/>
      </c>
      <c r="CX15" s="249">
        <f>IF(Stamoplysninger!$H$29="NEJ",SUM(CD15:CW15)*24+CB15+CC15,0)</f>
        <v>1</v>
      </c>
      <c r="CY15" s="249">
        <f>IF(C15="Skema 1",Stamoplysninger!$H$30/200,0)</f>
        <v>0</v>
      </c>
      <c r="CZ15" s="249">
        <f>IF(C15="Skema 2",Stamoplysninger!$H$30/200,0)</f>
        <v>0</v>
      </c>
      <c r="DA15" s="249">
        <f>IF(C15="Skema 3",Stamoplysninger!$H$30/200,0)</f>
        <v>0</v>
      </c>
      <c r="DB15" s="249">
        <f>IF(C15="Skema 4",Stamoplysninger!$H$30/200,0)</f>
        <v>0</v>
      </c>
      <c r="DC15" s="249">
        <f>IF(C15="fagdag",Stamoplysninger!$H$30/200,0)</f>
        <v>0</v>
      </c>
      <c r="DD15" s="249">
        <f>IF(C15="emnedag",Stamoplysninger!$H$30/200,0)</f>
        <v>0</v>
      </c>
      <c r="DE15" s="249">
        <f>IF(C15="lejrskole",Stamoplysninger!$H$30/200,0)</f>
        <v>0</v>
      </c>
      <c r="DF15" s="249">
        <f>IF(C15="ekskursion",Stamoplysninger!$H$30/200,0)</f>
        <v>0</v>
      </c>
      <c r="DG15" s="249">
        <f t="shared" si="26"/>
        <v>0</v>
      </c>
      <c r="DH15" t="str">
        <f t="shared" si="27"/>
        <v/>
      </c>
      <c r="DI15" t="str">
        <f t="shared" si="28"/>
        <v/>
      </c>
      <c r="DJ15" t="str">
        <f t="shared" si="29"/>
        <v>Skolehjem</v>
      </c>
      <c r="DK15" t="str">
        <f t="shared" si="13"/>
        <v/>
      </c>
      <c r="DL15" t="str">
        <f t="shared" si="13"/>
        <v/>
      </c>
      <c r="DM15" t="str">
        <f t="shared" si="13"/>
        <v>Skolehjem</v>
      </c>
      <c r="DN15" t="str">
        <f t="shared" si="30"/>
        <v>Skolehjem</v>
      </c>
      <c r="DO15" s="652">
        <f>IF(AND(Stamoplysninger!$B$22="Ulempetillæg udbetales med 25% af nettotimelønnen.",H15&gt;0),(R15/4),0)</f>
        <v>0.75</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71">
        <f>IF(AND(Stamoplysninger!$B$22="Ulempetillæg udbetales med 25% af nettotimelønnen.",C15="ikke relevant"),(R15)/4,0)</f>
        <v>0</v>
      </c>
      <c r="DT15" s="671">
        <f>IF(AND(AND(Stamoplysninger!$B$22="Ulempetillæg udbetales med 25% af nettotimelønnen.",I15="X",C15="Ikke relevant")),K15/4,0)</f>
        <v>0</v>
      </c>
      <c r="DU15" s="671">
        <f>IF(AND(AND(Stamoplysninger!$B$22="Ulempetillæg udbetales med 25% af nettotimelønnen.",C15="ikke relevant",U15="X")),(X15/4),0)</f>
        <v>0</v>
      </c>
      <c r="DV15" s="672">
        <f>IF(AND(AND(AND(Stamoplysninger!$B$22="Ulempetillæg udbetales med 25% af nettotimelønnen.",I15="X",C15="Ikke relevant",S15="X"))),V15/4,0)</f>
        <v>0</v>
      </c>
      <c r="DW15" s="652"/>
      <c r="DZ15" s="671"/>
      <c r="EA15" s="671"/>
      <c r="EB15" s="672"/>
      <c r="EC15" s="652">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71">
        <f>IF(AND(Stamoplysninger!$B$22="Ulempetillæg afspadseres med 25%(Kræver en aftale imellem ledelsen og den ansatte)",C15="ikke relevant"),(R15)/4,0)</f>
        <v>0</v>
      </c>
      <c r="EH15" s="671">
        <f>IF(AND(AND(Stamoplysninger!$B$22="Ulempetillæg afspadseres med 25%(Kræver en aftale imellem ledelsen og den ansatte)",I15="X",C15="Ikke relevant")),K15/4,0)</f>
        <v>0</v>
      </c>
      <c r="EI15" s="671">
        <f>IF(AND(AND(Stamoplysninger!$B$22="Ulempetillæg afspadseres med 25%(Kræver en aftale imellem ledelsen og den ansatte)",U15="X",C15="Ikke relevant")),X15/4,0)</f>
        <v>0</v>
      </c>
      <c r="EJ15" s="671">
        <f>IF(AND(AND(AND(Stamoplysninger!$B$22="Ulempetillæg afspadseres med 25%(Kræver en aftale imellem ledelsen og den ansatte)",I15="X",C15="Ikke relevant",S15="X"))),V15/4,0)</f>
        <v>0</v>
      </c>
      <c r="EK15" s="283">
        <f>IF(AND(Stamoplysninger!$B$26="Weekendtimer og weekendtillæg afspadseres.",I15="X"),K15*1.5,0)</f>
        <v>0</v>
      </c>
      <c r="EL15" s="251">
        <f>IF(AND(AND(Stamoplysninger!$B$26="Weekendtimer og weekendtillæg afspadseres.",I15="X",S15="X")),V15*1.5,0)</f>
        <v>0</v>
      </c>
      <c r="EM15" s="674">
        <f>IF(AND(AND(Stamoplysninger!$B$26="Weekendtimer og weekendtillæg afspadseres.",I15="X",C15="ikke relevant")),K15*1.5,0)</f>
        <v>0</v>
      </c>
      <c r="EN15" s="675">
        <f>IF(AND(AND(AND(Stamoplysninger!$B$26="Weekendtimer og weekendtillæg afspadseres.",I15="X",C15="ikke relevant",S15="X"))),(V15*1.5),0)</f>
        <v>0</v>
      </c>
      <c r="EO15" s="283">
        <f>IF(AND(Stamoplysninger!$B$26="Weekendtimer og weekendtillæg udbetales.",I15="X"),K15*1.5,0)</f>
        <v>0</v>
      </c>
      <c r="EP15" s="251">
        <f>IF(AND(AND(Stamoplysninger!$B$26="Weekendtimer og weekendtillæg udbetales.",I15="X",S15="X")),V15*1.5,0)</f>
        <v>0</v>
      </c>
      <c r="EQ15" s="674">
        <f>IF(AND(AND(Stamoplysninger!$B$26="Weekendtimer og weekendtillæg udbetales.",I15="X",C15="ikke relevant")),K15*1.5,0)</f>
        <v>0</v>
      </c>
      <c r="ER15" s="675">
        <f>IF(AND(AND(AND(Stamoplysninger!$B$26="Weekendtimer og weekendtillæg udbetales.",I15="X",C15="ikke relevant",S15="X"))),(V15*1.5),0)</f>
        <v>0</v>
      </c>
      <c r="ES15" s="283">
        <f>IF(AND(Stamoplysninger!$B$26="Der er indgået lokalaftale omkring weekendtimer.(Kræver aftale med TR/FSL) Weekendtillæg afspadseres.",I15="X"),K15*0.5,0)</f>
        <v>0</v>
      </c>
      <c r="ET15" s="251">
        <f>IF(AND(AND(Stamoplysninger!$B$26="Der er indgået lokalaftale omkring weekendtimer.(Kræver aftale med TR/FSL) Weekendtillæg afspadseres.",I15="X",S15="X")),V15*0.5,0)</f>
        <v>0</v>
      </c>
      <c r="EU15" s="674">
        <f>IF(AND(AND(Stamoplysninger!$B$26="Der er indgået lokalaftale omkring weekendtimer.(Kræver aftale med TR/FSL) Weekendtillæg afspadseres.",I15="X",C15="ikke relevant")),K15*0.5,0)</f>
        <v>0</v>
      </c>
      <c r="EV15" s="675">
        <f>IF(AND(AND(AND(Stamoplysninger!$B$26="Der er indgået lokalaftale omkring weekendtimer.(Kræver aftale med TR/FSL) Weekendtillæg afspadseres.",I15="X",C15="ikke relevant",S15="X"))),(V15*0.5),0)</f>
        <v>0</v>
      </c>
      <c r="EW15" s="283">
        <f>IF(AND(Stamoplysninger!$B$26="Der er indgået lokalaftale omkring weekendtimer(Kræver aftale med TR/FSL). Weekendtillæg udbetales.",I15="X"),K15*0.5,0)</f>
        <v>0</v>
      </c>
      <c r="EX15" s="251">
        <f>IF(AND(AND(Stamoplysninger!$B$26="Der er indgået lokalaftale omkring weekendtimer(Kræver aftale med TR/FSL). Weekendtillæg udbetales.",I15="X",S15="X")),V15*0.5,0)</f>
        <v>0</v>
      </c>
      <c r="EY15" s="674">
        <f>IF(AND(AND(Stamoplysninger!$B$26="Der er indgået lokalaftale omkring weekendtimer(Kræver aftale med TR/FSL). Weekendtillæg udbetales.",I15="X",C15="ikke relevant")),K15*0.5,0)</f>
        <v>0</v>
      </c>
      <c r="EZ15" s="675">
        <f>IF(AND(AND(AND(Stamoplysninger!$B$26="Der er indgået lokalaftale omkring weekendtimer(Kræver aftale med TR/FSL). Weekendtillæg udbetales.",I15="X",C15="ikke relevant",S15="X"))),(V15*0.5),0)</f>
        <v>0</v>
      </c>
      <c r="FA15" s="283">
        <f>IF(AND(Stamoplysninger!$B$26="Der er indgået lokalaftale omkring weekendtillæg(Kræver aftale med TR/FSL). Weekendtimerne afspadseres.",I15="X"),K15,0)</f>
        <v>0</v>
      </c>
      <c r="FB15" s="251">
        <f>IF(AND(AND(Stamoplysninger!$B$26="Der er indgået lokalaftale omkring weekendtillæg(Kræver aftale med TR/FSL). Weekendtimerne afspadseres.",I15="X",S15="X")),V15,0)</f>
        <v>0</v>
      </c>
      <c r="FC15" s="674">
        <f>IF(AND(AND(Stamoplysninger!$B$26="Der er indgået lokalaftale omkring weekendtillæg(Kræver aftale med TR/FSL). Weekendtimerne afspadseres..",I15="X",C15="ikke relevant")),K15,0)</f>
        <v>0</v>
      </c>
      <c r="FD15" s="675">
        <f>IF(AND(AND(AND(Stamoplysninger!$B$26="Der er indgået lokalaftale omkring weekendtillæg(Kræver aftale med TR/FSL). Weekendtimerne afspadseres.",I15="X",C15="ikke relevant",S15="X"))),(V15),0)</f>
        <v>0</v>
      </c>
      <c r="FE15" s="283">
        <f>IF(AND(Stamoplysninger!$B$26="Der er indgået lokalaftale omkring weekendtillæg(Kræver aftale med TR/FSL). Weekendtimerne udbetales.",I15="X"),K15,0)</f>
        <v>0</v>
      </c>
      <c r="FF15" s="251">
        <f>IF(AND(AND(Stamoplysninger!$B$26="Der er indgået lokalaftale omkring weekendtillæg(Kræver aftale med TR/FSL). Weekendtimerne udbetales.",I15="X",S15="X")),V15,0)</f>
        <v>0</v>
      </c>
      <c r="FG15" s="674">
        <f>IF(AND(AND(Stamoplysninger!$B$26="Der er indgået lokalaftale omkring weekendtillæg(Kræver aftale med TR/FSL). Weekendtimerne udbetales.",I15="X",C15="ikke relevant")),K15,0)</f>
        <v>0</v>
      </c>
      <c r="FH15" s="675">
        <f>IF(AND(AND(AND(Stamoplysninger!$B$26="Der er indgået lokalaftale omkring weekendtillæg(Kræver aftale med TR/FSL). Weekendtimerne udbetales.",I15="X",C15="ikke relevant",S15="X"))),(V15),0)</f>
        <v>0</v>
      </c>
      <c r="FI15" s="283">
        <f>IF(AND(Stamoplysninger!$B$26="Weekendtimer og weekendtillæg afspadseres.",I15="X"),K15,0)</f>
        <v>0</v>
      </c>
      <c r="FJ15" s="251">
        <f>IF(AND(Stamoplysninger!$B$26="Weekendtimer og weekendtillæg afspadseres.",Y15="X"),(AA15+AL15)/2,0)</f>
        <v>0</v>
      </c>
      <c r="FK15" s="674">
        <f>IF(AND(AND(Stamoplysninger!$B$26="Weekendtimer og weekendtillæg afspadseres.",I15="X",C15="ikke relevant")),K15,0)</f>
        <v>0</v>
      </c>
      <c r="FL15" s="675">
        <f>IF(AND(AND(Stamoplysninger!$B$26="Weekendtimer og weekendtillæg afspadseres.",Y15="X",S15="ikke relevant")),(AA15+AL15)/2,0)</f>
        <v>0</v>
      </c>
      <c r="FM15" s="283">
        <f>IF(AND(Stamoplysninger!$B$26="Der er indgået lokalaftale omkring weekendtillæg(Kræver aftale med TR/FSL). Weekendtimerne afspadseres.",I15="X"),K15,0)</f>
        <v>0</v>
      </c>
      <c r="FN15" s="674">
        <f>IF(AND(AND(Stamoplysninger!$B$26="Der er indgået lokalaftale omkring weekendtillæg(Kræver aftale med TR/FSL). Weekendtimerne afspadseres.",I15="X",C15="ikke relevant")),K15,0)</f>
        <v>0</v>
      </c>
      <c r="FO15" s="283">
        <f>IF(AND(Stamoplysninger!$B$26="Weekendtimer og weekendtillæg udbetales.",I15="X"),K15,0)</f>
        <v>0</v>
      </c>
      <c r="FP15" s="251">
        <f>IF(AND(Stamoplysninger!$B$26="Weekendtimer og weekendtillæg udbetales.",AA15="X"),(AC15+AN15)/2,0)</f>
        <v>0</v>
      </c>
      <c r="FQ15" s="674">
        <f>IF(AND(AND(Stamoplysninger!$B$26="Weekendtimer og weekendtillæg udbetales.",I15="X",C15="ikke relevant")),K15,0)</f>
        <v>0</v>
      </c>
      <c r="FR15" s="688">
        <f>IF(AND(AND(Stamoplysninger!$B$26="Weekendtimer og weekendtillæg udbetales.",AA15="X",U15="ikke relevant")),(AC15+AN15)/2,0)</f>
        <v>0</v>
      </c>
      <c r="FS15" s="283">
        <f t="shared" si="14"/>
        <v>0</v>
      </c>
      <c r="FT15" s="658">
        <f t="shared" si="15"/>
        <v>0</v>
      </c>
      <c r="FU15">
        <f t="shared" si="16"/>
        <v>0</v>
      </c>
      <c r="FV15" s="283">
        <f>IF(AND(Stamoplysninger!$B$26="Der er indgået lokalaftale omkring weekendtimer.(Kræver aftale med TR/FSL) Weekendtillæg afspadseres.",I15="X"),K15,0)</f>
        <v>0</v>
      </c>
      <c r="FW15" s="674">
        <f>IF(AND(AND(Stamoplysninger!$B$26="Der er indgået lokalaftale omkring weekendtimer.(Kræver aftale med TR/FSL) Weekendtillæg afspadseres.",I15="X",C15="ikke relevant")),K15,0)</f>
        <v>0</v>
      </c>
      <c r="FX15" s="283">
        <f>IF(AND(Stamoplysninger!$B$26="Der er indgået lokalaftale omkring weekendtimer(Kræver aftale med TR/FSL). Weekendtillæg udbetales.",I15="X"),K15,0)</f>
        <v>0</v>
      </c>
      <c r="FY15" s="674">
        <f>IF(AND(AND(Stamoplysninger!$B$26="Der er indgået lokalaftale omkring weekendtimer(Kræver aftale med TR/FSL). Weekendtillæg udbetales.",I15="X",C15="ikke relevant")),K15,0)</f>
        <v>0</v>
      </c>
      <c r="FZ15" s="283">
        <f>IF(AND(Stamoplysninger!$B$26="Der er indgået lokalaftale omkring weekendtillæg(Kræver aftale med TR/FSL). Weekendtimerne udbetales.",I15="X"),K15,0)</f>
        <v>0</v>
      </c>
      <c r="GA15" s="674">
        <f>IF(AND(AND(Stamoplysninger!$B$26="Der er indgået lokalaftale omkring weekendtillæg(Kræver aftale med TR/FSL). Weekendtimerne udbetales.",I15="X",C15="ikke relevant")),K15,0)</f>
        <v>0</v>
      </c>
      <c r="GB15" s="283">
        <f>IF(AND(Stamoplysninger!$B$26="Der er indgået lokalaftale omkring weekendtimer og weekendtillæg.(Kræver aftale med TR/FSL).",I15="X"),K15,0)</f>
        <v>0</v>
      </c>
      <c r="GC15" s="674">
        <f>IF(AND(AND(Stamoplysninger!$B$26="Der er indgået lokalaftale omkring weekendtimer og weekendtillæg.(Kræver aftale med TR/FSL).",I15="X",C15="ikke relevant")),K15,0)</f>
        <v>0</v>
      </c>
    </row>
    <row r="16" spans="1:185">
      <c r="A16" s="245">
        <f t="shared" si="17"/>
        <v>8</v>
      </c>
      <c r="B16" s="128" t="str">
        <f t="shared" si="0"/>
        <v>ti</v>
      </c>
      <c r="C16" s="129" t="s">
        <v>207</v>
      </c>
      <c r="D16" s="130" t="str">
        <f t="shared" si="1"/>
        <v/>
      </c>
      <c r="E16" s="917"/>
      <c r="F16" s="918"/>
      <c r="G16" s="919"/>
      <c r="H16" s="298" t="s">
        <v>711</v>
      </c>
      <c r="I16" s="527"/>
      <c r="J16" s="413"/>
      <c r="K16" s="380"/>
      <c r="L16" s="380"/>
      <c r="M16" s="380"/>
      <c r="N16" s="318">
        <f t="shared" si="18"/>
        <v>8.5</v>
      </c>
      <c r="O16" s="318">
        <f t="shared" si="19"/>
        <v>3.75</v>
      </c>
      <c r="P16" s="318">
        <f>IF(Stamoplysninger!$H$29="JA",April!DG16,CX16)</f>
        <v>1.5</v>
      </c>
      <c r="Q16" s="318">
        <f t="shared" si="20"/>
        <v>3.25</v>
      </c>
      <c r="R16" s="319">
        <v>3</v>
      </c>
      <c r="S16" s="324"/>
      <c r="T16" s="325"/>
      <c r="U16" s="325"/>
      <c r="V16" s="435"/>
      <c r="W16" s="435"/>
      <c r="X16" s="644"/>
      <c r="Y16">
        <f t="shared" si="21"/>
        <v>0</v>
      </c>
      <c r="Z16" s="437">
        <f t="shared" si="22"/>
        <v>0</v>
      </c>
      <c r="AA16" s="1">
        <f t="shared" si="2"/>
        <v>0</v>
      </c>
      <c r="AB16" s="1">
        <f t="shared" si="3"/>
        <v>0</v>
      </c>
      <c r="AC16" s="1">
        <f t="shared" si="4"/>
        <v>0</v>
      </c>
      <c r="AD16" s="1">
        <f t="shared" si="5"/>
        <v>0</v>
      </c>
      <c r="AE16" s="1">
        <f t="shared" si="6"/>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f>IF(AND(C16="Skema 2",B16="ti"),Arbejdstidsoversigt!$E$82,"")</f>
        <v>8.5</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8.5</v>
      </c>
      <c r="BB16" s="229">
        <f t="shared" si="7"/>
        <v>0</v>
      </c>
      <c r="BC16" s="1">
        <f t="shared" si="24"/>
        <v>0</v>
      </c>
      <c r="BD16" s="1">
        <f t="shared" si="8"/>
        <v>0</v>
      </c>
      <c r="BE16" s="1">
        <f t="shared" si="9"/>
        <v>0</v>
      </c>
      <c r="BF16" s="1">
        <f t="shared" si="10"/>
        <v>0</v>
      </c>
      <c r="BG16" s="210" t="str">
        <f>IF(AND(C16="Skema 1",B16="ma"),Skemaoplysninger!$E$30,"")</f>
        <v/>
      </c>
      <c r="BH16" s="210" t="str">
        <f>IF(AND(C16="Skema 1",B16="ti"),Skemaoplysninger!$G$30,"")</f>
        <v/>
      </c>
      <c r="BI16" s="210" t="str">
        <f>IF(AND(C16="Skema 1",B16="on"),Skemaoplysninger!$I$30,"")</f>
        <v/>
      </c>
      <c r="BJ16" s="210" t="str">
        <f>IF(AND(C16="Skema 1",B16="to"),Skemaoplysninger!$K$30,"")</f>
        <v/>
      </c>
      <c r="BK16" s="210" t="str">
        <f>IF(AND(C16="Skema 1",B16="fr"),Skemaoplysninger!$M$30,"")</f>
        <v/>
      </c>
      <c r="BL16" s="210" t="str">
        <f>IF(AND(C16="Skema 2",B16="ma"),Skemaoplysninger!$S$30,"")</f>
        <v/>
      </c>
      <c r="BM16" s="210">
        <f>IF(AND(C16="Skema 2",B16="ti"),Skemaoplysninger!$U$30,"")</f>
        <v>0.15625</v>
      </c>
      <c r="BN16" s="210" t="str">
        <f>IF(AND(C16="Skema 2",B16="on"),Skemaoplysninger!$W$30,"")</f>
        <v/>
      </c>
      <c r="BO16" s="210" t="str">
        <f>IF(AND(C16="Skema 2",B16="to"),Skemaoplysninger!$Y$30,"")</f>
        <v/>
      </c>
      <c r="BP16" s="210" t="str">
        <f>IF(AND(C16="Skema 2",B16="fr"),Skemaoplysninger!$AA$30,"")</f>
        <v/>
      </c>
      <c r="BQ16" s="210" t="str">
        <f>IF(AND(C16="Skema 3",B16="ma"),Skemaoplysninger!$AG$30,"")</f>
        <v/>
      </c>
      <c r="BR16" s="210" t="str">
        <f>IF(AND(C16="Skema 3",B16="ti"),Skemaoplysninger!$AI$30,"")</f>
        <v/>
      </c>
      <c r="BS16" s="210" t="str">
        <f>IF(AND(C16="Skema 3",B16="on"),Skemaoplysninger!$AK$30,"")</f>
        <v/>
      </c>
      <c r="BT16" s="210" t="str">
        <f>IF(AND(C16="Skema 3",B16="to"),Skemaoplysninger!$AM$30,"")</f>
        <v/>
      </c>
      <c r="BU16" s="210" t="str">
        <f>IF(AND(C16="Skema 3",B16="fr"),Skemaoplysninger!$AO$30,"")</f>
        <v/>
      </c>
      <c r="BV16" s="210" t="str">
        <f>IF(AND(C16="Skema 4",B16="ma"),Skemaoplysninger!$AU$30,"")</f>
        <v/>
      </c>
      <c r="BW16" s="210" t="str">
        <f>IF(AND(C16="Skema 4",B16="ti"),Skemaoplysninger!$AW$30,"")</f>
        <v/>
      </c>
      <c r="BX16" s="210" t="str">
        <f>IF(AND(C16="Skema 4",B16="on"),Skemaoplysninger!$AY$30,"")</f>
        <v/>
      </c>
      <c r="BY16" s="210" t="str">
        <f>IF(AND(C16="Skema 4",B16="to"),Skemaoplysninger!$BA$30,"")</f>
        <v/>
      </c>
      <c r="BZ16" s="210" t="str">
        <f>IF(AND(C16="Skema 4",B16="fr"),Skemaoplysninger!$BC$30,"")</f>
        <v/>
      </c>
      <c r="CA16" s="1">
        <f t="shared" si="25"/>
        <v>3.75</v>
      </c>
      <c r="CB16" s="1">
        <f t="shared" si="11"/>
        <v>0</v>
      </c>
      <c r="CC16" s="1">
        <f t="shared" si="12"/>
        <v>0</v>
      </c>
      <c r="CD16" s="210" t="str">
        <f>IF(AND(C16="Skema 1",B16="ma"),Skemaoplysninger!$E$31,"")</f>
        <v/>
      </c>
      <c r="CE16" s="210" t="str">
        <f>IF(AND(C16="Skema 1",B16="ti"),Skemaoplysninger!$G$31,"")</f>
        <v/>
      </c>
      <c r="CF16" s="210" t="str">
        <f>IF(AND(C16="Skema 1",B16="on"),Skemaoplysninger!$I$31,"")</f>
        <v/>
      </c>
      <c r="CG16" s="210" t="str">
        <f>IF(AND(C16="Skema 1",B16="to"),Skemaoplysninger!$K$31,"")</f>
        <v/>
      </c>
      <c r="CH16" s="210" t="str">
        <f>IF(AND(C16="Skema 1",B16="fr"),Skemaoplysninger!$M$31,"")</f>
        <v/>
      </c>
      <c r="CI16" s="210" t="str">
        <f>IF(AND(C16="Skema 2",B16="ma"),Skemaoplysninger!$S$31,"")</f>
        <v/>
      </c>
      <c r="CJ16" s="210">
        <f>IF(AND(C16="Skema 2",B16="ti"),Skemaoplysninger!$U$31,"")</f>
        <v>6.25E-2</v>
      </c>
      <c r="CK16" s="210" t="str">
        <f>IF(AND(C16="Skema 2",B16="on"),Skemaoplysninger!$W$31,"")</f>
        <v/>
      </c>
      <c r="CL16" s="210" t="str">
        <f>IF(AND(C16="Skema 2",B16="to"),Skemaoplysninger!$Y$31,"")</f>
        <v/>
      </c>
      <c r="CM16" s="210" t="str">
        <f>IF(AND(C16="Skema 2",B16="fr"),Skemaoplysninger!$AA$31,"")</f>
        <v/>
      </c>
      <c r="CN16" s="210" t="str">
        <f>IF(AND(C16="Skema 3",B16="ma"),Skemaoplysninger!$AG$31,"")</f>
        <v/>
      </c>
      <c r="CO16" s="210" t="str">
        <f>IF(AND(C16="Skema 3",B16="ti"),Skemaoplysninger!$AI$31,"")</f>
        <v/>
      </c>
      <c r="CP16" s="210" t="str">
        <f>IF(AND(C16="Skema 3",B16="on"),Skemaoplysninger!$AK$31,"")</f>
        <v/>
      </c>
      <c r="CQ16" s="210" t="str">
        <f>IF(AND(C16="Skema 3",B16="to"),Skemaoplysninger!$AM$31,"")</f>
        <v/>
      </c>
      <c r="CR16" s="210" t="str">
        <f>IF(AND(C16="Skema 3",B16="fr"),Skemaoplysninger!$AO$31,"")</f>
        <v/>
      </c>
      <c r="CS16" s="210" t="str">
        <f>IF(AND(C16="Skema 4",B16="ma"),Skemaoplysninger!$AU$31,"")</f>
        <v/>
      </c>
      <c r="CT16" s="210" t="str">
        <f>IF(AND(C16="Skema 4",B16="ti"),Skemaoplysninger!$AW$31,"")</f>
        <v/>
      </c>
      <c r="CU16" s="210" t="str">
        <f>IF(AND(C16="Skema 4",B16="on"),Skemaoplysninger!$AY$31,"")</f>
        <v/>
      </c>
      <c r="CV16" s="210" t="str">
        <f>IF(AND(C16="Skema 4",B16="to"),Skemaoplysninger!$BA$31,"")</f>
        <v/>
      </c>
      <c r="CW16" s="210" t="str">
        <f>IF(AND(C16="Skema 4",B16="fr"),Skemaoplysninger!$BC$31,"")</f>
        <v/>
      </c>
      <c r="CX16" s="249">
        <f>IF(Stamoplysninger!$H$29="NEJ",SUM(CD16:CW16)*24+CB16+CC16,0)</f>
        <v>1.5</v>
      </c>
      <c r="CY16" s="249">
        <f>IF(C16="Skema 1",Stamoplysninger!$H$30/200,0)</f>
        <v>0</v>
      </c>
      <c r="CZ16" s="249">
        <f>IF(C16="Skema 2",Stamoplysninger!$H$30/200,0)</f>
        <v>0</v>
      </c>
      <c r="DA16" s="249">
        <f>IF(C16="Skema 3",Stamoplysninger!$H$30/200,0)</f>
        <v>0</v>
      </c>
      <c r="DB16" s="249">
        <f>IF(C16="Skema 4",Stamoplysninger!$H$30/200,0)</f>
        <v>0</v>
      </c>
      <c r="DC16" s="249">
        <f>IF(C16="fagdag",Stamoplysninger!$H$30/200,0)</f>
        <v>0</v>
      </c>
      <c r="DD16" s="249">
        <f>IF(C16="emnedag",Stamoplysninger!$H$30/200,0)</f>
        <v>0</v>
      </c>
      <c r="DE16" s="249">
        <f>IF(C16="lejrskole",Stamoplysninger!$H$30/200,0)</f>
        <v>0</v>
      </c>
      <c r="DF16" s="249">
        <f>IF(C16="ekskursion",Stamoplysninger!$H$30/200,0)</f>
        <v>0</v>
      </c>
      <c r="DG16" s="249">
        <f t="shared" si="26"/>
        <v>0</v>
      </c>
      <c r="DH16" t="str">
        <f t="shared" si="27"/>
        <v/>
      </c>
      <c r="DI16" t="str">
        <f t="shared" si="28"/>
        <v/>
      </c>
      <c r="DJ16" t="str">
        <f t="shared" si="29"/>
        <v>Skolehjem</v>
      </c>
      <c r="DK16" t="str">
        <f t="shared" si="13"/>
        <v/>
      </c>
      <c r="DL16" t="str">
        <f t="shared" si="13"/>
        <v/>
      </c>
      <c r="DM16" t="str">
        <f t="shared" si="13"/>
        <v>Skolehjem</v>
      </c>
      <c r="DN16" t="str">
        <f t="shared" si="30"/>
        <v>Skolehjem</v>
      </c>
      <c r="DO16" s="652">
        <f>IF(AND(Stamoplysninger!$B$22="Ulempetillæg udbetales med 25% af nettotimelønnen.",H16&gt;0),(R16/4),0)</f>
        <v>0.75</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71">
        <f>IF(AND(Stamoplysninger!$B$22="Ulempetillæg udbetales med 25% af nettotimelønnen.",C16="ikke relevant"),(R16)/4,0)</f>
        <v>0</v>
      </c>
      <c r="DT16" s="671">
        <f>IF(AND(AND(Stamoplysninger!$B$22="Ulempetillæg udbetales med 25% af nettotimelønnen.",I16="X",C16="Ikke relevant")),K16/4,0)</f>
        <v>0</v>
      </c>
      <c r="DU16" s="671">
        <f>IF(AND(AND(Stamoplysninger!$B$22="Ulempetillæg udbetales med 25% af nettotimelønnen.",C16="ikke relevant",U16="X")),(X16/4),0)</f>
        <v>0</v>
      </c>
      <c r="DV16" s="672">
        <f>IF(AND(AND(AND(Stamoplysninger!$B$22="Ulempetillæg udbetales med 25% af nettotimelønnen.",I16="X",C16="Ikke relevant",S16="X"))),V16/4,0)</f>
        <v>0</v>
      </c>
      <c r="DW16" s="652"/>
      <c r="DZ16" s="671"/>
      <c r="EA16" s="671"/>
      <c r="EB16" s="672"/>
      <c r="EC16" s="652">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71">
        <f>IF(AND(Stamoplysninger!$B$22="Ulempetillæg afspadseres med 25%(Kræver en aftale imellem ledelsen og den ansatte)",C16="ikke relevant"),(R16)/4,0)</f>
        <v>0</v>
      </c>
      <c r="EH16" s="671">
        <f>IF(AND(AND(Stamoplysninger!$B$22="Ulempetillæg afspadseres med 25%(Kræver en aftale imellem ledelsen og den ansatte)",I16="X",C16="Ikke relevant")),K16/4,0)</f>
        <v>0</v>
      </c>
      <c r="EI16" s="671">
        <f>IF(AND(AND(Stamoplysninger!$B$22="Ulempetillæg afspadseres med 25%(Kræver en aftale imellem ledelsen og den ansatte)",U16="X",C16="Ikke relevant")),X16/4,0)</f>
        <v>0</v>
      </c>
      <c r="EJ16" s="671">
        <f>IF(AND(AND(AND(Stamoplysninger!$B$22="Ulempetillæg afspadseres med 25%(Kræver en aftale imellem ledelsen og den ansatte)",I16="X",C16="Ikke relevant",S16="X"))),V16/4,0)</f>
        <v>0</v>
      </c>
      <c r="EK16" s="283">
        <f>IF(AND(Stamoplysninger!$B$26="Weekendtimer og weekendtillæg afspadseres.",I16="X"),K16*1.5,0)</f>
        <v>0</v>
      </c>
      <c r="EL16" s="251">
        <f>IF(AND(AND(Stamoplysninger!$B$26="Weekendtimer og weekendtillæg afspadseres.",I16="X",S16="X")),V16*1.5,0)</f>
        <v>0</v>
      </c>
      <c r="EM16" s="674">
        <f>IF(AND(AND(Stamoplysninger!$B$26="Weekendtimer og weekendtillæg afspadseres.",I16="X",C16="ikke relevant")),K16*1.5,0)</f>
        <v>0</v>
      </c>
      <c r="EN16" s="675">
        <f>IF(AND(AND(AND(Stamoplysninger!$B$26="Weekendtimer og weekendtillæg afspadseres.",I16="X",C16="ikke relevant",S16="X"))),(V16*1.5),0)</f>
        <v>0</v>
      </c>
      <c r="EO16" s="283">
        <f>IF(AND(Stamoplysninger!$B$26="Weekendtimer og weekendtillæg udbetales.",I16="X"),K16*1.5,0)</f>
        <v>0</v>
      </c>
      <c r="EP16" s="251">
        <f>IF(AND(AND(Stamoplysninger!$B$26="Weekendtimer og weekendtillæg udbetales.",I16="X",S16="X")),V16*1.5,0)</f>
        <v>0</v>
      </c>
      <c r="EQ16" s="674">
        <f>IF(AND(AND(Stamoplysninger!$B$26="Weekendtimer og weekendtillæg udbetales.",I16="X",C16="ikke relevant")),K16*1.5,0)</f>
        <v>0</v>
      </c>
      <c r="ER16" s="675">
        <f>IF(AND(AND(AND(Stamoplysninger!$B$26="Weekendtimer og weekendtillæg udbetales.",I16="X",C16="ikke relevant",S16="X"))),(V16*1.5),0)</f>
        <v>0</v>
      </c>
      <c r="ES16" s="283">
        <f>IF(AND(Stamoplysninger!$B$26="Der er indgået lokalaftale omkring weekendtimer.(Kræver aftale med TR/FSL) Weekendtillæg afspadseres.",I16="X"),K16*0.5,0)</f>
        <v>0</v>
      </c>
      <c r="ET16" s="251">
        <f>IF(AND(AND(Stamoplysninger!$B$26="Der er indgået lokalaftale omkring weekendtimer.(Kræver aftale med TR/FSL) Weekendtillæg afspadseres.",I16="X",S16="X")),V16*0.5,0)</f>
        <v>0</v>
      </c>
      <c r="EU16" s="674">
        <f>IF(AND(AND(Stamoplysninger!$B$26="Der er indgået lokalaftale omkring weekendtimer.(Kræver aftale med TR/FSL) Weekendtillæg afspadseres.",I16="X",C16="ikke relevant")),K16*0.5,0)</f>
        <v>0</v>
      </c>
      <c r="EV16" s="675">
        <f>IF(AND(AND(AND(Stamoplysninger!$B$26="Der er indgået lokalaftale omkring weekendtimer.(Kræver aftale med TR/FSL) Weekendtillæg afspadseres.",I16="X",C16="ikke relevant",S16="X"))),(V16*0.5),0)</f>
        <v>0</v>
      </c>
      <c r="EW16" s="283">
        <f>IF(AND(Stamoplysninger!$B$26="Der er indgået lokalaftale omkring weekendtimer(Kræver aftale med TR/FSL). Weekendtillæg udbetales.",I16="X"),K16*0.5,0)</f>
        <v>0</v>
      </c>
      <c r="EX16" s="251">
        <f>IF(AND(AND(Stamoplysninger!$B$26="Der er indgået lokalaftale omkring weekendtimer(Kræver aftale med TR/FSL). Weekendtillæg udbetales.",I16="X",S16="X")),V16*0.5,0)</f>
        <v>0</v>
      </c>
      <c r="EY16" s="674">
        <f>IF(AND(AND(Stamoplysninger!$B$26="Der er indgået lokalaftale omkring weekendtimer(Kræver aftale med TR/FSL). Weekendtillæg udbetales.",I16="X",C16="ikke relevant")),K16*0.5,0)</f>
        <v>0</v>
      </c>
      <c r="EZ16" s="675">
        <f>IF(AND(AND(AND(Stamoplysninger!$B$26="Der er indgået lokalaftale omkring weekendtimer(Kræver aftale med TR/FSL). Weekendtillæg udbetales.",I16="X",C16="ikke relevant",S16="X"))),(V16*0.5),0)</f>
        <v>0</v>
      </c>
      <c r="FA16" s="283">
        <f>IF(AND(Stamoplysninger!$B$26="Der er indgået lokalaftale omkring weekendtillæg(Kræver aftale med TR/FSL). Weekendtimerne afspadseres.",I16="X"),K16,0)</f>
        <v>0</v>
      </c>
      <c r="FB16" s="251">
        <f>IF(AND(AND(Stamoplysninger!$B$26="Der er indgået lokalaftale omkring weekendtillæg(Kræver aftale med TR/FSL). Weekendtimerne afspadseres.",I16="X",S16="X")),V16,0)</f>
        <v>0</v>
      </c>
      <c r="FC16" s="674">
        <f>IF(AND(AND(Stamoplysninger!$B$26="Der er indgået lokalaftale omkring weekendtillæg(Kræver aftale med TR/FSL). Weekendtimerne afspadseres..",I16="X",C16="ikke relevant")),K16,0)</f>
        <v>0</v>
      </c>
      <c r="FD16" s="675">
        <f>IF(AND(AND(AND(Stamoplysninger!$B$26="Der er indgået lokalaftale omkring weekendtillæg(Kræver aftale med TR/FSL). Weekendtimerne afspadseres.",I16="X",C16="ikke relevant",S16="X"))),(V16),0)</f>
        <v>0</v>
      </c>
      <c r="FE16" s="283">
        <f>IF(AND(Stamoplysninger!$B$26="Der er indgået lokalaftale omkring weekendtillæg(Kræver aftale med TR/FSL). Weekendtimerne udbetales.",I16="X"),K16,0)</f>
        <v>0</v>
      </c>
      <c r="FF16" s="251">
        <f>IF(AND(AND(Stamoplysninger!$B$26="Der er indgået lokalaftale omkring weekendtillæg(Kræver aftale med TR/FSL). Weekendtimerne udbetales.",I16="X",S16="X")),V16,0)</f>
        <v>0</v>
      </c>
      <c r="FG16" s="674">
        <f>IF(AND(AND(Stamoplysninger!$B$26="Der er indgået lokalaftale omkring weekendtillæg(Kræver aftale med TR/FSL). Weekendtimerne udbetales.",I16="X",C16="ikke relevant")),K16,0)</f>
        <v>0</v>
      </c>
      <c r="FH16" s="675">
        <f>IF(AND(AND(AND(Stamoplysninger!$B$26="Der er indgået lokalaftale omkring weekendtillæg(Kræver aftale med TR/FSL). Weekendtimerne udbetales.",I16="X",C16="ikke relevant",S16="X"))),(V16),0)</f>
        <v>0</v>
      </c>
      <c r="FI16" s="283">
        <f>IF(AND(Stamoplysninger!$B$26="Weekendtimer og weekendtillæg afspadseres.",I16="X"),K16,0)</f>
        <v>0</v>
      </c>
      <c r="FJ16" s="251">
        <f>IF(AND(Stamoplysninger!$B$26="Weekendtimer og weekendtillæg afspadseres.",Y16="X"),(AA16+AL16)/2,0)</f>
        <v>0</v>
      </c>
      <c r="FK16" s="674">
        <f>IF(AND(AND(Stamoplysninger!$B$26="Weekendtimer og weekendtillæg afspadseres.",I16="X",C16="ikke relevant")),K16,0)</f>
        <v>0</v>
      </c>
      <c r="FL16" s="675">
        <f>IF(AND(AND(Stamoplysninger!$B$26="Weekendtimer og weekendtillæg afspadseres.",Y16="X",S16="ikke relevant")),(AA16+AL16)/2,0)</f>
        <v>0</v>
      </c>
      <c r="FM16" s="283">
        <f>IF(AND(Stamoplysninger!$B$26="Der er indgået lokalaftale omkring weekendtillæg(Kræver aftale med TR/FSL). Weekendtimerne afspadseres.",I16="X"),K16,0)</f>
        <v>0</v>
      </c>
      <c r="FN16" s="674">
        <f>IF(AND(AND(Stamoplysninger!$B$26="Der er indgået lokalaftale omkring weekendtillæg(Kræver aftale med TR/FSL). Weekendtimerne afspadseres.",I16="X",C16="ikke relevant")),K16,0)</f>
        <v>0</v>
      </c>
      <c r="FO16" s="283">
        <f>IF(AND(Stamoplysninger!$B$26="Weekendtimer og weekendtillæg udbetales.",I16="X"),K16,0)</f>
        <v>0</v>
      </c>
      <c r="FP16" s="251">
        <f>IF(AND(Stamoplysninger!$B$26="Weekendtimer og weekendtillæg udbetales.",AA16="X"),(AC16+AN16)/2,0)</f>
        <v>0</v>
      </c>
      <c r="FQ16" s="674">
        <f>IF(AND(AND(Stamoplysninger!$B$26="Weekendtimer og weekendtillæg udbetales.",I16="X",C16="ikke relevant")),K16,0)</f>
        <v>0</v>
      </c>
      <c r="FR16" s="688">
        <f>IF(AND(AND(Stamoplysninger!$B$26="Weekendtimer og weekendtillæg udbetales.",AA16="X",U16="ikke relevant")),(AC16+AN16)/2,0)</f>
        <v>0</v>
      </c>
      <c r="FS16" s="283">
        <f t="shared" si="14"/>
        <v>0</v>
      </c>
      <c r="FT16" s="658">
        <f t="shared" si="15"/>
        <v>0</v>
      </c>
      <c r="FU16">
        <f t="shared" si="16"/>
        <v>0</v>
      </c>
      <c r="FV16" s="283">
        <f>IF(AND(Stamoplysninger!$B$26="Der er indgået lokalaftale omkring weekendtimer.(Kræver aftale med TR/FSL) Weekendtillæg afspadseres.",I16="X"),K16,0)</f>
        <v>0</v>
      </c>
      <c r="FW16" s="674">
        <f>IF(AND(AND(Stamoplysninger!$B$26="Der er indgået lokalaftale omkring weekendtimer.(Kræver aftale med TR/FSL) Weekendtillæg afspadseres.",I16="X",C16="ikke relevant")),K16,0)</f>
        <v>0</v>
      </c>
      <c r="FX16" s="283">
        <f>IF(AND(Stamoplysninger!$B$26="Der er indgået lokalaftale omkring weekendtimer(Kræver aftale med TR/FSL). Weekendtillæg udbetales.",I16="X"),K16,0)</f>
        <v>0</v>
      </c>
      <c r="FY16" s="674">
        <f>IF(AND(AND(Stamoplysninger!$B$26="Der er indgået lokalaftale omkring weekendtimer(Kræver aftale med TR/FSL). Weekendtillæg udbetales.",I16="X",C16="ikke relevant")),K16,0)</f>
        <v>0</v>
      </c>
      <c r="FZ16" s="283">
        <f>IF(AND(Stamoplysninger!$B$26="Der er indgået lokalaftale omkring weekendtillæg(Kræver aftale med TR/FSL). Weekendtimerne udbetales.",I16="X"),K16,0)</f>
        <v>0</v>
      </c>
      <c r="GA16" s="674">
        <f>IF(AND(AND(Stamoplysninger!$B$26="Der er indgået lokalaftale omkring weekendtillæg(Kræver aftale med TR/FSL). Weekendtimerne udbetales.",I16="X",C16="ikke relevant")),K16,0)</f>
        <v>0</v>
      </c>
      <c r="GB16" s="283">
        <f>IF(AND(Stamoplysninger!$B$26="Der er indgået lokalaftale omkring weekendtimer og weekendtillæg.(Kræver aftale med TR/FSL).",I16="X"),K16,0)</f>
        <v>0</v>
      </c>
      <c r="GC16" s="674">
        <f>IF(AND(AND(Stamoplysninger!$B$26="Der er indgået lokalaftale omkring weekendtimer og weekendtillæg.(Kræver aftale med TR/FSL).",I16="X",C16="ikke relevant")),K16,0)</f>
        <v>0</v>
      </c>
    </row>
    <row r="17" spans="1:185">
      <c r="A17" s="245">
        <f t="shared" si="17"/>
        <v>9</v>
      </c>
      <c r="B17" s="128" t="str">
        <f t="shared" si="0"/>
        <v>on</v>
      </c>
      <c r="C17" s="129" t="s">
        <v>207</v>
      </c>
      <c r="D17" s="130" t="str">
        <f t="shared" si="1"/>
        <v/>
      </c>
      <c r="E17" s="917"/>
      <c r="F17" s="918"/>
      <c r="G17" s="919"/>
      <c r="H17" s="298"/>
      <c r="I17" s="527"/>
      <c r="J17" s="413"/>
      <c r="K17" s="380"/>
      <c r="L17" s="380"/>
      <c r="M17" s="380"/>
      <c r="N17" s="318">
        <f t="shared" si="18"/>
        <v>7.75</v>
      </c>
      <c r="O17" s="318">
        <f t="shared" si="19"/>
        <v>4.25</v>
      </c>
      <c r="P17" s="318">
        <f>IF(Stamoplysninger!$H$29="JA",April!DG17,CX17)</f>
        <v>1</v>
      </c>
      <c r="Q17" s="318">
        <f t="shared" si="20"/>
        <v>2.5</v>
      </c>
      <c r="R17" s="319"/>
      <c r="S17" s="324"/>
      <c r="T17" s="325"/>
      <c r="U17" s="325"/>
      <c r="V17" s="435"/>
      <c r="W17" s="435"/>
      <c r="X17" s="644"/>
      <c r="Y17">
        <f t="shared" si="21"/>
        <v>0</v>
      </c>
      <c r="Z17" s="437">
        <f t="shared" si="22"/>
        <v>0</v>
      </c>
      <c r="AA17" s="1">
        <f t="shared" si="2"/>
        <v>0</v>
      </c>
      <c r="AB17" s="1">
        <f t="shared" si="3"/>
        <v>0</v>
      </c>
      <c r="AC17" s="1">
        <f t="shared" si="4"/>
        <v>0</v>
      </c>
      <c r="AD17" s="1">
        <f t="shared" si="5"/>
        <v>0</v>
      </c>
      <c r="AE17" s="1">
        <f t="shared" si="6"/>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f>IF(AND(C17="Skema 2",B17="on"),Arbejdstidsoversigt!$E$83,"")</f>
        <v>7.75</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7.75</v>
      </c>
      <c r="BB17" s="229">
        <f t="shared" si="7"/>
        <v>0</v>
      </c>
      <c r="BC17" s="1">
        <f t="shared" si="24"/>
        <v>0</v>
      </c>
      <c r="BD17" s="1">
        <f t="shared" si="8"/>
        <v>0</v>
      </c>
      <c r="BE17" s="1">
        <f t="shared" si="9"/>
        <v>0</v>
      </c>
      <c r="BF17" s="1">
        <f t="shared" si="10"/>
        <v>0</v>
      </c>
      <c r="BG17" s="210" t="str">
        <f>IF(AND(C17="Skema 1",B17="ma"),Skemaoplysninger!$E$30,"")</f>
        <v/>
      </c>
      <c r="BH17" s="210" t="str">
        <f>IF(AND(C17="Skema 1",B17="ti"),Skemaoplysninger!$G$30,"")</f>
        <v/>
      </c>
      <c r="BI17" s="210" t="str">
        <f>IF(AND(C17="Skema 1",B17="on"),Skemaoplysninger!$I$30,"")</f>
        <v/>
      </c>
      <c r="BJ17" s="210" t="str">
        <f>IF(AND(C17="Skema 1",B17="to"),Skemaoplysninger!$K$30,"")</f>
        <v/>
      </c>
      <c r="BK17" s="210" t="str">
        <f>IF(AND(C17="Skema 1",B17="fr"),Skemaoplysninger!$M$30,"")</f>
        <v/>
      </c>
      <c r="BL17" s="210" t="str">
        <f>IF(AND(C17="Skema 2",B17="ma"),Skemaoplysninger!$S$30,"")</f>
        <v/>
      </c>
      <c r="BM17" s="210" t="str">
        <f>IF(AND(C17="Skema 2",B17="ti"),Skemaoplysninger!$U$30,"")</f>
        <v/>
      </c>
      <c r="BN17" s="210">
        <f>IF(AND(C17="Skema 2",B17="on"),Skemaoplysninger!$W$30,"")</f>
        <v>0.17708333333333331</v>
      </c>
      <c r="BO17" s="210" t="str">
        <f>IF(AND(C17="Skema 2",B17="to"),Skemaoplysninger!$Y$30,"")</f>
        <v/>
      </c>
      <c r="BP17" s="210" t="str">
        <f>IF(AND(C17="Skema 2",B17="fr"),Skemaoplysninger!$AA$30,"")</f>
        <v/>
      </c>
      <c r="BQ17" s="210" t="str">
        <f>IF(AND(C17="Skema 3",B17="ma"),Skemaoplysninger!$AG$30,"")</f>
        <v/>
      </c>
      <c r="BR17" s="210" t="str">
        <f>IF(AND(C17="Skema 3",B17="ti"),Skemaoplysninger!$AI$30,"")</f>
        <v/>
      </c>
      <c r="BS17" s="210" t="str">
        <f>IF(AND(C17="Skema 3",B17="on"),Skemaoplysninger!$AK$30,"")</f>
        <v/>
      </c>
      <c r="BT17" s="210" t="str">
        <f>IF(AND(C17="Skema 3",B17="to"),Skemaoplysninger!$AM$30,"")</f>
        <v/>
      </c>
      <c r="BU17" s="210" t="str">
        <f>IF(AND(C17="Skema 3",B17="fr"),Skemaoplysninger!$AO$30,"")</f>
        <v/>
      </c>
      <c r="BV17" s="210" t="str">
        <f>IF(AND(C17="Skema 4",B17="ma"),Skemaoplysninger!$AU$30,"")</f>
        <v/>
      </c>
      <c r="BW17" s="210" t="str">
        <f>IF(AND(C17="Skema 4",B17="ti"),Skemaoplysninger!$AW$30,"")</f>
        <v/>
      </c>
      <c r="BX17" s="210" t="str">
        <f>IF(AND(C17="Skema 4",B17="on"),Skemaoplysninger!$AY$30,"")</f>
        <v/>
      </c>
      <c r="BY17" s="210" t="str">
        <f>IF(AND(C17="Skema 4",B17="to"),Skemaoplysninger!$BA$30,"")</f>
        <v/>
      </c>
      <c r="BZ17" s="210" t="str">
        <f>IF(AND(C17="Skema 4",B17="fr"),Skemaoplysninger!$BC$30,"")</f>
        <v/>
      </c>
      <c r="CA17" s="1">
        <f t="shared" si="25"/>
        <v>4.25</v>
      </c>
      <c r="CB17" s="1">
        <f t="shared" si="11"/>
        <v>0</v>
      </c>
      <c r="CC17" s="1">
        <f t="shared" si="12"/>
        <v>0</v>
      </c>
      <c r="CD17" s="210" t="str">
        <f>IF(AND(C17="Skema 1",B17="ma"),Skemaoplysninger!$E$31,"")</f>
        <v/>
      </c>
      <c r="CE17" s="210" t="str">
        <f>IF(AND(C17="Skema 1",B17="ti"),Skemaoplysninger!$G$31,"")</f>
        <v/>
      </c>
      <c r="CF17" s="210" t="str">
        <f>IF(AND(C17="Skema 1",B17="on"),Skemaoplysninger!$I$31,"")</f>
        <v/>
      </c>
      <c r="CG17" s="210" t="str">
        <f>IF(AND(C17="Skema 1",B17="to"),Skemaoplysninger!$K$31,"")</f>
        <v/>
      </c>
      <c r="CH17" s="210" t="str">
        <f>IF(AND(C17="Skema 1",B17="fr"),Skemaoplysninger!$M$31,"")</f>
        <v/>
      </c>
      <c r="CI17" s="210" t="str">
        <f>IF(AND(C17="Skema 2",B17="ma"),Skemaoplysninger!$S$31,"")</f>
        <v/>
      </c>
      <c r="CJ17" s="210" t="str">
        <f>IF(AND(C17="Skema 2",B17="ti"),Skemaoplysninger!$U$31,"")</f>
        <v/>
      </c>
      <c r="CK17" s="210">
        <f>IF(AND(C17="Skema 2",B17="on"),Skemaoplysninger!$W$31,"")</f>
        <v>4.1666666666666664E-2</v>
      </c>
      <c r="CL17" s="210" t="str">
        <f>IF(AND(C17="Skema 2",B17="to"),Skemaoplysninger!$Y$31,"")</f>
        <v/>
      </c>
      <c r="CM17" s="210" t="str">
        <f>IF(AND(C17="Skema 2",B17="fr"),Skemaoplysninger!$AA$31,"")</f>
        <v/>
      </c>
      <c r="CN17" s="210" t="str">
        <f>IF(AND(C17="Skema 3",B17="ma"),Skemaoplysninger!$AG$31,"")</f>
        <v/>
      </c>
      <c r="CO17" s="210" t="str">
        <f>IF(AND(C17="Skema 3",B17="ti"),Skemaoplysninger!$AI$31,"")</f>
        <v/>
      </c>
      <c r="CP17" s="210" t="str">
        <f>IF(AND(C17="Skema 3",B17="on"),Skemaoplysninger!$AK$31,"")</f>
        <v/>
      </c>
      <c r="CQ17" s="210" t="str">
        <f>IF(AND(C17="Skema 3",B17="to"),Skemaoplysninger!$AM$31,"")</f>
        <v/>
      </c>
      <c r="CR17" s="210" t="str">
        <f>IF(AND(C17="Skema 3",B17="fr"),Skemaoplysninger!$AO$31,"")</f>
        <v/>
      </c>
      <c r="CS17" s="210" t="str">
        <f>IF(AND(C17="Skema 4",B17="ma"),Skemaoplysninger!$AU$31,"")</f>
        <v/>
      </c>
      <c r="CT17" s="210" t="str">
        <f>IF(AND(C17="Skema 4",B17="ti"),Skemaoplysninger!$AW$31,"")</f>
        <v/>
      </c>
      <c r="CU17" s="210" t="str">
        <f>IF(AND(C17="Skema 4",B17="on"),Skemaoplysninger!$AY$31,"")</f>
        <v/>
      </c>
      <c r="CV17" s="210" t="str">
        <f>IF(AND(C17="Skema 4",B17="to"),Skemaoplysninger!$BA$31,"")</f>
        <v/>
      </c>
      <c r="CW17" s="210" t="str">
        <f>IF(AND(C17="Skema 4",B17="fr"),Skemaoplysninger!$BC$31,"")</f>
        <v/>
      </c>
      <c r="CX17" s="249">
        <f>IF(Stamoplysninger!$H$29="NEJ",SUM(CD17:CW17)*24+CB17+CC17,0)</f>
        <v>1</v>
      </c>
      <c r="CY17" s="249">
        <f>IF(C17="Skema 1",Stamoplysninger!$H$30/200,0)</f>
        <v>0</v>
      </c>
      <c r="CZ17" s="249">
        <f>IF(C17="Skema 2",Stamoplysninger!$H$30/200,0)</f>
        <v>0</v>
      </c>
      <c r="DA17" s="249">
        <f>IF(C17="Skema 3",Stamoplysninger!$H$30/200,0)</f>
        <v>0</v>
      </c>
      <c r="DB17" s="249">
        <f>IF(C17="Skema 4",Stamoplysninger!$H$30/200,0)</f>
        <v>0</v>
      </c>
      <c r="DC17" s="249">
        <f>IF(C17="fagdag",Stamoplysninger!$H$30/200,0)</f>
        <v>0</v>
      </c>
      <c r="DD17" s="249">
        <f>IF(C17="emnedag",Stamoplysninger!$H$30/200,0)</f>
        <v>0</v>
      </c>
      <c r="DE17" s="249">
        <f>IF(C17="lejrskole",Stamoplysninger!$H$30/200,0)</f>
        <v>0</v>
      </c>
      <c r="DF17" s="249">
        <f>IF(C17="ekskursion",Stamoplysninger!$H$30/200,0)</f>
        <v>0</v>
      </c>
      <c r="DG17" s="249">
        <f t="shared" si="26"/>
        <v>0</v>
      </c>
      <c r="DH17" t="str">
        <f t="shared" si="27"/>
        <v/>
      </c>
      <c r="DI17">
        <f t="shared" si="28"/>
        <v>0</v>
      </c>
      <c r="DJ17">
        <f t="shared" si="29"/>
        <v>0</v>
      </c>
      <c r="DK17" t="str">
        <f t="shared" si="13"/>
        <v/>
      </c>
      <c r="DL17" t="str">
        <f t="shared" si="13"/>
        <v/>
      </c>
      <c r="DM17" t="str">
        <f t="shared" si="13"/>
        <v/>
      </c>
      <c r="DN17" t="str">
        <f t="shared" si="30"/>
        <v/>
      </c>
      <c r="DO17" s="652">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71">
        <f>IF(AND(Stamoplysninger!$B$22="Ulempetillæg udbetales med 25% af nettotimelønnen.",C17="ikke relevant"),(R17)/4,0)</f>
        <v>0</v>
      </c>
      <c r="DT17" s="671">
        <f>IF(AND(AND(Stamoplysninger!$B$22="Ulempetillæg udbetales med 25% af nettotimelønnen.",I17="X",C17="Ikke relevant")),K17/4,0)</f>
        <v>0</v>
      </c>
      <c r="DU17" s="671">
        <f>IF(AND(AND(Stamoplysninger!$B$22="Ulempetillæg udbetales med 25% af nettotimelønnen.",C17="ikke relevant",U17="X")),(X17/4),0)</f>
        <v>0</v>
      </c>
      <c r="DV17" s="672">
        <f>IF(AND(AND(AND(Stamoplysninger!$B$22="Ulempetillæg udbetales med 25% af nettotimelønnen.",I17="X",C17="Ikke relevant",S17="X"))),V17/4,0)</f>
        <v>0</v>
      </c>
      <c r="DW17" s="652"/>
      <c r="DZ17" s="671"/>
      <c r="EA17" s="671"/>
      <c r="EB17" s="672"/>
      <c r="EC17" s="652">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71">
        <f>IF(AND(Stamoplysninger!$B$22="Ulempetillæg afspadseres med 25%(Kræver en aftale imellem ledelsen og den ansatte)",C17="ikke relevant"),(R17)/4,0)</f>
        <v>0</v>
      </c>
      <c r="EH17" s="671">
        <f>IF(AND(AND(Stamoplysninger!$B$22="Ulempetillæg afspadseres med 25%(Kræver en aftale imellem ledelsen og den ansatte)",I17="X",C17="Ikke relevant")),K17/4,0)</f>
        <v>0</v>
      </c>
      <c r="EI17" s="671">
        <f>IF(AND(AND(Stamoplysninger!$B$22="Ulempetillæg afspadseres med 25%(Kræver en aftale imellem ledelsen og den ansatte)",U17="X",C17="Ikke relevant")),X17/4,0)</f>
        <v>0</v>
      </c>
      <c r="EJ17" s="671">
        <f>IF(AND(AND(AND(Stamoplysninger!$B$22="Ulempetillæg afspadseres med 25%(Kræver en aftale imellem ledelsen og den ansatte)",I17="X",C17="Ikke relevant",S17="X"))),V17/4,0)</f>
        <v>0</v>
      </c>
      <c r="EK17" s="283">
        <f>IF(AND(Stamoplysninger!$B$26="Weekendtimer og weekendtillæg afspadseres.",I17="X"),K17*1.5,0)</f>
        <v>0</v>
      </c>
      <c r="EL17" s="251">
        <f>IF(AND(AND(Stamoplysninger!$B$26="Weekendtimer og weekendtillæg afspadseres.",I17="X",S17="X")),V17*1.5,0)</f>
        <v>0</v>
      </c>
      <c r="EM17" s="674">
        <f>IF(AND(AND(Stamoplysninger!$B$26="Weekendtimer og weekendtillæg afspadseres.",I17="X",C17="ikke relevant")),K17*1.5,0)</f>
        <v>0</v>
      </c>
      <c r="EN17" s="675">
        <f>IF(AND(AND(AND(Stamoplysninger!$B$26="Weekendtimer og weekendtillæg afspadseres.",I17="X",C17="ikke relevant",S17="X"))),(V17*1.5),0)</f>
        <v>0</v>
      </c>
      <c r="EO17" s="283">
        <f>IF(AND(Stamoplysninger!$B$26="Weekendtimer og weekendtillæg udbetales.",I17="X"),K17*1.5,0)</f>
        <v>0</v>
      </c>
      <c r="EP17" s="251">
        <f>IF(AND(AND(Stamoplysninger!$B$26="Weekendtimer og weekendtillæg udbetales.",I17="X",S17="X")),V17*1.5,0)</f>
        <v>0</v>
      </c>
      <c r="EQ17" s="674">
        <f>IF(AND(AND(Stamoplysninger!$B$26="Weekendtimer og weekendtillæg udbetales.",I17="X",C17="ikke relevant")),K17*1.5,0)</f>
        <v>0</v>
      </c>
      <c r="ER17" s="675">
        <f>IF(AND(AND(AND(Stamoplysninger!$B$26="Weekendtimer og weekendtillæg udbetales.",I17="X",C17="ikke relevant",S17="X"))),(V17*1.5),0)</f>
        <v>0</v>
      </c>
      <c r="ES17" s="283">
        <f>IF(AND(Stamoplysninger!$B$26="Der er indgået lokalaftale omkring weekendtimer.(Kræver aftale med TR/FSL) Weekendtillæg afspadseres.",I17="X"),K17*0.5,0)</f>
        <v>0</v>
      </c>
      <c r="ET17" s="251">
        <f>IF(AND(AND(Stamoplysninger!$B$26="Der er indgået lokalaftale omkring weekendtimer.(Kræver aftale med TR/FSL) Weekendtillæg afspadseres.",I17="X",S17="X")),V17*0.5,0)</f>
        <v>0</v>
      </c>
      <c r="EU17" s="674">
        <f>IF(AND(AND(Stamoplysninger!$B$26="Der er indgået lokalaftale omkring weekendtimer.(Kræver aftale med TR/FSL) Weekendtillæg afspadseres.",I17="X",C17="ikke relevant")),K17*0.5,0)</f>
        <v>0</v>
      </c>
      <c r="EV17" s="675">
        <f>IF(AND(AND(AND(Stamoplysninger!$B$26="Der er indgået lokalaftale omkring weekendtimer.(Kræver aftale med TR/FSL) Weekendtillæg afspadseres.",I17="X",C17="ikke relevant",S17="X"))),(V17*0.5),0)</f>
        <v>0</v>
      </c>
      <c r="EW17" s="283">
        <f>IF(AND(Stamoplysninger!$B$26="Der er indgået lokalaftale omkring weekendtimer(Kræver aftale med TR/FSL). Weekendtillæg udbetales.",I17="X"),K17*0.5,0)</f>
        <v>0</v>
      </c>
      <c r="EX17" s="251">
        <f>IF(AND(AND(Stamoplysninger!$B$26="Der er indgået lokalaftale omkring weekendtimer(Kræver aftale med TR/FSL). Weekendtillæg udbetales.",I17="X",S17="X")),V17*0.5,0)</f>
        <v>0</v>
      </c>
      <c r="EY17" s="674">
        <f>IF(AND(AND(Stamoplysninger!$B$26="Der er indgået lokalaftale omkring weekendtimer(Kræver aftale med TR/FSL). Weekendtillæg udbetales.",I17="X",C17="ikke relevant")),K17*0.5,0)</f>
        <v>0</v>
      </c>
      <c r="EZ17" s="675">
        <f>IF(AND(AND(AND(Stamoplysninger!$B$26="Der er indgået lokalaftale omkring weekendtimer(Kræver aftale med TR/FSL). Weekendtillæg udbetales.",I17="X",C17="ikke relevant",S17="X"))),(V17*0.5),0)</f>
        <v>0</v>
      </c>
      <c r="FA17" s="283">
        <f>IF(AND(Stamoplysninger!$B$26="Der er indgået lokalaftale omkring weekendtillæg(Kræver aftale med TR/FSL). Weekendtimerne afspadseres.",I17="X"),K17,0)</f>
        <v>0</v>
      </c>
      <c r="FB17" s="251">
        <f>IF(AND(AND(Stamoplysninger!$B$26="Der er indgået lokalaftale omkring weekendtillæg(Kræver aftale med TR/FSL). Weekendtimerne afspadseres.",I17="X",S17="X")),V17,0)</f>
        <v>0</v>
      </c>
      <c r="FC17" s="674">
        <f>IF(AND(AND(Stamoplysninger!$B$26="Der er indgået lokalaftale omkring weekendtillæg(Kræver aftale med TR/FSL). Weekendtimerne afspadseres..",I17="X",C17="ikke relevant")),K17,0)</f>
        <v>0</v>
      </c>
      <c r="FD17" s="675">
        <f>IF(AND(AND(AND(Stamoplysninger!$B$26="Der er indgået lokalaftale omkring weekendtillæg(Kræver aftale med TR/FSL). Weekendtimerne afspadseres.",I17="X",C17="ikke relevant",S17="X"))),(V17),0)</f>
        <v>0</v>
      </c>
      <c r="FE17" s="283">
        <f>IF(AND(Stamoplysninger!$B$26="Der er indgået lokalaftale omkring weekendtillæg(Kræver aftale med TR/FSL). Weekendtimerne udbetales.",I17="X"),K17,0)</f>
        <v>0</v>
      </c>
      <c r="FF17" s="251">
        <f>IF(AND(AND(Stamoplysninger!$B$26="Der er indgået lokalaftale omkring weekendtillæg(Kræver aftale med TR/FSL). Weekendtimerne udbetales.",I17="X",S17="X")),V17,0)</f>
        <v>0</v>
      </c>
      <c r="FG17" s="674">
        <f>IF(AND(AND(Stamoplysninger!$B$26="Der er indgået lokalaftale omkring weekendtillæg(Kræver aftale med TR/FSL). Weekendtimerne udbetales.",I17="X",C17="ikke relevant")),K17,0)</f>
        <v>0</v>
      </c>
      <c r="FH17" s="675">
        <f>IF(AND(AND(AND(Stamoplysninger!$B$26="Der er indgået lokalaftale omkring weekendtillæg(Kræver aftale med TR/FSL). Weekendtimerne udbetales.",I17="X",C17="ikke relevant",S17="X"))),(V17),0)</f>
        <v>0</v>
      </c>
      <c r="FI17" s="283">
        <f>IF(AND(Stamoplysninger!$B$26="Weekendtimer og weekendtillæg afspadseres.",I17="X"),K17,0)</f>
        <v>0</v>
      </c>
      <c r="FJ17" s="251">
        <f>IF(AND(Stamoplysninger!$B$26="Weekendtimer og weekendtillæg afspadseres.",Y17="X"),(AA17+AL17)/2,0)</f>
        <v>0</v>
      </c>
      <c r="FK17" s="674">
        <f>IF(AND(AND(Stamoplysninger!$B$26="Weekendtimer og weekendtillæg afspadseres.",I17="X",C17="ikke relevant")),K17,0)</f>
        <v>0</v>
      </c>
      <c r="FL17" s="675">
        <f>IF(AND(AND(Stamoplysninger!$B$26="Weekendtimer og weekendtillæg afspadseres.",Y17="X",S17="ikke relevant")),(AA17+AL17)/2,0)</f>
        <v>0</v>
      </c>
      <c r="FM17" s="283">
        <f>IF(AND(Stamoplysninger!$B$26="Der er indgået lokalaftale omkring weekendtillæg(Kræver aftale med TR/FSL). Weekendtimerne afspadseres.",I17="X"),K17,0)</f>
        <v>0</v>
      </c>
      <c r="FN17" s="674">
        <f>IF(AND(AND(Stamoplysninger!$B$26="Der er indgået lokalaftale omkring weekendtillæg(Kræver aftale med TR/FSL). Weekendtimerne afspadseres.",I17="X",C17="ikke relevant")),K17,0)</f>
        <v>0</v>
      </c>
      <c r="FO17" s="283">
        <f>IF(AND(Stamoplysninger!$B$26="Weekendtimer og weekendtillæg udbetales.",I17="X"),K17,0)</f>
        <v>0</v>
      </c>
      <c r="FP17" s="251">
        <f>IF(AND(Stamoplysninger!$B$26="Weekendtimer og weekendtillæg udbetales.",AA17="X"),(AC17+AN17)/2,0)</f>
        <v>0</v>
      </c>
      <c r="FQ17" s="674">
        <f>IF(AND(AND(Stamoplysninger!$B$26="Weekendtimer og weekendtillæg udbetales.",I17="X",C17="ikke relevant")),K17,0)</f>
        <v>0</v>
      </c>
      <c r="FR17" s="688">
        <f>IF(AND(AND(Stamoplysninger!$B$26="Weekendtimer og weekendtillæg udbetales.",AA17="X",U17="ikke relevant")),(AC17+AN17)/2,0)</f>
        <v>0</v>
      </c>
      <c r="FS17" s="283">
        <f t="shared" si="14"/>
        <v>0</v>
      </c>
      <c r="FT17" s="658">
        <f t="shared" si="15"/>
        <v>0</v>
      </c>
      <c r="FU17">
        <f t="shared" si="16"/>
        <v>0</v>
      </c>
      <c r="FV17" s="283">
        <f>IF(AND(Stamoplysninger!$B$26="Der er indgået lokalaftale omkring weekendtimer.(Kræver aftale med TR/FSL) Weekendtillæg afspadseres.",I17="X"),K17,0)</f>
        <v>0</v>
      </c>
      <c r="FW17" s="674">
        <f>IF(AND(AND(Stamoplysninger!$B$26="Der er indgået lokalaftale omkring weekendtimer.(Kræver aftale med TR/FSL) Weekendtillæg afspadseres.",I17="X",C17="ikke relevant")),K17,0)</f>
        <v>0</v>
      </c>
      <c r="FX17" s="283">
        <f>IF(AND(Stamoplysninger!$B$26="Der er indgået lokalaftale omkring weekendtimer(Kræver aftale med TR/FSL). Weekendtillæg udbetales.",I17="X"),K17,0)</f>
        <v>0</v>
      </c>
      <c r="FY17" s="674">
        <f>IF(AND(AND(Stamoplysninger!$B$26="Der er indgået lokalaftale omkring weekendtimer(Kræver aftale med TR/FSL). Weekendtillæg udbetales.",I17="X",C17="ikke relevant")),K17,0)</f>
        <v>0</v>
      </c>
      <c r="FZ17" s="283">
        <f>IF(AND(Stamoplysninger!$B$26="Der er indgået lokalaftale omkring weekendtillæg(Kræver aftale med TR/FSL). Weekendtimerne udbetales.",I17="X"),K17,0)</f>
        <v>0</v>
      </c>
      <c r="GA17" s="674">
        <f>IF(AND(AND(Stamoplysninger!$B$26="Der er indgået lokalaftale omkring weekendtillæg(Kræver aftale med TR/FSL). Weekendtimerne udbetales.",I17="X",C17="ikke relevant")),K17,0)</f>
        <v>0</v>
      </c>
      <c r="GB17" s="283">
        <f>IF(AND(Stamoplysninger!$B$26="Der er indgået lokalaftale omkring weekendtimer og weekendtillæg.(Kræver aftale med TR/FSL).",I17="X"),K17,0)</f>
        <v>0</v>
      </c>
      <c r="GC17" s="674">
        <f>IF(AND(AND(Stamoplysninger!$B$26="Der er indgået lokalaftale omkring weekendtimer og weekendtillæg.(Kræver aftale med TR/FSL).",I17="X",C17="ikke relevant")),K17,0)</f>
        <v>0</v>
      </c>
    </row>
    <row r="18" spans="1:185">
      <c r="A18" s="245">
        <f t="shared" si="17"/>
        <v>10</v>
      </c>
      <c r="B18" s="128" t="str">
        <f t="shared" si="0"/>
        <v>to</v>
      </c>
      <c r="C18" s="129" t="s">
        <v>207</v>
      </c>
      <c r="D18" s="130" t="str">
        <f t="shared" si="1"/>
        <v/>
      </c>
      <c r="E18" s="917"/>
      <c r="F18" s="918"/>
      <c r="G18" s="919"/>
      <c r="H18" s="298"/>
      <c r="I18" s="527"/>
      <c r="J18" s="413"/>
      <c r="K18" s="380"/>
      <c r="L18" s="380"/>
      <c r="M18" s="380"/>
      <c r="N18" s="318">
        <f t="shared" si="18"/>
        <v>7.75</v>
      </c>
      <c r="O18" s="318">
        <f t="shared" si="19"/>
        <v>3</v>
      </c>
      <c r="P18" s="318">
        <f>IF(Stamoplysninger!$H$29="JA",April!DG18,CX18)</f>
        <v>0.83333333333333337</v>
      </c>
      <c r="Q18" s="318">
        <f t="shared" si="20"/>
        <v>3.9166666666666665</v>
      </c>
      <c r="R18" s="319"/>
      <c r="S18" s="324"/>
      <c r="T18" s="325"/>
      <c r="U18" s="325"/>
      <c r="V18" s="435"/>
      <c r="W18" s="435"/>
      <c r="X18" s="644"/>
      <c r="Y18">
        <f t="shared" si="21"/>
        <v>0</v>
      </c>
      <c r="Z18" s="437">
        <f t="shared" si="22"/>
        <v>0</v>
      </c>
      <c r="AA18" s="1">
        <f t="shared" si="2"/>
        <v>0</v>
      </c>
      <c r="AB18" s="1">
        <f t="shared" si="3"/>
        <v>0</v>
      </c>
      <c r="AC18" s="1">
        <f t="shared" si="4"/>
        <v>0</v>
      </c>
      <c r="AD18" s="1">
        <f t="shared" si="5"/>
        <v>0</v>
      </c>
      <c r="AE18" s="1">
        <f t="shared" si="6"/>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f>IF(AND(C18="Skema 2",B18="to"),Arbejdstidsoversigt!$E$84,"")</f>
        <v>7.75</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7.75</v>
      </c>
      <c r="BB18" s="229">
        <f t="shared" si="7"/>
        <v>0</v>
      </c>
      <c r="BC18" s="1">
        <f t="shared" si="24"/>
        <v>0</v>
      </c>
      <c r="BD18" s="1">
        <f t="shared" si="8"/>
        <v>0</v>
      </c>
      <c r="BE18" s="1">
        <f t="shared" si="9"/>
        <v>0</v>
      </c>
      <c r="BF18" s="1">
        <f t="shared" si="10"/>
        <v>0</v>
      </c>
      <c r="BG18" s="210" t="str">
        <f>IF(AND(C18="Skema 1",B18="ma"),Skemaoplysninger!$E$30,"")</f>
        <v/>
      </c>
      <c r="BH18" s="210" t="str">
        <f>IF(AND(C18="Skema 1",B18="ti"),Skemaoplysninger!$G$30,"")</f>
        <v/>
      </c>
      <c r="BI18" s="210" t="str">
        <f>IF(AND(C18="Skema 1",B18="on"),Skemaoplysninger!$I$30,"")</f>
        <v/>
      </c>
      <c r="BJ18" s="210" t="str">
        <f>IF(AND(C18="Skema 1",B18="to"),Skemaoplysninger!$K$30,"")</f>
        <v/>
      </c>
      <c r="BK18" s="210" t="str">
        <f>IF(AND(C18="Skema 1",B18="fr"),Skemaoplysninger!$M$30,"")</f>
        <v/>
      </c>
      <c r="BL18" s="210" t="str">
        <f>IF(AND(C18="Skema 2",B18="ma"),Skemaoplysninger!$S$30,"")</f>
        <v/>
      </c>
      <c r="BM18" s="210" t="str">
        <f>IF(AND(C18="Skema 2",B18="ti"),Skemaoplysninger!$U$30,"")</f>
        <v/>
      </c>
      <c r="BN18" s="210" t="str">
        <f>IF(AND(C18="Skema 2",B18="on"),Skemaoplysninger!$W$30,"")</f>
        <v/>
      </c>
      <c r="BO18" s="210">
        <f>IF(AND(C18="Skema 2",B18="to"),Skemaoplysninger!$Y$30,"")</f>
        <v>0.125</v>
      </c>
      <c r="BP18" s="210" t="str">
        <f>IF(AND(C18="Skema 2",B18="fr"),Skemaoplysninger!$AA$30,"")</f>
        <v/>
      </c>
      <c r="BQ18" s="210" t="str">
        <f>IF(AND(C18="Skema 3",B18="ma"),Skemaoplysninger!$AG$30,"")</f>
        <v/>
      </c>
      <c r="BR18" s="210" t="str">
        <f>IF(AND(C18="Skema 3",B18="ti"),Skemaoplysninger!$AI$30,"")</f>
        <v/>
      </c>
      <c r="BS18" s="210" t="str">
        <f>IF(AND(C18="Skema 3",B18="on"),Skemaoplysninger!$AK$30,"")</f>
        <v/>
      </c>
      <c r="BT18" s="210" t="str">
        <f>IF(AND(C18="Skema 3",B18="to"),Skemaoplysninger!$AM$30,"")</f>
        <v/>
      </c>
      <c r="BU18" s="210" t="str">
        <f>IF(AND(C18="Skema 3",B18="fr"),Skemaoplysninger!$AO$30,"")</f>
        <v/>
      </c>
      <c r="BV18" s="210" t="str">
        <f>IF(AND(C18="Skema 4",B18="ma"),Skemaoplysninger!$AU$30,"")</f>
        <v/>
      </c>
      <c r="BW18" s="210" t="str">
        <f>IF(AND(C18="Skema 4",B18="ti"),Skemaoplysninger!$AW$30,"")</f>
        <v/>
      </c>
      <c r="BX18" s="210" t="str">
        <f>IF(AND(C18="Skema 4",B18="on"),Skemaoplysninger!$AY$30,"")</f>
        <v/>
      </c>
      <c r="BY18" s="210" t="str">
        <f>IF(AND(C18="Skema 4",B18="to"),Skemaoplysninger!$BA$30,"")</f>
        <v/>
      </c>
      <c r="BZ18" s="210" t="str">
        <f>IF(AND(C18="Skema 4",B18="fr"),Skemaoplysninger!$BC$30,"")</f>
        <v/>
      </c>
      <c r="CA18" s="1">
        <f t="shared" si="25"/>
        <v>3</v>
      </c>
      <c r="CB18" s="1">
        <f t="shared" si="11"/>
        <v>0</v>
      </c>
      <c r="CC18" s="1">
        <f t="shared" si="12"/>
        <v>0</v>
      </c>
      <c r="CD18" s="210" t="str">
        <f>IF(AND(C18="Skema 1",B18="ma"),Skemaoplysninger!$E$31,"")</f>
        <v/>
      </c>
      <c r="CE18" s="210" t="str">
        <f>IF(AND(C18="Skema 1",B18="ti"),Skemaoplysninger!$G$31,"")</f>
        <v/>
      </c>
      <c r="CF18" s="210" t="str">
        <f>IF(AND(C18="Skema 1",B18="on"),Skemaoplysninger!$I$31,"")</f>
        <v/>
      </c>
      <c r="CG18" s="210" t="str">
        <f>IF(AND(C18="Skema 1",B18="to"),Skemaoplysninger!$K$31,"")</f>
        <v/>
      </c>
      <c r="CH18" s="210" t="str">
        <f>IF(AND(C18="Skema 1",B18="fr"),Skemaoplysninger!$M$31,"")</f>
        <v/>
      </c>
      <c r="CI18" s="210" t="str">
        <f>IF(AND(C18="Skema 2",B18="ma"),Skemaoplysninger!$S$31,"")</f>
        <v/>
      </c>
      <c r="CJ18" s="210" t="str">
        <f>IF(AND(C18="Skema 2",B18="ti"),Skemaoplysninger!$U$31,"")</f>
        <v/>
      </c>
      <c r="CK18" s="210" t="str">
        <f>IF(AND(C18="Skema 2",B18="on"),Skemaoplysninger!$W$31,"")</f>
        <v/>
      </c>
      <c r="CL18" s="210">
        <f>IF(AND(C18="Skema 2",B18="to"),Skemaoplysninger!$Y$31,"")</f>
        <v>3.4722222222222224E-2</v>
      </c>
      <c r="CM18" s="210" t="str">
        <f>IF(AND(C18="Skema 2",B18="fr"),Skemaoplysninger!$AA$31,"")</f>
        <v/>
      </c>
      <c r="CN18" s="210" t="str">
        <f>IF(AND(C18="Skema 3",B18="ma"),Skemaoplysninger!$AG$31,"")</f>
        <v/>
      </c>
      <c r="CO18" s="210" t="str">
        <f>IF(AND(C18="Skema 3",B18="ti"),Skemaoplysninger!$AI$31,"")</f>
        <v/>
      </c>
      <c r="CP18" s="210" t="str">
        <f>IF(AND(C18="Skema 3",B18="on"),Skemaoplysninger!$AK$31,"")</f>
        <v/>
      </c>
      <c r="CQ18" s="210" t="str">
        <f>IF(AND(C18="Skema 3",B18="to"),Skemaoplysninger!$AM$31,"")</f>
        <v/>
      </c>
      <c r="CR18" s="210" t="str">
        <f>IF(AND(C18="Skema 3",B18="fr"),Skemaoplysninger!$AO$31,"")</f>
        <v/>
      </c>
      <c r="CS18" s="210" t="str">
        <f>IF(AND(C18="Skema 4",B18="ma"),Skemaoplysninger!$AU$31,"")</f>
        <v/>
      </c>
      <c r="CT18" s="210" t="str">
        <f>IF(AND(C18="Skema 4",B18="ti"),Skemaoplysninger!$AW$31,"")</f>
        <v/>
      </c>
      <c r="CU18" s="210" t="str">
        <f>IF(AND(C18="Skema 4",B18="on"),Skemaoplysninger!$AY$31,"")</f>
        <v/>
      </c>
      <c r="CV18" s="210" t="str">
        <f>IF(AND(C18="Skema 4",B18="to"),Skemaoplysninger!$BA$31,"")</f>
        <v/>
      </c>
      <c r="CW18" s="210" t="str">
        <f>IF(AND(C18="Skema 4",B18="fr"),Skemaoplysninger!$BC$31,"")</f>
        <v/>
      </c>
      <c r="CX18" s="249">
        <f>IF(Stamoplysninger!$H$29="NEJ",SUM(CD18:CW18)*24+CB18+CC18,0)</f>
        <v>0.83333333333333337</v>
      </c>
      <c r="CY18" s="249">
        <f>IF(C18="Skema 1",Stamoplysninger!$H$30/200,0)</f>
        <v>0</v>
      </c>
      <c r="CZ18" s="249">
        <f>IF(C18="Skema 2",Stamoplysninger!$H$30/200,0)</f>
        <v>0</v>
      </c>
      <c r="DA18" s="249">
        <f>IF(C18="Skema 3",Stamoplysninger!$H$30/200,0)</f>
        <v>0</v>
      </c>
      <c r="DB18" s="249">
        <f>IF(C18="Skema 4",Stamoplysninger!$H$30/200,0)</f>
        <v>0</v>
      </c>
      <c r="DC18" s="249">
        <f>IF(C18="fagdag",Stamoplysninger!$H$30/200,0)</f>
        <v>0</v>
      </c>
      <c r="DD18" s="249">
        <f>IF(C18="emnedag",Stamoplysninger!$H$30/200,0)</f>
        <v>0</v>
      </c>
      <c r="DE18" s="249">
        <f>IF(C18="lejrskole",Stamoplysninger!$H$30/200,0)</f>
        <v>0</v>
      </c>
      <c r="DF18" s="249">
        <f>IF(C18="ekskursion",Stamoplysninger!$H$30/200,0)</f>
        <v>0</v>
      </c>
      <c r="DG18" s="249">
        <f t="shared" si="26"/>
        <v>0</v>
      </c>
      <c r="DH18" t="str">
        <f t="shared" si="27"/>
        <v/>
      </c>
      <c r="DI18">
        <f t="shared" si="28"/>
        <v>0</v>
      </c>
      <c r="DJ18">
        <f t="shared" si="29"/>
        <v>0</v>
      </c>
      <c r="DK18" t="str">
        <f t="shared" si="13"/>
        <v/>
      </c>
      <c r="DL18" t="str">
        <f t="shared" si="13"/>
        <v/>
      </c>
      <c r="DM18" t="str">
        <f t="shared" si="13"/>
        <v/>
      </c>
      <c r="DN18" t="str">
        <f t="shared" si="30"/>
        <v/>
      </c>
      <c r="DO18" s="652">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71">
        <f>IF(AND(Stamoplysninger!$B$22="Ulempetillæg udbetales med 25% af nettotimelønnen.",C18="ikke relevant"),(R18)/4,0)</f>
        <v>0</v>
      </c>
      <c r="DT18" s="671">
        <f>IF(AND(AND(Stamoplysninger!$B$22="Ulempetillæg udbetales med 25% af nettotimelønnen.",I18="X",C18="Ikke relevant")),K18/4,0)</f>
        <v>0</v>
      </c>
      <c r="DU18" s="671">
        <f>IF(AND(AND(Stamoplysninger!$B$22="Ulempetillæg udbetales med 25% af nettotimelønnen.",C18="ikke relevant",U18="X")),(X18/4),0)</f>
        <v>0</v>
      </c>
      <c r="DV18" s="672">
        <f>IF(AND(AND(AND(Stamoplysninger!$B$22="Ulempetillæg udbetales med 25% af nettotimelønnen.",I18="X",C18="Ikke relevant",S18="X"))),V18/4,0)</f>
        <v>0</v>
      </c>
      <c r="DW18" s="652"/>
      <c r="DZ18" s="671"/>
      <c r="EA18" s="671"/>
      <c r="EB18" s="672"/>
      <c r="EC18" s="652">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71">
        <f>IF(AND(Stamoplysninger!$B$22="Ulempetillæg afspadseres med 25%(Kræver en aftale imellem ledelsen og den ansatte)",C18="ikke relevant"),(R18)/4,0)</f>
        <v>0</v>
      </c>
      <c r="EH18" s="671">
        <f>IF(AND(AND(Stamoplysninger!$B$22="Ulempetillæg afspadseres med 25%(Kræver en aftale imellem ledelsen og den ansatte)",I18="X",C18="Ikke relevant")),K18/4,0)</f>
        <v>0</v>
      </c>
      <c r="EI18" s="671">
        <f>IF(AND(AND(Stamoplysninger!$B$22="Ulempetillæg afspadseres med 25%(Kræver en aftale imellem ledelsen og den ansatte)",U18="X",C18="Ikke relevant")),X18/4,0)</f>
        <v>0</v>
      </c>
      <c r="EJ18" s="671">
        <f>IF(AND(AND(AND(Stamoplysninger!$B$22="Ulempetillæg afspadseres med 25%(Kræver en aftale imellem ledelsen og den ansatte)",I18="X",C18="Ikke relevant",S18="X"))),V18/4,0)</f>
        <v>0</v>
      </c>
      <c r="EK18" s="283">
        <f>IF(AND(Stamoplysninger!$B$26="Weekendtimer og weekendtillæg afspadseres.",I18="X"),K18*1.5,0)</f>
        <v>0</v>
      </c>
      <c r="EL18" s="251">
        <f>IF(AND(AND(Stamoplysninger!$B$26="Weekendtimer og weekendtillæg afspadseres.",I18="X",S18="X")),V18*1.5,0)</f>
        <v>0</v>
      </c>
      <c r="EM18" s="674">
        <f>IF(AND(AND(Stamoplysninger!$B$26="Weekendtimer og weekendtillæg afspadseres.",I18="X",C18="ikke relevant")),K18*1.5,0)</f>
        <v>0</v>
      </c>
      <c r="EN18" s="675">
        <f>IF(AND(AND(AND(Stamoplysninger!$B$26="Weekendtimer og weekendtillæg afspadseres.",I18="X",C18="ikke relevant",S18="X"))),(V18*1.5),0)</f>
        <v>0</v>
      </c>
      <c r="EO18" s="283">
        <f>IF(AND(Stamoplysninger!$B$26="Weekendtimer og weekendtillæg udbetales.",I18="X"),K18*1.5,0)</f>
        <v>0</v>
      </c>
      <c r="EP18" s="251">
        <f>IF(AND(AND(Stamoplysninger!$B$26="Weekendtimer og weekendtillæg udbetales.",I18="X",S18="X")),V18*1.5,0)</f>
        <v>0</v>
      </c>
      <c r="EQ18" s="674">
        <f>IF(AND(AND(Stamoplysninger!$B$26="Weekendtimer og weekendtillæg udbetales.",I18="X",C18="ikke relevant")),K18*1.5,0)</f>
        <v>0</v>
      </c>
      <c r="ER18" s="675">
        <f>IF(AND(AND(AND(Stamoplysninger!$B$26="Weekendtimer og weekendtillæg udbetales.",I18="X",C18="ikke relevant",S18="X"))),(V18*1.5),0)</f>
        <v>0</v>
      </c>
      <c r="ES18" s="283">
        <f>IF(AND(Stamoplysninger!$B$26="Der er indgået lokalaftale omkring weekendtimer.(Kræver aftale med TR/FSL) Weekendtillæg afspadseres.",I18="X"),K18*0.5,0)</f>
        <v>0</v>
      </c>
      <c r="ET18" s="251">
        <f>IF(AND(AND(Stamoplysninger!$B$26="Der er indgået lokalaftale omkring weekendtimer.(Kræver aftale med TR/FSL) Weekendtillæg afspadseres.",I18="X",S18="X")),V18*0.5,0)</f>
        <v>0</v>
      </c>
      <c r="EU18" s="674">
        <f>IF(AND(AND(Stamoplysninger!$B$26="Der er indgået lokalaftale omkring weekendtimer.(Kræver aftale med TR/FSL) Weekendtillæg afspadseres.",I18="X",C18="ikke relevant")),K18*0.5,0)</f>
        <v>0</v>
      </c>
      <c r="EV18" s="675">
        <f>IF(AND(AND(AND(Stamoplysninger!$B$26="Der er indgået lokalaftale omkring weekendtimer.(Kræver aftale med TR/FSL) Weekendtillæg afspadseres.",I18="X",C18="ikke relevant",S18="X"))),(V18*0.5),0)</f>
        <v>0</v>
      </c>
      <c r="EW18" s="283">
        <f>IF(AND(Stamoplysninger!$B$26="Der er indgået lokalaftale omkring weekendtimer(Kræver aftale med TR/FSL). Weekendtillæg udbetales.",I18="X"),K18*0.5,0)</f>
        <v>0</v>
      </c>
      <c r="EX18" s="251">
        <f>IF(AND(AND(Stamoplysninger!$B$26="Der er indgået lokalaftale omkring weekendtimer(Kræver aftale med TR/FSL). Weekendtillæg udbetales.",I18="X",S18="X")),V18*0.5,0)</f>
        <v>0</v>
      </c>
      <c r="EY18" s="674">
        <f>IF(AND(AND(Stamoplysninger!$B$26="Der er indgået lokalaftale omkring weekendtimer(Kræver aftale med TR/FSL). Weekendtillæg udbetales.",I18="X",C18="ikke relevant")),K18*0.5,0)</f>
        <v>0</v>
      </c>
      <c r="EZ18" s="675">
        <f>IF(AND(AND(AND(Stamoplysninger!$B$26="Der er indgået lokalaftale omkring weekendtimer(Kræver aftale med TR/FSL). Weekendtillæg udbetales.",I18="X",C18="ikke relevant",S18="X"))),(V18*0.5),0)</f>
        <v>0</v>
      </c>
      <c r="FA18" s="283">
        <f>IF(AND(Stamoplysninger!$B$26="Der er indgået lokalaftale omkring weekendtillæg(Kræver aftale med TR/FSL). Weekendtimerne afspadseres.",I18="X"),K18,0)</f>
        <v>0</v>
      </c>
      <c r="FB18" s="251">
        <f>IF(AND(AND(Stamoplysninger!$B$26="Der er indgået lokalaftale omkring weekendtillæg(Kræver aftale med TR/FSL). Weekendtimerne afspadseres.",I18="X",S18="X")),V18,0)</f>
        <v>0</v>
      </c>
      <c r="FC18" s="674">
        <f>IF(AND(AND(Stamoplysninger!$B$26="Der er indgået lokalaftale omkring weekendtillæg(Kræver aftale med TR/FSL). Weekendtimerne afspadseres..",I18="X",C18="ikke relevant")),K18,0)</f>
        <v>0</v>
      </c>
      <c r="FD18" s="675">
        <f>IF(AND(AND(AND(Stamoplysninger!$B$26="Der er indgået lokalaftale omkring weekendtillæg(Kræver aftale med TR/FSL). Weekendtimerne afspadseres.",I18="X",C18="ikke relevant",S18="X"))),(V18),0)</f>
        <v>0</v>
      </c>
      <c r="FE18" s="283">
        <f>IF(AND(Stamoplysninger!$B$26="Der er indgået lokalaftale omkring weekendtillæg(Kræver aftale med TR/FSL). Weekendtimerne udbetales.",I18="X"),K18,0)</f>
        <v>0</v>
      </c>
      <c r="FF18" s="251">
        <f>IF(AND(AND(Stamoplysninger!$B$26="Der er indgået lokalaftale omkring weekendtillæg(Kræver aftale med TR/FSL). Weekendtimerne udbetales.",I18="X",S18="X")),V18,0)</f>
        <v>0</v>
      </c>
      <c r="FG18" s="674">
        <f>IF(AND(AND(Stamoplysninger!$B$26="Der er indgået lokalaftale omkring weekendtillæg(Kræver aftale med TR/FSL). Weekendtimerne udbetales.",I18="X",C18="ikke relevant")),K18,0)</f>
        <v>0</v>
      </c>
      <c r="FH18" s="675">
        <f>IF(AND(AND(AND(Stamoplysninger!$B$26="Der er indgået lokalaftale omkring weekendtillæg(Kræver aftale med TR/FSL). Weekendtimerne udbetales.",I18="X",C18="ikke relevant",S18="X"))),(V18),0)</f>
        <v>0</v>
      </c>
      <c r="FI18" s="283">
        <f>IF(AND(Stamoplysninger!$B$26="Weekendtimer og weekendtillæg afspadseres.",I18="X"),K18,0)</f>
        <v>0</v>
      </c>
      <c r="FJ18" s="251">
        <f>IF(AND(Stamoplysninger!$B$26="Weekendtimer og weekendtillæg afspadseres.",Y18="X"),(AA18+AL18)/2,0)</f>
        <v>0</v>
      </c>
      <c r="FK18" s="674">
        <f>IF(AND(AND(Stamoplysninger!$B$26="Weekendtimer og weekendtillæg afspadseres.",I18="X",C18="ikke relevant")),K18,0)</f>
        <v>0</v>
      </c>
      <c r="FL18" s="675">
        <f>IF(AND(AND(Stamoplysninger!$B$26="Weekendtimer og weekendtillæg afspadseres.",Y18="X",S18="ikke relevant")),(AA18+AL18)/2,0)</f>
        <v>0</v>
      </c>
      <c r="FM18" s="283">
        <f>IF(AND(Stamoplysninger!$B$26="Der er indgået lokalaftale omkring weekendtillæg(Kræver aftale med TR/FSL). Weekendtimerne afspadseres.",I18="X"),K18,0)</f>
        <v>0</v>
      </c>
      <c r="FN18" s="674">
        <f>IF(AND(AND(Stamoplysninger!$B$26="Der er indgået lokalaftale omkring weekendtillæg(Kræver aftale med TR/FSL). Weekendtimerne afspadseres.",I18="X",C18="ikke relevant")),K18,0)</f>
        <v>0</v>
      </c>
      <c r="FO18" s="283">
        <f>IF(AND(Stamoplysninger!$B$26="Weekendtimer og weekendtillæg udbetales.",I18="X"),K18,0)</f>
        <v>0</v>
      </c>
      <c r="FP18" s="251">
        <f>IF(AND(Stamoplysninger!$B$26="Weekendtimer og weekendtillæg udbetales.",AA18="X"),(AC18+AN18)/2,0)</f>
        <v>0</v>
      </c>
      <c r="FQ18" s="674">
        <f>IF(AND(AND(Stamoplysninger!$B$26="Weekendtimer og weekendtillæg udbetales.",I18="X",C18="ikke relevant")),K18,0)</f>
        <v>0</v>
      </c>
      <c r="FR18" s="688">
        <f>IF(AND(AND(Stamoplysninger!$B$26="Weekendtimer og weekendtillæg udbetales.",AA18="X",U18="ikke relevant")),(AC18+AN18)/2,0)</f>
        <v>0</v>
      </c>
      <c r="FS18" s="283">
        <f t="shared" si="14"/>
        <v>0</v>
      </c>
      <c r="FT18" s="658">
        <f t="shared" si="15"/>
        <v>0</v>
      </c>
      <c r="FU18">
        <f t="shared" si="16"/>
        <v>0</v>
      </c>
      <c r="FV18" s="283">
        <f>IF(AND(Stamoplysninger!$B$26="Der er indgået lokalaftale omkring weekendtimer.(Kræver aftale med TR/FSL) Weekendtillæg afspadseres.",I18="X"),K18,0)</f>
        <v>0</v>
      </c>
      <c r="FW18" s="674">
        <f>IF(AND(AND(Stamoplysninger!$B$26="Der er indgået lokalaftale omkring weekendtimer.(Kræver aftale med TR/FSL) Weekendtillæg afspadseres.",I18="X",C18="ikke relevant")),K18,0)</f>
        <v>0</v>
      </c>
      <c r="FX18" s="283">
        <f>IF(AND(Stamoplysninger!$B$26="Der er indgået lokalaftale omkring weekendtimer(Kræver aftale med TR/FSL). Weekendtillæg udbetales.",I18="X"),K18,0)</f>
        <v>0</v>
      </c>
      <c r="FY18" s="674">
        <f>IF(AND(AND(Stamoplysninger!$B$26="Der er indgået lokalaftale omkring weekendtimer(Kræver aftale med TR/FSL). Weekendtillæg udbetales.",I18="X",C18="ikke relevant")),K18,0)</f>
        <v>0</v>
      </c>
      <c r="FZ18" s="283">
        <f>IF(AND(Stamoplysninger!$B$26="Der er indgået lokalaftale omkring weekendtillæg(Kræver aftale med TR/FSL). Weekendtimerne udbetales.",I18="X"),K18,0)</f>
        <v>0</v>
      </c>
      <c r="GA18" s="674">
        <f>IF(AND(AND(Stamoplysninger!$B$26="Der er indgået lokalaftale omkring weekendtillæg(Kræver aftale med TR/FSL). Weekendtimerne udbetales.",I18="X",C18="ikke relevant")),K18,0)</f>
        <v>0</v>
      </c>
      <c r="GB18" s="283">
        <f>IF(AND(Stamoplysninger!$B$26="Der er indgået lokalaftale omkring weekendtimer og weekendtillæg.(Kræver aftale med TR/FSL).",I18="X"),K18,0)</f>
        <v>0</v>
      </c>
      <c r="GC18" s="674">
        <f>IF(AND(AND(Stamoplysninger!$B$26="Der er indgået lokalaftale omkring weekendtimer og weekendtillæg.(Kræver aftale med TR/FSL).",I18="X",C18="ikke relevant")),K18,0)</f>
        <v>0</v>
      </c>
    </row>
    <row r="19" spans="1:185">
      <c r="A19" s="245">
        <f t="shared" si="17"/>
        <v>11</v>
      </c>
      <c r="B19" s="128" t="str">
        <f t="shared" si="0"/>
        <v>fr</v>
      </c>
      <c r="C19" s="129" t="s">
        <v>207</v>
      </c>
      <c r="D19" s="130" t="str">
        <f t="shared" si="1"/>
        <v/>
      </c>
      <c r="E19" s="917"/>
      <c r="F19" s="918"/>
      <c r="G19" s="919"/>
      <c r="H19" s="298"/>
      <c r="I19" s="527"/>
      <c r="J19" s="413"/>
      <c r="K19" s="380"/>
      <c r="L19" s="380"/>
      <c r="M19" s="380"/>
      <c r="N19" s="318">
        <f t="shared" si="18"/>
        <v>7</v>
      </c>
      <c r="O19" s="318">
        <f t="shared" si="19"/>
        <v>3</v>
      </c>
      <c r="P19" s="318">
        <f>IF(Stamoplysninger!$H$29="JA",April!DG19,CX19)</f>
        <v>0.83333333333333337</v>
      </c>
      <c r="Q19" s="318">
        <f t="shared" si="20"/>
        <v>3.1666666666666665</v>
      </c>
      <c r="R19" s="319"/>
      <c r="S19" s="324"/>
      <c r="T19" s="325"/>
      <c r="U19" s="325"/>
      <c r="V19" s="435"/>
      <c r="W19" s="435"/>
      <c r="X19" s="644"/>
      <c r="Y19">
        <f t="shared" si="21"/>
        <v>0</v>
      </c>
      <c r="Z19" s="437">
        <f t="shared" si="22"/>
        <v>0</v>
      </c>
      <c r="AA19" s="1">
        <f t="shared" si="2"/>
        <v>0</v>
      </c>
      <c r="AB19" s="1">
        <f t="shared" si="3"/>
        <v>0</v>
      </c>
      <c r="AC19" s="1">
        <f t="shared" si="4"/>
        <v>0</v>
      </c>
      <c r="AD19" s="1">
        <f t="shared" si="5"/>
        <v>0</v>
      </c>
      <c r="AE19" s="1">
        <f t="shared" si="6"/>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f>IF(AND(C19="Skema 2",B19="fr"),Arbejdstidsoversigt!$E$85,"")</f>
        <v>7</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7</v>
      </c>
      <c r="BB19" s="229">
        <f t="shared" si="7"/>
        <v>0</v>
      </c>
      <c r="BC19" s="1">
        <f t="shared" si="24"/>
        <v>0</v>
      </c>
      <c r="BD19" s="1">
        <f t="shared" si="8"/>
        <v>0</v>
      </c>
      <c r="BE19" s="1">
        <f t="shared" si="9"/>
        <v>0</v>
      </c>
      <c r="BF19" s="1">
        <f t="shared" si="10"/>
        <v>0</v>
      </c>
      <c r="BG19" s="210" t="str">
        <f>IF(AND(C19="Skema 1",B19="ma"),Skemaoplysninger!$E$30,"")</f>
        <v/>
      </c>
      <c r="BH19" s="210" t="str">
        <f>IF(AND(C19="Skema 1",B19="ti"),Skemaoplysninger!$G$30,"")</f>
        <v/>
      </c>
      <c r="BI19" s="210" t="str">
        <f>IF(AND(C19="Skema 1",B19="on"),Skemaoplysninger!$I$30,"")</f>
        <v/>
      </c>
      <c r="BJ19" s="210" t="str">
        <f>IF(AND(C19="Skema 1",B19="to"),Skemaoplysninger!$K$30,"")</f>
        <v/>
      </c>
      <c r="BK19" s="210" t="str">
        <f>IF(AND(C19="Skema 1",B19="fr"),Skemaoplysninger!$M$30,"")</f>
        <v/>
      </c>
      <c r="BL19" s="210" t="str">
        <f>IF(AND(C19="Skema 2",B19="ma"),Skemaoplysninger!$S$30,"")</f>
        <v/>
      </c>
      <c r="BM19" s="210" t="str">
        <f>IF(AND(C19="Skema 2",B19="ti"),Skemaoplysninger!$U$30,"")</f>
        <v/>
      </c>
      <c r="BN19" s="210" t="str">
        <f>IF(AND(C19="Skema 2",B19="on"),Skemaoplysninger!$W$30,"")</f>
        <v/>
      </c>
      <c r="BO19" s="210" t="str">
        <f>IF(AND(C19="Skema 2",B19="to"),Skemaoplysninger!$Y$30,"")</f>
        <v/>
      </c>
      <c r="BP19" s="210">
        <f>IF(AND(C19="Skema 2",B19="fr"),Skemaoplysninger!$AA$30,"")</f>
        <v>0.125</v>
      </c>
      <c r="BQ19" s="210" t="str">
        <f>IF(AND(C19="Skema 3",B19="ma"),Skemaoplysninger!$AG$30,"")</f>
        <v/>
      </c>
      <c r="BR19" s="210" t="str">
        <f>IF(AND(C19="Skema 3",B19="ti"),Skemaoplysninger!$AI$30,"")</f>
        <v/>
      </c>
      <c r="BS19" s="210" t="str">
        <f>IF(AND(C19="Skema 3",B19="on"),Skemaoplysninger!$AK$30,"")</f>
        <v/>
      </c>
      <c r="BT19" s="210" t="str">
        <f>IF(AND(C19="Skema 3",B19="to"),Skemaoplysninger!$AM$30,"")</f>
        <v/>
      </c>
      <c r="BU19" s="210" t="str">
        <f>IF(AND(C19="Skema 3",B19="fr"),Skemaoplysninger!$AO$30,"")</f>
        <v/>
      </c>
      <c r="BV19" s="210" t="str">
        <f>IF(AND(C19="Skema 4",B19="ma"),Skemaoplysninger!$AU$30,"")</f>
        <v/>
      </c>
      <c r="BW19" s="210" t="str">
        <f>IF(AND(C19="Skema 4",B19="ti"),Skemaoplysninger!$AW$30,"")</f>
        <v/>
      </c>
      <c r="BX19" s="210" t="str">
        <f>IF(AND(C19="Skema 4",B19="on"),Skemaoplysninger!$AY$30,"")</f>
        <v/>
      </c>
      <c r="BY19" s="210" t="str">
        <f>IF(AND(C19="Skema 4",B19="to"),Skemaoplysninger!$BA$30,"")</f>
        <v/>
      </c>
      <c r="BZ19" s="210" t="str">
        <f>IF(AND(C19="Skema 4",B19="fr"),Skemaoplysninger!$BC$30,"")</f>
        <v/>
      </c>
      <c r="CA19" s="1">
        <f t="shared" si="25"/>
        <v>3</v>
      </c>
      <c r="CB19" s="1">
        <f t="shared" si="11"/>
        <v>0</v>
      </c>
      <c r="CC19" s="1">
        <f t="shared" si="12"/>
        <v>0</v>
      </c>
      <c r="CD19" s="210" t="str">
        <f>IF(AND(C19="Skema 1",B19="ma"),Skemaoplysninger!$E$31,"")</f>
        <v/>
      </c>
      <c r="CE19" s="210" t="str">
        <f>IF(AND(C19="Skema 1",B19="ti"),Skemaoplysninger!$G$31,"")</f>
        <v/>
      </c>
      <c r="CF19" s="210" t="str">
        <f>IF(AND(C19="Skema 1",B19="on"),Skemaoplysninger!$I$31,"")</f>
        <v/>
      </c>
      <c r="CG19" s="210" t="str">
        <f>IF(AND(C19="Skema 1",B19="to"),Skemaoplysninger!$K$31,"")</f>
        <v/>
      </c>
      <c r="CH19" s="210" t="str">
        <f>IF(AND(C19="Skema 1",B19="fr"),Skemaoplysninger!$M$31,"")</f>
        <v/>
      </c>
      <c r="CI19" s="210" t="str">
        <f>IF(AND(C19="Skema 2",B19="ma"),Skemaoplysninger!$S$31,"")</f>
        <v/>
      </c>
      <c r="CJ19" s="210" t="str">
        <f>IF(AND(C19="Skema 2",B19="ti"),Skemaoplysninger!$U$31,"")</f>
        <v/>
      </c>
      <c r="CK19" s="210" t="str">
        <f>IF(AND(C19="Skema 2",B19="on"),Skemaoplysninger!$W$31,"")</f>
        <v/>
      </c>
      <c r="CL19" s="210" t="str">
        <f>IF(AND(C19="Skema 2",B19="to"),Skemaoplysninger!$Y$31,"")</f>
        <v/>
      </c>
      <c r="CM19" s="210">
        <f>IF(AND(C19="Skema 2",B19="fr"),Skemaoplysninger!$AA$31,"")</f>
        <v>3.4722222222222224E-2</v>
      </c>
      <c r="CN19" s="210" t="str">
        <f>IF(AND(C19="Skema 3",B19="ma"),Skemaoplysninger!$AG$31,"")</f>
        <v/>
      </c>
      <c r="CO19" s="210" t="str">
        <f>IF(AND(C19="Skema 3",B19="ti"),Skemaoplysninger!$AI$31,"")</f>
        <v/>
      </c>
      <c r="CP19" s="210" t="str">
        <f>IF(AND(C19="Skema 3",B19="on"),Skemaoplysninger!$AK$31,"")</f>
        <v/>
      </c>
      <c r="CQ19" s="210" t="str">
        <f>IF(AND(C19="Skema 3",B19="to"),Skemaoplysninger!$AM$31,"")</f>
        <v/>
      </c>
      <c r="CR19" s="210" t="str">
        <f>IF(AND(C19="Skema 3",B19="fr"),Skemaoplysninger!$AO$31,"")</f>
        <v/>
      </c>
      <c r="CS19" s="210" t="str">
        <f>IF(AND(C19="Skema 4",B19="ma"),Skemaoplysninger!$AU$31,"")</f>
        <v/>
      </c>
      <c r="CT19" s="210" t="str">
        <f>IF(AND(C19="Skema 4",B19="ti"),Skemaoplysninger!$AW$31,"")</f>
        <v/>
      </c>
      <c r="CU19" s="210" t="str">
        <f>IF(AND(C19="Skema 4",B19="on"),Skemaoplysninger!$AY$31,"")</f>
        <v/>
      </c>
      <c r="CV19" s="210" t="str">
        <f>IF(AND(C19="Skema 4",B19="to"),Skemaoplysninger!$BA$31,"")</f>
        <v/>
      </c>
      <c r="CW19" s="210" t="str">
        <f>IF(AND(C19="Skema 4",B19="fr"),Skemaoplysninger!$BC$31,"")</f>
        <v/>
      </c>
      <c r="CX19" s="249">
        <f>IF(Stamoplysninger!$H$29="NEJ",SUM(CD19:CW19)*24+CB19+CC19,0)</f>
        <v>0.83333333333333337</v>
      </c>
      <c r="CY19" s="249">
        <f>IF(C19="Skema 1",Stamoplysninger!$H$30/200,0)</f>
        <v>0</v>
      </c>
      <c r="CZ19" s="249">
        <f>IF(C19="Skema 2",Stamoplysninger!$H$30/200,0)</f>
        <v>0</v>
      </c>
      <c r="DA19" s="249">
        <f>IF(C19="Skema 3",Stamoplysninger!$H$30/200,0)</f>
        <v>0</v>
      </c>
      <c r="DB19" s="249">
        <f>IF(C19="Skema 4",Stamoplysninger!$H$30/200,0)</f>
        <v>0</v>
      </c>
      <c r="DC19" s="249">
        <f>IF(C19="fagdag",Stamoplysninger!$H$30/200,0)</f>
        <v>0</v>
      </c>
      <c r="DD19" s="249">
        <f>IF(C19="emnedag",Stamoplysninger!$H$30/200,0)</f>
        <v>0</v>
      </c>
      <c r="DE19" s="249">
        <f>IF(C19="lejrskole",Stamoplysninger!$H$30/200,0)</f>
        <v>0</v>
      </c>
      <c r="DF19" s="249">
        <f>IF(C19="ekskursion",Stamoplysninger!$H$30/200,0)</f>
        <v>0</v>
      </c>
      <c r="DG19" s="249">
        <f t="shared" si="26"/>
        <v>0</v>
      </c>
      <c r="DH19" t="str">
        <f t="shared" si="27"/>
        <v/>
      </c>
      <c r="DI19">
        <f t="shared" si="28"/>
        <v>0</v>
      </c>
      <c r="DJ19">
        <f t="shared" si="29"/>
        <v>0</v>
      </c>
      <c r="DK19" t="str">
        <f t="shared" si="13"/>
        <v/>
      </c>
      <c r="DL19" t="str">
        <f t="shared" si="13"/>
        <v/>
      </c>
      <c r="DM19" t="str">
        <f t="shared" si="13"/>
        <v/>
      </c>
      <c r="DN19" t="str">
        <f t="shared" si="30"/>
        <v/>
      </c>
      <c r="DO19" s="652">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71">
        <f>IF(AND(Stamoplysninger!$B$22="Ulempetillæg udbetales med 25% af nettotimelønnen.",C19="ikke relevant"),(R19)/4,0)</f>
        <v>0</v>
      </c>
      <c r="DT19" s="671">
        <f>IF(AND(AND(Stamoplysninger!$B$22="Ulempetillæg udbetales med 25% af nettotimelønnen.",I19="X",C19="Ikke relevant")),K19/4,0)</f>
        <v>0</v>
      </c>
      <c r="DU19" s="671">
        <f>IF(AND(AND(Stamoplysninger!$B$22="Ulempetillæg udbetales med 25% af nettotimelønnen.",C19="ikke relevant",U19="X")),(X19/4),0)</f>
        <v>0</v>
      </c>
      <c r="DV19" s="672">
        <f>IF(AND(AND(AND(Stamoplysninger!$B$22="Ulempetillæg udbetales med 25% af nettotimelønnen.",I19="X",C19="Ikke relevant",S19="X"))),V19/4,0)</f>
        <v>0</v>
      </c>
      <c r="DW19" s="652"/>
      <c r="DZ19" s="671"/>
      <c r="EA19" s="671"/>
      <c r="EB19" s="672"/>
      <c r="EC19" s="652">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71">
        <f>IF(AND(Stamoplysninger!$B$22="Ulempetillæg afspadseres med 25%(Kræver en aftale imellem ledelsen og den ansatte)",C19="ikke relevant"),(R19)/4,0)</f>
        <v>0</v>
      </c>
      <c r="EH19" s="671">
        <f>IF(AND(AND(Stamoplysninger!$B$22="Ulempetillæg afspadseres med 25%(Kræver en aftale imellem ledelsen og den ansatte)",I19="X",C19="Ikke relevant")),K19/4,0)</f>
        <v>0</v>
      </c>
      <c r="EI19" s="671">
        <f>IF(AND(AND(Stamoplysninger!$B$22="Ulempetillæg afspadseres med 25%(Kræver en aftale imellem ledelsen og den ansatte)",U19="X",C19="Ikke relevant")),X19/4,0)</f>
        <v>0</v>
      </c>
      <c r="EJ19" s="671">
        <f>IF(AND(AND(AND(Stamoplysninger!$B$22="Ulempetillæg afspadseres med 25%(Kræver en aftale imellem ledelsen og den ansatte)",I19="X",C19="Ikke relevant",S19="X"))),V19/4,0)</f>
        <v>0</v>
      </c>
      <c r="EK19" s="283">
        <f>IF(AND(Stamoplysninger!$B$26="Weekendtimer og weekendtillæg afspadseres.",I19="X"),K19*1.5,0)</f>
        <v>0</v>
      </c>
      <c r="EL19" s="251">
        <f>IF(AND(AND(Stamoplysninger!$B$26="Weekendtimer og weekendtillæg afspadseres.",I19="X",S19="X")),V19*1.5,0)</f>
        <v>0</v>
      </c>
      <c r="EM19" s="674">
        <f>IF(AND(AND(Stamoplysninger!$B$26="Weekendtimer og weekendtillæg afspadseres.",I19="X",C19="ikke relevant")),K19*1.5,0)</f>
        <v>0</v>
      </c>
      <c r="EN19" s="675">
        <f>IF(AND(AND(AND(Stamoplysninger!$B$26="Weekendtimer og weekendtillæg afspadseres.",I19="X",C19="ikke relevant",S19="X"))),(V19*1.5),0)</f>
        <v>0</v>
      </c>
      <c r="EO19" s="283">
        <f>IF(AND(Stamoplysninger!$B$26="Weekendtimer og weekendtillæg udbetales.",I19="X"),K19*1.5,0)</f>
        <v>0</v>
      </c>
      <c r="EP19" s="251">
        <f>IF(AND(AND(Stamoplysninger!$B$26="Weekendtimer og weekendtillæg udbetales.",I19="X",S19="X")),V19*1.5,0)</f>
        <v>0</v>
      </c>
      <c r="EQ19" s="674">
        <f>IF(AND(AND(Stamoplysninger!$B$26="Weekendtimer og weekendtillæg udbetales.",I19="X",C19="ikke relevant")),K19*1.5,0)</f>
        <v>0</v>
      </c>
      <c r="ER19" s="675">
        <f>IF(AND(AND(AND(Stamoplysninger!$B$26="Weekendtimer og weekendtillæg udbetales.",I19="X",C19="ikke relevant",S19="X"))),(V19*1.5),0)</f>
        <v>0</v>
      </c>
      <c r="ES19" s="283">
        <f>IF(AND(Stamoplysninger!$B$26="Der er indgået lokalaftale omkring weekendtimer.(Kræver aftale med TR/FSL) Weekendtillæg afspadseres.",I19="X"),K19*0.5,0)</f>
        <v>0</v>
      </c>
      <c r="ET19" s="251">
        <f>IF(AND(AND(Stamoplysninger!$B$26="Der er indgået lokalaftale omkring weekendtimer.(Kræver aftale med TR/FSL) Weekendtillæg afspadseres.",I19="X",S19="X")),V19*0.5,0)</f>
        <v>0</v>
      </c>
      <c r="EU19" s="674">
        <f>IF(AND(AND(Stamoplysninger!$B$26="Der er indgået lokalaftale omkring weekendtimer.(Kræver aftale med TR/FSL) Weekendtillæg afspadseres.",I19="X",C19="ikke relevant")),K19*0.5,0)</f>
        <v>0</v>
      </c>
      <c r="EV19" s="675">
        <f>IF(AND(AND(AND(Stamoplysninger!$B$26="Der er indgået lokalaftale omkring weekendtimer.(Kræver aftale med TR/FSL) Weekendtillæg afspadseres.",I19="X",C19="ikke relevant",S19="X"))),(V19*0.5),0)</f>
        <v>0</v>
      </c>
      <c r="EW19" s="283">
        <f>IF(AND(Stamoplysninger!$B$26="Der er indgået lokalaftale omkring weekendtimer(Kræver aftale med TR/FSL). Weekendtillæg udbetales.",I19="X"),K19*0.5,0)</f>
        <v>0</v>
      </c>
      <c r="EX19" s="251">
        <f>IF(AND(AND(Stamoplysninger!$B$26="Der er indgået lokalaftale omkring weekendtimer(Kræver aftale med TR/FSL). Weekendtillæg udbetales.",I19="X",S19="X")),V19*0.5,0)</f>
        <v>0</v>
      </c>
      <c r="EY19" s="674">
        <f>IF(AND(AND(Stamoplysninger!$B$26="Der er indgået lokalaftale omkring weekendtimer(Kræver aftale med TR/FSL). Weekendtillæg udbetales.",I19="X",C19="ikke relevant")),K19*0.5,0)</f>
        <v>0</v>
      </c>
      <c r="EZ19" s="675">
        <f>IF(AND(AND(AND(Stamoplysninger!$B$26="Der er indgået lokalaftale omkring weekendtimer(Kræver aftale med TR/FSL). Weekendtillæg udbetales.",I19="X",C19="ikke relevant",S19="X"))),(V19*0.5),0)</f>
        <v>0</v>
      </c>
      <c r="FA19" s="283">
        <f>IF(AND(Stamoplysninger!$B$26="Der er indgået lokalaftale omkring weekendtillæg(Kræver aftale med TR/FSL). Weekendtimerne afspadseres.",I19="X"),K19,0)</f>
        <v>0</v>
      </c>
      <c r="FB19" s="251">
        <f>IF(AND(AND(Stamoplysninger!$B$26="Der er indgået lokalaftale omkring weekendtillæg(Kræver aftale med TR/FSL). Weekendtimerne afspadseres.",I19="X",S19="X")),V19,0)</f>
        <v>0</v>
      </c>
      <c r="FC19" s="674">
        <f>IF(AND(AND(Stamoplysninger!$B$26="Der er indgået lokalaftale omkring weekendtillæg(Kræver aftale med TR/FSL). Weekendtimerne afspadseres..",I19="X",C19="ikke relevant")),K19,0)</f>
        <v>0</v>
      </c>
      <c r="FD19" s="675">
        <f>IF(AND(AND(AND(Stamoplysninger!$B$26="Der er indgået lokalaftale omkring weekendtillæg(Kræver aftale med TR/FSL). Weekendtimerne afspadseres.",I19="X",C19="ikke relevant",S19="X"))),(V19),0)</f>
        <v>0</v>
      </c>
      <c r="FE19" s="283">
        <f>IF(AND(Stamoplysninger!$B$26="Der er indgået lokalaftale omkring weekendtillæg(Kræver aftale med TR/FSL). Weekendtimerne udbetales.",I19="X"),K19,0)</f>
        <v>0</v>
      </c>
      <c r="FF19" s="251">
        <f>IF(AND(AND(Stamoplysninger!$B$26="Der er indgået lokalaftale omkring weekendtillæg(Kræver aftale med TR/FSL). Weekendtimerne udbetales.",I19="X",S19="X")),V19,0)</f>
        <v>0</v>
      </c>
      <c r="FG19" s="674">
        <f>IF(AND(AND(Stamoplysninger!$B$26="Der er indgået lokalaftale omkring weekendtillæg(Kræver aftale med TR/FSL). Weekendtimerne udbetales.",I19="X",C19="ikke relevant")),K19,0)</f>
        <v>0</v>
      </c>
      <c r="FH19" s="675">
        <f>IF(AND(AND(AND(Stamoplysninger!$B$26="Der er indgået lokalaftale omkring weekendtillæg(Kræver aftale med TR/FSL). Weekendtimerne udbetales.",I19="X",C19="ikke relevant",S19="X"))),(V19),0)</f>
        <v>0</v>
      </c>
      <c r="FI19" s="283">
        <f>IF(AND(Stamoplysninger!$B$26="Weekendtimer og weekendtillæg afspadseres.",I19="X"),K19,0)</f>
        <v>0</v>
      </c>
      <c r="FJ19" s="251">
        <f>IF(AND(Stamoplysninger!$B$26="Weekendtimer og weekendtillæg afspadseres.",Y19="X"),(AA19+AL19)/2,0)</f>
        <v>0</v>
      </c>
      <c r="FK19" s="674">
        <f>IF(AND(AND(Stamoplysninger!$B$26="Weekendtimer og weekendtillæg afspadseres.",I19="X",C19="ikke relevant")),K19,0)</f>
        <v>0</v>
      </c>
      <c r="FL19" s="675">
        <f>IF(AND(AND(Stamoplysninger!$B$26="Weekendtimer og weekendtillæg afspadseres.",Y19="X",S19="ikke relevant")),(AA19+AL19)/2,0)</f>
        <v>0</v>
      </c>
      <c r="FM19" s="283">
        <f>IF(AND(Stamoplysninger!$B$26="Der er indgået lokalaftale omkring weekendtillæg(Kræver aftale med TR/FSL). Weekendtimerne afspadseres.",I19="X"),K19,0)</f>
        <v>0</v>
      </c>
      <c r="FN19" s="674">
        <f>IF(AND(AND(Stamoplysninger!$B$26="Der er indgået lokalaftale omkring weekendtillæg(Kræver aftale med TR/FSL). Weekendtimerne afspadseres.",I19="X",C19="ikke relevant")),K19,0)</f>
        <v>0</v>
      </c>
      <c r="FO19" s="283">
        <f>IF(AND(Stamoplysninger!$B$26="Weekendtimer og weekendtillæg udbetales.",I19="X"),K19,0)</f>
        <v>0</v>
      </c>
      <c r="FP19" s="251">
        <f>IF(AND(Stamoplysninger!$B$26="Weekendtimer og weekendtillæg udbetales.",AA19="X"),(AC19+AN19)/2,0)</f>
        <v>0</v>
      </c>
      <c r="FQ19" s="674">
        <f>IF(AND(AND(Stamoplysninger!$B$26="Weekendtimer og weekendtillæg udbetales.",I19="X",C19="ikke relevant")),K19,0)</f>
        <v>0</v>
      </c>
      <c r="FR19" s="688">
        <f>IF(AND(AND(Stamoplysninger!$B$26="Weekendtimer og weekendtillæg udbetales.",AA19="X",U19="ikke relevant")),(AC19+AN19)/2,0)</f>
        <v>0</v>
      </c>
      <c r="FS19" s="283">
        <f t="shared" si="14"/>
        <v>0</v>
      </c>
      <c r="FT19" s="658">
        <f t="shared" si="15"/>
        <v>0</v>
      </c>
      <c r="FU19">
        <f t="shared" si="16"/>
        <v>0</v>
      </c>
      <c r="FV19" s="283">
        <f>IF(AND(Stamoplysninger!$B$26="Der er indgået lokalaftale omkring weekendtimer.(Kræver aftale med TR/FSL) Weekendtillæg afspadseres.",I19="X"),K19,0)</f>
        <v>0</v>
      </c>
      <c r="FW19" s="674">
        <f>IF(AND(AND(Stamoplysninger!$B$26="Der er indgået lokalaftale omkring weekendtimer.(Kræver aftale med TR/FSL) Weekendtillæg afspadseres.",I19="X",C19="ikke relevant")),K19,0)</f>
        <v>0</v>
      </c>
      <c r="FX19" s="283">
        <f>IF(AND(Stamoplysninger!$B$26="Der er indgået lokalaftale omkring weekendtimer(Kræver aftale med TR/FSL). Weekendtillæg udbetales.",I19="X"),K19,0)</f>
        <v>0</v>
      </c>
      <c r="FY19" s="674">
        <f>IF(AND(AND(Stamoplysninger!$B$26="Der er indgået lokalaftale omkring weekendtimer(Kræver aftale med TR/FSL). Weekendtillæg udbetales.",I19="X",C19="ikke relevant")),K19,0)</f>
        <v>0</v>
      </c>
      <c r="FZ19" s="283">
        <f>IF(AND(Stamoplysninger!$B$26="Der er indgået lokalaftale omkring weekendtillæg(Kræver aftale med TR/FSL). Weekendtimerne udbetales.",I19="X"),K19,0)</f>
        <v>0</v>
      </c>
      <c r="GA19" s="674">
        <f>IF(AND(AND(Stamoplysninger!$B$26="Der er indgået lokalaftale omkring weekendtillæg(Kræver aftale med TR/FSL). Weekendtimerne udbetales.",I19="X",C19="ikke relevant")),K19,0)</f>
        <v>0</v>
      </c>
      <c r="GB19" s="283">
        <f>IF(AND(Stamoplysninger!$B$26="Der er indgået lokalaftale omkring weekendtimer og weekendtillæg.(Kræver aftale med TR/FSL).",I19="X"),K19,0)</f>
        <v>0</v>
      </c>
      <c r="GC19" s="674">
        <f>IF(AND(AND(Stamoplysninger!$B$26="Der er indgået lokalaftale omkring weekendtimer og weekendtillæg.(Kræver aftale med TR/FSL).",I19="X",C19="ikke relevant")),K19,0)</f>
        <v>0</v>
      </c>
    </row>
    <row r="20" spans="1:185">
      <c r="A20" s="245">
        <f>IF(ISNUMBER(A19),A19+1,1)</f>
        <v>12</v>
      </c>
      <c r="B20" s="128" t="str">
        <f t="shared" si="0"/>
        <v>lø</v>
      </c>
      <c r="C20" s="129" t="s">
        <v>120</v>
      </c>
      <c r="D20" s="130" t="str">
        <f t="shared" si="1"/>
        <v/>
      </c>
      <c r="E20" s="917"/>
      <c r="F20" s="918"/>
      <c r="G20" s="919"/>
      <c r="H20" s="298"/>
      <c r="I20" s="413"/>
      <c r="J20" s="413"/>
      <c r="K20" s="380"/>
      <c r="L20" s="380"/>
      <c r="M20" s="380"/>
      <c r="N20" s="318">
        <f t="shared" si="18"/>
        <v>0</v>
      </c>
      <c r="O20" s="318">
        <f t="shared" si="19"/>
        <v>0</v>
      </c>
      <c r="P20" s="318">
        <f>IF(Stamoplysninger!$H$29="JA",April!DG20,CX20)</f>
        <v>0</v>
      </c>
      <c r="Q20" s="318">
        <f t="shared" si="20"/>
        <v>0</v>
      </c>
      <c r="R20" s="319"/>
      <c r="S20" s="324"/>
      <c r="T20" s="325"/>
      <c r="U20" s="325"/>
      <c r="V20" s="435"/>
      <c r="W20" s="435"/>
      <c r="X20" s="644"/>
      <c r="Y20">
        <f t="shared" si="21"/>
        <v>0</v>
      </c>
      <c r="Z20" s="437">
        <f t="shared" si="22"/>
        <v>0</v>
      </c>
      <c r="AA20" s="1">
        <f t="shared" si="2"/>
        <v>0</v>
      </c>
      <c r="AB20" s="1">
        <f t="shared" si="3"/>
        <v>0</v>
      </c>
      <c r="AC20" s="1">
        <f t="shared" si="4"/>
        <v>0</v>
      </c>
      <c r="AD20" s="1">
        <f t="shared" si="5"/>
        <v>0</v>
      </c>
      <c r="AE20" s="1">
        <f t="shared" si="6"/>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9">
        <f t="shared" si="7"/>
        <v>0</v>
      </c>
      <c r="BC20" s="1">
        <f t="shared" si="24"/>
        <v>0</v>
      </c>
      <c r="BD20" s="1">
        <f t="shared" si="8"/>
        <v>0</v>
      </c>
      <c r="BE20" s="1">
        <f t="shared" si="9"/>
        <v>0</v>
      </c>
      <c r="BF20" s="1">
        <f t="shared" si="10"/>
        <v>0</v>
      </c>
      <c r="BG20" s="210" t="str">
        <f>IF(AND(C20="Skema 1",B20="ma"),Skemaoplysninger!$E$30,"")</f>
        <v/>
      </c>
      <c r="BH20" s="210" t="str">
        <f>IF(AND(C20="Skema 1",B20="ti"),Skemaoplysninger!$G$30,"")</f>
        <v/>
      </c>
      <c r="BI20" s="210" t="str">
        <f>IF(AND(C20="Skema 1",B20="on"),Skemaoplysninger!$I$30,"")</f>
        <v/>
      </c>
      <c r="BJ20" s="210" t="str">
        <f>IF(AND(C20="Skema 1",B20="to"),Skemaoplysninger!$K$30,"")</f>
        <v/>
      </c>
      <c r="BK20" s="210" t="str">
        <f>IF(AND(C20="Skema 1",B20="fr"),Skemaoplysninger!$M$30,"")</f>
        <v/>
      </c>
      <c r="BL20" s="210" t="str">
        <f>IF(AND(C20="Skema 2",B20="ma"),Skemaoplysninger!$S$30,"")</f>
        <v/>
      </c>
      <c r="BM20" s="210" t="str">
        <f>IF(AND(C20="Skema 2",B20="ti"),Skemaoplysninger!$U$30,"")</f>
        <v/>
      </c>
      <c r="BN20" s="210" t="str">
        <f>IF(AND(C20="Skema 2",B20="on"),Skemaoplysninger!$W$30,"")</f>
        <v/>
      </c>
      <c r="BO20" s="210" t="str">
        <f>IF(AND(C20="Skema 2",B20="to"),Skemaoplysninger!$Y$30,"")</f>
        <v/>
      </c>
      <c r="BP20" s="210" t="str">
        <f>IF(AND(C20="Skema 2",B20="fr"),Skemaoplysninger!$AA$30,"")</f>
        <v/>
      </c>
      <c r="BQ20" s="210" t="str">
        <f>IF(AND(C20="Skema 3",B20="ma"),Skemaoplysninger!$AG$30,"")</f>
        <v/>
      </c>
      <c r="BR20" s="210" t="str">
        <f>IF(AND(C20="Skema 3",B20="ti"),Skemaoplysninger!$AI$30,"")</f>
        <v/>
      </c>
      <c r="BS20" s="210" t="str">
        <f>IF(AND(C20="Skema 3",B20="on"),Skemaoplysninger!$AK$30,"")</f>
        <v/>
      </c>
      <c r="BT20" s="210" t="str">
        <f>IF(AND(C20="Skema 3",B20="to"),Skemaoplysninger!$AM$30,"")</f>
        <v/>
      </c>
      <c r="BU20" s="210" t="str">
        <f>IF(AND(C20="Skema 3",B20="fr"),Skemaoplysninger!$AO$30,"")</f>
        <v/>
      </c>
      <c r="BV20" s="210" t="str">
        <f>IF(AND(C20="Skema 4",B20="ma"),Skemaoplysninger!$AU$30,"")</f>
        <v/>
      </c>
      <c r="BW20" s="210" t="str">
        <f>IF(AND(C20="Skema 4",B20="ti"),Skemaoplysninger!$AW$30,"")</f>
        <v/>
      </c>
      <c r="BX20" s="210" t="str">
        <f>IF(AND(C20="Skema 4",B20="on"),Skemaoplysninger!$AY$30,"")</f>
        <v/>
      </c>
      <c r="BY20" s="210" t="str">
        <f>IF(AND(C20="Skema 4",B20="to"),Skemaoplysninger!$BA$30,"")</f>
        <v/>
      </c>
      <c r="BZ20" s="210" t="str">
        <f>IF(AND(C20="Skema 4",B20="fr"),Skemaoplysninger!$BC$30,"")</f>
        <v/>
      </c>
      <c r="CA20" s="1">
        <f t="shared" si="25"/>
        <v>0</v>
      </c>
      <c r="CB20" s="1">
        <f t="shared" si="11"/>
        <v>0</v>
      </c>
      <c r="CC20" s="1">
        <f t="shared" si="12"/>
        <v>0</v>
      </c>
      <c r="CD20" s="210" t="str">
        <f>IF(AND(C20="Skema 1",B20="ma"),Skemaoplysninger!$E$31,"")</f>
        <v/>
      </c>
      <c r="CE20" s="210" t="str">
        <f>IF(AND(C20="Skema 1",B20="ti"),Skemaoplysninger!$G$31,"")</f>
        <v/>
      </c>
      <c r="CF20" s="210" t="str">
        <f>IF(AND(C20="Skema 1",B20="on"),Skemaoplysninger!$I$31,"")</f>
        <v/>
      </c>
      <c r="CG20" s="210" t="str">
        <f>IF(AND(C20="Skema 1",B20="to"),Skemaoplysninger!$K$31,"")</f>
        <v/>
      </c>
      <c r="CH20" s="210" t="str">
        <f>IF(AND(C20="Skema 1",B20="fr"),Skemaoplysninger!$M$31,"")</f>
        <v/>
      </c>
      <c r="CI20" s="210" t="str">
        <f>IF(AND(C20="Skema 2",B20="ma"),Skemaoplysninger!$S$31,"")</f>
        <v/>
      </c>
      <c r="CJ20" s="210" t="str">
        <f>IF(AND(C20="Skema 2",B20="ti"),Skemaoplysninger!$U$31,"")</f>
        <v/>
      </c>
      <c r="CK20" s="210" t="str">
        <f>IF(AND(C20="Skema 2",B20="on"),Skemaoplysninger!$W$31,"")</f>
        <v/>
      </c>
      <c r="CL20" s="210" t="str">
        <f>IF(AND(C20="Skema 2",B20="to"),Skemaoplysninger!$Y$31,"")</f>
        <v/>
      </c>
      <c r="CM20" s="210" t="str">
        <f>IF(AND(C20="Skema 2",B20="fr"),Skemaoplysninger!$AA$31,"")</f>
        <v/>
      </c>
      <c r="CN20" s="210" t="str">
        <f>IF(AND(C20="Skema 3",B20="ma"),Skemaoplysninger!$AG$31,"")</f>
        <v/>
      </c>
      <c r="CO20" s="210" t="str">
        <f>IF(AND(C20="Skema 3",B20="ti"),Skemaoplysninger!$AI$31,"")</f>
        <v/>
      </c>
      <c r="CP20" s="210" t="str">
        <f>IF(AND(C20="Skema 3",B20="on"),Skemaoplysninger!$AK$31,"")</f>
        <v/>
      </c>
      <c r="CQ20" s="210" t="str">
        <f>IF(AND(C20="Skema 3",B20="to"),Skemaoplysninger!$AM$31,"")</f>
        <v/>
      </c>
      <c r="CR20" s="210" t="str">
        <f>IF(AND(C20="Skema 3",B20="fr"),Skemaoplysninger!$AO$31,"")</f>
        <v/>
      </c>
      <c r="CS20" s="210" t="str">
        <f>IF(AND(C20="Skema 4",B20="ma"),Skemaoplysninger!$AU$31,"")</f>
        <v/>
      </c>
      <c r="CT20" s="210" t="str">
        <f>IF(AND(C20="Skema 4",B20="ti"),Skemaoplysninger!$AW$31,"")</f>
        <v/>
      </c>
      <c r="CU20" s="210" t="str">
        <f>IF(AND(C20="Skema 4",B20="on"),Skemaoplysninger!$AY$31,"")</f>
        <v/>
      </c>
      <c r="CV20" s="210" t="str">
        <f>IF(AND(C20="Skema 4",B20="to"),Skemaoplysninger!$BA$31,"")</f>
        <v/>
      </c>
      <c r="CW20" s="210" t="str">
        <f>IF(AND(C20="Skema 4",B20="fr"),Skemaoplysninger!$BC$31,"")</f>
        <v/>
      </c>
      <c r="CX20" s="249">
        <f>IF(Stamoplysninger!$H$29="NEJ",SUM(CD20:CW20)*24+CB20+CC20,0)</f>
        <v>0</v>
      </c>
      <c r="CY20" s="249">
        <f>IF(C20="Skema 1",Stamoplysninger!$H$30/200,0)</f>
        <v>0</v>
      </c>
      <c r="CZ20" s="249">
        <f>IF(C20="Skema 2",Stamoplysninger!$H$30/200,0)</f>
        <v>0</v>
      </c>
      <c r="DA20" s="249">
        <f>IF(C20="Skema 3",Stamoplysninger!$H$30/200,0)</f>
        <v>0</v>
      </c>
      <c r="DB20" s="249">
        <f>IF(C20="Skema 4",Stamoplysninger!$H$30/200,0)</f>
        <v>0</v>
      </c>
      <c r="DC20" s="249">
        <f>IF(C20="fagdag",Stamoplysninger!$H$30/200,0)</f>
        <v>0</v>
      </c>
      <c r="DD20" s="249">
        <f>IF(C20="emnedag",Stamoplysninger!$H$30/200,0)</f>
        <v>0</v>
      </c>
      <c r="DE20" s="249">
        <f>IF(C20="lejrskole",Stamoplysninger!$H$30/200,0)</f>
        <v>0</v>
      </c>
      <c r="DF20" s="249">
        <f>IF(C20="ekskursion",Stamoplysninger!$H$30/200,0)</f>
        <v>0</v>
      </c>
      <c r="DG20" s="249">
        <f t="shared" si="26"/>
        <v>0</v>
      </c>
      <c r="DH20" t="str">
        <f t="shared" si="27"/>
        <v/>
      </c>
      <c r="DI20">
        <f t="shared" si="28"/>
        <v>0</v>
      </c>
      <c r="DJ20">
        <f t="shared" si="29"/>
        <v>0</v>
      </c>
      <c r="DK20" t="str">
        <f t="shared" si="13"/>
        <v/>
      </c>
      <c r="DL20" t="str">
        <f t="shared" si="13"/>
        <v/>
      </c>
      <c r="DM20" t="str">
        <f t="shared" si="13"/>
        <v/>
      </c>
      <c r="DN20" t="str">
        <f t="shared" si="30"/>
        <v/>
      </c>
      <c r="DO20" s="652">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71">
        <f>IF(AND(Stamoplysninger!$B$22="Ulempetillæg udbetales med 25% af nettotimelønnen.",C20="ikke relevant"),(R20)/4,0)</f>
        <v>0</v>
      </c>
      <c r="DT20" s="671">
        <f>IF(AND(AND(Stamoplysninger!$B$22="Ulempetillæg udbetales med 25% af nettotimelønnen.",I20="X",C20="Ikke relevant")),K20/4,0)</f>
        <v>0</v>
      </c>
      <c r="DU20" s="671">
        <f>IF(AND(AND(Stamoplysninger!$B$22="Ulempetillæg udbetales med 25% af nettotimelønnen.",C20="ikke relevant",U20="X")),(X20/4),0)</f>
        <v>0</v>
      </c>
      <c r="DV20" s="672">
        <f>IF(AND(AND(AND(Stamoplysninger!$B$22="Ulempetillæg udbetales med 25% af nettotimelønnen.",I20="X",C20="Ikke relevant",S20="X"))),V20/4,0)</f>
        <v>0</v>
      </c>
      <c r="DW20" s="652"/>
      <c r="DZ20" s="671"/>
      <c r="EA20" s="671"/>
      <c r="EB20" s="672"/>
      <c r="EC20" s="652">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71">
        <f>IF(AND(Stamoplysninger!$B$22="Ulempetillæg afspadseres med 25%(Kræver en aftale imellem ledelsen og den ansatte)",C20="ikke relevant"),(R20)/4,0)</f>
        <v>0</v>
      </c>
      <c r="EH20" s="671">
        <f>IF(AND(AND(Stamoplysninger!$B$22="Ulempetillæg afspadseres med 25%(Kræver en aftale imellem ledelsen og den ansatte)",I20="X",C20="Ikke relevant")),K20/4,0)</f>
        <v>0</v>
      </c>
      <c r="EI20" s="671">
        <f>IF(AND(AND(Stamoplysninger!$B$22="Ulempetillæg afspadseres med 25%(Kræver en aftale imellem ledelsen og den ansatte)",U20="X",C20="Ikke relevant")),X20/4,0)</f>
        <v>0</v>
      </c>
      <c r="EJ20" s="671">
        <f>IF(AND(AND(AND(Stamoplysninger!$B$22="Ulempetillæg afspadseres med 25%(Kræver en aftale imellem ledelsen og den ansatte)",I20="X",C20="Ikke relevant",S20="X"))),V20/4,0)</f>
        <v>0</v>
      </c>
      <c r="EK20" s="283">
        <f>IF(AND(Stamoplysninger!$B$26="Weekendtimer og weekendtillæg afspadseres.",I20="X"),K20*1.5,0)</f>
        <v>0</v>
      </c>
      <c r="EL20" s="251">
        <f>IF(AND(AND(Stamoplysninger!$B$26="Weekendtimer og weekendtillæg afspadseres.",I20="X",S20="X")),V20*1.5,0)</f>
        <v>0</v>
      </c>
      <c r="EM20" s="674">
        <f>IF(AND(AND(Stamoplysninger!$B$26="Weekendtimer og weekendtillæg afspadseres.",I20="X",C20="ikke relevant")),K20*1.5,0)</f>
        <v>0</v>
      </c>
      <c r="EN20" s="675">
        <f>IF(AND(AND(AND(Stamoplysninger!$B$26="Weekendtimer og weekendtillæg afspadseres.",I20="X",C20="ikke relevant",S20="X"))),(V20*1.5),0)</f>
        <v>0</v>
      </c>
      <c r="EO20" s="283">
        <f>IF(AND(Stamoplysninger!$B$26="Weekendtimer og weekendtillæg udbetales.",I20="X"),K20*1.5,0)</f>
        <v>0</v>
      </c>
      <c r="EP20" s="251">
        <f>IF(AND(AND(Stamoplysninger!$B$26="Weekendtimer og weekendtillæg udbetales.",I20="X",S20="X")),V20*1.5,0)</f>
        <v>0</v>
      </c>
      <c r="EQ20" s="674">
        <f>IF(AND(AND(Stamoplysninger!$B$26="Weekendtimer og weekendtillæg udbetales.",I20="X",C20="ikke relevant")),K20*1.5,0)</f>
        <v>0</v>
      </c>
      <c r="ER20" s="675">
        <f>IF(AND(AND(AND(Stamoplysninger!$B$26="Weekendtimer og weekendtillæg udbetales.",I20="X",C20="ikke relevant",S20="X"))),(V20*1.5),0)</f>
        <v>0</v>
      </c>
      <c r="ES20" s="283">
        <f>IF(AND(Stamoplysninger!$B$26="Der er indgået lokalaftale omkring weekendtimer.(Kræver aftale med TR/FSL) Weekendtillæg afspadseres.",I20="X"),K20*0.5,0)</f>
        <v>0</v>
      </c>
      <c r="ET20" s="251">
        <f>IF(AND(AND(Stamoplysninger!$B$26="Der er indgået lokalaftale omkring weekendtimer.(Kræver aftale med TR/FSL) Weekendtillæg afspadseres.",I20="X",S20="X")),V20*0.5,0)</f>
        <v>0</v>
      </c>
      <c r="EU20" s="674">
        <f>IF(AND(AND(Stamoplysninger!$B$26="Der er indgået lokalaftale omkring weekendtimer.(Kræver aftale med TR/FSL) Weekendtillæg afspadseres.",I20="X",C20="ikke relevant")),K20*0.5,0)</f>
        <v>0</v>
      </c>
      <c r="EV20" s="675">
        <f>IF(AND(AND(AND(Stamoplysninger!$B$26="Der er indgået lokalaftale omkring weekendtimer.(Kræver aftale med TR/FSL) Weekendtillæg afspadseres.",I20="X",C20="ikke relevant",S20="X"))),(V20*0.5),0)</f>
        <v>0</v>
      </c>
      <c r="EW20" s="283">
        <f>IF(AND(Stamoplysninger!$B$26="Der er indgået lokalaftale omkring weekendtimer(Kræver aftale med TR/FSL). Weekendtillæg udbetales.",I20="X"),K20*0.5,0)</f>
        <v>0</v>
      </c>
      <c r="EX20" s="251">
        <f>IF(AND(AND(Stamoplysninger!$B$26="Der er indgået lokalaftale omkring weekendtimer(Kræver aftale med TR/FSL). Weekendtillæg udbetales.",I20="X",S20="X")),V20*0.5,0)</f>
        <v>0</v>
      </c>
      <c r="EY20" s="674">
        <f>IF(AND(AND(Stamoplysninger!$B$26="Der er indgået lokalaftale omkring weekendtimer(Kræver aftale med TR/FSL). Weekendtillæg udbetales.",I20="X",C20="ikke relevant")),K20*0.5,0)</f>
        <v>0</v>
      </c>
      <c r="EZ20" s="675">
        <f>IF(AND(AND(AND(Stamoplysninger!$B$26="Der er indgået lokalaftale omkring weekendtimer(Kræver aftale med TR/FSL). Weekendtillæg udbetales.",I20="X",C20="ikke relevant",S20="X"))),(V20*0.5),0)</f>
        <v>0</v>
      </c>
      <c r="FA20" s="283">
        <f>IF(AND(Stamoplysninger!$B$26="Der er indgået lokalaftale omkring weekendtillæg(Kræver aftale med TR/FSL). Weekendtimerne afspadseres.",I20="X"),K20,0)</f>
        <v>0</v>
      </c>
      <c r="FB20" s="251">
        <f>IF(AND(AND(Stamoplysninger!$B$26="Der er indgået lokalaftale omkring weekendtillæg(Kræver aftale med TR/FSL). Weekendtimerne afspadseres.",I20="X",S20="X")),V20,0)</f>
        <v>0</v>
      </c>
      <c r="FC20" s="674">
        <f>IF(AND(AND(Stamoplysninger!$B$26="Der er indgået lokalaftale omkring weekendtillæg(Kræver aftale med TR/FSL). Weekendtimerne afspadseres..",I20="X",C20="ikke relevant")),K20,0)</f>
        <v>0</v>
      </c>
      <c r="FD20" s="675">
        <f>IF(AND(AND(AND(Stamoplysninger!$B$26="Der er indgået lokalaftale omkring weekendtillæg(Kræver aftale med TR/FSL). Weekendtimerne afspadseres.",I20="X",C20="ikke relevant",S20="X"))),(V20),0)</f>
        <v>0</v>
      </c>
      <c r="FE20" s="283">
        <f>IF(AND(Stamoplysninger!$B$26="Der er indgået lokalaftale omkring weekendtillæg(Kræver aftale med TR/FSL). Weekendtimerne udbetales.",I20="X"),K20,0)</f>
        <v>0</v>
      </c>
      <c r="FF20" s="251">
        <f>IF(AND(AND(Stamoplysninger!$B$26="Der er indgået lokalaftale omkring weekendtillæg(Kræver aftale med TR/FSL). Weekendtimerne udbetales.",I20="X",S20="X")),V20,0)</f>
        <v>0</v>
      </c>
      <c r="FG20" s="674">
        <f>IF(AND(AND(Stamoplysninger!$B$26="Der er indgået lokalaftale omkring weekendtillæg(Kræver aftale med TR/FSL). Weekendtimerne udbetales.",I20="X",C20="ikke relevant")),K20,0)</f>
        <v>0</v>
      </c>
      <c r="FH20" s="675">
        <f>IF(AND(AND(AND(Stamoplysninger!$B$26="Der er indgået lokalaftale omkring weekendtillæg(Kræver aftale med TR/FSL). Weekendtimerne udbetales.",I20="X",C20="ikke relevant",S20="X"))),(V20),0)</f>
        <v>0</v>
      </c>
      <c r="FI20" s="283">
        <f>IF(AND(Stamoplysninger!$B$26="Weekendtimer og weekendtillæg afspadseres.",I20="X"),K20,0)</f>
        <v>0</v>
      </c>
      <c r="FJ20" s="251">
        <f>IF(AND(Stamoplysninger!$B$26="Weekendtimer og weekendtillæg afspadseres.",Y20="X"),(AA20+AL20)/2,0)</f>
        <v>0</v>
      </c>
      <c r="FK20" s="674">
        <f>IF(AND(AND(Stamoplysninger!$B$26="Weekendtimer og weekendtillæg afspadseres.",I20="X",C20="ikke relevant")),K20,0)</f>
        <v>0</v>
      </c>
      <c r="FL20" s="675">
        <f>IF(AND(AND(Stamoplysninger!$B$26="Weekendtimer og weekendtillæg afspadseres.",Y20="X",S20="ikke relevant")),(AA20+AL20)/2,0)</f>
        <v>0</v>
      </c>
      <c r="FM20" s="283">
        <f>IF(AND(Stamoplysninger!$B$26="Der er indgået lokalaftale omkring weekendtillæg(Kræver aftale med TR/FSL). Weekendtimerne afspadseres.",I20="X"),K20,0)</f>
        <v>0</v>
      </c>
      <c r="FN20" s="674">
        <f>IF(AND(AND(Stamoplysninger!$B$26="Der er indgået lokalaftale omkring weekendtillæg(Kræver aftale med TR/FSL). Weekendtimerne afspadseres.",I20="X",C20="ikke relevant")),K20,0)</f>
        <v>0</v>
      </c>
      <c r="FO20" s="283">
        <f>IF(AND(Stamoplysninger!$B$26="Weekendtimer og weekendtillæg udbetales.",I20="X"),K20,0)</f>
        <v>0</v>
      </c>
      <c r="FP20" s="251">
        <f>IF(AND(Stamoplysninger!$B$26="Weekendtimer og weekendtillæg udbetales.",AA20="X"),(AC20+AN20)/2,0)</f>
        <v>0</v>
      </c>
      <c r="FQ20" s="674">
        <f>IF(AND(AND(Stamoplysninger!$B$26="Weekendtimer og weekendtillæg udbetales.",I20="X",C20="ikke relevant")),K20,0)</f>
        <v>0</v>
      </c>
      <c r="FR20" s="688">
        <f>IF(AND(AND(Stamoplysninger!$B$26="Weekendtimer og weekendtillæg udbetales.",AA20="X",U20="ikke relevant")),(AC20+AN20)/2,0)</f>
        <v>0</v>
      </c>
      <c r="FS20" s="283">
        <f t="shared" si="14"/>
        <v>0</v>
      </c>
      <c r="FT20" s="658">
        <f t="shared" si="15"/>
        <v>0</v>
      </c>
      <c r="FU20">
        <f t="shared" si="16"/>
        <v>0</v>
      </c>
      <c r="FV20" s="283">
        <f>IF(AND(Stamoplysninger!$B$26="Der er indgået lokalaftale omkring weekendtimer.(Kræver aftale med TR/FSL) Weekendtillæg afspadseres.",I20="X"),K20,0)</f>
        <v>0</v>
      </c>
      <c r="FW20" s="674">
        <f>IF(AND(AND(Stamoplysninger!$B$26="Der er indgået lokalaftale omkring weekendtimer.(Kræver aftale med TR/FSL) Weekendtillæg afspadseres.",I20="X",C20="ikke relevant")),K20,0)</f>
        <v>0</v>
      </c>
      <c r="FX20" s="283">
        <f>IF(AND(Stamoplysninger!$B$26="Der er indgået lokalaftale omkring weekendtimer(Kræver aftale med TR/FSL). Weekendtillæg udbetales.",I20="X"),K20,0)</f>
        <v>0</v>
      </c>
      <c r="FY20" s="674">
        <f>IF(AND(AND(Stamoplysninger!$B$26="Der er indgået lokalaftale omkring weekendtimer(Kræver aftale med TR/FSL). Weekendtillæg udbetales.",I20="X",C20="ikke relevant")),K20,0)</f>
        <v>0</v>
      </c>
      <c r="FZ20" s="283">
        <f>IF(AND(Stamoplysninger!$B$26="Der er indgået lokalaftale omkring weekendtillæg(Kræver aftale med TR/FSL). Weekendtimerne udbetales.",I20="X"),K20,0)</f>
        <v>0</v>
      </c>
      <c r="GA20" s="674">
        <f>IF(AND(AND(Stamoplysninger!$B$26="Der er indgået lokalaftale omkring weekendtillæg(Kræver aftale med TR/FSL). Weekendtimerne udbetales.",I20="X",C20="ikke relevant")),K20,0)</f>
        <v>0</v>
      </c>
      <c r="GB20" s="283">
        <f>IF(AND(Stamoplysninger!$B$26="Der er indgået lokalaftale omkring weekendtimer og weekendtillæg.(Kræver aftale med TR/FSL).",I20="X"),K20,0)</f>
        <v>0</v>
      </c>
      <c r="GC20" s="674">
        <f>IF(AND(AND(Stamoplysninger!$B$26="Der er indgået lokalaftale omkring weekendtimer og weekendtillæg.(Kræver aftale med TR/FSL).",I20="X",C20="ikke relevant")),K20,0)</f>
        <v>0</v>
      </c>
    </row>
    <row r="21" spans="1:185">
      <c r="A21" s="245">
        <f>IF(ISNUMBER(A20),A20+1,1)</f>
        <v>13</v>
      </c>
      <c r="B21" s="128" t="str">
        <f t="shared" si="0"/>
        <v>sø</v>
      </c>
      <c r="C21" s="129" t="s">
        <v>120</v>
      </c>
      <c r="D21" s="130" t="str">
        <f t="shared" si="1"/>
        <v/>
      </c>
      <c r="E21" s="949"/>
      <c r="F21" s="950"/>
      <c r="G21" s="951"/>
      <c r="H21" s="297"/>
      <c r="I21" s="413"/>
      <c r="J21" s="413"/>
      <c r="K21" s="380"/>
      <c r="L21" s="380"/>
      <c r="M21" s="380"/>
      <c r="N21" s="318">
        <f t="shared" si="18"/>
        <v>0</v>
      </c>
      <c r="O21" s="318">
        <f t="shared" si="19"/>
        <v>0</v>
      </c>
      <c r="P21" s="318">
        <f>IF(Stamoplysninger!$H$29="JA",April!DG21,CX21)</f>
        <v>0</v>
      </c>
      <c r="Q21" s="318">
        <f t="shared" si="20"/>
        <v>0</v>
      </c>
      <c r="R21" s="319"/>
      <c r="S21" s="324"/>
      <c r="T21" s="325"/>
      <c r="U21" s="325"/>
      <c r="V21" s="435"/>
      <c r="W21" s="435"/>
      <c r="X21" s="644"/>
      <c r="Y21">
        <f t="shared" si="21"/>
        <v>0</v>
      </c>
      <c r="Z21" s="437">
        <f t="shared" si="22"/>
        <v>0</v>
      </c>
      <c r="AA21" s="1">
        <f t="shared" si="2"/>
        <v>0</v>
      </c>
      <c r="AB21" s="1">
        <f t="shared" si="3"/>
        <v>0</v>
      </c>
      <c r="AC21" s="1">
        <f t="shared" si="4"/>
        <v>0</v>
      </c>
      <c r="AD21" s="1">
        <f t="shared" si="5"/>
        <v>0</v>
      </c>
      <c r="AE21" s="1">
        <f t="shared" si="6"/>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9">
        <f t="shared" si="7"/>
        <v>0</v>
      </c>
      <c r="BC21" s="1">
        <f t="shared" si="24"/>
        <v>0</v>
      </c>
      <c r="BD21" s="1">
        <f t="shared" si="8"/>
        <v>0</v>
      </c>
      <c r="BE21" s="1">
        <f t="shared" si="9"/>
        <v>0</v>
      </c>
      <c r="BF21" s="1">
        <f t="shared" si="10"/>
        <v>0</v>
      </c>
      <c r="BG21" s="210" t="str">
        <f>IF(AND(C21="Skema 1",B21="ma"),Skemaoplysninger!$E$30,"")</f>
        <v/>
      </c>
      <c r="BH21" s="210" t="str">
        <f>IF(AND(C21="Skema 1",B21="ti"),Skemaoplysninger!$G$30,"")</f>
        <v/>
      </c>
      <c r="BI21" s="210" t="str">
        <f>IF(AND(C21="Skema 1",B21="on"),Skemaoplysninger!$I$30,"")</f>
        <v/>
      </c>
      <c r="BJ21" s="210" t="str">
        <f>IF(AND(C21="Skema 1",B21="to"),Skemaoplysninger!$K$30,"")</f>
        <v/>
      </c>
      <c r="BK21" s="210" t="str">
        <f>IF(AND(C21="Skema 1",B21="fr"),Skemaoplysninger!$M$30,"")</f>
        <v/>
      </c>
      <c r="BL21" s="210" t="str">
        <f>IF(AND(C21="Skema 2",B21="ma"),Skemaoplysninger!$S$30,"")</f>
        <v/>
      </c>
      <c r="BM21" s="210" t="str">
        <f>IF(AND(C21="Skema 2",B21="ti"),Skemaoplysninger!$U$30,"")</f>
        <v/>
      </c>
      <c r="BN21" s="210" t="str">
        <f>IF(AND(C21="Skema 2",B21="on"),Skemaoplysninger!$W$30,"")</f>
        <v/>
      </c>
      <c r="BO21" s="210" t="str">
        <f>IF(AND(C21="Skema 2",B21="to"),Skemaoplysninger!$Y$30,"")</f>
        <v/>
      </c>
      <c r="BP21" s="210" t="str">
        <f>IF(AND(C21="Skema 2",B21="fr"),Skemaoplysninger!$AA$30,"")</f>
        <v/>
      </c>
      <c r="BQ21" s="210" t="str">
        <f>IF(AND(C21="Skema 3",B21="ma"),Skemaoplysninger!$AG$30,"")</f>
        <v/>
      </c>
      <c r="BR21" s="210" t="str">
        <f>IF(AND(C21="Skema 3",B21="ti"),Skemaoplysninger!$AI$30,"")</f>
        <v/>
      </c>
      <c r="BS21" s="210" t="str">
        <f>IF(AND(C21="Skema 3",B21="on"),Skemaoplysninger!$AK$30,"")</f>
        <v/>
      </c>
      <c r="BT21" s="210" t="str">
        <f>IF(AND(C21="Skema 3",B21="to"),Skemaoplysninger!$AM$30,"")</f>
        <v/>
      </c>
      <c r="BU21" s="210" t="str">
        <f>IF(AND(C21="Skema 3",B21="fr"),Skemaoplysninger!$AO$30,"")</f>
        <v/>
      </c>
      <c r="BV21" s="210" t="str">
        <f>IF(AND(C21="Skema 4",B21="ma"),Skemaoplysninger!$AU$30,"")</f>
        <v/>
      </c>
      <c r="BW21" s="210" t="str">
        <f>IF(AND(C21="Skema 4",B21="ti"),Skemaoplysninger!$AW$30,"")</f>
        <v/>
      </c>
      <c r="BX21" s="210" t="str">
        <f>IF(AND(C21="Skema 4",B21="on"),Skemaoplysninger!$AY$30,"")</f>
        <v/>
      </c>
      <c r="BY21" s="210" t="str">
        <f>IF(AND(C21="Skema 4",B21="to"),Skemaoplysninger!$BA$30,"")</f>
        <v/>
      </c>
      <c r="BZ21" s="210" t="str">
        <f>IF(AND(C21="Skema 4",B21="fr"),Skemaoplysninger!$BC$30,"")</f>
        <v/>
      </c>
      <c r="CA21" s="1">
        <f t="shared" si="25"/>
        <v>0</v>
      </c>
      <c r="CB21" s="1">
        <f t="shared" si="11"/>
        <v>0</v>
      </c>
      <c r="CC21" s="1">
        <f t="shared" si="12"/>
        <v>0</v>
      </c>
      <c r="CD21" s="210" t="str">
        <f>IF(AND(C21="Skema 1",B21="ma"),Skemaoplysninger!$E$31,"")</f>
        <v/>
      </c>
      <c r="CE21" s="210" t="str">
        <f>IF(AND(C21="Skema 1",B21="ti"),Skemaoplysninger!$G$31,"")</f>
        <v/>
      </c>
      <c r="CF21" s="210" t="str">
        <f>IF(AND(C21="Skema 1",B21="on"),Skemaoplysninger!$I$31,"")</f>
        <v/>
      </c>
      <c r="CG21" s="210" t="str">
        <f>IF(AND(C21="Skema 1",B21="to"),Skemaoplysninger!$K$31,"")</f>
        <v/>
      </c>
      <c r="CH21" s="210" t="str">
        <f>IF(AND(C21="Skema 1",B21="fr"),Skemaoplysninger!$M$31,"")</f>
        <v/>
      </c>
      <c r="CI21" s="210" t="str">
        <f>IF(AND(C21="Skema 2",B21="ma"),Skemaoplysninger!$S$31,"")</f>
        <v/>
      </c>
      <c r="CJ21" s="210" t="str">
        <f>IF(AND(C21="Skema 2",B21="ti"),Skemaoplysninger!$U$31,"")</f>
        <v/>
      </c>
      <c r="CK21" s="210" t="str">
        <f>IF(AND(C21="Skema 2",B21="on"),Skemaoplysninger!$W$31,"")</f>
        <v/>
      </c>
      <c r="CL21" s="210" t="str">
        <f>IF(AND(C21="Skema 2",B21="to"),Skemaoplysninger!$Y$31,"")</f>
        <v/>
      </c>
      <c r="CM21" s="210" t="str">
        <f>IF(AND(C21="Skema 2",B21="fr"),Skemaoplysninger!$AA$31,"")</f>
        <v/>
      </c>
      <c r="CN21" s="210" t="str">
        <f>IF(AND(C21="Skema 3",B21="ma"),Skemaoplysninger!$AG$31,"")</f>
        <v/>
      </c>
      <c r="CO21" s="210" t="str">
        <f>IF(AND(C21="Skema 3",B21="ti"),Skemaoplysninger!$AI$31,"")</f>
        <v/>
      </c>
      <c r="CP21" s="210" t="str">
        <f>IF(AND(C21="Skema 3",B21="on"),Skemaoplysninger!$AK$31,"")</f>
        <v/>
      </c>
      <c r="CQ21" s="210" t="str">
        <f>IF(AND(C21="Skema 3",B21="to"),Skemaoplysninger!$AM$31,"")</f>
        <v/>
      </c>
      <c r="CR21" s="210" t="str">
        <f>IF(AND(C21="Skema 3",B21="fr"),Skemaoplysninger!$AO$31,"")</f>
        <v/>
      </c>
      <c r="CS21" s="210" t="str">
        <f>IF(AND(C21="Skema 4",B21="ma"),Skemaoplysninger!$AU$31,"")</f>
        <v/>
      </c>
      <c r="CT21" s="210" t="str">
        <f>IF(AND(C21="Skema 4",B21="ti"),Skemaoplysninger!$AW$31,"")</f>
        <v/>
      </c>
      <c r="CU21" s="210" t="str">
        <f>IF(AND(C21="Skema 4",B21="on"),Skemaoplysninger!$AY$31,"")</f>
        <v/>
      </c>
      <c r="CV21" s="210" t="str">
        <f>IF(AND(C21="Skema 4",B21="to"),Skemaoplysninger!$BA$31,"")</f>
        <v/>
      </c>
      <c r="CW21" s="210" t="str">
        <f>IF(AND(C21="Skema 4",B21="fr"),Skemaoplysninger!$BC$31,"")</f>
        <v/>
      </c>
      <c r="CX21" s="249">
        <f>IF(Stamoplysninger!$H$29="NEJ",SUM(CD21:CW21)*24+CB21+CC21,0)</f>
        <v>0</v>
      </c>
      <c r="CY21" s="249">
        <f>IF(C21="Skema 1",Stamoplysninger!$H$30/200,0)</f>
        <v>0</v>
      </c>
      <c r="CZ21" s="249">
        <f>IF(C21="Skema 2",Stamoplysninger!$H$30/200,0)</f>
        <v>0</v>
      </c>
      <c r="DA21" s="249">
        <f>IF(C21="Skema 3",Stamoplysninger!$H$30/200,0)</f>
        <v>0</v>
      </c>
      <c r="DB21" s="249">
        <f>IF(C21="Skema 4",Stamoplysninger!$H$30/200,0)</f>
        <v>0</v>
      </c>
      <c r="DC21" s="249">
        <f>IF(C21="fagdag",Stamoplysninger!$H$30/200,0)</f>
        <v>0</v>
      </c>
      <c r="DD21" s="249">
        <f>IF(C21="emnedag",Stamoplysninger!$H$30/200,0)</f>
        <v>0</v>
      </c>
      <c r="DE21" s="249">
        <f>IF(C21="lejrskole",Stamoplysninger!$H$30/200,0)</f>
        <v>0</v>
      </c>
      <c r="DF21" s="249">
        <f>IF(C21="ekskursion",Stamoplysninger!$H$30/200,0)</f>
        <v>0</v>
      </c>
      <c r="DG21" s="249">
        <f t="shared" si="26"/>
        <v>0</v>
      </c>
      <c r="DH21" t="str">
        <f t="shared" si="27"/>
        <v/>
      </c>
      <c r="DI21">
        <f t="shared" si="28"/>
        <v>0</v>
      </c>
      <c r="DJ21">
        <f t="shared" si="29"/>
        <v>0</v>
      </c>
      <c r="DK21" t="str">
        <f t="shared" si="13"/>
        <v/>
      </c>
      <c r="DL21" t="str">
        <f t="shared" si="13"/>
        <v/>
      </c>
      <c r="DM21" t="str">
        <f t="shared" si="13"/>
        <v/>
      </c>
      <c r="DN21" t="str">
        <f t="shared" si="30"/>
        <v/>
      </c>
      <c r="DO21" s="652">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71">
        <f>IF(AND(Stamoplysninger!$B$22="Ulempetillæg udbetales med 25% af nettotimelønnen.",C21="ikke relevant"),(R21)/4,0)</f>
        <v>0</v>
      </c>
      <c r="DT21" s="671">
        <f>IF(AND(AND(Stamoplysninger!$B$22="Ulempetillæg udbetales med 25% af nettotimelønnen.",I21="X",C21="Ikke relevant")),K21/4,0)</f>
        <v>0</v>
      </c>
      <c r="DU21" s="671">
        <f>IF(AND(AND(Stamoplysninger!$B$22="Ulempetillæg udbetales med 25% af nettotimelønnen.",C21="ikke relevant",U21="X")),(X21/4),0)</f>
        <v>0</v>
      </c>
      <c r="DV21" s="672">
        <f>IF(AND(AND(AND(Stamoplysninger!$B$22="Ulempetillæg udbetales med 25% af nettotimelønnen.",I21="X",C21="Ikke relevant",S21="X"))),V21/4,0)</f>
        <v>0</v>
      </c>
      <c r="DW21" s="652"/>
      <c r="DZ21" s="671"/>
      <c r="EA21" s="671"/>
      <c r="EB21" s="672"/>
      <c r="EC21" s="652">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71">
        <f>IF(AND(Stamoplysninger!$B$22="Ulempetillæg afspadseres med 25%(Kræver en aftale imellem ledelsen og den ansatte)",C21="ikke relevant"),(R21)/4,0)</f>
        <v>0</v>
      </c>
      <c r="EH21" s="671">
        <f>IF(AND(AND(Stamoplysninger!$B$22="Ulempetillæg afspadseres med 25%(Kræver en aftale imellem ledelsen og den ansatte)",I21="X",C21="Ikke relevant")),K21/4,0)</f>
        <v>0</v>
      </c>
      <c r="EI21" s="671">
        <f>IF(AND(AND(Stamoplysninger!$B$22="Ulempetillæg afspadseres med 25%(Kræver en aftale imellem ledelsen og den ansatte)",U21="X",C21="Ikke relevant")),X21/4,0)</f>
        <v>0</v>
      </c>
      <c r="EJ21" s="671">
        <f>IF(AND(AND(AND(Stamoplysninger!$B$22="Ulempetillæg afspadseres med 25%(Kræver en aftale imellem ledelsen og den ansatte)",I21="X",C21="Ikke relevant",S21="X"))),V21/4,0)</f>
        <v>0</v>
      </c>
      <c r="EK21" s="283">
        <f>IF(AND(Stamoplysninger!$B$26="Weekendtimer og weekendtillæg afspadseres.",I21="X"),K21*1.5,0)</f>
        <v>0</v>
      </c>
      <c r="EL21" s="251">
        <f>IF(AND(AND(Stamoplysninger!$B$26="Weekendtimer og weekendtillæg afspadseres.",I21="X",S21="X")),V21*1.5,0)</f>
        <v>0</v>
      </c>
      <c r="EM21" s="674">
        <f>IF(AND(AND(Stamoplysninger!$B$26="Weekendtimer og weekendtillæg afspadseres.",I21="X",C21="ikke relevant")),K21*1.5,0)</f>
        <v>0</v>
      </c>
      <c r="EN21" s="675">
        <f>IF(AND(AND(AND(Stamoplysninger!$B$26="Weekendtimer og weekendtillæg afspadseres.",I21="X",C21="ikke relevant",S21="X"))),(V21*1.5),0)</f>
        <v>0</v>
      </c>
      <c r="EO21" s="283">
        <f>IF(AND(Stamoplysninger!$B$26="Weekendtimer og weekendtillæg udbetales.",I21="X"),K21*1.5,0)</f>
        <v>0</v>
      </c>
      <c r="EP21" s="251">
        <f>IF(AND(AND(Stamoplysninger!$B$26="Weekendtimer og weekendtillæg udbetales.",I21="X",S21="X")),V21*1.5,0)</f>
        <v>0</v>
      </c>
      <c r="EQ21" s="674">
        <f>IF(AND(AND(Stamoplysninger!$B$26="Weekendtimer og weekendtillæg udbetales.",I21="X",C21="ikke relevant")),K21*1.5,0)</f>
        <v>0</v>
      </c>
      <c r="ER21" s="675">
        <f>IF(AND(AND(AND(Stamoplysninger!$B$26="Weekendtimer og weekendtillæg udbetales.",I21="X",C21="ikke relevant",S21="X"))),(V21*1.5),0)</f>
        <v>0</v>
      </c>
      <c r="ES21" s="283">
        <f>IF(AND(Stamoplysninger!$B$26="Der er indgået lokalaftale omkring weekendtimer.(Kræver aftale med TR/FSL) Weekendtillæg afspadseres.",I21="X"),K21*0.5,0)</f>
        <v>0</v>
      </c>
      <c r="ET21" s="251">
        <f>IF(AND(AND(Stamoplysninger!$B$26="Der er indgået lokalaftale omkring weekendtimer.(Kræver aftale med TR/FSL) Weekendtillæg afspadseres.",I21="X",S21="X")),V21*0.5,0)</f>
        <v>0</v>
      </c>
      <c r="EU21" s="674">
        <f>IF(AND(AND(Stamoplysninger!$B$26="Der er indgået lokalaftale omkring weekendtimer.(Kræver aftale med TR/FSL) Weekendtillæg afspadseres.",I21="X",C21="ikke relevant")),K21*0.5,0)</f>
        <v>0</v>
      </c>
      <c r="EV21" s="675">
        <f>IF(AND(AND(AND(Stamoplysninger!$B$26="Der er indgået lokalaftale omkring weekendtimer.(Kræver aftale med TR/FSL) Weekendtillæg afspadseres.",I21="X",C21="ikke relevant",S21="X"))),(V21*0.5),0)</f>
        <v>0</v>
      </c>
      <c r="EW21" s="283">
        <f>IF(AND(Stamoplysninger!$B$26="Der er indgået lokalaftale omkring weekendtimer(Kræver aftale med TR/FSL). Weekendtillæg udbetales.",I21="X"),K21*0.5,0)</f>
        <v>0</v>
      </c>
      <c r="EX21" s="251">
        <f>IF(AND(AND(Stamoplysninger!$B$26="Der er indgået lokalaftale omkring weekendtimer(Kræver aftale med TR/FSL). Weekendtillæg udbetales.",I21="X",S21="X")),V21*0.5,0)</f>
        <v>0</v>
      </c>
      <c r="EY21" s="674">
        <f>IF(AND(AND(Stamoplysninger!$B$26="Der er indgået lokalaftale omkring weekendtimer(Kræver aftale med TR/FSL). Weekendtillæg udbetales.",I21="X",C21="ikke relevant")),K21*0.5,0)</f>
        <v>0</v>
      </c>
      <c r="EZ21" s="675">
        <f>IF(AND(AND(AND(Stamoplysninger!$B$26="Der er indgået lokalaftale omkring weekendtimer(Kræver aftale med TR/FSL). Weekendtillæg udbetales.",I21="X",C21="ikke relevant",S21="X"))),(V21*0.5),0)</f>
        <v>0</v>
      </c>
      <c r="FA21" s="283">
        <f>IF(AND(Stamoplysninger!$B$26="Der er indgået lokalaftale omkring weekendtillæg(Kræver aftale med TR/FSL). Weekendtimerne afspadseres.",I21="X"),K21,0)</f>
        <v>0</v>
      </c>
      <c r="FB21" s="251">
        <f>IF(AND(AND(Stamoplysninger!$B$26="Der er indgået lokalaftale omkring weekendtillæg(Kræver aftale med TR/FSL). Weekendtimerne afspadseres.",I21="X",S21="X")),V21,0)</f>
        <v>0</v>
      </c>
      <c r="FC21" s="674">
        <f>IF(AND(AND(Stamoplysninger!$B$26="Der er indgået lokalaftale omkring weekendtillæg(Kræver aftale med TR/FSL). Weekendtimerne afspadseres..",I21="X",C21="ikke relevant")),K21,0)</f>
        <v>0</v>
      </c>
      <c r="FD21" s="675">
        <f>IF(AND(AND(AND(Stamoplysninger!$B$26="Der er indgået lokalaftale omkring weekendtillæg(Kræver aftale med TR/FSL). Weekendtimerne afspadseres.",I21="X",C21="ikke relevant",S21="X"))),(V21),0)</f>
        <v>0</v>
      </c>
      <c r="FE21" s="283">
        <f>IF(AND(Stamoplysninger!$B$26="Der er indgået lokalaftale omkring weekendtillæg(Kræver aftale med TR/FSL). Weekendtimerne udbetales.",I21="X"),K21,0)</f>
        <v>0</v>
      </c>
      <c r="FF21" s="251">
        <f>IF(AND(AND(Stamoplysninger!$B$26="Der er indgået lokalaftale omkring weekendtillæg(Kræver aftale med TR/FSL). Weekendtimerne udbetales.",I21="X",S21="X")),V21,0)</f>
        <v>0</v>
      </c>
      <c r="FG21" s="674">
        <f>IF(AND(AND(Stamoplysninger!$B$26="Der er indgået lokalaftale omkring weekendtillæg(Kræver aftale med TR/FSL). Weekendtimerne udbetales.",I21="X",C21="ikke relevant")),K21,0)</f>
        <v>0</v>
      </c>
      <c r="FH21" s="675">
        <f>IF(AND(AND(AND(Stamoplysninger!$B$26="Der er indgået lokalaftale omkring weekendtillæg(Kræver aftale med TR/FSL). Weekendtimerne udbetales.",I21="X",C21="ikke relevant",S21="X"))),(V21),0)</f>
        <v>0</v>
      </c>
      <c r="FI21" s="283">
        <f>IF(AND(Stamoplysninger!$B$26="Weekendtimer og weekendtillæg afspadseres.",I21="X"),K21,0)</f>
        <v>0</v>
      </c>
      <c r="FJ21" s="251">
        <f>IF(AND(Stamoplysninger!$B$26="Weekendtimer og weekendtillæg afspadseres.",Y21="X"),(AA21+AL21)/2,0)</f>
        <v>0</v>
      </c>
      <c r="FK21" s="674">
        <f>IF(AND(AND(Stamoplysninger!$B$26="Weekendtimer og weekendtillæg afspadseres.",I21="X",C21="ikke relevant")),K21,0)</f>
        <v>0</v>
      </c>
      <c r="FL21" s="675">
        <f>IF(AND(AND(Stamoplysninger!$B$26="Weekendtimer og weekendtillæg afspadseres.",Y21="X",S21="ikke relevant")),(AA21+AL21)/2,0)</f>
        <v>0</v>
      </c>
      <c r="FM21" s="283">
        <f>IF(AND(Stamoplysninger!$B$26="Der er indgået lokalaftale omkring weekendtillæg(Kræver aftale med TR/FSL). Weekendtimerne afspadseres.",I21="X"),K21,0)</f>
        <v>0</v>
      </c>
      <c r="FN21" s="674">
        <f>IF(AND(AND(Stamoplysninger!$B$26="Der er indgået lokalaftale omkring weekendtillæg(Kræver aftale med TR/FSL). Weekendtimerne afspadseres.",I21="X",C21="ikke relevant")),K21,0)</f>
        <v>0</v>
      </c>
      <c r="FO21" s="283">
        <f>IF(AND(Stamoplysninger!$B$26="Weekendtimer og weekendtillæg udbetales.",I21="X"),K21,0)</f>
        <v>0</v>
      </c>
      <c r="FP21" s="251">
        <f>IF(AND(Stamoplysninger!$B$26="Weekendtimer og weekendtillæg udbetales.",AA21="X"),(AC21+AN21)/2,0)</f>
        <v>0</v>
      </c>
      <c r="FQ21" s="674">
        <f>IF(AND(AND(Stamoplysninger!$B$26="Weekendtimer og weekendtillæg udbetales.",I21="X",C21="ikke relevant")),K21,0)</f>
        <v>0</v>
      </c>
      <c r="FR21" s="688">
        <f>IF(AND(AND(Stamoplysninger!$B$26="Weekendtimer og weekendtillæg udbetales.",AA21="X",U21="ikke relevant")),(AC21+AN21)/2,0)</f>
        <v>0</v>
      </c>
      <c r="FS21" s="283">
        <f t="shared" si="14"/>
        <v>0</v>
      </c>
      <c r="FT21" s="658">
        <f t="shared" si="15"/>
        <v>0</v>
      </c>
      <c r="FU21">
        <f t="shared" si="16"/>
        <v>0</v>
      </c>
      <c r="FV21" s="283">
        <f>IF(AND(Stamoplysninger!$B$26="Der er indgået lokalaftale omkring weekendtimer.(Kræver aftale med TR/FSL) Weekendtillæg afspadseres.",I21="X"),K21,0)</f>
        <v>0</v>
      </c>
      <c r="FW21" s="674">
        <f>IF(AND(AND(Stamoplysninger!$B$26="Der er indgået lokalaftale omkring weekendtimer.(Kræver aftale med TR/FSL) Weekendtillæg afspadseres.",I21="X",C21="ikke relevant")),K21,0)</f>
        <v>0</v>
      </c>
      <c r="FX21" s="283">
        <f>IF(AND(Stamoplysninger!$B$26="Der er indgået lokalaftale omkring weekendtimer(Kræver aftale med TR/FSL). Weekendtillæg udbetales.",I21="X"),K21,0)</f>
        <v>0</v>
      </c>
      <c r="FY21" s="674">
        <f>IF(AND(AND(Stamoplysninger!$B$26="Der er indgået lokalaftale omkring weekendtimer(Kræver aftale med TR/FSL). Weekendtillæg udbetales.",I21="X",C21="ikke relevant")),K21,0)</f>
        <v>0</v>
      </c>
      <c r="FZ21" s="283">
        <f>IF(AND(Stamoplysninger!$B$26="Der er indgået lokalaftale omkring weekendtillæg(Kræver aftale med TR/FSL). Weekendtimerne udbetales.",I21="X"),K21,0)</f>
        <v>0</v>
      </c>
      <c r="GA21" s="674">
        <f>IF(AND(AND(Stamoplysninger!$B$26="Der er indgået lokalaftale omkring weekendtillæg(Kræver aftale med TR/FSL). Weekendtimerne udbetales.",I21="X",C21="ikke relevant")),K21,0)</f>
        <v>0</v>
      </c>
      <c r="GB21" s="283">
        <f>IF(AND(Stamoplysninger!$B$26="Der er indgået lokalaftale omkring weekendtimer og weekendtillæg.(Kræver aftale med TR/FSL).",I21="X"),K21,0)</f>
        <v>0</v>
      </c>
      <c r="GC21" s="674">
        <f>IF(AND(AND(Stamoplysninger!$B$26="Der er indgået lokalaftale omkring weekendtimer og weekendtillæg.(Kræver aftale med TR/FSL).",I21="X",C21="ikke relevant")),K21,0)</f>
        <v>0</v>
      </c>
    </row>
    <row r="22" spans="1:185">
      <c r="A22" s="245">
        <f t="shared" si="17"/>
        <v>14</v>
      </c>
      <c r="B22" s="128" t="str">
        <f t="shared" si="0"/>
        <v>ma</v>
      </c>
      <c r="C22" s="129" t="s">
        <v>128</v>
      </c>
      <c r="D22" s="130">
        <f t="shared" si="1"/>
        <v>15.714285714285714</v>
      </c>
      <c r="E22" s="949"/>
      <c r="F22" s="950"/>
      <c r="G22" s="951"/>
      <c r="H22" s="297"/>
      <c r="I22" s="527"/>
      <c r="J22" s="413"/>
      <c r="K22" s="380"/>
      <c r="L22" s="380"/>
      <c r="M22" s="380"/>
      <c r="N22" s="318">
        <f t="shared" si="18"/>
        <v>0</v>
      </c>
      <c r="O22" s="318">
        <f t="shared" si="19"/>
        <v>0</v>
      </c>
      <c r="P22" s="318">
        <f>IF(Stamoplysninger!$H$29="JA",April!DG22,CX22)</f>
        <v>0</v>
      </c>
      <c r="Q22" s="318">
        <f t="shared" si="20"/>
        <v>0</v>
      </c>
      <c r="R22" s="319"/>
      <c r="S22" s="324"/>
      <c r="T22" s="325"/>
      <c r="U22" s="325"/>
      <c r="V22" s="435"/>
      <c r="W22" s="435"/>
      <c r="X22" s="644"/>
      <c r="Y22">
        <f t="shared" si="21"/>
        <v>0</v>
      </c>
      <c r="Z22" s="437">
        <f t="shared" si="22"/>
        <v>0</v>
      </c>
      <c r="AA22" s="1">
        <f t="shared" si="2"/>
        <v>0</v>
      </c>
      <c r="AB22" s="1">
        <f t="shared" si="3"/>
        <v>0</v>
      </c>
      <c r="AC22" s="1">
        <f t="shared" si="4"/>
        <v>0</v>
      </c>
      <c r="AD22" s="1">
        <f t="shared" si="5"/>
        <v>0</v>
      </c>
      <c r="AE22" s="1">
        <f t="shared" si="6"/>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9">
        <f t="shared" si="7"/>
        <v>0</v>
      </c>
      <c r="BC22" s="1">
        <f t="shared" si="24"/>
        <v>0</v>
      </c>
      <c r="BD22" s="1">
        <f t="shared" si="8"/>
        <v>0</v>
      </c>
      <c r="BE22" s="1">
        <f t="shared" si="9"/>
        <v>0</v>
      </c>
      <c r="BF22" s="1">
        <f t="shared" si="10"/>
        <v>0</v>
      </c>
      <c r="BG22" s="210" t="str">
        <f>IF(AND(C22="Skema 1",B22="ma"),Skemaoplysninger!$E$30,"")</f>
        <v/>
      </c>
      <c r="BH22" s="210" t="str">
        <f>IF(AND(C22="Skema 1",B22="ti"),Skemaoplysninger!$G$30,"")</f>
        <v/>
      </c>
      <c r="BI22" s="210" t="str">
        <f>IF(AND(C22="Skema 1",B22="on"),Skemaoplysninger!$I$30,"")</f>
        <v/>
      </c>
      <c r="BJ22" s="210" t="str">
        <f>IF(AND(C22="Skema 1",B22="to"),Skemaoplysninger!$K$30,"")</f>
        <v/>
      </c>
      <c r="BK22" s="210" t="str">
        <f>IF(AND(C22="Skema 1",B22="fr"),Skemaoplysninger!$M$30,"")</f>
        <v/>
      </c>
      <c r="BL22" s="210" t="str">
        <f>IF(AND(C22="Skema 2",B22="ma"),Skemaoplysninger!$S$30,"")</f>
        <v/>
      </c>
      <c r="BM22" s="210" t="str">
        <f>IF(AND(C22="Skema 2",B22="ti"),Skemaoplysninger!$U$30,"")</f>
        <v/>
      </c>
      <c r="BN22" s="210" t="str">
        <f>IF(AND(C22="Skema 2",B22="on"),Skemaoplysninger!$W$30,"")</f>
        <v/>
      </c>
      <c r="BO22" s="210" t="str">
        <f>IF(AND(C22="Skema 2",B22="to"),Skemaoplysninger!$Y$30,"")</f>
        <v/>
      </c>
      <c r="BP22" s="210" t="str">
        <f>IF(AND(C22="Skema 2",B22="fr"),Skemaoplysninger!$AA$30,"")</f>
        <v/>
      </c>
      <c r="BQ22" s="210" t="str">
        <f>IF(AND(C22="Skema 3",B22="ma"),Skemaoplysninger!$AG$30,"")</f>
        <v/>
      </c>
      <c r="BR22" s="210" t="str">
        <f>IF(AND(C22="Skema 3",B22="ti"),Skemaoplysninger!$AI$30,"")</f>
        <v/>
      </c>
      <c r="BS22" s="210" t="str">
        <f>IF(AND(C22="Skema 3",B22="on"),Skemaoplysninger!$AK$30,"")</f>
        <v/>
      </c>
      <c r="BT22" s="210" t="str">
        <f>IF(AND(C22="Skema 3",B22="to"),Skemaoplysninger!$AM$30,"")</f>
        <v/>
      </c>
      <c r="BU22" s="210" t="str">
        <f>IF(AND(C22="Skema 3",B22="fr"),Skemaoplysninger!$AO$30,"")</f>
        <v/>
      </c>
      <c r="BV22" s="210" t="str">
        <f>IF(AND(C22="Skema 4",B22="ma"),Skemaoplysninger!$AU$30,"")</f>
        <v/>
      </c>
      <c r="BW22" s="210" t="str">
        <f>IF(AND(C22="Skema 4",B22="ti"),Skemaoplysninger!$AW$30,"")</f>
        <v/>
      </c>
      <c r="BX22" s="210" t="str">
        <f>IF(AND(C22="Skema 4",B22="on"),Skemaoplysninger!$AY$30,"")</f>
        <v/>
      </c>
      <c r="BY22" s="210" t="str">
        <f>IF(AND(C22="Skema 4",B22="to"),Skemaoplysninger!$BA$30,"")</f>
        <v/>
      </c>
      <c r="BZ22" s="210" t="str">
        <f>IF(AND(C22="Skema 4",B22="fr"),Skemaoplysninger!$BC$30,"")</f>
        <v/>
      </c>
      <c r="CA22" s="1">
        <f t="shared" si="25"/>
        <v>0</v>
      </c>
      <c r="CB22" s="1">
        <f t="shared" si="11"/>
        <v>0</v>
      </c>
      <c r="CC22" s="1">
        <f t="shared" si="12"/>
        <v>0</v>
      </c>
      <c r="CD22" s="210" t="str">
        <f>IF(AND(C22="Skema 1",B22="ma"),Skemaoplysninger!$E$31,"")</f>
        <v/>
      </c>
      <c r="CE22" s="210" t="str">
        <f>IF(AND(C22="Skema 1",B22="ti"),Skemaoplysninger!$G$31,"")</f>
        <v/>
      </c>
      <c r="CF22" s="210" t="str">
        <f>IF(AND(C22="Skema 1",B22="on"),Skemaoplysninger!$I$31,"")</f>
        <v/>
      </c>
      <c r="CG22" s="210" t="str">
        <f>IF(AND(C22="Skema 1",B22="to"),Skemaoplysninger!$K$31,"")</f>
        <v/>
      </c>
      <c r="CH22" s="210" t="str">
        <f>IF(AND(C22="Skema 1",B22="fr"),Skemaoplysninger!$M$31,"")</f>
        <v/>
      </c>
      <c r="CI22" s="210" t="str">
        <f>IF(AND(C22="Skema 2",B22="ma"),Skemaoplysninger!$S$31,"")</f>
        <v/>
      </c>
      <c r="CJ22" s="210" t="str">
        <f>IF(AND(C22="Skema 2",B22="ti"),Skemaoplysninger!$U$31,"")</f>
        <v/>
      </c>
      <c r="CK22" s="210" t="str">
        <f>IF(AND(C22="Skema 2",B22="on"),Skemaoplysninger!$W$31,"")</f>
        <v/>
      </c>
      <c r="CL22" s="210" t="str">
        <f>IF(AND(C22="Skema 2",B22="to"),Skemaoplysninger!$Y$31,"")</f>
        <v/>
      </c>
      <c r="CM22" s="210" t="str">
        <f>IF(AND(C22="Skema 2",B22="fr"),Skemaoplysninger!$AA$31,"")</f>
        <v/>
      </c>
      <c r="CN22" s="210" t="str">
        <f>IF(AND(C22="Skema 3",B22="ma"),Skemaoplysninger!$AG$31,"")</f>
        <v/>
      </c>
      <c r="CO22" s="210" t="str">
        <f>IF(AND(C22="Skema 3",B22="ti"),Skemaoplysninger!$AI$31,"")</f>
        <v/>
      </c>
      <c r="CP22" s="210" t="str">
        <f>IF(AND(C22="Skema 3",B22="on"),Skemaoplysninger!$AK$31,"")</f>
        <v/>
      </c>
      <c r="CQ22" s="210" t="str">
        <f>IF(AND(C22="Skema 3",B22="to"),Skemaoplysninger!$AM$31,"")</f>
        <v/>
      </c>
      <c r="CR22" s="210" t="str">
        <f>IF(AND(C22="Skema 3",B22="fr"),Skemaoplysninger!$AO$31,"")</f>
        <v/>
      </c>
      <c r="CS22" s="210" t="str">
        <f>IF(AND(C22="Skema 4",B22="ma"),Skemaoplysninger!$AU$31,"")</f>
        <v/>
      </c>
      <c r="CT22" s="210" t="str">
        <f>IF(AND(C22="Skema 4",B22="ti"),Skemaoplysninger!$AW$31,"")</f>
        <v/>
      </c>
      <c r="CU22" s="210" t="str">
        <f>IF(AND(C22="Skema 4",B22="on"),Skemaoplysninger!$AY$31,"")</f>
        <v/>
      </c>
      <c r="CV22" s="210" t="str">
        <f>IF(AND(C22="Skema 4",B22="to"),Skemaoplysninger!$BA$31,"")</f>
        <v/>
      </c>
      <c r="CW22" s="210" t="str">
        <f>IF(AND(C22="Skema 4",B22="fr"),Skemaoplysninger!$BC$31,"")</f>
        <v/>
      </c>
      <c r="CX22" s="249">
        <f>IF(Stamoplysninger!$H$29="NEJ",SUM(CD22:CW22)*24+CB22+CC22,0)</f>
        <v>0</v>
      </c>
      <c r="CY22" s="249">
        <f>IF(C22="Skema 1",Stamoplysninger!$H$30/200,0)</f>
        <v>0</v>
      </c>
      <c r="CZ22" s="249">
        <f>IF(C22="Skema 2",Stamoplysninger!$H$30/200,0)</f>
        <v>0</v>
      </c>
      <c r="DA22" s="249">
        <f>IF(C22="Skema 3",Stamoplysninger!$H$30/200,0)</f>
        <v>0</v>
      </c>
      <c r="DB22" s="249">
        <f>IF(C22="Skema 4",Stamoplysninger!$H$30/200,0)</f>
        <v>0</v>
      </c>
      <c r="DC22" s="249">
        <f>IF(C22="fagdag",Stamoplysninger!$H$30/200,0)</f>
        <v>0</v>
      </c>
      <c r="DD22" s="249">
        <f>IF(C22="emnedag",Stamoplysninger!$H$30/200,0)</f>
        <v>0</v>
      </c>
      <c r="DE22" s="249">
        <f>IF(C22="lejrskole",Stamoplysninger!$H$30/200,0)</f>
        <v>0</v>
      </c>
      <c r="DF22" s="249">
        <f>IF(C22="ekskursion",Stamoplysninger!$H$30/200,0)</f>
        <v>0</v>
      </c>
      <c r="DG22" s="249">
        <f t="shared" si="26"/>
        <v>0</v>
      </c>
      <c r="DH22" t="str">
        <f t="shared" si="27"/>
        <v/>
      </c>
      <c r="DI22">
        <f t="shared" si="28"/>
        <v>0</v>
      </c>
      <c r="DJ22">
        <f t="shared" si="29"/>
        <v>0</v>
      </c>
      <c r="DK22" t="str">
        <f t="shared" si="13"/>
        <v/>
      </c>
      <c r="DL22" t="str">
        <f t="shared" si="13"/>
        <v/>
      </c>
      <c r="DM22" t="str">
        <f t="shared" si="13"/>
        <v/>
      </c>
      <c r="DN22" t="str">
        <f t="shared" si="30"/>
        <v/>
      </c>
      <c r="DO22" s="652">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71">
        <f>IF(AND(Stamoplysninger!$B$22="Ulempetillæg udbetales med 25% af nettotimelønnen.",C22="ikke relevant"),(R22)/4,0)</f>
        <v>0</v>
      </c>
      <c r="DT22" s="671">
        <f>IF(AND(AND(Stamoplysninger!$B$22="Ulempetillæg udbetales med 25% af nettotimelønnen.",I22="X",C22="Ikke relevant")),K22/4,0)</f>
        <v>0</v>
      </c>
      <c r="DU22" s="671">
        <f>IF(AND(AND(Stamoplysninger!$B$22="Ulempetillæg udbetales med 25% af nettotimelønnen.",C22="ikke relevant",U22="X")),(X22/4),0)</f>
        <v>0</v>
      </c>
      <c r="DV22" s="672">
        <f>IF(AND(AND(AND(Stamoplysninger!$B$22="Ulempetillæg udbetales med 25% af nettotimelønnen.",I22="X",C22="Ikke relevant",S22="X"))),V22/4,0)</f>
        <v>0</v>
      </c>
      <c r="DW22" s="652"/>
      <c r="DZ22" s="671"/>
      <c r="EA22" s="671"/>
      <c r="EB22" s="672"/>
      <c r="EC22" s="652">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71">
        <f>IF(AND(Stamoplysninger!$B$22="Ulempetillæg afspadseres med 25%(Kræver en aftale imellem ledelsen og den ansatte)",C22="ikke relevant"),(R22)/4,0)</f>
        <v>0</v>
      </c>
      <c r="EH22" s="671">
        <f>IF(AND(AND(Stamoplysninger!$B$22="Ulempetillæg afspadseres med 25%(Kræver en aftale imellem ledelsen og den ansatte)",I22="X",C22="Ikke relevant")),K22/4,0)</f>
        <v>0</v>
      </c>
      <c r="EI22" s="671">
        <f>IF(AND(AND(Stamoplysninger!$B$22="Ulempetillæg afspadseres med 25%(Kræver en aftale imellem ledelsen og den ansatte)",U22="X",C22="Ikke relevant")),X22/4,0)</f>
        <v>0</v>
      </c>
      <c r="EJ22" s="671">
        <f>IF(AND(AND(AND(Stamoplysninger!$B$22="Ulempetillæg afspadseres med 25%(Kræver en aftale imellem ledelsen og den ansatte)",I22="X",C22="Ikke relevant",S22="X"))),V22/4,0)</f>
        <v>0</v>
      </c>
      <c r="EK22" s="283">
        <f>IF(AND(Stamoplysninger!$B$26="Weekendtimer og weekendtillæg afspadseres.",I22="X"),K22*1.5,0)</f>
        <v>0</v>
      </c>
      <c r="EL22" s="251">
        <f>IF(AND(AND(Stamoplysninger!$B$26="Weekendtimer og weekendtillæg afspadseres.",I22="X",S22="X")),V22*1.5,0)</f>
        <v>0</v>
      </c>
      <c r="EM22" s="674">
        <f>IF(AND(AND(Stamoplysninger!$B$26="Weekendtimer og weekendtillæg afspadseres.",I22="X",C22="ikke relevant")),K22*1.5,0)</f>
        <v>0</v>
      </c>
      <c r="EN22" s="675">
        <f>IF(AND(AND(AND(Stamoplysninger!$B$26="Weekendtimer og weekendtillæg afspadseres.",I22="X",C22="ikke relevant",S22="X"))),(V22*1.5),0)</f>
        <v>0</v>
      </c>
      <c r="EO22" s="283">
        <f>IF(AND(Stamoplysninger!$B$26="Weekendtimer og weekendtillæg udbetales.",I22="X"),K22*1.5,0)</f>
        <v>0</v>
      </c>
      <c r="EP22" s="251">
        <f>IF(AND(AND(Stamoplysninger!$B$26="Weekendtimer og weekendtillæg udbetales.",I22="X",S22="X")),V22*1.5,0)</f>
        <v>0</v>
      </c>
      <c r="EQ22" s="674">
        <f>IF(AND(AND(Stamoplysninger!$B$26="Weekendtimer og weekendtillæg udbetales.",I22="X",C22="ikke relevant")),K22*1.5,0)</f>
        <v>0</v>
      </c>
      <c r="ER22" s="675">
        <f>IF(AND(AND(AND(Stamoplysninger!$B$26="Weekendtimer og weekendtillæg udbetales.",I22="X",C22="ikke relevant",S22="X"))),(V22*1.5),0)</f>
        <v>0</v>
      </c>
      <c r="ES22" s="283">
        <f>IF(AND(Stamoplysninger!$B$26="Der er indgået lokalaftale omkring weekendtimer.(Kræver aftale med TR/FSL) Weekendtillæg afspadseres.",I22="X"),K22*0.5,0)</f>
        <v>0</v>
      </c>
      <c r="ET22" s="251">
        <f>IF(AND(AND(Stamoplysninger!$B$26="Der er indgået lokalaftale omkring weekendtimer.(Kræver aftale med TR/FSL) Weekendtillæg afspadseres.",I22="X",S22="X")),V22*0.5,0)</f>
        <v>0</v>
      </c>
      <c r="EU22" s="674">
        <f>IF(AND(AND(Stamoplysninger!$B$26="Der er indgået lokalaftale omkring weekendtimer.(Kræver aftale med TR/FSL) Weekendtillæg afspadseres.",I22="X",C22="ikke relevant")),K22*0.5,0)</f>
        <v>0</v>
      </c>
      <c r="EV22" s="675">
        <f>IF(AND(AND(AND(Stamoplysninger!$B$26="Der er indgået lokalaftale omkring weekendtimer.(Kræver aftale med TR/FSL) Weekendtillæg afspadseres.",I22="X",C22="ikke relevant",S22="X"))),(V22*0.5),0)</f>
        <v>0</v>
      </c>
      <c r="EW22" s="283">
        <f>IF(AND(Stamoplysninger!$B$26="Der er indgået lokalaftale omkring weekendtimer(Kræver aftale med TR/FSL). Weekendtillæg udbetales.",I22="X"),K22*0.5,0)</f>
        <v>0</v>
      </c>
      <c r="EX22" s="251">
        <f>IF(AND(AND(Stamoplysninger!$B$26="Der er indgået lokalaftale omkring weekendtimer(Kræver aftale med TR/FSL). Weekendtillæg udbetales.",I22="X",S22="X")),V22*0.5,0)</f>
        <v>0</v>
      </c>
      <c r="EY22" s="674">
        <f>IF(AND(AND(Stamoplysninger!$B$26="Der er indgået lokalaftale omkring weekendtimer(Kræver aftale med TR/FSL). Weekendtillæg udbetales.",I22="X",C22="ikke relevant")),K22*0.5,0)</f>
        <v>0</v>
      </c>
      <c r="EZ22" s="675">
        <f>IF(AND(AND(AND(Stamoplysninger!$B$26="Der er indgået lokalaftale omkring weekendtimer(Kræver aftale med TR/FSL). Weekendtillæg udbetales.",I22="X",C22="ikke relevant",S22="X"))),(V22*0.5),0)</f>
        <v>0</v>
      </c>
      <c r="FA22" s="283">
        <f>IF(AND(Stamoplysninger!$B$26="Der er indgået lokalaftale omkring weekendtillæg(Kræver aftale med TR/FSL). Weekendtimerne afspadseres.",I22="X"),K22,0)</f>
        <v>0</v>
      </c>
      <c r="FB22" s="251">
        <f>IF(AND(AND(Stamoplysninger!$B$26="Der er indgået lokalaftale omkring weekendtillæg(Kræver aftale med TR/FSL). Weekendtimerne afspadseres.",I22="X",S22="X")),V22,0)</f>
        <v>0</v>
      </c>
      <c r="FC22" s="674">
        <f>IF(AND(AND(Stamoplysninger!$B$26="Der er indgået lokalaftale omkring weekendtillæg(Kræver aftale med TR/FSL). Weekendtimerne afspadseres..",I22="X",C22="ikke relevant")),K22,0)</f>
        <v>0</v>
      </c>
      <c r="FD22" s="675">
        <f>IF(AND(AND(AND(Stamoplysninger!$B$26="Der er indgået lokalaftale omkring weekendtillæg(Kræver aftale med TR/FSL). Weekendtimerne afspadseres.",I22="X",C22="ikke relevant",S22="X"))),(V22),0)</f>
        <v>0</v>
      </c>
      <c r="FE22" s="283">
        <f>IF(AND(Stamoplysninger!$B$26="Der er indgået lokalaftale omkring weekendtillæg(Kræver aftale med TR/FSL). Weekendtimerne udbetales.",I22="X"),K22,0)</f>
        <v>0</v>
      </c>
      <c r="FF22" s="251">
        <f>IF(AND(AND(Stamoplysninger!$B$26="Der er indgået lokalaftale omkring weekendtillæg(Kræver aftale med TR/FSL). Weekendtimerne udbetales.",I22="X",S22="X")),V22,0)</f>
        <v>0</v>
      </c>
      <c r="FG22" s="674">
        <f>IF(AND(AND(Stamoplysninger!$B$26="Der er indgået lokalaftale omkring weekendtillæg(Kræver aftale med TR/FSL). Weekendtimerne udbetales.",I22="X",C22="ikke relevant")),K22,0)</f>
        <v>0</v>
      </c>
      <c r="FH22" s="675">
        <f>IF(AND(AND(AND(Stamoplysninger!$B$26="Der er indgået lokalaftale omkring weekendtillæg(Kræver aftale med TR/FSL). Weekendtimerne udbetales.",I22="X",C22="ikke relevant",S22="X"))),(V22),0)</f>
        <v>0</v>
      </c>
      <c r="FI22" s="283">
        <f>IF(AND(Stamoplysninger!$B$26="Weekendtimer og weekendtillæg afspadseres.",I22="X"),K22,0)</f>
        <v>0</v>
      </c>
      <c r="FJ22" s="251">
        <f>IF(AND(Stamoplysninger!$B$26="Weekendtimer og weekendtillæg afspadseres.",Y22="X"),(AA22+AL22)/2,0)</f>
        <v>0</v>
      </c>
      <c r="FK22" s="674">
        <f>IF(AND(AND(Stamoplysninger!$B$26="Weekendtimer og weekendtillæg afspadseres.",I22="X",C22="ikke relevant")),K22,0)</f>
        <v>0</v>
      </c>
      <c r="FL22" s="675">
        <f>IF(AND(AND(Stamoplysninger!$B$26="Weekendtimer og weekendtillæg afspadseres.",Y22="X",S22="ikke relevant")),(AA22+AL22)/2,0)</f>
        <v>0</v>
      </c>
      <c r="FM22" s="283">
        <f>IF(AND(Stamoplysninger!$B$26="Der er indgået lokalaftale omkring weekendtillæg(Kræver aftale med TR/FSL). Weekendtimerne afspadseres.",I22="X"),K22,0)</f>
        <v>0</v>
      </c>
      <c r="FN22" s="674">
        <f>IF(AND(AND(Stamoplysninger!$B$26="Der er indgået lokalaftale omkring weekendtillæg(Kræver aftale med TR/FSL). Weekendtimerne afspadseres.",I22="X",C22="ikke relevant")),K22,0)</f>
        <v>0</v>
      </c>
      <c r="FO22" s="283">
        <f>IF(AND(Stamoplysninger!$B$26="Weekendtimer og weekendtillæg udbetales.",I22="X"),K22,0)</f>
        <v>0</v>
      </c>
      <c r="FP22" s="251">
        <f>IF(AND(Stamoplysninger!$B$26="Weekendtimer og weekendtillæg udbetales.",AA22="X"),(AC22+AN22)/2,0)</f>
        <v>0</v>
      </c>
      <c r="FQ22" s="674">
        <f>IF(AND(AND(Stamoplysninger!$B$26="Weekendtimer og weekendtillæg udbetales.",I22="X",C22="ikke relevant")),K22,0)</f>
        <v>0</v>
      </c>
      <c r="FR22" s="688">
        <f>IF(AND(AND(Stamoplysninger!$B$26="Weekendtimer og weekendtillæg udbetales.",AA22="X",U22="ikke relevant")),(AC22+AN22)/2,0)</f>
        <v>0</v>
      </c>
      <c r="FS22" s="283">
        <f t="shared" si="14"/>
        <v>0</v>
      </c>
      <c r="FT22" s="658">
        <f t="shared" si="15"/>
        <v>0</v>
      </c>
      <c r="FU22">
        <f t="shared" si="16"/>
        <v>0</v>
      </c>
      <c r="FV22" s="283">
        <f>IF(AND(Stamoplysninger!$B$26="Der er indgået lokalaftale omkring weekendtimer.(Kræver aftale med TR/FSL) Weekendtillæg afspadseres.",I22="X"),K22,0)</f>
        <v>0</v>
      </c>
      <c r="FW22" s="674">
        <f>IF(AND(AND(Stamoplysninger!$B$26="Der er indgået lokalaftale omkring weekendtimer.(Kræver aftale med TR/FSL) Weekendtillæg afspadseres.",I22="X",C22="ikke relevant")),K22,0)</f>
        <v>0</v>
      </c>
      <c r="FX22" s="283">
        <f>IF(AND(Stamoplysninger!$B$26="Der er indgået lokalaftale omkring weekendtimer(Kræver aftale med TR/FSL). Weekendtillæg udbetales.",I22="X"),K22,0)</f>
        <v>0</v>
      </c>
      <c r="FY22" s="674">
        <f>IF(AND(AND(Stamoplysninger!$B$26="Der er indgået lokalaftale omkring weekendtimer(Kræver aftale med TR/FSL). Weekendtillæg udbetales.",I22="X",C22="ikke relevant")),K22,0)</f>
        <v>0</v>
      </c>
      <c r="FZ22" s="283">
        <f>IF(AND(Stamoplysninger!$B$26="Der er indgået lokalaftale omkring weekendtillæg(Kræver aftale med TR/FSL). Weekendtimerne udbetales.",I22="X"),K22,0)</f>
        <v>0</v>
      </c>
      <c r="GA22" s="674">
        <f>IF(AND(AND(Stamoplysninger!$B$26="Der er indgået lokalaftale omkring weekendtillæg(Kræver aftale med TR/FSL). Weekendtimerne udbetales.",I22="X",C22="ikke relevant")),K22,0)</f>
        <v>0</v>
      </c>
      <c r="GB22" s="283">
        <f>IF(AND(Stamoplysninger!$B$26="Der er indgået lokalaftale omkring weekendtimer og weekendtillæg.(Kræver aftale med TR/FSL).",I22="X"),K22,0)</f>
        <v>0</v>
      </c>
      <c r="GC22" s="674">
        <f>IF(AND(AND(Stamoplysninger!$B$26="Der er indgået lokalaftale omkring weekendtimer og weekendtillæg.(Kræver aftale med TR/FSL).",I22="X",C22="ikke relevant")),K22,0)</f>
        <v>0</v>
      </c>
    </row>
    <row r="23" spans="1:185">
      <c r="A23" s="245">
        <f t="shared" si="17"/>
        <v>15</v>
      </c>
      <c r="B23" s="128" t="str">
        <f t="shared" si="0"/>
        <v>ti</v>
      </c>
      <c r="C23" s="129" t="s">
        <v>128</v>
      </c>
      <c r="D23" s="130" t="str">
        <f t="shared" si="1"/>
        <v/>
      </c>
      <c r="E23" s="949"/>
      <c r="F23" s="950"/>
      <c r="G23" s="951"/>
      <c r="H23" s="297"/>
      <c r="I23" s="527"/>
      <c r="J23" s="413"/>
      <c r="K23" s="380"/>
      <c r="L23" s="380"/>
      <c r="M23" s="380"/>
      <c r="N23" s="318">
        <f t="shared" si="18"/>
        <v>0</v>
      </c>
      <c r="O23" s="318">
        <f t="shared" si="19"/>
        <v>0</v>
      </c>
      <c r="P23" s="318">
        <f>IF(Stamoplysninger!$H$29="JA",April!DG23,CX23)</f>
        <v>0</v>
      </c>
      <c r="Q23" s="318">
        <f t="shared" si="20"/>
        <v>0</v>
      </c>
      <c r="R23" s="319"/>
      <c r="S23" s="324"/>
      <c r="T23" s="325"/>
      <c r="U23" s="325"/>
      <c r="V23" s="435"/>
      <c r="W23" s="435"/>
      <c r="X23" s="644"/>
      <c r="Y23">
        <f t="shared" si="21"/>
        <v>0</v>
      </c>
      <c r="Z23" s="437">
        <f t="shared" si="22"/>
        <v>0</v>
      </c>
      <c r="AA23" s="1">
        <f t="shared" si="2"/>
        <v>0</v>
      </c>
      <c r="AB23" s="1">
        <f t="shared" si="3"/>
        <v>0</v>
      </c>
      <c r="AC23" s="1">
        <f t="shared" si="4"/>
        <v>0</v>
      </c>
      <c r="AD23" s="1">
        <f t="shared" si="5"/>
        <v>0</v>
      </c>
      <c r="AE23" s="1">
        <f t="shared" si="6"/>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9">
        <f t="shared" si="7"/>
        <v>0</v>
      </c>
      <c r="BC23" s="1">
        <f t="shared" si="24"/>
        <v>0</v>
      </c>
      <c r="BD23" s="1">
        <f t="shared" si="8"/>
        <v>0</v>
      </c>
      <c r="BE23" s="1">
        <f t="shared" si="9"/>
        <v>0</v>
      </c>
      <c r="BF23" s="1">
        <f t="shared" si="10"/>
        <v>0</v>
      </c>
      <c r="BG23" s="210" t="str">
        <f>IF(AND(C23="Skema 1",B23="ma"),Skemaoplysninger!$E$30,"")</f>
        <v/>
      </c>
      <c r="BH23" s="210" t="str">
        <f>IF(AND(C23="Skema 1",B23="ti"),Skemaoplysninger!$G$30,"")</f>
        <v/>
      </c>
      <c r="BI23" s="210" t="str">
        <f>IF(AND(C23="Skema 1",B23="on"),Skemaoplysninger!$I$30,"")</f>
        <v/>
      </c>
      <c r="BJ23" s="210" t="str">
        <f>IF(AND(C23="Skema 1",B23="to"),Skemaoplysninger!$K$30,"")</f>
        <v/>
      </c>
      <c r="BK23" s="210" t="str">
        <f>IF(AND(C23="Skema 1",B23="fr"),Skemaoplysninger!$M$30,"")</f>
        <v/>
      </c>
      <c r="BL23" s="210" t="str">
        <f>IF(AND(C23="Skema 2",B23="ma"),Skemaoplysninger!$S$30,"")</f>
        <v/>
      </c>
      <c r="BM23" s="210" t="str">
        <f>IF(AND(C23="Skema 2",B23="ti"),Skemaoplysninger!$U$30,"")</f>
        <v/>
      </c>
      <c r="BN23" s="210" t="str">
        <f>IF(AND(C23="Skema 2",B23="on"),Skemaoplysninger!$W$30,"")</f>
        <v/>
      </c>
      <c r="BO23" s="210" t="str">
        <f>IF(AND(C23="Skema 2",B23="to"),Skemaoplysninger!$Y$30,"")</f>
        <v/>
      </c>
      <c r="BP23" s="210" t="str">
        <f>IF(AND(C23="Skema 2",B23="fr"),Skemaoplysninger!$AA$30,"")</f>
        <v/>
      </c>
      <c r="BQ23" s="210" t="str">
        <f>IF(AND(C23="Skema 3",B23="ma"),Skemaoplysninger!$AG$30,"")</f>
        <v/>
      </c>
      <c r="BR23" s="210" t="str">
        <f>IF(AND(C23="Skema 3",B23="ti"),Skemaoplysninger!$AI$30,"")</f>
        <v/>
      </c>
      <c r="BS23" s="210" t="str">
        <f>IF(AND(C23="Skema 3",B23="on"),Skemaoplysninger!$AK$30,"")</f>
        <v/>
      </c>
      <c r="BT23" s="210" t="str">
        <f>IF(AND(C23="Skema 3",B23="to"),Skemaoplysninger!$AM$30,"")</f>
        <v/>
      </c>
      <c r="BU23" s="210" t="str">
        <f>IF(AND(C23="Skema 3",B23="fr"),Skemaoplysninger!$AO$30,"")</f>
        <v/>
      </c>
      <c r="BV23" s="210" t="str">
        <f>IF(AND(C23="Skema 4",B23="ma"),Skemaoplysninger!$AU$30,"")</f>
        <v/>
      </c>
      <c r="BW23" s="210" t="str">
        <f>IF(AND(C23="Skema 4",B23="ti"),Skemaoplysninger!$AW$30,"")</f>
        <v/>
      </c>
      <c r="BX23" s="210" t="str">
        <f>IF(AND(C23="Skema 4",B23="on"),Skemaoplysninger!$AY$30,"")</f>
        <v/>
      </c>
      <c r="BY23" s="210" t="str">
        <f>IF(AND(C23="Skema 4",B23="to"),Skemaoplysninger!$BA$30,"")</f>
        <v/>
      </c>
      <c r="BZ23" s="210" t="str">
        <f>IF(AND(C23="Skema 4",B23="fr"),Skemaoplysninger!$BC$30,"")</f>
        <v/>
      </c>
      <c r="CA23" s="1">
        <f t="shared" si="25"/>
        <v>0</v>
      </c>
      <c r="CB23" s="1">
        <f t="shared" si="11"/>
        <v>0</v>
      </c>
      <c r="CC23" s="1">
        <f t="shared" si="12"/>
        <v>0</v>
      </c>
      <c r="CD23" s="210" t="str">
        <f>IF(AND(C23="Skema 1",B23="ma"),Skemaoplysninger!$E$31,"")</f>
        <v/>
      </c>
      <c r="CE23" s="210" t="str">
        <f>IF(AND(C23="Skema 1",B23="ti"),Skemaoplysninger!$G$31,"")</f>
        <v/>
      </c>
      <c r="CF23" s="210" t="str">
        <f>IF(AND(C23="Skema 1",B23="on"),Skemaoplysninger!$I$31,"")</f>
        <v/>
      </c>
      <c r="CG23" s="210" t="str">
        <f>IF(AND(C23="Skema 1",B23="to"),Skemaoplysninger!$K$31,"")</f>
        <v/>
      </c>
      <c r="CH23" s="210" t="str">
        <f>IF(AND(C23="Skema 1",B23="fr"),Skemaoplysninger!$M$31,"")</f>
        <v/>
      </c>
      <c r="CI23" s="210" t="str">
        <f>IF(AND(C23="Skema 2",B23="ma"),Skemaoplysninger!$S$31,"")</f>
        <v/>
      </c>
      <c r="CJ23" s="210" t="str">
        <f>IF(AND(C23="Skema 2",B23="ti"),Skemaoplysninger!$U$31,"")</f>
        <v/>
      </c>
      <c r="CK23" s="210" t="str">
        <f>IF(AND(C23="Skema 2",B23="on"),Skemaoplysninger!$W$31,"")</f>
        <v/>
      </c>
      <c r="CL23" s="210" t="str">
        <f>IF(AND(C23="Skema 2",B23="to"),Skemaoplysninger!$Y$31,"")</f>
        <v/>
      </c>
      <c r="CM23" s="210" t="str">
        <f>IF(AND(C23="Skema 2",B23="fr"),Skemaoplysninger!$AA$31,"")</f>
        <v/>
      </c>
      <c r="CN23" s="210" t="str">
        <f>IF(AND(C23="Skema 3",B23="ma"),Skemaoplysninger!$AG$31,"")</f>
        <v/>
      </c>
      <c r="CO23" s="210" t="str">
        <f>IF(AND(C23="Skema 3",B23="ti"),Skemaoplysninger!$AI$31,"")</f>
        <v/>
      </c>
      <c r="CP23" s="210" t="str">
        <f>IF(AND(C23="Skema 3",B23="on"),Skemaoplysninger!$AK$31,"")</f>
        <v/>
      </c>
      <c r="CQ23" s="210" t="str">
        <f>IF(AND(C23="Skema 3",B23="to"),Skemaoplysninger!$AM$31,"")</f>
        <v/>
      </c>
      <c r="CR23" s="210" t="str">
        <f>IF(AND(C23="Skema 3",B23="fr"),Skemaoplysninger!$AO$31,"")</f>
        <v/>
      </c>
      <c r="CS23" s="210" t="str">
        <f>IF(AND(C23="Skema 4",B23="ma"),Skemaoplysninger!$AU$31,"")</f>
        <v/>
      </c>
      <c r="CT23" s="210" t="str">
        <f>IF(AND(C23="Skema 4",B23="ti"),Skemaoplysninger!$AW$31,"")</f>
        <v/>
      </c>
      <c r="CU23" s="210" t="str">
        <f>IF(AND(C23="Skema 4",B23="on"),Skemaoplysninger!$AY$31,"")</f>
        <v/>
      </c>
      <c r="CV23" s="210" t="str">
        <f>IF(AND(C23="Skema 4",B23="to"),Skemaoplysninger!$BA$31,"")</f>
        <v/>
      </c>
      <c r="CW23" s="210" t="str">
        <f>IF(AND(C23="Skema 4",B23="fr"),Skemaoplysninger!$BC$31,"")</f>
        <v/>
      </c>
      <c r="CX23" s="249">
        <f>IF(Stamoplysninger!$H$29="NEJ",SUM(CD23:CW23)*24+CB23+CC23,0)</f>
        <v>0</v>
      </c>
      <c r="CY23" s="249">
        <f>IF(C23="Skema 1",Stamoplysninger!$H$30/200,0)</f>
        <v>0</v>
      </c>
      <c r="CZ23" s="249">
        <f>IF(C23="Skema 2",Stamoplysninger!$H$30/200,0)</f>
        <v>0</v>
      </c>
      <c r="DA23" s="249">
        <f>IF(C23="Skema 3",Stamoplysninger!$H$30/200,0)</f>
        <v>0</v>
      </c>
      <c r="DB23" s="249">
        <f>IF(C23="Skema 4",Stamoplysninger!$H$30/200,0)</f>
        <v>0</v>
      </c>
      <c r="DC23" s="249">
        <f>IF(C23="fagdag",Stamoplysninger!$H$30/200,0)</f>
        <v>0</v>
      </c>
      <c r="DD23" s="249">
        <f>IF(C23="emnedag",Stamoplysninger!$H$30/200,0)</f>
        <v>0</v>
      </c>
      <c r="DE23" s="249">
        <f>IF(C23="lejrskole",Stamoplysninger!$H$30/200,0)</f>
        <v>0</v>
      </c>
      <c r="DF23" s="249">
        <f>IF(C23="ekskursion",Stamoplysninger!$H$30/200,0)</f>
        <v>0</v>
      </c>
      <c r="DG23" s="249">
        <f t="shared" si="26"/>
        <v>0</v>
      </c>
      <c r="DH23" t="str">
        <f t="shared" si="27"/>
        <v/>
      </c>
      <c r="DI23">
        <f t="shared" si="28"/>
        <v>0</v>
      </c>
      <c r="DJ23">
        <f t="shared" si="29"/>
        <v>0</v>
      </c>
      <c r="DK23" t="str">
        <f t="shared" si="13"/>
        <v/>
      </c>
      <c r="DL23" t="str">
        <f t="shared" si="13"/>
        <v/>
      </c>
      <c r="DM23" t="str">
        <f t="shared" si="13"/>
        <v/>
      </c>
      <c r="DN23" t="str">
        <f t="shared" si="30"/>
        <v/>
      </c>
      <c r="DO23" s="652">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71">
        <f>IF(AND(Stamoplysninger!$B$22="Ulempetillæg udbetales med 25% af nettotimelønnen.",C23="ikke relevant"),(R23)/4,0)</f>
        <v>0</v>
      </c>
      <c r="DT23" s="671">
        <f>IF(AND(AND(Stamoplysninger!$B$22="Ulempetillæg udbetales med 25% af nettotimelønnen.",I23="X",C23="Ikke relevant")),K23/4,0)</f>
        <v>0</v>
      </c>
      <c r="DU23" s="671">
        <f>IF(AND(AND(Stamoplysninger!$B$22="Ulempetillæg udbetales med 25% af nettotimelønnen.",C23="ikke relevant",U23="X")),(X23/4),0)</f>
        <v>0</v>
      </c>
      <c r="DV23" s="672">
        <f>IF(AND(AND(AND(Stamoplysninger!$B$22="Ulempetillæg udbetales med 25% af nettotimelønnen.",I23="X",C23="Ikke relevant",S23="X"))),V23/4,0)</f>
        <v>0</v>
      </c>
      <c r="DW23" s="652"/>
      <c r="DZ23" s="671"/>
      <c r="EA23" s="671"/>
      <c r="EB23" s="672"/>
      <c r="EC23" s="652">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71">
        <f>IF(AND(Stamoplysninger!$B$22="Ulempetillæg afspadseres med 25%(Kræver en aftale imellem ledelsen og den ansatte)",C23="ikke relevant"),(R23)/4,0)</f>
        <v>0</v>
      </c>
      <c r="EH23" s="671">
        <f>IF(AND(AND(Stamoplysninger!$B$22="Ulempetillæg afspadseres med 25%(Kræver en aftale imellem ledelsen og den ansatte)",I23="X",C23="Ikke relevant")),K23/4,0)</f>
        <v>0</v>
      </c>
      <c r="EI23" s="671">
        <f>IF(AND(AND(Stamoplysninger!$B$22="Ulempetillæg afspadseres med 25%(Kræver en aftale imellem ledelsen og den ansatte)",U23="X",C23="Ikke relevant")),X23/4,0)</f>
        <v>0</v>
      </c>
      <c r="EJ23" s="671">
        <f>IF(AND(AND(AND(Stamoplysninger!$B$22="Ulempetillæg afspadseres med 25%(Kræver en aftale imellem ledelsen og den ansatte)",I23="X",C23="Ikke relevant",S23="X"))),V23/4,0)</f>
        <v>0</v>
      </c>
      <c r="EK23" s="283">
        <f>IF(AND(Stamoplysninger!$B$26="Weekendtimer og weekendtillæg afspadseres.",I23="X"),K23*1.5,0)</f>
        <v>0</v>
      </c>
      <c r="EL23" s="251">
        <f>IF(AND(AND(Stamoplysninger!$B$26="Weekendtimer og weekendtillæg afspadseres.",I23="X",S23="X")),V23*1.5,0)</f>
        <v>0</v>
      </c>
      <c r="EM23" s="674">
        <f>IF(AND(AND(Stamoplysninger!$B$26="Weekendtimer og weekendtillæg afspadseres.",I23="X",C23="ikke relevant")),K23*1.5,0)</f>
        <v>0</v>
      </c>
      <c r="EN23" s="675">
        <f>IF(AND(AND(AND(Stamoplysninger!$B$26="Weekendtimer og weekendtillæg afspadseres.",I23="X",C23="ikke relevant",S23="X"))),(V23*1.5),0)</f>
        <v>0</v>
      </c>
      <c r="EO23" s="283">
        <f>IF(AND(Stamoplysninger!$B$26="Weekendtimer og weekendtillæg udbetales.",I23="X"),K23*1.5,0)</f>
        <v>0</v>
      </c>
      <c r="EP23" s="251">
        <f>IF(AND(AND(Stamoplysninger!$B$26="Weekendtimer og weekendtillæg udbetales.",I23="X",S23="X")),V23*1.5,0)</f>
        <v>0</v>
      </c>
      <c r="EQ23" s="674">
        <f>IF(AND(AND(Stamoplysninger!$B$26="Weekendtimer og weekendtillæg udbetales.",I23="X",C23="ikke relevant")),K23*1.5,0)</f>
        <v>0</v>
      </c>
      <c r="ER23" s="675">
        <f>IF(AND(AND(AND(Stamoplysninger!$B$26="Weekendtimer og weekendtillæg udbetales.",I23="X",C23="ikke relevant",S23="X"))),(V23*1.5),0)</f>
        <v>0</v>
      </c>
      <c r="ES23" s="283">
        <f>IF(AND(Stamoplysninger!$B$26="Der er indgået lokalaftale omkring weekendtimer.(Kræver aftale med TR/FSL) Weekendtillæg afspadseres.",I23="X"),K23*0.5,0)</f>
        <v>0</v>
      </c>
      <c r="ET23" s="251">
        <f>IF(AND(AND(Stamoplysninger!$B$26="Der er indgået lokalaftale omkring weekendtimer.(Kræver aftale med TR/FSL) Weekendtillæg afspadseres.",I23="X",S23="X")),V23*0.5,0)</f>
        <v>0</v>
      </c>
      <c r="EU23" s="674">
        <f>IF(AND(AND(Stamoplysninger!$B$26="Der er indgået lokalaftale omkring weekendtimer.(Kræver aftale med TR/FSL) Weekendtillæg afspadseres.",I23="X",C23="ikke relevant")),K23*0.5,0)</f>
        <v>0</v>
      </c>
      <c r="EV23" s="675">
        <f>IF(AND(AND(AND(Stamoplysninger!$B$26="Der er indgået lokalaftale omkring weekendtimer.(Kræver aftale med TR/FSL) Weekendtillæg afspadseres.",I23="X",C23="ikke relevant",S23="X"))),(V23*0.5),0)</f>
        <v>0</v>
      </c>
      <c r="EW23" s="283">
        <f>IF(AND(Stamoplysninger!$B$26="Der er indgået lokalaftale omkring weekendtimer(Kræver aftale med TR/FSL). Weekendtillæg udbetales.",I23="X"),K23*0.5,0)</f>
        <v>0</v>
      </c>
      <c r="EX23" s="251">
        <f>IF(AND(AND(Stamoplysninger!$B$26="Der er indgået lokalaftale omkring weekendtimer(Kræver aftale med TR/FSL). Weekendtillæg udbetales.",I23="X",S23="X")),V23*0.5,0)</f>
        <v>0</v>
      </c>
      <c r="EY23" s="674">
        <f>IF(AND(AND(Stamoplysninger!$B$26="Der er indgået lokalaftale omkring weekendtimer(Kræver aftale med TR/FSL). Weekendtillæg udbetales.",I23="X",C23="ikke relevant")),K23*0.5,0)</f>
        <v>0</v>
      </c>
      <c r="EZ23" s="675">
        <f>IF(AND(AND(AND(Stamoplysninger!$B$26="Der er indgået lokalaftale omkring weekendtimer(Kræver aftale med TR/FSL). Weekendtillæg udbetales.",I23="X",C23="ikke relevant",S23="X"))),(V23*0.5),0)</f>
        <v>0</v>
      </c>
      <c r="FA23" s="283">
        <f>IF(AND(Stamoplysninger!$B$26="Der er indgået lokalaftale omkring weekendtillæg(Kræver aftale med TR/FSL). Weekendtimerne afspadseres.",I23="X"),K23,0)</f>
        <v>0</v>
      </c>
      <c r="FB23" s="251">
        <f>IF(AND(AND(Stamoplysninger!$B$26="Der er indgået lokalaftale omkring weekendtillæg(Kræver aftale med TR/FSL). Weekendtimerne afspadseres.",I23="X",S23="X")),V23,0)</f>
        <v>0</v>
      </c>
      <c r="FC23" s="674">
        <f>IF(AND(AND(Stamoplysninger!$B$26="Der er indgået lokalaftale omkring weekendtillæg(Kræver aftale med TR/FSL). Weekendtimerne afspadseres..",I23="X",C23="ikke relevant")),K23,0)</f>
        <v>0</v>
      </c>
      <c r="FD23" s="675">
        <f>IF(AND(AND(AND(Stamoplysninger!$B$26="Der er indgået lokalaftale omkring weekendtillæg(Kræver aftale med TR/FSL). Weekendtimerne afspadseres.",I23="X",C23="ikke relevant",S23="X"))),(V23),0)</f>
        <v>0</v>
      </c>
      <c r="FE23" s="283">
        <f>IF(AND(Stamoplysninger!$B$26="Der er indgået lokalaftale omkring weekendtillæg(Kræver aftale med TR/FSL). Weekendtimerne udbetales.",I23="X"),K23,0)</f>
        <v>0</v>
      </c>
      <c r="FF23" s="251">
        <f>IF(AND(AND(Stamoplysninger!$B$26="Der er indgået lokalaftale omkring weekendtillæg(Kræver aftale med TR/FSL). Weekendtimerne udbetales.",I23="X",S23="X")),V23,0)</f>
        <v>0</v>
      </c>
      <c r="FG23" s="674">
        <f>IF(AND(AND(Stamoplysninger!$B$26="Der er indgået lokalaftale omkring weekendtillæg(Kræver aftale med TR/FSL). Weekendtimerne udbetales.",I23="X",C23="ikke relevant")),K23,0)</f>
        <v>0</v>
      </c>
      <c r="FH23" s="675">
        <f>IF(AND(AND(AND(Stamoplysninger!$B$26="Der er indgået lokalaftale omkring weekendtillæg(Kræver aftale med TR/FSL). Weekendtimerne udbetales.",I23="X",C23="ikke relevant",S23="X"))),(V23),0)</f>
        <v>0</v>
      </c>
      <c r="FI23" s="283">
        <f>IF(AND(Stamoplysninger!$B$26="Weekendtimer og weekendtillæg afspadseres.",I23="X"),K23,0)</f>
        <v>0</v>
      </c>
      <c r="FJ23" s="251">
        <f>IF(AND(Stamoplysninger!$B$26="Weekendtimer og weekendtillæg afspadseres.",Y23="X"),(AA23+AL23)/2,0)</f>
        <v>0</v>
      </c>
      <c r="FK23" s="674">
        <f>IF(AND(AND(Stamoplysninger!$B$26="Weekendtimer og weekendtillæg afspadseres.",I23="X",C23="ikke relevant")),K23,0)</f>
        <v>0</v>
      </c>
      <c r="FL23" s="675">
        <f>IF(AND(AND(Stamoplysninger!$B$26="Weekendtimer og weekendtillæg afspadseres.",Y23="X",S23="ikke relevant")),(AA23+AL23)/2,0)</f>
        <v>0</v>
      </c>
      <c r="FM23" s="283">
        <f>IF(AND(Stamoplysninger!$B$26="Der er indgået lokalaftale omkring weekendtillæg(Kræver aftale med TR/FSL). Weekendtimerne afspadseres.",I23="X"),K23,0)</f>
        <v>0</v>
      </c>
      <c r="FN23" s="674">
        <f>IF(AND(AND(Stamoplysninger!$B$26="Der er indgået lokalaftale omkring weekendtillæg(Kræver aftale med TR/FSL). Weekendtimerne afspadseres.",I23="X",C23="ikke relevant")),K23,0)</f>
        <v>0</v>
      </c>
      <c r="FO23" s="283">
        <f>IF(AND(Stamoplysninger!$B$26="Weekendtimer og weekendtillæg udbetales.",I23="X"),K23,0)</f>
        <v>0</v>
      </c>
      <c r="FP23" s="251">
        <f>IF(AND(Stamoplysninger!$B$26="Weekendtimer og weekendtillæg udbetales.",AA23="X"),(AC23+AN23)/2,0)</f>
        <v>0</v>
      </c>
      <c r="FQ23" s="674">
        <f>IF(AND(AND(Stamoplysninger!$B$26="Weekendtimer og weekendtillæg udbetales.",I23="X",C23="ikke relevant")),K23,0)</f>
        <v>0</v>
      </c>
      <c r="FR23" s="688">
        <f>IF(AND(AND(Stamoplysninger!$B$26="Weekendtimer og weekendtillæg udbetales.",AA23="X",U23="ikke relevant")),(AC23+AN23)/2,0)</f>
        <v>0</v>
      </c>
      <c r="FS23" s="283">
        <f t="shared" si="14"/>
        <v>0</v>
      </c>
      <c r="FT23" s="658">
        <f t="shared" si="15"/>
        <v>0</v>
      </c>
      <c r="FU23">
        <f t="shared" si="16"/>
        <v>0</v>
      </c>
      <c r="FV23" s="283">
        <f>IF(AND(Stamoplysninger!$B$26="Der er indgået lokalaftale omkring weekendtimer.(Kræver aftale med TR/FSL) Weekendtillæg afspadseres.",I23="X"),K23,0)</f>
        <v>0</v>
      </c>
      <c r="FW23" s="674">
        <f>IF(AND(AND(Stamoplysninger!$B$26="Der er indgået lokalaftale omkring weekendtimer.(Kræver aftale med TR/FSL) Weekendtillæg afspadseres.",I23="X",C23="ikke relevant")),K23,0)</f>
        <v>0</v>
      </c>
      <c r="FX23" s="283">
        <f>IF(AND(Stamoplysninger!$B$26="Der er indgået lokalaftale omkring weekendtimer(Kræver aftale med TR/FSL). Weekendtillæg udbetales.",I23="X"),K23,0)</f>
        <v>0</v>
      </c>
      <c r="FY23" s="674">
        <f>IF(AND(AND(Stamoplysninger!$B$26="Der er indgået lokalaftale omkring weekendtimer(Kræver aftale med TR/FSL). Weekendtillæg udbetales.",I23="X",C23="ikke relevant")),K23,0)</f>
        <v>0</v>
      </c>
      <c r="FZ23" s="283">
        <f>IF(AND(Stamoplysninger!$B$26="Der er indgået lokalaftale omkring weekendtillæg(Kræver aftale med TR/FSL). Weekendtimerne udbetales.",I23="X"),K23,0)</f>
        <v>0</v>
      </c>
      <c r="GA23" s="674">
        <f>IF(AND(AND(Stamoplysninger!$B$26="Der er indgået lokalaftale omkring weekendtillæg(Kræver aftale med TR/FSL). Weekendtimerne udbetales.",I23="X",C23="ikke relevant")),K23,0)</f>
        <v>0</v>
      </c>
      <c r="GB23" s="283">
        <f>IF(AND(Stamoplysninger!$B$26="Der er indgået lokalaftale omkring weekendtimer og weekendtillæg.(Kræver aftale med TR/FSL).",I23="X"),K23,0)</f>
        <v>0</v>
      </c>
      <c r="GC23" s="674">
        <f>IF(AND(AND(Stamoplysninger!$B$26="Der er indgået lokalaftale omkring weekendtimer og weekendtillæg.(Kræver aftale med TR/FSL).",I23="X",C23="ikke relevant")),K23,0)</f>
        <v>0</v>
      </c>
    </row>
    <row r="24" spans="1:185">
      <c r="A24" s="245">
        <f>IF(ISNUMBER(A23),A23+1,1)</f>
        <v>16</v>
      </c>
      <c r="B24" s="128" t="str">
        <f t="shared" si="0"/>
        <v>on</v>
      </c>
      <c r="C24" s="129" t="s">
        <v>128</v>
      </c>
      <c r="D24" s="130" t="str">
        <f t="shared" si="1"/>
        <v/>
      </c>
      <c r="E24" s="917"/>
      <c r="F24" s="918"/>
      <c r="G24" s="919"/>
      <c r="H24" s="298"/>
      <c r="I24" s="527"/>
      <c r="J24" s="413"/>
      <c r="K24" s="380"/>
      <c r="L24" s="380"/>
      <c r="M24" s="380"/>
      <c r="N24" s="318">
        <f t="shared" si="18"/>
        <v>0</v>
      </c>
      <c r="O24" s="318">
        <f t="shared" si="19"/>
        <v>0</v>
      </c>
      <c r="P24" s="318">
        <f>IF(Stamoplysninger!$H$29="JA",April!DG24,CX24)</f>
        <v>0</v>
      </c>
      <c r="Q24" s="318">
        <f t="shared" si="20"/>
        <v>0</v>
      </c>
      <c r="R24" s="319"/>
      <c r="S24" s="324"/>
      <c r="T24" s="325"/>
      <c r="U24" s="325"/>
      <c r="V24" s="435"/>
      <c r="W24" s="435"/>
      <c r="X24" s="644"/>
      <c r="Y24">
        <f t="shared" si="21"/>
        <v>0</v>
      </c>
      <c r="Z24" s="437">
        <f t="shared" si="22"/>
        <v>0</v>
      </c>
      <c r="AA24" s="1">
        <f t="shared" si="2"/>
        <v>0</v>
      </c>
      <c r="AB24" s="1">
        <f t="shared" si="3"/>
        <v>0</v>
      </c>
      <c r="AC24" s="1">
        <f t="shared" si="4"/>
        <v>0</v>
      </c>
      <c r="AD24" s="1">
        <f t="shared" si="5"/>
        <v>0</v>
      </c>
      <c r="AE24" s="1">
        <f t="shared" si="6"/>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9">
        <f t="shared" si="7"/>
        <v>0</v>
      </c>
      <c r="BC24" s="1">
        <f t="shared" si="24"/>
        <v>0</v>
      </c>
      <c r="BD24" s="1">
        <f t="shared" si="8"/>
        <v>0</v>
      </c>
      <c r="BE24" s="1">
        <f t="shared" si="9"/>
        <v>0</v>
      </c>
      <c r="BF24" s="1">
        <f t="shared" si="10"/>
        <v>0</v>
      </c>
      <c r="BG24" s="210" t="str">
        <f>IF(AND(C24="Skema 1",B24="ma"),Skemaoplysninger!$E$30,"")</f>
        <v/>
      </c>
      <c r="BH24" s="210" t="str">
        <f>IF(AND(C24="Skema 1",B24="ti"),Skemaoplysninger!$G$30,"")</f>
        <v/>
      </c>
      <c r="BI24" s="210" t="str">
        <f>IF(AND(C24="Skema 1",B24="on"),Skemaoplysninger!$I$30,"")</f>
        <v/>
      </c>
      <c r="BJ24" s="210" t="str">
        <f>IF(AND(C24="Skema 1",B24="to"),Skemaoplysninger!$K$30,"")</f>
        <v/>
      </c>
      <c r="BK24" s="210" t="str">
        <f>IF(AND(C24="Skema 1",B24="fr"),Skemaoplysninger!$M$30,"")</f>
        <v/>
      </c>
      <c r="BL24" s="210" t="str">
        <f>IF(AND(C24="Skema 2",B24="ma"),Skemaoplysninger!$S$30,"")</f>
        <v/>
      </c>
      <c r="BM24" s="210" t="str">
        <f>IF(AND(C24="Skema 2",B24="ti"),Skemaoplysninger!$U$30,"")</f>
        <v/>
      </c>
      <c r="BN24" s="210" t="str">
        <f>IF(AND(C24="Skema 2",B24="on"),Skemaoplysninger!$W$30,"")</f>
        <v/>
      </c>
      <c r="BO24" s="210" t="str">
        <f>IF(AND(C24="Skema 2",B24="to"),Skemaoplysninger!$Y$30,"")</f>
        <v/>
      </c>
      <c r="BP24" s="210" t="str">
        <f>IF(AND(C24="Skema 2",B24="fr"),Skemaoplysninger!$AA$30,"")</f>
        <v/>
      </c>
      <c r="BQ24" s="210" t="str">
        <f>IF(AND(C24="Skema 3",B24="ma"),Skemaoplysninger!$AG$30,"")</f>
        <v/>
      </c>
      <c r="BR24" s="210" t="str">
        <f>IF(AND(C24="Skema 3",B24="ti"),Skemaoplysninger!$AI$30,"")</f>
        <v/>
      </c>
      <c r="BS24" s="210" t="str">
        <f>IF(AND(C24="Skema 3",B24="on"),Skemaoplysninger!$AK$30,"")</f>
        <v/>
      </c>
      <c r="BT24" s="210" t="str">
        <f>IF(AND(C24="Skema 3",B24="to"),Skemaoplysninger!$AM$30,"")</f>
        <v/>
      </c>
      <c r="BU24" s="210" t="str">
        <f>IF(AND(C24="Skema 3",B24="fr"),Skemaoplysninger!$AO$30,"")</f>
        <v/>
      </c>
      <c r="BV24" s="210" t="str">
        <f>IF(AND(C24="Skema 4",B24="ma"),Skemaoplysninger!$AU$30,"")</f>
        <v/>
      </c>
      <c r="BW24" s="210" t="str">
        <f>IF(AND(C24="Skema 4",B24="ti"),Skemaoplysninger!$AW$30,"")</f>
        <v/>
      </c>
      <c r="BX24" s="210" t="str">
        <f>IF(AND(C24="Skema 4",B24="on"),Skemaoplysninger!$AY$30,"")</f>
        <v/>
      </c>
      <c r="BY24" s="210" t="str">
        <f>IF(AND(C24="Skema 4",B24="to"),Skemaoplysninger!$BA$30,"")</f>
        <v/>
      </c>
      <c r="BZ24" s="210" t="str">
        <f>IF(AND(C24="Skema 4",B24="fr"),Skemaoplysninger!$BC$30,"")</f>
        <v/>
      </c>
      <c r="CA24" s="1">
        <f t="shared" si="25"/>
        <v>0</v>
      </c>
      <c r="CB24" s="1">
        <f t="shared" si="11"/>
        <v>0</v>
      </c>
      <c r="CC24" s="1">
        <f t="shared" si="12"/>
        <v>0</v>
      </c>
      <c r="CD24" s="210" t="str">
        <f>IF(AND(C24="Skema 1",B24="ma"),Skemaoplysninger!$E$31,"")</f>
        <v/>
      </c>
      <c r="CE24" s="210" t="str">
        <f>IF(AND(C24="Skema 1",B24="ti"),Skemaoplysninger!$G$31,"")</f>
        <v/>
      </c>
      <c r="CF24" s="210" t="str">
        <f>IF(AND(C24="Skema 1",B24="on"),Skemaoplysninger!$I$31,"")</f>
        <v/>
      </c>
      <c r="CG24" s="210" t="str">
        <f>IF(AND(C24="Skema 1",B24="to"),Skemaoplysninger!$K$31,"")</f>
        <v/>
      </c>
      <c r="CH24" s="210" t="str">
        <f>IF(AND(C24="Skema 1",B24="fr"),Skemaoplysninger!$M$31,"")</f>
        <v/>
      </c>
      <c r="CI24" s="210" t="str">
        <f>IF(AND(C24="Skema 2",B24="ma"),Skemaoplysninger!$S$31,"")</f>
        <v/>
      </c>
      <c r="CJ24" s="210" t="str">
        <f>IF(AND(C24="Skema 2",B24="ti"),Skemaoplysninger!$U$31,"")</f>
        <v/>
      </c>
      <c r="CK24" s="210" t="str">
        <f>IF(AND(C24="Skema 2",B24="on"),Skemaoplysninger!$W$31,"")</f>
        <v/>
      </c>
      <c r="CL24" s="210" t="str">
        <f>IF(AND(C24="Skema 2",B24="to"),Skemaoplysninger!$Y$31,"")</f>
        <v/>
      </c>
      <c r="CM24" s="210" t="str">
        <f>IF(AND(C24="Skema 2",B24="fr"),Skemaoplysninger!$AA$31,"")</f>
        <v/>
      </c>
      <c r="CN24" s="210" t="str">
        <f>IF(AND(C24="Skema 3",B24="ma"),Skemaoplysninger!$AG$31,"")</f>
        <v/>
      </c>
      <c r="CO24" s="210" t="str">
        <f>IF(AND(C24="Skema 3",B24="ti"),Skemaoplysninger!$AI$31,"")</f>
        <v/>
      </c>
      <c r="CP24" s="210" t="str">
        <f>IF(AND(C24="Skema 3",B24="on"),Skemaoplysninger!$AK$31,"")</f>
        <v/>
      </c>
      <c r="CQ24" s="210" t="str">
        <f>IF(AND(C24="Skema 3",B24="to"),Skemaoplysninger!$AM$31,"")</f>
        <v/>
      </c>
      <c r="CR24" s="210" t="str">
        <f>IF(AND(C24="Skema 3",B24="fr"),Skemaoplysninger!$AO$31,"")</f>
        <v/>
      </c>
      <c r="CS24" s="210" t="str">
        <f>IF(AND(C24="Skema 4",B24="ma"),Skemaoplysninger!$AU$31,"")</f>
        <v/>
      </c>
      <c r="CT24" s="210" t="str">
        <f>IF(AND(C24="Skema 4",B24="ti"),Skemaoplysninger!$AW$31,"")</f>
        <v/>
      </c>
      <c r="CU24" s="210" t="str">
        <f>IF(AND(C24="Skema 4",B24="on"),Skemaoplysninger!$AY$31,"")</f>
        <v/>
      </c>
      <c r="CV24" s="210" t="str">
        <f>IF(AND(C24="Skema 4",B24="to"),Skemaoplysninger!$BA$31,"")</f>
        <v/>
      </c>
      <c r="CW24" s="210" t="str">
        <f>IF(AND(C24="Skema 4",B24="fr"),Skemaoplysninger!$BC$31,"")</f>
        <v/>
      </c>
      <c r="CX24" s="249">
        <f>IF(Stamoplysninger!$H$29="NEJ",SUM(CD24:CW24)*24+CB24+CC24,0)</f>
        <v>0</v>
      </c>
      <c r="CY24" s="249">
        <f>IF(C24="Skema 1",Stamoplysninger!$H$30/200,0)</f>
        <v>0</v>
      </c>
      <c r="CZ24" s="249">
        <f>IF(C24="Skema 2",Stamoplysninger!$H$30/200,0)</f>
        <v>0</v>
      </c>
      <c r="DA24" s="249">
        <f>IF(C24="Skema 3",Stamoplysninger!$H$30/200,0)</f>
        <v>0</v>
      </c>
      <c r="DB24" s="249">
        <f>IF(C24="Skema 4",Stamoplysninger!$H$30/200,0)</f>
        <v>0</v>
      </c>
      <c r="DC24" s="249">
        <f>IF(C24="fagdag",Stamoplysninger!$H$30/200,0)</f>
        <v>0</v>
      </c>
      <c r="DD24" s="249">
        <f>IF(C24="emnedag",Stamoplysninger!$H$30/200,0)</f>
        <v>0</v>
      </c>
      <c r="DE24" s="249">
        <f>IF(C24="lejrskole",Stamoplysninger!$H$30/200,0)</f>
        <v>0</v>
      </c>
      <c r="DF24" s="249">
        <f>IF(C24="ekskursion",Stamoplysninger!$H$30/200,0)</f>
        <v>0</v>
      </c>
      <c r="DG24" s="249">
        <f t="shared" si="26"/>
        <v>0</v>
      </c>
      <c r="DH24" t="str">
        <f t="shared" si="27"/>
        <v/>
      </c>
      <c r="DI24">
        <f t="shared" si="28"/>
        <v>0</v>
      </c>
      <c r="DJ24">
        <f t="shared" si="29"/>
        <v>0</v>
      </c>
      <c r="DK24" t="str">
        <f t="shared" si="13"/>
        <v/>
      </c>
      <c r="DL24" t="str">
        <f t="shared" si="13"/>
        <v/>
      </c>
      <c r="DM24" t="str">
        <f t="shared" si="13"/>
        <v/>
      </c>
      <c r="DN24" t="str">
        <f t="shared" si="30"/>
        <v/>
      </c>
      <c r="DO24" s="652">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71">
        <f>IF(AND(Stamoplysninger!$B$22="Ulempetillæg udbetales med 25% af nettotimelønnen.",C24="ikke relevant"),(R24)/4,0)</f>
        <v>0</v>
      </c>
      <c r="DT24" s="671">
        <f>IF(AND(AND(Stamoplysninger!$B$22="Ulempetillæg udbetales med 25% af nettotimelønnen.",I24="X",C24="Ikke relevant")),K24/4,0)</f>
        <v>0</v>
      </c>
      <c r="DU24" s="671">
        <f>IF(AND(AND(Stamoplysninger!$B$22="Ulempetillæg udbetales med 25% af nettotimelønnen.",C24="ikke relevant",U24="X")),(X24/4),0)</f>
        <v>0</v>
      </c>
      <c r="DV24" s="672">
        <f>IF(AND(AND(AND(Stamoplysninger!$B$22="Ulempetillæg udbetales med 25% af nettotimelønnen.",I24="X",C24="Ikke relevant",S24="X"))),V24/4,0)</f>
        <v>0</v>
      </c>
      <c r="DW24" s="652"/>
      <c r="DZ24" s="671"/>
      <c r="EA24" s="671"/>
      <c r="EB24" s="672"/>
      <c r="EC24" s="652">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71">
        <f>IF(AND(Stamoplysninger!$B$22="Ulempetillæg afspadseres med 25%(Kræver en aftale imellem ledelsen og den ansatte)",C24="ikke relevant"),(R24)/4,0)</f>
        <v>0</v>
      </c>
      <c r="EH24" s="671">
        <f>IF(AND(AND(Stamoplysninger!$B$22="Ulempetillæg afspadseres med 25%(Kræver en aftale imellem ledelsen og den ansatte)",I24="X",C24="Ikke relevant")),K24/4,0)</f>
        <v>0</v>
      </c>
      <c r="EI24" s="671">
        <f>IF(AND(AND(Stamoplysninger!$B$22="Ulempetillæg afspadseres med 25%(Kræver en aftale imellem ledelsen og den ansatte)",U24="X",C24="Ikke relevant")),X24/4,0)</f>
        <v>0</v>
      </c>
      <c r="EJ24" s="671">
        <f>IF(AND(AND(AND(Stamoplysninger!$B$22="Ulempetillæg afspadseres med 25%(Kræver en aftale imellem ledelsen og den ansatte)",I24="X",C24="Ikke relevant",S24="X"))),V24/4,0)</f>
        <v>0</v>
      </c>
      <c r="EK24" s="283">
        <f>IF(AND(Stamoplysninger!$B$26="Weekendtimer og weekendtillæg afspadseres.",I24="X"),K24*1.5,0)</f>
        <v>0</v>
      </c>
      <c r="EL24" s="251">
        <f>IF(AND(AND(Stamoplysninger!$B$26="Weekendtimer og weekendtillæg afspadseres.",I24="X",S24="X")),V24*1.5,0)</f>
        <v>0</v>
      </c>
      <c r="EM24" s="674">
        <f>IF(AND(AND(Stamoplysninger!$B$26="Weekendtimer og weekendtillæg afspadseres.",I24="X",C24="ikke relevant")),K24*1.5,0)</f>
        <v>0</v>
      </c>
      <c r="EN24" s="675">
        <f>IF(AND(AND(AND(Stamoplysninger!$B$26="Weekendtimer og weekendtillæg afspadseres.",I24="X",C24="ikke relevant",S24="X"))),(V24*1.5),0)</f>
        <v>0</v>
      </c>
      <c r="EO24" s="283">
        <f>IF(AND(Stamoplysninger!$B$26="Weekendtimer og weekendtillæg udbetales.",I24="X"),K24*1.5,0)</f>
        <v>0</v>
      </c>
      <c r="EP24" s="251">
        <f>IF(AND(AND(Stamoplysninger!$B$26="Weekendtimer og weekendtillæg udbetales.",I24="X",S24="X")),V24*1.5,0)</f>
        <v>0</v>
      </c>
      <c r="EQ24" s="674">
        <f>IF(AND(AND(Stamoplysninger!$B$26="Weekendtimer og weekendtillæg udbetales.",I24="X",C24="ikke relevant")),K24*1.5,0)</f>
        <v>0</v>
      </c>
      <c r="ER24" s="675">
        <f>IF(AND(AND(AND(Stamoplysninger!$B$26="Weekendtimer og weekendtillæg udbetales.",I24="X",C24="ikke relevant",S24="X"))),(V24*1.5),0)</f>
        <v>0</v>
      </c>
      <c r="ES24" s="283">
        <f>IF(AND(Stamoplysninger!$B$26="Der er indgået lokalaftale omkring weekendtimer.(Kræver aftale med TR/FSL) Weekendtillæg afspadseres.",I24="X"),K24*0.5,0)</f>
        <v>0</v>
      </c>
      <c r="ET24" s="251">
        <f>IF(AND(AND(Stamoplysninger!$B$26="Der er indgået lokalaftale omkring weekendtimer.(Kræver aftale med TR/FSL) Weekendtillæg afspadseres.",I24="X",S24="X")),V24*0.5,0)</f>
        <v>0</v>
      </c>
      <c r="EU24" s="674">
        <f>IF(AND(AND(Stamoplysninger!$B$26="Der er indgået lokalaftale omkring weekendtimer.(Kræver aftale med TR/FSL) Weekendtillæg afspadseres.",I24="X",C24="ikke relevant")),K24*0.5,0)</f>
        <v>0</v>
      </c>
      <c r="EV24" s="675">
        <f>IF(AND(AND(AND(Stamoplysninger!$B$26="Der er indgået lokalaftale omkring weekendtimer.(Kræver aftale med TR/FSL) Weekendtillæg afspadseres.",I24="X",C24="ikke relevant",S24="X"))),(V24*0.5),0)</f>
        <v>0</v>
      </c>
      <c r="EW24" s="283">
        <f>IF(AND(Stamoplysninger!$B$26="Der er indgået lokalaftale omkring weekendtimer(Kræver aftale med TR/FSL). Weekendtillæg udbetales.",I24="X"),K24*0.5,0)</f>
        <v>0</v>
      </c>
      <c r="EX24" s="251">
        <f>IF(AND(AND(Stamoplysninger!$B$26="Der er indgået lokalaftale omkring weekendtimer(Kræver aftale med TR/FSL). Weekendtillæg udbetales.",I24="X",S24="X")),V24*0.5,0)</f>
        <v>0</v>
      </c>
      <c r="EY24" s="674">
        <f>IF(AND(AND(Stamoplysninger!$B$26="Der er indgået lokalaftale omkring weekendtimer(Kræver aftale med TR/FSL). Weekendtillæg udbetales.",I24="X",C24="ikke relevant")),K24*0.5,0)</f>
        <v>0</v>
      </c>
      <c r="EZ24" s="675">
        <f>IF(AND(AND(AND(Stamoplysninger!$B$26="Der er indgået lokalaftale omkring weekendtimer(Kræver aftale med TR/FSL). Weekendtillæg udbetales.",I24="X",C24="ikke relevant",S24="X"))),(V24*0.5),0)</f>
        <v>0</v>
      </c>
      <c r="FA24" s="283">
        <f>IF(AND(Stamoplysninger!$B$26="Der er indgået lokalaftale omkring weekendtillæg(Kræver aftale med TR/FSL). Weekendtimerne afspadseres.",I24="X"),K24,0)</f>
        <v>0</v>
      </c>
      <c r="FB24" s="251">
        <f>IF(AND(AND(Stamoplysninger!$B$26="Der er indgået lokalaftale omkring weekendtillæg(Kræver aftale med TR/FSL). Weekendtimerne afspadseres.",I24="X",S24="X")),V24,0)</f>
        <v>0</v>
      </c>
      <c r="FC24" s="674">
        <f>IF(AND(AND(Stamoplysninger!$B$26="Der er indgået lokalaftale omkring weekendtillæg(Kræver aftale med TR/FSL). Weekendtimerne afspadseres..",I24="X",C24="ikke relevant")),K24,0)</f>
        <v>0</v>
      </c>
      <c r="FD24" s="675">
        <f>IF(AND(AND(AND(Stamoplysninger!$B$26="Der er indgået lokalaftale omkring weekendtillæg(Kræver aftale med TR/FSL). Weekendtimerne afspadseres.",I24="X",C24="ikke relevant",S24="X"))),(V24),0)</f>
        <v>0</v>
      </c>
      <c r="FE24" s="283">
        <f>IF(AND(Stamoplysninger!$B$26="Der er indgået lokalaftale omkring weekendtillæg(Kræver aftale med TR/FSL). Weekendtimerne udbetales.",I24="X"),K24,0)</f>
        <v>0</v>
      </c>
      <c r="FF24" s="251">
        <f>IF(AND(AND(Stamoplysninger!$B$26="Der er indgået lokalaftale omkring weekendtillæg(Kræver aftale med TR/FSL). Weekendtimerne udbetales.",I24="X",S24="X")),V24,0)</f>
        <v>0</v>
      </c>
      <c r="FG24" s="674">
        <f>IF(AND(AND(Stamoplysninger!$B$26="Der er indgået lokalaftale omkring weekendtillæg(Kræver aftale med TR/FSL). Weekendtimerne udbetales.",I24="X",C24="ikke relevant")),K24,0)</f>
        <v>0</v>
      </c>
      <c r="FH24" s="675">
        <f>IF(AND(AND(AND(Stamoplysninger!$B$26="Der er indgået lokalaftale omkring weekendtillæg(Kræver aftale med TR/FSL). Weekendtimerne udbetales.",I24="X",C24="ikke relevant",S24="X"))),(V24),0)</f>
        <v>0</v>
      </c>
      <c r="FI24" s="283">
        <f>IF(AND(Stamoplysninger!$B$26="Weekendtimer og weekendtillæg afspadseres.",I24="X"),K24,0)</f>
        <v>0</v>
      </c>
      <c r="FJ24" s="251">
        <f>IF(AND(Stamoplysninger!$B$26="Weekendtimer og weekendtillæg afspadseres.",Y24="X"),(AA24+AL24)/2,0)</f>
        <v>0</v>
      </c>
      <c r="FK24" s="674">
        <f>IF(AND(AND(Stamoplysninger!$B$26="Weekendtimer og weekendtillæg afspadseres.",I24="X",C24="ikke relevant")),K24,0)</f>
        <v>0</v>
      </c>
      <c r="FL24" s="675">
        <f>IF(AND(AND(Stamoplysninger!$B$26="Weekendtimer og weekendtillæg afspadseres.",Y24="X",S24="ikke relevant")),(AA24+AL24)/2,0)</f>
        <v>0</v>
      </c>
      <c r="FM24" s="283">
        <f>IF(AND(Stamoplysninger!$B$26="Der er indgået lokalaftale omkring weekendtillæg(Kræver aftale med TR/FSL). Weekendtimerne afspadseres.",I24="X"),K24,0)</f>
        <v>0</v>
      </c>
      <c r="FN24" s="674">
        <f>IF(AND(AND(Stamoplysninger!$B$26="Der er indgået lokalaftale omkring weekendtillæg(Kræver aftale med TR/FSL). Weekendtimerne afspadseres.",I24="X",C24="ikke relevant")),K24,0)</f>
        <v>0</v>
      </c>
      <c r="FO24" s="283">
        <f>IF(AND(Stamoplysninger!$B$26="Weekendtimer og weekendtillæg udbetales.",I24="X"),K24,0)</f>
        <v>0</v>
      </c>
      <c r="FP24" s="251">
        <f>IF(AND(Stamoplysninger!$B$26="Weekendtimer og weekendtillæg udbetales.",AA24="X"),(AC24+AN24)/2,0)</f>
        <v>0</v>
      </c>
      <c r="FQ24" s="674">
        <f>IF(AND(AND(Stamoplysninger!$B$26="Weekendtimer og weekendtillæg udbetales.",I24="X",C24="ikke relevant")),K24,0)</f>
        <v>0</v>
      </c>
      <c r="FR24" s="688">
        <f>IF(AND(AND(Stamoplysninger!$B$26="Weekendtimer og weekendtillæg udbetales.",AA24="X",U24="ikke relevant")),(AC24+AN24)/2,0)</f>
        <v>0</v>
      </c>
      <c r="FS24" s="283">
        <f t="shared" si="14"/>
        <v>0</v>
      </c>
      <c r="FT24" s="658">
        <f t="shared" si="15"/>
        <v>0</v>
      </c>
      <c r="FU24">
        <f t="shared" si="16"/>
        <v>0</v>
      </c>
      <c r="FV24" s="283">
        <f>IF(AND(Stamoplysninger!$B$26="Der er indgået lokalaftale omkring weekendtimer.(Kræver aftale med TR/FSL) Weekendtillæg afspadseres.",I24="X"),K24,0)</f>
        <v>0</v>
      </c>
      <c r="FW24" s="674">
        <f>IF(AND(AND(Stamoplysninger!$B$26="Der er indgået lokalaftale omkring weekendtimer.(Kræver aftale med TR/FSL) Weekendtillæg afspadseres.",I24="X",C24="ikke relevant")),K24,0)</f>
        <v>0</v>
      </c>
      <c r="FX24" s="283">
        <f>IF(AND(Stamoplysninger!$B$26="Der er indgået lokalaftale omkring weekendtimer(Kræver aftale med TR/FSL). Weekendtillæg udbetales.",I24="X"),K24,0)</f>
        <v>0</v>
      </c>
      <c r="FY24" s="674">
        <f>IF(AND(AND(Stamoplysninger!$B$26="Der er indgået lokalaftale omkring weekendtimer(Kræver aftale med TR/FSL). Weekendtillæg udbetales.",I24="X",C24="ikke relevant")),K24,0)</f>
        <v>0</v>
      </c>
      <c r="FZ24" s="283">
        <f>IF(AND(Stamoplysninger!$B$26="Der er indgået lokalaftale omkring weekendtillæg(Kræver aftale med TR/FSL). Weekendtimerne udbetales.",I24="X"),K24,0)</f>
        <v>0</v>
      </c>
      <c r="GA24" s="674">
        <f>IF(AND(AND(Stamoplysninger!$B$26="Der er indgået lokalaftale omkring weekendtillæg(Kræver aftale med TR/FSL). Weekendtimerne udbetales.",I24="X",C24="ikke relevant")),K24,0)</f>
        <v>0</v>
      </c>
      <c r="GB24" s="283">
        <f>IF(AND(Stamoplysninger!$B$26="Der er indgået lokalaftale omkring weekendtimer og weekendtillæg.(Kræver aftale med TR/FSL).",I24="X"),K24,0)</f>
        <v>0</v>
      </c>
      <c r="GC24" s="674">
        <f>IF(AND(AND(Stamoplysninger!$B$26="Der er indgået lokalaftale omkring weekendtimer og weekendtillæg.(Kræver aftale med TR/FSL).",I24="X",C24="ikke relevant")),K24,0)</f>
        <v>0</v>
      </c>
    </row>
    <row r="25" spans="1:185">
      <c r="A25" s="245">
        <f t="shared" si="17"/>
        <v>17</v>
      </c>
      <c r="B25" s="128" t="str">
        <f t="shared" si="0"/>
        <v>to</v>
      </c>
      <c r="C25" s="129" t="s">
        <v>119</v>
      </c>
      <c r="D25" s="130" t="str">
        <f t="shared" si="1"/>
        <v/>
      </c>
      <c r="E25" s="917" t="s">
        <v>105</v>
      </c>
      <c r="F25" s="918"/>
      <c r="G25" s="919"/>
      <c r="H25" s="298"/>
      <c r="I25" s="413"/>
      <c r="J25" s="413"/>
      <c r="K25" s="380"/>
      <c r="L25" s="380"/>
      <c r="M25" s="380"/>
      <c r="N25" s="318">
        <f t="shared" si="18"/>
        <v>0</v>
      </c>
      <c r="O25" s="318">
        <f t="shared" si="19"/>
        <v>0</v>
      </c>
      <c r="P25" s="318">
        <f>IF(Stamoplysninger!$H$29="JA",April!DG25,CX25)</f>
        <v>0</v>
      </c>
      <c r="Q25" s="318">
        <f t="shared" si="20"/>
        <v>0</v>
      </c>
      <c r="R25" s="319"/>
      <c r="S25" s="324"/>
      <c r="T25" s="325"/>
      <c r="U25" s="325"/>
      <c r="V25" s="435"/>
      <c r="W25" s="435"/>
      <c r="X25" s="644"/>
      <c r="Y25">
        <f t="shared" si="21"/>
        <v>0</v>
      </c>
      <c r="Z25" s="437">
        <f t="shared" si="22"/>
        <v>0</v>
      </c>
      <c r="AA25" s="1">
        <f t="shared" si="2"/>
        <v>0</v>
      </c>
      <c r="AB25" s="1">
        <f t="shared" si="3"/>
        <v>0</v>
      </c>
      <c r="AC25" s="1">
        <f t="shared" si="4"/>
        <v>0</v>
      </c>
      <c r="AD25" s="1">
        <f t="shared" si="5"/>
        <v>0</v>
      </c>
      <c r="AE25" s="1">
        <f t="shared" si="6"/>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9">
        <f t="shared" si="7"/>
        <v>0</v>
      </c>
      <c r="BC25" s="1">
        <f t="shared" si="24"/>
        <v>0</v>
      </c>
      <c r="BD25" s="1">
        <f t="shared" si="8"/>
        <v>0</v>
      </c>
      <c r="BE25" s="1">
        <f t="shared" si="9"/>
        <v>0</v>
      </c>
      <c r="BF25" s="1">
        <f t="shared" si="10"/>
        <v>0</v>
      </c>
      <c r="BG25" s="210" t="str">
        <f>IF(AND(C25="Skema 1",B25="ma"),Skemaoplysninger!$E$30,"")</f>
        <v/>
      </c>
      <c r="BH25" s="210" t="str">
        <f>IF(AND(C25="Skema 1",B25="ti"),Skemaoplysninger!$G$30,"")</f>
        <v/>
      </c>
      <c r="BI25" s="210" t="str">
        <f>IF(AND(C25="Skema 1",B25="on"),Skemaoplysninger!$I$30,"")</f>
        <v/>
      </c>
      <c r="BJ25" s="210" t="str">
        <f>IF(AND(C25="Skema 1",B25="to"),Skemaoplysninger!$K$30,"")</f>
        <v/>
      </c>
      <c r="BK25" s="210" t="str">
        <f>IF(AND(C25="Skema 1",B25="fr"),Skemaoplysninger!$M$30,"")</f>
        <v/>
      </c>
      <c r="BL25" s="210" t="str">
        <f>IF(AND(C25="Skema 2",B25="ma"),Skemaoplysninger!$S$30,"")</f>
        <v/>
      </c>
      <c r="BM25" s="210" t="str">
        <f>IF(AND(C25="Skema 2",B25="ti"),Skemaoplysninger!$U$30,"")</f>
        <v/>
      </c>
      <c r="BN25" s="210" t="str">
        <f>IF(AND(C25="Skema 2",B25="on"),Skemaoplysninger!$W$30,"")</f>
        <v/>
      </c>
      <c r="BO25" s="210" t="str">
        <f>IF(AND(C25="Skema 2",B25="to"),Skemaoplysninger!$Y$30,"")</f>
        <v/>
      </c>
      <c r="BP25" s="210" t="str">
        <f>IF(AND(C25="Skema 2",B25="fr"),Skemaoplysninger!$AA$30,"")</f>
        <v/>
      </c>
      <c r="BQ25" s="210" t="str">
        <f>IF(AND(C25="Skema 3",B25="ma"),Skemaoplysninger!$AG$30,"")</f>
        <v/>
      </c>
      <c r="BR25" s="210" t="str">
        <f>IF(AND(C25="Skema 3",B25="ti"),Skemaoplysninger!$AI$30,"")</f>
        <v/>
      </c>
      <c r="BS25" s="210" t="str">
        <f>IF(AND(C25="Skema 3",B25="on"),Skemaoplysninger!$AK$30,"")</f>
        <v/>
      </c>
      <c r="BT25" s="210" t="str">
        <f>IF(AND(C25="Skema 3",B25="to"),Skemaoplysninger!$AM$30,"")</f>
        <v/>
      </c>
      <c r="BU25" s="210" t="str">
        <f>IF(AND(C25="Skema 3",B25="fr"),Skemaoplysninger!$AO$30,"")</f>
        <v/>
      </c>
      <c r="BV25" s="210" t="str">
        <f>IF(AND(C25="Skema 4",B25="ma"),Skemaoplysninger!$AU$30,"")</f>
        <v/>
      </c>
      <c r="BW25" s="210" t="str">
        <f>IF(AND(C25="Skema 4",B25="ti"),Skemaoplysninger!$AW$30,"")</f>
        <v/>
      </c>
      <c r="BX25" s="210" t="str">
        <f>IF(AND(C25="Skema 4",B25="on"),Skemaoplysninger!$AY$30,"")</f>
        <v/>
      </c>
      <c r="BY25" s="210" t="str">
        <f>IF(AND(C25="Skema 4",B25="to"),Skemaoplysninger!$BA$30,"")</f>
        <v/>
      </c>
      <c r="BZ25" s="210" t="str">
        <f>IF(AND(C25="Skema 4",B25="fr"),Skemaoplysninger!$BC$30,"")</f>
        <v/>
      </c>
      <c r="CA25" s="1">
        <f t="shared" si="25"/>
        <v>0</v>
      </c>
      <c r="CB25" s="1">
        <f t="shared" si="11"/>
        <v>0</v>
      </c>
      <c r="CC25" s="1">
        <f t="shared" si="12"/>
        <v>0</v>
      </c>
      <c r="CD25" s="210" t="str">
        <f>IF(AND(C25="Skema 1",B25="ma"),Skemaoplysninger!$E$31,"")</f>
        <v/>
      </c>
      <c r="CE25" s="210" t="str">
        <f>IF(AND(C25="Skema 1",B25="ti"),Skemaoplysninger!$G$31,"")</f>
        <v/>
      </c>
      <c r="CF25" s="210" t="str">
        <f>IF(AND(C25="Skema 1",B25="on"),Skemaoplysninger!$I$31,"")</f>
        <v/>
      </c>
      <c r="CG25" s="210" t="str">
        <f>IF(AND(C25="Skema 1",B25="to"),Skemaoplysninger!$K$31,"")</f>
        <v/>
      </c>
      <c r="CH25" s="210" t="str">
        <f>IF(AND(C25="Skema 1",B25="fr"),Skemaoplysninger!$M$31,"")</f>
        <v/>
      </c>
      <c r="CI25" s="210" t="str">
        <f>IF(AND(C25="Skema 2",B25="ma"),Skemaoplysninger!$S$31,"")</f>
        <v/>
      </c>
      <c r="CJ25" s="210" t="str">
        <f>IF(AND(C25="Skema 2",B25="ti"),Skemaoplysninger!$U$31,"")</f>
        <v/>
      </c>
      <c r="CK25" s="210" t="str">
        <f>IF(AND(C25="Skema 2",B25="on"),Skemaoplysninger!$W$31,"")</f>
        <v/>
      </c>
      <c r="CL25" s="210" t="str">
        <f>IF(AND(C25="Skema 2",B25="to"),Skemaoplysninger!$Y$31,"")</f>
        <v/>
      </c>
      <c r="CM25" s="210" t="str">
        <f>IF(AND(C25="Skema 2",B25="fr"),Skemaoplysninger!$AA$31,"")</f>
        <v/>
      </c>
      <c r="CN25" s="210" t="str">
        <f>IF(AND(C25="Skema 3",B25="ma"),Skemaoplysninger!$AG$31,"")</f>
        <v/>
      </c>
      <c r="CO25" s="210" t="str">
        <f>IF(AND(C25="Skema 3",B25="ti"),Skemaoplysninger!$AI$31,"")</f>
        <v/>
      </c>
      <c r="CP25" s="210" t="str">
        <f>IF(AND(C25="Skema 3",B25="on"),Skemaoplysninger!$AK$31,"")</f>
        <v/>
      </c>
      <c r="CQ25" s="210" t="str">
        <f>IF(AND(C25="Skema 3",B25="to"),Skemaoplysninger!$AM$31,"")</f>
        <v/>
      </c>
      <c r="CR25" s="210" t="str">
        <f>IF(AND(C25="Skema 3",B25="fr"),Skemaoplysninger!$AO$31,"")</f>
        <v/>
      </c>
      <c r="CS25" s="210" t="str">
        <f>IF(AND(C25="Skema 4",B25="ma"),Skemaoplysninger!$AU$31,"")</f>
        <v/>
      </c>
      <c r="CT25" s="210" t="str">
        <f>IF(AND(C25="Skema 4",B25="ti"),Skemaoplysninger!$AW$31,"")</f>
        <v/>
      </c>
      <c r="CU25" s="210" t="str">
        <f>IF(AND(C25="Skema 4",B25="on"),Skemaoplysninger!$AY$31,"")</f>
        <v/>
      </c>
      <c r="CV25" s="210" t="str">
        <f>IF(AND(C25="Skema 4",B25="to"),Skemaoplysninger!$BA$31,"")</f>
        <v/>
      </c>
      <c r="CW25" s="210" t="str">
        <f>IF(AND(C25="Skema 4",B25="fr"),Skemaoplysninger!$BC$31,"")</f>
        <v/>
      </c>
      <c r="CX25" s="249">
        <f>IF(Stamoplysninger!$H$29="NEJ",SUM(CD25:CW25)*24+CB25+CC25,0)</f>
        <v>0</v>
      </c>
      <c r="CY25" s="249">
        <f>IF(C25="Skema 1",Stamoplysninger!$H$30/200,0)</f>
        <v>0</v>
      </c>
      <c r="CZ25" s="249">
        <f>IF(C25="Skema 2",Stamoplysninger!$H$30/200,0)</f>
        <v>0</v>
      </c>
      <c r="DA25" s="249">
        <f>IF(C25="Skema 3",Stamoplysninger!$H$30/200,0)</f>
        <v>0</v>
      </c>
      <c r="DB25" s="249">
        <f>IF(C25="Skema 4",Stamoplysninger!$H$30/200,0)</f>
        <v>0</v>
      </c>
      <c r="DC25" s="249">
        <f>IF(C25="fagdag",Stamoplysninger!$H$30/200,0)</f>
        <v>0</v>
      </c>
      <c r="DD25" s="249">
        <f>IF(C25="emnedag",Stamoplysninger!$H$30/200,0)</f>
        <v>0</v>
      </c>
      <c r="DE25" s="249">
        <f>IF(C25="lejrskole",Stamoplysninger!$H$30/200,0)</f>
        <v>0</v>
      </c>
      <c r="DF25" s="249">
        <f>IF(C25="ekskursion",Stamoplysninger!$H$30/200,0)</f>
        <v>0</v>
      </c>
      <c r="DG25" s="249">
        <f t="shared" si="26"/>
        <v>0</v>
      </c>
      <c r="DH25" t="str">
        <f t="shared" si="27"/>
        <v/>
      </c>
      <c r="DI25" t="str">
        <f t="shared" si="28"/>
        <v>Skærtorsdag</v>
      </c>
      <c r="DJ25" t="str">
        <f t="shared" si="29"/>
        <v/>
      </c>
      <c r="DK25" t="str">
        <f t="shared" si="13"/>
        <v/>
      </c>
      <c r="DL25" t="str">
        <f t="shared" si="13"/>
        <v>Skærtorsdag</v>
      </c>
      <c r="DM25" t="str">
        <f t="shared" si="13"/>
        <v/>
      </c>
      <c r="DN25" t="str">
        <f t="shared" si="30"/>
        <v>Skærtorsdag</v>
      </c>
      <c r="DO25" s="652">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71">
        <f>IF(AND(Stamoplysninger!$B$22="Ulempetillæg udbetales med 25% af nettotimelønnen.",C25="ikke relevant"),(R25)/4,0)</f>
        <v>0</v>
      </c>
      <c r="DT25" s="671">
        <f>IF(AND(AND(Stamoplysninger!$B$22="Ulempetillæg udbetales med 25% af nettotimelønnen.",I25="X",C25="Ikke relevant")),K25/4,0)</f>
        <v>0</v>
      </c>
      <c r="DU25" s="671">
        <f>IF(AND(AND(Stamoplysninger!$B$22="Ulempetillæg udbetales med 25% af nettotimelønnen.",C25="ikke relevant",U25="X")),(X25/4),0)</f>
        <v>0</v>
      </c>
      <c r="DV25" s="672">
        <f>IF(AND(AND(AND(Stamoplysninger!$B$22="Ulempetillæg udbetales med 25% af nettotimelønnen.",I25="X",C25="Ikke relevant",S25="X"))),V25/4,0)</f>
        <v>0</v>
      </c>
      <c r="DW25" s="652"/>
      <c r="DZ25" s="671"/>
      <c r="EA25" s="671"/>
      <c r="EB25" s="672"/>
      <c r="EC25" s="652">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71">
        <f>IF(AND(Stamoplysninger!$B$22="Ulempetillæg afspadseres med 25%(Kræver en aftale imellem ledelsen og den ansatte)",C25="ikke relevant"),(R25)/4,0)</f>
        <v>0</v>
      </c>
      <c r="EH25" s="671">
        <f>IF(AND(AND(Stamoplysninger!$B$22="Ulempetillæg afspadseres med 25%(Kræver en aftale imellem ledelsen og den ansatte)",I25="X",C25="Ikke relevant")),K25/4,0)</f>
        <v>0</v>
      </c>
      <c r="EI25" s="671">
        <f>IF(AND(AND(Stamoplysninger!$B$22="Ulempetillæg afspadseres med 25%(Kræver en aftale imellem ledelsen og den ansatte)",U25="X",C25="Ikke relevant")),X25/4,0)</f>
        <v>0</v>
      </c>
      <c r="EJ25" s="671">
        <f>IF(AND(AND(AND(Stamoplysninger!$B$22="Ulempetillæg afspadseres med 25%(Kræver en aftale imellem ledelsen og den ansatte)",I25="X",C25="Ikke relevant",S25="X"))),V25/4,0)</f>
        <v>0</v>
      </c>
      <c r="EK25" s="283">
        <f>IF(AND(Stamoplysninger!$B$26="Weekendtimer og weekendtillæg afspadseres.",I25="X"),K25*1.5,0)</f>
        <v>0</v>
      </c>
      <c r="EL25" s="251">
        <f>IF(AND(AND(Stamoplysninger!$B$26="Weekendtimer og weekendtillæg afspadseres.",I25="X",S25="X")),V25*1.5,0)</f>
        <v>0</v>
      </c>
      <c r="EM25" s="674">
        <f>IF(AND(AND(Stamoplysninger!$B$26="Weekendtimer og weekendtillæg afspadseres.",I25="X",C25="ikke relevant")),K25*1.5,0)</f>
        <v>0</v>
      </c>
      <c r="EN25" s="675">
        <f>IF(AND(AND(AND(Stamoplysninger!$B$26="Weekendtimer og weekendtillæg afspadseres.",I25="X",C25="ikke relevant",S25="X"))),(V25*1.5),0)</f>
        <v>0</v>
      </c>
      <c r="EO25" s="283">
        <f>IF(AND(Stamoplysninger!$B$26="Weekendtimer og weekendtillæg udbetales.",I25="X"),K25*1.5,0)</f>
        <v>0</v>
      </c>
      <c r="EP25" s="251">
        <f>IF(AND(AND(Stamoplysninger!$B$26="Weekendtimer og weekendtillæg udbetales.",I25="X",S25="X")),V25*1.5,0)</f>
        <v>0</v>
      </c>
      <c r="EQ25" s="674">
        <f>IF(AND(AND(Stamoplysninger!$B$26="Weekendtimer og weekendtillæg udbetales.",I25="X",C25="ikke relevant")),K25*1.5,0)</f>
        <v>0</v>
      </c>
      <c r="ER25" s="675">
        <f>IF(AND(AND(AND(Stamoplysninger!$B$26="Weekendtimer og weekendtillæg udbetales.",I25="X",C25="ikke relevant",S25="X"))),(V25*1.5),0)</f>
        <v>0</v>
      </c>
      <c r="ES25" s="283">
        <f>IF(AND(Stamoplysninger!$B$26="Der er indgået lokalaftale omkring weekendtimer.(Kræver aftale med TR/FSL) Weekendtillæg afspadseres.",I25="X"),K25*0.5,0)</f>
        <v>0</v>
      </c>
      <c r="ET25" s="251">
        <f>IF(AND(AND(Stamoplysninger!$B$26="Der er indgået lokalaftale omkring weekendtimer.(Kræver aftale med TR/FSL) Weekendtillæg afspadseres.",I25="X",S25="X")),V25*0.5,0)</f>
        <v>0</v>
      </c>
      <c r="EU25" s="674">
        <f>IF(AND(AND(Stamoplysninger!$B$26="Der er indgået lokalaftale omkring weekendtimer.(Kræver aftale med TR/FSL) Weekendtillæg afspadseres.",I25="X",C25="ikke relevant")),K25*0.5,0)</f>
        <v>0</v>
      </c>
      <c r="EV25" s="675">
        <f>IF(AND(AND(AND(Stamoplysninger!$B$26="Der er indgået lokalaftale omkring weekendtimer.(Kræver aftale med TR/FSL) Weekendtillæg afspadseres.",I25="X",C25="ikke relevant",S25="X"))),(V25*0.5),0)</f>
        <v>0</v>
      </c>
      <c r="EW25" s="283">
        <f>IF(AND(Stamoplysninger!$B$26="Der er indgået lokalaftale omkring weekendtimer(Kræver aftale med TR/FSL). Weekendtillæg udbetales.",I25="X"),K25*0.5,0)</f>
        <v>0</v>
      </c>
      <c r="EX25" s="251">
        <f>IF(AND(AND(Stamoplysninger!$B$26="Der er indgået lokalaftale omkring weekendtimer(Kræver aftale med TR/FSL). Weekendtillæg udbetales.",I25="X",S25="X")),V25*0.5,0)</f>
        <v>0</v>
      </c>
      <c r="EY25" s="674">
        <f>IF(AND(AND(Stamoplysninger!$B$26="Der er indgået lokalaftale omkring weekendtimer(Kræver aftale med TR/FSL). Weekendtillæg udbetales.",I25="X",C25="ikke relevant")),K25*0.5,0)</f>
        <v>0</v>
      </c>
      <c r="EZ25" s="675">
        <f>IF(AND(AND(AND(Stamoplysninger!$B$26="Der er indgået lokalaftale omkring weekendtimer(Kræver aftale med TR/FSL). Weekendtillæg udbetales.",I25="X",C25="ikke relevant",S25="X"))),(V25*0.5),0)</f>
        <v>0</v>
      </c>
      <c r="FA25" s="283">
        <f>IF(AND(Stamoplysninger!$B$26="Der er indgået lokalaftale omkring weekendtillæg(Kræver aftale med TR/FSL). Weekendtimerne afspadseres.",I25="X"),K25,0)</f>
        <v>0</v>
      </c>
      <c r="FB25" s="251">
        <f>IF(AND(AND(Stamoplysninger!$B$26="Der er indgået lokalaftale omkring weekendtillæg(Kræver aftale med TR/FSL). Weekendtimerne afspadseres.",I25="X",S25="X")),V25,0)</f>
        <v>0</v>
      </c>
      <c r="FC25" s="674">
        <f>IF(AND(AND(Stamoplysninger!$B$26="Der er indgået lokalaftale omkring weekendtillæg(Kræver aftale med TR/FSL). Weekendtimerne afspadseres..",I25="X",C25="ikke relevant")),K25,0)</f>
        <v>0</v>
      </c>
      <c r="FD25" s="675">
        <f>IF(AND(AND(AND(Stamoplysninger!$B$26="Der er indgået lokalaftale omkring weekendtillæg(Kræver aftale med TR/FSL). Weekendtimerne afspadseres.",I25="X",C25="ikke relevant",S25="X"))),(V25),0)</f>
        <v>0</v>
      </c>
      <c r="FE25" s="283">
        <f>IF(AND(Stamoplysninger!$B$26="Der er indgået lokalaftale omkring weekendtillæg(Kræver aftale med TR/FSL). Weekendtimerne udbetales.",I25="X"),K25,0)</f>
        <v>0</v>
      </c>
      <c r="FF25" s="251">
        <f>IF(AND(AND(Stamoplysninger!$B$26="Der er indgået lokalaftale omkring weekendtillæg(Kræver aftale med TR/FSL). Weekendtimerne udbetales.",I25="X",S25="X")),V25,0)</f>
        <v>0</v>
      </c>
      <c r="FG25" s="674">
        <f>IF(AND(AND(Stamoplysninger!$B$26="Der er indgået lokalaftale omkring weekendtillæg(Kræver aftale med TR/FSL). Weekendtimerne udbetales.",I25="X",C25="ikke relevant")),K25,0)</f>
        <v>0</v>
      </c>
      <c r="FH25" s="675">
        <f>IF(AND(AND(AND(Stamoplysninger!$B$26="Der er indgået lokalaftale omkring weekendtillæg(Kræver aftale med TR/FSL). Weekendtimerne udbetales.",I25="X",C25="ikke relevant",S25="X"))),(V25),0)</f>
        <v>0</v>
      </c>
      <c r="FI25" s="283">
        <f>IF(AND(Stamoplysninger!$B$26="Weekendtimer og weekendtillæg afspadseres.",I25="X"),K25,0)</f>
        <v>0</v>
      </c>
      <c r="FJ25" s="251">
        <f>IF(AND(Stamoplysninger!$B$26="Weekendtimer og weekendtillæg afspadseres.",Y25="X"),(AA25+AL25)/2,0)</f>
        <v>0</v>
      </c>
      <c r="FK25" s="674">
        <f>IF(AND(AND(Stamoplysninger!$B$26="Weekendtimer og weekendtillæg afspadseres.",I25="X",C25="ikke relevant")),K25,0)</f>
        <v>0</v>
      </c>
      <c r="FL25" s="675">
        <f>IF(AND(AND(Stamoplysninger!$B$26="Weekendtimer og weekendtillæg afspadseres.",Y25="X",S25="ikke relevant")),(AA25+AL25)/2,0)</f>
        <v>0</v>
      </c>
      <c r="FM25" s="283">
        <f>IF(AND(Stamoplysninger!$B$26="Der er indgået lokalaftale omkring weekendtillæg(Kræver aftale med TR/FSL). Weekendtimerne afspadseres.",I25="X"),K25,0)</f>
        <v>0</v>
      </c>
      <c r="FN25" s="674">
        <f>IF(AND(AND(Stamoplysninger!$B$26="Der er indgået lokalaftale omkring weekendtillæg(Kræver aftale med TR/FSL). Weekendtimerne afspadseres.",I25="X",C25="ikke relevant")),K25,0)</f>
        <v>0</v>
      </c>
      <c r="FO25" s="283">
        <f>IF(AND(Stamoplysninger!$B$26="Weekendtimer og weekendtillæg udbetales.",I25="X"),K25,0)</f>
        <v>0</v>
      </c>
      <c r="FP25" s="251">
        <f>IF(AND(Stamoplysninger!$B$26="Weekendtimer og weekendtillæg udbetales.",AA25="X"),(AC25+AN25)/2,0)</f>
        <v>0</v>
      </c>
      <c r="FQ25" s="674">
        <f>IF(AND(AND(Stamoplysninger!$B$26="Weekendtimer og weekendtillæg udbetales.",I25="X",C25="ikke relevant")),K25,0)</f>
        <v>0</v>
      </c>
      <c r="FR25" s="688">
        <f>IF(AND(AND(Stamoplysninger!$B$26="Weekendtimer og weekendtillæg udbetales.",AA25="X",U25="ikke relevant")),(AC25+AN25)/2,0)</f>
        <v>0</v>
      </c>
      <c r="FS25" s="283">
        <f t="shared" si="14"/>
        <v>0</v>
      </c>
      <c r="FT25" s="658">
        <f t="shared" si="15"/>
        <v>0</v>
      </c>
      <c r="FU25">
        <f t="shared" si="16"/>
        <v>0</v>
      </c>
      <c r="FV25" s="283">
        <f>IF(AND(Stamoplysninger!$B$26="Der er indgået lokalaftale omkring weekendtimer.(Kræver aftale med TR/FSL) Weekendtillæg afspadseres.",I25="X"),K25,0)</f>
        <v>0</v>
      </c>
      <c r="FW25" s="674">
        <f>IF(AND(AND(Stamoplysninger!$B$26="Der er indgået lokalaftale omkring weekendtimer.(Kræver aftale med TR/FSL) Weekendtillæg afspadseres.",I25="X",C25="ikke relevant")),K25,0)</f>
        <v>0</v>
      </c>
      <c r="FX25" s="283">
        <f>IF(AND(Stamoplysninger!$B$26="Der er indgået lokalaftale omkring weekendtimer(Kræver aftale med TR/FSL). Weekendtillæg udbetales.",I25="X"),K25,0)</f>
        <v>0</v>
      </c>
      <c r="FY25" s="674">
        <f>IF(AND(AND(Stamoplysninger!$B$26="Der er indgået lokalaftale omkring weekendtimer(Kræver aftale med TR/FSL). Weekendtillæg udbetales.",I25="X",C25="ikke relevant")),K25,0)</f>
        <v>0</v>
      </c>
      <c r="FZ25" s="283">
        <f>IF(AND(Stamoplysninger!$B$26="Der er indgået lokalaftale omkring weekendtillæg(Kræver aftale med TR/FSL). Weekendtimerne udbetales.",I25="X"),K25,0)</f>
        <v>0</v>
      </c>
      <c r="GA25" s="674">
        <f>IF(AND(AND(Stamoplysninger!$B$26="Der er indgået lokalaftale omkring weekendtillæg(Kræver aftale med TR/FSL). Weekendtimerne udbetales.",I25="X",C25="ikke relevant")),K25,0)</f>
        <v>0</v>
      </c>
      <c r="GB25" s="283">
        <f>IF(AND(Stamoplysninger!$B$26="Der er indgået lokalaftale omkring weekendtimer og weekendtillæg.(Kræver aftale med TR/FSL).",I25="X"),K25,0)</f>
        <v>0</v>
      </c>
      <c r="GC25" s="674">
        <f>IF(AND(AND(Stamoplysninger!$B$26="Der er indgået lokalaftale omkring weekendtimer og weekendtillæg.(Kræver aftale med TR/FSL).",I25="X",C25="ikke relevant")),K25,0)</f>
        <v>0</v>
      </c>
    </row>
    <row r="26" spans="1:185">
      <c r="A26" s="245">
        <f t="shared" si="17"/>
        <v>18</v>
      </c>
      <c r="B26" s="128" t="str">
        <f t="shared" si="0"/>
        <v>fr</v>
      </c>
      <c r="C26" s="129" t="s">
        <v>119</v>
      </c>
      <c r="D26" s="130" t="str">
        <f t="shared" si="1"/>
        <v/>
      </c>
      <c r="E26" s="917" t="s">
        <v>167</v>
      </c>
      <c r="F26" s="918"/>
      <c r="G26" s="919"/>
      <c r="H26" s="298"/>
      <c r="I26" s="413"/>
      <c r="J26" s="413"/>
      <c r="K26" s="380"/>
      <c r="L26" s="380"/>
      <c r="M26" s="380"/>
      <c r="N26" s="318">
        <f t="shared" si="18"/>
        <v>0</v>
      </c>
      <c r="O26" s="318">
        <f t="shared" si="19"/>
        <v>0</v>
      </c>
      <c r="P26" s="318">
        <f>IF(Stamoplysninger!$H$29="JA",April!DG26,CX26)</f>
        <v>0</v>
      </c>
      <c r="Q26" s="318">
        <f t="shared" si="20"/>
        <v>0</v>
      </c>
      <c r="R26" s="319"/>
      <c r="S26" s="324"/>
      <c r="T26" s="325"/>
      <c r="U26" s="325"/>
      <c r="V26" s="435"/>
      <c r="W26" s="435"/>
      <c r="X26" s="644"/>
      <c r="Y26">
        <f t="shared" si="21"/>
        <v>0</v>
      </c>
      <c r="Z26" s="437">
        <f t="shared" si="22"/>
        <v>0</v>
      </c>
      <c r="AA26" s="1">
        <f t="shared" si="2"/>
        <v>0</v>
      </c>
      <c r="AB26" s="1">
        <f t="shared" si="3"/>
        <v>0</v>
      </c>
      <c r="AC26" s="1">
        <f t="shared" si="4"/>
        <v>0</v>
      </c>
      <c r="AD26" s="1">
        <f t="shared" si="5"/>
        <v>0</v>
      </c>
      <c r="AE26" s="1">
        <f t="shared" si="6"/>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9">
        <f t="shared" si="7"/>
        <v>0</v>
      </c>
      <c r="BC26" s="1">
        <f t="shared" si="24"/>
        <v>0</v>
      </c>
      <c r="BD26" s="1">
        <f t="shared" si="8"/>
        <v>0</v>
      </c>
      <c r="BE26" s="1">
        <f t="shared" si="9"/>
        <v>0</v>
      </c>
      <c r="BF26" s="1">
        <f t="shared" si="10"/>
        <v>0</v>
      </c>
      <c r="BG26" s="210" t="str">
        <f>IF(AND(C26="Skema 1",B26="ma"),Skemaoplysninger!$E$30,"")</f>
        <v/>
      </c>
      <c r="BH26" s="210" t="str">
        <f>IF(AND(C26="Skema 1",B26="ti"),Skemaoplysninger!$G$30,"")</f>
        <v/>
      </c>
      <c r="BI26" s="210" t="str">
        <f>IF(AND(C26="Skema 1",B26="on"),Skemaoplysninger!$I$30,"")</f>
        <v/>
      </c>
      <c r="BJ26" s="210" t="str">
        <f>IF(AND(C26="Skema 1",B26="to"),Skemaoplysninger!$K$30,"")</f>
        <v/>
      </c>
      <c r="BK26" s="210" t="str">
        <f>IF(AND(C26="Skema 1",B26="fr"),Skemaoplysninger!$M$30,"")</f>
        <v/>
      </c>
      <c r="BL26" s="210" t="str">
        <f>IF(AND(C26="Skema 2",B26="ma"),Skemaoplysninger!$S$30,"")</f>
        <v/>
      </c>
      <c r="BM26" s="210" t="str">
        <f>IF(AND(C26="Skema 2",B26="ti"),Skemaoplysninger!$U$30,"")</f>
        <v/>
      </c>
      <c r="BN26" s="210" t="str">
        <f>IF(AND(C26="Skema 2",B26="on"),Skemaoplysninger!$W$30,"")</f>
        <v/>
      </c>
      <c r="BO26" s="210" t="str">
        <f>IF(AND(C26="Skema 2",B26="to"),Skemaoplysninger!$Y$30,"")</f>
        <v/>
      </c>
      <c r="BP26" s="210" t="str">
        <f>IF(AND(C26="Skema 2",B26="fr"),Skemaoplysninger!$AA$30,"")</f>
        <v/>
      </c>
      <c r="BQ26" s="210" t="str">
        <f>IF(AND(C26="Skema 3",B26="ma"),Skemaoplysninger!$AG$30,"")</f>
        <v/>
      </c>
      <c r="BR26" s="210" t="str">
        <f>IF(AND(C26="Skema 3",B26="ti"),Skemaoplysninger!$AI$30,"")</f>
        <v/>
      </c>
      <c r="BS26" s="210" t="str">
        <f>IF(AND(C26="Skema 3",B26="on"),Skemaoplysninger!$AK$30,"")</f>
        <v/>
      </c>
      <c r="BT26" s="210" t="str">
        <f>IF(AND(C26="Skema 3",B26="to"),Skemaoplysninger!$AM$30,"")</f>
        <v/>
      </c>
      <c r="BU26" s="210" t="str">
        <f>IF(AND(C26="Skema 3",B26="fr"),Skemaoplysninger!$AO$30,"")</f>
        <v/>
      </c>
      <c r="BV26" s="210" t="str">
        <f>IF(AND(C26="Skema 4",B26="ma"),Skemaoplysninger!$AU$30,"")</f>
        <v/>
      </c>
      <c r="BW26" s="210" t="str">
        <f>IF(AND(C26="Skema 4",B26="ti"),Skemaoplysninger!$AW$30,"")</f>
        <v/>
      </c>
      <c r="BX26" s="210" t="str">
        <f>IF(AND(C26="Skema 4",B26="on"),Skemaoplysninger!$AY$30,"")</f>
        <v/>
      </c>
      <c r="BY26" s="210" t="str">
        <f>IF(AND(C26="Skema 4",B26="to"),Skemaoplysninger!$BA$30,"")</f>
        <v/>
      </c>
      <c r="BZ26" s="210" t="str">
        <f>IF(AND(C26="Skema 4",B26="fr"),Skemaoplysninger!$BC$30,"")</f>
        <v/>
      </c>
      <c r="CA26" s="1">
        <f t="shared" si="25"/>
        <v>0</v>
      </c>
      <c r="CB26" s="1">
        <f t="shared" si="11"/>
        <v>0</v>
      </c>
      <c r="CC26" s="1">
        <f t="shared" si="12"/>
        <v>0</v>
      </c>
      <c r="CD26" s="210" t="str">
        <f>IF(AND(C26="Skema 1",B26="ma"),Skemaoplysninger!$E$31,"")</f>
        <v/>
      </c>
      <c r="CE26" s="210" t="str">
        <f>IF(AND(C26="Skema 1",B26="ti"),Skemaoplysninger!$G$31,"")</f>
        <v/>
      </c>
      <c r="CF26" s="210" t="str">
        <f>IF(AND(C26="Skema 1",B26="on"),Skemaoplysninger!$I$31,"")</f>
        <v/>
      </c>
      <c r="CG26" s="210" t="str">
        <f>IF(AND(C26="Skema 1",B26="to"),Skemaoplysninger!$K$31,"")</f>
        <v/>
      </c>
      <c r="CH26" s="210" t="str">
        <f>IF(AND(C26="Skema 1",B26="fr"),Skemaoplysninger!$M$31,"")</f>
        <v/>
      </c>
      <c r="CI26" s="210" t="str">
        <f>IF(AND(C26="Skema 2",B26="ma"),Skemaoplysninger!$S$31,"")</f>
        <v/>
      </c>
      <c r="CJ26" s="210" t="str">
        <f>IF(AND(C26="Skema 2",B26="ti"),Skemaoplysninger!$U$31,"")</f>
        <v/>
      </c>
      <c r="CK26" s="210" t="str">
        <f>IF(AND(C26="Skema 2",B26="on"),Skemaoplysninger!$W$31,"")</f>
        <v/>
      </c>
      <c r="CL26" s="210" t="str">
        <f>IF(AND(C26="Skema 2",B26="to"),Skemaoplysninger!$Y$31,"")</f>
        <v/>
      </c>
      <c r="CM26" s="210" t="str">
        <f>IF(AND(C26="Skema 2",B26="fr"),Skemaoplysninger!$AA$31,"")</f>
        <v/>
      </c>
      <c r="CN26" s="210" t="str">
        <f>IF(AND(C26="Skema 3",B26="ma"),Skemaoplysninger!$AG$31,"")</f>
        <v/>
      </c>
      <c r="CO26" s="210" t="str">
        <f>IF(AND(C26="Skema 3",B26="ti"),Skemaoplysninger!$AI$31,"")</f>
        <v/>
      </c>
      <c r="CP26" s="210" t="str">
        <f>IF(AND(C26="Skema 3",B26="on"),Skemaoplysninger!$AK$31,"")</f>
        <v/>
      </c>
      <c r="CQ26" s="210" t="str">
        <f>IF(AND(C26="Skema 3",B26="to"),Skemaoplysninger!$AM$31,"")</f>
        <v/>
      </c>
      <c r="CR26" s="210" t="str">
        <f>IF(AND(C26="Skema 3",B26="fr"),Skemaoplysninger!$AO$31,"")</f>
        <v/>
      </c>
      <c r="CS26" s="210" t="str">
        <f>IF(AND(C26="Skema 4",B26="ma"),Skemaoplysninger!$AU$31,"")</f>
        <v/>
      </c>
      <c r="CT26" s="210" t="str">
        <f>IF(AND(C26="Skema 4",B26="ti"),Skemaoplysninger!$AW$31,"")</f>
        <v/>
      </c>
      <c r="CU26" s="210" t="str">
        <f>IF(AND(C26="Skema 4",B26="on"),Skemaoplysninger!$AY$31,"")</f>
        <v/>
      </c>
      <c r="CV26" s="210" t="str">
        <f>IF(AND(C26="Skema 4",B26="to"),Skemaoplysninger!$BA$31,"")</f>
        <v/>
      </c>
      <c r="CW26" s="210" t="str">
        <f>IF(AND(C26="Skema 4",B26="fr"),Skemaoplysninger!$BC$31,"")</f>
        <v/>
      </c>
      <c r="CX26" s="249">
        <f>IF(Stamoplysninger!$H$29="NEJ",SUM(CD26:CW26)*24+CB26+CC26,0)</f>
        <v>0</v>
      </c>
      <c r="CY26" s="249">
        <f>IF(C26="Skema 1",Stamoplysninger!$H$30/200,0)</f>
        <v>0</v>
      </c>
      <c r="CZ26" s="249">
        <f>IF(C26="Skema 2",Stamoplysninger!$H$30/200,0)</f>
        <v>0</v>
      </c>
      <c r="DA26" s="249">
        <f>IF(C26="Skema 3",Stamoplysninger!$H$30/200,0)</f>
        <v>0</v>
      </c>
      <c r="DB26" s="249">
        <f>IF(C26="Skema 4",Stamoplysninger!$H$30/200,0)</f>
        <v>0</v>
      </c>
      <c r="DC26" s="249">
        <f>IF(C26="fagdag",Stamoplysninger!$H$30/200,0)</f>
        <v>0</v>
      </c>
      <c r="DD26" s="249">
        <f>IF(C26="emnedag",Stamoplysninger!$H$30/200,0)</f>
        <v>0</v>
      </c>
      <c r="DE26" s="249">
        <f>IF(C26="lejrskole",Stamoplysninger!$H$30/200,0)</f>
        <v>0</v>
      </c>
      <c r="DF26" s="249">
        <f>IF(C26="ekskursion",Stamoplysninger!$H$30/200,0)</f>
        <v>0</v>
      </c>
      <c r="DG26" s="249">
        <f t="shared" si="26"/>
        <v>0</v>
      </c>
      <c r="DH26" t="str">
        <f t="shared" si="27"/>
        <v/>
      </c>
      <c r="DI26" t="str">
        <f t="shared" si="28"/>
        <v>Langfredag</v>
      </c>
      <c r="DJ26" t="str">
        <f t="shared" si="29"/>
        <v/>
      </c>
      <c r="DK26" t="str">
        <f t="shared" si="13"/>
        <v/>
      </c>
      <c r="DL26" t="str">
        <f t="shared" si="13"/>
        <v>Langfredag</v>
      </c>
      <c r="DM26" t="str">
        <f t="shared" si="13"/>
        <v/>
      </c>
      <c r="DN26" t="str">
        <f t="shared" si="30"/>
        <v>Langfredag</v>
      </c>
      <c r="DO26" s="652">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71">
        <f>IF(AND(Stamoplysninger!$B$22="Ulempetillæg udbetales med 25% af nettotimelønnen.",C26="ikke relevant"),(R26)/4,0)</f>
        <v>0</v>
      </c>
      <c r="DT26" s="671">
        <f>IF(AND(AND(Stamoplysninger!$B$22="Ulempetillæg udbetales med 25% af nettotimelønnen.",I26="X",C26="Ikke relevant")),K26/4,0)</f>
        <v>0</v>
      </c>
      <c r="DU26" s="671">
        <f>IF(AND(AND(Stamoplysninger!$B$22="Ulempetillæg udbetales med 25% af nettotimelønnen.",C26="ikke relevant",U26="X")),(X26/4),0)</f>
        <v>0</v>
      </c>
      <c r="DV26" s="672">
        <f>IF(AND(AND(AND(Stamoplysninger!$B$22="Ulempetillæg udbetales med 25% af nettotimelønnen.",I26="X",C26="Ikke relevant",S26="X"))),V26/4,0)</f>
        <v>0</v>
      </c>
      <c r="DW26" s="652"/>
      <c r="DZ26" s="671"/>
      <c r="EA26" s="671"/>
      <c r="EB26" s="672"/>
      <c r="EC26" s="652">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71">
        <f>IF(AND(Stamoplysninger!$B$22="Ulempetillæg afspadseres med 25%(Kræver en aftale imellem ledelsen og den ansatte)",C26="ikke relevant"),(R26)/4,0)</f>
        <v>0</v>
      </c>
      <c r="EH26" s="671">
        <f>IF(AND(AND(Stamoplysninger!$B$22="Ulempetillæg afspadseres med 25%(Kræver en aftale imellem ledelsen og den ansatte)",I26="X",C26="Ikke relevant")),K26/4,0)</f>
        <v>0</v>
      </c>
      <c r="EI26" s="671">
        <f>IF(AND(AND(Stamoplysninger!$B$22="Ulempetillæg afspadseres med 25%(Kræver en aftale imellem ledelsen og den ansatte)",U26="X",C26="Ikke relevant")),X26/4,0)</f>
        <v>0</v>
      </c>
      <c r="EJ26" s="671">
        <f>IF(AND(AND(AND(Stamoplysninger!$B$22="Ulempetillæg afspadseres med 25%(Kræver en aftale imellem ledelsen og den ansatte)",I26="X",C26="Ikke relevant",S26="X"))),V26/4,0)</f>
        <v>0</v>
      </c>
      <c r="EK26" s="283">
        <f>IF(AND(Stamoplysninger!$B$26="Weekendtimer og weekendtillæg afspadseres.",I26="X"),K26*1.5,0)</f>
        <v>0</v>
      </c>
      <c r="EL26" s="251">
        <f>IF(AND(AND(Stamoplysninger!$B$26="Weekendtimer og weekendtillæg afspadseres.",I26="X",S26="X")),V26*1.5,0)</f>
        <v>0</v>
      </c>
      <c r="EM26" s="674">
        <f>IF(AND(AND(Stamoplysninger!$B$26="Weekendtimer og weekendtillæg afspadseres.",I26="X",C26="ikke relevant")),K26*1.5,0)</f>
        <v>0</v>
      </c>
      <c r="EN26" s="675">
        <f>IF(AND(AND(AND(Stamoplysninger!$B$26="Weekendtimer og weekendtillæg afspadseres.",I26="X",C26="ikke relevant",S26="X"))),(V26*1.5),0)</f>
        <v>0</v>
      </c>
      <c r="EO26" s="283">
        <f>IF(AND(Stamoplysninger!$B$26="Weekendtimer og weekendtillæg udbetales.",I26="X"),K26*1.5,0)</f>
        <v>0</v>
      </c>
      <c r="EP26" s="251">
        <f>IF(AND(AND(Stamoplysninger!$B$26="Weekendtimer og weekendtillæg udbetales.",I26="X",S26="X")),V26*1.5,0)</f>
        <v>0</v>
      </c>
      <c r="EQ26" s="674">
        <f>IF(AND(AND(Stamoplysninger!$B$26="Weekendtimer og weekendtillæg udbetales.",I26="X",C26="ikke relevant")),K26*1.5,0)</f>
        <v>0</v>
      </c>
      <c r="ER26" s="675">
        <f>IF(AND(AND(AND(Stamoplysninger!$B$26="Weekendtimer og weekendtillæg udbetales.",I26="X",C26="ikke relevant",S26="X"))),(V26*1.5),0)</f>
        <v>0</v>
      </c>
      <c r="ES26" s="283">
        <f>IF(AND(Stamoplysninger!$B$26="Der er indgået lokalaftale omkring weekendtimer.(Kræver aftale med TR/FSL) Weekendtillæg afspadseres.",I26="X"),K26*0.5,0)</f>
        <v>0</v>
      </c>
      <c r="ET26" s="251">
        <f>IF(AND(AND(Stamoplysninger!$B$26="Der er indgået lokalaftale omkring weekendtimer.(Kræver aftale med TR/FSL) Weekendtillæg afspadseres.",I26="X",S26="X")),V26*0.5,0)</f>
        <v>0</v>
      </c>
      <c r="EU26" s="674">
        <f>IF(AND(AND(Stamoplysninger!$B$26="Der er indgået lokalaftale omkring weekendtimer.(Kræver aftale med TR/FSL) Weekendtillæg afspadseres.",I26="X",C26="ikke relevant")),K26*0.5,0)</f>
        <v>0</v>
      </c>
      <c r="EV26" s="675">
        <f>IF(AND(AND(AND(Stamoplysninger!$B$26="Der er indgået lokalaftale omkring weekendtimer.(Kræver aftale med TR/FSL) Weekendtillæg afspadseres.",I26="X",C26="ikke relevant",S26="X"))),(V26*0.5),0)</f>
        <v>0</v>
      </c>
      <c r="EW26" s="283">
        <f>IF(AND(Stamoplysninger!$B$26="Der er indgået lokalaftale omkring weekendtimer(Kræver aftale med TR/FSL). Weekendtillæg udbetales.",I26="X"),K26*0.5,0)</f>
        <v>0</v>
      </c>
      <c r="EX26" s="251">
        <f>IF(AND(AND(Stamoplysninger!$B$26="Der er indgået lokalaftale omkring weekendtimer(Kræver aftale med TR/FSL). Weekendtillæg udbetales.",I26="X",S26="X")),V26*0.5,0)</f>
        <v>0</v>
      </c>
      <c r="EY26" s="674">
        <f>IF(AND(AND(Stamoplysninger!$B$26="Der er indgået lokalaftale omkring weekendtimer(Kræver aftale med TR/FSL). Weekendtillæg udbetales.",I26="X",C26="ikke relevant")),K26*0.5,0)</f>
        <v>0</v>
      </c>
      <c r="EZ26" s="675">
        <f>IF(AND(AND(AND(Stamoplysninger!$B$26="Der er indgået lokalaftale omkring weekendtimer(Kræver aftale med TR/FSL). Weekendtillæg udbetales.",I26="X",C26="ikke relevant",S26="X"))),(V26*0.5),0)</f>
        <v>0</v>
      </c>
      <c r="FA26" s="283">
        <f>IF(AND(Stamoplysninger!$B$26="Der er indgået lokalaftale omkring weekendtillæg(Kræver aftale med TR/FSL). Weekendtimerne afspadseres.",I26="X"),K26,0)</f>
        <v>0</v>
      </c>
      <c r="FB26" s="251">
        <f>IF(AND(AND(Stamoplysninger!$B$26="Der er indgået lokalaftale omkring weekendtillæg(Kræver aftale med TR/FSL). Weekendtimerne afspadseres.",I26="X",S26="X")),V26,0)</f>
        <v>0</v>
      </c>
      <c r="FC26" s="674">
        <f>IF(AND(AND(Stamoplysninger!$B$26="Der er indgået lokalaftale omkring weekendtillæg(Kræver aftale med TR/FSL). Weekendtimerne afspadseres..",I26="X",C26="ikke relevant")),K26,0)</f>
        <v>0</v>
      </c>
      <c r="FD26" s="675">
        <f>IF(AND(AND(AND(Stamoplysninger!$B$26="Der er indgået lokalaftale omkring weekendtillæg(Kræver aftale med TR/FSL). Weekendtimerne afspadseres.",I26="X",C26="ikke relevant",S26="X"))),(V26),0)</f>
        <v>0</v>
      </c>
      <c r="FE26" s="283">
        <f>IF(AND(Stamoplysninger!$B$26="Der er indgået lokalaftale omkring weekendtillæg(Kræver aftale med TR/FSL). Weekendtimerne udbetales.",I26="X"),K26,0)</f>
        <v>0</v>
      </c>
      <c r="FF26" s="251">
        <f>IF(AND(AND(Stamoplysninger!$B$26="Der er indgået lokalaftale omkring weekendtillæg(Kræver aftale med TR/FSL). Weekendtimerne udbetales.",I26="X",S26="X")),V26,0)</f>
        <v>0</v>
      </c>
      <c r="FG26" s="674">
        <f>IF(AND(AND(Stamoplysninger!$B$26="Der er indgået lokalaftale omkring weekendtillæg(Kræver aftale med TR/FSL). Weekendtimerne udbetales.",I26="X",C26="ikke relevant")),K26,0)</f>
        <v>0</v>
      </c>
      <c r="FH26" s="675">
        <f>IF(AND(AND(AND(Stamoplysninger!$B$26="Der er indgået lokalaftale omkring weekendtillæg(Kræver aftale med TR/FSL). Weekendtimerne udbetales.",I26="X",C26="ikke relevant",S26="X"))),(V26),0)</f>
        <v>0</v>
      </c>
      <c r="FI26" s="283">
        <f>IF(AND(Stamoplysninger!$B$26="Weekendtimer og weekendtillæg afspadseres.",I26="X"),K26,0)</f>
        <v>0</v>
      </c>
      <c r="FJ26" s="251">
        <f>IF(AND(Stamoplysninger!$B$26="Weekendtimer og weekendtillæg afspadseres.",Y26="X"),(AA26+AL26)/2,0)</f>
        <v>0</v>
      </c>
      <c r="FK26" s="674">
        <f>IF(AND(AND(Stamoplysninger!$B$26="Weekendtimer og weekendtillæg afspadseres.",I26="X",C26="ikke relevant")),K26,0)</f>
        <v>0</v>
      </c>
      <c r="FL26" s="675">
        <f>IF(AND(AND(Stamoplysninger!$B$26="Weekendtimer og weekendtillæg afspadseres.",Y26="X",S26="ikke relevant")),(AA26+AL26)/2,0)</f>
        <v>0</v>
      </c>
      <c r="FM26" s="283">
        <f>IF(AND(Stamoplysninger!$B$26="Der er indgået lokalaftale omkring weekendtillæg(Kræver aftale med TR/FSL). Weekendtimerne afspadseres.",I26="X"),K26,0)</f>
        <v>0</v>
      </c>
      <c r="FN26" s="674">
        <f>IF(AND(AND(Stamoplysninger!$B$26="Der er indgået lokalaftale omkring weekendtillæg(Kræver aftale med TR/FSL). Weekendtimerne afspadseres.",I26="X",C26="ikke relevant")),K26,0)</f>
        <v>0</v>
      </c>
      <c r="FO26" s="283">
        <f>IF(AND(Stamoplysninger!$B$26="Weekendtimer og weekendtillæg udbetales.",I26="X"),K26,0)</f>
        <v>0</v>
      </c>
      <c r="FP26" s="251">
        <f>IF(AND(Stamoplysninger!$B$26="Weekendtimer og weekendtillæg udbetales.",AA26="X"),(AC26+AN26)/2,0)</f>
        <v>0</v>
      </c>
      <c r="FQ26" s="674">
        <f>IF(AND(AND(Stamoplysninger!$B$26="Weekendtimer og weekendtillæg udbetales.",I26="X",C26="ikke relevant")),K26,0)</f>
        <v>0</v>
      </c>
      <c r="FR26" s="688">
        <f>IF(AND(AND(Stamoplysninger!$B$26="Weekendtimer og weekendtillæg udbetales.",AA26="X",U26="ikke relevant")),(AC26+AN26)/2,0)</f>
        <v>0</v>
      </c>
      <c r="FS26" s="283">
        <f t="shared" si="14"/>
        <v>0</v>
      </c>
      <c r="FT26" s="658">
        <f t="shared" si="15"/>
        <v>0</v>
      </c>
      <c r="FU26">
        <f t="shared" si="16"/>
        <v>0</v>
      </c>
      <c r="FV26" s="283">
        <f>IF(AND(Stamoplysninger!$B$26="Der er indgået lokalaftale omkring weekendtimer.(Kræver aftale med TR/FSL) Weekendtillæg afspadseres.",I26="X"),K26,0)</f>
        <v>0</v>
      </c>
      <c r="FW26" s="674">
        <f>IF(AND(AND(Stamoplysninger!$B$26="Der er indgået lokalaftale omkring weekendtimer.(Kræver aftale med TR/FSL) Weekendtillæg afspadseres.",I26="X",C26="ikke relevant")),K26,0)</f>
        <v>0</v>
      </c>
      <c r="FX26" s="283">
        <f>IF(AND(Stamoplysninger!$B$26="Der er indgået lokalaftale omkring weekendtimer(Kræver aftale med TR/FSL). Weekendtillæg udbetales.",I26="X"),K26,0)</f>
        <v>0</v>
      </c>
      <c r="FY26" s="674">
        <f>IF(AND(AND(Stamoplysninger!$B$26="Der er indgået lokalaftale omkring weekendtimer(Kræver aftale med TR/FSL). Weekendtillæg udbetales.",I26="X",C26="ikke relevant")),K26,0)</f>
        <v>0</v>
      </c>
      <c r="FZ26" s="283">
        <f>IF(AND(Stamoplysninger!$B$26="Der er indgået lokalaftale omkring weekendtillæg(Kræver aftale med TR/FSL). Weekendtimerne udbetales.",I26="X"),K26,0)</f>
        <v>0</v>
      </c>
      <c r="GA26" s="674">
        <f>IF(AND(AND(Stamoplysninger!$B$26="Der er indgået lokalaftale omkring weekendtillæg(Kræver aftale med TR/FSL). Weekendtimerne udbetales.",I26="X",C26="ikke relevant")),K26,0)</f>
        <v>0</v>
      </c>
      <c r="GB26" s="283">
        <f>IF(AND(Stamoplysninger!$B$26="Der er indgået lokalaftale omkring weekendtimer og weekendtillæg.(Kræver aftale med TR/FSL).",I26="X"),K26,0)</f>
        <v>0</v>
      </c>
      <c r="GC26" s="674">
        <f>IF(AND(AND(Stamoplysninger!$B$26="Der er indgået lokalaftale omkring weekendtimer og weekendtillæg.(Kræver aftale med TR/FSL).",I26="X",C26="ikke relevant")),K26,0)</f>
        <v>0</v>
      </c>
    </row>
    <row r="27" spans="1:185">
      <c r="A27" s="245">
        <f t="shared" si="17"/>
        <v>19</v>
      </c>
      <c r="B27" s="128" t="str">
        <f t="shared" si="0"/>
        <v>lø</v>
      </c>
      <c r="C27" s="129" t="s">
        <v>120</v>
      </c>
      <c r="D27" s="130" t="str">
        <f t="shared" si="1"/>
        <v/>
      </c>
      <c r="E27" s="917"/>
      <c r="F27" s="918"/>
      <c r="G27" s="919"/>
      <c r="H27" s="298"/>
      <c r="I27" s="413"/>
      <c r="J27" s="413"/>
      <c r="K27" s="380"/>
      <c r="L27" s="380"/>
      <c r="M27" s="380"/>
      <c r="N27" s="318">
        <f t="shared" si="18"/>
        <v>0</v>
      </c>
      <c r="O27" s="318">
        <f t="shared" si="19"/>
        <v>0</v>
      </c>
      <c r="P27" s="318">
        <f>IF(Stamoplysninger!$H$29="JA",April!DG27,CX27)</f>
        <v>0</v>
      </c>
      <c r="Q27" s="318">
        <f t="shared" si="20"/>
        <v>0</v>
      </c>
      <c r="R27" s="319"/>
      <c r="S27" s="324"/>
      <c r="T27" s="325"/>
      <c r="U27" s="325"/>
      <c r="V27" s="435"/>
      <c r="W27" s="435"/>
      <c r="X27" s="644"/>
      <c r="Y27">
        <f t="shared" si="21"/>
        <v>0</v>
      </c>
      <c r="Z27" s="437">
        <f t="shared" si="22"/>
        <v>0</v>
      </c>
      <c r="AA27" s="1">
        <f t="shared" si="2"/>
        <v>0</v>
      </c>
      <c r="AB27" s="1">
        <f t="shared" si="3"/>
        <v>0</v>
      </c>
      <c r="AC27" s="1">
        <f t="shared" si="4"/>
        <v>0</v>
      </c>
      <c r="AD27" s="1">
        <f t="shared" si="5"/>
        <v>0</v>
      </c>
      <c r="AE27" s="1">
        <f t="shared" si="6"/>
        <v>0</v>
      </c>
      <c r="AF27" s="1">
        <f>IF(C27="Orlov",7.4*Stamoplysninger!$E$15,0)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9">
        <f t="shared" si="7"/>
        <v>0</v>
      </c>
      <c r="BC27" s="1">
        <f t="shared" si="24"/>
        <v>0</v>
      </c>
      <c r="BD27" s="1">
        <f t="shared" si="8"/>
        <v>0</v>
      </c>
      <c r="BE27" s="1">
        <f t="shared" si="9"/>
        <v>0</v>
      </c>
      <c r="BF27" s="1">
        <f t="shared" si="10"/>
        <v>0</v>
      </c>
      <c r="BG27" s="210" t="str">
        <f>IF(AND(C27="Skema 1",B27="ma"),Skemaoplysninger!$E$30,"")</f>
        <v/>
      </c>
      <c r="BH27" s="210" t="str">
        <f>IF(AND(C27="Skema 1",B27="ti"),Skemaoplysninger!$G$30,"")</f>
        <v/>
      </c>
      <c r="BI27" s="210" t="str">
        <f>IF(AND(C27="Skema 1",B27="on"),Skemaoplysninger!$I$30,"")</f>
        <v/>
      </c>
      <c r="BJ27" s="210" t="str">
        <f>IF(AND(C27="Skema 1",B27="to"),Skemaoplysninger!$K$30,"")</f>
        <v/>
      </c>
      <c r="BK27" s="210" t="str">
        <f>IF(AND(C27="Skema 1",B27="fr"),Skemaoplysninger!$M$30,"")</f>
        <v/>
      </c>
      <c r="BL27" s="210" t="str">
        <f>IF(AND(C27="Skema 2",B27="ma"),Skemaoplysninger!$S$30,"")</f>
        <v/>
      </c>
      <c r="BM27" s="210" t="str">
        <f>IF(AND(C27="Skema 2",B27="ti"),Skemaoplysninger!$U$30,"")</f>
        <v/>
      </c>
      <c r="BN27" s="210" t="str">
        <f>IF(AND(C27="Skema 2",B27="on"),Skemaoplysninger!$W$30,"")</f>
        <v/>
      </c>
      <c r="BO27" s="210" t="str">
        <f>IF(AND(C27="Skema 2",B27="to"),Skemaoplysninger!$Y$30,"")</f>
        <v/>
      </c>
      <c r="BP27" s="210" t="str">
        <f>IF(AND(C27="Skema 2",B27="fr"),Skemaoplysninger!$AA$30,"")</f>
        <v/>
      </c>
      <c r="BQ27" s="210" t="str">
        <f>IF(AND(C27="Skema 3",B27="ma"),Skemaoplysninger!$AG$30,"")</f>
        <v/>
      </c>
      <c r="BR27" s="210" t="str">
        <f>IF(AND(C27="Skema 3",B27="ti"),Skemaoplysninger!$AI$30,"")</f>
        <v/>
      </c>
      <c r="BS27" s="210" t="str">
        <f>IF(AND(C27="Skema 3",B27="on"),Skemaoplysninger!$AK$30,"")</f>
        <v/>
      </c>
      <c r="BT27" s="210" t="str">
        <f>IF(AND(C27="Skema 3",B27="to"),Skemaoplysninger!$AM$30,"")</f>
        <v/>
      </c>
      <c r="BU27" s="210" t="str">
        <f>IF(AND(C27="Skema 3",B27="fr"),Skemaoplysninger!$AO$30,"")</f>
        <v/>
      </c>
      <c r="BV27" s="210" t="str">
        <f>IF(AND(C27="Skema 4",B27="ma"),Skemaoplysninger!$AU$30,"")</f>
        <v/>
      </c>
      <c r="BW27" s="210" t="str">
        <f>IF(AND(C27="Skema 4",B27="ti"),Skemaoplysninger!$AW$30,"")</f>
        <v/>
      </c>
      <c r="BX27" s="210" t="str">
        <f>IF(AND(C27="Skema 4",B27="on"),Skemaoplysninger!$AY$30,"")</f>
        <v/>
      </c>
      <c r="BY27" s="210" t="str">
        <f>IF(AND(C27="Skema 4",B27="to"),Skemaoplysninger!$BA$30,"")</f>
        <v/>
      </c>
      <c r="BZ27" s="210" t="str">
        <f>IF(AND(C27="Skema 4",B27="fr"),Skemaoplysninger!$BC$30,"")</f>
        <v/>
      </c>
      <c r="CA27" s="1">
        <f t="shared" si="25"/>
        <v>0</v>
      </c>
      <c r="CB27" s="1">
        <f t="shared" si="11"/>
        <v>0</v>
      </c>
      <c r="CC27" s="1">
        <f t="shared" si="12"/>
        <v>0</v>
      </c>
      <c r="CD27" s="210" t="str">
        <f>IF(AND(C27="Skema 1",B27="ma"),Skemaoplysninger!$E$31,"")</f>
        <v/>
      </c>
      <c r="CE27" s="210" t="str">
        <f>IF(AND(C27="Skema 1",B27="ti"),Skemaoplysninger!$G$31,"")</f>
        <v/>
      </c>
      <c r="CF27" s="210" t="str">
        <f>IF(AND(C27="Skema 1",B27="on"),Skemaoplysninger!$I$31,"")</f>
        <v/>
      </c>
      <c r="CG27" s="210" t="str">
        <f>IF(AND(C27="Skema 1",B27="to"),Skemaoplysninger!$K$31,"")</f>
        <v/>
      </c>
      <c r="CH27" s="210" t="str">
        <f>IF(AND(C27="Skema 1",B27="fr"),Skemaoplysninger!$M$31,"")</f>
        <v/>
      </c>
      <c r="CI27" s="210" t="str">
        <f>IF(AND(C27="Skema 2",B27="ma"),Skemaoplysninger!$S$31,"")</f>
        <v/>
      </c>
      <c r="CJ27" s="210" t="str">
        <f>IF(AND(C27="Skema 2",B27="ti"),Skemaoplysninger!$U$31,"")</f>
        <v/>
      </c>
      <c r="CK27" s="210" t="str">
        <f>IF(AND(C27="Skema 2",B27="on"),Skemaoplysninger!$W$31,"")</f>
        <v/>
      </c>
      <c r="CL27" s="210" t="str">
        <f>IF(AND(C27="Skema 2",B27="to"),Skemaoplysninger!$Y$31,"")</f>
        <v/>
      </c>
      <c r="CM27" s="210" t="str">
        <f>IF(AND(C27="Skema 2",B27="fr"),Skemaoplysninger!$AA$31,"")</f>
        <v/>
      </c>
      <c r="CN27" s="210" t="str">
        <f>IF(AND(C27="Skema 3",B27="ma"),Skemaoplysninger!$AG$31,"")</f>
        <v/>
      </c>
      <c r="CO27" s="210" t="str">
        <f>IF(AND(C27="Skema 3",B27="ti"),Skemaoplysninger!$AI$31,"")</f>
        <v/>
      </c>
      <c r="CP27" s="210" t="str">
        <f>IF(AND(C27="Skema 3",B27="on"),Skemaoplysninger!$AK$31,"")</f>
        <v/>
      </c>
      <c r="CQ27" s="210" t="str">
        <f>IF(AND(C27="Skema 3",B27="to"),Skemaoplysninger!$AM$31,"")</f>
        <v/>
      </c>
      <c r="CR27" s="210" t="str">
        <f>IF(AND(C27="Skema 3",B27="fr"),Skemaoplysninger!$AO$31,"")</f>
        <v/>
      </c>
      <c r="CS27" s="210" t="str">
        <f>IF(AND(C27="Skema 4",B27="ma"),Skemaoplysninger!$AU$31,"")</f>
        <v/>
      </c>
      <c r="CT27" s="210" t="str">
        <f>IF(AND(C27="Skema 4",B27="ti"),Skemaoplysninger!$AW$31,"")</f>
        <v/>
      </c>
      <c r="CU27" s="210" t="str">
        <f>IF(AND(C27="Skema 4",B27="on"),Skemaoplysninger!$AY$31,"")</f>
        <v/>
      </c>
      <c r="CV27" s="210" t="str">
        <f>IF(AND(C27="Skema 4",B27="to"),Skemaoplysninger!$BA$31,"")</f>
        <v/>
      </c>
      <c r="CW27" s="210" t="str">
        <f>IF(AND(C27="Skema 4",B27="fr"),Skemaoplysninger!$BC$31,"")</f>
        <v/>
      </c>
      <c r="CX27" s="249">
        <f>IF(Stamoplysninger!$H$29="NEJ",SUM(CD27:CW27)*24+CB27+CC27,0)</f>
        <v>0</v>
      </c>
      <c r="CY27" s="249">
        <f>IF(C27="Skema 1",Stamoplysninger!$H$30/200,0)</f>
        <v>0</v>
      </c>
      <c r="CZ27" s="249">
        <f>IF(C27="Skema 2",Stamoplysninger!$H$30/200,0)</f>
        <v>0</v>
      </c>
      <c r="DA27" s="249">
        <f>IF(C27="Skema 3",Stamoplysninger!$H$30/200,0)</f>
        <v>0</v>
      </c>
      <c r="DB27" s="249">
        <f>IF(C27="Skema 4",Stamoplysninger!$H$30/200,0)</f>
        <v>0</v>
      </c>
      <c r="DC27" s="249">
        <f>IF(C27="fagdag",Stamoplysninger!$H$30/200,0)</f>
        <v>0</v>
      </c>
      <c r="DD27" s="249">
        <f>IF(C27="emnedag",Stamoplysninger!$H$30/200,0)</f>
        <v>0</v>
      </c>
      <c r="DE27" s="249">
        <f>IF(C27="lejrskole",Stamoplysninger!$H$30/200,0)</f>
        <v>0</v>
      </c>
      <c r="DF27" s="249">
        <f>IF(C27="ekskursion",Stamoplysninger!$H$30/200,0)</f>
        <v>0</v>
      </c>
      <c r="DG27" s="249">
        <f t="shared" si="26"/>
        <v>0</v>
      </c>
      <c r="DH27" t="str">
        <f t="shared" si="27"/>
        <v/>
      </c>
      <c r="DI27">
        <f t="shared" si="28"/>
        <v>0</v>
      </c>
      <c r="DJ27">
        <f t="shared" si="29"/>
        <v>0</v>
      </c>
      <c r="DK27" t="str">
        <f t="shared" si="13"/>
        <v/>
      </c>
      <c r="DL27" t="str">
        <f t="shared" si="13"/>
        <v/>
      </c>
      <c r="DM27" t="str">
        <f t="shared" si="13"/>
        <v/>
      </c>
      <c r="DN27" t="str">
        <f t="shared" si="30"/>
        <v/>
      </c>
      <c r="DO27" s="652">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71">
        <f>IF(AND(Stamoplysninger!$B$22="Ulempetillæg udbetales med 25% af nettotimelønnen.",C27="ikke relevant"),(R27)/4,0)</f>
        <v>0</v>
      </c>
      <c r="DT27" s="671">
        <f>IF(AND(AND(Stamoplysninger!$B$22="Ulempetillæg udbetales med 25% af nettotimelønnen.",I27="X",C27="Ikke relevant")),K27/4,0)</f>
        <v>0</v>
      </c>
      <c r="DU27" s="671">
        <f>IF(AND(AND(Stamoplysninger!$B$22="Ulempetillæg udbetales med 25% af nettotimelønnen.",C27="ikke relevant",U27="X")),(X27/4),0)</f>
        <v>0</v>
      </c>
      <c r="DV27" s="672">
        <f>IF(AND(AND(AND(Stamoplysninger!$B$22="Ulempetillæg udbetales med 25% af nettotimelønnen.",I27="X",C27="Ikke relevant",S27="X"))),V27/4,0)</f>
        <v>0</v>
      </c>
      <c r="DW27" s="652"/>
      <c r="DZ27" s="671"/>
      <c r="EA27" s="671"/>
      <c r="EB27" s="672"/>
      <c r="EC27" s="652">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71">
        <f>IF(AND(Stamoplysninger!$B$22="Ulempetillæg afspadseres med 25%(Kræver en aftale imellem ledelsen og den ansatte)",C27="ikke relevant"),(R27)/4,0)</f>
        <v>0</v>
      </c>
      <c r="EH27" s="671">
        <f>IF(AND(AND(Stamoplysninger!$B$22="Ulempetillæg afspadseres med 25%(Kræver en aftale imellem ledelsen og den ansatte)",I27="X",C27="Ikke relevant")),K27/4,0)</f>
        <v>0</v>
      </c>
      <c r="EI27" s="671">
        <f>IF(AND(AND(Stamoplysninger!$B$22="Ulempetillæg afspadseres med 25%(Kræver en aftale imellem ledelsen og den ansatte)",U27="X",C27="Ikke relevant")),X27/4,0)</f>
        <v>0</v>
      </c>
      <c r="EJ27" s="671">
        <f>IF(AND(AND(AND(Stamoplysninger!$B$22="Ulempetillæg afspadseres med 25%(Kræver en aftale imellem ledelsen og den ansatte)",I27="X",C27="Ikke relevant",S27="X"))),V27/4,0)</f>
        <v>0</v>
      </c>
      <c r="EK27" s="283">
        <f>IF(AND(Stamoplysninger!$B$26="Weekendtimer og weekendtillæg afspadseres.",I27="X"),K27*1.5,0)</f>
        <v>0</v>
      </c>
      <c r="EL27" s="251">
        <f>IF(AND(AND(Stamoplysninger!$B$26="Weekendtimer og weekendtillæg afspadseres.",I27="X",S27="X")),V27*1.5,0)</f>
        <v>0</v>
      </c>
      <c r="EM27" s="674">
        <f>IF(AND(AND(Stamoplysninger!$B$26="Weekendtimer og weekendtillæg afspadseres.",I27="X",C27="ikke relevant")),K27*1.5,0)</f>
        <v>0</v>
      </c>
      <c r="EN27" s="675">
        <f>IF(AND(AND(AND(Stamoplysninger!$B$26="Weekendtimer og weekendtillæg afspadseres.",I27="X",C27="ikke relevant",S27="X"))),(V27*1.5),0)</f>
        <v>0</v>
      </c>
      <c r="EO27" s="283">
        <f>IF(AND(Stamoplysninger!$B$26="Weekendtimer og weekendtillæg udbetales.",I27="X"),K27*1.5,0)</f>
        <v>0</v>
      </c>
      <c r="EP27" s="251">
        <f>IF(AND(AND(Stamoplysninger!$B$26="Weekendtimer og weekendtillæg udbetales.",I27="X",S27="X")),V27*1.5,0)</f>
        <v>0</v>
      </c>
      <c r="EQ27" s="674">
        <f>IF(AND(AND(Stamoplysninger!$B$26="Weekendtimer og weekendtillæg udbetales.",I27="X",C27="ikke relevant")),K27*1.5,0)</f>
        <v>0</v>
      </c>
      <c r="ER27" s="675">
        <f>IF(AND(AND(AND(Stamoplysninger!$B$26="Weekendtimer og weekendtillæg udbetales.",I27="X",C27="ikke relevant",S27="X"))),(V27*1.5),0)</f>
        <v>0</v>
      </c>
      <c r="ES27" s="283">
        <f>IF(AND(Stamoplysninger!$B$26="Der er indgået lokalaftale omkring weekendtimer.(Kræver aftale med TR/FSL) Weekendtillæg afspadseres.",I27="X"),K27*0.5,0)</f>
        <v>0</v>
      </c>
      <c r="ET27" s="251">
        <f>IF(AND(AND(Stamoplysninger!$B$26="Der er indgået lokalaftale omkring weekendtimer.(Kræver aftale med TR/FSL) Weekendtillæg afspadseres.",I27="X",S27="X")),V27*0.5,0)</f>
        <v>0</v>
      </c>
      <c r="EU27" s="674">
        <f>IF(AND(AND(Stamoplysninger!$B$26="Der er indgået lokalaftale omkring weekendtimer.(Kræver aftale med TR/FSL) Weekendtillæg afspadseres.",I27="X",C27="ikke relevant")),K27*0.5,0)</f>
        <v>0</v>
      </c>
      <c r="EV27" s="675">
        <f>IF(AND(AND(AND(Stamoplysninger!$B$26="Der er indgået lokalaftale omkring weekendtimer.(Kræver aftale med TR/FSL) Weekendtillæg afspadseres.",I27="X",C27="ikke relevant",S27="X"))),(V27*0.5),0)</f>
        <v>0</v>
      </c>
      <c r="EW27" s="283">
        <f>IF(AND(Stamoplysninger!$B$26="Der er indgået lokalaftale omkring weekendtimer(Kræver aftale med TR/FSL). Weekendtillæg udbetales.",I27="X"),K27*0.5,0)</f>
        <v>0</v>
      </c>
      <c r="EX27" s="251">
        <f>IF(AND(AND(Stamoplysninger!$B$26="Der er indgået lokalaftale omkring weekendtimer(Kræver aftale med TR/FSL). Weekendtillæg udbetales.",I27="X",S27="X")),V27*0.5,0)</f>
        <v>0</v>
      </c>
      <c r="EY27" s="674">
        <f>IF(AND(AND(Stamoplysninger!$B$26="Der er indgået lokalaftale omkring weekendtimer(Kræver aftale med TR/FSL). Weekendtillæg udbetales.",I27="X",C27="ikke relevant")),K27*0.5,0)</f>
        <v>0</v>
      </c>
      <c r="EZ27" s="675">
        <f>IF(AND(AND(AND(Stamoplysninger!$B$26="Der er indgået lokalaftale omkring weekendtimer(Kræver aftale med TR/FSL). Weekendtillæg udbetales.",I27="X",C27="ikke relevant",S27="X"))),(V27*0.5),0)</f>
        <v>0</v>
      </c>
      <c r="FA27" s="283">
        <f>IF(AND(Stamoplysninger!$B$26="Der er indgået lokalaftale omkring weekendtillæg(Kræver aftale med TR/FSL). Weekendtimerne afspadseres.",I27="X"),K27,0)</f>
        <v>0</v>
      </c>
      <c r="FB27" s="251">
        <f>IF(AND(AND(Stamoplysninger!$B$26="Der er indgået lokalaftale omkring weekendtillæg(Kræver aftale med TR/FSL). Weekendtimerne afspadseres.",I27="X",S27="X")),V27,0)</f>
        <v>0</v>
      </c>
      <c r="FC27" s="674">
        <f>IF(AND(AND(Stamoplysninger!$B$26="Der er indgået lokalaftale omkring weekendtillæg(Kræver aftale med TR/FSL). Weekendtimerne afspadseres..",I27="X",C27="ikke relevant")),K27,0)</f>
        <v>0</v>
      </c>
      <c r="FD27" s="675">
        <f>IF(AND(AND(AND(Stamoplysninger!$B$26="Der er indgået lokalaftale omkring weekendtillæg(Kræver aftale med TR/FSL). Weekendtimerne afspadseres.",I27="X",C27="ikke relevant",S27="X"))),(V27),0)</f>
        <v>0</v>
      </c>
      <c r="FE27" s="283">
        <f>IF(AND(Stamoplysninger!$B$26="Der er indgået lokalaftale omkring weekendtillæg(Kræver aftale med TR/FSL). Weekendtimerne udbetales.",I27="X"),K27,0)</f>
        <v>0</v>
      </c>
      <c r="FF27" s="251">
        <f>IF(AND(AND(Stamoplysninger!$B$26="Der er indgået lokalaftale omkring weekendtillæg(Kræver aftale med TR/FSL). Weekendtimerne udbetales.",I27="X",S27="X")),V27,0)</f>
        <v>0</v>
      </c>
      <c r="FG27" s="674">
        <f>IF(AND(AND(Stamoplysninger!$B$26="Der er indgået lokalaftale omkring weekendtillæg(Kræver aftale med TR/FSL). Weekendtimerne udbetales.",I27="X",C27="ikke relevant")),K27,0)</f>
        <v>0</v>
      </c>
      <c r="FH27" s="675">
        <f>IF(AND(AND(AND(Stamoplysninger!$B$26="Der er indgået lokalaftale omkring weekendtillæg(Kræver aftale med TR/FSL). Weekendtimerne udbetales.",I27="X",C27="ikke relevant",S27="X"))),(V27),0)</f>
        <v>0</v>
      </c>
      <c r="FI27" s="283">
        <f>IF(AND(Stamoplysninger!$B$26="Weekendtimer og weekendtillæg afspadseres.",I27="X"),K27,0)</f>
        <v>0</v>
      </c>
      <c r="FJ27" s="251">
        <f>IF(AND(Stamoplysninger!$B$26="Weekendtimer og weekendtillæg afspadseres.",Y27="X"),(AA27+AL27)/2,0)</f>
        <v>0</v>
      </c>
      <c r="FK27" s="674">
        <f>IF(AND(AND(Stamoplysninger!$B$26="Weekendtimer og weekendtillæg afspadseres.",I27="X",C27="ikke relevant")),K27,0)</f>
        <v>0</v>
      </c>
      <c r="FL27" s="675">
        <f>IF(AND(AND(Stamoplysninger!$B$26="Weekendtimer og weekendtillæg afspadseres.",Y27="X",S27="ikke relevant")),(AA27+AL27)/2,0)</f>
        <v>0</v>
      </c>
      <c r="FM27" s="283">
        <f>IF(AND(Stamoplysninger!$B$26="Der er indgået lokalaftale omkring weekendtillæg(Kræver aftale med TR/FSL). Weekendtimerne afspadseres.",I27="X"),K27,0)</f>
        <v>0</v>
      </c>
      <c r="FN27" s="674">
        <f>IF(AND(AND(Stamoplysninger!$B$26="Der er indgået lokalaftale omkring weekendtillæg(Kræver aftale med TR/FSL). Weekendtimerne afspadseres.",I27="X",C27="ikke relevant")),K27,0)</f>
        <v>0</v>
      </c>
      <c r="FO27" s="283">
        <f>IF(AND(Stamoplysninger!$B$26="Weekendtimer og weekendtillæg udbetales.",I27="X"),K27,0)</f>
        <v>0</v>
      </c>
      <c r="FP27" s="251">
        <f>IF(AND(Stamoplysninger!$B$26="Weekendtimer og weekendtillæg udbetales.",AA27="X"),(AC27+AN27)/2,0)</f>
        <v>0</v>
      </c>
      <c r="FQ27" s="674">
        <f>IF(AND(AND(Stamoplysninger!$B$26="Weekendtimer og weekendtillæg udbetales.",I27="X",C27="ikke relevant")),K27,0)</f>
        <v>0</v>
      </c>
      <c r="FR27" s="688">
        <f>IF(AND(AND(Stamoplysninger!$B$26="Weekendtimer og weekendtillæg udbetales.",AA27="X",U27="ikke relevant")),(AC27+AN27)/2,0)</f>
        <v>0</v>
      </c>
      <c r="FS27" s="283">
        <f t="shared" si="14"/>
        <v>0</v>
      </c>
      <c r="FT27" s="658">
        <f t="shared" si="15"/>
        <v>0</v>
      </c>
      <c r="FU27">
        <f t="shared" si="16"/>
        <v>0</v>
      </c>
      <c r="FV27" s="283">
        <f>IF(AND(Stamoplysninger!$B$26="Der er indgået lokalaftale omkring weekendtimer.(Kræver aftale med TR/FSL) Weekendtillæg afspadseres.",I27="X"),K27,0)</f>
        <v>0</v>
      </c>
      <c r="FW27" s="674">
        <f>IF(AND(AND(Stamoplysninger!$B$26="Der er indgået lokalaftale omkring weekendtimer.(Kræver aftale med TR/FSL) Weekendtillæg afspadseres.",I27="X",C27="ikke relevant")),K27,0)</f>
        <v>0</v>
      </c>
      <c r="FX27" s="283">
        <f>IF(AND(Stamoplysninger!$B$26="Der er indgået lokalaftale omkring weekendtimer(Kræver aftale med TR/FSL). Weekendtillæg udbetales.",I27="X"),K27,0)</f>
        <v>0</v>
      </c>
      <c r="FY27" s="674">
        <f>IF(AND(AND(Stamoplysninger!$B$26="Der er indgået lokalaftale omkring weekendtimer(Kræver aftale med TR/FSL). Weekendtillæg udbetales.",I27="X",C27="ikke relevant")),K27,0)</f>
        <v>0</v>
      </c>
      <c r="FZ27" s="283">
        <f>IF(AND(Stamoplysninger!$B$26="Der er indgået lokalaftale omkring weekendtillæg(Kræver aftale med TR/FSL). Weekendtimerne udbetales.",I27="X"),K27,0)</f>
        <v>0</v>
      </c>
      <c r="GA27" s="674">
        <f>IF(AND(AND(Stamoplysninger!$B$26="Der er indgået lokalaftale omkring weekendtillæg(Kræver aftale med TR/FSL). Weekendtimerne udbetales.",I27="X",C27="ikke relevant")),K27,0)</f>
        <v>0</v>
      </c>
      <c r="GB27" s="283">
        <f>IF(AND(Stamoplysninger!$B$26="Der er indgået lokalaftale omkring weekendtimer og weekendtillæg.(Kræver aftale med TR/FSL).",I27="X"),K27,0)</f>
        <v>0</v>
      </c>
      <c r="GC27" s="674">
        <f>IF(AND(AND(Stamoplysninger!$B$26="Der er indgået lokalaftale omkring weekendtimer og weekendtillæg.(Kræver aftale med TR/FSL).",I27="X",C27="ikke relevant")),K27,0)</f>
        <v>0</v>
      </c>
    </row>
    <row r="28" spans="1:185">
      <c r="A28" s="245">
        <f t="shared" si="17"/>
        <v>20</v>
      </c>
      <c r="B28" s="128" t="str">
        <f t="shared" si="0"/>
        <v>sø</v>
      </c>
      <c r="C28" s="129" t="s">
        <v>120</v>
      </c>
      <c r="D28" s="130" t="str">
        <f t="shared" si="1"/>
        <v/>
      </c>
      <c r="E28" s="917" t="s">
        <v>114</v>
      </c>
      <c r="F28" s="918"/>
      <c r="G28" s="919"/>
      <c r="H28" s="298"/>
      <c r="I28" s="413"/>
      <c r="J28" s="413"/>
      <c r="K28" s="380"/>
      <c r="L28" s="380"/>
      <c r="M28" s="380"/>
      <c r="N28" s="318">
        <f t="shared" si="18"/>
        <v>0</v>
      </c>
      <c r="O28" s="318">
        <f t="shared" si="19"/>
        <v>0</v>
      </c>
      <c r="P28" s="318">
        <f>IF(Stamoplysninger!$H$29="JA",April!DG28,CX28)</f>
        <v>0</v>
      </c>
      <c r="Q28" s="318">
        <f t="shared" si="20"/>
        <v>0</v>
      </c>
      <c r="R28" s="319"/>
      <c r="S28" s="324"/>
      <c r="T28" s="325"/>
      <c r="U28" s="325"/>
      <c r="V28" s="435"/>
      <c r="W28" s="435"/>
      <c r="X28" s="644"/>
      <c r="Y28">
        <f t="shared" si="21"/>
        <v>0</v>
      </c>
      <c r="Z28" s="437">
        <f t="shared" si="22"/>
        <v>0</v>
      </c>
      <c r="AA28" s="1">
        <f t="shared" si="2"/>
        <v>0</v>
      </c>
      <c r="AB28" s="1">
        <f t="shared" si="3"/>
        <v>0</v>
      </c>
      <c r="AC28" s="1">
        <f t="shared" si="4"/>
        <v>0</v>
      </c>
      <c r="AD28" s="1">
        <f t="shared" si="5"/>
        <v>0</v>
      </c>
      <c r="AE28" s="1">
        <f t="shared" si="6"/>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9">
        <f t="shared" si="7"/>
        <v>0</v>
      </c>
      <c r="BC28" s="1">
        <f t="shared" si="24"/>
        <v>0</v>
      </c>
      <c r="BD28" s="1">
        <f t="shared" si="8"/>
        <v>0</v>
      </c>
      <c r="BE28" s="1">
        <f t="shared" si="9"/>
        <v>0</v>
      </c>
      <c r="BF28" s="1">
        <f t="shared" si="10"/>
        <v>0</v>
      </c>
      <c r="BG28" s="210" t="str">
        <f>IF(AND(C28="Skema 1",B28="ma"),Skemaoplysninger!$E$30,"")</f>
        <v/>
      </c>
      <c r="BH28" s="210" t="str">
        <f>IF(AND(C28="Skema 1",B28="ti"),Skemaoplysninger!$G$30,"")</f>
        <v/>
      </c>
      <c r="BI28" s="210" t="str">
        <f>IF(AND(C28="Skema 1",B28="on"),Skemaoplysninger!$I$30,"")</f>
        <v/>
      </c>
      <c r="BJ28" s="210" t="str">
        <f>IF(AND(C28="Skema 1",B28="to"),Skemaoplysninger!$K$30,"")</f>
        <v/>
      </c>
      <c r="BK28" s="210" t="str">
        <f>IF(AND(C28="Skema 1",B28="fr"),Skemaoplysninger!$M$30,"")</f>
        <v/>
      </c>
      <c r="BL28" s="210" t="str">
        <f>IF(AND(C28="Skema 2",B28="ma"),Skemaoplysninger!$S$30,"")</f>
        <v/>
      </c>
      <c r="BM28" s="210" t="str">
        <f>IF(AND(C28="Skema 2",B28="ti"),Skemaoplysninger!$U$30,"")</f>
        <v/>
      </c>
      <c r="BN28" s="210" t="str">
        <f>IF(AND(C28="Skema 2",B28="on"),Skemaoplysninger!$W$30,"")</f>
        <v/>
      </c>
      <c r="BO28" s="210" t="str">
        <f>IF(AND(C28="Skema 2",B28="to"),Skemaoplysninger!$Y$30,"")</f>
        <v/>
      </c>
      <c r="BP28" s="210" t="str">
        <f>IF(AND(C28="Skema 2",B28="fr"),Skemaoplysninger!$AA$30,"")</f>
        <v/>
      </c>
      <c r="BQ28" s="210" t="str">
        <f>IF(AND(C28="Skema 3",B28="ma"),Skemaoplysninger!$AG$30,"")</f>
        <v/>
      </c>
      <c r="BR28" s="210" t="str">
        <f>IF(AND(C28="Skema 3",B28="ti"),Skemaoplysninger!$AI$30,"")</f>
        <v/>
      </c>
      <c r="BS28" s="210" t="str">
        <f>IF(AND(C28="Skema 3",B28="on"),Skemaoplysninger!$AK$30,"")</f>
        <v/>
      </c>
      <c r="BT28" s="210" t="str">
        <f>IF(AND(C28="Skema 3",B28="to"),Skemaoplysninger!$AM$30,"")</f>
        <v/>
      </c>
      <c r="BU28" s="210" t="str">
        <f>IF(AND(C28="Skema 3",B28="fr"),Skemaoplysninger!$AO$30,"")</f>
        <v/>
      </c>
      <c r="BV28" s="210" t="str">
        <f>IF(AND(C28="Skema 4",B28="ma"),Skemaoplysninger!$AU$30,"")</f>
        <v/>
      </c>
      <c r="BW28" s="210" t="str">
        <f>IF(AND(C28="Skema 4",B28="ti"),Skemaoplysninger!$AW$30,"")</f>
        <v/>
      </c>
      <c r="BX28" s="210" t="str">
        <f>IF(AND(C28="Skema 4",B28="on"),Skemaoplysninger!$AY$30,"")</f>
        <v/>
      </c>
      <c r="BY28" s="210" t="str">
        <f>IF(AND(C28="Skema 4",B28="to"),Skemaoplysninger!$BA$30,"")</f>
        <v/>
      </c>
      <c r="BZ28" s="210" t="str">
        <f>IF(AND(C28="Skema 4",B28="fr"),Skemaoplysninger!$BC$30,"")</f>
        <v/>
      </c>
      <c r="CA28" s="1">
        <f t="shared" si="25"/>
        <v>0</v>
      </c>
      <c r="CB28" s="1">
        <f t="shared" si="11"/>
        <v>0</v>
      </c>
      <c r="CC28" s="1">
        <f t="shared" si="12"/>
        <v>0</v>
      </c>
      <c r="CD28" s="210" t="str">
        <f>IF(AND(C28="Skema 1",B28="ma"),Skemaoplysninger!$E$31,"")</f>
        <v/>
      </c>
      <c r="CE28" s="210" t="str">
        <f>IF(AND(C28="Skema 1",B28="ti"),Skemaoplysninger!$G$31,"")</f>
        <v/>
      </c>
      <c r="CF28" s="210" t="str">
        <f>IF(AND(C28="Skema 1",B28="on"),Skemaoplysninger!$I$31,"")</f>
        <v/>
      </c>
      <c r="CG28" s="210" t="str">
        <f>IF(AND(C28="Skema 1",B28="to"),Skemaoplysninger!$K$31,"")</f>
        <v/>
      </c>
      <c r="CH28" s="210" t="str">
        <f>IF(AND(C28="Skema 1",B28="fr"),Skemaoplysninger!$M$31,"")</f>
        <v/>
      </c>
      <c r="CI28" s="210" t="str">
        <f>IF(AND(C28="Skema 2",B28="ma"),Skemaoplysninger!$S$31,"")</f>
        <v/>
      </c>
      <c r="CJ28" s="210" t="str">
        <f>IF(AND(C28="Skema 2",B28="ti"),Skemaoplysninger!$U$31,"")</f>
        <v/>
      </c>
      <c r="CK28" s="210" t="str">
        <f>IF(AND(C28="Skema 2",B28="on"),Skemaoplysninger!$W$31,"")</f>
        <v/>
      </c>
      <c r="CL28" s="210" t="str">
        <f>IF(AND(C28="Skema 2",B28="to"),Skemaoplysninger!$Y$31,"")</f>
        <v/>
      </c>
      <c r="CM28" s="210" t="str">
        <f>IF(AND(C28="Skema 2",B28="fr"),Skemaoplysninger!$AA$31,"")</f>
        <v/>
      </c>
      <c r="CN28" s="210" t="str">
        <f>IF(AND(C28="Skema 3",B28="ma"),Skemaoplysninger!$AG$31,"")</f>
        <v/>
      </c>
      <c r="CO28" s="210" t="str">
        <f>IF(AND(C28="Skema 3",B28="ti"),Skemaoplysninger!$AI$31,"")</f>
        <v/>
      </c>
      <c r="CP28" s="210" t="str">
        <f>IF(AND(C28="Skema 3",B28="on"),Skemaoplysninger!$AK$31,"")</f>
        <v/>
      </c>
      <c r="CQ28" s="210" t="str">
        <f>IF(AND(C28="Skema 3",B28="to"),Skemaoplysninger!$AM$31,"")</f>
        <v/>
      </c>
      <c r="CR28" s="210" t="str">
        <f>IF(AND(C28="Skema 3",B28="fr"),Skemaoplysninger!$AO$31,"")</f>
        <v/>
      </c>
      <c r="CS28" s="210" t="str">
        <f>IF(AND(C28="Skema 4",B28="ma"),Skemaoplysninger!$AU$31,"")</f>
        <v/>
      </c>
      <c r="CT28" s="210" t="str">
        <f>IF(AND(C28="Skema 4",B28="ti"),Skemaoplysninger!$AW$31,"")</f>
        <v/>
      </c>
      <c r="CU28" s="210" t="str">
        <f>IF(AND(C28="Skema 4",B28="on"),Skemaoplysninger!$AY$31,"")</f>
        <v/>
      </c>
      <c r="CV28" s="210" t="str">
        <f>IF(AND(C28="Skema 4",B28="to"),Skemaoplysninger!$BA$31,"")</f>
        <v/>
      </c>
      <c r="CW28" s="210" t="str">
        <f>IF(AND(C28="Skema 4",B28="fr"),Skemaoplysninger!$BC$31,"")</f>
        <v/>
      </c>
      <c r="CX28" s="249">
        <f>IF(Stamoplysninger!$H$29="NEJ",SUM(CD28:CW28)*24+CB28+CC28,0)</f>
        <v>0</v>
      </c>
      <c r="CY28" s="249">
        <f>IF(C28="Skema 1",Stamoplysninger!$H$30/200,0)</f>
        <v>0</v>
      </c>
      <c r="CZ28" s="249">
        <f>IF(C28="Skema 2",Stamoplysninger!$H$30/200,0)</f>
        <v>0</v>
      </c>
      <c r="DA28" s="249">
        <f>IF(C28="Skema 3",Stamoplysninger!$H$30/200,0)</f>
        <v>0</v>
      </c>
      <c r="DB28" s="249">
        <f>IF(C28="Skema 4",Stamoplysninger!$H$30/200,0)</f>
        <v>0</v>
      </c>
      <c r="DC28" s="249">
        <f>IF(C28="fagdag",Stamoplysninger!$H$30/200,0)</f>
        <v>0</v>
      </c>
      <c r="DD28" s="249">
        <f>IF(C28="emnedag",Stamoplysninger!$H$30/200,0)</f>
        <v>0</v>
      </c>
      <c r="DE28" s="249">
        <f>IF(C28="lejrskole",Stamoplysninger!$H$30/200,0)</f>
        <v>0</v>
      </c>
      <c r="DF28" s="249">
        <f>IF(C28="ekskursion",Stamoplysninger!$H$30/200,0)</f>
        <v>0</v>
      </c>
      <c r="DG28" s="249">
        <f t="shared" si="26"/>
        <v>0</v>
      </c>
      <c r="DH28" t="str">
        <f t="shared" si="27"/>
        <v/>
      </c>
      <c r="DI28" t="str">
        <f t="shared" si="28"/>
        <v>Påskedag</v>
      </c>
      <c r="DJ28" t="str">
        <f t="shared" si="29"/>
        <v/>
      </c>
      <c r="DK28" t="str">
        <f t="shared" si="13"/>
        <v/>
      </c>
      <c r="DL28" t="str">
        <f t="shared" si="13"/>
        <v>Påskedag</v>
      </c>
      <c r="DM28" t="str">
        <f t="shared" si="13"/>
        <v/>
      </c>
      <c r="DN28" t="str">
        <f t="shared" si="30"/>
        <v>Påskedag</v>
      </c>
      <c r="DO28" s="652">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71">
        <f>IF(AND(Stamoplysninger!$B$22="Ulempetillæg udbetales med 25% af nettotimelønnen.",C28="ikke relevant"),(R28)/4,0)</f>
        <v>0</v>
      </c>
      <c r="DT28" s="671">
        <f>IF(AND(AND(Stamoplysninger!$B$22="Ulempetillæg udbetales med 25% af nettotimelønnen.",I28="X",C28="Ikke relevant")),K28/4,0)</f>
        <v>0</v>
      </c>
      <c r="DU28" s="671">
        <f>IF(AND(AND(Stamoplysninger!$B$22="Ulempetillæg udbetales med 25% af nettotimelønnen.",C28="ikke relevant",U28="X")),(X28/4),0)</f>
        <v>0</v>
      </c>
      <c r="DV28" s="672">
        <f>IF(AND(AND(AND(Stamoplysninger!$B$22="Ulempetillæg udbetales med 25% af nettotimelønnen.",I28="X",C28="Ikke relevant",S28="X"))),V28/4,0)</f>
        <v>0</v>
      </c>
      <c r="DW28" s="652"/>
      <c r="DZ28" s="671"/>
      <c r="EA28" s="671"/>
      <c r="EB28" s="672"/>
      <c r="EC28" s="652">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71">
        <f>IF(AND(Stamoplysninger!$B$22="Ulempetillæg afspadseres med 25%(Kræver en aftale imellem ledelsen og den ansatte)",C28="ikke relevant"),(R28)/4,0)</f>
        <v>0</v>
      </c>
      <c r="EH28" s="671">
        <f>IF(AND(AND(Stamoplysninger!$B$22="Ulempetillæg afspadseres med 25%(Kræver en aftale imellem ledelsen og den ansatte)",I28="X",C28="Ikke relevant")),K28/4,0)</f>
        <v>0</v>
      </c>
      <c r="EI28" s="671">
        <f>IF(AND(AND(Stamoplysninger!$B$22="Ulempetillæg afspadseres med 25%(Kræver en aftale imellem ledelsen og den ansatte)",U28="X",C28="Ikke relevant")),X28/4,0)</f>
        <v>0</v>
      </c>
      <c r="EJ28" s="671">
        <f>IF(AND(AND(AND(Stamoplysninger!$B$22="Ulempetillæg afspadseres med 25%(Kræver en aftale imellem ledelsen og den ansatte)",I28="X",C28="Ikke relevant",S28="X"))),V28/4,0)</f>
        <v>0</v>
      </c>
      <c r="EK28" s="283">
        <f>IF(AND(Stamoplysninger!$B$26="Weekendtimer og weekendtillæg afspadseres.",I28="X"),K28*1.5,0)</f>
        <v>0</v>
      </c>
      <c r="EL28" s="251">
        <f>IF(AND(AND(Stamoplysninger!$B$26="Weekendtimer og weekendtillæg afspadseres.",I28="X",S28="X")),V28*1.5,0)</f>
        <v>0</v>
      </c>
      <c r="EM28" s="674">
        <f>IF(AND(AND(Stamoplysninger!$B$26="Weekendtimer og weekendtillæg afspadseres.",I28="X",C28="ikke relevant")),K28*1.5,0)</f>
        <v>0</v>
      </c>
      <c r="EN28" s="675">
        <f>IF(AND(AND(AND(Stamoplysninger!$B$26="Weekendtimer og weekendtillæg afspadseres.",I28="X",C28="ikke relevant",S28="X"))),(V28*1.5),0)</f>
        <v>0</v>
      </c>
      <c r="EO28" s="283">
        <f>IF(AND(Stamoplysninger!$B$26="Weekendtimer og weekendtillæg udbetales.",I28="X"),K28*1.5,0)</f>
        <v>0</v>
      </c>
      <c r="EP28" s="251">
        <f>IF(AND(AND(Stamoplysninger!$B$26="Weekendtimer og weekendtillæg udbetales.",I28="X",S28="X")),V28*1.5,0)</f>
        <v>0</v>
      </c>
      <c r="EQ28" s="674">
        <f>IF(AND(AND(Stamoplysninger!$B$26="Weekendtimer og weekendtillæg udbetales.",I28="X",C28="ikke relevant")),K28*1.5,0)</f>
        <v>0</v>
      </c>
      <c r="ER28" s="675">
        <f>IF(AND(AND(AND(Stamoplysninger!$B$26="Weekendtimer og weekendtillæg udbetales.",I28="X",C28="ikke relevant",S28="X"))),(V28*1.5),0)</f>
        <v>0</v>
      </c>
      <c r="ES28" s="283">
        <f>IF(AND(Stamoplysninger!$B$26="Der er indgået lokalaftale omkring weekendtimer.(Kræver aftale med TR/FSL) Weekendtillæg afspadseres.",I28="X"),K28*0.5,0)</f>
        <v>0</v>
      </c>
      <c r="ET28" s="251">
        <f>IF(AND(AND(Stamoplysninger!$B$26="Der er indgået lokalaftale omkring weekendtimer.(Kræver aftale med TR/FSL) Weekendtillæg afspadseres.",I28="X",S28="X")),V28*0.5,0)</f>
        <v>0</v>
      </c>
      <c r="EU28" s="674">
        <f>IF(AND(AND(Stamoplysninger!$B$26="Der er indgået lokalaftale omkring weekendtimer.(Kræver aftale med TR/FSL) Weekendtillæg afspadseres.",I28="X",C28="ikke relevant")),K28*0.5,0)</f>
        <v>0</v>
      </c>
      <c r="EV28" s="675">
        <f>IF(AND(AND(AND(Stamoplysninger!$B$26="Der er indgået lokalaftale omkring weekendtimer.(Kræver aftale med TR/FSL) Weekendtillæg afspadseres.",I28="X",C28="ikke relevant",S28="X"))),(V28*0.5),0)</f>
        <v>0</v>
      </c>
      <c r="EW28" s="283">
        <f>IF(AND(Stamoplysninger!$B$26="Der er indgået lokalaftale omkring weekendtimer(Kræver aftale med TR/FSL). Weekendtillæg udbetales.",I28="X"),K28*0.5,0)</f>
        <v>0</v>
      </c>
      <c r="EX28" s="251">
        <f>IF(AND(AND(Stamoplysninger!$B$26="Der er indgået lokalaftale omkring weekendtimer(Kræver aftale med TR/FSL). Weekendtillæg udbetales.",I28="X",S28="X")),V28*0.5,0)</f>
        <v>0</v>
      </c>
      <c r="EY28" s="674">
        <f>IF(AND(AND(Stamoplysninger!$B$26="Der er indgået lokalaftale omkring weekendtimer(Kræver aftale med TR/FSL). Weekendtillæg udbetales.",I28="X",C28="ikke relevant")),K28*0.5,0)</f>
        <v>0</v>
      </c>
      <c r="EZ28" s="675">
        <f>IF(AND(AND(AND(Stamoplysninger!$B$26="Der er indgået lokalaftale omkring weekendtimer(Kræver aftale med TR/FSL). Weekendtillæg udbetales.",I28="X",C28="ikke relevant",S28="X"))),(V28*0.5),0)</f>
        <v>0</v>
      </c>
      <c r="FA28" s="283">
        <f>IF(AND(Stamoplysninger!$B$26="Der er indgået lokalaftale omkring weekendtillæg(Kræver aftale med TR/FSL). Weekendtimerne afspadseres.",I28="X"),K28,0)</f>
        <v>0</v>
      </c>
      <c r="FB28" s="251">
        <f>IF(AND(AND(Stamoplysninger!$B$26="Der er indgået lokalaftale omkring weekendtillæg(Kræver aftale med TR/FSL). Weekendtimerne afspadseres.",I28="X",S28="X")),V28,0)</f>
        <v>0</v>
      </c>
      <c r="FC28" s="674">
        <f>IF(AND(AND(Stamoplysninger!$B$26="Der er indgået lokalaftale omkring weekendtillæg(Kræver aftale med TR/FSL). Weekendtimerne afspadseres..",I28="X",C28="ikke relevant")),K28,0)</f>
        <v>0</v>
      </c>
      <c r="FD28" s="675">
        <f>IF(AND(AND(AND(Stamoplysninger!$B$26="Der er indgået lokalaftale omkring weekendtillæg(Kræver aftale med TR/FSL). Weekendtimerne afspadseres.",I28="X",C28="ikke relevant",S28="X"))),(V28),0)</f>
        <v>0</v>
      </c>
      <c r="FE28" s="283">
        <f>IF(AND(Stamoplysninger!$B$26="Der er indgået lokalaftale omkring weekendtillæg(Kræver aftale med TR/FSL). Weekendtimerne udbetales.",I28="X"),K28,0)</f>
        <v>0</v>
      </c>
      <c r="FF28" s="251">
        <f>IF(AND(AND(Stamoplysninger!$B$26="Der er indgået lokalaftale omkring weekendtillæg(Kræver aftale med TR/FSL). Weekendtimerne udbetales.",I28="X",S28="X")),V28,0)</f>
        <v>0</v>
      </c>
      <c r="FG28" s="674">
        <f>IF(AND(AND(Stamoplysninger!$B$26="Der er indgået lokalaftale omkring weekendtillæg(Kræver aftale med TR/FSL). Weekendtimerne udbetales.",I28="X",C28="ikke relevant")),K28,0)</f>
        <v>0</v>
      </c>
      <c r="FH28" s="675">
        <f>IF(AND(AND(AND(Stamoplysninger!$B$26="Der er indgået lokalaftale omkring weekendtillæg(Kræver aftale med TR/FSL). Weekendtimerne udbetales.",I28="X",C28="ikke relevant",S28="X"))),(V28),0)</f>
        <v>0</v>
      </c>
      <c r="FI28" s="283">
        <f>IF(AND(Stamoplysninger!$B$26="Weekendtimer og weekendtillæg afspadseres.",I28="X"),K28,0)</f>
        <v>0</v>
      </c>
      <c r="FJ28" s="251">
        <f>IF(AND(Stamoplysninger!$B$26="Weekendtimer og weekendtillæg afspadseres.",Y28="X"),(AA28+AL28)/2,0)</f>
        <v>0</v>
      </c>
      <c r="FK28" s="674">
        <f>IF(AND(AND(Stamoplysninger!$B$26="Weekendtimer og weekendtillæg afspadseres.",I28="X",C28="ikke relevant")),K28,0)</f>
        <v>0</v>
      </c>
      <c r="FL28" s="675">
        <f>IF(AND(AND(Stamoplysninger!$B$26="Weekendtimer og weekendtillæg afspadseres.",Y28="X",S28="ikke relevant")),(AA28+AL28)/2,0)</f>
        <v>0</v>
      </c>
      <c r="FM28" s="283">
        <f>IF(AND(Stamoplysninger!$B$26="Der er indgået lokalaftale omkring weekendtillæg(Kræver aftale med TR/FSL). Weekendtimerne afspadseres.",I28="X"),K28,0)</f>
        <v>0</v>
      </c>
      <c r="FN28" s="674">
        <f>IF(AND(AND(Stamoplysninger!$B$26="Der er indgået lokalaftale omkring weekendtillæg(Kræver aftale med TR/FSL). Weekendtimerne afspadseres.",I28="X",C28="ikke relevant")),K28,0)</f>
        <v>0</v>
      </c>
      <c r="FO28" s="283">
        <f>IF(AND(Stamoplysninger!$B$26="Weekendtimer og weekendtillæg udbetales.",I28="X"),K28,0)</f>
        <v>0</v>
      </c>
      <c r="FP28" s="251">
        <f>IF(AND(Stamoplysninger!$B$26="Weekendtimer og weekendtillæg udbetales.",AA28="X"),(AC28+AN28)/2,0)</f>
        <v>0</v>
      </c>
      <c r="FQ28" s="674">
        <f>IF(AND(AND(Stamoplysninger!$B$26="Weekendtimer og weekendtillæg udbetales.",I28="X",C28="ikke relevant")),K28,0)</f>
        <v>0</v>
      </c>
      <c r="FR28" s="688">
        <f>IF(AND(AND(Stamoplysninger!$B$26="Weekendtimer og weekendtillæg udbetales.",AA28="X",U28="ikke relevant")),(AC28+AN28)/2,0)</f>
        <v>0</v>
      </c>
      <c r="FS28" s="283">
        <f t="shared" si="14"/>
        <v>0</v>
      </c>
      <c r="FT28" s="658">
        <f t="shared" si="15"/>
        <v>0</v>
      </c>
      <c r="FU28">
        <f t="shared" si="16"/>
        <v>0</v>
      </c>
      <c r="FV28" s="283">
        <f>IF(AND(Stamoplysninger!$B$26="Der er indgået lokalaftale omkring weekendtimer.(Kræver aftale med TR/FSL) Weekendtillæg afspadseres.",I28="X"),K28,0)</f>
        <v>0</v>
      </c>
      <c r="FW28" s="674">
        <f>IF(AND(AND(Stamoplysninger!$B$26="Der er indgået lokalaftale omkring weekendtimer.(Kræver aftale med TR/FSL) Weekendtillæg afspadseres.",I28="X",C28="ikke relevant")),K28,0)</f>
        <v>0</v>
      </c>
      <c r="FX28" s="283">
        <f>IF(AND(Stamoplysninger!$B$26="Der er indgået lokalaftale omkring weekendtimer(Kræver aftale med TR/FSL). Weekendtillæg udbetales.",I28="X"),K28,0)</f>
        <v>0</v>
      </c>
      <c r="FY28" s="674">
        <f>IF(AND(AND(Stamoplysninger!$B$26="Der er indgået lokalaftale omkring weekendtimer(Kræver aftale med TR/FSL). Weekendtillæg udbetales.",I28="X",C28="ikke relevant")),K28,0)</f>
        <v>0</v>
      </c>
      <c r="FZ28" s="283">
        <f>IF(AND(Stamoplysninger!$B$26="Der er indgået lokalaftale omkring weekendtillæg(Kræver aftale med TR/FSL). Weekendtimerne udbetales.",I28="X"),K28,0)</f>
        <v>0</v>
      </c>
      <c r="GA28" s="674">
        <f>IF(AND(AND(Stamoplysninger!$B$26="Der er indgået lokalaftale omkring weekendtillæg(Kræver aftale med TR/FSL). Weekendtimerne udbetales.",I28="X",C28="ikke relevant")),K28,0)</f>
        <v>0</v>
      </c>
      <c r="GB28" s="283">
        <f>IF(AND(Stamoplysninger!$B$26="Der er indgået lokalaftale omkring weekendtimer og weekendtillæg.(Kræver aftale med TR/FSL).",I28="X"),K28,0)</f>
        <v>0</v>
      </c>
      <c r="GC28" s="674">
        <f>IF(AND(AND(Stamoplysninger!$B$26="Der er indgået lokalaftale omkring weekendtimer og weekendtillæg.(Kræver aftale med TR/FSL).",I28="X",C28="ikke relevant")),K28,0)</f>
        <v>0</v>
      </c>
    </row>
    <row r="29" spans="1:185">
      <c r="A29" s="245">
        <f t="shared" si="17"/>
        <v>21</v>
      </c>
      <c r="B29" s="128" t="str">
        <f t="shared" si="0"/>
        <v>ma</v>
      </c>
      <c r="C29" s="129" t="s">
        <v>119</v>
      </c>
      <c r="D29" s="130">
        <f t="shared" si="1"/>
        <v>16.714285714285715</v>
      </c>
      <c r="E29" s="917" t="s">
        <v>313</v>
      </c>
      <c r="F29" s="918"/>
      <c r="G29" s="919"/>
      <c r="H29" s="298"/>
      <c r="I29" s="413"/>
      <c r="J29" s="413"/>
      <c r="K29" s="380"/>
      <c r="L29" s="380"/>
      <c r="M29" s="380"/>
      <c r="N29" s="318">
        <f t="shared" si="18"/>
        <v>0</v>
      </c>
      <c r="O29" s="318">
        <f t="shared" si="19"/>
        <v>0</v>
      </c>
      <c r="P29" s="318">
        <f>IF(Stamoplysninger!$H$29="JA",April!DG29,CX29)</f>
        <v>0</v>
      </c>
      <c r="Q29" s="318">
        <f t="shared" si="20"/>
        <v>0</v>
      </c>
      <c r="R29" s="319"/>
      <c r="S29" s="324"/>
      <c r="T29" s="325"/>
      <c r="U29" s="325"/>
      <c r="V29" s="435"/>
      <c r="W29" s="435"/>
      <c r="X29" s="644"/>
      <c r="Y29">
        <f t="shared" si="21"/>
        <v>0</v>
      </c>
      <c r="Z29" s="437">
        <f t="shared" si="22"/>
        <v>0</v>
      </c>
      <c r="AA29" s="1">
        <f t="shared" si="2"/>
        <v>0</v>
      </c>
      <c r="AB29" s="1">
        <f t="shared" si="3"/>
        <v>0</v>
      </c>
      <c r="AC29" s="1">
        <f t="shared" si="4"/>
        <v>0</v>
      </c>
      <c r="AD29" s="1">
        <f t="shared" si="5"/>
        <v>0</v>
      </c>
      <c r="AE29" s="1">
        <f t="shared" si="6"/>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9">
        <f t="shared" si="7"/>
        <v>0</v>
      </c>
      <c r="BC29" s="1">
        <f t="shared" si="24"/>
        <v>0</v>
      </c>
      <c r="BD29" s="1">
        <f t="shared" si="8"/>
        <v>0</v>
      </c>
      <c r="BE29" s="1">
        <f t="shared" si="9"/>
        <v>0</v>
      </c>
      <c r="BF29" s="1">
        <f t="shared" si="10"/>
        <v>0</v>
      </c>
      <c r="BG29" s="210" t="str">
        <f>IF(AND(C29="Skema 1",B29="ma"),Skemaoplysninger!$E$30,"")</f>
        <v/>
      </c>
      <c r="BH29" s="210" t="str">
        <f>IF(AND(C29="Skema 1",B29="ti"),Skemaoplysninger!$G$30,"")</f>
        <v/>
      </c>
      <c r="BI29" s="210" t="str">
        <f>IF(AND(C29="Skema 1",B29="on"),Skemaoplysninger!$I$30,"")</f>
        <v/>
      </c>
      <c r="BJ29" s="210" t="str">
        <f>IF(AND(C29="Skema 1",B29="to"),Skemaoplysninger!$K$30,"")</f>
        <v/>
      </c>
      <c r="BK29" s="210" t="str">
        <f>IF(AND(C29="Skema 1",B29="fr"),Skemaoplysninger!$M$30,"")</f>
        <v/>
      </c>
      <c r="BL29" s="210" t="str">
        <f>IF(AND(C29="Skema 2",B29="ma"),Skemaoplysninger!$S$30,"")</f>
        <v/>
      </c>
      <c r="BM29" s="210" t="str">
        <f>IF(AND(C29="Skema 2",B29="ti"),Skemaoplysninger!$U$30,"")</f>
        <v/>
      </c>
      <c r="BN29" s="210" t="str">
        <f>IF(AND(C29="Skema 2",B29="on"),Skemaoplysninger!$W$30,"")</f>
        <v/>
      </c>
      <c r="BO29" s="210" t="str">
        <f>IF(AND(C29="Skema 2",B29="to"),Skemaoplysninger!$Y$30,"")</f>
        <v/>
      </c>
      <c r="BP29" s="210" t="str">
        <f>IF(AND(C29="Skema 2",B29="fr"),Skemaoplysninger!$AA$30,"")</f>
        <v/>
      </c>
      <c r="BQ29" s="210" t="str">
        <f>IF(AND(C29="Skema 3",B29="ma"),Skemaoplysninger!$AG$30,"")</f>
        <v/>
      </c>
      <c r="BR29" s="210" t="str">
        <f>IF(AND(C29="Skema 3",B29="ti"),Skemaoplysninger!$AI$30,"")</f>
        <v/>
      </c>
      <c r="BS29" s="210" t="str">
        <f>IF(AND(C29="Skema 3",B29="on"),Skemaoplysninger!$AK$30,"")</f>
        <v/>
      </c>
      <c r="BT29" s="210" t="str">
        <f>IF(AND(C29="Skema 3",B29="to"),Skemaoplysninger!$AM$30,"")</f>
        <v/>
      </c>
      <c r="BU29" s="210" t="str">
        <f>IF(AND(C29="Skema 3",B29="fr"),Skemaoplysninger!$AO$30,"")</f>
        <v/>
      </c>
      <c r="BV29" s="210" t="str">
        <f>IF(AND(C29="Skema 4",B29="ma"),Skemaoplysninger!$AU$30,"")</f>
        <v/>
      </c>
      <c r="BW29" s="210" t="str">
        <f>IF(AND(C29="Skema 4",B29="ti"),Skemaoplysninger!$AW$30,"")</f>
        <v/>
      </c>
      <c r="BX29" s="210" t="str">
        <f>IF(AND(C29="Skema 4",B29="on"),Skemaoplysninger!$AY$30,"")</f>
        <v/>
      </c>
      <c r="BY29" s="210" t="str">
        <f>IF(AND(C29="Skema 4",B29="to"),Skemaoplysninger!$BA$30,"")</f>
        <v/>
      </c>
      <c r="BZ29" s="210" t="str">
        <f>IF(AND(C29="Skema 4",B29="fr"),Skemaoplysninger!$BC$30,"")</f>
        <v/>
      </c>
      <c r="CA29" s="1">
        <f t="shared" si="25"/>
        <v>0</v>
      </c>
      <c r="CB29" s="1">
        <f t="shared" si="11"/>
        <v>0</v>
      </c>
      <c r="CC29" s="1">
        <f t="shared" si="12"/>
        <v>0</v>
      </c>
      <c r="CD29" s="210" t="str">
        <f>IF(AND(C29="Skema 1",B29="ma"),Skemaoplysninger!$E$31,"")</f>
        <v/>
      </c>
      <c r="CE29" s="210" t="str">
        <f>IF(AND(C29="Skema 1",B29="ti"),Skemaoplysninger!$G$31,"")</f>
        <v/>
      </c>
      <c r="CF29" s="210" t="str">
        <f>IF(AND(C29="Skema 1",B29="on"),Skemaoplysninger!$I$31,"")</f>
        <v/>
      </c>
      <c r="CG29" s="210" t="str">
        <f>IF(AND(C29="Skema 1",B29="to"),Skemaoplysninger!$K$31,"")</f>
        <v/>
      </c>
      <c r="CH29" s="210" t="str">
        <f>IF(AND(C29="Skema 1",B29="fr"),Skemaoplysninger!$M$31,"")</f>
        <v/>
      </c>
      <c r="CI29" s="210" t="str">
        <f>IF(AND(C29="Skema 2",B29="ma"),Skemaoplysninger!$S$31,"")</f>
        <v/>
      </c>
      <c r="CJ29" s="210" t="str">
        <f>IF(AND(C29="Skema 2",B29="ti"),Skemaoplysninger!$U$31,"")</f>
        <v/>
      </c>
      <c r="CK29" s="210" t="str">
        <f>IF(AND(C29="Skema 2",B29="on"),Skemaoplysninger!$W$31,"")</f>
        <v/>
      </c>
      <c r="CL29" s="210" t="str">
        <f>IF(AND(C29="Skema 2",B29="to"),Skemaoplysninger!$Y$31,"")</f>
        <v/>
      </c>
      <c r="CM29" s="210" t="str">
        <f>IF(AND(C29="Skema 2",B29="fr"),Skemaoplysninger!$AA$31,"")</f>
        <v/>
      </c>
      <c r="CN29" s="210" t="str">
        <f>IF(AND(C29="Skema 3",B29="ma"),Skemaoplysninger!$AG$31,"")</f>
        <v/>
      </c>
      <c r="CO29" s="210" t="str">
        <f>IF(AND(C29="Skema 3",B29="ti"),Skemaoplysninger!$AI$31,"")</f>
        <v/>
      </c>
      <c r="CP29" s="210" t="str">
        <f>IF(AND(C29="Skema 3",B29="on"),Skemaoplysninger!$AK$31,"")</f>
        <v/>
      </c>
      <c r="CQ29" s="210" t="str">
        <f>IF(AND(C29="Skema 3",B29="to"),Skemaoplysninger!$AM$31,"")</f>
        <v/>
      </c>
      <c r="CR29" s="210" t="str">
        <f>IF(AND(C29="Skema 3",B29="fr"),Skemaoplysninger!$AO$31,"")</f>
        <v/>
      </c>
      <c r="CS29" s="210" t="str">
        <f>IF(AND(C29="Skema 4",B29="ma"),Skemaoplysninger!$AU$31,"")</f>
        <v/>
      </c>
      <c r="CT29" s="210" t="str">
        <f>IF(AND(C29="Skema 4",B29="ti"),Skemaoplysninger!$AW$31,"")</f>
        <v/>
      </c>
      <c r="CU29" s="210" t="str">
        <f>IF(AND(C29="Skema 4",B29="on"),Skemaoplysninger!$AY$31,"")</f>
        <v/>
      </c>
      <c r="CV29" s="210" t="str">
        <f>IF(AND(C29="Skema 4",B29="to"),Skemaoplysninger!$BA$31,"")</f>
        <v/>
      </c>
      <c r="CW29" s="210" t="str">
        <f>IF(AND(C29="Skema 4",B29="fr"),Skemaoplysninger!$BC$31,"")</f>
        <v/>
      </c>
      <c r="CX29" s="249">
        <f>IF(Stamoplysninger!$H$29="NEJ",SUM(CD29:CW29)*24+CB29+CC29,0)</f>
        <v>0</v>
      </c>
      <c r="CY29" s="249">
        <f>IF(C29="Skema 1",Stamoplysninger!$H$30/200,0)</f>
        <v>0</v>
      </c>
      <c r="CZ29" s="249">
        <f>IF(C29="Skema 2",Stamoplysninger!$H$30/200,0)</f>
        <v>0</v>
      </c>
      <c r="DA29" s="249">
        <f>IF(C29="Skema 3",Stamoplysninger!$H$30/200,0)</f>
        <v>0</v>
      </c>
      <c r="DB29" s="249">
        <f>IF(C29="Skema 4",Stamoplysninger!$H$30/200,0)</f>
        <v>0</v>
      </c>
      <c r="DC29" s="249">
        <f>IF(C29="fagdag",Stamoplysninger!$H$30/200,0)</f>
        <v>0</v>
      </c>
      <c r="DD29" s="249">
        <f>IF(C29="emnedag",Stamoplysninger!$H$30/200,0)</f>
        <v>0</v>
      </c>
      <c r="DE29" s="249">
        <f>IF(C29="lejrskole",Stamoplysninger!$H$30/200,0)</f>
        <v>0</v>
      </c>
      <c r="DF29" s="249">
        <f>IF(C29="ekskursion",Stamoplysninger!$H$30/200,0)</f>
        <v>0</v>
      </c>
      <c r="DG29" s="249">
        <f t="shared" si="26"/>
        <v>0</v>
      </c>
      <c r="DH29" t="str">
        <f t="shared" si="27"/>
        <v/>
      </c>
      <c r="DI29" t="str">
        <f t="shared" si="28"/>
        <v>2. påskedag</v>
      </c>
      <c r="DJ29" t="str">
        <f t="shared" si="29"/>
        <v/>
      </c>
      <c r="DK29" t="str">
        <f t="shared" si="13"/>
        <v/>
      </c>
      <c r="DL29" t="str">
        <f t="shared" si="13"/>
        <v>2. påskedag</v>
      </c>
      <c r="DM29" t="str">
        <f t="shared" si="13"/>
        <v/>
      </c>
      <c r="DN29" t="str">
        <f t="shared" si="30"/>
        <v>2. påskedag</v>
      </c>
      <c r="DO29" s="652">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71">
        <f>IF(AND(Stamoplysninger!$B$22="Ulempetillæg udbetales med 25% af nettotimelønnen.",C29="ikke relevant"),(R29)/4,0)</f>
        <v>0</v>
      </c>
      <c r="DT29" s="671">
        <f>IF(AND(AND(Stamoplysninger!$B$22="Ulempetillæg udbetales med 25% af nettotimelønnen.",I29="X",C29="Ikke relevant")),K29/4,0)</f>
        <v>0</v>
      </c>
      <c r="DU29" s="671">
        <f>IF(AND(AND(Stamoplysninger!$B$22="Ulempetillæg udbetales med 25% af nettotimelønnen.",C29="ikke relevant",U29="X")),(X29/4),0)</f>
        <v>0</v>
      </c>
      <c r="DV29" s="672">
        <f>IF(AND(AND(AND(Stamoplysninger!$B$22="Ulempetillæg udbetales med 25% af nettotimelønnen.",I29="X",C29="Ikke relevant",S29="X"))),V29/4,0)</f>
        <v>0</v>
      </c>
      <c r="DW29" s="652"/>
      <c r="DZ29" s="671"/>
      <c r="EA29" s="671"/>
      <c r="EB29" s="672"/>
      <c r="EC29" s="652">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71">
        <f>IF(AND(Stamoplysninger!$B$22="Ulempetillæg afspadseres med 25%(Kræver en aftale imellem ledelsen og den ansatte)",C29="ikke relevant"),(R29)/4,0)</f>
        <v>0</v>
      </c>
      <c r="EH29" s="671">
        <f>IF(AND(AND(Stamoplysninger!$B$22="Ulempetillæg afspadseres med 25%(Kræver en aftale imellem ledelsen og den ansatte)",I29="X",C29="Ikke relevant")),K29/4,0)</f>
        <v>0</v>
      </c>
      <c r="EI29" s="671">
        <f>IF(AND(AND(Stamoplysninger!$B$22="Ulempetillæg afspadseres med 25%(Kræver en aftale imellem ledelsen og den ansatte)",U29="X",C29="Ikke relevant")),X29/4,0)</f>
        <v>0</v>
      </c>
      <c r="EJ29" s="671">
        <f>IF(AND(AND(AND(Stamoplysninger!$B$22="Ulempetillæg afspadseres med 25%(Kræver en aftale imellem ledelsen og den ansatte)",I29="X",C29="Ikke relevant",S29="X"))),V29/4,0)</f>
        <v>0</v>
      </c>
      <c r="EK29" s="283">
        <f>IF(AND(Stamoplysninger!$B$26="Weekendtimer og weekendtillæg afspadseres.",I29="X"),K29*1.5,0)</f>
        <v>0</v>
      </c>
      <c r="EL29" s="251">
        <f>IF(AND(AND(Stamoplysninger!$B$26="Weekendtimer og weekendtillæg afspadseres.",I29="X",S29="X")),V29*1.5,0)</f>
        <v>0</v>
      </c>
      <c r="EM29" s="674">
        <f>IF(AND(AND(Stamoplysninger!$B$26="Weekendtimer og weekendtillæg afspadseres.",I29="X",C29="ikke relevant")),K29*1.5,0)</f>
        <v>0</v>
      </c>
      <c r="EN29" s="675">
        <f>IF(AND(AND(AND(Stamoplysninger!$B$26="Weekendtimer og weekendtillæg afspadseres.",I29="X",C29="ikke relevant",S29="X"))),(V29*1.5),0)</f>
        <v>0</v>
      </c>
      <c r="EO29" s="283">
        <f>IF(AND(Stamoplysninger!$B$26="Weekendtimer og weekendtillæg udbetales.",I29="X"),K29*1.5,0)</f>
        <v>0</v>
      </c>
      <c r="EP29" s="251">
        <f>IF(AND(AND(Stamoplysninger!$B$26="Weekendtimer og weekendtillæg udbetales.",I29="X",S29="X")),V29*1.5,0)</f>
        <v>0</v>
      </c>
      <c r="EQ29" s="674">
        <f>IF(AND(AND(Stamoplysninger!$B$26="Weekendtimer og weekendtillæg udbetales.",I29="X",C29="ikke relevant")),K29*1.5,0)</f>
        <v>0</v>
      </c>
      <c r="ER29" s="675">
        <f>IF(AND(AND(AND(Stamoplysninger!$B$26="Weekendtimer og weekendtillæg udbetales.",I29="X",C29="ikke relevant",S29="X"))),(V29*1.5),0)</f>
        <v>0</v>
      </c>
      <c r="ES29" s="283">
        <f>IF(AND(Stamoplysninger!$B$26="Der er indgået lokalaftale omkring weekendtimer.(Kræver aftale med TR/FSL) Weekendtillæg afspadseres.",I29="X"),K29*0.5,0)</f>
        <v>0</v>
      </c>
      <c r="ET29" s="251">
        <f>IF(AND(AND(Stamoplysninger!$B$26="Der er indgået lokalaftale omkring weekendtimer.(Kræver aftale med TR/FSL) Weekendtillæg afspadseres.",I29="X",S29="X")),V29*0.5,0)</f>
        <v>0</v>
      </c>
      <c r="EU29" s="674">
        <f>IF(AND(AND(Stamoplysninger!$B$26="Der er indgået lokalaftale omkring weekendtimer.(Kræver aftale med TR/FSL) Weekendtillæg afspadseres.",I29="X",C29="ikke relevant")),K29*0.5,0)</f>
        <v>0</v>
      </c>
      <c r="EV29" s="675">
        <f>IF(AND(AND(AND(Stamoplysninger!$B$26="Der er indgået lokalaftale omkring weekendtimer.(Kræver aftale med TR/FSL) Weekendtillæg afspadseres.",I29="X",C29="ikke relevant",S29="X"))),(V29*0.5),0)</f>
        <v>0</v>
      </c>
      <c r="EW29" s="283">
        <f>IF(AND(Stamoplysninger!$B$26="Der er indgået lokalaftale omkring weekendtimer(Kræver aftale med TR/FSL). Weekendtillæg udbetales.",I29="X"),K29*0.5,0)</f>
        <v>0</v>
      </c>
      <c r="EX29" s="251">
        <f>IF(AND(AND(Stamoplysninger!$B$26="Der er indgået lokalaftale omkring weekendtimer(Kræver aftale med TR/FSL). Weekendtillæg udbetales.",I29="X",S29="X")),V29*0.5,0)</f>
        <v>0</v>
      </c>
      <c r="EY29" s="674">
        <f>IF(AND(AND(Stamoplysninger!$B$26="Der er indgået lokalaftale omkring weekendtimer(Kræver aftale med TR/FSL). Weekendtillæg udbetales.",I29="X",C29="ikke relevant")),K29*0.5,0)</f>
        <v>0</v>
      </c>
      <c r="EZ29" s="675">
        <f>IF(AND(AND(AND(Stamoplysninger!$B$26="Der er indgået lokalaftale omkring weekendtimer(Kræver aftale med TR/FSL). Weekendtillæg udbetales.",I29="X",C29="ikke relevant",S29="X"))),(V29*0.5),0)</f>
        <v>0</v>
      </c>
      <c r="FA29" s="283">
        <f>IF(AND(Stamoplysninger!$B$26="Der er indgået lokalaftale omkring weekendtillæg(Kræver aftale med TR/FSL). Weekendtimerne afspadseres.",I29="X"),K29,0)</f>
        <v>0</v>
      </c>
      <c r="FB29" s="251">
        <f>IF(AND(AND(Stamoplysninger!$B$26="Der er indgået lokalaftale omkring weekendtillæg(Kræver aftale med TR/FSL). Weekendtimerne afspadseres.",I29="X",S29="X")),V29,0)</f>
        <v>0</v>
      </c>
      <c r="FC29" s="674">
        <f>IF(AND(AND(Stamoplysninger!$B$26="Der er indgået lokalaftale omkring weekendtillæg(Kræver aftale med TR/FSL). Weekendtimerne afspadseres..",I29="X",C29="ikke relevant")),K29,0)</f>
        <v>0</v>
      </c>
      <c r="FD29" s="675">
        <f>IF(AND(AND(AND(Stamoplysninger!$B$26="Der er indgået lokalaftale omkring weekendtillæg(Kræver aftale med TR/FSL). Weekendtimerne afspadseres.",I29="X",C29="ikke relevant",S29="X"))),(V29),0)</f>
        <v>0</v>
      </c>
      <c r="FE29" s="283">
        <f>IF(AND(Stamoplysninger!$B$26="Der er indgået lokalaftale omkring weekendtillæg(Kræver aftale med TR/FSL). Weekendtimerne udbetales.",I29="X"),K29,0)</f>
        <v>0</v>
      </c>
      <c r="FF29" s="251">
        <f>IF(AND(AND(Stamoplysninger!$B$26="Der er indgået lokalaftale omkring weekendtillæg(Kræver aftale med TR/FSL). Weekendtimerne udbetales.",I29="X",S29="X")),V29,0)</f>
        <v>0</v>
      </c>
      <c r="FG29" s="674">
        <f>IF(AND(AND(Stamoplysninger!$B$26="Der er indgået lokalaftale omkring weekendtillæg(Kræver aftale med TR/FSL). Weekendtimerne udbetales.",I29="X",C29="ikke relevant")),K29,0)</f>
        <v>0</v>
      </c>
      <c r="FH29" s="675">
        <f>IF(AND(AND(AND(Stamoplysninger!$B$26="Der er indgået lokalaftale omkring weekendtillæg(Kræver aftale med TR/FSL). Weekendtimerne udbetales.",I29="X",C29="ikke relevant",S29="X"))),(V29),0)</f>
        <v>0</v>
      </c>
      <c r="FI29" s="283">
        <f>IF(AND(Stamoplysninger!$B$26="Weekendtimer og weekendtillæg afspadseres.",I29="X"),K29,0)</f>
        <v>0</v>
      </c>
      <c r="FJ29" s="251">
        <f>IF(AND(Stamoplysninger!$B$26="Weekendtimer og weekendtillæg afspadseres.",Y29="X"),(AA29+AL29)/2,0)</f>
        <v>0</v>
      </c>
      <c r="FK29" s="674">
        <f>IF(AND(AND(Stamoplysninger!$B$26="Weekendtimer og weekendtillæg afspadseres.",I29="X",C29="ikke relevant")),K29,0)</f>
        <v>0</v>
      </c>
      <c r="FL29" s="675">
        <f>IF(AND(AND(Stamoplysninger!$B$26="Weekendtimer og weekendtillæg afspadseres.",Y29="X",S29="ikke relevant")),(AA29+AL29)/2,0)</f>
        <v>0</v>
      </c>
      <c r="FM29" s="283">
        <f>IF(AND(Stamoplysninger!$B$26="Der er indgået lokalaftale omkring weekendtillæg(Kræver aftale med TR/FSL). Weekendtimerne afspadseres.",I29="X"),K29,0)</f>
        <v>0</v>
      </c>
      <c r="FN29" s="674">
        <f>IF(AND(AND(Stamoplysninger!$B$26="Der er indgået lokalaftale omkring weekendtillæg(Kræver aftale med TR/FSL). Weekendtimerne afspadseres.",I29="X",C29="ikke relevant")),K29,0)</f>
        <v>0</v>
      </c>
      <c r="FO29" s="283">
        <f>IF(AND(Stamoplysninger!$B$26="Weekendtimer og weekendtillæg udbetales.",I29="X"),K29,0)</f>
        <v>0</v>
      </c>
      <c r="FP29" s="251">
        <f>IF(AND(Stamoplysninger!$B$26="Weekendtimer og weekendtillæg udbetales.",AA29="X"),(AC29+AN29)/2,0)</f>
        <v>0</v>
      </c>
      <c r="FQ29" s="674">
        <f>IF(AND(AND(Stamoplysninger!$B$26="Weekendtimer og weekendtillæg udbetales.",I29="X",C29="ikke relevant")),K29,0)</f>
        <v>0</v>
      </c>
      <c r="FR29" s="688">
        <f>IF(AND(AND(Stamoplysninger!$B$26="Weekendtimer og weekendtillæg udbetales.",AA29="X",U29="ikke relevant")),(AC29+AN29)/2,0)</f>
        <v>0</v>
      </c>
      <c r="FS29" s="283">
        <f t="shared" si="14"/>
        <v>0</v>
      </c>
      <c r="FT29" s="658">
        <f t="shared" si="15"/>
        <v>0</v>
      </c>
      <c r="FU29">
        <f>IF(AND(C29="weekend",I29="X"),K29,0)</f>
        <v>0</v>
      </c>
      <c r="FV29" s="283">
        <f>IF(AND(Stamoplysninger!$B$26="Der er indgået lokalaftale omkring weekendtimer.(Kræver aftale med TR/FSL) Weekendtillæg afspadseres.",I29="X"),K29,0)</f>
        <v>0</v>
      </c>
      <c r="FW29" s="674">
        <f>IF(AND(AND(Stamoplysninger!$B$26="Der er indgået lokalaftale omkring weekendtimer.(Kræver aftale med TR/FSL) Weekendtillæg afspadseres.",I29="X",C29="ikke relevant")),K29,0)</f>
        <v>0</v>
      </c>
      <c r="FX29" s="283">
        <f>IF(AND(Stamoplysninger!$B$26="Der er indgået lokalaftale omkring weekendtimer(Kræver aftale med TR/FSL). Weekendtillæg udbetales.",I29="X"),K29,0)</f>
        <v>0</v>
      </c>
      <c r="FY29" s="674">
        <f>IF(AND(AND(Stamoplysninger!$B$26="Der er indgået lokalaftale omkring weekendtimer(Kræver aftale med TR/FSL). Weekendtillæg udbetales.",I29="X",C29="ikke relevant")),K29,0)</f>
        <v>0</v>
      </c>
      <c r="FZ29" s="283">
        <f>IF(AND(Stamoplysninger!$B$26="Der er indgået lokalaftale omkring weekendtillæg(Kræver aftale med TR/FSL). Weekendtimerne udbetales.",I29="X"),K29,0)</f>
        <v>0</v>
      </c>
      <c r="GA29" s="674">
        <f>IF(AND(AND(Stamoplysninger!$B$26="Der er indgået lokalaftale omkring weekendtillæg(Kræver aftale med TR/FSL). Weekendtimerne udbetales.",I29="X",C29="ikke relevant")),K29,0)</f>
        <v>0</v>
      </c>
      <c r="GB29" s="283">
        <f>IF(AND(Stamoplysninger!$B$26="Der er indgået lokalaftale omkring weekendtimer og weekendtillæg.(Kræver aftale med TR/FSL).",I29="X"),K29,0)</f>
        <v>0</v>
      </c>
      <c r="GC29" s="674">
        <f>IF(AND(AND(Stamoplysninger!$B$26="Der er indgået lokalaftale omkring weekendtimer og weekendtillæg.(Kræver aftale med TR/FSL).",I29="X",C29="ikke relevant")),K29,0)</f>
        <v>0</v>
      </c>
    </row>
    <row r="30" spans="1:185">
      <c r="A30" s="245">
        <f t="shared" si="17"/>
        <v>22</v>
      </c>
      <c r="B30" s="128" t="str">
        <f t="shared" si="0"/>
        <v>ti</v>
      </c>
      <c r="C30" s="129" t="s">
        <v>207</v>
      </c>
      <c r="D30" s="130" t="str">
        <f t="shared" si="1"/>
        <v/>
      </c>
      <c r="E30" s="917"/>
      <c r="F30" s="918"/>
      <c r="G30" s="919"/>
      <c r="H30" s="298"/>
      <c r="I30" s="527"/>
      <c r="J30" s="413"/>
      <c r="K30" s="380"/>
      <c r="L30" s="380"/>
      <c r="M30" s="380"/>
      <c r="N30" s="318">
        <f t="shared" si="18"/>
        <v>8.5</v>
      </c>
      <c r="O30" s="318">
        <f t="shared" si="19"/>
        <v>3.75</v>
      </c>
      <c r="P30" s="318">
        <f>IF(Stamoplysninger!$H$29="JA",April!DG30,CX30)</f>
        <v>1.5</v>
      </c>
      <c r="Q30" s="318">
        <f t="shared" si="20"/>
        <v>3.25</v>
      </c>
      <c r="R30" s="319"/>
      <c r="S30" s="324"/>
      <c r="T30" s="325"/>
      <c r="U30" s="325"/>
      <c r="V30" s="435"/>
      <c r="W30" s="435"/>
      <c r="X30" s="644"/>
      <c r="Y30">
        <f t="shared" si="21"/>
        <v>0</v>
      </c>
      <c r="Z30" s="437">
        <f t="shared" si="22"/>
        <v>0</v>
      </c>
      <c r="AA30" s="1">
        <f t="shared" si="2"/>
        <v>0</v>
      </c>
      <c r="AB30" s="1">
        <f t="shared" si="3"/>
        <v>0</v>
      </c>
      <c r="AC30" s="1">
        <f t="shared" si="4"/>
        <v>0</v>
      </c>
      <c r="AD30" s="1">
        <f t="shared" si="5"/>
        <v>0</v>
      </c>
      <c r="AE30" s="1">
        <f t="shared" si="6"/>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f>IF(AND(C30="Skema 2",B30="ti"),Arbejdstidsoversigt!$E$82,"")</f>
        <v>8.5</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8.5</v>
      </c>
      <c r="BB30" s="229">
        <f t="shared" si="7"/>
        <v>0</v>
      </c>
      <c r="BC30" s="1">
        <f t="shared" si="24"/>
        <v>0</v>
      </c>
      <c r="BD30" s="1">
        <f t="shared" si="8"/>
        <v>0</v>
      </c>
      <c r="BE30" s="1">
        <f t="shared" si="9"/>
        <v>0</v>
      </c>
      <c r="BF30" s="1">
        <f t="shared" si="10"/>
        <v>0</v>
      </c>
      <c r="BG30" s="210" t="str">
        <f>IF(AND(C30="Skema 1",B30="ma"),Skemaoplysninger!$E$30,"")</f>
        <v/>
      </c>
      <c r="BH30" s="210" t="str">
        <f>IF(AND(C30="Skema 1",B30="ti"),Skemaoplysninger!$G$30,"")</f>
        <v/>
      </c>
      <c r="BI30" s="210" t="str">
        <f>IF(AND(C30="Skema 1",B30="on"),Skemaoplysninger!$I$30,"")</f>
        <v/>
      </c>
      <c r="BJ30" s="210" t="str">
        <f>IF(AND(C30="Skema 1",B30="to"),Skemaoplysninger!$K$30,"")</f>
        <v/>
      </c>
      <c r="BK30" s="210" t="str">
        <f>IF(AND(C30="Skema 1",B30="fr"),Skemaoplysninger!$M$30,"")</f>
        <v/>
      </c>
      <c r="BL30" s="210" t="str">
        <f>IF(AND(C30="Skema 2",B30="ma"),Skemaoplysninger!$S$30,"")</f>
        <v/>
      </c>
      <c r="BM30" s="210">
        <f>IF(AND(C30="Skema 2",B30="ti"),Skemaoplysninger!$U$30,"")</f>
        <v>0.15625</v>
      </c>
      <c r="BN30" s="210" t="str">
        <f>IF(AND(C30="Skema 2",B30="on"),Skemaoplysninger!$W$30,"")</f>
        <v/>
      </c>
      <c r="BO30" s="210" t="str">
        <f>IF(AND(C30="Skema 2",B30="to"),Skemaoplysninger!$Y$30,"")</f>
        <v/>
      </c>
      <c r="BP30" s="210" t="str">
        <f>IF(AND(C30="Skema 2",B30="fr"),Skemaoplysninger!$AA$30,"")</f>
        <v/>
      </c>
      <c r="BQ30" s="210" t="str">
        <f>IF(AND(C30="Skema 3",B30="ma"),Skemaoplysninger!$AG$30,"")</f>
        <v/>
      </c>
      <c r="BR30" s="210" t="str">
        <f>IF(AND(C30="Skema 3",B30="ti"),Skemaoplysninger!$AI$30,"")</f>
        <v/>
      </c>
      <c r="BS30" s="210" t="str">
        <f>IF(AND(C30="Skema 3",B30="on"),Skemaoplysninger!$AK$30,"")</f>
        <v/>
      </c>
      <c r="BT30" s="210" t="str">
        <f>IF(AND(C30="Skema 3",B30="to"),Skemaoplysninger!$AM$30,"")</f>
        <v/>
      </c>
      <c r="BU30" s="210" t="str">
        <f>IF(AND(C30="Skema 3",B30="fr"),Skemaoplysninger!$AO$30,"")</f>
        <v/>
      </c>
      <c r="BV30" s="210" t="str">
        <f>IF(AND(C30="Skema 4",B30="ma"),Skemaoplysninger!$AU$30,"")</f>
        <v/>
      </c>
      <c r="BW30" s="210" t="str">
        <f>IF(AND(C30="Skema 4",B30="ti"),Skemaoplysninger!$AW$30,"")</f>
        <v/>
      </c>
      <c r="BX30" s="210" t="str">
        <f>IF(AND(C30="Skema 4",B30="on"),Skemaoplysninger!$AY$30,"")</f>
        <v/>
      </c>
      <c r="BY30" s="210" t="str">
        <f>IF(AND(C30="Skema 4",B30="to"),Skemaoplysninger!$BA$30,"")</f>
        <v/>
      </c>
      <c r="BZ30" s="210" t="str">
        <f>IF(AND(C30="Skema 4",B30="fr"),Skemaoplysninger!$BC$30,"")</f>
        <v/>
      </c>
      <c r="CA30" s="1">
        <f t="shared" si="25"/>
        <v>3.75</v>
      </c>
      <c r="CB30" s="1">
        <f t="shared" si="11"/>
        <v>0</v>
      </c>
      <c r="CC30" s="1">
        <f t="shared" si="12"/>
        <v>0</v>
      </c>
      <c r="CD30" s="210" t="str">
        <f>IF(AND(C30="Skema 1",B30="ma"),Skemaoplysninger!$E$31,"")</f>
        <v/>
      </c>
      <c r="CE30" s="210" t="str">
        <f>IF(AND(C30="Skema 1",B30="ti"),Skemaoplysninger!$G$31,"")</f>
        <v/>
      </c>
      <c r="CF30" s="210" t="str">
        <f>IF(AND(C30="Skema 1",B30="on"),Skemaoplysninger!$I$31,"")</f>
        <v/>
      </c>
      <c r="CG30" s="210" t="str">
        <f>IF(AND(C30="Skema 1",B30="to"),Skemaoplysninger!$K$31,"")</f>
        <v/>
      </c>
      <c r="CH30" s="210" t="str">
        <f>IF(AND(C30="Skema 1",B30="fr"),Skemaoplysninger!$M$31,"")</f>
        <v/>
      </c>
      <c r="CI30" s="210" t="str">
        <f>IF(AND(C30="Skema 2",B30="ma"),Skemaoplysninger!$S$31,"")</f>
        <v/>
      </c>
      <c r="CJ30" s="210">
        <f>IF(AND(C30="Skema 2",B30="ti"),Skemaoplysninger!$U$31,"")</f>
        <v>6.25E-2</v>
      </c>
      <c r="CK30" s="210" t="str">
        <f>IF(AND(C30="Skema 2",B30="on"),Skemaoplysninger!$W$31,"")</f>
        <v/>
      </c>
      <c r="CL30" s="210" t="str">
        <f>IF(AND(C30="Skema 2",B30="to"),Skemaoplysninger!$Y$31,"")</f>
        <v/>
      </c>
      <c r="CM30" s="210" t="str">
        <f>IF(AND(C30="Skema 2",B30="fr"),Skemaoplysninger!$AA$31,"")</f>
        <v/>
      </c>
      <c r="CN30" s="210" t="str">
        <f>IF(AND(C30="Skema 3",B30="ma"),Skemaoplysninger!$AG$31,"")</f>
        <v/>
      </c>
      <c r="CO30" s="210" t="str">
        <f>IF(AND(C30="Skema 3",B30="ti"),Skemaoplysninger!$AI$31,"")</f>
        <v/>
      </c>
      <c r="CP30" s="210" t="str">
        <f>IF(AND(C30="Skema 3",B30="on"),Skemaoplysninger!$AK$31,"")</f>
        <v/>
      </c>
      <c r="CQ30" s="210" t="str">
        <f>IF(AND(C30="Skema 3",B30="to"),Skemaoplysninger!$AM$31,"")</f>
        <v/>
      </c>
      <c r="CR30" s="210" t="str">
        <f>IF(AND(C30="Skema 3",B30="fr"),Skemaoplysninger!$AO$31,"")</f>
        <v/>
      </c>
      <c r="CS30" s="210" t="str">
        <f>IF(AND(C30="Skema 4",B30="ma"),Skemaoplysninger!$AU$31,"")</f>
        <v/>
      </c>
      <c r="CT30" s="210" t="str">
        <f>IF(AND(C30="Skema 4",B30="ti"),Skemaoplysninger!$AW$31,"")</f>
        <v/>
      </c>
      <c r="CU30" s="210" t="str">
        <f>IF(AND(C30="Skema 4",B30="on"),Skemaoplysninger!$AY$31,"")</f>
        <v/>
      </c>
      <c r="CV30" s="210" t="str">
        <f>IF(AND(C30="Skema 4",B30="to"),Skemaoplysninger!$BA$31,"")</f>
        <v/>
      </c>
      <c r="CW30" s="210" t="str">
        <f>IF(AND(C30="Skema 4",B30="fr"),Skemaoplysninger!$BC$31,"")</f>
        <v/>
      </c>
      <c r="CX30" s="249">
        <f>IF(Stamoplysninger!$H$29="NEJ",SUM(CD30:CW30)*24+CB30+CC30,0)</f>
        <v>1.5</v>
      </c>
      <c r="CY30" s="249">
        <f>IF(C30="Skema 1",Stamoplysninger!$H$30/200,0)</f>
        <v>0</v>
      </c>
      <c r="CZ30" s="249">
        <f>IF(C30="Skema 2",Stamoplysninger!$H$30/200,0)</f>
        <v>0</v>
      </c>
      <c r="DA30" s="249">
        <f>IF(C30="Skema 3",Stamoplysninger!$H$30/200,0)</f>
        <v>0</v>
      </c>
      <c r="DB30" s="249">
        <f>IF(C30="Skema 4",Stamoplysninger!$H$30/200,0)</f>
        <v>0</v>
      </c>
      <c r="DC30" s="249">
        <f>IF(C30="fagdag",Stamoplysninger!$H$30/200,0)</f>
        <v>0</v>
      </c>
      <c r="DD30" s="249">
        <f>IF(C30="emnedag",Stamoplysninger!$H$30/200,0)</f>
        <v>0</v>
      </c>
      <c r="DE30" s="249">
        <f>IF(C30="lejrskole",Stamoplysninger!$H$30/200,0)</f>
        <v>0</v>
      </c>
      <c r="DF30" s="249">
        <f>IF(C30="ekskursion",Stamoplysninger!$H$30/200,0)</f>
        <v>0</v>
      </c>
      <c r="DG30" s="249">
        <f t="shared" si="26"/>
        <v>0</v>
      </c>
      <c r="DH30" t="str">
        <f t="shared" si="27"/>
        <v/>
      </c>
      <c r="DI30">
        <f t="shared" si="28"/>
        <v>0</v>
      </c>
      <c r="DJ30">
        <f t="shared" si="29"/>
        <v>0</v>
      </c>
      <c r="DK30" t="str">
        <f t="shared" si="13"/>
        <v/>
      </c>
      <c r="DL30" t="str">
        <f t="shared" si="13"/>
        <v/>
      </c>
      <c r="DM30" t="str">
        <f t="shared" si="13"/>
        <v/>
      </c>
      <c r="DN30" t="str">
        <f t="shared" si="30"/>
        <v/>
      </c>
      <c r="DO30" s="652">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71">
        <f>IF(AND(Stamoplysninger!$B$22="Ulempetillæg udbetales med 25% af nettotimelønnen.",C30="ikke relevant"),(R30)/4,0)</f>
        <v>0</v>
      </c>
      <c r="DT30" s="671">
        <f>IF(AND(AND(Stamoplysninger!$B$22="Ulempetillæg udbetales med 25% af nettotimelønnen.",I30="X",C30="Ikke relevant")),K30/4,0)</f>
        <v>0</v>
      </c>
      <c r="DU30" s="671">
        <f>IF(AND(AND(Stamoplysninger!$B$22="Ulempetillæg udbetales med 25% af nettotimelønnen.",C30="ikke relevant",U30="X")),(X30/4),0)</f>
        <v>0</v>
      </c>
      <c r="DV30" s="672">
        <f>IF(AND(AND(AND(Stamoplysninger!$B$22="Ulempetillæg udbetales med 25% af nettotimelønnen.",I30="X",C30="Ikke relevant",S30="X"))),V30/4,0)</f>
        <v>0</v>
      </c>
      <c r="DW30" s="652"/>
      <c r="DZ30" s="671"/>
      <c r="EA30" s="671"/>
      <c r="EB30" s="672"/>
      <c r="EC30" s="652">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71">
        <f>IF(AND(Stamoplysninger!$B$22="Ulempetillæg afspadseres med 25%(Kræver en aftale imellem ledelsen og den ansatte)",C30="ikke relevant"),(R30)/4,0)</f>
        <v>0</v>
      </c>
      <c r="EH30" s="671">
        <f>IF(AND(AND(Stamoplysninger!$B$22="Ulempetillæg afspadseres med 25%(Kræver en aftale imellem ledelsen og den ansatte)",I30="X",C30="Ikke relevant")),K30/4,0)</f>
        <v>0</v>
      </c>
      <c r="EI30" s="671">
        <f>IF(AND(AND(Stamoplysninger!$B$22="Ulempetillæg afspadseres med 25%(Kræver en aftale imellem ledelsen og den ansatte)",U30="X",C30="Ikke relevant")),X30/4,0)</f>
        <v>0</v>
      </c>
      <c r="EJ30" s="671">
        <f>IF(AND(AND(AND(Stamoplysninger!$B$22="Ulempetillæg afspadseres med 25%(Kræver en aftale imellem ledelsen og den ansatte)",I30="X",C30="Ikke relevant",S30="X"))),V30/4,0)</f>
        <v>0</v>
      </c>
      <c r="EK30" s="283">
        <f>IF(AND(Stamoplysninger!$B$26="Weekendtimer og weekendtillæg afspadseres.",I30="X"),K30*1.5,0)</f>
        <v>0</v>
      </c>
      <c r="EL30" s="251">
        <f>IF(AND(AND(Stamoplysninger!$B$26="Weekendtimer og weekendtillæg afspadseres.",I30="X",S30="X")),V30*1.5,0)</f>
        <v>0</v>
      </c>
      <c r="EM30" s="674">
        <f>IF(AND(AND(Stamoplysninger!$B$26="Weekendtimer og weekendtillæg afspadseres.",I30="X",C30="ikke relevant")),K30*1.5,0)</f>
        <v>0</v>
      </c>
      <c r="EN30" s="675">
        <f>IF(AND(AND(AND(Stamoplysninger!$B$26="Weekendtimer og weekendtillæg afspadseres.",I30="X",C30="ikke relevant",S30="X"))),(V30*1.5),0)</f>
        <v>0</v>
      </c>
      <c r="EO30" s="283">
        <f>IF(AND(Stamoplysninger!$B$26="Weekendtimer og weekendtillæg udbetales.",I30="X"),K30*1.5,0)</f>
        <v>0</v>
      </c>
      <c r="EP30" s="251">
        <f>IF(AND(AND(Stamoplysninger!$B$26="Weekendtimer og weekendtillæg udbetales.",I30="X",S30="X")),V30*1.5,0)</f>
        <v>0</v>
      </c>
      <c r="EQ30" s="674">
        <f>IF(AND(AND(Stamoplysninger!$B$26="Weekendtimer og weekendtillæg udbetales.",I30="X",C30="ikke relevant")),K30*1.5,0)</f>
        <v>0</v>
      </c>
      <c r="ER30" s="675">
        <f>IF(AND(AND(AND(Stamoplysninger!$B$26="Weekendtimer og weekendtillæg udbetales.",I30="X",C30="ikke relevant",S30="X"))),(V30*1.5),0)</f>
        <v>0</v>
      </c>
      <c r="ES30" s="283">
        <f>IF(AND(Stamoplysninger!$B$26="Der er indgået lokalaftale omkring weekendtimer.(Kræver aftale med TR/FSL) Weekendtillæg afspadseres.",I30="X"),K30*0.5,0)</f>
        <v>0</v>
      </c>
      <c r="ET30" s="251">
        <f>IF(AND(AND(Stamoplysninger!$B$26="Der er indgået lokalaftale omkring weekendtimer.(Kræver aftale med TR/FSL) Weekendtillæg afspadseres.",I30="X",S30="X")),V30*0.5,0)</f>
        <v>0</v>
      </c>
      <c r="EU30" s="674">
        <f>IF(AND(AND(Stamoplysninger!$B$26="Der er indgået lokalaftale omkring weekendtimer.(Kræver aftale med TR/FSL) Weekendtillæg afspadseres.",I30="X",C30="ikke relevant")),K30*0.5,0)</f>
        <v>0</v>
      </c>
      <c r="EV30" s="675">
        <f>IF(AND(AND(AND(Stamoplysninger!$B$26="Der er indgået lokalaftale omkring weekendtimer.(Kræver aftale med TR/FSL) Weekendtillæg afspadseres.",I30="X",C30="ikke relevant",S30="X"))),(V30*0.5),0)</f>
        <v>0</v>
      </c>
      <c r="EW30" s="283">
        <f>IF(AND(Stamoplysninger!$B$26="Der er indgået lokalaftale omkring weekendtimer(Kræver aftale med TR/FSL). Weekendtillæg udbetales.",I30="X"),K30*0.5,0)</f>
        <v>0</v>
      </c>
      <c r="EX30" s="251">
        <f>IF(AND(AND(Stamoplysninger!$B$26="Der er indgået lokalaftale omkring weekendtimer(Kræver aftale med TR/FSL). Weekendtillæg udbetales.",I30="X",S30="X")),V30*0.5,0)</f>
        <v>0</v>
      </c>
      <c r="EY30" s="674">
        <f>IF(AND(AND(Stamoplysninger!$B$26="Der er indgået lokalaftale omkring weekendtimer(Kræver aftale med TR/FSL). Weekendtillæg udbetales.",I30="X",C30="ikke relevant")),K30*0.5,0)</f>
        <v>0</v>
      </c>
      <c r="EZ30" s="675">
        <f>IF(AND(AND(AND(Stamoplysninger!$B$26="Der er indgået lokalaftale omkring weekendtimer(Kræver aftale med TR/FSL). Weekendtillæg udbetales.",I30="X",C30="ikke relevant",S30="X"))),(V30*0.5),0)</f>
        <v>0</v>
      </c>
      <c r="FA30" s="283">
        <f>IF(AND(Stamoplysninger!$B$26="Der er indgået lokalaftale omkring weekendtillæg(Kræver aftale med TR/FSL). Weekendtimerne afspadseres.",I30="X"),K30,0)</f>
        <v>0</v>
      </c>
      <c r="FB30" s="251">
        <f>IF(AND(AND(Stamoplysninger!$B$26="Der er indgået lokalaftale omkring weekendtillæg(Kræver aftale med TR/FSL). Weekendtimerne afspadseres.",I30="X",S30="X")),V30,0)</f>
        <v>0</v>
      </c>
      <c r="FC30" s="674">
        <f>IF(AND(AND(Stamoplysninger!$B$26="Der er indgået lokalaftale omkring weekendtillæg(Kræver aftale med TR/FSL). Weekendtimerne afspadseres..",I30="X",C30="ikke relevant")),K30,0)</f>
        <v>0</v>
      </c>
      <c r="FD30" s="675">
        <f>IF(AND(AND(AND(Stamoplysninger!$B$26="Der er indgået lokalaftale omkring weekendtillæg(Kræver aftale med TR/FSL). Weekendtimerne afspadseres.",I30="X",C30="ikke relevant",S30="X"))),(V30),0)</f>
        <v>0</v>
      </c>
      <c r="FE30" s="283">
        <f>IF(AND(Stamoplysninger!$B$26="Der er indgået lokalaftale omkring weekendtillæg(Kræver aftale med TR/FSL). Weekendtimerne udbetales.",I30="X"),K30,0)</f>
        <v>0</v>
      </c>
      <c r="FF30" s="251">
        <f>IF(AND(AND(Stamoplysninger!$B$26="Der er indgået lokalaftale omkring weekendtillæg(Kræver aftale med TR/FSL). Weekendtimerne udbetales.",I30="X",S30="X")),V30,0)</f>
        <v>0</v>
      </c>
      <c r="FG30" s="674">
        <f>IF(AND(AND(Stamoplysninger!$B$26="Der er indgået lokalaftale omkring weekendtillæg(Kræver aftale med TR/FSL). Weekendtimerne udbetales.",I30="X",C30="ikke relevant")),K30,0)</f>
        <v>0</v>
      </c>
      <c r="FH30" s="675">
        <f>IF(AND(AND(AND(Stamoplysninger!$B$26="Der er indgået lokalaftale omkring weekendtillæg(Kræver aftale med TR/FSL). Weekendtimerne udbetales.",I30="X",C30="ikke relevant",S30="X"))),(V30),0)</f>
        <v>0</v>
      </c>
      <c r="FI30" s="283">
        <f>IF(AND(Stamoplysninger!$B$26="Weekendtimer og weekendtillæg afspadseres.",I30="X"),K30,0)</f>
        <v>0</v>
      </c>
      <c r="FJ30" s="251">
        <f>IF(AND(Stamoplysninger!$B$26="Weekendtimer og weekendtillæg afspadseres.",Y30="X"),(AA30+AL30)/2,0)</f>
        <v>0</v>
      </c>
      <c r="FK30" s="674">
        <f>IF(AND(AND(Stamoplysninger!$B$26="Weekendtimer og weekendtillæg afspadseres.",I30="X",C30="ikke relevant")),K30,0)</f>
        <v>0</v>
      </c>
      <c r="FL30" s="675">
        <f>IF(AND(AND(Stamoplysninger!$B$26="Weekendtimer og weekendtillæg afspadseres.",Y30="X",S30="ikke relevant")),(AA30+AL30)/2,0)</f>
        <v>0</v>
      </c>
      <c r="FM30" s="283">
        <f>IF(AND(Stamoplysninger!$B$26="Der er indgået lokalaftale omkring weekendtillæg(Kræver aftale med TR/FSL). Weekendtimerne afspadseres.",I30="X"),K30,0)</f>
        <v>0</v>
      </c>
      <c r="FN30" s="674">
        <f>IF(AND(AND(Stamoplysninger!$B$26="Der er indgået lokalaftale omkring weekendtillæg(Kræver aftale med TR/FSL). Weekendtimerne afspadseres.",I30="X",C30="ikke relevant")),K30,0)</f>
        <v>0</v>
      </c>
      <c r="FO30" s="283">
        <f>IF(AND(Stamoplysninger!$B$26="Weekendtimer og weekendtillæg udbetales.",I30="X"),K30,0)</f>
        <v>0</v>
      </c>
      <c r="FP30" s="251">
        <f>IF(AND(Stamoplysninger!$B$26="Weekendtimer og weekendtillæg udbetales.",AA30="X"),(AC30+AN30)/2,0)</f>
        <v>0</v>
      </c>
      <c r="FQ30" s="674">
        <f>IF(AND(AND(Stamoplysninger!$B$26="Weekendtimer og weekendtillæg udbetales.",I30="X",C30="ikke relevant")),K30,0)</f>
        <v>0</v>
      </c>
      <c r="FR30" s="688">
        <f>IF(AND(AND(Stamoplysninger!$B$26="Weekendtimer og weekendtillæg udbetales.",AA30="X",U30="ikke relevant")),(AC30+AN30)/2,0)</f>
        <v>0</v>
      </c>
      <c r="FS30" s="283">
        <f t="shared" si="14"/>
        <v>0</v>
      </c>
      <c r="FT30" s="658">
        <f t="shared" si="15"/>
        <v>0</v>
      </c>
      <c r="FU30">
        <f t="shared" ref="FU30:FU38" si="31">IF(AND(C30="weekend",I30="X"),K30,0)</f>
        <v>0</v>
      </c>
      <c r="FV30" s="283">
        <f>IF(AND(Stamoplysninger!$B$26="Der er indgået lokalaftale omkring weekendtimer.(Kræver aftale med TR/FSL) Weekendtillæg afspadseres.",I30="X"),K30,0)</f>
        <v>0</v>
      </c>
      <c r="FW30" s="674">
        <f>IF(AND(AND(Stamoplysninger!$B$26="Der er indgået lokalaftale omkring weekendtimer.(Kræver aftale med TR/FSL) Weekendtillæg afspadseres.",I30="X",C30="ikke relevant")),K30,0)</f>
        <v>0</v>
      </c>
      <c r="FX30" s="283">
        <f>IF(AND(Stamoplysninger!$B$26="Der er indgået lokalaftale omkring weekendtimer(Kræver aftale med TR/FSL). Weekendtillæg udbetales.",I30="X"),K30,0)</f>
        <v>0</v>
      </c>
      <c r="FY30" s="674">
        <f>IF(AND(AND(Stamoplysninger!$B$26="Der er indgået lokalaftale omkring weekendtimer(Kræver aftale med TR/FSL). Weekendtillæg udbetales.",I30="X",C30="ikke relevant")),K30,0)</f>
        <v>0</v>
      </c>
      <c r="FZ30" s="283">
        <f>IF(AND(Stamoplysninger!$B$26="Der er indgået lokalaftale omkring weekendtillæg(Kræver aftale med TR/FSL). Weekendtimerne udbetales.",I30="X"),K30,0)</f>
        <v>0</v>
      </c>
      <c r="GA30" s="674">
        <f>IF(AND(AND(Stamoplysninger!$B$26="Der er indgået lokalaftale omkring weekendtillæg(Kræver aftale med TR/FSL). Weekendtimerne udbetales.",I30="X",C30="ikke relevant")),K30,0)</f>
        <v>0</v>
      </c>
      <c r="GB30" s="283">
        <f>IF(AND(Stamoplysninger!$B$26="Der er indgået lokalaftale omkring weekendtimer og weekendtillæg.(Kræver aftale med TR/FSL).",I30="X"),K30,0)</f>
        <v>0</v>
      </c>
      <c r="GC30" s="674">
        <f>IF(AND(AND(Stamoplysninger!$B$26="Der er indgået lokalaftale omkring weekendtimer og weekendtillæg.(Kræver aftale med TR/FSL).",I30="X",C30="ikke relevant")),K30,0)</f>
        <v>0</v>
      </c>
    </row>
    <row r="31" spans="1:185">
      <c r="A31" s="245">
        <f t="shared" si="17"/>
        <v>23</v>
      </c>
      <c r="B31" s="128" t="str">
        <f t="shared" si="0"/>
        <v>on</v>
      </c>
      <c r="C31" s="129" t="s">
        <v>207</v>
      </c>
      <c r="D31" s="130" t="str">
        <f t="shared" si="1"/>
        <v/>
      </c>
      <c r="E31" s="917"/>
      <c r="F31" s="918"/>
      <c r="G31" s="919"/>
      <c r="H31" s="298"/>
      <c r="I31" s="527"/>
      <c r="J31" s="413"/>
      <c r="K31" s="380"/>
      <c r="L31" s="380"/>
      <c r="M31" s="380"/>
      <c r="N31" s="318">
        <f t="shared" si="18"/>
        <v>7.75</v>
      </c>
      <c r="O31" s="318">
        <f t="shared" si="19"/>
        <v>4.25</v>
      </c>
      <c r="P31" s="318">
        <f>IF(Stamoplysninger!$H$29="JA",April!DG31,CX31)</f>
        <v>1</v>
      </c>
      <c r="Q31" s="318">
        <f t="shared" si="20"/>
        <v>2.5</v>
      </c>
      <c r="R31" s="319"/>
      <c r="S31" s="324"/>
      <c r="T31" s="325"/>
      <c r="U31" s="325"/>
      <c r="V31" s="435"/>
      <c r="W31" s="435"/>
      <c r="X31" s="644"/>
      <c r="Y31">
        <f t="shared" si="21"/>
        <v>0</v>
      </c>
      <c r="Z31" s="437">
        <f t="shared" si="22"/>
        <v>0</v>
      </c>
      <c r="AA31" s="1">
        <f t="shared" si="2"/>
        <v>0</v>
      </c>
      <c r="AB31" s="1">
        <f t="shared" si="3"/>
        <v>0</v>
      </c>
      <c r="AC31" s="1">
        <f t="shared" si="4"/>
        <v>0</v>
      </c>
      <c r="AD31" s="1">
        <f t="shared" si="5"/>
        <v>0</v>
      </c>
      <c r="AE31" s="1">
        <f t="shared" si="6"/>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f>IF(AND(C31="Skema 2",B31="on"),Arbejdstidsoversigt!$E$83,"")</f>
        <v>7.75</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7.75</v>
      </c>
      <c r="BB31" s="229">
        <f t="shared" si="7"/>
        <v>0</v>
      </c>
      <c r="BC31" s="1">
        <f t="shared" si="24"/>
        <v>0</v>
      </c>
      <c r="BD31" s="1">
        <f t="shared" si="8"/>
        <v>0</v>
      </c>
      <c r="BE31" s="1">
        <f t="shared" si="9"/>
        <v>0</v>
      </c>
      <c r="BF31" s="1">
        <f t="shared" si="10"/>
        <v>0</v>
      </c>
      <c r="BG31" s="210" t="str">
        <f>IF(AND(C31="Skema 1",B31="ma"),Skemaoplysninger!$E$30,"")</f>
        <v/>
      </c>
      <c r="BH31" s="210" t="str">
        <f>IF(AND(C31="Skema 1",B31="ti"),Skemaoplysninger!$G$30,"")</f>
        <v/>
      </c>
      <c r="BI31" s="210" t="str">
        <f>IF(AND(C31="Skema 1",B31="on"),Skemaoplysninger!$I$30,"")</f>
        <v/>
      </c>
      <c r="BJ31" s="210" t="str">
        <f>IF(AND(C31="Skema 1",B31="to"),Skemaoplysninger!$K$30,"")</f>
        <v/>
      </c>
      <c r="BK31" s="210" t="str">
        <f>IF(AND(C31="Skema 1",B31="fr"),Skemaoplysninger!$M$30,"")</f>
        <v/>
      </c>
      <c r="BL31" s="210" t="str">
        <f>IF(AND(C31="Skema 2",B31="ma"),Skemaoplysninger!$S$30,"")</f>
        <v/>
      </c>
      <c r="BM31" s="210" t="str">
        <f>IF(AND(C31="Skema 2",B31="ti"),Skemaoplysninger!$U$30,"")</f>
        <v/>
      </c>
      <c r="BN31" s="210">
        <f>IF(AND(C31="Skema 2",B31="on"),Skemaoplysninger!$W$30,"")</f>
        <v>0.17708333333333331</v>
      </c>
      <c r="BO31" s="210" t="str">
        <f>IF(AND(C31="Skema 2",B31="to"),Skemaoplysninger!$Y$30,"")</f>
        <v/>
      </c>
      <c r="BP31" s="210" t="str">
        <f>IF(AND(C31="Skema 2",B31="fr"),Skemaoplysninger!$AA$30,"")</f>
        <v/>
      </c>
      <c r="BQ31" s="210" t="str">
        <f>IF(AND(C31="Skema 3",B31="ma"),Skemaoplysninger!$AG$30,"")</f>
        <v/>
      </c>
      <c r="BR31" s="210" t="str">
        <f>IF(AND(C31="Skema 3",B31="ti"),Skemaoplysninger!$AI$30,"")</f>
        <v/>
      </c>
      <c r="BS31" s="210" t="str">
        <f>IF(AND(C31="Skema 3",B31="on"),Skemaoplysninger!$AK$30,"")</f>
        <v/>
      </c>
      <c r="BT31" s="210" t="str">
        <f>IF(AND(C31="Skema 3",B31="to"),Skemaoplysninger!$AM$30,"")</f>
        <v/>
      </c>
      <c r="BU31" s="210" t="str">
        <f>IF(AND(C31="Skema 3",B31="fr"),Skemaoplysninger!$AO$30,"")</f>
        <v/>
      </c>
      <c r="BV31" s="210" t="str">
        <f>IF(AND(C31="Skema 4",B31="ma"),Skemaoplysninger!$AU$30,"")</f>
        <v/>
      </c>
      <c r="BW31" s="210" t="str">
        <f>IF(AND(C31="Skema 4",B31="ti"),Skemaoplysninger!$AW$30,"")</f>
        <v/>
      </c>
      <c r="BX31" s="210" t="str">
        <f>IF(AND(C31="Skema 4",B31="on"),Skemaoplysninger!$AY$30,"")</f>
        <v/>
      </c>
      <c r="BY31" s="210" t="str">
        <f>IF(AND(C31="Skema 4",B31="to"),Skemaoplysninger!$BA$30,"")</f>
        <v/>
      </c>
      <c r="BZ31" s="210" t="str">
        <f>IF(AND(C31="Skema 4",B31="fr"),Skemaoplysninger!$BC$30,"")</f>
        <v/>
      </c>
      <c r="CA31" s="1">
        <f t="shared" si="25"/>
        <v>4.25</v>
      </c>
      <c r="CB31" s="1">
        <f t="shared" si="11"/>
        <v>0</v>
      </c>
      <c r="CC31" s="1">
        <f t="shared" si="12"/>
        <v>0</v>
      </c>
      <c r="CD31" s="210" t="str">
        <f>IF(AND(C31="Skema 1",B31="ma"),Skemaoplysninger!$E$31,"")</f>
        <v/>
      </c>
      <c r="CE31" s="210" t="str">
        <f>IF(AND(C31="Skema 1",B31="ti"),Skemaoplysninger!$G$31,"")</f>
        <v/>
      </c>
      <c r="CF31" s="210" t="str">
        <f>IF(AND(C31="Skema 1",B31="on"),Skemaoplysninger!$I$31,"")</f>
        <v/>
      </c>
      <c r="CG31" s="210" t="str">
        <f>IF(AND(C31="Skema 1",B31="to"),Skemaoplysninger!$K$31,"")</f>
        <v/>
      </c>
      <c r="CH31" s="210" t="str">
        <f>IF(AND(C31="Skema 1",B31="fr"),Skemaoplysninger!$M$31,"")</f>
        <v/>
      </c>
      <c r="CI31" s="210" t="str">
        <f>IF(AND(C31="Skema 2",B31="ma"),Skemaoplysninger!$S$31,"")</f>
        <v/>
      </c>
      <c r="CJ31" s="210" t="str">
        <f>IF(AND(C31="Skema 2",B31="ti"),Skemaoplysninger!$U$31,"")</f>
        <v/>
      </c>
      <c r="CK31" s="210">
        <f>IF(AND(C31="Skema 2",B31="on"),Skemaoplysninger!$W$31,"")</f>
        <v>4.1666666666666664E-2</v>
      </c>
      <c r="CL31" s="210" t="str">
        <f>IF(AND(C31="Skema 2",B31="to"),Skemaoplysninger!$Y$31,"")</f>
        <v/>
      </c>
      <c r="CM31" s="210" t="str">
        <f>IF(AND(C31="Skema 2",B31="fr"),Skemaoplysninger!$AA$31,"")</f>
        <v/>
      </c>
      <c r="CN31" s="210" t="str">
        <f>IF(AND(C31="Skema 3",B31="ma"),Skemaoplysninger!$AG$31,"")</f>
        <v/>
      </c>
      <c r="CO31" s="210" t="str">
        <f>IF(AND(C31="Skema 3",B31="ti"),Skemaoplysninger!$AI$31,"")</f>
        <v/>
      </c>
      <c r="CP31" s="210" t="str">
        <f>IF(AND(C31="Skema 3",B31="on"),Skemaoplysninger!$AK$31,"")</f>
        <v/>
      </c>
      <c r="CQ31" s="210" t="str">
        <f>IF(AND(C31="Skema 3",B31="to"),Skemaoplysninger!$AM$31,"")</f>
        <v/>
      </c>
      <c r="CR31" s="210" t="str">
        <f>IF(AND(C31="Skema 3",B31="fr"),Skemaoplysninger!$AO$31,"")</f>
        <v/>
      </c>
      <c r="CS31" s="210" t="str">
        <f>IF(AND(C31="Skema 4",B31="ma"),Skemaoplysninger!$AU$31,"")</f>
        <v/>
      </c>
      <c r="CT31" s="210" t="str">
        <f>IF(AND(C31="Skema 4",B31="ti"),Skemaoplysninger!$AW$31,"")</f>
        <v/>
      </c>
      <c r="CU31" s="210" t="str">
        <f>IF(AND(C31="Skema 4",B31="on"),Skemaoplysninger!$AY$31,"")</f>
        <v/>
      </c>
      <c r="CV31" s="210" t="str">
        <f>IF(AND(C31="Skema 4",B31="to"),Skemaoplysninger!$BA$31,"")</f>
        <v/>
      </c>
      <c r="CW31" s="210" t="str">
        <f>IF(AND(C31="Skema 4",B31="fr"),Skemaoplysninger!$BC$31,"")</f>
        <v/>
      </c>
      <c r="CX31" s="249">
        <f>IF(Stamoplysninger!$H$29="NEJ",SUM(CD31:CW31)*24+CB31+CC31,0)</f>
        <v>1</v>
      </c>
      <c r="CY31" s="249">
        <f>IF(C31="Skema 1",Stamoplysninger!$H$30/200,0)</f>
        <v>0</v>
      </c>
      <c r="CZ31" s="249">
        <f>IF(C31="Skema 2",Stamoplysninger!$H$30/200,0)</f>
        <v>0</v>
      </c>
      <c r="DA31" s="249">
        <f>IF(C31="Skema 3",Stamoplysninger!$H$30/200,0)</f>
        <v>0</v>
      </c>
      <c r="DB31" s="249">
        <f>IF(C31="Skema 4",Stamoplysninger!$H$30/200,0)</f>
        <v>0</v>
      </c>
      <c r="DC31" s="249">
        <f>IF(C31="fagdag",Stamoplysninger!$H$30/200,0)</f>
        <v>0</v>
      </c>
      <c r="DD31" s="249">
        <f>IF(C31="emnedag",Stamoplysninger!$H$30/200,0)</f>
        <v>0</v>
      </c>
      <c r="DE31" s="249">
        <f>IF(C31="lejrskole",Stamoplysninger!$H$30/200,0)</f>
        <v>0</v>
      </c>
      <c r="DF31" s="249">
        <f>IF(C31="ekskursion",Stamoplysninger!$H$30/200,0)</f>
        <v>0</v>
      </c>
      <c r="DG31" s="249">
        <f t="shared" si="26"/>
        <v>0</v>
      </c>
      <c r="DH31" t="str">
        <f t="shared" si="27"/>
        <v/>
      </c>
      <c r="DI31">
        <f t="shared" si="28"/>
        <v>0</v>
      </c>
      <c r="DJ31">
        <f t="shared" si="29"/>
        <v>0</v>
      </c>
      <c r="DK31" t="str">
        <f t="shared" si="13"/>
        <v/>
      </c>
      <c r="DL31" t="str">
        <f t="shared" si="13"/>
        <v/>
      </c>
      <c r="DM31" t="str">
        <f t="shared" si="13"/>
        <v/>
      </c>
      <c r="DN31" t="str">
        <f t="shared" si="30"/>
        <v/>
      </c>
      <c r="DO31" s="652">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71">
        <f>IF(AND(Stamoplysninger!$B$22="Ulempetillæg udbetales med 25% af nettotimelønnen.",C31="ikke relevant"),(R31)/4,0)</f>
        <v>0</v>
      </c>
      <c r="DT31" s="671">
        <f>IF(AND(AND(Stamoplysninger!$B$22="Ulempetillæg udbetales med 25% af nettotimelønnen.",I31="X",C31="Ikke relevant")),K31/4,0)</f>
        <v>0</v>
      </c>
      <c r="DU31" s="671">
        <f>IF(AND(AND(Stamoplysninger!$B$22="Ulempetillæg udbetales med 25% af nettotimelønnen.",C31="ikke relevant",U31="X")),(X31/4),0)</f>
        <v>0</v>
      </c>
      <c r="DV31" s="672">
        <f>IF(AND(AND(AND(Stamoplysninger!$B$22="Ulempetillæg udbetales med 25% af nettotimelønnen.",I31="X",C31="Ikke relevant",S31="X"))),V31/4,0)</f>
        <v>0</v>
      </c>
      <c r="DW31" s="652"/>
      <c r="DZ31" s="671"/>
      <c r="EA31" s="671"/>
      <c r="EB31" s="672"/>
      <c r="EC31" s="652">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71">
        <f>IF(AND(Stamoplysninger!$B$22="Ulempetillæg afspadseres med 25%(Kræver en aftale imellem ledelsen og den ansatte)",C31="ikke relevant"),(R31)/4,0)</f>
        <v>0</v>
      </c>
      <c r="EH31" s="671">
        <f>IF(AND(AND(Stamoplysninger!$B$22="Ulempetillæg afspadseres med 25%(Kræver en aftale imellem ledelsen og den ansatte)",I31="X",C31="Ikke relevant")),K31/4,0)</f>
        <v>0</v>
      </c>
      <c r="EI31" s="671">
        <f>IF(AND(AND(Stamoplysninger!$B$22="Ulempetillæg afspadseres med 25%(Kræver en aftale imellem ledelsen og den ansatte)",U31="X",C31="Ikke relevant")),X31/4,0)</f>
        <v>0</v>
      </c>
      <c r="EJ31" s="671">
        <f>IF(AND(AND(AND(Stamoplysninger!$B$22="Ulempetillæg afspadseres med 25%(Kræver en aftale imellem ledelsen og den ansatte)",I31="X",C31="Ikke relevant",S31="X"))),V31/4,0)</f>
        <v>0</v>
      </c>
      <c r="EK31" s="283">
        <f>IF(AND(Stamoplysninger!$B$26="Weekendtimer og weekendtillæg afspadseres.",I31="X"),K31*1.5,0)</f>
        <v>0</v>
      </c>
      <c r="EL31" s="251">
        <f>IF(AND(AND(Stamoplysninger!$B$26="Weekendtimer og weekendtillæg afspadseres.",I31="X",S31="X")),V31*1.5,0)</f>
        <v>0</v>
      </c>
      <c r="EM31" s="674">
        <f>IF(AND(AND(Stamoplysninger!$B$26="Weekendtimer og weekendtillæg afspadseres.",I31="X",C31="ikke relevant")),K31*1.5,0)</f>
        <v>0</v>
      </c>
      <c r="EN31" s="675">
        <f>IF(AND(AND(AND(Stamoplysninger!$B$26="Weekendtimer og weekendtillæg afspadseres.",I31="X",C31="ikke relevant",S31="X"))),(V31*1.5),0)</f>
        <v>0</v>
      </c>
      <c r="EO31" s="283">
        <f>IF(AND(Stamoplysninger!$B$26="Weekendtimer og weekendtillæg udbetales.",I31="X"),K31*1.5,0)</f>
        <v>0</v>
      </c>
      <c r="EP31" s="251">
        <f>IF(AND(AND(Stamoplysninger!$B$26="Weekendtimer og weekendtillæg udbetales.",I31="X",S31="X")),V31*1.5,0)</f>
        <v>0</v>
      </c>
      <c r="EQ31" s="674">
        <f>IF(AND(AND(Stamoplysninger!$B$26="Weekendtimer og weekendtillæg udbetales.",I31="X",C31="ikke relevant")),K31*1.5,0)</f>
        <v>0</v>
      </c>
      <c r="ER31" s="675">
        <f>IF(AND(AND(AND(Stamoplysninger!$B$26="Weekendtimer og weekendtillæg udbetales.",I31="X",C31="ikke relevant",S31="X"))),(V31*1.5),0)</f>
        <v>0</v>
      </c>
      <c r="ES31" s="283">
        <f>IF(AND(Stamoplysninger!$B$26="Der er indgået lokalaftale omkring weekendtimer.(Kræver aftale med TR/FSL) Weekendtillæg afspadseres.",I31="X"),K31*0.5,0)</f>
        <v>0</v>
      </c>
      <c r="ET31" s="251">
        <f>IF(AND(AND(Stamoplysninger!$B$26="Der er indgået lokalaftale omkring weekendtimer.(Kræver aftale med TR/FSL) Weekendtillæg afspadseres.",I31="X",S31="X")),V31*0.5,0)</f>
        <v>0</v>
      </c>
      <c r="EU31" s="674">
        <f>IF(AND(AND(Stamoplysninger!$B$26="Der er indgået lokalaftale omkring weekendtimer.(Kræver aftale med TR/FSL) Weekendtillæg afspadseres.",I31="X",C31="ikke relevant")),K31*0.5,0)</f>
        <v>0</v>
      </c>
      <c r="EV31" s="675">
        <f>IF(AND(AND(AND(Stamoplysninger!$B$26="Der er indgået lokalaftale omkring weekendtimer.(Kræver aftale med TR/FSL) Weekendtillæg afspadseres.",I31="X",C31="ikke relevant",S31="X"))),(V31*0.5),0)</f>
        <v>0</v>
      </c>
      <c r="EW31" s="283">
        <f>IF(AND(Stamoplysninger!$B$26="Der er indgået lokalaftale omkring weekendtimer(Kræver aftale med TR/FSL). Weekendtillæg udbetales.",I31="X"),K31*0.5,0)</f>
        <v>0</v>
      </c>
      <c r="EX31" s="251">
        <f>IF(AND(AND(Stamoplysninger!$B$26="Der er indgået lokalaftale omkring weekendtimer(Kræver aftale med TR/FSL). Weekendtillæg udbetales.",I31="X",S31="X")),V31*0.5,0)</f>
        <v>0</v>
      </c>
      <c r="EY31" s="674">
        <f>IF(AND(AND(Stamoplysninger!$B$26="Der er indgået lokalaftale omkring weekendtimer(Kræver aftale med TR/FSL). Weekendtillæg udbetales.",I31="X",C31="ikke relevant")),K31*0.5,0)</f>
        <v>0</v>
      </c>
      <c r="EZ31" s="675">
        <f>IF(AND(AND(AND(Stamoplysninger!$B$26="Der er indgået lokalaftale omkring weekendtimer(Kræver aftale med TR/FSL). Weekendtillæg udbetales.",I31="X",C31="ikke relevant",S31="X"))),(V31*0.5),0)</f>
        <v>0</v>
      </c>
      <c r="FA31" s="283">
        <f>IF(AND(Stamoplysninger!$B$26="Der er indgået lokalaftale omkring weekendtillæg(Kræver aftale med TR/FSL). Weekendtimerne afspadseres.",I31="X"),K31,0)</f>
        <v>0</v>
      </c>
      <c r="FB31" s="251">
        <f>IF(AND(AND(Stamoplysninger!$B$26="Der er indgået lokalaftale omkring weekendtillæg(Kræver aftale med TR/FSL). Weekendtimerne afspadseres.",I31="X",S31="X")),V31,0)</f>
        <v>0</v>
      </c>
      <c r="FC31" s="674">
        <f>IF(AND(AND(Stamoplysninger!$B$26="Der er indgået lokalaftale omkring weekendtillæg(Kræver aftale med TR/FSL). Weekendtimerne afspadseres..",I31="X",C31="ikke relevant")),K31,0)</f>
        <v>0</v>
      </c>
      <c r="FD31" s="675">
        <f>IF(AND(AND(AND(Stamoplysninger!$B$26="Der er indgået lokalaftale omkring weekendtillæg(Kræver aftale med TR/FSL). Weekendtimerne afspadseres.",I31="X",C31="ikke relevant",S31="X"))),(V31),0)</f>
        <v>0</v>
      </c>
      <c r="FE31" s="283">
        <f>IF(AND(Stamoplysninger!$B$26="Der er indgået lokalaftale omkring weekendtillæg(Kræver aftale med TR/FSL). Weekendtimerne udbetales.",I31="X"),K31,0)</f>
        <v>0</v>
      </c>
      <c r="FF31" s="251">
        <f>IF(AND(AND(Stamoplysninger!$B$26="Der er indgået lokalaftale omkring weekendtillæg(Kræver aftale med TR/FSL). Weekendtimerne udbetales.",I31="X",S31="X")),V31,0)</f>
        <v>0</v>
      </c>
      <c r="FG31" s="674">
        <f>IF(AND(AND(Stamoplysninger!$B$26="Der er indgået lokalaftale omkring weekendtillæg(Kræver aftale med TR/FSL). Weekendtimerne udbetales.",I31="X",C31="ikke relevant")),K31,0)</f>
        <v>0</v>
      </c>
      <c r="FH31" s="675">
        <f>IF(AND(AND(AND(Stamoplysninger!$B$26="Der er indgået lokalaftale omkring weekendtillæg(Kræver aftale med TR/FSL). Weekendtimerne udbetales.",I31="X",C31="ikke relevant",S31="X"))),(V31),0)</f>
        <v>0</v>
      </c>
      <c r="FI31" s="283">
        <f>IF(AND(Stamoplysninger!$B$26="Weekendtimer og weekendtillæg afspadseres.",I31="X"),K31,0)</f>
        <v>0</v>
      </c>
      <c r="FJ31" s="251">
        <f>IF(AND(Stamoplysninger!$B$26="Weekendtimer og weekendtillæg afspadseres.",Y31="X"),(AA31+AL31)/2,0)</f>
        <v>0</v>
      </c>
      <c r="FK31" s="674">
        <f>IF(AND(AND(Stamoplysninger!$B$26="Weekendtimer og weekendtillæg afspadseres.",I31="X",C31="ikke relevant")),K31,0)</f>
        <v>0</v>
      </c>
      <c r="FL31" s="675">
        <f>IF(AND(AND(Stamoplysninger!$B$26="Weekendtimer og weekendtillæg afspadseres.",Y31="X",S31="ikke relevant")),(AA31+AL31)/2,0)</f>
        <v>0</v>
      </c>
      <c r="FM31" s="283">
        <f>IF(AND(Stamoplysninger!$B$26="Der er indgået lokalaftale omkring weekendtillæg(Kræver aftale med TR/FSL). Weekendtimerne afspadseres.",I31="X"),K31,0)</f>
        <v>0</v>
      </c>
      <c r="FN31" s="674">
        <f>IF(AND(AND(Stamoplysninger!$B$26="Der er indgået lokalaftale omkring weekendtillæg(Kræver aftale med TR/FSL). Weekendtimerne afspadseres.",I31="X",C31="ikke relevant")),K31,0)</f>
        <v>0</v>
      </c>
      <c r="FO31" s="283">
        <f>IF(AND(Stamoplysninger!$B$26="Weekendtimer og weekendtillæg udbetales.",I31="X"),K31,0)</f>
        <v>0</v>
      </c>
      <c r="FP31" s="251">
        <f>IF(AND(Stamoplysninger!$B$26="Weekendtimer og weekendtillæg udbetales.",AA31="X"),(AC31+AN31)/2,0)</f>
        <v>0</v>
      </c>
      <c r="FQ31" s="674">
        <f>IF(AND(AND(Stamoplysninger!$B$26="Weekendtimer og weekendtillæg udbetales.",I31="X",C31="ikke relevant")),K31,0)</f>
        <v>0</v>
      </c>
      <c r="FR31" s="688">
        <f>IF(AND(AND(Stamoplysninger!$B$26="Weekendtimer og weekendtillæg udbetales.",AA31="X",U31="ikke relevant")),(AC31+AN31)/2,0)</f>
        <v>0</v>
      </c>
      <c r="FS31" s="283">
        <f t="shared" si="14"/>
        <v>0</v>
      </c>
      <c r="FT31" s="658">
        <f t="shared" si="15"/>
        <v>0</v>
      </c>
      <c r="FU31">
        <f t="shared" si="31"/>
        <v>0</v>
      </c>
      <c r="FV31" s="283">
        <f>IF(AND(Stamoplysninger!$B$26="Der er indgået lokalaftale omkring weekendtimer.(Kræver aftale med TR/FSL) Weekendtillæg afspadseres.",I31="X"),K31,0)</f>
        <v>0</v>
      </c>
      <c r="FW31" s="674">
        <f>IF(AND(AND(Stamoplysninger!$B$26="Der er indgået lokalaftale omkring weekendtimer.(Kræver aftale med TR/FSL) Weekendtillæg afspadseres.",I31="X",C31="ikke relevant")),K31,0)</f>
        <v>0</v>
      </c>
      <c r="FX31" s="283">
        <f>IF(AND(Stamoplysninger!$B$26="Der er indgået lokalaftale omkring weekendtimer(Kræver aftale med TR/FSL). Weekendtillæg udbetales.",I31="X"),K31,0)</f>
        <v>0</v>
      </c>
      <c r="FY31" s="674">
        <f>IF(AND(AND(Stamoplysninger!$B$26="Der er indgået lokalaftale omkring weekendtimer(Kræver aftale med TR/FSL). Weekendtillæg udbetales.",I31="X",C31="ikke relevant")),K31,0)</f>
        <v>0</v>
      </c>
      <c r="FZ31" s="283">
        <f>IF(AND(Stamoplysninger!$B$26="Der er indgået lokalaftale omkring weekendtillæg(Kræver aftale med TR/FSL). Weekendtimerne udbetales.",I31="X"),K31,0)</f>
        <v>0</v>
      </c>
      <c r="GA31" s="674">
        <f>IF(AND(AND(Stamoplysninger!$B$26="Der er indgået lokalaftale omkring weekendtillæg(Kræver aftale med TR/FSL). Weekendtimerne udbetales.",I31="X",C31="ikke relevant")),K31,0)</f>
        <v>0</v>
      </c>
      <c r="GB31" s="283">
        <f>IF(AND(Stamoplysninger!$B$26="Der er indgået lokalaftale omkring weekendtimer og weekendtillæg.(Kræver aftale med TR/FSL).",I31="X"),K31,0)</f>
        <v>0</v>
      </c>
      <c r="GC31" s="674">
        <f>IF(AND(AND(Stamoplysninger!$B$26="Der er indgået lokalaftale omkring weekendtimer og weekendtillæg.(Kræver aftale med TR/FSL).",I31="X",C31="ikke relevant")),K31,0)</f>
        <v>0</v>
      </c>
    </row>
    <row r="32" spans="1:185">
      <c r="A32" s="245">
        <f t="shared" si="17"/>
        <v>24</v>
      </c>
      <c r="B32" s="128" t="str">
        <f t="shared" si="0"/>
        <v>to</v>
      </c>
      <c r="C32" s="129" t="s">
        <v>207</v>
      </c>
      <c r="D32" s="130" t="str">
        <f t="shared" si="1"/>
        <v/>
      </c>
      <c r="E32" s="949"/>
      <c r="F32" s="950"/>
      <c r="G32" s="951"/>
      <c r="H32" s="298"/>
      <c r="I32" s="527"/>
      <c r="J32" s="413"/>
      <c r="K32" s="380"/>
      <c r="L32" s="380"/>
      <c r="M32" s="380"/>
      <c r="N32" s="318">
        <f t="shared" si="18"/>
        <v>7.75</v>
      </c>
      <c r="O32" s="318">
        <f t="shared" si="19"/>
        <v>3</v>
      </c>
      <c r="P32" s="318">
        <f>IF(Stamoplysninger!$H$29="JA",April!DG32,CX32)</f>
        <v>0.83333333333333337</v>
      </c>
      <c r="Q32" s="318">
        <f t="shared" si="20"/>
        <v>3.9166666666666665</v>
      </c>
      <c r="R32" s="319"/>
      <c r="S32" s="324"/>
      <c r="T32" s="325"/>
      <c r="U32" s="325"/>
      <c r="V32" s="435"/>
      <c r="W32" s="435"/>
      <c r="X32" s="644"/>
      <c r="Y32">
        <f t="shared" si="21"/>
        <v>0</v>
      </c>
      <c r="Z32" s="437">
        <f t="shared" si="22"/>
        <v>0</v>
      </c>
      <c r="AA32" s="1">
        <f t="shared" si="2"/>
        <v>0</v>
      </c>
      <c r="AB32" s="1">
        <f t="shared" si="3"/>
        <v>0</v>
      </c>
      <c r="AC32" s="1">
        <f t="shared" si="4"/>
        <v>0</v>
      </c>
      <c r="AD32" s="1">
        <f t="shared" si="5"/>
        <v>0</v>
      </c>
      <c r="AE32" s="1">
        <f t="shared" si="6"/>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f>IF(AND(C32="Skema 2",B32="to"),Arbejdstidsoversigt!$E$84,"")</f>
        <v>7.75</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7.75</v>
      </c>
      <c r="BB32" s="229">
        <f t="shared" si="7"/>
        <v>0</v>
      </c>
      <c r="BC32" s="1">
        <f t="shared" si="24"/>
        <v>0</v>
      </c>
      <c r="BD32" s="1">
        <f t="shared" si="8"/>
        <v>0</v>
      </c>
      <c r="BE32" s="1">
        <f t="shared" si="9"/>
        <v>0</v>
      </c>
      <c r="BF32" s="1">
        <f t="shared" si="10"/>
        <v>0</v>
      </c>
      <c r="BG32" s="210" t="str">
        <f>IF(AND(C32="Skema 1",B32="ma"),Skemaoplysninger!$E$30,"")</f>
        <v/>
      </c>
      <c r="BH32" s="210" t="str">
        <f>IF(AND(C32="Skema 1",B32="ti"),Skemaoplysninger!$G$30,"")</f>
        <v/>
      </c>
      <c r="BI32" s="210" t="str">
        <f>IF(AND(C32="Skema 1",B32="on"),Skemaoplysninger!$I$30,"")</f>
        <v/>
      </c>
      <c r="BJ32" s="210" t="str">
        <f>IF(AND(C32="Skema 1",B32="to"),Skemaoplysninger!$K$30,"")</f>
        <v/>
      </c>
      <c r="BK32" s="210" t="str">
        <f>IF(AND(C32="Skema 1",B32="fr"),Skemaoplysninger!$M$30,"")</f>
        <v/>
      </c>
      <c r="BL32" s="210" t="str">
        <f>IF(AND(C32="Skema 2",B32="ma"),Skemaoplysninger!$S$30,"")</f>
        <v/>
      </c>
      <c r="BM32" s="210" t="str">
        <f>IF(AND(C32="Skema 2",B32="ti"),Skemaoplysninger!$U$30,"")</f>
        <v/>
      </c>
      <c r="BN32" s="210" t="str">
        <f>IF(AND(C32="Skema 2",B32="on"),Skemaoplysninger!$W$30,"")</f>
        <v/>
      </c>
      <c r="BO32" s="210">
        <f>IF(AND(C32="Skema 2",B32="to"),Skemaoplysninger!$Y$30,"")</f>
        <v>0.125</v>
      </c>
      <c r="BP32" s="210" t="str">
        <f>IF(AND(C32="Skema 2",B32="fr"),Skemaoplysninger!$AA$30,"")</f>
        <v/>
      </c>
      <c r="BQ32" s="210" t="str">
        <f>IF(AND(C32="Skema 3",B32="ma"),Skemaoplysninger!$AG$30,"")</f>
        <v/>
      </c>
      <c r="BR32" s="210" t="str">
        <f>IF(AND(C32="Skema 3",B32="ti"),Skemaoplysninger!$AI$30,"")</f>
        <v/>
      </c>
      <c r="BS32" s="210" t="str">
        <f>IF(AND(C32="Skema 3",B32="on"),Skemaoplysninger!$AK$30,"")</f>
        <v/>
      </c>
      <c r="BT32" s="210" t="str">
        <f>IF(AND(C32="Skema 3",B32="to"),Skemaoplysninger!$AM$30,"")</f>
        <v/>
      </c>
      <c r="BU32" s="210" t="str">
        <f>IF(AND(C32="Skema 3",B32="fr"),Skemaoplysninger!$AO$30,"")</f>
        <v/>
      </c>
      <c r="BV32" s="210" t="str">
        <f>IF(AND(C32="Skema 4",B32="ma"),Skemaoplysninger!$AU$30,"")</f>
        <v/>
      </c>
      <c r="BW32" s="210" t="str">
        <f>IF(AND(C32="Skema 4",B32="ti"),Skemaoplysninger!$AW$30,"")</f>
        <v/>
      </c>
      <c r="BX32" s="210" t="str">
        <f>IF(AND(C32="Skema 4",B32="on"),Skemaoplysninger!$AY$30,"")</f>
        <v/>
      </c>
      <c r="BY32" s="210" t="str">
        <f>IF(AND(C32="Skema 4",B32="to"),Skemaoplysninger!$BA$30,"")</f>
        <v/>
      </c>
      <c r="BZ32" s="210" t="str">
        <f>IF(AND(C32="Skema 4",B32="fr"),Skemaoplysninger!$BC$30,"")</f>
        <v/>
      </c>
      <c r="CA32" s="1">
        <f t="shared" si="25"/>
        <v>3</v>
      </c>
      <c r="CB32" s="1">
        <f t="shared" si="11"/>
        <v>0</v>
      </c>
      <c r="CC32" s="1">
        <f t="shared" si="12"/>
        <v>0</v>
      </c>
      <c r="CD32" s="210" t="str">
        <f>IF(AND(C32="Skema 1",B32="ma"),Skemaoplysninger!$E$31,"")</f>
        <v/>
      </c>
      <c r="CE32" s="210" t="str">
        <f>IF(AND(C32="Skema 1",B32="ti"),Skemaoplysninger!$G$31,"")</f>
        <v/>
      </c>
      <c r="CF32" s="210" t="str">
        <f>IF(AND(C32="Skema 1",B32="on"),Skemaoplysninger!$I$31,"")</f>
        <v/>
      </c>
      <c r="CG32" s="210" t="str">
        <f>IF(AND(C32="Skema 1",B32="to"),Skemaoplysninger!$K$31,"")</f>
        <v/>
      </c>
      <c r="CH32" s="210" t="str">
        <f>IF(AND(C32="Skema 1",B32="fr"),Skemaoplysninger!$M$31,"")</f>
        <v/>
      </c>
      <c r="CI32" s="210" t="str">
        <f>IF(AND(C32="Skema 2",B32="ma"),Skemaoplysninger!$S$31,"")</f>
        <v/>
      </c>
      <c r="CJ32" s="210" t="str">
        <f>IF(AND(C32="Skema 2",B32="ti"),Skemaoplysninger!$U$31,"")</f>
        <v/>
      </c>
      <c r="CK32" s="210" t="str">
        <f>IF(AND(C32="Skema 2",B32="on"),Skemaoplysninger!$W$31,"")</f>
        <v/>
      </c>
      <c r="CL32" s="210">
        <f>IF(AND(C32="Skema 2",B32="to"),Skemaoplysninger!$Y$31,"")</f>
        <v>3.4722222222222224E-2</v>
      </c>
      <c r="CM32" s="210" t="str">
        <f>IF(AND(C32="Skema 2",B32="fr"),Skemaoplysninger!$AA$31,"")</f>
        <v/>
      </c>
      <c r="CN32" s="210" t="str">
        <f>IF(AND(C32="Skema 3",B32="ma"),Skemaoplysninger!$AG$31,"")</f>
        <v/>
      </c>
      <c r="CO32" s="210" t="str">
        <f>IF(AND(C32="Skema 3",B32="ti"),Skemaoplysninger!$AI$31,"")</f>
        <v/>
      </c>
      <c r="CP32" s="210" t="str">
        <f>IF(AND(C32="Skema 3",B32="on"),Skemaoplysninger!$AK$31,"")</f>
        <v/>
      </c>
      <c r="CQ32" s="210" t="str">
        <f>IF(AND(C32="Skema 3",B32="to"),Skemaoplysninger!$AM$31,"")</f>
        <v/>
      </c>
      <c r="CR32" s="210" t="str">
        <f>IF(AND(C32="Skema 3",B32="fr"),Skemaoplysninger!$AO$31,"")</f>
        <v/>
      </c>
      <c r="CS32" s="210" t="str">
        <f>IF(AND(C32="Skema 4",B32="ma"),Skemaoplysninger!$AU$31,"")</f>
        <v/>
      </c>
      <c r="CT32" s="210" t="str">
        <f>IF(AND(C32="Skema 4",B32="ti"),Skemaoplysninger!$AW$31,"")</f>
        <v/>
      </c>
      <c r="CU32" s="210" t="str">
        <f>IF(AND(C32="Skema 4",B32="on"),Skemaoplysninger!$AY$31,"")</f>
        <v/>
      </c>
      <c r="CV32" s="210" t="str">
        <f>IF(AND(C32="Skema 4",B32="to"),Skemaoplysninger!$BA$31,"")</f>
        <v/>
      </c>
      <c r="CW32" s="210" t="str">
        <f>IF(AND(C32="Skema 4",B32="fr"),Skemaoplysninger!$BC$31,"")</f>
        <v/>
      </c>
      <c r="CX32" s="249">
        <f>IF(Stamoplysninger!$H$29="NEJ",SUM(CD32:CW32)*24+CB32+CC32,0)</f>
        <v>0.83333333333333337</v>
      </c>
      <c r="CY32" s="249">
        <f>IF(C32="Skema 1",Stamoplysninger!$H$30/200,0)</f>
        <v>0</v>
      </c>
      <c r="CZ32" s="249">
        <f>IF(C32="Skema 2",Stamoplysninger!$H$30/200,0)</f>
        <v>0</v>
      </c>
      <c r="DA32" s="249">
        <f>IF(C32="Skema 3",Stamoplysninger!$H$30/200,0)</f>
        <v>0</v>
      </c>
      <c r="DB32" s="249">
        <f>IF(C32="Skema 4",Stamoplysninger!$H$30/200,0)</f>
        <v>0</v>
      </c>
      <c r="DC32" s="249">
        <f>IF(C32="fagdag",Stamoplysninger!$H$30/200,0)</f>
        <v>0</v>
      </c>
      <c r="DD32" s="249">
        <f>IF(C32="emnedag",Stamoplysninger!$H$30/200,0)</f>
        <v>0</v>
      </c>
      <c r="DE32" s="249">
        <f>IF(C32="lejrskole",Stamoplysninger!$H$30/200,0)</f>
        <v>0</v>
      </c>
      <c r="DF32" s="249">
        <f>IF(C32="ekskursion",Stamoplysninger!$H$30/200,0)</f>
        <v>0</v>
      </c>
      <c r="DG32" s="249">
        <f t="shared" si="26"/>
        <v>0</v>
      </c>
      <c r="DH32" t="str">
        <f t="shared" si="27"/>
        <v/>
      </c>
      <c r="DI32">
        <f t="shared" si="28"/>
        <v>0</v>
      </c>
      <c r="DJ32">
        <f t="shared" si="29"/>
        <v>0</v>
      </c>
      <c r="DK32" t="str">
        <f t="shared" si="13"/>
        <v/>
      </c>
      <c r="DL32" t="str">
        <f t="shared" si="13"/>
        <v/>
      </c>
      <c r="DM32" t="str">
        <f t="shared" si="13"/>
        <v/>
      </c>
      <c r="DN32" t="str">
        <f t="shared" si="30"/>
        <v/>
      </c>
      <c r="DO32" s="652">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71">
        <f>IF(AND(Stamoplysninger!$B$22="Ulempetillæg udbetales med 25% af nettotimelønnen.",C32="ikke relevant"),(R32)/4,0)</f>
        <v>0</v>
      </c>
      <c r="DT32" s="671">
        <f>IF(AND(AND(Stamoplysninger!$B$22="Ulempetillæg udbetales med 25% af nettotimelønnen.",I32="X",C32="Ikke relevant")),K32/4,0)</f>
        <v>0</v>
      </c>
      <c r="DU32" s="671">
        <f>IF(AND(AND(Stamoplysninger!$B$22="Ulempetillæg udbetales med 25% af nettotimelønnen.",C32="ikke relevant",U32="X")),(X32/4),0)</f>
        <v>0</v>
      </c>
      <c r="DV32" s="672">
        <f>IF(AND(AND(AND(Stamoplysninger!$B$22="Ulempetillæg udbetales med 25% af nettotimelønnen.",I32="X",C32="Ikke relevant",S32="X"))),V32/4,0)</f>
        <v>0</v>
      </c>
      <c r="DW32" s="652"/>
      <c r="DZ32" s="671"/>
      <c r="EA32" s="671"/>
      <c r="EB32" s="672"/>
      <c r="EC32" s="652">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71">
        <f>IF(AND(Stamoplysninger!$B$22="Ulempetillæg afspadseres med 25%(Kræver en aftale imellem ledelsen og den ansatte)",C32="ikke relevant"),(R32)/4,0)</f>
        <v>0</v>
      </c>
      <c r="EH32" s="671">
        <f>IF(AND(AND(Stamoplysninger!$B$22="Ulempetillæg afspadseres med 25%(Kræver en aftale imellem ledelsen og den ansatte)",I32="X",C32="Ikke relevant")),K32/4,0)</f>
        <v>0</v>
      </c>
      <c r="EI32" s="671">
        <f>IF(AND(AND(Stamoplysninger!$B$22="Ulempetillæg afspadseres med 25%(Kræver en aftale imellem ledelsen og den ansatte)",U32="X",C32="Ikke relevant")),X32/4,0)</f>
        <v>0</v>
      </c>
      <c r="EJ32" s="671">
        <f>IF(AND(AND(AND(Stamoplysninger!$B$22="Ulempetillæg afspadseres med 25%(Kræver en aftale imellem ledelsen og den ansatte)",I32="X",C32="Ikke relevant",S32="X"))),V32/4,0)</f>
        <v>0</v>
      </c>
      <c r="EK32" s="283">
        <f>IF(AND(Stamoplysninger!$B$26="Weekendtimer og weekendtillæg afspadseres.",I32="X"),K32*1.5,0)</f>
        <v>0</v>
      </c>
      <c r="EL32" s="251">
        <f>IF(AND(AND(Stamoplysninger!$B$26="Weekendtimer og weekendtillæg afspadseres.",I32="X",S32="X")),V32*1.5,0)</f>
        <v>0</v>
      </c>
      <c r="EM32" s="674">
        <f>IF(AND(AND(Stamoplysninger!$B$26="Weekendtimer og weekendtillæg afspadseres.",I32="X",C32="ikke relevant")),K32*1.5,0)</f>
        <v>0</v>
      </c>
      <c r="EN32" s="675">
        <f>IF(AND(AND(AND(Stamoplysninger!$B$26="Weekendtimer og weekendtillæg afspadseres.",I32="X",C32="ikke relevant",S32="X"))),(V32*1.5),0)</f>
        <v>0</v>
      </c>
      <c r="EO32" s="283">
        <f>IF(AND(Stamoplysninger!$B$26="Weekendtimer og weekendtillæg udbetales.",I32="X"),K32*1.5,0)</f>
        <v>0</v>
      </c>
      <c r="EP32" s="251">
        <f>IF(AND(AND(Stamoplysninger!$B$26="Weekendtimer og weekendtillæg udbetales.",I32="X",S32="X")),V32*1.5,0)</f>
        <v>0</v>
      </c>
      <c r="EQ32" s="674">
        <f>IF(AND(AND(Stamoplysninger!$B$26="Weekendtimer og weekendtillæg udbetales.",I32="X",C32="ikke relevant")),K32*1.5,0)</f>
        <v>0</v>
      </c>
      <c r="ER32" s="675">
        <f>IF(AND(AND(AND(Stamoplysninger!$B$26="Weekendtimer og weekendtillæg udbetales.",I32="X",C32="ikke relevant",S32="X"))),(V32*1.5),0)</f>
        <v>0</v>
      </c>
      <c r="ES32" s="283">
        <f>IF(AND(Stamoplysninger!$B$26="Der er indgået lokalaftale omkring weekendtimer.(Kræver aftale med TR/FSL) Weekendtillæg afspadseres.",I32="X"),K32*0.5,0)</f>
        <v>0</v>
      </c>
      <c r="ET32" s="251">
        <f>IF(AND(AND(Stamoplysninger!$B$26="Der er indgået lokalaftale omkring weekendtimer.(Kræver aftale med TR/FSL) Weekendtillæg afspadseres.",I32="X",S32="X")),V32*0.5,0)</f>
        <v>0</v>
      </c>
      <c r="EU32" s="674">
        <f>IF(AND(AND(Stamoplysninger!$B$26="Der er indgået lokalaftale omkring weekendtimer.(Kræver aftale med TR/FSL) Weekendtillæg afspadseres.",I32="X",C32="ikke relevant")),K32*0.5,0)</f>
        <v>0</v>
      </c>
      <c r="EV32" s="675">
        <f>IF(AND(AND(AND(Stamoplysninger!$B$26="Der er indgået lokalaftale omkring weekendtimer.(Kræver aftale med TR/FSL) Weekendtillæg afspadseres.",I32="X",C32="ikke relevant",S32="X"))),(V32*0.5),0)</f>
        <v>0</v>
      </c>
      <c r="EW32" s="283">
        <f>IF(AND(Stamoplysninger!$B$26="Der er indgået lokalaftale omkring weekendtimer(Kræver aftale med TR/FSL). Weekendtillæg udbetales.",I32="X"),K32*0.5,0)</f>
        <v>0</v>
      </c>
      <c r="EX32" s="251">
        <f>IF(AND(AND(Stamoplysninger!$B$26="Der er indgået lokalaftale omkring weekendtimer(Kræver aftale med TR/FSL). Weekendtillæg udbetales.",I32="X",S32="X")),V32*0.5,0)</f>
        <v>0</v>
      </c>
      <c r="EY32" s="674">
        <f>IF(AND(AND(Stamoplysninger!$B$26="Der er indgået lokalaftale omkring weekendtimer(Kræver aftale med TR/FSL). Weekendtillæg udbetales.",I32="X",C32="ikke relevant")),K32*0.5,0)</f>
        <v>0</v>
      </c>
      <c r="EZ32" s="675">
        <f>IF(AND(AND(AND(Stamoplysninger!$B$26="Der er indgået lokalaftale omkring weekendtimer(Kræver aftale med TR/FSL). Weekendtillæg udbetales.",I32="X",C32="ikke relevant",S32="X"))),(V32*0.5),0)</f>
        <v>0</v>
      </c>
      <c r="FA32" s="283">
        <f>IF(AND(Stamoplysninger!$B$26="Der er indgået lokalaftale omkring weekendtillæg(Kræver aftale med TR/FSL). Weekendtimerne afspadseres.",I32="X"),K32,0)</f>
        <v>0</v>
      </c>
      <c r="FB32" s="251">
        <f>IF(AND(AND(Stamoplysninger!$B$26="Der er indgået lokalaftale omkring weekendtillæg(Kræver aftale med TR/FSL). Weekendtimerne afspadseres.",I32="X",S32="X")),V32,0)</f>
        <v>0</v>
      </c>
      <c r="FC32" s="674">
        <f>IF(AND(AND(Stamoplysninger!$B$26="Der er indgået lokalaftale omkring weekendtillæg(Kræver aftale med TR/FSL). Weekendtimerne afspadseres..",I32="X",C32="ikke relevant")),K32,0)</f>
        <v>0</v>
      </c>
      <c r="FD32" s="675">
        <f>IF(AND(AND(AND(Stamoplysninger!$B$26="Der er indgået lokalaftale omkring weekendtillæg(Kræver aftale med TR/FSL). Weekendtimerne afspadseres.",I32="X",C32="ikke relevant",S32="X"))),(V32),0)</f>
        <v>0</v>
      </c>
      <c r="FE32" s="283">
        <f>IF(AND(Stamoplysninger!$B$26="Der er indgået lokalaftale omkring weekendtillæg(Kræver aftale med TR/FSL). Weekendtimerne udbetales.",I32="X"),K32,0)</f>
        <v>0</v>
      </c>
      <c r="FF32" s="251">
        <f>IF(AND(AND(Stamoplysninger!$B$26="Der er indgået lokalaftale omkring weekendtillæg(Kræver aftale med TR/FSL). Weekendtimerne udbetales.",I32="X",S32="X")),V32,0)</f>
        <v>0</v>
      </c>
      <c r="FG32" s="674">
        <f>IF(AND(AND(Stamoplysninger!$B$26="Der er indgået lokalaftale omkring weekendtillæg(Kræver aftale med TR/FSL). Weekendtimerne udbetales.",I32="X",C32="ikke relevant")),K32,0)</f>
        <v>0</v>
      </c>
      <c r="FH32" s="675">
        <f>IF(AND(AND(AND(Stamoplysninger!$B$26="Der er indgået lokalaftale omkring weekendtillæg(Kræver aftale med TR/FSL). Weekendtimerne udbetales.",I32="X",C32="ikke relevant",S32="X"))),(V32),0)</f>
        <v>0</v>
      </c>
      <c r="FI32" s="283">
        <f>IF(AND(Stamoplysninger!$B$26="Weekendtimer og weekendtillæg afspadseres.",I32="X"),K32,0)</f>
        <v>0</v>
      </c>
      <c r="FJ32" s="251">
        <f>IF(AND(Stamoplysninger!$B$26="Weekendtimer og weekendtillæg afspadseres.",Y32="X"),(AA32+AL32)/2,0)</f>
        <v>0</v>
      </c>
      <c r="FK32" s="674">
        <f>IF(AND(AND(Stamoplysninger!$B$26="Weekendtimer og weekendtillæg afspadseres.",I32="X",C32="ikke relevant")),K32,0)</f>
        <v>0</v>
      </c>
      <c r="FL32" s="675">
        <f>IF(AND(AND(Stamoplysninger!$B$26="Weekendtimer og weekendtillæg afspadseres.",Y32="X",S32="ikke relevant")),(AA32+AL32)/2,0)</f>
        <v>0</v>
      </c>
      <c r="FM32" s="283">
        <f>IF(AND(Stamoplysninger!$B$26="Der er indgået lokalaftale omkring weekendtillæg(Kræver aftale med TR/FSL). Weekendtimerne afspadseres.",I32="X"),K32,0)</f>
        <v>0</v>
      </c>
      <c r="FN32" s="674">
        <f>IF(AND(AND(Stamoplysninger!$B$26="Der er indgået lokalaftale omkring weekendtillæg(Kræver aftale med TR/FSL). Weekendtimerne afspadseres.",I32="X",C32="ikke relevant")),K32,0)</f>
        <v>0</v>
      </c>
      <c r="FO32" s="283">
        <f>IF(AND(Stamoplysninger!$B$26="Weekendtimer og weekendtillæg udbetales.",I32="X"),K32,0)</f>
        <v>0</v>
      </c>
      <c r="FP32" s="251">
        <f>IF(AND(Stamoplysninger!$B$26="Weekendtimer og weekendtillæg udbetales.",AA32="X"),(AC32+AN32)/2,0)</f>
        <v>0</v>
      </c>
      <c r="FQ32" s="674">
        <f>IF(AND(AND(Stamoplysninger!$B$26="Weekendtimer og weekendtillæg udbetales.",I32="X",C32="ikke relevant")),K32,0)</f>
        <v>0</v>
      </c>
      <c r="FR32" s="688">
        <f>IF(AND(AND(Stamoplysninger!$B$26="Weekendtimer og weekendtillæg udbetales.",AA32="X",U32="ikke relevant")),(AC32+AN32)/2,0)</f>
        <v>0</v>
      </c>
      <c r="FS32" s="283">
        <f t="shared" si="14"/>
        <v>0</v>
      </c>
      <c r="FT32" s="658">
        <f t="shared" si="15"/>
        <v>0</v>
      </c>
      <c r="FU32">
        <f t="shared" si="31"/>
        <v>0</v>
      </c>
      <c r="FV32" s="283">
        <f>IF(AND(Stamoplysninger!$B$26="Der er indgået lokalaftale omkring weekendtimer.(Kræver aftale med TR/FSL) Weekendtillæg afspadseres.",I32="X"),K32,0)</f>
        <v>0</v>
      </c>
      <c r="FW32" s="674">
        <f>IF(AND(AND(Stamoplysninger!$B$26="Der er indgået lokalaftale omkring weekendtimer.(Kræver aftale med TR/FSL) Weekendtillæg afspadseres.",I32="X",C32="ikke relevant")),K32,0)</f>
        <v>0</v>
      </c>
      <c r="FX32" s="283">
        <f>IF(AND(Stamoplysninger!$B$26="Der er indgået lokalaftale omkring weekendtimer(Kræver aftale med TR/FSL). Weekendtillæg udbetales.",I32="X"),K32,0)</f>
        <v>0</v>
      </c>
      <c r="FY32" s="674">
        <f>IF(AND(AND(Stamoplysninger!$B$26="Der er indgået lokalaftale omkring weekendtimer(Kræver aftale med TR/FSL). Weekendtillæg udbetales.",I32="X",C32="ikke relevant")),K32,0)</f>
        <v>0</v>
      </c>
      <c r="FZ32" s="283">
        <f>IF(AND(Stamoplysninger!$B$26="Der er indgået lokalaftale omkring weekendtillæg(Kræver aftale med TR/FSL). Weekendtimerne udbetales.",I32="X"),K32,0)</f>
        <v>0</v>
      </c>
      <c r="GA32" s="674">
        <f>IF(AND(AND(Stamoplysninger!$B$26="Der er indgået lokalaftale omkring weekendtillæg(Kræver aftale med TR/FSL). Weekendtimerne udbetales.",I32="X",C32="ikke relevant")),K32,0)</f>
        <v>0</v>
      </c>
      <c r="GB32" s="283">
        <f>IF(AND(Stamoplysninger!$B$26="Der er indgået lokalaftale omkring weekendtimer og weekendtillæg.(Kræver aftale med TR/FSL).",I32="X"),K32,0)</f>
        <v>0</v>
      </c>
      <c r="GC32" s="674">
        <f>IF(AND(AND(Stamoplysninger!$B$26="Der er indgået lokalaftale omkring weekendtimer og weekendtillæg.(Kræver aftale med TR/FSL).",I32="X",C32="ikke relevant")),K32,0)</f>
        <v>0</v>
      </c>
    </row>
    <row r="33" spans="1:185">
      <c r="A33" s="245">
        <f t="shared" si="17"/>
        <v>25</v>
      </c>
      <c r="B33" s="128" t="str">
        <f t="shared" si="0"/>
        <v>fr</v>
      </c>
      <c r="C33" s="129" t="s">
        <v>207</v>
      </c>
      <c r="D33" s="130" t="str">
        <f t="shared" si="1"/>
        <v/>
      </c>
      <c r="E33" s="917"/>
      <c r="F33" s="918"/>
      <c r="G33" s="919"/>
      <c r="H33" s="298"/>
      <c r="I33" s="527"/>
      <c r="J33" s="413"/>
      <c r="K33" s="380"/>
      <c r="L33" s="380"/>
      <c r="M33" s="380"/>
      <c r="N33" s="318">
        <f t="shared" si="18"/>
        <v>7</v>
      </c>
      <c r="O33" s="318">
        <f t="shared" si="19"/>
        <v>3</v>
      </c>
      <c r="P33" s="318">
        <f>IF(Stamoplysninger!$H$29="JA",April!DG33,CX33)</f>
        <v>0.83333333333333337</v>
      </c>
      <c r="Q33" s="318">
        <f t="shared" si="20"/>
        <v>3.1666666666666665</v>
      </c>
      <c r="R33" s="319"/>
      <c r="S33" s="324"/>
      <c r="T33" s="325"/>
      <c r="U33" s="325"/>
      <c r="V33" s="435"/>
      <c r="W33" s="435"/>
      <c r="X33" s="644"/>
      <c r="Y33">
        <f t="shared" si="21"/>
        <v>0</v>
      </c>
      <c r="Z33" s="437">
        <f t="shared" si="22"/>
        <v>0</v>
      </c>
      <c r="AA33" s="1">
        <f t="shared" si="2"/>
        <v>0</v>
      </c>
      <c r="AB33" s="1">
        <f t="shared" si="3"/>
        <v>0</v>
      </c>
      <c r="AC33" s="1">
        <f t="shared" si="4"/>
        <v>0</v>
      </c>
      <c r="AD33" s="1">
        <f t="shared" si="5"/>
        <v>0</v>
      </c>
      <c r="AE33" s="1">
        <f t="shared" si="6"/>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f>IF(AND(C33="Skema 2",B33="fr"),Arbejdstidsoversigt!$E$85,"")</f>
        <v>7</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7</v>
      </c>
      <c r="BB33" s="229">
        <f t="shared" si="7"/>
        <v>0</v>
      </c>
      <c r="BC33" s="1">
        <f t="shared" si="24"/>
        <v>0</v>
      </c>
      <c r="BD33" s="1">
        <f t="shared" si="8"/>
        <v>0</v>
      </c>
      <c r="BE33" s="1">
        <f t="shared" si="9"/>
        <v>0</v>
      </c>
      <c r="BF33" s="1">
        <f t="shared" si="10"/>
        <v>0</v>
      </c>
      <c r="BG33" s="210" t="str">
        <f>IF(AND(C33="Skema 1",B33="ma"),Skemaoplysninger!$E$30,"")</f>
        <v/>
      </c>
      <c r="BH33" s="210" t="str">
        <f>IF(AND(C33="Skema 1",B33="ti"),Skemaoplysninger!$G$30,"")</f>
        <v/>
      </c>
      <c r="BI33" s="210" t="str">
        <f>IF(AND(C33="Skema 1",B33="on"),Skemaoplysninger!$I$30,"")</f>
        <v/>
      </c>
      <c r="BJ33" s="210" t="str">
        <f>IF(AND(C33="Skema 1",B33="to"),Skemaoplysninger!$K$30,"")</f>
        <v/>
      </c>
      <c r="BK33" s="210" t="str">
        <f>IF(AND(C33="Skema 1",B33="fr"),Skemaoplysninger!$M$30,"")</f>
        <v/>
      </c>
      <c r="BL33" s="210" t="str">
        <f>IF(AND(C33="Skema 2",B33="ma"),Skemaoplysninger!$S$30,"")</f>
        <v/>
      </c>
      <c r="BM33" s="210" t="str">
        <f>IF(AND(C33="Skema 2",B33="ti"),Skemaoplysninger!$U$30,"")</f>
        <v/>
      </c>
      <c r="BN33" s="210" t="str">
        <f>IF(AND(C33="Skema 2",B33="on"),Skemaoplysninger!$W$30,"")</f>
        <v/>
      </c>
      <c r="BO33" s="210" t="str">
        <f>IF(AND(C33="Skema 2",B33="to"),Skemaoplysninger!$Y$30,"")</f>
        <v/>
      </c>
      <c r="BP33" s="210">
        <f>IF(AND(C33="Skema 2",B33="fr"),Skemaoplysninger!$AA$30,"")</f>
        <v>0.125</v>
      </c>
      <c r="BQ33" s="210" t="str">
        <f>IF(AND(C33="Skema 3",B33="ma"),Skemaoplysninger!$AG$30,"")</f>
        <v/>
      </c>
      <c r="BR33" s="210" t="str">
        <f>IF(AND(C33="Skema 3",B33="ti"),Skemaoplysninger!$AI$30,"")</f>
        <v/>
      </c>
      <c r="BS33" s="210" t="str">
        <f>IF(AND(C33="Skema 3",B33="on"),Skemaoplysninger!$AK$30,"")</f>
        <v/>
      </c>
      <c r="BT33" s="210" t="str">
        <f>IF(AND(C33="Skema 3",B33="to"),Skemaoplysninger!$AM$30,"")</f>
        <v/>
      </c>
      <c r="BU33" s="210" t="str">
        <f>IF(AND(C33="Skema 3",B33="fr"),Skemaoplysninger!$AO$30,"")</f>
        <v/>
      </c>
      <c r="BV33" s="210" t="str">
        <f>IF(AND(C33="Skema 4",B33="ma"),Skemaoplysninger!$AU$30,"")</f>
        <v/>
      </c>
      <c r="BW33" s="210" t="str">
        <f>IF(AND(C33="Skema 4",B33="ti"),Skemaoplysninger!$AW$30,"")</f>
        <v/>
      </c>
      <c r="BX33" s="210" t="str">
        <f>IF(AND(C33="Skema 4",B33="on"),Skemaoplysninger!$AY$30,"")</f>
        <v/>
      </c>
      <c r="BY33" s="210" t="str">
        <f>IF(AND(C33="Skema 4",B33="to"),Skemaoplysninger!$BA$30,"")</f>
        <v/>
      </c>
      <c r="BZ33" s="210" t="str">
        <f>IF(AND(C33="Skema 4",B33="fr"),Skemaoplysninger!$BC$30,"")</f>
        <v/>
      </c>
      <c r="CA33" s="1">
        <f t="shared" si="25"/>
        <v>3</v>
      </c>
      <c r="CB33" s="1">
        <f t="shared" si="11"/>
        <v>0</v>
      </c>
      <c r="CC33" s="1">
        <f t="shared" si="12"/>
        <v>0</v>
      </c>
      <c r="CD33" s="210" t="str">
        <f>IF(AND(C33="Skema 1",B33="ma"),Skemaoplysninger!$E$31,"")</f>
        <v/>
      </c>
      <c r="CE33" s="210" t="str">
        <f>IF(AND(C33="Skema 1",B33="ti"),Skemaoplysninger!$G$31,"")</f>
        <v/>
      </c>
      <c r="CF33" s="210" t="str">
        <f>IF(AND(C33="Skema 1",B33="on"),Skemaoplysninger!$I$31,"")</f>
        <v/>
      </c>
      <c r="CG33" s="210" t="str">
        <f>IF(AND(C33="Skema 1",B33="to"),Skemaoplysninger!$K$31,"")</f>
        <v/>
      </c>
      <c r="CH33" s="210" t="str">
        <f>IF(AND(C33="Skema 1",B33="fr"),Skemaoplysninger!$M$31,"")</f>
        <v/>
      </c>
      <c r="CI33" s="210" t="str">
        <f>IF(AND(C33="Skema 2",B33="ma"),Skemaoplysninger!$S$31,"")</f>
        <v/>
      </c>
      <c r="CJ33" s="210" t="str">
        <f>IF(AND(C33="Skema 2",B33="ti"),Skemaoplysninger!$U$31,"")</f>
        <v/>
      </c>
      <c r="CK33" s="210" t="str">
        <f>IF(AND(C33="Skema 2",B33="on"),Skemaoplysninger!$W$31,"")</f>
        <v/>
      </c>
      <c r="CL33" s="210" t="str">
        <f>IF(AND(C33="Skema 2",B33="to"),Skemaoplysninger!$Y$31,"")</f>
        <v/>
      </c>
      <c r="CM33" s="210">
        <f>IF(AND(C33="Skema 2",B33="fr"),Skemaoplysninger!$AA$31,"")</f>
        <v>3.4722222222222224E-2</v>
      </c>
      <c r="CN33" s="210" t="str">
        <f>IF(AND(C33="Skema 3",B33="ma"),Skemaoplysninger!$AG$31,"")</f>
        <v/>
      </c>
      <c r="CO33" s="210" t="str">
        <f>IF(AND(C33="Skema 3",B33="ti"),Skemaoplysninger!$AI$31,"")</f>
        <v/>
      </c>
      <c r="CP33" s="210" t="str">
        <f>IF(AND(C33="Skema 3",B33="on"),Skemaoplysninger!$AK$31,"")</f>
        <v/>
      </c>
      <c r="CQ33" s="210" t="str">
        <f>IF(AND(C33="Skema 3",B33="to"),Skemaoplysninger!$AM$31,"")</f>
        <v/>
      </c>
      <c r="CR33" s="210" t="str">
        <f>IF(AND(C33="Skema 3",B33="fr"),Skemaoplysninger!$AO$31,"")</f>
        <v/>
      </c>
      <c r="CS33" s="210" t="str">
        <f>IF(AND(C33="Skema 4",B33="ma"),Skemaoplysninger!$AU$31,"")</f>
        <v/>
      </c>
      <c r="CT33" s="210" t="str">
        <f>IF(AND(C33="Skema 4",B33="ti"),Skemaoplysninger!$AW$31,"")</f>
        <v/>
      </c>
      <c r="CU33" s="210" t="str">
        <f>IF(AND(C33="Skema 4",B33="on"),Skemaoplysninger!$AY$31,"")</f>
        <v/>
      </c>
      <c r="CV33" s="210" t="str">
        <f>IF(AND(C33="Skema 4",B33="to"),Skemaoplysninger!$BA$31,"")</f>
        <v/>
      </c>
      <c r="CW33" s="210" t="str">
        <f>IF(AND(C33="Skema 4",B33="fr"),Skemaoplysninger!$BC$31,"")</f>
        <v/>
      </c>
      <c r="CX33" s="249">
        <f>IF(Stamoplysninger!$H$29="NEJ",SUM(CD33:CW33)*24+CB33+CC33,0)</f>
        <v>0.83333333333333337</v>
      </c>
      <c r="CY33" s="249">
        <f>IF(C33="Skema 1",Stamoplysninger!$H$30/200,0)</f>
        <v>0</v>
      </c>
      <c r="CZ33" s="249">
        <f>IF(C33="Skema 2",Stamoplysninger!$H$30/200,0)</f>
        <v>0</v>
      </c>
      <c r="DA33" s="249">
        <f>IF(C33="Skema 3",Stamoplysninger!$H$30/200,0)</f>
        <v>0</v>
      </c>
      <c r="DB33" s="249">
        <f>IF(C33="Skema 4",Stamoplysninger!$H$30/200,0)</f>
        <v>0</v>
      </c>
      <c r="DC33" s="249">
        <f>IF(C33="fagdag",Stamoplysninger!$H$30/200,0)</f>
        <v>0</v>
      </c>
      <c r="DD33" s="249">
        <f>IF(C33="emnedag",Stamoplysninger!$H$30/200,0)</f>
        <v>0</v>
      </c>
      <c r="DE33" s="249">
        <f>IF(C33="lejrskole",Stamoplysninger!$H$30/200,0)</f>
        <v>0</v>
      </c>
      <c r="DF33" s="249">
        <f>IF(C33="ekskursion",Stamoplysninger!$H$30/200,0)</f>
        <v>0</v>
      </c>
      <c r="DG33" s="249">
        <f t="shared" si="26"/>
        <v>0</v>
      </c>
      <c r="DH33" t="str">
        <f t="shared" si="27"/>
        <v/>
      </c>
      <c r="DI33">
        <f t="shared" si="28"/>
        <v>0</v>
      </c>
      <c r="DJ33">
        <f t="shared" si="29"/>
        <v>0</v>
      </c>
      <c r="DK33" t="str">
        <f t="shared" si="13"/>
        <v/>
      </c>
      <c r="DL33" t="str">
        <f t="shared" si="13"/>
        <v/>
      </c>
      <c r="DM33" t="str">
        <f t="shared" si="13"/>
        <v/>
      </c>
      <c r="DN33" t="str">
        <f t="shared" si="30"/>
        <v/>
      </c>
      <c r="DO33" s="652">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71">
        <f>IF(AND(Stamoplysninger!$B$22="Ulempetillæg udbetales med 25% af nettotimelønnen.",C33="ikke relevant"),(R33)/4,0)</f>
        <v>0</v>
      </c>
      <c r="DT33" s="671">
        <f>IF(AND(AND(Stamoplysninger!$B$22="Ulempetillæg udbetales med 25% af nettotimelønnen.",I33="X",C33="Ikke relevant")),K33/4,0)</f>
        <v>0</v>
      </c>
      <c r="DU33" s="671">
        <f>IF(AND(AND(Stamoplysninger!$B$22="Ulempetillæg udbetales med 25% af nettotimelønnen.",C33="ikke relevant",U33="X")),(X33/4),0)</f>
        <v>0</v>
      </c>
      <c r="DV33" s="672">
        <f>IF(AND(AND(AND(Stamoplysninger!$B$22="Ulempetillæg udbetales med 25% af nettotimelønnen.",I33="X",C33="Ikke relevant",S33="X"))),V33/4,0)</f>
        <v>0</v>
      </c>
      <c r="DW33" s="652"/>
      <c r="DZ33" s="671"/>
      <c r="EA33" s="671"/>
      <c r="EB33" s="672"/>
      <c r="EC33" s="652">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71">
        <f>IF(AND(Stamoplysninger!$B$22="Ulempetillæg afspadseres med 25%(Kræver en aftale imellem ledelsen og den ansatte)",C33="ikke relevant"),(R33)/4,0)</f>
        <v>0</v>
      </c>
      <c r="EH33" s="671">
        <f>IF(AND(AND(Stamoplysninger!$B$22="Ulempetillæg afspadseres med 25%(Kræver en aftale imellem ledelsen og den ansatte)",I33="X",C33="Ikke relevant")),K33/4,0)</f>
        <v>0</v>
      </c>
      <c r="EI33" s="671">
        <f>IF(AND(AND(Stamoplysninger!$B$22="Ulempetillæg afspadseres med 25%(Kræver en aftale imellem ledelsen og den ansatte)",U33="X",C33="Ikke relevant")),X33/4,0)</f>
        <v>0</v>
      </c>
      <c r="EJ33" s="671">
        <f>IF(AND(AND(AND(Stamoplysninger!$B$22="Ulempetillæg afspadseres med 25%(Kræver en aftale imellem ledelsen og den ansatte)",I33="X",C33="Ikke relevant",S33="X"))),V33/4,0)</f>
        <v>0</v>
      </c>
      <c r="EK33" s="283">
        <f>IF(AND(Stamoplysninger!$B$26="Weekendtimer og weekendtillæg afspadseres.",I33="X"),K33*1.5,0)</f>
        <v>0</v>
      </c>
      <c r="EL33" s="251">
        <f>IF(AND(AND(Stamoplysninger!$B$26="Weekendtimer og weekendtillæg afspadseres.",I33="X",S33="X")),V33*1.5,0)</f>
        <v>0</v>
      </c>
      <c r="EM33" s="674">
        <f>IF(AND(AND(Stamoplysninger!$B$26="Weekendtimer og weekendtillæg afspadseres.",I33="X",C33="ikke relevant")),K33*1.5,0)</f>
        <v>0</v>
      </c>
      <c r="EN33" s="675">
        <f>IF(AND(AND(AND(Stamoplysninger!$B$26="Weekendtimer og weekendtillæg afspadseres.",I33="X",C33="ikke relevant",S33="X"))),(V33*1.5),0)</f>
        <v>0</v>
      </c>
      <c r="EO33" s="283">
        <f>IF(AND(Stamoplysninger!$B$26="Weekendtimer og weekendtillæg udbetales.",I33="X"),K33*1.5,0)</f>
        <v>0</v>
      </c>
      <c r="EP33" s="251">
        <f>IF(AND(AND(Stamoplysninger!$B$26="Weekendtimer og weekendtillæg udbetales.",I33="X",S33="X")),V33*1.5,0)</f>
        <v>0</v>
      </c>
      <c r="EQ33" s="674">
        <f>IF(AND(AND(Stamoplysninger!$B$26="Weekendtimer og weekendtillæg udbetales.",I33="X",C33="ikke relevant")),K33*1.5,0)</f>
        <v>0</v>
      </c>
      <c r="ER33" s="675">
        <f>IF(AND(AND(AND(Stamoplysninger!$B$26="Weekendtimer og weekendtillæg udbetales.",I33="X",C33="ikke relevant",S33="X"))),(V33*1.5),0)</f>
        <v>0</v>
      </c>
      <c r="ES33" s="283">
        <f>IF(AND(Stamoplysninger!$B$26="Der er indgået lokalaftale omkring weekendtimer.(Kræver aftale med TR/FSL) Weekendtillæg afspadseres.",I33="X"),K33*0.5,0)</f>
        <v>0</v>
      </c>
      <c r="ET33" s="251">
        <f>IF(AND(AND(Stamoplysninger!$B$26="Der er indgået lokalaftale omkring weekendtimer.(Kræver aftale med TR/FSL) Weekendtillæg afspadseres.",I33="X",S33="X")),V33*0.5,0)</f>
        <v>0</v>
      </c>
      <c r="EU33" s="674">
        <f>IF(AND(AND(Stamoplysninger!$B$26="Der er indgået lokalaftale omkring weekendtimer.(Kræver aftale med TR/FSL) Weekendtillæg afspadseres.",I33="X",C33="ikke relevant")),K33*0.5,0)</f>
        <v>0</v>
      </c>
      <c r="EV33" s="675">
        <f>IF(AND(AND(AND(Stamoplysninger!$B$26="Der er indgået lokalaftale omkring weekendtimer.(Kræver aftale med TR/FSL) Weekendtillæg afspadseres.",I33="X",C33="ikke relevant",S33="X"))),(V33*0.5),0)</f>
        <v>0</v>
      </c>
      <c r="EW33" s="283">
        <f>IF(AND(Stamoplysninger!$B$26="Der er indgået lokalaftale omkring weekendtimer(Kræver aftale med TR/FSL). Weekendtillæg udbetales.",I33="X"),K33*0.5,0)</f>
        <v>0</v>
      </c>
      <c r="EX33" s="251">
        <f>IF(AND(AND(Stamoplysninger!$B$26="Der er indgået lokalaftale omkring weekendtimer(Kræver aftale med TR/FSL). Weekendtillæg udbetales.",I33="X",S33="X")),V33*0.5,0)</f>
        <v>0</v>
      </c>
      <c r="EY33" s="674">
        <f>IF(AND(AND(Stamoplysninger!$B$26="Der er indgået lokalaftale omkring weekendtimer(Kræver aftale med TR/FSL). Weekendtillæg udbetales.",I33="X",C33="ikke relevant")),K33*0.5,0)</f>
        <v>0</v>
      </c>
      <c r="EZ33" s="675">
        <f>IF(AND(AND(AND(Stamoplysninger!$B$26="Der er indgået lokalaftale omkring weekendtimer(Kræver aftale med TR/FSL). Weekendtillæg udbetales.",I33="X",C33="ikke relevant",S33="X"))),(V33*0.5),0)</f>
        <v>0</v>
      </c>
      <c r="FA33" s="283">
        <f>IF(AND(Stamoplysninger!$B$26="Der er indgået lokalaftale omkring weekendtillæg(Kræver aftale med TR/FSL). Weekendtimerne afspadseres.",I33="X"),K33,0)</f>
        <v>0</v>
      </c>
      <c r="FB33" s="251">
        <f>IF(AND(AND(Stamoplysninger!$B$26="Der er indgået lokalaftale omkring weekendtillæg(Kræver aftale med TR/FSL). Weekendtimerne afspadseres.",I33="X",S33="X")),V33,0)</f>
        <v>0</v>
      </c>
      <c r="FC33" s="674">
        <f>IF(AND(AND(Stamoplysninger!$B$26="Der er indgået lokalaftale omkring weekendtillæg(Kræver aftale med TR/FSL). Weekendtimerne afspadseres..",I33="X",C33="ikke relevant")),K33,0)</f>
        <v>0</v>
      </c>
      <c r="FD33" s="675">
        <f>IF(AND(AND(AND(Stamoplysninger!$B$26="Der er indgået lokalaftale omkring weekendtillæg(Kræver aftale med TR/FSL). Weekendtimerne afspadseres.",I33="X",C33="ikke relevant",S33="X"))),(V33),0)</f>
        <v>0</v>
      </c>
      <c r="FE33" s="283">
        <f>IF(AND(Stamoplysninger!$B$26="Der er indgået lokalaftale omkring weekendtillæg(Kræver aftale med TR/FSL). Weekendtimerne udbetales.",I33="X"),K33,0)</f>
        <v>0</v>
      </c>
      <c r="FF33" s="251">
        <f>IF(AND(AND(Stamoplysninger!$B$26="Der er indgået lokalaftale omkring weekendtillæg(Kræver aftale med TR/FSL). Weekendtimerne udbetales.",I33="X",S33="X")),V33,0)</f>
        <v>0</v>
      </c>
      <c r="FG33" s="674">
        <f>IF(AND(AND(Stamoplysninger!$B$26="Der er indgået lokalaftale omkring weekendtillæg(Kræver aftale med TR/FSL). Weekendtimerne udbetales.",I33="X",C33="ikke relevant")),K33,0)</f>
        <v>0</v>
      </c>
      <c r="FH33" s="675">
        <f>IF(AND(AND(AND(Stamoplysninger!$B$26="Der er indgået lokalaftale omkring weekendtillæg(Kræver aftale med TR/FSL). Weekendtimerne udbetales.",I33="X",C33="ikke relevant",S33="X"))),(V33),0)</f>
        <v>0</v>
      </c>
      <c r="FI33" s="283">
        <f>IF(AND(Stamoplysninger!$B$26="Weekendtimer og weekendtillæg afspadseres.",I33="X"),K33,0)</f>
        <v>0</v>
      </c>
      <c r="FJ33" s="251">
        <f>IF(AND(Stamoplysninger!$B$26="Weekendtimer og weekendtillæg afspadseres.",Y33="X"),(AA33+AL33)/2,0)</f>
        <v>0</v>
      </c>
      <c r="FK33" s="674">
        <f>IF(AND(AND(Stamoplysninger!$B$26="Weekendtimer og weekendtillæg afspadseres.",I33="X",C33="ikke relevant")),K33,0)</f>
        <v>0</v>
      </c>
      <c r="FL33" s="675">
        <f>IF(AND(AND(Stamoplysninger!$B$26="Weekendtimer og weekendtillæg afspadseres.",Y33="X",S33="ikke relevant")),(AA33+AL33)/2,0)</f>
        <v>0</v>
      </c>
      <c r="FM33" s="283">
        <f>IF(AND(Stamoplysninger!$B$26="Der er indgået lokalaftale omkring weekendtillæg(Kræver aftale med TR/FSL). Weekendtimerne afspadseres.",I33="X"),K33,0)</f>
        <v>0</v>
      </c>
      <c r="FN33" s="674">
        <f>IF(AND(AND(Stamoplysninger!$B$26="Der er indgået lokalaftale omkring weekendtillæg(Kræver aftale med TR/FSL). Weekendtimerne afspadseres.",I33="X",C33="ikke relevant")),K33,0)</f>
        <v>0</v>
      </c>
      <c r="FO33" s="283">
        <f>IF(AND(Stamoplysninger!$B$26="Weekendtimer og weekendtillæg udbetales.",I33="X"),K33,0)</f>
        <v>0</v>
      </c>
      <c r="FP33" s="251">
        <f>IF(AND(Stamoplysninger!$B$26="Weekendtimer og weekendtillæg udbetales.",AA33="X"),(AC33+AN33)/2,0)</f>
        <v>0</v>
      </c>
      <c r="FQ33" s="674">
        <f>IF(AND(AND(Stamoplysninger!$B$26="Weekendtimer og weekendtillæg udbetales.",I33="X",C33="ikke relevant")),K33,0)</f>
        <v>0</v>
      </c>
      <c r="FR33" s="688">
        <f>IF(AND(AND(Stamoplysninger!$B$26="Weekendtimer og weekendtillæg udbetales.",AA33="X",U33="ikke relevant")),(AC33+AN33)/2,0)</f>
        <v>0</v>
      </c>
      <c r="FS33" s="283">
        <f t="shared" si="14"/>
        <v>0</v>
      </c>
      <c r="FT33" s="658">
        <f t="shared" si="15"/>
        <v>0</v>
      </c>
      <c r="FU33">
        <f t="shared" si="31"/>
        <v>0</v>
      </c>
      <c r="FV33" s="283">
        <f>IF(AND(Stamoplysninger!$B$26="Der er indgået lokalaftale omkring weekendtimer.(Kræver aftale med TR/FSL) Weekendtillæg afspadseres.",I33="X"),K33,0)</f>
        <v>0</v>
      </c>
      <c r="FW33" s="674">
        <f>IF(AND(AND(Stamoplysninger!$B$26="Der er indgået lokalaftale omkring weekendtimer.(Kræver aftale med TR/FSL) Weekendtillæg afspadseres.",I33="X",C33="ikke relevant")),K33,0)</f>
        <v>0</v>
      </c>
      <c r="FX33" s="283">
        <f>IF(AND(Stamoplysninger!$B$26="Der er indgået lokalaftale omkring weekendtimer(Kræver aftale med TR/FSL). Weekendtillæg udbetales.",I33="X"),K33,0)</f>
        <v>0</v>
      </c>
      <c r="FY33" s="674">
        <f>IF(AND(AND(Stamoplysninger!$B$26="Der er indgået lokalaftale omkring weekendtimer(Kræver aftale med TR/FSL). Weekendtillæg udbetales.",I33="X",C33="ikke relevant")),K33,0)</f>
        <v>0</v>
      </c>
      <c r="FZ33" s="283">
        <f>IF(AND(Stamoplysninger!$B$26="Der er indgået lokalaftale omkring weekendtillæg(Kræver aftale med TR/FSL). Weekendtimerne udbetales.",I33="X"),K33,0)</f>
        <v>0</v>
      </c>
      <c r="GA33" s="674">
        <f>IF(AND(AND(Stamoplysninger!$B$26="Der er indgået lokalaftale omkring weekendtillæg(Kræver aftale med TR/FSL). Weekendtimerne udbetales.",I33="X",C33="ikke relevant")),K33,0)</f>
        <v>0</v>
      </c>
      <c r="GB33" s="283">
        <f>IF(AND(Stamoplysninger!$B$26="Der er indgået lokalaftale omkring weekendtimer og weekendtillæg.(Kræver aftale med TR/FSL).",I33="X"),K33,0)</f>
        <v>0</v>
      </c>
      <c r="GC33" s="674">
        <f>IF(AND(AND(Stamoplysninger!$B$26="Der er indgået lokalaftale omkring weekendtimer og weekendtillæg.(Kræver aftale med TR/FSL).",I33="X",C33="ikke relevant")),K33,0)</f>
        <v>0</v>
      </c>
    </row>
    <row r="34" spans="1:185">
      <c r="A34" s="245">
        <f t="shared" si="17"/>
        <v>26</v>
      </c>
      <c r="B34" s="128" t="str">
        <f t="shared" si="0"/>
        <v>lø</v>
      </c>
      <c r="C34" s="129" t="s">
        <v>120</v>
      </c>
      <c r="D34" s="130" t="str">
        <f t="shared" si="1"/>
        <v/>
      </c>
      <c r="E34" s="917"/>
      <c r="F34" s="918"/>
      <c r="G34" s="919"/>
      <c r="H34" s="298"/>
      <c r="I34" s="413"/>
      <c r="J34" s="413"/>
      <c r="K34" s="380"/>
      <c r="L34" s="380"/>
      <c r="M34" s="380"/>
      <c r="N34" s="318">
        <f t="shared" si="18"/>
        <v>0</v>
      </c>
      <c r="O34" s="318">
        <f t="shared" si="19"/>
        <v>0</v>
      </c>
      <c r="P34" s="318">
        <f>IF(Stamoplysninger!$H$29="JA",April!DG34,CX34)</f>
        <v>0</v>
      </c>
      <c r="Q34" s="318">
        <f t="shared" si="20"/>
        <v>0</v>
      </c>
      <c r="R34" s="319"/>
      <c r="S34" s="324"/>
      <c r="T34" s="325"/>
      <c r="U34" s="325"/>
      <c r="V34" s="435"/>
      <c r="W34" s="435"/>
      <c r="X34" s="644"/>
      <c r="Y34">
        <f t="shared" si="21"/>
        <v>0</v>
      </c>
      <c r="Z34" s="437">
        <f t="shared" si="22"/>
        <v>0</v>
      </c>
      <c r="AA34" s="1">
        <f t="shared" si="2"/>
        <v>0</v>
      </c>
      <c r="AB34" s="1">
        <f t="shared" si="3"/>
        <v>0</v>
      </c>
      <c r="AC34" s="1">
        <f t="shared" si="4"/>
        <v>0</v>
      </c>
      <c r="AD34" s="1">
        <f t="shared" si="5"/>
        <v>0</v>
      </c>
      <c r="AE34" s="1">
        <f t="shared" si="6"/>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9">
        <f t="shared" si="7"/>
        <v>0</v>
      </c>
      <c r="BC34" s="1">
        <f t="shared" si="24"/>
        <v>0</v>
      </c>
      <c r="BD34" s="1">
        <f t="shared" si="8"/>
        <v>0</v>
      </c>
      <c r="BE34" s="1">
        <f t="shared" si="9"/>
        <v>0</v>
      </c>
      <c r="BF34" s="1">
        <f t="shared" si="10"/>
        <v>0</v>
      </c>
      <c r="BG34" s="210" t="str">
        <f>IF(AND(C34="Skema 1",B34="ma"),Skemaoplysninger!$E$30,"")</f>
        <v/>
      </c>
      <c r="BH34" s="210" t="str">
        <f>IF(AND(C34="Skema 1",B34="ti"),Skemaoplysninger!$G$30,"")</f>
        <v/>
      </c>
      <c r="BI34" s="210" t="str">
        <f>IF(AND(C34="Skema 1",B34="on"),Skemaoplysninger!$I$30,"")</f>
        <v/>
      </c>
      <c r="BJ34" s="210" t="str">
        <f>IF(AND(C34="Skema 1",B34="to"),Skemaoplysninger!$K$30,"")</f>
        <v/>
      </c>
      <c r="BK34" s="210" t="str">
        <f>IF(AND(C34="Skema 1",B34="fr"),Skemaoplysninger!$M$30,"")</f>
        <v/>
      </c>
      <c r="BL34" s="210" t="str">
        <f>IF(AND(C34="Skema 2",B34="ma"),Skemaoplysninger!$S$30,"")</f>
        <v/>
      </c>
      <c r="BM34" s="210" t="str">
        <f>IF(AND(C34="Skema 2",B34="ti"),Skemaoplysninger!$U$30,"")</f>
        <v/>
      </c>
      <c r="BN34" s="210" t="str">
        <f>IF(AND(C34="Skema 2",B34="on"),Skemaoplysninger!$W$30,"")</f>
        <v/>
      </c>
      <c r="BO34" s="210" t="str">
        <f>IF(AND(C34="Skema 2",B34="to"),Skemaoplysninger!$Y$30,"")</f>
        <v/>
      </c>
      <c r="BP34" s="210" t="str">
        <f>IF(AND(C34="Skema 2",B34="fr"),Skemaoplysninger!$AA$30,"")</f>
        <v/>
      </c>
      <c r="BQ34" s="210" t="str">
        <f>IF(AND(C34="Skema 3",B34="ma"),Skemaoplysninger!$AG$30,"")</f>
        <v/>
      </c>
      <c r="BR34" s="210" t="str">
        <f>IF(AND(C34="Skema 3",B34="ti"),Skemaoplysninger!$AI$30,"")</f>
        <v/>
      </c>
      <c r="BS34" s="210" t="str">
        <f>IF(AND(C34="Skema 3",B34="on"),Skemaoplysninger!$AK$30,"")</f>
        <v/>
      </c>
      <c r="BT34" s="210" t="str">
        <f>IF(AND(C34="Skema 3",B34="to"),Skemaoplysninger!$AM$30,"")</f>
        <v/>
      </c>
      <c r="BU34" s="210" t="str">
        <f>IF(AND(C34="Skema 3",B34="fr"),Skemaoplysninger!$AO$30,"")</f>
        <v/>
      </c>
      <c r="BV34" s="210" t="str">
        <f>IF(AND(C34="Skema 4",B34="ma"),Skemaoplysninger!$AU$30,"")</f>
        <v/>
      </c>
      <c r="BW34" s="210" t="str">
        <f>IF(AND(C34="Skema 4",B34="ti"),Skemaoplysninger!$AW$30,"")</f>
        <v/>
      </c>
      <c r="BX34" s="210" t="str">
        <f>IF(AND(C34="Skema 4",B34="on"),Skemaoplysninger!$AY$30,"")</f>
        <v/>
      </c>
      <c r="BY34" s="210" t="str">
        <f>IF(AND(C34="Skema 4",B34="to"),Skemaoplysninger!$BA$30,"")</f>
        <v/>
      </c>
      <c r="BZ34" s="210" t="str">
        <f>IF(AND(C34="Skema 4",B34="fr"),Skemaoplysninger!$BC$30,"")</f>
        <v/>
      </c>
      <c r="CA34" s="1">
        <f t="shared" si="25"/>
        <v>0</v>
      </c>
      <c r="CB34" s="1">
        <f t="shared" si="11"/>
        <v>0</v>
      </c>
      <c r="CC34" s="1">
        <f t="shared" si="12"/>
        <v>0</v>
      </c>
      <c r="CD34" s="210" t="str">
        <f>IF(AND(C34="Skema 1",B34="ma"),Skemaoplysninger!$E$31,"")</f>
        <v/>
      </c>
      <c r="CE34" s="210" t="str">
        <f>IF(AND(C34="Skema 1",B34="ti"),Skemaoplysninger!$G$31,"")</f>
        <v/>
      </c>
      <c r="CF34" s="210" t="str">
        <f>IF(AND(C34="Skema 1",B34="on"),Skemaoplysninger!$I$31,"")</f>
        <v/>
      </c>
      <c r="CG34" s="210" t="str">
        <f>IF(AND(C34="Skema 1",B34="to"),Skemaoplysninger!$K$31,"")</f>
        <v/>
      </c>
      <c r="CH34" s="210" t="str">
        <f>IF(AND(C34="Skema 1",B34="fr"),Skemaoplysninger!$M$31,"")</f>
        <v/>
      </c>
      <c r="CI34" s="210" t="str">
        <f>IF(AND(C34="Skema 2",B34="ma"),Skemaoplysninger!$S$31,"")</f>
        <v/>
      </c>
      <c r="CJ34" s="210" t="str">
        <f>IF(AND(C34="Skema 2",B34="ti"),Skemaoplysninger!$U$31,"")</f>
        <v/>
      </c>
      <c r="CK34" s="210" t="str">
        <f>IF(AND(C34="Skema 2",B34="on"),Skemaoplysninger!$W$31,"")</f>
        <v/>
      </c>
      <c r="CL34" s="210" t="str">
        <f>IF(AND(C34="Skema 2",B34="to"),Skemaoplysninger!$Y$31,"")</f>
        <v/>
      </c>
      <c r="CM34" s="210" t="str">
        <f>IF(AND(C34="Skema 2",B34="fr"),Skemaoplysninger!$AA$31,"")</f>
        <v/>
      </c>
      <c r="CN34" s="210" t="str">
        <f>IF(AND(C34="Skema 3",B34="ma"),Skemaoplysninger!$AG$31,"")</f>
        <v/>
      </c>
      <c r="CO34" s="210" t="str">
        <f>IF(AND(C34="Skema 3",B34="ti"),Skemaoplysninger!$AI$31,"")</f>
        <v/>
      </c>
      <c r="CP34" s="210" t="str">
        <f>IF(AND(C34="Skema 3",B34="on"),Skemaoplysninger!$AK$31,"")</f>
        <v/>
      </c>
      <c r="CQ34" s="210" t="str">
        <f>IF(AND(C34="Skema 3",B34="to"),Skemaoplysninger!$AM$31,"")</f>
        <v/>
      </c>
      <c r="CR34" s="210" t="str">
        <f>IF(AND(C34="Skema 3",B34="fr"),Skemaoplysninger!$AO$31,"")</f>
        <v/>
      </c>
      <c r="CS34" s="210" t="str">
        <f>IF(AND(C34="Skema 4",B34="ma"),Skemaoplysninger!$AU$31,"")</f>
        <v/>
      </c>
      <c r="CT34" s="210" t="str">
        <f>IF(AND(C34="Skema 4",B34="ti"),Skemaoplysninger!$AW$31,"")</f>
        <v/>
      </c>
      <c r="CU34" s="210" t="str">
        <f>IF(AND(C34="Skema 4",B34="on"),Skemaoplysninger!$AY$31,"")</f>
        <v/>
      </c>
      <c r="CV34" s="210" t="str">
        <f>IF(AND(C34="Skema 4",B34="to"),Skemaoplysninger!$BA$31,"")</f>
        <v/>
      </c>
      <c r="CW34" s="210" t="str">
        <f>IF(AND(C34="Skema 4",B34="fr"),Skemaoplysninger!$BC$31,"")</f>
        <v/>
      </c>
      <c r="CX34" s="249">
        <f>IF(Stamoplysninger!$H$29="NEJ",SUM(CD34:CW34)*24+CB34+CC34,0)</f>
        <v>0</v>
      </c>
      <c r="CY34" s="249">
        <f>IF(C34="Skema 1",Stamoplysninger!$H$30/200,0)</f>
        <v>0</v>
      </c>
      <c r="CZ34" s="249">
        <f>IF(C34="Skema 2",Stamoplysninger!$H$30/200,0)</f>
        <v>0</v>
      </c>
      <c r="DA34" s="249">
        <f>IF(C34="Skema 3",Stamoplysninger!$H$30/200,0)</f>
        <v>0</v>
      </c>
      <c r="DB34" s="249">
        <f>IF(C34="Skema 4",Stamoplysninger!$H$30/200,0)</f>
        <v>0</v>
      </c>
      <c r="DC34" s="249">
        <f>IF(C34="fagdag",Stamoplysninger!$H$30/200,0)</f>
        <v>0</v>
      </c>
      <c r="DD34" s="249">
        <f>IF(C34="emnedag",Stamoplysninger!$H$30/200,0)</f>
        <v>0</v>
      </c>
      <c r="DE34" s="249">
        <f>IF(C34="lejrskole",Stamoplysninger!$H$30/200,0)</f>
        <v>0</v>
      </c>
      <c r="DF34" s="249">
        <f>IF(C34="ekskursion",Stamoplysninger!$H$30/200,0)</f>
        <v>0</v>
      </c>
      <c r="DG34" s="249">
        <f t="shared" si="26"/>
        <v>0</v>
      </c>
      <c r="DH34" t="str">
        <f t="shared" si="27"/>
        <v/>
      </c>
      <c r="DI34">
        <f t="shared" si="28"/>
        <v>0</v>
      </c>
      <c r="DJ34">
        <f t="shared" si="29"/>
        <v>0</v>
      </c>
      <c r="DK34" t="str">
        <f t="shared" si="13"/>
        <v/>
      </c>
      <c r="DL34" t="str">
        <f t="shared" si="13"/>
        <v/>
      </c>
      <c r="DM34" t="str">
        <f t="shared" si="13"/>
        <v/>
      </c>
      <c r="DN34" t="str">
        <f t="shared" si="30"/>
        <v/>
      </c>
      <c r="DO34" s="652">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71">
        <f>IF(AND(Stamoplysninger!$B$22="Ulempetillæg udbetales med 25% af nettotimelønnen.",C34="ikke relevant"),(R34)/4,0)</f>
        <v>0</v>
      </c>
      <c r="DT34" s="671">
        <f>IF(AND(AND(Stamoplysninger!$B$22="Ulempetillæg udbetales med 25% af nettotimelønnen.",I34="X",C34="Ikke relevant")),K34/4,0)</f>
        <v>0</v>
      </c>
      <c r="DU34" s="671">
        <f>IF(AND(AND(Stamoplysninger!$B$22="Ulempetillæg udbetales med 25% af nettotimelønnen.",C34="ikke relevant",U34="X")),(X34/4),0)</f>
        <v>0</v>
      </c>
      <c r="DV34" s="672">
        <f>IF(AND(AND(AND(Stamoplysninger!$B$22="Ulempetillæg udbetales med 25% af nettotimelønnen.",I34="X",C34="Ikke relevant",S34="X"))),V34/4,0)</f>
        <v>0</v>
      </c>
      <c r="DW34" s="652"/>
      <c r="DZ34" s="671"/>
      <c r="EA34" s="671"/>
      <c r="EB34" s="672"/>
      <c r="EC34" s="652">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71">
        <f>IF(AND(Stamoplysninger!$B$22="Ulempetillæg afspadseres med 25%(Kræver en aftale imellem ledelsen og den ansatte)",C34="ikke relevant"),(R34)/4,0)</f>
        <v>0</v>
      </c>
      <c r="EH34" s="671">
        <f>IF(AND(AND(Stamoplysninger!$B$22="Ulempetillæg afspadseres med 25%(Kræver en aftale imellem ledelsen og den ansatte)",I34="X",C34="Ikke relevant")),K34/4,0)</f>
        <v>0</v>
      </c>
      <c r="EI34" s="671">
        <f>IF(AND(AND(Stamoplysninger!$B$22="Ulempetillæg afspadseres med 25%(Kræver en aftale imellem ledelsen og den ansatte)",U34="X",C34="Ikke relevant")),X34/4,0)</f>
        <v>0</v>
      </c>
      <c r="EJ34" s="671">
        <f>IF(AND(AND(AND(Stamoplysninger!$B$22="Ulempetillæg afspadseres med 25%(Kræver en aftale imellem ledelsen og den ansatte)",I34="X",C34="Ikke relevant",S34="X"))),V34/4,0)</f>
        <v>0</v>
      </c>
      <c r="EK34" s="283">
        <f>IF(AND(Stamoplysninger!$B$26="Weekendtimer og weekendtillæg afspadseres.",I34="X"),K34*1.5,0)</f>
        <v>0</v>
      </c>
      <c r="EL34" s="251">
        <f>IF(AND(AND(Stamoplysninger!$B$26="Weekendtimer og weekendtillæg afspadseres.",I34="X",S34="X")),V34*1.5,0)</f>
        <v>0</v>
      </c>
      <c r="EM34" s="674">
        <f>IF(AND(AND(Stamoplysninger!$B$26="Weekendtimer og weekendtillæg afspadseres.",I34="X",C34="ikke relevant")),K34*1.5,0)</f>
        <v>0</v>
      </c>
      <c r="EN34" s="675">
        <f>IF(AND(AND(AND(Stamoplysninger!$B$26="Weekendtimer og weekendtillæg afspadseres.",I34="X",C34="ikke relevant",S34="X"))),(V34*1.5),0)</f>
        <v>0</v>
      </c>
      <c r="EO34" s="283">
        <f>IF(AND(Stamoplysninger!$B$26="Weekendtimer og weekendtillæg udbetales.",I34="X"),K34*1.5,0)</f>
        <v>0</v>
      </c>
      <c r="EP34" s="251">
        <f>IF(AND(AND(Stamoplysninger!$B$26="Weekendtimer og weekendtillæg udbetales.",I34="X",S34="X")),V34*1.5,0)</f>
        <v>0</v>
      </c>
      <c r="EQ34" s="674">
        <f>IF(AND(AND(Stamoplysninger!$B$26="Weekendtimer og weekendtillæg udbetales.",I34="X",C34="ikke relevant")),K34*1.5,0)</f>
        <v>0</v>
      </c>
      <c r="ER34" s="675">
        <f>IF(AND(AND(AND(Stamoplysninger!$B$26="Weekendtimer og weekendtillæg udbetales.",I34="X",C34="ikke relevant",S34="X"))),(V34*1.5),0)</f>
        <v>0</v>
      </c>
      <c r="ES34" s="283">
        <f>IF(AND(Stamoplysninger!$B$26="Der er indgået lokalaftale omkring weekendtimer.(Kræver aftale med TR/FSL) Weekendtillæg afspadseres.",I34="X"),K34*0.5,0)</f>
        <v>0</v>
      </c>
      <c r="ET34" s="251">
        <f>IF(AND(AND(Stamoplysninger!$B$26="Der er indgået lokalaftale omkring weekendtimer.(Kræver aftale med TR/FSL) Weekendtillæg afspadseres.",I34="X",S34="X")),V34*0.5,0)</f>
        <v>0</v>
      </c>
      <c r="EU34" s="674">
        <f>IF(AND(AND(Stamoplysninger!$B$26="Der er indgået lokalaftale omkring weekendtimer.(Kræver aftale med TR/FSL) Weekendtillæg afspadseres.",I34="X",C34="ikke relevant")),K34*0.5,0)</f>
        <v>0</v>
      </c>
      <c r="EV34" s="675">
        <f>IF(AND(AND(AND(Stamoplysninger!$B$26="Der er indgået lokalaftale omkring weekendtimer.(Kræver aftale med TR/FSL) Weekendtillæg afspadseres.",I34="X",C34="ikke relevant",S34="X"))),(V34*0.5),0)</f>
        <v>0</v>
      </c>
      <c r="EW34" s="283">
        <f>IF(AND(Stamoplysninger!$B$26="Der er indgået lokalaftale omkring weekendtimer(Kræver aftale med TR/FSL). Weekendtillæg udbetales.",I34="X"),K34*0.5,0)</f>
        <v>0</v>
      </c>
      <c r="EX34" s="251">
        <f>IF(AND(AND(Stamoplysninger!$B$26="Der er indgået lokalaftale omkring weekendtimer(Kræver aftale med TR/FSL). Weekendtillæg udbetales.",I34="X",S34="X")),V34*0.5,0)</f>
        <v>0</v>
      </c>
      <c r="EY34" s="674">
        <f>IF(AND(AND(Stamoplysninger!$B$26="Der er indgået lokalaftale omkring weekendtimer(Kræver aftale med TR/FSL). Weekendtillæg udbetales.",I34="X",C34="ikke relevant")),K34*0.5,0)</f>
        <v>0</v>
      </c>
      <c r="EZ34" s="675">
        <f>IF(AND(AND(AND(Stamoplysninger!$B$26="Der er indgået lokalaftale omkring weekendtimer(Kræver aftale med TR/FSL). Weekendtillæg udbetales.",I34="X",C34="ikke relevant",S34="X"))),(V34*0.5),0)</f>
        <v>0</v>
      </c>
      <c r="FA34" s="283">
        <f>IF(AND(Stamoplysninger!$B$26="Der er indgået lokalaftale omkring weekendtillæg(Kræver aftale med TR/FSL). Weekendtimerne afspadseres.",I34="X"),K34,0)</f>
        <v>0</v>
      </c>
      <c r="FB34" s="251">
        <f>IF(AND(AND(Stamoplysninger!$B$26="Der er indgået lokalaftale omkring weekendtillæg(Kræver aftale med TR/FSL). Weekendtimerne afspadseres.",I34="X",S34="X")),V34,0)</f>
        <v>0</v>
      </c>
      <c r="FC34" s="674">
        <f>IF(AND(AND(Stamoplysninger!$B$26="Der er indgået lokalaftale omkring weekendtillæg(Kræver aftale med TR/FSL). Weekendtimerne afspadseres..",I34="X",C34="ikke relevant")),K34,0)</f>
        <v>0</v>
      </c>
      <c r="FD34" s="675">
        <f>IF(AND(AND(AND(Stamoplysninger!$B$26="Der er indgået lokalaftale omkring weekendtillæg(Kræver aftale med TR/FSL). Weekendtimerne afspadseres.",I34="X",C34="ikke relevant",S34="X"))),(V34),0)</f>
        <v>0</v>
      </c>
      <c r="FE34" s="283">
        <f>IF(AND(Stamoplysninger!$B$26="Der er indgået lokalaftale omkring weekendtillæg(Kræver aftale med TR/FSL). Weekendtimerne udbetales.",I34="X"),K34,0)</f>
        <v>0</v>
      </c>
      <c r="FF34" s="251">
        <f>IF(AND(AND(Stamoplysninger!$B$26="Der er indgået lokalaftale omkring weekendtillæg(Kræver aftale med TR/FSL). Weekendtimerne udbetales.",I34="X",S34="X")),V34,0)</f>
        <v>0</v>
      </c>
      <c r="FG34" s="674">
        <f>IF(AND(AND(Stamoplysninger!$B$26="Der er indgået lokalaftale omkring weekendtillæg(Kræver aftale med TR/FSL). Weekendtimerne udbetales.",I34="X",C34="ikke relevant")),K34,0)</f>
        <v>0</v>
      </c>
      <c r="FH34" s="675">
        <f>IF(AND(AND(AND(Stamoplysninger!$B$26="Der er indgået lokalaftale omkring weekendtillæg(Kræver aftale med TR/FSL). Weekendtimerne udbetales.",I34="X",C34="ikke relevant",S34="X"))),(V34),0)</f>
        <v>0</v>
      </c>
      <c r="FI34" s="283">
        <f>IF(AND(Stamoplysninger!$B$26="Weekendtimer og weekendtillæg afspadseres.",I34="X"),K34,0)</f>
        <v>0</v>
      </c>
      <c r="FJ34" s="251">
        <f>IF(AND(Stamoplysninger!$B$26="Weekendtimer og weekendtillæg afspadseres.",Y34="X"),(AA34+AL34)/2,0)</f>
        <v>0</v>
      </c>
      <c r="FK34" s="674">
        <f>IF(AND(AND(Stamoplysninger!$B$26="Weekendtimer og weekendtillæg afspadseres.",I34="X",C34="ikke relevant")),K34,0)</f>
        <v>0</v>
      </c>
      <c r="FL34" s="675">
        <f>IF(AND(AND(Stamoplysninger!$B$26="Weekendtimer og weekendtillæg afspadseres.",Y34="X",S34="ikke relevant")),(AA34+AL34)/2,0)</f>
        <v>0</v>
      </c>
      <c r="FM34" s="283">
        <f>IF(AND(Stamoplysninger!$B$26="Der er indgået lokalaftale omkring weekendtillæg(Kræver aftale med TR/FSL). Weekendtimerne afspadseres.",I34="X"),K34,0)</f>
        <v>0</v>
      </c>
      <c r="FN34" s="674">
        <f>IF(AND(AND(Stamoplysninger!$B$26="Der er indgået lokalaftale omkring weekendtillæg(Kræver aftale med TR/FSL). Weekendtimerne afspadseres.",I34="X",C34="ikke relevant")),K34,0)</f>
        <v>0</v>
      </c>
      <c r="FO34" s="283">
        <f>IF(AND(Stamoplysninger!$B$26="Weekendtimer og weekendtillæg udbetales.",I34="X"),K34,0)</f>
        <v>0</v>
      </c>
      <c r="FP34" s="251">
        <f>IF(AND(Stamoplysninger!$B$26="Weekendtimer og weekendtillæg udbetales.",AA34="X"),(AC34+AN34)/2,0)</f>
        <v>0</v>
      </c>
      <c r="FQ34" s="674">
        <f>IF(AND(AND(Stamoplysninger!$B$26="Weekendtimer og weekendtillæg udbetales.",I34="X",C34="ikke relevant")),K34,0)</f>
        <v>0</v>
      </c>
      <c r="FR34" s="688">
        <f>IF(AND(AND(Stamoplysninger!$B$26="Weekendtimer og weekendtillæg udbetales.",AA34="X",U34="ikke relevant")),(AC34+AN34)/2,0)</f>
        <v>0</v>
      </c>
      <c r="FS34" s="283">
        <f t="shared" si="14"/>
        <v>0</v>
      </c>
      <c r="FT34" s="658">
        <f t="shared" si="15"/>
        <v>0</v>
      </c>
      <c r="FU34">
        <f>IF(AND(C34="weekend",I34="X"),K34,0)</f>
        <v>0</v>
      </c>
      <c r="FV34" s="283">
        <f>IF(AND(Stamoplysninger!$B$26="Der er indgået lokalaftale omkring weekendtimer.(Kræver aftale med TR/FSL) Weekendtillæg afspadseres.",I34="X"),K34,0)</f>
        <v>0</v>
      </c>
      <c r="FW34" s="674">
        <f>IF(AND(AND(Stamoplysninger!$B$26="Der er indgået lokalaftale omkring weekendtimer.(Kræver aftale med TR/FSL) Weekendtillæg afspadseres.",I34="X",C34="ikke relevant")),K34,0)</f>
        <v>0</v>
      </c>
      <c r="FX34" s="283">
        <f>IF(AND(Stamoplysninger!$B$26="Der er indgået lokalaftale omkring weekendtimer(Kræver aftale med TR/FSL). Weekendtillæg udbetales.",I34="X"),K34,0)</f>
        <v>0</v>
      </c>
      <c r="FY34" s="674">
        <f>IF(AND(AND(Stamoplysninger!$B$26="Der er indgået lokalaftale omkring weekendtimer(Kræver aftale med TR/FSL). Weekendtillæg udbetales.",I34="X",C34="ikke relevant")),K34,0)</f>
        <v>0</v>
      </c>
      <c r="FZ34" s="283">
        <f>IF(AND(Stamoplysninger!$B$26="Der er indgået lokalaftale omkring weekendtillæg(Kræver aftale med TR/FSL). Weekendtimerne udbetales.",I34="X"),K34,0)</f>
        <v>0</v>
      </c>
      <c r="GA34" s="674">
        <f>IF(AND(AND(Stamoplysninger!$B$26="Der er indgået lokalaftale omkring weekendtillæg(Kræver aftale med TR/FSL). Weekendtimerne udbetales.",I34="X",C34="ikke relevant")),K34,0)</f>
        <v>0</v>
      </c>
      <c r="GB34" s="283">
        <f>IF(AND(Stamoplysninger!$B$26="Der er indgået lokalaftale omkring weekendtimer og weekendtillæg.(Kræver aftale med TR/FSL).",I34="X"),K34,0)</f>
        <v>0</v>
      </c>
      <c r="GC34" s="674">
        <f>IF(AND(AND(Stamoplysninger!$B$26="Der er indgået lokalaftale omkring weekendtimer og weekendtillæg.(Kræver aftale med TR/FSL).",I34="X",C34="ikke relevant")),K34,0)</f>
        <v>0</v>
      </c>
    </row>
    <row r="35" spans="1:185">
      <c r="A35" s="245">
        <f t="shared" si="17"/>
        <v>27</v>
      </c>
      <c r="B35" s="128" t="str">
        <f t="shared" si="0"/>
        <v>sø</v>
      </c>
      <c r="C35" s="129" t="s">
        <v>120</v>
      </c>
      <c r="D35" s="130" t="str">
        <f t="shared" si="1"/>
        <v/>
      </c>
      <c r="E35" s="917"/>
      <c r="F35" s="918"/>
      <c r="G35" s="919"/>
      <c r="H35" s="298"/>
      <c r="I35" s="413"/>
      <c r="J35" s="413"/>
      <c r="K35" s="380"/>
      <c r="L35" s="380"/>
      <c r="M35" s="380"/>
      <c r="N35" s="318">
        <f t="shared" si="18"/>
        <v>0</v>
      </c>
      <c r="O35" s="318">
        <f t="shared" si="19"/>
        <v>0</v>
      </c>
      <c r="P35" s="318">
        <f>IF(Stamoplysninger!$H$29="JA",April!DG35,CX35)</f>
        <v>0</v>
      </c>
      <c r="Q35" s="318">
        <f t="shared" si="20"/>
        <v>0</v>
      </c>
      <c r="R35" s="319"/>
      <c r="S35" s="324"/>
      <c r="T35" s="325"/>
      <c r="U35" s="325"/>
      <c r="V35" s="435"/>
      <c r="W35" s="435"/>
      <c r="X35" s="644"/>
      <c r="Y35">
        <f t="shared" si="21"/>
        <v>0</v>
      </c>
      <c r="Z35" s="437">
        <f t="shared" si="22"/>
        <v>0</v>
      </c>
      <c r="AA35" s="1">
        <f t="shared" si="2"/>
        <v>0</v>
      </c>
      <c r="AB35" s="1">
        <f t="shared" si="3"/>
        <v>0</v>
      </c>
      <c r="AC35" s="1">
        <f t="shared" si="4"/>
        <v>0</v>
      </c>
      <c r="AD35" s="1">
        <f t="shared" si="5"/>
        <v>0</v>
      </c>
      <c r="AE35" s="1">
        <f t="shared" si="6"/>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9">
        <f t="shared" si="7"/>
        <v>0</v>
      </c>
      <c r="BC35" s="1">
        <f t="shared" si="24"/>
        <v>0</v>
      </c>
      <c r="BD35" s="1">
        <f t="shared" si="8"/>
        <v>0</v>
      </c>
      <c r="BE35" s="1">
        <f t="shared" si="9"/>
        <v>0</v>
      </c>
      <c r="BF35" s="1">
        <f t="shared" si="10"/>
        <v>0</v>
      </c>
      <c r="BG35" s="210" t="str">
        <f>IF(AND(C35="Skema 1",B35="ma"),Skemaoplysninger!$E$30,"")</f>
        <v/>
      </c>
      <c r="BH35" s="210" t="str">
        <f>IF(AND(C35="Skema 1",B35="ti"),Skemaoplysninger!$G$30,"")</f>
        <v/>
      </c>
      <c r="BI35" s="210" t="str">
        <f>IF(AND(C35="Skema 1",B35="on"),Skemaoplysninger!$I$30,"")</f>
        <v/>
      </c>
      <c r="BJ35" s="210" t="str">
        <f>IF(AND(C35="Skema 1",B35="to"),Skemaoplysninger!$K$30,"")</f>
        <v/>
      </c>
      <c r="BK35" s="210" t="str">
        <f>IF(AND(C35="Skema 1",B35="fr"),Skemaoplysninger!$M$30,"")</f>
        <v/>
      </c>
      <c r="BL35" s="210" t="str">
        <f>IF(AND(C35="Skema 2",B35="ma"),Skemaoplysninger!$S$30,"")</f>
        <v/>
      </c>
      <c r="BM35" s="210" t="str">
        <f>IF(AND(C35="Skema 2",B35="ti"),Skemaoplysninger!$U$30,"")</f>
        <v/>
      </c>
      <c r="BN35" s="210" t="str">
        <f>IF(AND(C35="Skema 2",B35="on"),Skemaoplysninger!$W$30,"")</f>
        <v/>
      </c>
      <c r="BO35" s="210" t="str">
        <f>IF(AND(C35="Skema 2",B35="to"),Skemaoplysninger!$Y$30,"")</f>
        <v/>
      </c>
      <c r="BP35" s="210" t="str">
        <f>IF(AND(C35="Skema 2",B35="fr"),Skemaoplysninger!$AA$30,"")</f>
        <v/>
      </c>
      <c r="BQ35" s="210" t="str">
        <f>IF(AND(C35="Skema 3",B35="ma"),Skemaoplysninger!$AG$30,"")</f>
        <v/>
      </c>
      <c r="BR35" s="210" t="str">
        <f>IF(AND(C35="Skema 3",B35="ti"),Skemaoplysninger!$AI$30,"")</f>
        <v/>
      </c>
      <c r="BS35" s="210" t="str">
        <f>IF(AND(C35="Skema 3",B35="on"),Skemaoplysninger!$AK$30,"")</f>
        <v/>
      </c>
      <c r="BT35" s="210" t="str">
        <f>IF(AND(C35="Skema 3",B35="to"),Skemaoplysninger!$AM$30,"")</f>
        <v/>
      </c>
      <c r="BU35" s="210" t="str">
        <f>IF(AND(C35="Skema 3",B35="fr"),Skemaoplysninger!$AO$30,"")</f>
        <v/>
      </c>
      <c r="BV35" s="210" t="str">
        <f>IF(AND(C35="Skema 4",B35="ma"),Skemaoplysninger!$AU$30,"")</f>
        <v/>
      </c>
      <c r="BW35" s="210" t="str">
        <f>IF(AND(C35="Skema 4",B35="ti"),Skemaoplysninger!$AW$30,"")</f>
        <v/>
      </c>
      <c r="BX35" s="210" t="str">
        <f>IF(AND(C35="Skema 4",B35="on"),Skemaoplysninger!$AY$30,"")</f>
        <v/>
      </c>
      <c r="BY35" s="210" t="str">
        <f>IF(AND(C35="Skema 4",B35="to"),Skemaoplysninger!$BA$30,"")</f>
        <v/>
      </c>
      <c r="BZ35" s="210" t="str">
        <f>IF(AND(C35="Skema 4",B35="fr"),Skemaoplysninger!$BC$30,"")</f>
        <v/>
      </c>
      <c r="CA35" s="1">
        <f t="shared" si="25"/>
        <v>0</v>
      </c>
      <c r="CB35" s="1">
        <f t="shared" si="11"/>
        <v>0</v>
      </c>
      <c r="CC35" s="1">
        <f t="shared" si="12"/>
        <v>0</v>
      </c>
      <c r="CD35" s="210" t="str">
        <f>IF(AND(C35="Skema 1",B35="ma"),Skemaoplysninger!$E$31,"")</f>
        <v/>
      </c>
      <c r="CE35" s="210" t="str">
        <f>IF(AND(C35="Skema 1",B35="ti"),Skemaoplysninger!$G$31,"")</f>
        <v/>
      </c>
      <c r="CF35" s="210" t="str">
        <f>IF(AND(C35="Skema 1",B35="on"),Skemaoplysninger!$I$31,"")</f>
        <v/>
      </c>
      <c r="CG35" s="210" t="str">
        <f>IF(AND(C35="Skema 1",B35="to"),Skemaoplysninger!$K$31,"")</f>
        <v/>
      </c>
      <c r="CH35" s="210" t="str">
        <f>IF(AND(C35="Skema 1",B35="fr"),Skemaoplysninger!$M$31,"")</f>
        <v/>
      </c>
      <c r="CI35" s="210" t="str">
        <f>IF(AND(C35="Skema 2",B35="ma"),Skemaoplysninger!$S$31,"")</f>
        <v/>
      </c>
      <c r="CJ35" s="210" t="str">
        <f>IF(AND(C35="Skema 2",B35="ti"),Skemaoplysninger!$U$31,"")</f>
        <v/>
      </c>
      <c r="CK35" s="210" t="str">
        <f>IF(AND(C35="Skema 2",B35="on"),Skemaoplysninger!$W$31,"")</f>
        <v/>
      </c>
      <c r="CL35" s="210" t="str">
        <f>IF(AND(C35="Skema 2",B35="to"),Skemaoplysninger!$Y$31,"")</f>
        <v/>
      </c>
      <c r="CM35" s="210" t="str">
        <f>IF(AND(C35="Skema 2",B35="fr"),Skemaoplysninger!$AA$31,"")</f>
        <v/>
      </c>
      <c r="CN35" s="210" t="str">
        <f>IF(AND(C35="Skema 3",B35="ma"),Skemaoplysninger!$AG$31,"")</f>
        <v/>
      </c>
      <c r="CO35" s="210" t="str">
        <f>IF(AND(C35="Skema 3",B35="ti"),Skemaoplysninger!$AI$31,"")</f>
        <v/>
      </c>
      <c r="CP35" s="210" t="str">
        <f>IF(AND(C35="Skema 3",B35="on"),Skemaoplysninger!$AK$31,"")</f>
        <v/>
      </c>
      <c r="CQ35" s="210" t="str">
        <f>IF(AND(C35="Skema 3",B35="to"),Skemaoplysninger!$AM$31,"")</f>
        <v/>
      </c>
      <c r="CR35" s="210" t="str">
        <f>IF(AND(C35="Skema 3",B35="fr"),Skemaoplysninger!$AO$31,"")</f>
        <v/>
      </c>
      <c r="CS35" s="210" t="str">
        <f>IF(AND(C35="Skema 4",B35="ma"),Skemaoplysninger!$AU$31,"")</f>
        <v/>
      </c>
      <c r="CT35" s="210" t="str">
        <f>IF(AND(C35="Skema 4",B35="ti"),Skemaoplysninger!$AW$31,"")</f>
        <v/>
      </c>
      <c r="CU35" s="210" t="str">
        <f>IF(AND(C35="Skema 4",B35="on"),Skemaoplysninger!$AY$31,"")</f>
        <v/>
      </c>
      <c r="CV35" s="210" t="str">
        <f>IF(AND(C35="Skema 4",B35="to"),Skemaoplysninger!$BA$31,"")</f>
        <v/>
      </c>
      <c r="CW35" s="210" t="str">
        <f>IF(AND(C35="Skema 4",B35="fr"),Skemaoplysninger!$BC$31,"")</f>
        <v/>
      </c>
      <c r="CX35" s="249">
        <f>IF(Stamoplysninger!$H$29="NEJ",SUM(CD35:CW35)*24+CB35+CC35,0)</f>
        <v>0</v>
      </c>
      <c r="CY35" s="249">
        <f>IF(C35="Skema 1",Stamoplysninger!$H$30/200,0)</f>
        <v>0</v>
      </c>
      <c r="CZ35" s="249">
        <f>IF(C35="Skema 2",Stamoplysninger!$H$30/200,0)</f>
        <v>0</v>
      </c>
      <c r="DA35" s="249">
        <f>IF(C35="Skema 3",Stamoplysninger!$H$30/200,0)</f>
        <v>0</v>
      </c>
      <c r="DB35" s="249">
        <f>IF(C35="Skema 4",Stamoplysninger!$H$30/200,0)</f>
        <v>0</v>
      </c>
      <c r="DC35" s="249">
        <f>IF(C35="fagdag",Stamoplysninger!$H$30/200,0)</f>
        <v>0</v>
      </c>
      <c r="DD35" s="249">
        <f>IF(C35="emnedag",Stamoplysninger!$H$30/200,0)</f>
        <v>0</v>
      </c>
      <c r="DE35" s="249">
        <f>IF(C35="lejrskole",Stamoplysninger!$H$30/200,0)</f>
        <v>0</v>
      </c>
      <c r="DF35" s="249">
        <f>IF(C35="ekskursion",Stamoplysninger!$H$30/200,0)</f>
        <v>0</v>
      </c>
      <c r="DG35" s="249">
        <f t="shared" si="26"/>
        <v>0</v>
      </c>
      <c r="DH35" t="str">
        <f t="shared" si="27"/>
        <v/>
      </c>
      <c r="DI35">
        <f t="shared" si="28"/>
        <v>0</v>
      </c>
      <c r="DJ35">
        <f t="shared" si="29"/>
        <v>0</v>
      </c>
      <c r="DK35" t="str">
        <f t="shared" si="13"/>
        <v/>
      </c>
      <c r="DL35" t="str">
        <f t="shared" si="13"/>
        <v/>
      </c>
      <c r="DM35" t="str">
        <f t="shared" si="13"/>
        <v/>
      </c>
      <c r="DN35" t="str">
        <f t="shared" si="30"/>
        <v/>
      </c>
      <c r="DO35" s="652">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71">
        <f>IF(AND(Stamoplysninger!$B$22="Ulempetillæg udbetales med 25% af nettotimelønnen.",C35="ikke relevant"),(R35)/4,0)</f>
        <v>0</v>
      </c>
      <c r="DT35" s="671">
        <f>IF(AND(AND(Stamoplysninger!$B$22="Ulempetillæg udbetales med 25% af nettotimelønnen.",I35="X",C35="Ikke relevant")),K35/4,0)</f>
        <v>0</v>
      </c>
      <c r="DU35" s="671">
        <f>IF(AND(AND(Stamoplysninger!$B$22="Ulempetillæg udbetales med 25% af nettotimelønnen.",C35="ikke relevant",U35="X")),(X35/4),0)</f>
        <v>0</v>
      </c>
      <c r="DV35" s="672">
        <f>IF(AND(AND(AND(Stamoplysninger!$B$22="Ulempetillæg udbetales med 25% af nettotimelønnen.",I35="X",C35="Ikke relevant",S35="X"))),V35/4,0)</f>
        <v>0</v>
      </c>
      <c r="DW35" s="652"/>
      <c r="DZ35" s="671"/>
      <c r="EA35" s="671"/>
      <c r="EB35" s="672"/>
      <c r="EC35" s="652">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71">
        <f>IF(AND(Stamoplysninger!$B$22="Ulempetillæg afspadseres med 25%(Kræver en aftale imellem ledelsen og den ansatte)",C35="ikke relevant"),(R35)/4,0)</f>
        <v>0</v>
      </c>
      <c r="EH35" s="671">
        <f>IF(AND(AND(Stamoplysninger!$B$22="Ulempetillæg afspadseres med 25%(Kræver en aftale imellem ledelsen og den ansatte)",I35="X",C35="Ikke relevant")),K35/4,0)</f>
        <v>0</v>
      </c>
      <c r="EI35" s="671">
        <f>IF(AND(AND(Stamoplysninger!$B$22="Ulempetillæg afspadseres med 25%(Kræver en aftale imellem ledelsen og den ansatte)",U35="X",C35="Ikke relevant")),X35/4,0)</f>
        <v>0</v>
      </c>
      <c r="EJ35" s="671">
        <f>IF(AND(AND(AND(Stamoplysninger!$B$22="Ulempetillæg afspadseres med 25%(Kræver en aftale imellem ledelsen og den ansatte)",I35="X",C35="Ikke relevant",S35="X"))),V35/4,0)</f>
        <v>0</v>
      </c>
      <c r="EK35" s="283">
        <f>IF(AND(Stamoplysninger!$B$26="Weekendtimer og weekendtillæg afspadseres.",I35="X"),K35*1.5,0)</f>
        <v>0</v>
      </c>
      <c r="EL35" s="251">
        <f>IF(AND(AND(Stamoplysninger!$B$26="Weekendtimer og weekendtillæg afspadseres.",I35="X",S35="X")),V35*1.5,0)</f>
        <v>0</v>
      </c>
      <c r="EM35" s="674">
        <f>IF(AND(AND(Stamoplysninger!$B$26="Weekendtimer og weekendtillæg afspadseres.",I35="X",C35="ikke relevant")),K35*1.5,0)</f>
        <v>0</v>
      </c>
      <c r="EN35" s="675">
        <f>IF(AND(AND(AND(Stamoplysninger!$B$26="Weekendtimer og weekendtillæg afspadseres.",I35="X",C35="ikke relevant",S35="X"))),(V35*1.5),0)</f>
        <v>0</v>
      </c>
      <c r="EO35" s="283">
        <f>IF(AND(Stamoplysninger!$B$26="Weekendtimer og weekendtillæg udbetales.",I35="X"),K35*1.5,0)</f>
        <v>0</v>
      </c>
      <c r="EP35" s="251">
        <f>IF(AND(AND(Stamoplysninger!$B$26="Weekendtimer og weekendtillæg udbetales.",I35="X",S35="X")),V35*1.5,0)</f>
        <v>0</v>
      </c>
      <c r="EQ35" s="674">
        <f>IF(AND(AND(Stamoplysninger!$B$26="Weekendtimer og weekendtillæg udbetales.",I35="X",C35="ikke relevant")),K35*1.5,0)</f>
        <v>0</v>
      </c>
      <c r="ER35" s="675">
        <f>IF(AND(AND(AND(Stamoplysninger!$B$26="Weekendtimer og weekendtillæg udbetales.",I35="X",C35="ikke relevant",S35="X"))),(V35*1.5),0)</f>
        <v>0</v>
      </c>
      <c r="ES35" s="283">
        <f>IF(AND(Stamoplysninger!$B$26="Der er indgået lokalaftale omkring weekendtimer.(Kræver aftale med TR/FSL) Weekendtillæg afspadseres.",I35="X"),K35*0.5,0)</f>
        <v>0</v>
      </c>
      <c r="ET35" s="251">
        <f>IF(AND(AND(Stamoplysninger!$B$26="Der er indgået lokalaftale omkring weekendtimer.(Kræver aftale med TR/FSL) Weekendtillæg afspadseres.",I35="X",S35="X")),V35*0.5,0)</f>
        <v>0</v>
      </c>
      <c r="EU35" s="674">
        <f>IF(AND(AND(Stamoplysninger!$B$26="Der er indgået lokalaftale omkring weekendtimer.(Kræver aftale med TR/FSL) Weekendtillæg afspadseres.",I35="X",C35="ikke relevant")),K35*0.5,0)</f>
        <v>0</v>
      </c>
      <c r="EV35" s="675">
        <f>IF(AND(AND(AND(Stamoplysninger!$B$26="Der er indgået lokalaftale omkring weekendtimer.(Kræver aftale med TR/FSL) Weekendtillæg afspadseres.",I35="X",C35="ikke relevant",S35="X"))),(V35*0.5),0)</f>
        <v>0</v>
      </c>
      <c r="EW35" s="283">
        <f>IF(AND(Stamoplysninger!$B$26="Der er indgået lokalaftale omkring weekendtimer(Kræver aftale med TR/FSL). Weekendtillæg udbetales.",I35="X"),K35*0.5,0)</f>
        <v>0</v>
      </c>
      <c r="EX35" s="251">
        <f>IF(AND(AND(Stamoplysninger!$B$26="Der er indgået lokalaftale omkring weekendtimer(Kræver aftale med TR/FSL). Weekendtillæg udbetales.",I35="X",S35="X")),V35*0.5,0)</f>
        <v>0</v>
      </c>
      <c r="EY35" s="674">
        <f>IF(AND(AND(Stamoplysninger!$B$26="Der er indgået lokalaftale omkring weekendtimer(Kræver aftale med TR/FSL). Weekendtillæg udbetales.",I35="X",C35="ikke relevant")),K35*0.5,0)</f>
        <v>0</v>
      </c>
      <c r="EZ35" s="675">
        <f>IF(AND(AND(AND(Stamoplysninger!$B$26="Der er indgået lokalaftale omkring weekendtimer(Kræver aftale med TR/FSL). Weekendtillæg udbetales.",I35="X",C35="ikke relevant",S35="X"))),(V35*0.5),0)</f>
        <v>0</v>
      </c>
      <c r="FA35" s="283">
        <f>IF(AND(Stamoplysninger!$B$26="Der er indgået lokalaftale omkring weekendtillæg(Kræver aftale med TR/FSL). Weekendtimerne afspadseres.",I35="X"),K35,0)</f>
        <v>0</v>
      </c>
      <c r="FB35" s="251">
        <f>IF(AND(AND(Stamoplysninger!$B$26="Der er indgået lokalaftale omkring weekendtillæg(Kræver aftale med TR/FSL). Weekendtimerne afspadseres.",I35="X",S35="X")),V35,0)</f>
        <v>0</v>
      </c>
      <c r="FC35" s="674">
        <f>IF(AND(AND(Stamoplysninger!$B$26="Der er indgået lokalaftale omkring weekendtillæg(Kræver aftale med TR/FSL). Weekendtimerne afspadseres..",I35="X",C35="ikke relevant")),K35,0)</f>
        <v>0</v>
      </c>
      <c r="FD35" s="675">
        <f>IF(AND(AND(AND(Stamoplysninger!$B$26="Der er indgået lokalaftale omkring weekendtillæg(Kræver aftale med TR/FSL). Weekendtimerne afspadseres.",I35="X",C35="ikke relevant",S35="X"))),(V35),0)</f>
        <v>0</v>
      </c>
      <c r="FE35" s="283">
        <f>IF(AND(Stamoplysninger!$B$26="Der er indgået lokalaftale omkring weekendtillæg(Kræver aftale med TR/FSL). Weekendtimerne udbetales.",I35="X"),K35,0)</f>
        <v>0</v>
      </c>
      <c r="FF35" s="251">
        <f>IF(AND(AND(Stamoplysninger!$B$26="Der er indgået lokalaftale omkring weekendtillæg(Kræver aftale med TR/FSL). Weekendtimerne udbetales.",I35="X",S35="X")),V35,0)</f>
        <v>0</v>
      </c>
      <c r="FG35" s="674">
        <f>IF(AND(AND(Stamoplysninger!$B$26="Der er indgået lokalaftale omkring weekendtillæg(Kræver aftale med TR/FSL). Weekendtimerne udbetales.",I35="X",C35="ikke relevant")),K35,0)</f>
        <v>0</v>
      </c>
      <c r="FH35" s="675">
        <f>IF(AND(AND(AND(Stamoplysninger!$B$26="Der er indgået lokalaftale omkring weekendtillæg(Kræver aftale med TR/FSL). Weekendtimerne udbetales.",I35="X",C35="ikke relevant",S35="X"))),(V35),0)</f>
        <v>0</v>
      </c>
      <c r="FI35" s="283">
        <f>IF(AND(Stamoplysninger!$B$26="Weekendtimer og weekendtillæg afspadseres.",I35="X"),K35,0)</f>
        <v>0</v>
      </c>
      <c r="FJ35" s="251">
        <f>IF(AND(Stamoplysninger!$B$26="Weekendtimer og weekendtillæg afspadseres.",Y35="X"),(AA35+AL35)/2,0)</f>
        <v>0</v>
      </c>
      <c r="FK35" s="674">
        <f>IF(AND(AND(Stamoplysninger!$B$26="Weekendtimer og weekendtillæg afspadseres.",I35="X",C35="ikke relevant")),K35,0)</f>
        <v>0</v>
      </c>
      <c r="FL35" s="675">
        <f>IF(AND(AND(Stamoplysninger!$B$26="Weekendtimer og weekendtillæg afspadseres.",Y35="X",S35="ikke relevant")),(AA35+AL35)/2,0)</f>
        <v>0</v>
      </c>
      <c r="FM35" s="283">
        <f>IF(AND(Stamoplysninger!$B$26="Der er indgået lokalaftale omkring weekendtillæg(Kræver aftale med TR/FSL). Weekendtimerne afspadseres.",I35="X"),K35,0)</f>
        <v>0</v>
      </c>
      <c r="FN35" s="674">
        <f>IF(AND(AND(Stamoplysninger!$B$26="Der er indgået lokalaftale omkring weekendtillæg(Kræver aftale med TR/FSL). Weekendtimerne afspadseres.",I35="X",C35="ikke relevant")),K35,0)</f>
        <v>0</v>
      </c>
      <c r="FO35" s="283">
        <f>IF(AND(Stamoplysninger!$B$26="Weekendtimer og weekendtillæg udbetales.",I35="X"),K35,0)</f>
        <v>0</v>
      </c>
      <c r="FP35" s="251">
        <f>IF(AND(Stamoplysninger!$B$26="Weekendtimer og weekendtillæg udbetales.",AA35="X"),(AC35+AN35)/2,0)</f>
        <v>0</v>
      </c>
      <c r="FQ35" s="674">
        <f>IF(AND(AND(Stamoplysninger!$B$26="Weekendtimer og weekendtillæg udbetales.",I35="X",C35="ikke relevant")),K35,0)</f>
        <v>0</v>
      </c>
      <c r="FR35" s="688">
        <f>IF(AND(AND(Stamoplysninger!$B$26="Weekendtimer og weekendtillæg udbetales.",AA35="X",U35="ikke relevant")),(AC35+AN35)/2,0)</f>
        <v>0</v>
      </c>
      <c r="FS35" s="283">
        <f t="shared" si="14"/>
        <v>0</v>
      </c>
      <c r="FT35" s="658">
        <f t="shared" si="15"/>
        <v>0</v>
      </c>
      <c r="FU35">
        <f t="shared" si="31"/>
        <v>0</v>
      </c>
      <c r="FV35" s="283">
        <f>IF(AND(Stamoplysninger!$B$26="Der er indgået lokalaftale omkring weekendtimer.(Kræver aftale med TR/FSL) Weekendtillæg afspadseres.",I35="X"),K35,0)</f>
        <v>0</v>
      </c>
      <c r="FW35" s="674">
        <f>IF(AND(AND(Stamoplysninger!$B$26="Der er indgået lokalaftale omkring weekendtimer.(Kræver aftale med TR/FSL) Weekendtillæg afspadseres.",I35="X",C35="ikke relevant")),K35,0)</f>
        <v>0</v>
      </c>
      <c r="FX35" s="283">
        <f>IF(AND(Stamoplysninger!$B$26="Der er indgået lokalaftale omkring weekendtimer(Kræver aftale med TR/FSL). Weekendtillæg udbetales.",I35="X"),K35,0)</f>
        <v>0</v>
      </c>
      <c r="FY35" s="674">
        <f>IF(AND(AND(Stamoplysninger!$B$26="Der er indgået lokalaftale omkring weekendtimer(Kræver aftale med TR/FSL). Weekendtillæg udbetales.",I35="X",C35="ikke relevant")),K35,0)</f>
        <v>0</v>
      </c>
      <c r="FZ35" s="283">
        <f>IF(AND(Stamoplysninger!$B$26="Der er indgået lokalaftale omkring weekendtillæg(Kræver aftale med TR/FSL). Weekendtimerne udbetales.",I35="X"),K35,0)</f>
        <v>0</v>
      </c>
      <c r="GA35" s="674">
        <f>IF(AND(AND(Stamoplysninger!$B$26="Der er indgået lokalaftale omkring weekendtillæg(Kræver aftale med TR/FSL). Weekendtimerne udbetales.",I35="X",C35="ikke relevant")),K35,0)</f>
        <v>0</v>
      </c>
      <c r="GB35" s="283">
        <f>IF(AND(Stamoplysninger!$B$26="Der er indgået lokalaftale omkring weekendtimer og weekendtillæg.(Kræver aftale med TR/FSL).",I35="X"),K35,0)</f>
        <v>0</v>
      </c>
      <c r="GC35" s="674">
        <f>IF(AND(AND(Stamoplysninger!$B$26="Der er indgået lokalaftale omkring weekendtimer og weekendtillæg.(Kræver aftale med TR/FSL).",I35="X",C35="ikke relevant")),K35,0)</f>
        <v>0</v>
      </c>
    </row>
    <row r="36" spans="1:185">
      <c r="A36" s="245">
        <f t="shared" si="17"/>
        <v>28</v>
      </c>
      <c r="B36" s="128" t="str">
        <f t="shared" si="0"/>
        <v>ma</v>
      </c>
      <c r="C36" s="129" t="s">
        <v>207</v>
      </c>
      <c r="D36" s="130">
        <f t="shared" si="1"/>
        <v>17.714285714285715</v>
      </c>
      <c r="E36" s="917"/>
      <c r="F36" s="918"/>
      <c r="G36" s="919"/>
      <c r="H36" s="298"/>
      <c r="I36" s="527"/>
      <c r="J36" s="413"/>
      <c r="K36" s="380"/>
      <c r="L36" s="380"/>
      <c r="M36" s="380"/>
      <c r="N36" s="318">
        <f t="shared" si="18"/>
        <v>7.75</v>
      </c>
      <c r="O36" s="318">
        <f t="shared" si="19"/>
        <v>3.4999999999999996</v>
      </c>
      <c r="P36" s="318">
        <f>IF(Stamoplysninger!$H$29="JA",April!DG36,CX36)</f>
        <v>1</v>
      </c>
      <c r="Q36" s="318">
        <f t="shared" si="20"/>
        <v>3.25</v>
      </c>
      <c r="R36" s="319"/>
      <c r="S36" s="324"/>
      <c r="T36" s="325"/>
      <c r="U36" s="325"/>
      <c r="V36" s="435"/>
      <c r="W36" s="435"/>
      <c r="X36" s="644"/>
      <c r="Y36">
        <f t="shared" si="21"/>
        <v>0</v>
      </c>
      <c r="Z36" s="437">
        <f t="shared" si="22"/>
        <v>0</v>
      </c>
      <c r="AA36" s="1">
        <f t="shared" si="2"/>
        <v>0</v>
      </c>
      <c r="AB36" s="1">
        <f t="shared" si="3"/>
        <v>0</v>
      </c>
      <c r="AC36" s="1">
        <f t="shared" si="4"/>
        <v>0</v>
      </c>
      <c r="AD36" s="1">
        <f t="shared" si="5"/>
        <v>0</v>
      </c>
      <c r="AE36" s="1">
        <f t="shared" si="6"/>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f>IF(AND(C36="Skema 2",B36="ma"),Arbejdstidsoversigt!$E$81,"")</f>
        <v>7.75</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7.75</v>
      </c>
      <c r="BB36" s="229">
        <f t="shared" si="7"/>
        <v>0</v>
      </c>
      <c r="BC36" s="1">
        <f t="shared" si="24"/>
        <v>0</v>
      </c>
      <c r="BD36" s="1">
        <f t="shared" si="8"/>
        <v>0</v>
      </c>
      <c r="BE36" s="1">
        <f t="shared" si="9"/>
        <v>0</v>
      </c>
      <c r="BF36" s="1">
        <f t="shared" si="10"/>
        <v>0</v>
      </c>
      <c r="BG36" s="210" t="str">
        <f>IF(AND(C36="Skema 1",B36="ma"),Skemaoplysninger!$E$30,"")</f>
        <v/>
      </c>
      <c r="BH36" s="210" t="str">
        <f>IF(AND(C36="Skema 1",B36="ti"),Skemaoplysninger!$G$30,"")</f>
        <v/>
      </c>
      <c r="BI36" s="210" t="str">
        <f>IF(AND(C36="Skema 1",B36="on"),Skemaoplysninger!$I$30,"")</f>
        <v/>
      </c>
      <c r="BJ36" s="210" t="str">
        <f>IF(AND(C36="Skema 1",B36="to"),Skemaoplysninger!$K$30,"")</f>
        <v/>
      </c>
      <c r="BK36" s="210" t="str">
        <f>IF(AND(C36="Skema 1",B36="fr"),Skemaoplysninger!$M$30,"")</f>
        <v/>
      </c>
      <c r="BL36" s="210">
        <f>IF(AND(C36="Skema 2",B36="ma"),Skemaoplysninger!$S$30,"")</f>
        <v>0.14583333333333331</v>
      </c>
      <c r="BM36" s="210" t="str">
        <f>IF(AND(C36="Skema 2",B36="ti"),Skemaoplysninger!$U$30,"")</f>
        <v/>
      </c>
      <c r="BN36" s="210" t="str">
        <f>IF(AND(C36="Skema 2",B36="on"),Skemaoplysninger!$W$30,"")</f>
        <v/>
      </c>
      <c r="BO36" s="210" t="str">
        <f>IF(AND(C36="Skema 2",B36="to"),Skemaoplysninger!$Y$30,"")</f>
        <v/>
      </c>
      <c r="BP36" s="210" t="str">
        <f>IF(AND(C36="Skema 2",B36="fr"),Skemaoplysninger!$AA$30,"")</f>
        <v/>
      </c>
      <c r="BQ36" s="210" t="str">
        <f>IF(AND(C36="Skema 3",B36="ma"),Skemaoplysninger!$AG$30,"")</f>
        <v/>
      </c>
      <c r="BR36" s="210" t="str">
        <f>IF(AND(C36="Skema 3",B36="ti"),Skemaoplysninger!$AI$30,"")</f>
        <v/>
      </c>
      <c r="BS36" s="210" t="str">
        <f>IF(AND(C36="Skema 3",B36="on"),Skemaoplysninger!$AK$30,"")</f>
        <v/>
      </c>
      <c r="BT36" s="210" t="str">
        <f>IF(AND(C36="Skema 3",B36="to"),Skemaoplysninger!$AM$30,"")</f>
        <v/>
      </c>
      <c r="BU36" s="210" t="str">
        <f>IF(AND(C36="Skema 3",B36="fr"),Skemaoplysninger!$AO$30,"")</f>
        <v/>
      </c>
      <c r="BV36" s="210" t="str">
        <f>IF(AND(C36="Skema 4",B36="ma"),Skemaoplysninger!$AU$30,"")</f>
        <v/>
      </c>
      <c r="BW36" s="210" t="str">
        <f>IF(AND(C36="Skema 4",B36="ti"),Skemaoplysninger!$AW$30,"")</f>
        <v/>
      </c>
      <c r="BX36" s="210" t="str">
        <f>IF(AND(C36="Skema 4",B36="on"),Skemaoplysninger!$AY$30,"")</f>
        <v/>
      </c>
      <c r="BY36" s="210" t="str">
        <f>IF(AND(C36="Skema 4",B36="to"),Skemaoplysninger!$BA$30,"")</f>
        <v/>
      </c>
      <c r="BZ36" s="210" t="str">
        <f>IF(AND(C36="Skema 4",B36="fr"),Skemaoplysninger!$BC$30,"")</f>
        <v/>
      </c>
      <c r="CA36" s="1">
        <f t="shared" si="25"/>
        <v>3.4999999999999996</v>
      </c>
      <c r="CB36" s="1">
        <f t="shared" si="11"/>
        <v>0</v>
      </c>
      <c r="CC36" s="1">
        <f t="shared" si="12"/>
        <v>0</v>
      </c>
      <c r="CD36" s="210" t="str">
        <f>IF(AND(C36="Skema 1",B36="ma"),Skemaoplysninger!$E$31,"")</f>
        <v/>
      </c>
      <c r="CE36" s="210" t="str">
        <f>IF(AND(C36="Skema 1",B36="ti"),Skemaoplysninger!$G$31,"")</f>
        <v/>
      </c>
      <c r="CF36" s="210" t="str">
        <f>IF(AND(C36="Skema 1",B36="on"),Skemaoplysninger!$I$31,"")</f>
        <v/>
      </c>
      <c r="CG36" s="210" t="str">
        <f>IF(AND(C36="Skema 1",B36="to"),Skemaoplysninger!$K$31,"")</f>
        <v/>
      </c>
      <c r="CH36" s="210" t="str">
        <f>IF(AND(C36="Skema 1",B36="fr"),Skemaoplysninger!$M$31,"")</f>
        <v/>
      </c>
      <c r="CI36" s="210">
        <f>IF(AND(C36="Skema 2",B36="ma"),Skemaoplysninger!$S$31,"")</f>
        <v>4.1666666666666671E-2</v>
      </c>
      <c r="CJ36" s="210" t="str">
        <f>IF(AND(C36="Skema 2",B36="ti"),Skemaoplysninger!$U$31,"")</f>
        <v/>
      </c>
      <c r="CK36" s="210" t="str">
        <f>IF(AND(C36="Skema 2",B36="on"),Skemaoplysninger!$W$31,"")</f>
        <v/>
      </c>
      <c r="CL36" s="210" t="str">
        <f>IF(AND(C36="Skema 2",B36="to"),Skemaoplysninger!$Y$31,"")</f>
        <v/>
      </c>
      <c r="CM36" s="210" t="str">
        <f>IF(AND(C36="Skema 2",B36="fr"),Skemaoplysninger!$AA$31,"")</f>
        <v/>
      </c>
      <c r="CN36" s="210" t="str">
        <f>IF(AND(C36="Skema 3",B36="ma"),Skemaoplysninger!$AG$31,"")</f>
        <v/>
      </c>
      <c r="CO36" s="210" t="str">
        <f>IF(AND(C36="Skema 3",B36="ti"),Skemaoplysninger!$AI$31,"")</f>
        <v/>
      </c>
      <c r="CP36" s="210" t="str">
        <f>IF(AND(C36="Skema 3",B36="on"),Skemaoplysninger!$AK$31,"")</f>
        <v/>
      </c>
      <c r="CQ36" s="210" t="str">
        <f>IF(AND(C36="Skema 3",B36="to"),Skemaoplysninger!$AM$31,"")</f>
        <v/>
      </c>
      <c r="CR36" s="210" t="str">
        <f>IF(AND(C36="Skema 3",B36="fr"),Skemaoplysninger!$AO$31,"")</f>
        <v/>
      </c>
      <c r="CS36" s="210" t="str">
        <f>IF(AND(C36="Skema 4",B36="ma"),Skemaoplysninger!$AU$31,"")</f>
        <v/>
      </c>
      <c r="CT36" s="210" t="str">
        <f>IF(AND(C36="Skema 4",B36="ti"),Skemaoplysninger!$AW$31,"")</f>
        <v/>
      </c>
      <c r="CU36" s="210" t="str">
        <f>IF(AND(C36="Skema 4",B36="on"),Skemaoplysninger!$AY$31,"")</f>
        <v/>
      </c>
      <c r="CV36" s="210" t="str">
        <f>IF(AND(C36="Skema 4",B36="to"),Skemaoplysninger!$BA$31,"")</f>
        <v/>
      </c>
      <c r="CW36" s="210" t="str">
        <f>IF(AND(C36="Skema 4",B36="fr"),Skemaoplysninger!$BC$31,"")</f>
        <v/>
      </c>
      <c r="CX36" s="249">
        <f>IF(Stamoplysninger!$H$29="NEJ",SUM(CD36:CW36)*24+CB36+CC36,0)</f>
        <v>1</v>
      </c>
      <c r="CY36" s="249">
        <f>IF(C36="Skema 1",Stamoplysninger!$H$30/200,0)</f>
        <v>0</v>
      </c>
      <c r="CZ36" s="249">
        <f>IF(C36="Skema 2",Stamoplysninger!$H$30/200,0)</f>
        <v>0</v>
      </c>
      <c r="DA36" s="249">
        <f>IF(C36="Skema 3",Stamoplysninger!$H$30/200,0)</f>
        <v>0</v>
      </c>
      <c r="DB36" s="249">
        <f>IF(C36="Skema 4",Stamoplysninger!$H$30/200,0)</f>
        <v>0</v>
      </c>
      <c r="DC36" s="249">
        <f>IF(C36="fagdag",Stamoplysninger!$H$30/200,0)</f>
        <v>0</v>
      </c>
      <c r="DD36" s="249">
        <f>IF(C36="emnedag",Stamoplysninger!$H$30/200,0)</f>
        <v>0</v>
      </c>
      <c r="DE36" s="249">
        <f>IF(C36="lejrskole",Stamoplysninger!$H$30/200,0)</f>
        <v>0</v>
      </c>
      <c r="DF36" s="249">
        <f>IF(C36="ekskursion",Stamoplysninger!$H$30/200,0)</f>
        <v>0</v>
      </c>
      <c r="DG36" s="249">
        <f t="shared" si="26"/>
        <v>0</v>
      </c>
      <c r="DH36" t="str">
        <f t="shared" si="27"/>
        <v/>
      </c>
      <c r="DI36">
        <f t="shared" si="28"/>
        <v>0</v>
      </c>
      <c r="DJ36">
        <f t="shared" si="29"/>
        <v>0</v>
      </c>
      <c r="DK36" t="str">
        <f t="shared" si="13"/>
        <v/>
      </c>
      <c r="DL36" t="str">
        <f t="shared" si="13"/>
        <v/>
      </c>
      <c r="DM36" t="str">
        <f t="shared" si="13"/>
        <v/>
      </c>
      <c r="DN36" t="str">
        <f t="shared" si="30"/>
        <v/>
      </c>
      <c r="DO36" s="652">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71">
        <f>IF(AND(Stamoplysninger!$B$22="Ulempetillæg udbetales med 25% af nettotimelønnen.",C36="ikke relevant"),(R36)/4,0)</f>
        <v>0</v>
      </c>
      <c r="DT36" s="671">
        <f>IF(AND(AND(Stamoplysninger!$B$22="Ulempetillæg udbetales med 25% af nettotimelønnen.",I36="X",C36="Ikke relevant")),K36/4,0)</f>
        <v>0</v>
      </c>
      <c r="DU36" s="671">
        <f>IF(AND(AND(Stamoplysninger!$B$22="Ulempetillæg udbetales med 25% af nettotimelønnen.",C36="ikke relevant",U36="X")),(X36/4),0)</f>
        <v>0</v>
      </c>
      <c r="DV36" s="672">
        <f>IF(AND(AND(AND(Stamoplysninger!$B$22="Ulempetillæg udbetales med 25% af nettotimelønnen.",I36="X",C36="Ikke relevant",S36="X"))),V36/4,0)</f>
        <v>0</v>
      </c>
      <c r="DW36" s="652"/>
      <c r="DZ36" s="671"/>
      <c r="EA36" s="671"/>
      <c r="EB36" s="672"/>
      <c r="EC36" s="652">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71">
        <f>IF(AND(Stamoplysninger!$B$22="Ulempetillæg afspadseres med 25%(Kræver en aftale imellem ledelsen og den ansatte)",C36="ikke relevant"),(R36)/4,0)</f>
        <v>0</v>
      </c>
      <c r="EH36" s="671">
        <f>IF(AND(AND(Stamoplysninger!$B$22="Ulempetillæg afspadseres med 25%(Kræver en aftale imellem ledelsen og den ansatte)",I36="X",C36="Ikke relevant")),K36/4,0)</f>
        <v>0</v>
      </c>
      <c r="EI36" s="671">
        <f>IF(AND(AND(Stamoplysninger!$B$22="Ulempetillæg afspadseres med 25%(Kræver en aftale imellem ledelsen og den ansatte)",U36="X",C36="Ikke relevant")),X36/4,0)</f>
        <v>0</v>
      </c>
      <c r="EJ36" s="671">
        <f>IF(AND(AND(AND(Stamoplysninger!$B$22="Ulempetillæg afspadseres med 25%(Kræver en aftale imellem ledelsen og den ansatte)",I36="X",C36="Ikke relevant",S36="X"))),V36/4,0)</f>
        <v>0</v>
      </c>
      <c r="EK36" s="283">
        <f>IF(AND(Stamoplysninger!$B$26="Weekendtimer og weekendtillæg afspadseres.",I36="X"),K36*1.5,0)</f>
        <v>0</v>
      </c>
      <c r="EL36" s="251">
        <f>IF(AND(AND(Stamoplysninger!$B$26="Weekendtimer og weekendtillæg afspadseres.",I36="X",S36="X")),V36*1.5,0)</f>
        <v>0</v>
      </c>
      <c r="EM36" s="674">
        <f>IF(AND(AND(Stamoplysninger!$B$26="Weekendtimer og weekendtillæg afspadseres.",I36="X",C36="ikke relevant")),K36*1.5,0)</f>
        <v>0</v>
      </c>
      <c r="EN36" s="675">
        <f>IF(AND(AND(AND(Stamoplysninger!$B$26="Weekendtimer og weekendtillæg afspadseres.",I36="X",C36="ikke relevant",S36="X"))),(V36*1.5),0)</f>
        <v>0</v>
      </c>
      <c r="EO36" s="283">
        <f>IF(AND(Stamoplysninger!$B$26="Weekendtimer og weekendtillæg udbetales.",I36="X"),K36*1.5,0)</f>
        <v>0</v>
      </c>
      <c r="EP36" s="251">
        <f>IF(AND(AND(Stamoplysninger!$B$26="Weekendtimer og weekendtillæg udbetales.",I36="X",S36="X")),V36*1.5,0)</f>
        <v>0</v>
      </c>
      <c r="EQ36" s="674">
        <f>IF(AND(AND(Stamoplysninger!$B$26="Weekendtimer og weekendtillæg udbetales.",I36="X",C36="ikke relevant")),K36*1.5,0)</f>
        <v>0</v>
      </c>
      <c r="ER36" s="675">
        <f>IF(AND(AND(AND(Stamoplysninger!$B$26="Weekendtimer og weekendtillæg udbetales.",I36="X",C36="ikke relevant",S36="X"))),(V36*1.5),0)</f>
        <v>0</v>
      </c>
      <c r="ES36" s="283">
        <f>IF(AND(Stamoplysninger!$B$26="Der er indgået lokalaftale omkring weekendtimer.(Kræver aftale med TR/FSL) Weekendtillæg afspadseres.",I36="X"),K36*0.5,0)</f>
        <v>0</v>
      </c>
      <c r="ET36" s="251">
        <f>IF(AND(AND(Stamoplysninger!$B$26="Der er indgået lokalaftale omkring weekendtimer.(Kræver aftale med TR/FSL) Weekendtillæg afspadseres.",I36="X",S36="X")),V36*0.5,0)</f>
        <v>0</v>
      </c>
      <c r="EU36" s="674">
        <f>IF(AND(AND(Stamoplysninger!$B$26="Der er indgået lokalaftale omkring weekendtimer.(Kræver aftale med TR/FSL) Weekendtillæg afspadseres.",I36="X",C36="ikke relevant")),K36*0.5,0)</f>
        <v>0</v>
      </c>
      <c r="EV36" s="675">
        <f>IF(AND(AND(AND(Stamoplysninger!$B$26="Der er indgået lokalaftale omkring weekendtimer.(Kræver aftale med TR/FSL) Weekendtillæg afspadseres.",I36="X",C36="ikke relevant",S36="X"))),(V36*0.5),0)</f>
        <v>0</v>
      </c>
      <c r="EW36" s="283">
        <f>IF(AND(Stamoplysninger!$B$26="Der er indgået lokalaftale omkring weekendtimer(Kræver aftale med TR/FSL). Weekendtillæg udbetales.",I36="X"),K36*0.5,0)</f>
        <v>0</v>
      </c>
      <c r="EX36" s="251">
        <f>IF(AND(AND(Stamoplysninger!$B$26="Der er indgået lokalaftale omkring weekendtimer(Kræver aftale med TR/FSL). Weekendtillæg udbetales.",I36="X",S36="X")),V36*0.5,0)</f>
        <v>0</v>
      </c>
      <c r="EY36" s="674">
        <f>IF(AND(AND(Stamoplysninger!$B$26="Der er indgået lokalaftale omkring weekendtimer(Kræver aftale med TR/FSL). Weekendtillæg udbetales.",I36="X",C36="ikke relevant")),K36*0.5,0)</f>
        <v>0</v>
      </c>
      <c r="EZ36" s="675">
        <f>IF(AND(AND(AND(Stamoplysninger!$B$26="Der er indgået lokalaftale omkring weekendtimer(Kræver aftale med TR/FSL). Weekendtillæg udbetales.",I36="X",C36="ikke relevant",S36="X"))),(V36*0.5),0)</f>
        <v>0</v>
      </c>
      <c r="FA36" s="283">
        <f>IF(AND(Stamoplysninger!$B$26="Der er indgået lokalaftale omkring weekendtillæg(Kræver aftale med TR/FSL). Weekendtimerne afspadseres.",I36="X"),K36,0)</f>
        <v>0</v>
      </c>
      <c r="FB36" s="251">
        <f>IF(AND(AND(Stamoplysninger!$B$26="Der er indgået lokalaftale omkring weekendtillæg(Kræver aftale med TR/FSL). Weekendtimerne afspadseres.",I36="X",S36="X")),V36,0)</f>
        <v>0</v>
      </c>
      <c r="FC36" s="674">
        <f>IF(AND(AND(Stamoplysninger!$B$26="Der er indgået lokalaftale omkring weekendtillæg(Kræver aftale med TR/FSL). Weekendtimerne afspadseres..",I36="X",C36="ikke relevant")),K36,0)</f>
        <v>0</v>
      </c>
      <c r="FD36" s="675">
        <f>IF(AND(AND(AND(Stamoplysninger!$B$26="Der er indgået lokalaftale omkring weekendtillæg(Kræver aftale med TR/FSL). Weekendtimerne afspadseres.",I36="X",C36="ikke relevant",S36="X"))),(V36),0)</f>
        <v>0</v>
      </c>
      <c r="FE36" s="283">
        <f>IF(AND(Stamoplysninger!$B$26="Der er indgået lokalaftale omkring weekendtillæg(Kræver aftale med TR/FSL). Weekendtimerne udbetales.",I36="X"),K36,0)</f>
        <v>0</v>
      </c>
      <c r="FF36" s="251">
        <f>IF(AND(AND(Stamoplysninger!$B$26="Der er indgået lokalaftale omkring weekendtillæg(Kræver aftale med TR/FSL). Weekendtimerne udbetales.",I36="X",S36="X")),V36,0)</f>
        <v>0</v>
      </c>
      <c r="FG36" s="674">
        <f>IF(AND(AND(Stamoplysninger!$B$26="Der er indgået lokalaftale omkring weekendtillæg(Kræver aftale med TR/FSL). Weekendtimerne udbetales.",I36="X",C36="ikke relevant")),K36,0)</f>
        <v>0</v>
      </c>
      <c r="FH36" s="675">
        <f>IF(AND(AND(AND(Stamoplysninger!$B$26="Der er indgået lokalaftale omkring weekendtillæg(Kræver aftale med TR/FSL). Weekendtimerne udbetales.",I36="X",C36="ikke relevant",S36="X"))),(V36),0)</f>
        <v>0</v>
      </c>
      <c r="FI36" s="283">
        <f>IF(AND(Stamoplysninger!$B$26="Weekendtimer og weekendtillæg afspadseres.",I36="X"),K36,0)</f>
        <v>0</v>
      </c>
      <c r="FJ36" s="251">
        <f>IF(AND(Stamoplysninger!$B$26="Weekendtimer og weekendtillæg afspadseres.",Y36="X"),(AA36+AL36)/2,0)</f>
        <v>0</v>
      </c>
      <c r="FK36" s="674">
        <f>IF(AND(AND(Stamoplysninger!$B$26="Weekendtimer og weekendtillæg afspadseres.",I36="X",C36="ikke relevant")),K36,0)</f>
        <v>0</v>
      </c>
      <c r="FL36" s="675">
        <f>IF(AND(AND(Stamoplysninger!$B$26="Weekendtimer og weekendtillæg afspadseres.",Y36="X",S36="ikke relevant")),(AA36+AL36)/2,0)</f>
        <v>0</v>
      </c>
      <c r="FM36" s="283">
        <f>IF(AND(Stamoplysninger!$B$26="Der er indgået lokalaftale omkring weekendtillæg(Kræver aftale med TR/FSL). Weekendtimerne afspadseres.",I36="X"),K36,0)</f>
        <v>0</v>
      </c>
      <c r="FN36" s="674">
        <f>IF(AND(AND(Stamoplysninger!$B$26="Der er indgået lokalaftale omkring weekendtillæg(Kræver aftale med TR/FSL). Weekendtimerne afspadseres.",I36="X",C36="ikke relevant")),K36,0)</f>
        <v>0</v>
      </c>
      <c r="FO36" s="283">
        <f>IF(AND(Stamoplysninger!$B$26="Weekendtimer og weekendtillæg udbetales.",I36="X"),K36,0)</f>
        <v>0</v>
      </c>
      <c r="FP36" s="251">
        <f>IF(AND(Stamoplysninger!$B$26="Weekendtimer og weekendtillæg udbetales.",AA36="X"),(AC36+AN36)/2,0)</f>
        <v>0</v>
      </c>
      <c r="FQ36" s="674">
        <f>IF(AND(AND(Stamoplysninger!$B$26="Weekendtimer og weekendtillæg udbetales.",I36="X",C36="ikke relevant")),K36,0)</f>
        <v>0</v>
      </c>
      <c r="FR36" s="688">
        <f>IF(AND(AND(Stamoplysninger!$B$26="Weekendtimer og weekendtillæg udbetales.",AA36="X",U36="ikke relevant")),(AC36+AN36)/2,0)</f>
        <v>0</v>
      </c>
      <c r="FS36" s="283">
        <f t="shared" si="14"/>
        <v>0</v>
      </c>
      <c r="FT36" s="658">
        <f t="shared" si="15"/>
        <v>0</v>
      </c>
      <c r="FU36">
        <f t="shared" si="31"/>
        <v>0</v>
      </c>
      <c r="FV36" s="283">
        <f>IF(AND(Stamoplysninger!$B$26="Der er indgået lokalaftale omkring weekendtimer.(Kræver aftale med TR/FSL) Weekendtillæg afspadseres.",I36="X"),K36,0)</f>
        <v>0</v>
      </c>
      <c r="FW36" s="674">
        <f>IF(AND(AND(Stamoplysninger!$B$26="Der er indgået lokalaftale omkring weekendtimer.(Kræver aftale med TR/FSL) Weekendtillæg afspadseres.",I36="X",C36="ikke relevant")),K36,0)</f>
        <v>0</v>
      </c>
      <c r="FX36" s="283">
        <f>IF(AND(Stamoplysninger!$B$26="Der er indgået lokalaftale omkring weekendtimer(Kræver aftale med TR/FSL). Weekendtillæg udbetales.",I36="X"),K36,0)</f>
        <v>0</v>
      </c>
      <c r="FY36" s="674">
        <f>IF(AND(AND(Stamoplysninger!$B$26="Der er indgået lokalaftale omkring weekendtimer(Kræver aftale med TR/FSL). Weekendtillæg udbetales.",I36="X",C36="ikke relevant")),K36,0)</f>
        <v>0</v>
      </c>
      <c r="FZ36" s="283">
        <f>IF(AND(Stamoplysninger!$B$26="Der er indgået lokalaftale omkring weekendtillæg(Kræver aftale med TR/FSL). Weekendtimerne udbetales.",I36="X"),K36,0)</f>
        <v>0</v>
      </c>
      <c r="GA36" s="674">
        <f>IF(AND(AND(Stamoplysninger!$B$26="Der er indgået lokalaftale omkring weekendtillæg(Kræver aftale med TR/FSL). Weekendtimerne udbetales.",I36="X",C36="ikke relevant")),K36,0)</f>
        <v>0</v>
      </c>
      <c r="GB36" s="283">
        <f>IF(AND(Stamoplysninger!$B$26="Der er indgået lokalaftale omkring weekendtimer og weekendtillæg.(Kræver aftale med TR/FSL).",I36="X"),K36,0)</f>
        <v>0</v>
      </c>
      <c r="GC36" s="674">
        <f>IF(AND(AND(Stamoplysninger!$B$26="Der er indgået lokalaftale omkring weekendtimer og weekendtillæg.(Kræver aftale med TR/FSL).",I36="X",C36="ikke relevant")),K36,0)</f>
        <v>0</v>
      </c>
    </row>
    <row r="37" spans="1:185">
      <c r="A37" s="245">
        <f>IF(ISNUMBER(A36),A36+1,1)</f>
        <v>29</v>
      </c>
      <c r="B37" s="128" t="str">
        <f t="shared" si="0"/>
        <v>ti</v>
      </c>
      <c r="C37" s="129" t="s">
        <v>207</v>
      </c>
      <c r="D37" s="130" t="str">
        <f t="shared" si="1"/>
        <v/>
      </c>
      <c r="E37" s="917"/>
      <c r="F37" s="918"/>
      <c r="G37" s="919"/>
      <c r="H37" s="298"/>
      <c r="I37" s="527"/>
      <c r="J37" s="413"/>
      <c r="K37" s="380"/>
      <c r="L37" s="380"/>
      <c r="M37" s="380"/>
      <c r="N37" s="318">
        <f t="shared" si="18"/>
        <v>8.5</v>
      </c>
      <c r="O37" s="318">
        <f t="shared" si="19"/>
        <v>3.75</v>
      </c>
      <c r="P37" s="318">
        <f>IF(Stamoplysninger!$H$29="JA",April!DG37,CX37)</f>
        <v>1.5</v>
      </c>
      <c r="Q37" s="318">
        <f t="shared" si="20"/>
        <v>3.25</v>
      </c>
      <c r="R37" s="319"/>
      <c r="S37" s="324"/>
      <c r="T37" s="325"/>
      <c r="U37" s="325"/>
      <c r="V37" s="435"/>
      <c r="W37" s="435"/>
      <c r="X37" s="644"/>
      <c r="Y37">
        <f t="shared" si="21"/>
        <v>0</v>
      </c>
      <c r="Z37" s="437">
        <f t="shared" si="22"/>
        <v>0</v>
      </c>
      <c r="AA37" s="1">
        <f t="shared" si="2"/>
        <v>0</v>
      </c>
      <c r="AB37" s="1">
        <f t="shared" si="3"/>
        <v>0</v>
      </c>
      <c r="AC37" s="1">
        <f t="shared" si="4"/>
        <v>0</v>
      </c>
      <c r="AD37" s="1">
        <f t="shared" si="5"/>
        <v>0</v>
      </c>
      <c r="AE37" s="1">
        <f t="shared" si="6"/>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f>IF(AND(C37="Skema 2",B37="ti"),Arbejdstidsoversigt!$E$82,"")</f>
        <v>8.5</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8.5</v>
      </c>
      <c r="BB37" s="229">
        <f t="shared" si="7"/>
        <v>0</v>
      </c>
      <c r="BC37" s="1">
        <f t="shared" si="24"/>
        <v>0</v>
      </c>
      <c r="BD37" s="1">
        <f t="shared" si="8"/>
        <v>0</v>
      </c>
      <c r="BE37" s="1">
        <f t="shared" si="9"/>
        <v>0</v>
      </c>
      <c r="BF37" s="1">
        <f t="shared" si="10"/>
        <v>0</v>
      </c>
      <c r="BG37" s="210" t="str">
        <f>IF(AND(C37="Skema 1",B37="ma"),Skemaoplysninger!$E$30,"")</f>
        <v/>
      </c>
      <c r="BH37" s="210" t="str">
        <f>IF(AND(C37="Skema 1",B37="ti"),Skemaoplysninger!$G$30,"")</f>
        <v/>
      </c>
      <c r="BI37" s="210" t="str">
        <f>IF(AND(C37="Skema 1",B37="on"),Skemaoplysninger!$I$30,"")</f>
        <v/>
      </c>
      <c r="BJ37" s="210" t="str">
        <f>IF(AND(C37="Skema 1",B37="to"),Skemaoplysninger!$K$30,"")</f>
        <v/>
      </c>
      <c r="BK37" s="210" t="str">
        <f>IF(AND(C37="Skema 1",B37="fr"),Skemaoplysninger!$M$30,"")</f>
        <v/>
      </c>
      <c r="BL37" s="210" t="str">
        <f>IF(AND(C37="Skema 2",B37="ma"),Skemaoplysninger!$S$30,"")</f>
        <v/>
      </c>
      <c r="BM37" s="210">
        <f>IF(AND(C37="Skema 2",B37="ti"),Skemaoplysninger!$U$30,"")</f>
        <v>0.15625</v>
      </c>
      <c r="BN37" s="210" t="str">
        <f>IF(AND(C37="Skema 2",B37="on"),Skemaoplysninger!$W$30,"")</f>
        <v/>
      </c>
      <c r="BO37" s="210" t="str">
        <f>IF(AND(C37="Skema 2",B37="to"),Skemaoplysninger!$Y$30,"")</f>
        <v/>
      </c>
      <c r="BP37" s="210" t="str">
        <f>IF(AND(C37="Skema 2",B37="fr"),Skemaoplysninger!$AA$30,"")</f>
        <v/>
      </c>
      <c r="BQ37" s="210" t="str">
        <f>IF(AND(C37="Skema 3",B37="ma"),Skemaoplysninger!$AG$30,"")</f>
        <v/>
      </c>
      <c r="BR37" s="210" t="str">
        <f>IF(AND(C37="Skema 3",B37="ti"),Skemaoplysninger!$AI$30,"")</f>
        <v/>
      </c>
      <c r="BS37" s="210" t="str">
        <f>IF(AND(C37="Skema 3",B37="on"),Skemaoplysninger!$AK$30,"")</f>
        <v/>
      </c>
      <c r="BT37" s="210" t="str">
        <f>IF(AND(C37="Skema 3",B37="to"),Skemaoplysninger!$AM$30,"")</f>
        <v/>
      </c>
      <c r="BU37" s="210" t="str">
        <f>IF(AND(C37="Skema 3",B37="fr"),Skemaoplysninger!$AO$30,"")</f>
        <v/>
      </c>
      <c r="BV37" s="210" t="str">
        <f>IF(AND(C37="Skema 4",B37="ma"),Skemaoplysninger!$AU$30,"")</f>
        <v/>
      </c>
      <c r="BW37" s="210" t="str">
        <f>IF(AND(C37="Skema 4",B37="ti"),Skemaoplysninger!$AW$30,"")</f>
        <v/>
      </c>
      <c r="BX37" s="210" t="str">
        <f>IF(AND(C37="Skema 4",B37="on"),Skemaoplysninger!$AY$30,"")</f>
        <v/>
      </c>
      <c r="BY37" s="210" t="str">
        <f>IF(AND(C37="Skema 4",B37="to"),Skemaoplysninger!$BA$30,"")</f>
        <v/>
      </c>
      <c r="BZ37" s="210" t="str">
        <f>IF(AND(C37="Skema 4",B37="fr"),Skemaoplysninger!$BC$30,"")</f>
        <v/>
      </c>
      <c r="CA37" s="1">
        <f t="shared" si="25"/>
        <v>3.75</v>
      </c>
      <c r="CB37" s="1">
        <f t="shared" si="11"/>
        <v>0</v>
      </c>
      <c r="CC37" s="1">
        <f t="shared" si="12"/>
        <v>0</v>
      </c>
      <c r="CD37" s="210" t="str">
        <f>IF(AND(C37="Skema 1",B37="ma"),Skemaoplysninger!$E$31,"")</f>
        <v/>
      </c>
      <c r="CE37" s="210" t="str">
        <f>IF(AND(C37="Skema 1",B37="ti"),Skemaoplysninger!$G$31,"")</f>
        <v/>
      </c>
      <c r="CF37" s="210" t="str">
        <f>IF(AND(C37="Skema 1",B37="on"),Skemaoplysninger!$I$31,"")</f>
        <v/>
      </c>
      <c r="CG37" s="210" t="str">
        <f>IF(AND(C37="Skema 1",B37="to"),Skemaoplysninger!$K$31,"")</f>
        <v/>
      </c>
      <c r="CH37" s="210" t="str">
        <f>IF(AND(C37="Skema 1",B37="fr"),Skemaoplysninger!$M$31,"")</f>
        <v/>
      </c>
      <c r="CI37" s="210" t="str">
        <f>IF(AND(C37="Skema 2",B37="ma"),Skemaoplysninger!$S$31,"")</f>
        <v/>
      </c>
      <c r="CJ37" s="210">
        <f>IF(AND(C37="Skema 2",B37="ti"),Skemaoplysninger!$U$31,"")</f>
        <v>6.25E-2</v>
      </c>
      <c r="CK37" s="210" t="str">
        <f>IF(AND(C37="Skema 2",B37="on"),Skemaoplysninger!$W$31,"")</f>
        <v/>
      </c>
      <c r="CL37" s="210" t="str">
        <f>IF(AND(C37="Skema 2",B37="to"),Skemaoplysninger!$Y$31,"")</f>
        <v/>
      </c>
      <c r="CM37" s="210" t="str">
        <f>IF(AND(C37="Skema 2",B37="fr"),Skemaoplysninger!$AA$31,"")</f>
        <v/>
      </c>
      <c r="CN37" s="210" t="str">
        <f>IF(AND(C37="Skema 3",B37="ma"),Skemaoplysninger!$AG$31,"")</f>
        <v/>
      </c>
      <c r="CO37" s="210" t="str">
        <f>IF(AND(C37="Skema 3",B37="ti"),Skemaoplysninger!$AI$31,"")</f>
        <v/>
      </c>
      <c r="CP37" s="210" t="str">
        <f>IF(AND(C37="Skema 3",B37="on"),Skemaoplysninger!$AK$31,"")</f>
        <v/>
      </c>
      <c r="CQ37" s="210" t="str">
        <f>IF(AND(C37="Skema 3",B37="to"),Skemaoplysninger!$AM$31,"")</f>
        <v/>
      </c>
      <c r="CR37" s="210" t="str">
        <f>IF(AND(C37="Skema 3",B37="fr"),Skemaoplysninger!$AO$31,"")</f>
        <v/>
      </c>
      <c r="CS37" s="210" t="str">
        <f>IF(AND(C37="Skema 4",B37="ma"),Skemaoplysninger!$AU$31,"")</f>
        <v/>
      </c>
      <c r="CT37" s="210" t="str">
        <f>IF(AND(C37="Skema 4",B37="ti"),Skemaoplysninger!$AW$31,"")</f>
        <v/>
      </c>
      <c r="CU37" s="210" t="str">
        <f>IF(AND(C37="Skema 4",B37="on"),Skemaoplysninger!$AY$31,"")</f>
        <v/>
      </c>
      <c r="CV37" s="210" t="str">
        <f>IF(AND(C37="Skema 4",B37="to"),Skemaoplysninger!$BA$31,"")</f>
        <v/>
      </c>
      <c r="CW37" s="210" t="str">
        <f>IF(AND(C37="Skema 4",B37="fr"),Skemaoplysninger!$BC$31,"")</f>
        <v/>
      </c>
      <c r="CX37" s="249">
        <f>IF(Stamoplysninger!$H$29="NEJ",SUM(CD37:CW37)*24+CB37+CC37,0)</f>
        <v>1.5</v>
      </c>
      <c r="CY37" s="249">
        <f>IF(C37="Skema 1",Stamoplysninger!$H$30/200,0)</f>
        <v>0</v>
      </c>
      <c r="CZ37" s="249">
        <f>IF(C37="Skema 2",Stamoplysninger!$H$30/200,0)</f>
        <v>0</v>
      </c>
      <c r="DA37" s="249">
        <f>IF(C37="Skema 3",Stamoplysninger!$H$30/200,0)</f>
        <v>0</v>
      </c>
      <c r="DB37" s="249">
        <f>IF(C37="Skema 4",Stamoplysninger!$H$30/200,0)</f>
        <v>0</v>
      </c>
      <c r="DC37" s="249">
        <f>IF(C37="fagdag",Stamoplysninger!$H$30/200,0)</f>
        <v>0</v>
      </c>
      <c r="DD37" s="249">
        <f>IF(C37="emnedag",Stamoplysninger!$H$30/200,0)</f>
        <v>0</v>
      </c>
      <c r="DE37" s="249">
        <f>IF(C37="lejrskole",Stamoplysninger!$H$30/200,0)</f>
        <v>0</v>
      </c>
      <c r="DF37" s="249">
        <f>IF(C37="ekskursion",Stamoplysninger!$H$30/200,0)</f>
        <v>0</v>
      </c>
      <c r="DG37" s="249">
        <f t="shared" si="26"/>
        <v>0</v>
      </c>
      <c r="DH37" t="str">
        <f t="shared" si="27"/>
        <v/>
      </c>
      <c r="DI37">
        <f t="shared" si="28"/>
        <v>0</v>
      </c>
      <c r="DJ37">
        <f t="shared" si="29"/>
        <v>0</v>
      </c>
      <c r="DK37" t="str">
        <f t="shared" si="13"/>
        <v/>
      </c>
      <c r="DL37" t="str">
        <f t="shared" si="13"/>
        <v/>
      </c>
      <c r="DM37" t="str">
        <f t="shared" si="13"/>
        <v/>
      </c>
      <c r="DN37" t="str">
        <f t="shared" si="30"/>
        <v/>
      </c>
      <c r="DO37" s="652">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71">
        <f>IF(AND(Stamoplysninger!$B$22="Ulempetillæg udbetales med 25% af nettotimelønnen.",C37="ikke relevant"),(R37)/4,0)</f>
        <v>0</v>
      </c>
      <c r="DT37" s="671">
        <f>IF(AND(AND(Stamoplysninger!$B$22="Ulempetillæg udbetales med 25% af nettotimelønnen.",I37="X",C37="Ikke relevant")),K37/4,0)</f>
        <v>0</v>
      </c>
      <c r="DU37" s="671">
        <f>IF(AND(AND(Stamoplysninger!$B$22="Ulempetillæg udbetales med 25% af nettotimelønnen.",C37="ikke relevant",U37="X")),(X37/4),0)</f>
        <v>0</v>
      </c>
      <c r="DV37" s="672">
        <f>IF(AND(AND(AND(Stamoplysninger!$B$22="Ulempetillæg udbetales med 25% af nettotimelønnen.",I37="X",C37="Ikke relevant",U37="X"))),X37/4,0)</f>
        <v>0</v>
      </c>
      <c r="DW37" s="652"/>
      <c r="DZ37" s="671"/>
      <c r="EA37" s="671"/>
      <c r="EB37" s="672"/>
      <c r="EC37" s="652">
        <f>IF(Stamoplysninger!$B$22="Ulempetillæg afspadseres med 25%(Kræver en aftale imellem ledelsen og den ansatte)",(R37+X37)/4,0)</f>
        <v>0</v>
      </c>
      <c r="ED37">
        <f>IF(AND(Stamoplysninger!$B$22="Ulempetillæg afspadseres med 25%(Kræver en aftale imellem ledelsen og den ansatte)",I37="X"),K37/4,0)</f>
        <v>0</v>
      </c>
      <c r="EE37">
        <f>IF(AND(Stamoplysninger!$B$22="Ulempetillæg afspadseres med 25%(Kræver en aftale imellem ledelsen og den ansatte)",I37="X"),V37/4,0)</f>
        <v>0</v>
      </c>
      <c r="EF37">
        <f>IF(AND(AND(Stamoplysninger!$B$22="Ulempetillæg udbetales med 25% af nettotimelønnen.",AG37="X",W37="X")),AJ37/4,0)</f>
        <v>0</v>
      </c>
      <c r="EG37" s="671">
        <f>IF(AND(Stamoplysninger!$B$22="Ulempetillæg afspadseres med 25%(Kræver en aftale imellem ledelsen og den ansatte)",C37="ikke relevant"),(R37+X37)/4,0)</f>
        <v>0</v>
      </c>
      <c r="EH37" s="671">
        <f>IF(AND(AND(Stamoplysninger!$B$22="Ulempetillæg afspadseres med 25%(Kræver en aftale imellem ledelsen og den ansatte)",I37="X",C37="Ikke relevant")),K37/4,0)</f>
        <v>0</v>
      </c>
      <c r="EI37" s="671">
        <f>IF(AND(AND(Stamoplysninger!$B$22="Ulempetillæg afspadseres med 25%(Kræver en aftale imellem ledelsen og den ansatte)",I37="X",C37="Ikke relevant")),V37/4,0)</f>
        <v>0</v>
      </c>
      <c r="EJ37" s="671">
        <f>IF(AND(AND(Stamoplysninger!$B$22="Ulempetillæg afspadseres med 25%(Kræver en aftale imellem ledelsen og den ansatte)",J37="X",D37="Ikke relevant")),W37/4,0)</f>
        <v>0</v>
      </c>
      <c r="EK37" s="283">
        <f>IF(AND(Stamoplysninger!$B$26="Weekendtimer og weekendtillæg afspadseres.",I37="X"),K37+V37,0)</f>
        <v>0</v>
      </c>
      <c r="EL37" s="251">
        <f>IF(AND(Stamoplysninger!$B$26="Weekendtimer og weekendtillæg afspadseres.",J37="X"),(L37+W37)/2,0)</f>
        <v>0</v>
      </c>
      <c r="EM37" s="674">
        <f>IF(AND(AND(Stamoplysninger!$B$26="Weekendtimer og weekendtillæg afspadseres.",I37="X",C37="ikke relevant")),K37+V37,0)</f>
        <v>0</v>
      </c>
      <c r="EN37" s="675">
        <f>IF(AND(AND(Stamoplysninger!$B$26="Weekendtimer og weekendtillæg afspadseres.",I37="X",C37="ikke relevant")),(K37+V37)/2,0)</f>
        <v>0</v>
      </c>
      <c r="EO37" s="283">
        <f>IF(AND(Stamoplysninger!$B$26="Weekendtimer og weekendtillæg udbetales.",I37="X"),K37+V37,0)</f>
        <v>0</v>
      </c>
      <c r="EP37" s="251">
        <f>IF(AND(Stamoplysninger!$B$26="Weekendtimer og weekendtillæg udbetales.",I37="X"),(K37+V37)/2,0)</f>
        <v>0</v>
      </c>
      <c r="EQ37" s="674">
        <f>IF(AND(AND(Stamoplysninger!$B$26="Weekendtimer og weekendtillæg udbetales.",I37="X",C37="ikke relevant")),K37+V37,0)</f>
        <v>0</v>
      </c>
      <c r="ER37" s="675">
        <f>IF(AND(AND(Stamoplysninger!$B$26="Weekendtimer og weekendtillæg udbetales.",I37="X",C37="ikke relevant")),(K37+V37)/2,0)</f>
        <v>0</v>
      </c>
      <c r="ES37" s="283">
        <f>IF(AND(Stamoplysninger!$B$26="Weekendtimer og weekendtillæg udbetales.",M37="X"),O37+Z37,0)</f>
        <v>0</v>
      </c>
      <c r="ET37" s="251">
        <f>IF(AND(Stamoplysninger!$B$26="Weekendtimer og weekendtillæg udbetales.",M37="X"),(O37+Z37)/2,0)</f>
        <v>0</v>
      </c>
      <c r="EU37" s="674">
        <f>IF(AND(AND(Stamoplysninger!$B$26="Weekendtimer og weekendtillæg udbetales.",M37="X",G37="ikke relevant")),O37+Z37,0)</f>
        <v>0</v>
      </c>
      <c r="EV37" s="675">
        <f>IF(AND(AND(Stamoplysninger!$B$26="Weekendtimer og weekendtillæg udbetales.",M37="X",G37="ikke relevant")),(O37+Z37)/2,0)</f>
        <v>0</v>
      </c>
      <c r="EW37" s="283">
        <f>IF(AND(Stamoplysninger!$B$26="Der er indgået lokalaftale omkring weekendtimer(Kræver aftale med TR/FSL). Weekendtillæg udbetales.",I37="X"),K37*0.5,0)</f>
        <v>0</v>
      </c>
      <c r="EX37" s="251">
        <f>IF(AND(AND(Stamoplysninger!$B$26="Der er indgået lokalaftale omkring weekendtimer(Kræver aftale med TR/FSL). Weekendtillæg udbetales.",I37="X",S37="X")),V37*0.5,0)</f>
        <v>0</v>
      </c>
      <c r="EY37" s="674">
        <f>IF(AND(AND(Stamoplysninger!$B$26="Der er indgået lokalaftale omkring weekendtimer(Kræver aftale med TR/FSL). Weekendtillæg udbetales.",I37="X",C37="ikke relevant")),K37*0.5,0)</f>
        <v>0</v>
      </c>
      <c r="EZ37" s="675">
        <f>IF(AND(AND(AND(Stamoplysninger!$B$26="Der er indgået lokalaftale omkring weekendtimer(Kræver aftale med TR/FSL). Weekendtillæg udbetales.",I37="X",C37="ikke relevant",S37="X"))),(V37*0.5),0)</f>
        <v>0</v>
      </c>
      <c r="FA37" s="283">
        <f>IF(AND(Stamoplysninger!$B$26="Der er indgået lokalaftale omkring weekendtimer(Kræver aftale med TR/FSL). Weekendtillæg udbetales.",M37="X"),O37*0.5,0)</f>
        <v>0</v>
      </c>
      <c r="FB37" s="251">
        <f>IF(AND(AND(Stamoplysninger!$B$26="Der er indgået lokalaftale omkring weekendtimer(Kræver aftale med TR/FSL). Weekendtillæg udbetales.",M37="X",W37="X")),Z37*0.5,0)</f>
        <v>0</v>
      </c>
      <c r="FC37" s="674">
        <f>IF(AND(AND(Stamoplysninger!$B$26="Der er indgået lokalaftale omkring weekendtimer(Kræver aftale med TR/FSL). Weekendtillæg udbetales.",M37="X",G37="ikke relevant")),O37*0.5,0)</f>
        <v>0</v>
      </c>
      <c r="FD37" s="675">
        <f>IF(AND(AND(AND(Stamoplysninger!$B$26="Der er indgået lokalaftale omkring weekendtimer(Kræver aftale med TR/FSL). Weekendtillæg udbetales.",M37="X",G37="ikke relevant",W37="X"))),(Z37*0.5),0)</f>
        <v>0</v>
      </c>
      <c r="FE37" s="283">
        <f>IF(AND(Stamoplysninger!$B$26="Der er indgået lokalaftale omkring weekendtimer(Kræver aftale med TR/FSL). Weekendtillæg udbetales.",Q37="X"),S37*0.5,0)</f>
        <v>0</v>
      </c>
      <c r="FF37" s="251">
        <f>IF(AND(AND(Stamoplysninger!$B$26="Der er indgået lokalaftale omkring weekendtimer(Kræver aftale med TR/FSL). Weekendtillæg udbetales.",Q37="X",AA37="X")),AD37*0.5,0)</f>
        <v>0</v>
      </c>
      <c r="FG37" s="674">
        <f>IF(AND(AND(Stamoplysninger!$B$26="Der er indgået lokalaftale omkring weekendtimer(Kræver aftale med TR/FSL). Weekendtillæg udbetales.",Q37="X",K37="ikke relevant")),S37*0.5,0)</f>
        <v>0</v>
      </c>
      <c r="FH37" s="675">
        <f>IF(AND(AND(AND(Stamoplysninger!$B$26="Der er indgået lokalaftale omkring weekendtimer(Kræver aftale med TR/FSL). Weekendtillæg udbetales.",Q37="X",K37="ikke relevant",AA37="X"))),(AD37*0.5),0)</f>
        <v>0</v>
      </c>
      <c r="FI37" s="283">
        <f>IF(AND(Stamoplysninger!$B$26="Weekendtimer og weekendtillæg afspadseres.",I37="X"),K37,0)</f>
        <v>0</v>
      </c>
      <c r="FJ37" s="251">
        <f>IF(AND(Stamoplysninger!$B$26="Weekendtimer og weekendtillæg afspadseres.",Y37="X"),(AA37+AL37)/2,0)</f>
        <v>0</v>
      </c>
      <c r="FK37" s="674">
        <f>IF(AND(AND(Stamoplysninger!$B$26="Weekendtimer og weekendtillæg afspadseres.",I37="X",C37="ikke relevant")),K37,0)</f>
        <v>0</v>
      </c>
      <c r="FL37" s="675">
        <f>IF(AND(AND(Stamoplysninger!$B$26="Weekendtimer og weekendtillæg afspadseres.",Y37="X",S37="ikke relevant")),(AA37+AL37)/2,0)</f>
        <v>0</v>
      </c>
      <c r="FM37" s="283">
        <f>IF(AND(Stamoplysninger!$B$26="Der er indgået lokalaftale omkring weekendtillæg(Kræver aftale med TR/FSL). Weekendtimerne afspadseres.",I37="X"),K37,0)</f>
        <v>0</v>
      </c>
      <c r="FN37" s="674">
        <f>IF(AND(AND(Stamoplysninger!$B$26="Der er indgået lokalaftale omkring weekendtillæg(Kræver aftale med TR/FSL). Weekendtimerne afspadseres.",I37="X",C37="ikke relevant")),K37,0)</f>
        <v>0</v>
      </c>
      <c r="FO37" s="283">
        <f>IF(AND(Stamoplysninger!$B$26="Weekendtimer og weekendtillæg udbetales.",I37="X"),K37,0)</f>
        <v>0</v>
      </c>
      <c r="FP37" s="251">
        <f>IF(AND(Stamoplysninger!$B$26="Weekendtimer og weekendtillæg udbetales.",AA37="X"),(AC37+AN37)/2,0)</f>
        <v>0</v>
      </c>
      <c r="FQ37" s="674">
        <f>IF(AND(AND(Stamoplysninger!$B$26="Weekendtimer og weekendtillæg udbetales.",I37="X",C37="ikke relevant")),K37,0)</f>
        <v>0</v>
      </c>
      <c r="FR37" s="688">
        <f>IF(AND(AND(Stamoplysninger!$B$26="Weekendtimer og weekendtillæg udbetales.",AA37="X",U37="ikke relevant")),(AC37+AN37)/2,0)</f>
        <v>0</v>
      </c>
      <c r="FS37" s="283">
        <f t="shared" si="14"/>
        <v>0</v>
      </c>
      <c r="FT37" s="658">
        <f t="shared" si="15"/>
        <v>0</v>
      </c>
      <c r="FU37">
        <f t="shared" si="31"/>
        <v>0</v>
      </c>
      <c r="FV37" s="283">
        <f>IF(AND(Stamoplysninger!$B$26="Der er indgået lokalaftale omkring weekendtimer.(Kræver aftale med TR/FSL) Weekendtillæg afspadseres.",I37="X"),K37,0)</f>
        <v>0</v>
      </c>
      <c r="FW37" s="674">
        <f>IF(AND(AND(Stamoplysninger!$B$26="Der er indgået lokalaftale omkring weekendtimer.(Kræver aftale med TR/FSL) Weekendtillæg afspadseres.",I37="X",C37="ikke relevant")),K37,0)</f>
        <v>0</v>
      </c>
      <c r="FX37" s="283">
        <f>IF(AND(Stamoplysninger!$B$26="Der er indgået lokalaftale omkring weekendtimer(Kræver aftale med TR/FSL). Weekendtillæg udbetales.",I37="X"),K37,0)</f>
        <v>0</v>
      </c>
      <c r="FY37" s="674">
        <f>IF(AND(AND(Stamoplysninger!$B$26="Der er indgået lokalaftale omkring weekendtimer(Kræver aftale med TR/FSL). Weekendtillæg udbetales.",I37="X",C37="ikke relevant")),K37,0)</f>
        <v>0</v>
      </c>
      <c r="FZ37" s="283">
        <f>IF(AND(Stamoplysninger!$B$26="Der er indgået lokalaftale omkring weekendtillæg(Kræver aftale med TR/FSL). Weekendtimerne udbetales.",I37="X"),K37,0)</f>
        <v>0</v>
      </c>
      <c r="GA37" s="674">
        <f>IF(AND(AND(Stamoplysninger!$B$26="Der er indgået lokalaftale omkring weekendtillæg(Kræver aftale med TR/FSL). Weekendtimerne udbetales.",I37="X",C37="ikke relevant")),K37,0)</f>
        <v>0</v>
      </c>
      <c r="GB37" s="283">
        <f>IF(AND(Stamoplysninger!$B$26="Der er indgået lokalaftale omkring weekendtimer og weekendtillæg.(Kræver aftale med TR/FSL).",I37="X"),K37,0)</f>
        <v>0</v>
      </c>
      <c r="GC37" s="674">
        <f>IF(AND(AND(Stamoplysninger!$B$26="Der er indgået lokalaftale omkring weekendtimer og weekendtillæg.(Kræver aftale med TR/FSL).",I37="X",C37="ikke relevant")),K37,0)</f>
        <v>0</v>
      </c>
    </row>
    <row r="38" spans="1:185">
      <c r="A38" s="245">
        <f t="shared" si="17"/>
        <v>30</v>
      </c>
      <c r="B38" s="128" t="str">
        <f t="shared" si="0"/>
        <v>on</v>
      </c>
      <c r="C38" s="129" t="s">
        <v>207</v>
      </c>
      <c r="D38" s="130" t="str">
        <f t="shared" si="1"/>
        <v/>
      </c>
      <c r="E38" s="917"/>
      <c r="F38" s="918"/>
      <c r="G38" s="919"/>
      <c r="H38" s="298"/>
      <c r="I38" s="527"/>
      <c r="J38" s="413"/>
      <c r="K38" s="380"/>
      <c r="L38" s="380"/>
      <c r="M38" s="380"/>
      <c r="N38" s="318">
        <f t="shared" si="18"/>
        <v>7.75</v>
      </c>
      <c r="O38" s="318">
        <f t="shared" si="19"/>
        <v>4.25</v>
      </c>
      <c r="P38" s="318">
        <f>IF(Stamoplysninger!$H$29="JA",April!DG38,CX38)</f>
        <v>1</v>
      </c>
      <c r="Q38" s="318">
        <f t="shared" si="20"/>
        <v>2.5</v>
      </c>
      <c r="R38" s="319"/>
      <c r="S38" s="324"/>
      <c r="T38" s="325"/>
      <c r="U38" s="325"/>
      <c r="V38" s="435"/>
      <c r="W38" s="435"/>
      <c r="X38" s="644"/>
      <c r="Y38">
        <f t="shared" si="21"/>
        <v>0</v>
      </c>
      <c r="Z38" s="437">
        <f t="shared" si="22"/>
        <v>0</v>
      </c>
      <c r="AA38" s="1">
        <f t="shared" si="2"/>
        <v>0</v>
      </c>
      <c r="AB38" s="1">
        <f t="shared" si="3"/>
        <v>0</v>
      </c>
      <c r="AC38" s="1">
        <f t="shared" si="4"/>
        <v>0</v>
      </c>
      <c r="AD38" s="1">
        <f t="shared" si="5"/>
        <v>0</v>
      </c>
      <c r="AE38" s="1">
        <f t="shared" si="6"/>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f>IF(AND(C38="Skema 2",B38="on"),Arbejdstidsoversigt!$E$83,"")</f>
        <v>7.75</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7.75</v>
      </c>
      <c r="BB38" s="229">
        <f t="shared" si="7"/>
        <v>0</v>
      </c>
      <c r="BC38" s="1">
        <f t="shared" si="24"/>
        <v>0</v>
      </c>
      <c r="BD38" s="1">
        <f t="shared" si="8"/>
        <v>0</v>
      </c>
      <c r="BE38" s="1">
        <f t="shared" si="9"/>
        <v>0</v>
      </c>
      <c r="BF38" s="1">
        <f t="shared" si="10"/>
        <v>0</v>
      </c>
      <c r="BG38" s="210" t="str">
        <f>IF(AND(C38="Skema 1",B38="ma"),Skemaoplysninger!$E$30,"")</f>
        <v/>
      </c>
      <c r="BH38" s="210" t="str">
        <f>IF(AND(C38="Skema 1",B38="ti"),Skemaoplysninger!$G$30,"")</f>
        <v/>
      </c>
      <c r="BI38" s="210" t="str">
        <f>IF(AND(C38="Skema 1",B38="on"),Skemaoplysninger!$I$30,"")</f>
        <v/>
      </c>
      <c r="BJ38" s="210" t="str">
        <f>IF(AND(C38="Skema 1",B38="to"),Skemaoplysninger!$K$30,"")</f>
        <v/>
      </c>
      <c r="BK38" s="210" t="str">
        <f>IF(AND(C38="Skema 1",B38="fr"),Skemaoplysninger!$M$30,"")</f>
        <v/>
      </c>
      <c r="BL38" s="210" t="str">
        <f>IF(AND(C38="Skema 2",B38="ma"),Skemaoplysninger!$S$30,"")</f>
        <v/>
      </c>
      <c r="BM38" s="210" t="str">
        <f>IF(AND(C38="Skema 2",B38="ti"),Skemaoplysninger!$U$30,"")</f>
        <v/>
      </c>
      <c r="BN38" s="210">
        <f>IF(AND(C38="Skema 2",B38="on"),Skemaoplysninger!$W$30,"")</f>
        <v>0.17708333333333331</v>
      </c>
      <c r="BO38" s="210" t="str">
        <f>IF(AND(C38="Skema 2",B38="to"),Skemaoplysninger!$Y$30,"")</f>
        <v/>
      </c>
      <c r="BP38" s="210" t="str">
        <f>IF(AND(C38="Skema 2",B38="fr"),Skemaoplysninger!$AA$30,"")</f>
        <v/>
      </c>
      <c r="BQ38" s="210" t="str">
        <f>IF(AND(C38="Skema 3",B38="ma"),Skemaoplysninger!$AG$30,"")</f>
        <v/>
      </c>
      <c r="BR38" s="210" t="str">
        <f>IF(AND(C38="Skema 3",B38="ti"),Skemaoplysninger!$AI$30,"")</f>
        <v/>
      </c>
      <c r="BS38" s="210" t="str">
        <f>IF(AND(C38="Skema 3",B38="on"),Skemaoplysninger!$AK$30,"")</f>
        <v/>
      </c>
      <c r="BT38" s="210" t="str">
        <f>IF(AND(C38="Skema 3",B38="to"),Skemaoplysninger!$AM$30,"")</f>
        <v/>
      </c>
      <c r="BU38" s="210" t="str">
        <f>IF(AND(C38="Skema 3",B38="fr"),Skemaoplysninger!$AO$30,"")</f>
        <v/>
      </c>
      <c r="BV38" s="210" t="str">
        <f>IF(AND(C38="Skema 4",B38="ma"),Skemaoplysninger!$AU$30,"")</f>
        <v/>
      </c>
      <c r="BW38" s="210" t="str">
        <f>IF(AND(C38="Skema 4",B38="ti"),Skemaoplysninger!$AW$30,"")</f>
        <v/>
      </c>
      <c r="BX38" s="210" t="str">
        <f>IF(AND(C38="Skema 4",B38="on"),Skemaoplysninger!$AY$30,"")</f>
        <v/>
      </c>
      <c r="BY38" s="210" t="str">
        <f>IF(AND(C38="Skema 4",B38="to"),Skemaoplysninger!$BA$30,"")</f>
        <v/>
      </c>
      <c r="BZ38" s="210" t="str">
        <f>IF(AND(C38="Skema 4",B38="fr"),Skemaoplysninger!$BC$30,"")</f>
        <v/>
      </c>
      <c r="CA38" s="1">
        <f t="shared" si="25"/>
        <v>4.25</v>
      </c>
      <c r="CB38" s="1">
        <f t="shared" si="11"/>
        <v>0</v>
      </c>
      <c r="CC38" s="1">
        <f t="shared" si="12"/>
        <v>0</v>
      </c>
      <c r="CD38" s="210" t="str">
        <f>IF(AND(C38="Skema 1",B38="ma"),Skemaoplysninger!$E$31,"")</f>
        <v/>
      </c>
      <c r="CE38" s="210" t="str">
        <f>IF(AND(C38="Skema 1",B38="ti"),Skemaoplysninger!$G$31,"")</f>
        <v/>
      </c>
      <c r="CF38" s="210" t="str">
        <f>IF(AND(C38="Skema 1",B38="on"),Skemaoplysninger!$I$31,"")</f>
        <v/>
      </c>
      <c r="CG38" s="210" t="str">
        <f>IF(AND(C38="Skema 1",B38="to"),Skemaoplysninger!$K$31,"")</f>
        <v/>
      </c>
      <c r="CH38" s="210" t="str">
        <f>IF(AND(C38="Skema 1",B38="fr"),Skemaoplysninger!$M$31,"")</f>
        <v/>
      </c>
      <c r="CI38" s="210" t="str">
        <f>IF(AND(C38="Skema 2",B38="ma"),Skemaoplysninger!$S$31,"")</f>
        <v/>
      </c>
      <c r="CJ38" s="210" t="str">
        <f>IF(AND(C38="Skema 2",B38="ti"),Skemaoplysninger!$U$31,"")</f>
        <v/>
      </c>
      <c r="CK38" s="210">
        <f>IF(AND(C38="Skema 2",B38="on"),Skemaoplysninger!$W$31,"")</f>
        <v>4.1666666666666664E-2</v>
      </c>
      <c r="CL38" s="210" t="str">
        <f>IF(AND(C38="Skema 2",B38="to"),Skemaoplysninger!$Y$31,"")</f>
        <v/>
      </c>
      <c r="CM38" s="210" t="str">
        <f>IF(AND(C38="Skema 2",B38="fr"),Skemaoplysninger!$AA$31,"")</f>
        <v/>
      </c>
      <c r="CN38" s="210" t="str">
        <f>IF(AND(C38="Skema 3",B38="ma"),Skemaoplysninger!$AG$31,"")</f>
        <v/>
      </c>
      <c r="CO38" s="210" t="str">
        <f>IF(AND(C38="Skema 3",B38="ti"),Skemaoplysninger!$AI$31,"")</f>
        <v/>
      </c>
      <c r="CP38" s="210" t="str">
        <f>IF(AND(C38="Skema 3",B38="on"),Skemaoplysninger!$AK$31,"")</f>
        <v/>
      </c>
      <c r="CQ38" s="210" t="str">
        <f>IF(AND(C38="Skema 3",B38="to"),Skemaoplysninger!$AM$31,"")</f>
        <v/>
      </c>
      <c r="CR38" s="210" t="str">
        <f>IF(AND(C38="Skema 3",B38="fr"),Skemaoplysninger!$AO$31,"")</f>
        <v/>
      </c>
      <c r="CS38" s="210" t="str">
        <f>IF(AND(C38="Skema 4",B38="ma"),Skemaoplysninger!$AU$31,"")</f>
        <v/>
      </c>
      <c r="CT38" s="210" t="str">
        <f>IF(AND(C38="Skema 4",B38="ti"),Skemaoplysninger!$AW$31,"")</f>
        <v/>
      </c>
      <c r="CU38" s="210" t="str">
        <f>IF(AND(C38="Skema 4",B38="on"),Skemaoplysninger!$AY$31,"")</f>
        <v/>
      </c>
      <c r="CV38" s="210" t="str">
        <f>IF(AND(C38="Skema 4",B38="to"),Skemaoplysninger!$BA$31,"")</f>
        <v/>
      </c>
      <c r="CW38" s="210" t="str">
        <f>IF(AND(C38="Skema 4",B38="fr"),Skemaoplysninger!$BC$31,"")</f>
        <v/>
      </c>
      <c r="CX38" s="249">
        <f>IF(Stamoplysninger!$H$29="NEJ",SUM(CD38:CW38)*24+CB38+CC38,0)</f>
        <v>1</v>
      </c>
      <c r="CY38" s="249">
        <f>IF(C38="Skema 1",Stamoplysninger!$H$30/200,0)</f>
        <v>0</v>
      </c>
      <c r="CZ38" s="249">
        <f>IF(C38="Skema 2",Stamoplysninger!$H$30/200,0)</f>
        <v>0</v>
      </c>
      <c r="DA38" s="249">
        <f>IF(C38="Skema 3",Stamoplysninger!$H$30/200,0)</f>
        <v>0</v>
      </c>
      <c r="DB38" s="249">
        <f>IF(C38="Skema 4",Stamoplysninger!$H$30/200,0)</f>
        <v>0</v>
      </c>
      <c r="DC38" s="249">
        <f>IF(C38="fagdag",Stamoplysninger!$H$30/200,0)</f>
        <v>0</v>
      </c>
      <c r="DD38" s="249">
        <f>IF(C38="emnedag",Stamoplysninger!$H$30/200,0)</f>
        <v>0</v>
      </c>
      <c r="DE38" s="249">
        <f>IF(C38="lejrskole",Stamoplysninger!$H$30/200,0)</f>
        <v>0</v>
      </c>
      <c r="DF38" s="249">
        <f>IF(C38="ekskursion",Stamoplysninger!$H$30/200,0)</f>
        <v>0</v>
      </c>
      <c r="DG38" s="249">
        <f t="shared" si="26"/>
        <v>0</v>
      </c>
      <c r="DH38" t="str">
        <f t="shared" si="27"/>
        <v/>
      </c>
      <c r="DI38">
        <f t="shared" si="28"/>
        <v>0</v>
      </c>
      <c r="DJ38">
        <f t="shared" si="29"/>
        <v>0</v>
      </c>
      <c r="DK38" t="str">
        <f t="shared" si="13"/>
        <v/>
      </c>
      <c r="DL38" t="str">
        <f t="shared" si="13"/>
        <v/>
      </c>
      <c r="DM38" t="str">
        <f t="shared" si="13"/>
        <v/>
      </c>
      <c r="DN38" t="str">
        <f t="shared" si="30"/>
        <v/>
      </c>
      <c r="DO38" s="652">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71">
        <f>IF(AND(Stamoplysninger!$B$22="Ulempetillæg udbetales med 25% af nettotimelønnen.",C38="ikke relevant"),(R38)/4,0)</f>
        <v>0</v>
      </c>
      <c r="DT38" s="671">
        <f>IF(AND(AND(Stamoplysninger!$B$22="Ulempetillæg udbetales med 25% af nettotimelønnen.",I38="X",C38="Ikke relevant")),K38/4,0)</f>
        <v>0</v>
      </c>
      <c r="DU38" s="671">
        <f>IF(AND(AND(Stamoplysninger!$B$22="Ulempetillæg udbetales med 25% af nettotimelønnen.",C38="ikke relevant",U38="X")),(X38/4),0)</f>
        <v>0</v>
      </c>
      <c r="DV38" s="672">
        <f>IF(AND(AND(AND(Stamoplysninger!$B$22="Ulempetillæg udbetales med 25% af nettotimelønnen.",I38="X",C38="Ikke relevant",U38="X"))),X38/4,0)</f>
        <v>0</v>
      </c>
      <c r="DW38" s="652"/>
      <c r="DZ38" s="671"/>
      <c r="EA38" s="671"/>
      <c r="EB38" s="672"/>
      <c r="EC38" s="652">
        <f>IF(Stamoplysninger!$B$22="Ulempetillæg afspadseres med 25%(Kræver en aftale imellem ledelsen og den ansatte)",(R38+X38)/4,0)</f>
        <v>0</v>
      </c>
      <c r="ED38">
        <f>IF(AND(Stamoplysninger!$B$22="Ulempetillæg afspadseres med 25%(Kræver en aftale imellem ledelsen og den ansatte)",I38="X"),K38/4,0)</f>
        <v>0</v>
      </c>
      <c r="EE38">
        <f>IF(AND(Stamoplysninger!$B$22="Ulempetillæg afspadseres med 25%(Kræver en aftale imellem ledelsen og den ansatte)",I38="X"),V38/4,0)</f>
        <v>0</v>
      </c>
      <c r="EF38">
        <f>IF(AND(AND(Stamoplysninger!$B$22="Ulempetillæg udbetales med 25% af nettotimelønnen.",AG38="X",W38="X")),AJ38/4,0)</f>
        <v>0</v>
      </c>
      <c r="EG38" s="671">
        <f>IF(AND(Stamoplysninger!$B$22="Ulempetillæg afspadseres med 25%(Kræver en aftale imellem ledelsen og den ansatte)",C38="ikke relevant"),(R38+X38)/4,0)</f>
        <v>0</v>
      </c>
      <c r="EH38" s="671">
        <f>IF(AND(AND(Stamoplysninger!$B$22="Ulempetillæg afspadseres med 25%(Kræver en aftale imellem ledelsen og den ansatte)",I38="X",C38="Ikke relevant")),K38/4,0)</f>
        <v>0</v>
      </c>
      <c r="EI38" s="671">
        <f>IF(AND(AND(Stamoplysninger!$B$22="Ulempetillæg afspadseres med 25%(Kræver en aftale imellem ledelsen og den ansatte)",I38="X",C38="Ikke relevant")),V38/4,0)</f>
        <v>0</v>
      </c>
      <c r="EJ38" s="671">
        <f>IF(AND(AND(Stamoplysninger!$B$22="Ulempetillæg afspadseres med 25%(Kræver en aftale imellem ledelsen og den ansatte)",J38="X",D38="Ikke relevant")),W38/4,0)</f>
        <v>0</v>
      </c>
      <c r="EK38" s="283">
        <f>IF(AND(Stamoplysninger!$B$26="Weekendtimer og weekendtillæg afspadseres.",I38="X"),K38+V38,0)</f>
        <v>0</v>
      </c>
      <c r="EL38" s="251">
        <f>IF(AND(Stamoplysninger!$B$26="Weekendtimer og weekendtillæg afspadseres.",J38="X"),(L38+W38)/2,0)</f>
        <v>0</v>
      </c>
      <c r="EM38" s="674">
        <f>IF(AND(AND(Stamoplysninger!$B$26="Weekendtimer og weekendtillæg afspadseres.",I38="X",C38="ikke relevant")),K38+V38,0)</f>
        <v>0</v>
      </c>
      <c r="EN38" s="675">
        <f>IF(AND(AND(Stamoplysninger!$B$26="Weekendtimer og weekendtillæg afspadseres.",I38="X",C38="ikke relevant")),(K38+V38)/2,0)</f>
        <v>0</v>
      </c>
      <c r="EO38" s="283">
        <f>IF(AND(Stamoplysninger!$B$26="Weekendtimer og weekendtillæg udbetales.",I38="X"),K38+V38,0)</f>
        <v>0</v>
      </c>
      <c r="EP38" s="251">
        <f>IF(AND(Stamoplysninger!$B$26="Weekendtimer og weekendtillæg udbetales.",I38="X"),(K38+V38)/2,0)</f>
        <v>0</v>
      </c>
      <c r="EQ38" s="674">
        <f>IF(AND(AND(Stamoplysninger!$B$26="Weekendtimer og weekendtillæg udbetales.",I38="X",C38="ikke relevant")),K38+V38,0)</f>
        <v>0</v>
      </c>
      <c r="ER38" s="675">
        <f>IF(AND(AND(Stamoplysninger!$B$26="Weekendtimer og weekendtillæg udbetales.",I38="X",C38="ikke relevant")),(K38+V38)/2,0)</f>
        <v>0</v>
      </c>
      <c r="ES38" s="283">
        <f>IF(AND(Stamoplysninger!$B$26="Weekendtimer og weekendtillæg udbetales.",M38="X"),O38+Z38,0)</f>
        <v>0</v>
      </c>
      <c r="ET38" s="251">
        <f>IF(AND(Stamoplysninger!$B$26="Weekendtimer og weekendtillæg udbetales.",M38="X"),(O38+Z38)/2,0)</f>
        <v>0</v>
      </c>
      <c r="EU38" s="674">
        <f>IF(AND(AND(Stamoplysninger!$B$26="Weekendtimer og weekendtillæg udbetales.",M38="X",G38="ikke relevant")),O38+Z38,0)</f>
        <v>0</v>
      </c>
      <c r="EV38" s="675">
        <f>IF(AND(AND(Stamoplysninger!$B$26="Weekendtimer og weekendtillæg udbetales.",M38="X",G38="ikke relevant")),(O38+Z38)/2,0)</f>
        <v>0</v>
      </c>
      <c r="EW38" s="283">
        <f>IF(AND(Stamoplysninger!$B$26="Der er indgået lokalaftale omkring weekendtimer(Kræver aftale med TR/FSL). Weekendtillæg udbetales.",I38="X"),K38*0.5,0)</f>
        <v>0</v>
      </c>
      <c r="EX38" s="251">
        <f>IF(AND(AND(Stamoplysninger!$B$26="Der er indgået lokalaftale omkring weekendtimer(Kræver aftale med TR/FSL). Weekendtillæg udbetales.",I38="X",S38="X")),V38*0.5,0)</f>
        <v>0</v>
      </c>
      <c r="EY38" s="674">
        <f>IF(AND(AND(Stamoplysninger!$B$26="Der er indgået lokalaftale omkring weekendtimer(Kræver aftale med TR/FSL). Weekendtillæg udbetales.",I38="X",C38="ikke relevant")),K38*0.5,0)</f>
        <v>0</v>
      </c>
      <c r="EZ38" s="675">
        <f>IF(AND(AND(AND(Stamoplysninger!$B$26="Der er indgået lokalaftale omkring weekendtimer(Kræver aftale med TR/FSL). Weekendtillæg udbetales.",I38="X",C38="ikke relevant",S38="X"))),(V38*0.5),0)</f>
        <v>0</v>
      </c>
      <c r="FA38" s="283">
        <f>IF(AND(Stamoplysninger!$B$26="Der er indgået lokalaftale omkring weekendtimer(Kræver aftale med TR/FSL). Weekendtillæg udbetales.",M38="X"),O38*0.5,0)</f>
        <v>0</v>
      </c>
      <c r="FB38" s="251">
        <f>IF(AND(AND(Stamoplysninger!$B$26="Der er indgået lokalaftale omkring weekendtimer(Kræver aftale med TR/FSL). Weekendtillæg udbetales.",M38="X",W38="X")),Z38*0.5,0)</f>
        <v>0</v>
      </c>
      <c r="FC38" s="674">
        <f>IF(AND(AND(Stamoplysninger!$B$26="Der er indgået lokalaftale omkring weekendtimer(Kræver aftale med TR/FSL). Weekendtillæg udbetales.",M38="X",G38="ikke relevant")),O38*0.5,0)</f>
        <v>0</v>
      </c>
      <c r="FD38" s="675">
        <f>IF(AND(AND(AND(Stamoplysninger!$B$26="Der er indgået lokalaftale omkring weekendtimer(Kræver aftale med TR/FSL). Weekendtillæg udbetales.",M38="X",G38="ikke relevant",W38="X"))),(Z38*0.5),0)</f>
        <v>0</v>
      </c>
      <c r="FE38" s="283">
        <f>IF(AND(Stamoplysninger!$B$26="Der er indgået lokalaftale omkring weekendtimer(Kræver aftale med TR/FSL). Weekendtillæg udbetales.",Q38="X"),S38*0.5,0)</f>
        <v>0</v>
      </c>
      <c r="FF38" s="251">
        <f>IF(AND(AND(Stamoplysninger!$B$26="Der er indgået lokalaftale omkring weekendtimer(Kræver aftale med TR/FSL). Weekendtillæg udbetales.",Q38="X",AA38="X")),AD38*0.5,0)</f>
        <v>0</v>
      </c>
      <c r="FG38" s="674">
        <f>IF(AND(AND(Stamoplysninger!$B$26="Der er indgået lokalaftale omkring weekendtimer(Kræver aftale med TR/FSL). Weekendtillæg udbetales.",Q38="X",K38="ikke relevant")),S38*0.5,0)</f>
        <v>0</v>
      </c>
      <c r="FH38" s="675">
        <f>IF(AND(AND(AND(Stamoplysninger!$B$26="Der er indgået lokalaftale omkring weekendtimer(Kræver aftale med TR/FSL). Weekendtillæg udbetales.",Q38="X",K38="ikke relevant",AA38="X"))),(AD38*0.5),0)</f>
        <v>0</v>
      </c>
      <c r="FI38" s="283">
        <f>IF(AND(Stamoplysninger!$B$26="Weekendtimer og weekendtillæg afspadseres.",I38="X"),K38,0)</f>
        <v>0</v>
      </c>
      <c r="FJ38" s="251">
        <f>IF(AND(Stamoplysninger!$B$26="Weekendtimer og weekendtillæg afspadseres.",Y38="X"),(AA38+AL38)/2,0)</f>
        <v>0</v>
      </c>
      <c r="FK38" s="674">
        <f>IF(AND(AND(Stamoplysninger!$B$26="Weekendtimer og weekendtillæg afspadseres.",I38="X",C38="ikke relevant")),K38,0)</f>
        <v>0</v>
      </c>
      <c r="FL38" s="675">
        <f>IF(AND(AND(Stamoplysninger!$B$26="Weekendtimer og weekendtillæg afspadseres.",Y38="X",S38="ikke relevant")),(AA38+AL38)/2,0)</f>
        <v>0</v>
      </c>
      <c r="FM38" s="283">
        <f>IF(AND(Stamoplysninger!$B$26="Der er indgået lokalaftale omkring weekendtillæg(Kræver aftale med TR/FSL). Weekendtimerne afspadseres.",I38="X"),K38,0)</f>
        <v>0</v>
      </c>
      <c r="FN38" s="674">
        <f>IF(AND(AND(Stamoplysninger!$B$26="Der er indgået lokalaftale omkring weekendtillæg(Kræver aftale med TR/FSL). Weekendtimerne afspadseres.",I38="X",C38="ikke relevant")),K38,0)</f>
        <v>0</v>
      </c>
      <c r="FO38" s="283">
        <f>IF(AND(Stamoplysninger!$B$26="Weekendtimer og weekendtillæg udbetales.",I38="X"),K38,0)</f>
        <v>0</v>
      </c>
      <c r="FP38" s="251">
        <f>IF(AND(Stamoplysninger!$B$26="Weekendtimer og weekendtillæg udbetales.",AA38="X"),(AC38+AN38)/2,0)</f>
        <v>0</v>
      </c>
      <c r="FQ38" s="674">
        <f>IF(AND(AND(Stamoplysninger!$B$26="Weekendtimer og weekendtillæg udbetales.",I38="X",C38="ikke relevant")),K38,0)</f>
        <v>0</v>
      </c>
      <c r="FR38" s="688">
        <f>IF(AND(AND(Stamoplysninger!$B$26="Weekendtimer og weekendtillæg udbetales.",AA38="X",U38="ikke relevant")),(AC38+AN38)/2,0)</f>
        <v>0</v>
      </c>
      <c r="FS38" s="283">
        <f>IF(AND(I38="X",S38="X"),V38,0)</f>
        <v>0</v>
      </c>
      <c r="FT38" s="658">
        <f>IF(AND(AND(C38="ikke relevant",I38="X",S38="X")),V38,0)</f>
        <v>0</v>
      </c>
      <c r="FU38">
        <f t="shared" si="31"/>
        <v>0</v>
      </c>
      <c r="FV38" s="283">
        <f>IF(AND(Stamoplysninger!$B$26="Der er indgået lokalaftale omkring weekendtimer.(Kræver aftale med TR/FSL) Weekendtillæg afspadseres.",I38="X"),K38,0)</f>
        <v>0</v>
      </c>
      <c r="FW38" s="674">
        <f>IF(AND(AND(Stamoplysninger!$B$26="Der er indgået lokalaftale omkring weekendtimer.(Kræver aftale med TR/FSL) Weekendtillæg afspadseres.",I38="X",C38="ikke relevant")),K38,0)</f>
        <v>0</v>
      </c>
      <c r="FX38" s="283">
        <f>IF(AND(Stamoplysninger!$B$26="Der er indgået lokalaftale omkring weekendtimer(Kræver aftale med TR/FSL). Weekendtillæg udbetales.",I38="X"),K38,0)</f>
        <v>0</v>
      </c>
      <c r="FY38" s="674">
        <f>IF(AND(AND(Stamoplysninger!$B$26="Der er indgået lokalaftale omkring weekendtimer(Kræver aftale med TR/FSL). Weekendtillæg udbetales.",I38="X",C38="ikke relevant")),K38,0)</f>
        <v>0</v>
      </c>
      <c r="FZ38" s="283">
        <f>IF(AND(Stamoplysninger!$B$26="Der er indgået lokalaftale omkring weekendtillæg(Kræver aftale med TR/FSL). Weekendtimerne udbetales.",I38="X"),K38,0)</f>
        <v>0</v>
      </c>
      <c r="GA38" s="674">
        <f>IF(AND(AND(Stamoplysninger!$B$26="Der er indgået lokalaftale omkring weekendtillæg(Kræver aftale med TR/FSL). Weekendtimerne udbetales.",I38="X",C38="ikke relevant")),K38,0)</f>
        <v>0</v>
      </c>
      <c r="GB38" s="283">
        <f>IF(AND(Stamoplysninger!$B$26="Der er indgået lokalaftale omkring weekendtimer og weekendtillæg.(Kræver aftale med TR/FSL).",I38="X"),K38,0)</f>
        <v>0</v>
      </c>
      <c r="GC38" s="674">
        <f>IF(AND(AND(Stamoplysninger!$B$26="Der er indgået lokalaftale omkring weekendtimer og weekendtillæg.(Kræver aftale med TR/FSL).",I38="X",C38="ikke relevant")),K38,0)</f>
        <v>0</v>
      </c>
    </row>
    <row r="39" spans="1:185" ht="17" thickBot="1">
      <c r="A39" s="972" t="s">
        <v>260</v>
      </c>
      <c r="B39" s="973"/>
      <c r="C39" s="973"/>
      <c r="D39" s="973"/>
      <c r="E39" s="973"/>
      <c r="F39" s="973"/>
      <c r="G39" s="973"/>
      <c r="H39" s="973"/>
      <c r="I39" s="974"/>
      <c r="J39" s="313"/>
      <c r="K39" s="321"/>
      <c r="L39" s="321"/>
      <c r="M39" s="321"/>
      <c r="N39" s="322">
        <f>SUM(N9:N38)</f>
        <v>124.75</v>
      </c>
      <c r="O39" s="322">
        <f>SUM(O9:O38)</f>
        <v>57</v>
      </c>
      <c r="P39" s="322">
        <f>SUM(P9:P38)</f>
        <v>17</v>
      </c>
      <c r="Q39" s="322">
        <f>SUM(Q9:Q38)</f>
        <v>50.75</v>
      </c>
      <c r="R39" s="32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6</v>
      </c>
      <c r="S39" s="432"/>
      <c r="T39" s="433"/>
      <c r="U39" s="433"/>
      <c r="V39" s="43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3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3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1">
        <f>SUM(Y9:Y38)</f>
        <v>0</v>
      </c>
      <c r="Z39" s="398">
        <f>Z9+Z10+Z11+Z12+Z13+Z14+Z15+Z16+Z17+Z18+Z19+Z20+Z21+Z22+Z23+Z24+Z25+Z26+Z27+Z28+Z29+Z30+Z31+Z32+Z33+Z34+Z35+Z36+Z37+Z38</f>
        <v>0</v>
      </c>
      <c r="AA39" s="235">
        <f t="shared" ref="AA39:AF39" si="32">SUM(AA9:AA38)</f>
        <v>0</v>
      </c>
      <c r="AB39" s="235">
        <f t="shared" si="32"/>
        <v>0</v>
      </c>
      <c r="AC39" s="235">
        <f t="shared" si="32"/>
        <v>0</v>
      </c>
      <c r="AD39" s="235">
        <f t="shared" si="32"/>
        <v>0</v>
      </c>
      <c r="AE39" s="235">
        <f t="shared" si="32"/>
        <v>0</v>
      </c>
      <c r="AF39" s="235">
        <f t="shared" si="32"/>
        <v>0</v>
      </c>
      <c r="BA39" s="1">
        <f>SUM(BA9:BA38)</f>
        <v>124.75</v>
      </c>
      <c r="BB39" s="112"/>
      <c r="BC39" s="235">
        <f>SUM(BC9:BC38)</f>
        <v>0</v>
      </c>
      <c r="BD39" s="235">
        <f>SUM(BD9:BD38)</f>
        <v>0</v>
      </c>
      <c r="BE39" s="235">
        <f>SUM(BE9:BE38)</f>
        <v>0</v>
      </c>
      <c r="BF39" s="235">
        <f>SUM(BF9:BF38)</f>
        <v>0</v>
      </c>
      <c r="CA39" s="235">
        <f>SUM(CA9:CA38)</f>
        <v>57</v>
      </c>
      <c r="CB39" s="235">
        <f>SUM(CB9:CB38)</f>
        <v>0</v>
      </c>
      <c r="CC39" s="235">
        <f>SUM(CC9:CC38)</f>
        <v>0</v>
      </c>
      <c r="CX39" s="249"/>
      <c r="CY39" s="249">
        <f t="shared" ref="CY39:DG39" si="33">SUM(CY9:CY38)</f>
        <v>0</v>
      </c>
      <c r="CZ39" s="249">
        <f t="shared" si="33"/>
        <v>0</v>
      </c>
      <c r="DA39" s="249">
        <f t="shared" si="33"/>
        <v>0</v>
      </c>
      <c r="DB39" s="249">
        <f t="shared" si="33"/>
        <v>0</v>
      </c>
      <c r="DC39" s="249">
        <f t="shared" si="33"/>
        <v>0</v>
      </c>
      <c r="DD39" s="249">
        <f t="shared" si="33"/>
        <v>0</v>
      </c>
      <c r="DE39" s="249">
        <f t="shared" si="33"/>
        <v>0</v>
      </c>
      <c r="DF39" s="249">
        <f t="shared" si="33"/>
        <v>0</v>
      </c>
      <c r="DG39" s="249">
        <f t="shared" si="33"/>
        <v>0</v>
      </c>
      <c r="DO39" s="652"/>
      <c r="DS39" s="671"/>
      <c r="DT39" s="671"/>
      <c r="DU39" s="671"/>
      <c r="DV39" s="672"/>
      <c r="DW39" s="652"/>
      <c r="DZ39" s="671"/>
      <c r="EA39" s="671"/>
      <c r="EB39" s="672"/>
      <c r="EC39" s="652"/>
      <c r="EG39" s="671"/>
      <c r="EH39" s="671"/>
      <c r="EI39" s="671"/>
      <c r="EJ39" s="671"/>
      <c r="EK39" s="283"/>
      <c r="EL39" s="251"/>
      <c r="EM39" s="674"/>
      <c r="EN39" s="675"/>
      <c r="EO39" s="283"/>
      <c r="EP39" s="251"/>
      <c r="EQ39" s="674"/>
      <c r="ER39" s="675"/>
      <c r="ES39" s="283"/>
      <c r="ET39" s="251"/>
      <c r="EU39" s="674"/>
      <c r="EV39" s="675"/>
      <c r="EW39" s="283"/>
      <c r="EX39" s="251"/>
      <c r="EY39" s="674"/>
      <c r="EZ39" s="675"/>
      <c r="FA39" s="283"/>
      <c r="FB39" s="251"/>
      <c r="FC39" s="674"/>
      <c r="FD39" s="675"/>
      <c r="FE39" s="283"/>
      <c r="FF39" s="251"/>
      <c r="FG39" s="674"/>
      <c r="FH39" s="675"/>
      <c r="FI39" s="283"/>
      <c r="FJ39" s="251"/>
      <c r="FK39" s="674"/>
      <c r="FL39" s="675"/>
      <c r="FM39" s="283"/>
      <c r="FN39" s="674"/>
      <c r="FO39" s="283"/>
      <c r="FP39" s="251"/>
      <c r="FQ39" s="674"/>
      <c r="FR39" s="688"/>
      <c r="FS39" s="283"/>
      <c r="FT39" s="658"/>
      <c r="FV39" s="283"/>
      <c r="FW39" s="674"/>
      <c r="FX39" s="283"/>
      <c r="FY39" s="674"/>
      <c r="FZ39" s="283"/>
      <c r="GA39" s="674"/>
      <c r="GB39" s="283"/>
      <c r="GC39" s="674"/>
    </row>
    <row r="40" spans="1:185" ht="17" thickBot="1">
      <c r="A40" s="232"/>
      <c r="B40" s="232"/>
      <c r="C40" s="232"/>
      <c r="D40" s="232"/>
      <c r="E40" s="232"/>
      <c r="F40" s="232"/>
      <c r="G40" s="232"/>
      <c r="H40" s="232"/>
      <c r="I40" s="232"/>
      <c r="J40" s="232"/>
      <c r="K40" s="239"/>
      <c r="L40" s="239"/>
      <c r="M40" s="239"/>
      <c r="N40" s="239"/>
      <c r="O40" s="239"/>
      <c r="P40" s="239"/>
      <c r="Q40" s="239"/>
      <c r="R40" s="239"/>
      <c r="S40" s="239"/>
      <c r="T40" s="239"/>
      <c r="U40" s="239"/>
      <c r="V40" s="239"/>
      <c r="W40" s="239"/>
      <c r="X40" s="239"/>
      <c r="Y40" s="247"/>
      <c r="Z40" s="211"/>
      <c r="AA40" s="235"/>
      <c r="AB40" s="211"/>
      <c r="AC40" s="211"/>
      <c r="AD40" s="235"/>
      <c r="AE40" s="235"/>
      <c r="AF40" s="235"/>
      <c r="AG40" s="235"/>
      <c r="BC40" s="235"/>
      <c r="BD40" s="235"/>
      <c r="BE40" s="235"/>
      <c r="BF40" s="235"/>
      <c r="BG40" s="112"/>
      <c r="CB40" s="235"/>
      <c r="CC40" s="235"/>
      <c r="CD40" s="112"/>
      <c r="CX40" s="248"/>
      <c r="CZ40"/>
      <c r="DO40" s="669">
        <f>SUM(DO9:DO39)</f>
        <v>1.5</v>
      </c>
      <c r="DP40" s="670">
        <f t="shared" ref="DP40:GC40" si="34">SUM(DP9:DP39)</f>
        <v>0</v>
      </c>
      <c r="DQ40" s="670">
        <f t="shared" si="34"/>
        <v>0</v>
      </c>
      <c r="DR40" s="670">
        <f t="shared" si="34"/>
        <v>0</v>
      </c>
      <c r="DS40" s="673">
        <f t="shared" si="34"/>
        <v>0</v>
      </c>
      <c r="DT40" s="673">
        <f t="shared" si="34"/>
        <v>0</v>
      </c>
      <c r="DU40" s="670">
        <f t="shared" si="34"/>
        <v>0</v>
      </c>
      <c r="DV40" s="673">
        <f t="shared" si="34"/>
        <v>0</v>
      </c>
      <c r="DW40" s="669">
        <f t="shared" ref="DW40:EB40" si="35">SUM(DW9:DW39)</f>
        <v>0</v>
      </c>
      <c r="DX40" s="670">
        <f t="shared" si="35"/>
        <v>0</v>
      </c>
      <c r="DY40" s="670">
        <f t="shared" si="35"/>
        <v>0</v>
      </c>
      <c r="DZ40" s="673">
        <f t="shared" si="35"/>
        <v>0</v>
      </c>
      <c r="EA40" s="673">
        <f t="shared" si="35"/>
        <v>0</v>
      </c>
      <c r="EB40" s="673">
        <f t="shared" si="35"/>
        <v>0</v>
      </c>
      <c r="EC40" s="670">
        <f t="shared" si="34"/>
        <v>0</v>
      </c>
      <c r="ED40" s="670">
        <f t="shared" si="34"/>
        <v>0</v>
      </c>
      <c r="EE40" s="670">
        <f t="shared" si="34"/>
        <v>0</v>
      </c>
      <c r="EF40" s="670">
        <f t="shared" si="34"/>
        <v>0</v>
      </c>
      <c r="EG40" s="673">
        <f t="shared" si="34"/>
        <v>0</v>
      </c>
      <c r="EH40" s="673">
        <f t="shared" si="34"/>
        <v>0</v>
      </c>
      <c r="EI40" s="673">
        <f t="shared" si="34"/>
        <v>0</v>
      </c>
      <c r="EJ40" s="673">
        <f t="shared" si="34"/>
        <v>0</v>
      </c>
      <c r="EK40" s="670">
        <f t="shared" si="34"/>
        <v>0</v>
      </c>
      <c r="EL40" s="670">
        <f t="shared" si="34"/>
        <v>0</v>
      </c>
      <c r="EM40" s="673">
        <f t="shared" si="34"/>
        <v>0</v>
      </c>
      <c r="EN40" s="673">
        <f t="shared" si="34"/>
        <v>0</v>
      </c>
      <c r="EO40" s="670">
        <f t="shared" si="34"/>
        <v>0</v>
      </c>
      <c r="EP40" s="670">
        <f t="shared" si="34"/>
        <v>0</v>
      </c>
      <c r="EQ40" s="673">
        <f t="shared" si="34"/>
        <v>0</v>
      </c>
      <c r="ER40" s="676">
        <f t="shared" si="34"/>
        <v>0</v>
      </c>
      <c r="ES40" s="670">
        <f t="shared" si="34"/>
        <v>0</v>
      </c>
      <c r="ET40" s="670">
        <f t="shared" si="34"/>
        <v>0</v>
      </c>
      <c r="EU40" s="673">
        <f t="shared" si="34"/>
        <v>0</v>
      </c>
      <c r="EV40" s="676">
        <f t="shared" si="34"/>
        <v>0</v>
      </c>
      <c r="EW40" s="670">
        <f t="shared" si="34"/>
        <v>0</v>
      </c>
      <c r="EX40" s="670">
        <f t="shared" si="34"/>
        <v>0</v>
      </c>
      <c r="EY40" s="673">
        <f t="shared" si="34"/>
        <v>0</v>
      </c>
      <c r="EZ40" s="676">
        <f t="shared" si="34"/>
        <v>0</v>
      </c>
      <c r="FA40" s="670">
        <f t="shared" si="34"/>
        <v>0</v>
      </c>
      <c r="FB40" s="670">
        <f t="shared" si="34"/>
        <v>0</v>
      </c>
      <c r="FC40" s="673">
        <f t="shared" si="34"/>
        <v>0</v>
      </c>
      <c r="FD40" s="676">
        <f t="shared" si="34"/>
        <v>0</v>
      </c>
      <c r="FE40" s="670">
        <f t="shared" si="34"/>
        <v>0</v>
      </c>
      <c r="FF40" s="670">
        <f t="shared" si="34"/>
        <v>0</v>
      </c>
      <c r="FG40" s="673">
        <f t="shared" si="34"/>
        <v>0</v>
      </c>
      <c r="FH40" s="676">
        <f t="shared" si="34"/>
        <v>0</v>
      </c>
      <c r="FI40" s="685">
        <f t="shared" si="34"/>
        <v>0</v>
      </c>
      <c r="FJ40" s="670">
        <f t="shared" si="34"/>
        <v>0</v>
      </c>
      <c r="FK40" s="685">
        <f t="shared" si="34"/>
        <v>0</v>
      </c>
      <c r="FL40" s="673">
        <f t="shared" si="34"/>
        <v>0</v>
      </c>
      <c r="FM40" s="685">
        <f t="shared" si="34"/>
        <v>0</v>
      </c>
      <c r="FN40" s="685">
        <f t="shared" si="34"/>
        <v>0</v>
      </c>
      <c r="FO40" s="685">
        <f t="shared" si="34"/>
        <v>0</v>
      </c>
      <c r="FP40" s="670">
        <f t="shared" si="34"/>
        <v>0</v>
      </c>
      <c r="FQ40" s="685">
        <f t="shared" si="34"/>
        <v>0</v>
      </c>
      <c r="FR40" s="676">
        <f t="shared" si="34"/>
        <v>0</v>
      </c>
      <c r="FS40" s="689">
        <f t="shared" si="34"/>
        <v>0</v>
      </c>
      <c r="FT40" s="690">
        <f t="shared" si="34"/>
        <v>0</v>
      </c>
      <c r="FU40" s="690">
        <f t="shared" si="34"/>
        <v>0</v>
      </c>
      <c r="FV40" s="689">
        <f>SUM(FV9:FV39)</f>
        <v>0</v>
      </c>
      <c r="FW40" s="690">
        <f t="shared" si="34"/>
        <v>0</v>
      </c>
      <c r="FX40" s="689">
        <f t="shared" si="34"/>
        <v>0</v>
      </c>
      <c r="FY40" s="690">
        <f t="shared" si="34"/>
        <v>0</v>
      </c>
      <c r="FZ40" s="685">
        <f t="shared" si="34"/>
        <v>0</v>
      </c>
      <c r="GA40" s="685">
        <f t="shared" si="34"/>
        <v>0</v>
      </c>
      <c r="GB40" s="685">
        <f t="shared" si="34"/>
        <v>0</v>
      </c>
      <c r="GC40" s="685">
        <f t="shared" si="34"/>
        <v>0</v>
      </c>
    </row>
    <row r="41" spans="1:185" ht="70" customHeight="1">
      <c r="A41" s="958" t="str">
        <f>"Arbejdstid for "&amp;A7&amp;" måned:"</f>
        <v>Arbejdstid for April måned:</v>
      </c>
      <c r="B41" s="959"/>
      <c r="C41" s="959"/>
      <c r="D41" s="959"/>
      <c r="E41" s="959"/>
      <c r="F41" s="959"/>
      <c r="G41" s="959"/>
      <c r="H41" s="330" t="s">
        <v>255</v>
      </c>
      <c r="I41" s="959" t="s">
        <v>221</v>
      </c>
      <c r="J41" s="960"/>
      <c r="K41" s="961"/>
      <c r="L41" s="262"/>
      <c r="M41" s="1011" t="str">
        <f>"Ulempetimer og weekendtimer i "&amp;A5&amp;""</f>
        <v>Ulempetimer og weekendtimer i April måneds kalender for: Beate Simonsen. Måneden vedr. normperioden: 01.08.2024 - 31.07.2025.</v>
      </c>
      <c r="N41" s="989"/>
      <c r="O41" s="989"/>
      <c r="P41" s="989"/>
      <c r="Q41" s="989"/>
      <c r="R41" s="989"/>
      <c r="S41" s="989"/>
      <c r="T41" s="989"/>
      <c r="U41" s="989"/>
      <c r="V41" s="989"/>
      <c r="W41" s="989"/>
      <c r="X41" s="990"/>
      <c r="Y41" s="239"/>
      <c r="Z41" s="239"/>
      <c r="AD41" s="90"/>
      <c r="AE41" s="90"/>
      <c r="BM41" s="1"/>
      <c r="CJ41" s="1"/>
      <c r="CU41" s="248"/>
      <c r="CV41" s="248"/>
      <c r="CY41"/>
      <c r="CZ41"/>
    </row>
    <row r="42" spans="1:185">
      <c r="A42" s="962" t="s">
        <v>534</v>
      </c>
      <c r="B42" s="963"/>
      <c r="C42" s="963"/>
      <c r="D42" s="963"/>
      <c r="E42" s="963"/>
      <c r="F42" s="963"/>
      <c r="G42" s="963"/>
      <c r="H42" s="256">
        <f>D77</f>
        <v>22</v>
      </c>
      <c r="I42" s="975">
        <f>IF(Stamoplysninger!$E$12="Ja",1924/Arbejdstidsoversigt!$K$9*Stamoplysninger!$E$15*H42,H42*7.4*Stamoplysninger!$E$15)</f>
        <v>162.17624521072798</v>
      </c>
      <c r="J42" s="976"/>
      <c r="K42" s="977"/>
      <c r="L42" s="258"/>
      <c r="M42" s="1012" t="s">
        <v>497</v>
      </c>
      <c r="N42" s="1013"/>
      <c r="O42" s="1013"/>
      <c r="P42" s="1013"/>
      <c r="Q42" s="1013"/>
      <c r="R42" s="1013"/>
      <c r="S42" s="1013"/>
      <c r="T42" s="1013"/>
      <c r="U42" s="1014"/>
      <c r="V42" s="1093">
        <f>P64+P68+P71+P73</f>
        <v>1.5</v>
      </c>
      <c r="W42" s="1093"/>
      <c r="X42" s="1094"/>
      <c r="Y42" s="239"/>
      <c r="Z42" s="239"/>
      <c r="AD42" s="90"/>
      <c r="AE42" s="90"/>
      <c r="BM42" s="1"/>
      <c r="CJ42" s="1"/>
      <c r="CU42" s="248"/>
      <c r="CV42" s="248"/>
      <c r="CY42"/>
      <c r="CZ42"/>
    </row>
    <row r="43" spans="1:185">
      <c r="A43" s="962" t="str">
        <f>"Ferie "&amp;A7&amp;" måned"</f>
        <v>Ferie April måned</v>
      </c>
      <c r="B43" s="963"/>
      <c r="C43" s="963"/>
      <c r="D43" s="963"/>
      <c r="E43" s="963"/>
      <c r="F43" s="963"/>
      <c r="G43" s="963"/>
      <c r="H43" s="257" t="str">
        <f>IF(D72&gt;0,$D$72,"0")</f>
        <v>0</v>
      </c>
      <c r="I43" s="964">
        <f>H43*7.4*Stamoplysninger!$E$15</f>
        <v>0</v>
      </c>
      <c r="J43" s="965"/>
      <c r="K43" s="966"/>
      <c r="L43" s="258"/>
      <c r="M43" s="1018" t="s">
        <v>259</v>
      </c>
      <c r="N43" s="1019"/>
      <c r="O43" s="1019"/>
      <c r="P43" s="1019"/>
      <c r="Q43" s="1019"/>
      <c r="R43" s="1019"/>
      <c r="S43" s="1019"/>
      <c r="T43" s="1019"/>
      <c r="U43" s="1020"/>
      <c r="V43" s="1095">
        <f>Q65+Q67+Q70+Q72</f>
        <v>0</v>
      </c>
      <c r="W43" s="1095"/>
      <c r="X43" s="1096"/>
      <c r="Y43" s="239"/>
      <c r="Z43" s="239"/>
      <c r="AD43" s="90"/>
      <c r="AE43" s="90"/>
      <c r="BM43" s="1"/>
      <c r="CJ43" s="1"/>
      <c r="CU43" s="248"/>
      <c r="CV43" s="248"/>
      <c r="CY43"/>
      <c r="CZ43"/>
    </row>
    <row r="44" spans="1:185">
      <c r="A44" s="962" t="str">
        <f>"Søgnehelligdage i "&amp;A7&amp;" måned"</f>
        <v>Søgnehelligdage i April måned</v>
      </c>
      <c r="B44" s="963"/>
      <c r="C44" s="963"/>
      <c r="D44" s="963"/>
      <c r="E44" s="963"/>
      <c r="F44" s="963"/>
      <c r="G44" s="963"/>
      <c r="H44" s="257">
        <f>IF(D71&gt;0,D71,0)</f>
        <v>3</v>
      </c>
      <c r="I44" s="964">
        <f>H44*7.4*Stamoplysninger!$E$15</f>
        <v>22.200000000000003</v>
      </c>
      <c r="J44" s="965"/>
      <c r="K44" s="966"/>
      <c r="L44" s="259"/>
      <c r="M44" s="1128" t="s">
        <v>295</v>
      </c>
      <c r="N44" s="1129"/>
      <c r="O44" s="1129"/>
      <c r="P44" s="1129"/>
      <c r="Q44" s="1129"/>
      <c r="R44" s="1129"/>
      <c r="S44" s="1129"/>
      <c r="T44" s="1129"/>
      <c r="U44" s="1130"/>
      <c r="V44" s="1133">
        <f>Marts!V53</f>
        <v>0</v>
      </c>
      <c r="W44" s="1134"/>
      <c r="X44" s="1137"/>
      <c r="Y44" s="239"/>
      <c r="Z44" s="239"/>
      <c r="AD44" s="90"/>
      <c r="AE44" s="90"/>
      <c r="BM44" s="1"/>
      <c r="CJ44" s="1"/>
      <c r="CU44" s="248"/>
      <c r="CV44" s="248"/>
      <c r="CY44"/>
      <c r="CZ44"/>
    </row>
    <row r="45" spans="1:185">
      <c r="A45" s="962" t="str">
        <f>"Nettoarbejdstid ialt i "&amp;A7&amp;" måned"</f>
        <v>Nettoarbejdstid ialt i April måned</v>
      </c>
      <c r="B45" s="963"/>
      <c r="C45" s="963"/>
      <c r="D45" s="963"/>
      <c r="E45" s="963"/>
      <c r="F45" s="963"/>
      <c r="G45" s="963"/>
      <c r="H45" s="260">
        <f>H42-H43-H44</f>
        <v>19</v>
      </c>
      <c r="I45" s="964">
        <f>I42-I43-I44</f>
        <v>139.976245210728</v>
      </c>
      <c r="J45" s="965"/>
      <c r="K45" s="966"/>
      <c r="L45" s="387"/>
      <c r="M45" s="1026" t="s">
        <v>302</v>
      </c>
      <c r="N45" s="1027"/>
      <c r="O45" s="1027"/>
      <c r="P45" s="1027"/>
      <c r="Q45" s="1027"/>
      <c r="R45" s="1027"/>
      <c r="S45" s="1027"/>
      <c r="T45" s="1027"/>
      <c r="U45" s="1028"/>
      <c r="V45" s="1029">
        <f>SUM(V43:X44)</f>
        <v>0</v>
      </c>
      <c r="W45" s="1030"/>
      <c r="X45" s="1031"/>
      <c r="Y45" s="239"/>
      <c r="Z45" s="239"/>
      <c r="AD45" s="90"/>
      <c r="AE45" s="90"/>
      <c r="BM45" s="1"/>
      <c r="CJ45" s="1"/>
      <c r="CU45" s="248"/>
      <c r="CV45" s="248"/>
      <c r="CY45"/>
      <c r="CZ45"/>
    </row>
    <row r="46" spans="1:185">
      <c r="A46" s="978" t="str">
        <f>"Planlagt arbejdstid efter ovennstående "&amp;A7&amp;" måned kalender"</f>
        <v>Planlagt arbejdstid efter ovennstående April måned kalender</v>
      </c>
      <c r="B46" s="979"/>
      <c r="C46" s="979"/>
      <c r="D46" s="979"/>
      <c r="E46" s="979"/>
      <c r="F46" s="979"/>
      <c r="G46" s="979"/>
      <c r="H46" s="475">
        <f>D63+D64+D65+D66+D67+D68+D69</f>
        <v>16</v>
      </c>
      <c r="I46" s="980">
        <f>N39+R39+V105</f>
        <v>130.75</v>
      </c>
      <c r="J46" s="981"/>
      <c r="K46" s="982"/>
      <c r="L46" s="387"/>
      <c r="M46" s="1038" t="s">
        <v>293</v>
      </c>
      <c r="N46" s="1039"/>
      <c r="O46" s="1039"/>
      <c r="P46" s="1039"/>
      <c r="Q46" s="1039"/>
      <c r="R46" s="1039"/>
      <c r="S46" s="1039"/>
      <c r="T46" s="1039"/>
      <c r="U46" s="1039"/>
      <c r="V46" s="1039"/>
      <c r="W46" s="1039"/>
      <c r="X46" s="1040"/>
      <c r="Y46" s="239"/>
      <c r="Z46" s="239"/>
      <c r="AD46" s="90"/>
      <c r="AE46" s="90"/>
      <c r="BM46" s="1"/>
      <c r="CJ46" s="1"/>
      <c r="CU46" s="248"/>
      <c r="CV46" s="248"/>
      <c r="CY46"/>
      <c r="CZ46"/>
    </row>
    <row r="47" spans="1:185">
      <c r="A47" s="986" t="s">
        <v>452</v>
      </c>
      <c r="B47" s="987"/>
      <c r="C47" s="987"/>
      <c r="D47" s="987"/>
      <c r="E47" s="987"/>
      <c r="F47" s="987"/>
      <c r="G47" s="987"/>
      <c r="H47" s="988"/>
      <c r="I47" s="983">
        <f>(FI40+FM40+FO40+FV40+FX40+FZ40+GB40)*-1+FK40+FN40+FQ40+FW40+FY40+GA40+GC40+FU40</f>
        <v>0</v>
      </c>
      <c r="J47" s="984"/>
      <c r="K47" s="985"/>
      <c r="L47" s="388"/>
      <c r="M47" s="1041" t="s">
        <v>463</v>
      </c>
      <c r="N47" s="1042"/>
      <c r="O47" s="1042"/>
      <c r="P47" s="1042"/>
      <c r="Q47" s="1042"/>
      <c r="R47" s="1042"/>
      <c r="S47" s="1042"/>
      <c r="T47" s="1042"/>
      <c r="U47" s="1043"/>
      <c r="V47" s="1044" t="s">
        <v>221</v>
      </c>
      <c r="W47" s="1045"/>
      <c r="X47" s="1046"/>
      <c r="Y47" s="239"/>
      <c r="Z47" s="239"/>
      <c r="AD47" s="90"/>
      <c r="AE47" s="90"/>
      <c r="BM47" s="1"/>
      <c r="CJ47" s="1"/>
      <c r="CU47" s="248"/>
      <c r="CV47" s="248"/>
      <c r="CY47"/>
      <c r="CZ47"/>
    </row>
    <row r="48" spans="1:185">
      <c r="A48" s="1005" t="str">
        <f>"Arbejde særligt planlagt for "&amp;A7&amp;" måned efter fanen skemaoplysninger"</f>
        <v>Arbejde særligt planlagt for April måned efter fanen skemaoplysninger</v>
      </c>
      <c r="B48" s="1006"/>
      <c r="C48" s="1006"/>
      <c r="D48" s="1006"/>
      <c r="E48" s="1006"/>
      <c r="F48" s="1006"/>
      <c r="G48" s="1006"/>
      <c r="H48" s="1007"/>
      <c r="I48" s="981">
        <f>Skemaoplysninger!S91</f>
        <v>2</v>
      </c>
      <c r="J48" s="1003"/>
      <c r="K48" s="1004"/>
      <c r="L48" s="241"/>
      <c r="M48" s="867"/>
      <c r="N48" s="868"/>
      <c r="O48" s="868"/>
      <c r="P48" s="868"/>
      <c r="Q48" s="868"/>
      <c r="R48" s="868"/>
      <c r="S48" s="868"/>
      <c r="T48" s="868"/>
      <c r="U48" s="869"/>
      <c r="V48" s="1047"/>
      <c r="W48" s="1047"/>
      <c r="X48" s="1048"/>
      <c r="Y48"/>
      <c r="Z48" s="239"/>
      <c r="AA48" s="239"/>
      <c r="AG48" s="90"/>
      <c r="AH48" s="90"/>
      <c r="BA48" s="239"/>
      <c r="BO48" s="1"/>
      <c r="CL48" s="1"/>
      <c r="CV48" s="248"/>
      <c r="CW48" s="248"/>
      <c r="CY48"/>
      <c r="CZ48"/>
    </row>
    <row r="49" spans="1:110">
      <c r="A49" s="967" t="s">
        <v>291</v>
      </c>
      <c r="B49" s="968"/>
      <c r="C49" s="968"/>
      <c r="D49" s="968"/>
      <c r="E49" s="968"/>
      <c r="F49" s="968"/>
      <c r="G49" s="968"/>
      <c r="H49" s="968"/>
      <c r="I49" s="969">
        <f>V39+X39-FA40+R105</f>
        <v>0</v>
      </c>
      <c r="J49" s="970"/>
      <c r="K49" s="971"/>
      <c r="L49" s="241"/>
      <c r="M49" s="867"/>
      <c r="N49" s="868"/>
      <c r="O49" s="868"/>
      <c r="P49" s="868"/>
      <c r="Q49" s="868"/>
      <c r="R49" s="868"/>
      <c r="S49" s="868"/>
      <c r="T49" s="868"/>
      <c r="U49" s="869"/>
      <c r="V49" s="870"/>
      <c r="W49" s="871"/>
      <c r="X49" s="872"/>
      <c r="Y49"/>
      <c r="Z49" s="239"/>
      <c r="AA49" s="239"/>
      <c r="AE49" s="90"/>
      <c r="AG49" s="90"/>
      <c r="BN49" s="1"/>
      <c r="CK49" s="1"/>
      <c r="CV49" s="248"/>
      <c r="CW49" s="248"/>
      <c r="CY49"/>
      <c r="CZ49"/>
    </row>
    <row r="50" spans="1:110" ht="17" thickBot="1">
      <c r="A50" s="261" t="str">
        <f>"Faktisk arbejdstid ialt i "&amp;A7&amp;" måned"</f>
        <v>Faktisk arbejdstid ialt i April måned</v>
      </c>
      <c r="B50" s="314"/>
      <c r="C50" s="315"/>
      <c r="D50" s="315"/>
      <c r="E50" s="315"/>
      <c r="F50" s="315"/>
      <c r="G50" s="315"/>
      <c r="H50" s="316"/>
      <c r="I50" s="1008">
        <f>I46+I49+I48+I47</f>
        <v>132.75</v>
      </c>
      <c r="J50" s="1009"/>
      <c r="K50" s="1010"/>
      <c r="L50" s="241"/>
      <c r="M50" s="867"/>
      <c r="N50" s="868"/>
      <c r="O50" s="868"/>
      <c r="P50" s="868"/>
      <c r="Q50" s="868"/>
      <c r="R50" s="868"/>
      <c r="S50" s="868"/>
      <c r="T50" s="868"/>
      <c r="U50" s="869"/>
      <c r="V50" s="870"/>
      <c r="W50" s="871"/>
      <c r="X50" s="872"/>
      <c r="Y50" s="239"/>
      <c r="Z50" s="239"/>
      <c r="AA50" s="214"/>
      <c r="AB50" s="247"/>
      <c r="AC50" s="247"/>
      <c r="AD50" s="247"/>
      <c r="AE50" s="239"/>
      <c r="AF50" s="247"/>
      <c r="AH50" s="239"/>
      <c r="AI50" s="239"/>
      <c r="AM50" s="90"/>
      <c r="AN50" s="90"/>
      <c r="BU50" s="1"/>
      <c r="CR50" s="1"/>
      <c r="CY50"/>
      <c r="CZ50"/>
      <c r="DC50" s="248"/>
      <c r="DD50" s="248"/>
    </row>
    <row r="51" spans="1:110" ht="17" thickBot="1">
      <c r="A51" s="255"/>
      <c r="B51" s="255"/>
      <c r="C51" s="255"/>
      <c r="D51" s="255"/>
      <c r="E51" s="255"/>
      <c r="F51" s="255"/>
      <c r="G51" s="255"/>
      <c r="H51" s="255"/>
      <c r="I51" s="522"/>
      <c r="J51" s="522"/>
      <c r="K51" s="522"/>
      <c r="L51" s="500"/>
      <c r="M51" s="867"/>
      <c r="N51" s="868"/>
      <c r="O51" s="868"/>
      <c r="P51" s="868"/>
      <c r="Q51" s="868"/>
      <c r="R51" s="868"/>
      <c r="S51" s="868"/>
      <c r="T51" s="868"/>
      <c r="U51" s="869"/>
      <c r="V51" s="870"/>
      <c r="W51" s="871"/>
      <c r="X51" s="872"/>
      <c r="Y51" s="239"/>
      <c r="Z51" s="239"/>
      <c r="AA51" s="239"/>
      <c r="AB51" s="239"/>
      <c r="AC51" s="214"/>
      <c r="AD51" s="247"/>
      <c r="AE51" s="247"/>
      <c r="AF51" s="247"/>
      <c r="AG51" s="247"/>
      <c r="AH51" s="239"/>
      <c r="AJ51" s="239"/>
      <c r="AK51" s="239"/>
      <c r="AO51" s="90"/>
      <c r="AP51" s="90"/>
      <c r="BW51" s="1"/>
      <c r="CT51" s="1"/>
      <c r="CY51"/>
      <c r="CZ51"/>
      <c r="DE51" s="248"/>
      <c r="DF51" s="248"/>
    </row>
    <row r="52" spans="1:110" ht="26" thickBot="1">
      <c r="A52" s="958" t="s">
        <v>479</v>
      </c>
      <c r="B52" s="959"/>
      <c r="C52" s="959"/>
      <c r="D52" s="959"/>
      <c r="E52" s="959"/>
      <c r="F52" s="959"/>
      <c r="G52" s="959"/>
      <c r="H52" s="707" t="s">
        <v>740</v>
      </c>
      <c r="I52" s="959" t="s">
        <v>478</v>
      </c>
      <c r="J52" s="959"/>
      <c r="K52" s="961"/>
      <c r="L52" s="500"/>
      <c r="M52" s="1032" t="s">
        <v>294</v>
      </c>
      <c r="N52" s="1033"/>
      <c r="O52" s="1033"/>
      <c r="P52" s="1033"/>
      <c r="Q52" s="1033"/>
      <c r="R52" s="1033"/>
      <c r="S52" s="1033"/>
      <c r="T52" s="1033"/>
      <c r="U52" s="1034"/>
      <c r="V52" s="1081">
        <f>V45-SUM(V48:X51)</f>
        <v>0</v>
      </c>
      <c r="W52" s="1082"/>
      <c r="X52" s="1083"/>
      <c r="Y52" s="239"/>
      <c r="Z52" s="239"/>
      <c r="AA52" s="239"/>
      <c r="AB52" s="239"/>
      <c r="AC52" s="214"/>
      <c r="AD52" s="247"/>
      <c r="AE52" s="247"/>
      <c r="AF52" s="247"/>
      <c r="AG52" s="247"/>
      <c r="AH52" s="239"/>
      <c r="AJ52" s="239"/>
      <c r="AK52" s="239"/>
      <c r="AO52" s="90"/>
      <c r="AP52" s="90"/>
      <c r="BW52" s="1"/>
      <c r="CT52" s="1"/>
      <c r="CY52"/>
      <c r="CZ52"/>
      <c r="DE52" s="248"/>
      <c r="DF52" s="248"/>
    </row>
    <row r="53" spans="1:110" ht="16" customHeight="1">
      <c r="A53" s="993"/>
      <c r="B53" s="994"/>
      <c r="C53" s="994"/>
      <c r="D53" s="994"/>
      <c r="E53" s="994"/>
      <c r="F53" s="994"/>
      <c r="G53" s="994"/>
      <c r="H53" s="605">
        <f>Marts!H62</f>
        <v>0</v>
      </c>
      <c r="I53" s="1084">
        <f>Marts!I62</f>
        <v>0</v>
      </c>
      <c r="J53" s="1084"/>
      <c r="K53" s="1085"/>
      <c r="L53" s="500"/>
      <c r="M53" s="523"/>
      <c r="N53" s="523"/>
      <c r="O53" s="523"/>
      <c r="P53" s="523"/>
      <c r="Q53" s="524"/>
      <c r="R53" s="525"/>
      <c r="S53" s="525"/>
      <c r="T53" s="525"/>
      <c r="U53" s="525"/>
      <c r="V53" s="523"/>
      <c r="W53" s="526"/>
      <c r="X53" s="523"/>
      <c r="Y53" s="239"/>
      <c r="Z53" s="239"/>
      <c r="AA53" s="239"/>
      <c r="AB53" s="239"/>
      <c r="AC53" s="214"/>
      <c r="AD53" s="247"/>
      <c r="AE53" s="247"/>
      <c r="AF53" s="247"/>
      <c r="AG53" s="247"/>
      <c r="AH53" s="239"/>
      <c r="AJ53" s="239"/>
      <c r="AK53" s="239"/>
      <c r="AO53" s="90"/>
      <c r="AP53" s="90"/>
      <c r="BW53" s="1"/>
      <c r="CT53" s="1"/>
      <c r="CY53"/>
      <c r="CZ53"/>
      <c r="DE53" s="248"/>
      <c r="DF53" s="248"/>
    </row>
    <row r="54" spans="1:110" ht="16" customHeight="1">
      <c r="A54" s="1069" t="s">
        <v>482</v>
      </c>
      <c r="B54" s="1070"/>
      <c r="C54" s="1070"/>
      <c r="D54" s="1070"/>
      <c r="E54" s="1070"/>
      <c r="F54" s="1070"/>
      <c r="G54" s="1071"/>
      <c r="H54" s="603"/>
      <c r="I54" s="1072"/>
      <c r="J54" s="1073"/>
      <c r="K54" s="1074"/>
      <c r="L54" s="500"/>
      <c r="M54" s="523"/>
      <c r="N54" s="523"/>
      <c r="O54" s="523"/>
      <c r="P54" s="523"/>
      <c r="Q54" s="524"/>
      <c r="R54" s="525"/>
      <c r="S54" s="525"/>
      <c r="T54" s="525"/>
      <c r="U54" s="525"/>
      <c r="V54" s="523"/>
      <c r="W54" s="526"/>
      <c r="X54" s="523"/>
      <c r="Y54" s="239"/>
      <c r="Z54" s="239"/>
      <c r="AA54" s="239"/>
      <c r="AB54" s="239"/>
      <c r="AC54" s="214"/>
      <c r="AD54" s="247"/>
      <c r="AE54" s="247"/>
      <c r="AF54" s="247"/>
      <c r="AG54" s="247"/>
      <c r="AH54" s="239"/>
      <c r="AJ54" s="239"/>
      <c r="AK54" s="239"/>
      <c r="AO54" s="90"/>
      <c r="AP54" s="90"/>
      <c r="BW54" s="1"/>
      <c r="CT54" s="1"/>
      <c r="CY54"/>
      <c r="CZ54"/>
      <c r="DE54" s="248"/>
      <c r="DF54" s="248"/>
    </row>
    <row r="55" spans="1:110" ht="37" customHeight="1">
      <c r="A55" s="864" t="s">
        <v>741</v>
      </c>
      <c r="B55" s="865"/>
      <c r="C55" s="865"/>
      <c r="D55" s="865"/>
      <c r="E55" s="865"/>
      <c r="F55" s="865"/>
      <c r="G55" s="865"/>
      <c r="H55" s="865"/>
      <c r="I55" s="865"/>
      <c r="J55" s="865"/>
      <c r="K55" s="866"/>
      <c r="L55" s="500"/>
      <c r="M55" s="523"/>
      <c r="N55" s="523"/>
      <c r="O55" s="523"/>
      <c r="P55" s="523"/>
      <c r="Q55" s="524"/>
      <c r="R55" s="525"/>
      <c r="S55" s="525"/>
      <c r="T55" s="525"/>
      <c r="U55" s="525"/>
      <c r="V55" s="523"/>
      <c r="W55" s="526"/>
      <c r="X55" s="523"/>
      <c r="Y55" s="239"/>
      <c r="Z55" s="239"/>
      <c r="AA55" s="239"/>
      <c r="AB55" s="239"/>
      <c r="AC55" s="214"/>
      <c r="AD55" s="247"/>
      <c r="AE55" s="247"/>
      <c r="AF55" s="247"/>
      <c r="AG55" s="247"/>
      <c r="AH55" s="239"/>
      <c r="AJ55" s="239"/>
      <c r="AK55" s="239"/>
      <c r="AO55" s="90"/>
      <c r="AP55" s="90"/>
      <c r="BW55" s="1"/>
      <c r="CT55" s="1"/>
      <c r="CY55"/>
      <c r="CZ55"/>
      <c r="DE55" s="248"/>
      <c r="DF55" s="248"/>
    </row>
    <row r="56" spans="1:110" ht="35" customHeight="1">
      <c r="A56" s="995" t="s">
        <v>742</v>
      </c>
      <c r="B56" s="996"/>
      <c r="C56" s="898" t="s">
        <v>510</v>
      </c>
      <c r="D56" s="899"/>
      <c r="E56" s="900" t="s">
        <v>511</v>
      </c>
      <c r="F56" s="865"/>
      <c r="G56" s="901"/>
      <c r="H56" s="910" t="s">
        <v>480</v>
      </c>
      <c r="I56" s="910"/>
      <c r="J56" s="910"/>
      <c r="K56" s="911"/>
      <c r="L56" s="500"/>
      <c r="M56" s="523"/>
      <c r="N56" s="523"/>
      <c r="O56" s="523"/>
      <c r="P56" s="523"/>
      <c r="Q56" s="524"/>
      <c r="R56" s="525"/>
      <c r="S56" s="525"/>
      <c r="T56" s="525"/>
      <c r="U56" s="525"/>
      <c r="V56" s="523"/>
      <c r="W56" s="526"/>
      <c r="X56" s="523"/>
      <c r="Y56" s="239"/>
      <c r="Z56" s="239"/>
      <c r="AA56" s="239"/>
      <c r="AB56" s="239"/>
      <c r="AC56" s="214"/>
      <c r="AD56" s="247"/>
      <c r="AE56" s="247"/>
      <c r="AF56" s="247"/>
      <c r="AG56" s="247"/>
      <c r="AH56" s="239"/>
      <c r="AJ56" s="239"/>
      <c r="AK56" s="239"/>
      <c r="AO56" s="90"/>
      <c r="AP56" s="90"/>
      <c r="BW56" s="1"/>
      <c r="CT56" s="1"/>
      <c r="CY56"/>
      <c r="CZ56"/>
      <c r="DE56" s="248"/>
      <c r="DF56" s="248"/>
    </row>
    <row r="57" spans="1:110">
      <c r="A57" s="902"/>
      <c r="B57" s="903"/>
      <c r="C57" s="906"/>
      <c r="D57" s="905"/>
      <c r="E57" s="907"/>
      <c r="F57" s="908"/>
      <c r="G57" s="909"/>
      <c r="H57" s="604"/>
      <c r="I57" s="896"/>
      <c r="J57" s="896"/>
      <c r="K57" s="897"/>
      <c r="L57" s="500"/>
      <c r="M57" s="523"/>
      <c r="N57" s="523"/>
      <c r="O57" s="523"/>
      <c r="P57" s="523"/>
      <c r="Q57" s="524"/>
      <c r="R57" s="525"/>
      <c r="S57" s="525"/>
      <c r="T57" s="525"/>
      <c r="U57" s="525"/>
      <c r="V57" s="523"/>
      <c r="W57" s="526"/>
      <c r="X57" s="523"/>
      <c r="Y57" s="239"/>
      <c r="Z57" s="239"/>
      <c r="AA57" s="239"/>
      <c r="AB57" s="239"/>
      <c r="AC57" s="214"/>
      <c r="AD57" s="247"/>
      <c r="AE57" s="247"/>
      <c r="AF57" s="247"/>
      <c r="AG57" s="247"/>
      <c r="AH57" s="239"/>
      <c r="AJ57" s="239"/>
      <c r="AK57" s="239"/>
      <c r="AO57" s="90"/>
      <c r="AP57" s="90"/>
      <c r="BW57" s="1"/>
      <c r="CT57" s="1"/>
      <c r="CY57"/>
      <c r="CZ57"/>
      <c r="DE57" s="248"/>
      <c r="DF57" s="248"/>
    </row>
    <row r="58" spans="1:110">
      <c r="A58" s="904"/>
      <c r="B58" s="905"/>
      <c r="C58" s="906"/>
      <c r="D58" s="905"/>
      <c r="E58" s="907"/>
      <c r="F58" s="908"/>
      <c r="G58" s="909"/>
      <c r="H58" s="604"/>
      <c r="I58" s="896"/>
      <c r="J58" s="896"/>
      <c r="K58" s="897"/>
      <c r="L58" s="500"/>
      <c r="M58" s="523"/>
      <c r="N58" s="523"/>
      <c r="O58" s="523"/>
      <c r="P58" s="523"/>
      <c r="Q58" s="524"/>
      <c r="R58" s="525"/>
      <c r="S58" s="525"/>
      <c r="T58" s="525"/>
      <c r="U58" s="525"/>
      <c r="V58" s="523"/>
      <c r="W58" s="526"/>
      <c r="X58" s="523"/>
      <c r="Y58" s="239"/>
      <c r="Z58" s="239"/>
      <c r="AA58" s="239"/>
      <c r="AB58" s="239"/>
      <c r="AC58" s="214"/>
      <c r="AD58" s="247"/>
      <c r="AE58" s="247"/>
      <c r="AF58" s="247"/>
      <c r="AG58" s="247"/>
      <c r="AH58" s="239"/>
      <c r="AJ58" s="239"/>
      <c r="AK58" s="239"/>
      <c r="AO58" s="90"/>
      <c r="AP58" s="90"/>
      <c r="BW58" s="1"/>
      <c r="CT58" s="1"/>
      <c r="CY58"/>
      <c r="CZ58"/>
      <c r="DE58" s="248"/>
      <c r="DF58" s="248"/>
    </row>
    <row r="59" spans="1:110">
      <c r="A59" s="904"/>
      <c r="B59" s="905"/>
      <c r="C59" s="906"/>
      <c r="D59" s="905"/>
      <c r="E59" s="907"/>
      <c r="F59" s="908"/>
      <c r="G59" s="909"/>
      <c r="H59" s="604"/>
      <c r="I59" s="896"/>
      <c r="J59" s="896"/>
      <c r="K59" s="897"/>
      <c r="L59" s="500"/>
      <c r="M59" s="523"/>
      <c r="N59" s="523"/>
      <c r="O59" s="523"/>
      <c r="P59" s="523"/>
      <c r="Q59" s="524"/>
      <c r="R59" s="525"/>
      <c r="S59" s="525"/>
      <c r="T59" s="525"/>
      <c r="U59" s="525"/>
      <c r="V59" s="523"/>
      <c r="W59" s="526"/>
      <c r="X59" s="523"/>
      <c r="Y59" s="239"/>
      <c r="Z59" s="239"/>
      <c r="AA59" s="239"/>
      <c r="AB59" s="239"/>
      <c r="AC59" s="214"/>
      <c r="AD59" s="247"/>
      <c r="AE59" s="247"/>
      <c r="AF59" s="247"/>
      <c r="AG59" s="247"/>
      <c r="AH59" s="239"/>
      <c r="AJ59" s="239"/>
      <c r="AK59" s="239"/>
      <c r="AO59" s="90"/>
      <c r="AP59" s="90"/>
      <c r="BW59" s="1"/>
      <c r="CT59" s="1"/>
      <c r="CY59"/>
      <c r="CZ59"/>
      <c r="DE59" s="248"/>
      <c r="DF59" s="248"/>
    </row>
    <row r="60" spans="1:110">
      <c r="A60" s="904"/>
      <c r="B60" s="905"/>
      <c r="C60" s="906"/>
      <c r="D60" s="905"/>
      <c r="E60" s="907"/>
      <c r="F60" s="908"/>
      <c r="G60" s="909"/>
      <c r="H60" s="604"/>
      <c r="I60" s="896"/>
      <c r="J60" s="896"/>
      <c r="K60" s="897"/>
      <c r="L60" s="500"/>
      <c r="M60" s="523"/>
      <c r="N60" s="523"/>
      <c r="O60" s="523"/>
      <c r="P60" s="523"/>
      <c r="Q60" s="524"/>
      <c r="R60" s="525"/>
      <c r="S60" s="525"/>
      <c r="T60" s="525"/>
      <c r="U60" s="525"/>
      <c r="V60" s="523"/>
      <c r="W60" s="526"/>
      <c r="X60" s="523"/>
      <c r="Y60" s="239"/>
      <c r="Z60" s="239"/>
      <c r="AA60" s="239"/>
      <c r="AB60" s="239"/>
      <c r="AC60" s="214"/>
      <c r="AD60" s="247"/>
      <c r="AE60" s="247"/>
      <c r="AF60" s="247"/>
      <c r="AG60" s="247"/>
      <c r="AH60" s="239"/>
      <c r="AJ60" s="239"/>
      <c r="AK60" s="239"/>
      <c r="AO60" s="90"/>
      <c r="AP60" s="90"/>
      <c r="BW60" s="1"/>
      <c r="CT60" s="1"/>
      <c r="CY60"/>
      <c r="CZ60"/>
      <c r="DE60" s="248"/>
      <c r="DF60" s="248"/>
    </row>
    <row r="61" spans="1:110" ht="19" customHeight="1" thickBot="1">
      <c r="A61" s="893" t="s">
        <v>481</v>
      </c>
      <c r="B61" s="894"/>
      <c r="C61" s="895"/>
      <c r="D61" s="895"/>
      <c r="E61" s="895"/>
      <c r="F61" s="895"/>
      <c r="G61" s="895"/>
      <c r="H61" s="606">
        <f>H54+H53-SUM(H57:H60)</f>
        <v>0</v>
      </c>
      <c r="I61" s="912">
        <f>I53+I54-SUM(I57:K60)</f>
        <v>0</v>
      </c>
      <c r="J61" s="913"/>
      <c r="K61" s="914"/>
      <c r="L61" s="500"/>
      <c r="M61" s="523"/>
      <c r="N61" s="523"/>
      <c r="O61" s="523"/>
      <c r="P61" s="523"/>
      <c r="Q61" s="524"/>
      <c r="R61" s="525"/>
      <c r="S61" s="525"/>
      <c r="T61" s="525"/>
      <c r="U61" s="525"/>
      <c r="V61" s="523"/>
      <c r="W61" s="526"/>
      <c r="X61" s="523"/>
      <c r="Y61" s="239"/>
      <c r="Z61" s="239"/>
      <c r="AA61" s="239"/>
      <c r="AB61" s="239"/>
      <c r="AC61" s="214"/>
      <c r="AD61" s="247"/>
      <c r="AE61" s="247"/>
      <c r="AF61" s="247"/>
      <c r="AG61" s="247"/>
      <c r="AH61" s="239"/>
      <c r="AJ61" s="239"/>
      <c r="AK61" s="239"/>
      <c r="AO61" s="90"/>
      <c r="AP61" s="90"/>
      <c r="BW61" s="1"/>
      <c r="CT61" s="1"/>
      <c r="CY61"/>
      <c r="CZ61"/>
      <c r="DE61" s="248"/>
      <c r="DF61" s="248"/>
    </row>
    <row r="62" spans="1:110" ht="19" hidden="1" customHeight="1">
      <c r="A62" s="440"/>
      <c r="B62" s="440"/>
      <c r="C62" s="440"/>
      <c r="D62" s="440"/>
      <c r="E62" s="440"/>
      <c r="F62" s="440"/>
      <c r="G62" s="440"/>
      <c r="H62" s="450"/>
      <c r="I62" s="506"/>
      <c r="J62" s="506"/>
      <c r="K62" s="496"/>
      <c r="L62" s="659"/>
      <c r="M62" s="659"/>
      <c r="N62" s="659"/>
      <c r="O62" s="659"/>
      <c r="P62" s="659"/>
      <c r="Q62" s="524"/>
      <c r="R62" s="525"/>
      <c r="S62" s="525"/>
      <c r="T62" s="525"/>
      <c r="U62" s="525"/>
      <c r="V62" s="523" t="s">
        <v>583</v>
      </c>
      <c r="W62" s="526"/>
      <c r="X62" s="523"/>
      <c r="Y62"/>
      <c r="Z62"/>
      <c r="AA62" s="90"/>
      <c r="AB62" s="90"/>
      <c r="BI62" s="1"/>
      <c r="CF62" s="1"/>
      <c r="CQ62" s="248"/>
      <c r="CR62" s="248"/>
      <c r="CY62"/>
      <c r="CZ62"/>
    </row>
    <row r="63" spans="1:110" ht="19" hidden="1" customHeight="1">
      <c r="A63" s="123" t="s">
        <v>206</v>
      </c>
      <c r="B63" s="123"/>
      <c r="C63" s="123"/>
      <c r="D63" s="123">
        <f>COUNTIF([0]!April,"Skema 1")</f>
        <v>0</v>
      </c>
      <c r="E63" s="395"/>
      <c r="F63" s="123" t="s">
        <v>186</v>
      </c>
      <c r="G63" s="123">
        <f>COUNTIFS($B$9:$B$38,"ma",[0]!April,"Skema 1")</f>
        <v>0</v>
      </c>
      <c r="H63" s="123"/>
      <c r="I63" s="511"/>
      <c r="J63" s="659"/>
      <c r="K63" s="659"/>
      <c r="L63" s="511"/>
      <c r="M63" s="660"/>
      <c r="N63" s="659"/>
      <c r="O63" s="660"/>
      <c r="P63" s="678" t="s">
        <v>601</v>
      </c>
      <c r="Q63" s="680" t="s">
        <v>612</v>
      </c>
      <c r="R63" s="230"/>
      <c r="S63" s="230"/>
      <c r="T63" s="230"/>
      <c r="U63" s="230"/>
      <c r="V63" s="230"/>
      <c r="W63" s="118"/>
      <c r="X63" s="118"/>
      <c r="Y63"/>
      <c r="Z63"/>
      <c r="AA63" s="90"/>
      <c r="AB63" s="90"/>
      <c r="BI63" s="1"/>
      <c r="CF63" s="1"/>
      <c r="CQ63" s="248"/>
      <c r="CR63" s="248"/>
      <c r="CY63"/>
      <c r="CZ63"/>
    </row>
    <row r="64" spans="1:110" ht="19" hidden="1" customHeight="1">
      <c r="A64" s="1113" t="s">
        <v>207</v>
      </c>
      <c r="B64" s="1113"/>
      <c r="C64" s="1113"/>
      <c r="D64" s="498">
        <f>COUNTIF([0]!April,"Skema 2")</f>
        <v>16</v>
      </c>
      <c r="E64" s="499"/>
      <c r="F64" s="498" t="s">
        <v>187</v>
      </c>
      <c r="G64" s="498">
        <f>COUNTIFS($B$9:$B$38,"ti",[0]!April,"Skema 1")</f>
        <v>0</v>
      </c>
      <c r="H64" s="123"/>
      <c r="I64" s="511" t="s">
        <v>602</v>
      </c>
      <c r="J64" s="659"/>
      <c r="K64" s="511"/>
      <c r="L64" s="662"/>
      <c r="M64" s="660"/>
      <c r="N64" s="660"/>
      <c r="O64" s="663"/>
      <c r="P64" s="678">
        <f>IF(Stamoplysninger!$B$22="Ulempetillæg udbetales med 25% af nettotimelønnen.",SUM(DO40:DR40)-SUM(DS40:DV40),0)</f>
        <v>1.5</v>
      </c>
      <c r="Q64" s="680"/>
      <c r="R64" s="230"/>
      <c r="S64" s="230"/>
      <c r="T64" s="230"/>
      <c r="U64" s="230"/>
      <c r="V64" s="230"/>
      <c r="W64" s="118"/>
      <c r="X64" s="118"/>
      <c r="Y64"/>
      <c r="Z64"/>
      <c r="AA64" s="90"/>
      <c r="AB64" s="90"/>
      <c r="BI64" s="1"/>
      <c r="CF64" s="1"/>
      <c r="CQ64" s="248"/>
      <c r="CR64" s="248"/>
      <c r="CY64"/>
      <c r="CZ64"/>
    </row>
    <row r="65" spans="1:109" ht="19" hidden="1" customHeight="1">
      <c r="A65" s="1113" t="s">
        <v>208</v>
      </c>
      <c r="B65" s="1113"/>
      <c r="C65" s="1113"/>
      <c r="D65" s="498">
        <f>COUNTIF([0]!April,"Skema 3")</f>
        <v>0</v>
      </c>
      <c r="E65" s="499"/>
      <c r="F65" s="498" t="s">
        <v>188</v>
      </c>
      <c r="G65" s="498">
        <f>COUNTIFS($B$9:$B$38,"on",[0]!April,"Skema 1")</f>
        <v>0</v>
      </c>
      <c r="H65" s="498"/>
      <c r="I65" s="677" t="s">
        <v>603</v>
      </c>
      <c r="J65" s="659"/>
      <c r="K65" s="511"/>
      <c r="L65" s="662"/>
      <c r="M65" s="660"/>
      <c r="N65" s="660"/>
      <c r="O65" s="660"/>
      <c r="P65" s="678"/>
      <c r="Q65" s="680">
        <f>IF(Stamoplysninger!$B$22="Ulempetillæg afspadseres med 25%(Kræver en aftale imellem ledelsen og den ansatte)",EC40+ED40+EE40+EF40-EG40-EH40-EI40-EJ40,0)</f>
        <v>0</v>
      </c>
      <c r="R65" s="230"/>
      <c r="S65" s="230"/>
      <c r="T65" s="230"/>
      <c r="U65" s="230"/>
      <c r="V65" s="230"/>
      <c r="W65" s="118"/>
      <c r="X65" s="118"/>
      <c r="Y65"/>
      <c r="Z65"/>
      <c r="AA65" s="90"/>
      <c r="AB65" s="90"/>
      <c r="BI65" s="1"/>
      <c r="CF65" s="1"/>
      <c r="CQ65" s="248"/>
      <c r="CR65" s="248"/>
      <c r="CY65"/>
      <c r="CZ65"/>
    </row>
    <row r="66" spans="1:109" ht="19" hidden="1" customHeight="1">
      <c r="A66" s="1113" t="s">
        <v>209</v>
      </c>
      <c r="B66" s="1113"/>
      <c r="C66" s="1113"/>
      <c r="D66" s="498">
        <f>COUNTIF([0]!April,"Skema 4")</f>
        <v>0</v>
      </c>
      <c r="E66" s="499"/>
      <c r="F66" s="498" t="s">
        <v>190</v>
      </c>
      <c r="G66" s="498">
        <f>COUNTIFS($B$9:$B$38,"to",[0]!April,"Skema 1")</f>
        <v>0</v>
      </c>
      <c r="H66" s="498"/>
      <c r="I66" s="677" t="s">
        <v>604</v>
      </c>
      <c r="J66" s="659"/>
      <c r="K66" s="511"/>
      <c r="L66" s="662"/>
      <c r="M66" s="665"/>
      <c r="N66" s="665"/>
      <c r="O66" s="4"/>
      <c r="P66" s="678"/>
      <c r="Q66" s="680"/>
      <c r="R66" s="230"/>
      <c r="S66" s="230"/>
      <c r="T66" s="230"/>
      <c r="U66" s="230"/>
      <c r="V66" s="230"/>
      <c r="W66" s="118"/>
      <c r="X66" s="118"/>
      <c r="Y66" s="239"/>
      <c r="Z66" s="239"/>
      <c r="AA66" s="239"/>
      <c r="AB66" s="214"/>
      <c r="AC66" s="247"/>
      <c r="AD66" s="247"/>
      <c r="AE66" s="247"/>
      <c r="AF66" s="247"/>
      <c r="AG66" s="239"/>
      <c r="AI66" s="239"/>
      <c r="AJ66" s="239"/>
      <c r="AN66" s="90"/>
      <c r="AO66" s="90"/>
      <c r="BV66" s="1"/>
      <c r="CS66" s="1"/>
      <c r="CY66"/>
      <c r="CZ66"/>
      <c r="DD66" s="248"/>
      <c r="DE66" s="248"/>
    </row>
    <row r="67" spans="1:109" ht="19" hidden="1" customHeight="1">
      <c r="A67" s="498" t="s">
        <v>112</v>
      </c>
      <c r="B67" s="498"/>
      <c r="C67" s="498"/>
      <c r="D67" s="498">
        <f>COUNTIF([0]!April,"Fagdag")+COUNTIF([0]!April,"emnedag")</f>
        <v>0</v>
      </c>
      <c r="E67" s="499"/>
      <c r="F67" s="498" t="s">
        <v>189</v>
      </c>
      <c r="G67" s="498">
        <f>COUNTIFS($B$9:$B$38,"fr",[0]!April,"Skema 1")</f>
        <v>0</v>
      </c>
      <c r="H67" s="498"/>
      <c r="I67" s="662" t="s">
        <v>605</v>
      </c>
      <c r="J67" s="659"/>
      <c r="K67" s="511"/>
      <c r="L67" s="662"/>
      <c r="M67" s="665"/>
      <c r="N67" s="665"/>
      <c r="O67" s="4"/>
      <c r="P67" s="678"/>
      <c r="Q67" s="680">
        <f>IF(Stamoplysninger!$B$26="Weekendtimer og weekendtillæg afspadseres.",EK40+EL40-EM40-EN40,0)</f>
        <v>0</v>
      </c>
      <c r="R67" s="230"/>
      <c r="S67" s="230"/>
      <c r="T67" s="230"/>
      <c r="U67" s="230"/>
      <c r="V67" s="230"/>
      <c r="W67" s="118"/>
      <c r="X67" s="118"/>
      <c r="Y67" s="239"/>
      <c r="Z67" s="239"/>
      <c r="AA67" s="239"/>
      <c r="AB67" s="214"/>
      <c r="AC67" s="247"/>
      <c r="AD67" s="247"/>
      <c r="AE67" s="247"/>
      <c r="AF67" s="214"/>
      <c r="AG67" s="239"/>
      <c r="AI67" s="239"/>
      <c r="AJ67" s="239"/>
      <c r="AN67" s="90"/>
      <c r="AO67" s="90"/>
      <c r="BV67" s="1"/>
      <c r="CS67" s="1"/>
      <c r="CY67"/>
      <c r="CZ67"/>
      <c r="DD67" s="248"/>
      <c r="DE67" s="248"/>
    </row>
    <row r="68" spans="1:109" ht="19" hidden="1" customHeight="1">
      <c r="A68" s="502" t="s">
        <v>111</v>
      </c>
      <c r="B68" s="498"/>
      <c r="C68" s="498"/>
      <c r="D68" s="498">
        <f>COUNTIF([0]!April,"Lejrskole")+COUNTIF([0]!April,"Ekskursion")</f>
        <v>0</v>
      </c>
      <c r="E68" s="499"/>
      <c r="F68" s="498"/>
      <c r="G68" s="498"/>
      <c r="H68" s="498"/>
      <c r="I68" s="662" t="s">
        <v>606</v>
      </c>
      <c r="J68" s="662"/>
      <c r="K68" s="662"/>
      <c r="L68" s="662"/>
      <c r="M68" s="666"/>
      <c r="N68" s="666"/>
      <c r="O68" s="4"/>
      <c r="P68" s="679">
        <f>IF(Stamoplysninger!$B$26="Weekendtimer og weekendtillæg udbetales.",EO40+EP40-EQ40-ER40,0)</f>
        <v>0</v>
      </c>
      <c r="Q68" s="680"/>
      <c r="R68" s="230"/>
      <c r="S68" s="230"/>
      <c r="T68" s="230"/>
      <c r="U68" s="230"/>
      <c r="V68" s="230"/>
      <c r="W68" s="118"/>
      <c r="X68" s="118"/>
      <c r="Y68" s="239"/>
      <c r="Z68" s="239"/>
      <c r="AA68" s="239"/>
      <c r="AB68" s="214"/>
      <c r="AC68" s="247"/>
      <c r="AD68" s="247"/>
      <c r="AE68" s="247"/>
      <c r="AF68" s="214"/>
      <c r="AG68" s="239"/>
      <c r="AI68" s="239"/>
      <c r="AJ68" s="239"/>
      <c r="AN68" s="90"/>
      <c r="AO68" s="90"/>
      <c r="BV68" s="1"/>
      <c r="CS68" s="1"/>
      <c r="CY68"/>
      <c r="CZ68"/>
      <c r="DD68" s="248"/>
      <c r="DE68" s="248"/>
    </row>
    <row r="69" spans="1:109" ht="19" hidden="1" customHeight="1">
      <c r="A69" s="498" t="s">
        <v>110</v>
      </c>
      <c r="B69" s="498"/>
      <c r="C69" s="498"/>
      <c r="D69" s="498">
        <f>COUNTIF([0]!April,"Pæd.dag")</f>
        <v>0</v>
      </c>
      <c r="E69" s="499"/>
      <c r="F69" s="498" t="s">
        <v>191</v>
      </c>
      <c r="G69" s="498">
        <f>COUNTIFS($B$9:$B$38,"ma",[0]!April,"Skema 2")</f>
        <v>2</v>
      </c>
      <c r="H69" s="498"/>
      <c r="I69" s="662" t="s">
        <v>607</v>
      </c>
      <c r="J69" s="662"/>
      <c r="K69" s="662"/>
      <c r="L69" s="662"/>
      <c r="M69" s="666"/>
      <c r="N69" s="666"/>
      <c r="O69" s="4"/>
      <c r="P69" s="678"/>
      <c r="Q69" s="680"/>
      <c r="R69" s="230"/>
      <c r="S69" s="230"/>
      <c r="T69" s="230"/>
      <c r="U69" s="230"/>
      <c r="V69" s="230"/>
      <c r="W69" s="118"/>
      <c r="X69" s="118"/>
      <c r="Y69" s="239"/>
      <c r="Z69" s="239"/>
      <c r="AA69" s="239"/>
      <c r="AB69" s="214"/>
      <c r="AC69" s="247"/>
      <c r="AD69" s="247"/>
      <c r="AE69" s="247"/>
      <c r="AF69" s="214"/>
      <c r="AG69" s="239"/>
      <c r="AI69" s="239"/>
      <c r="AJ69" s="239"/>
      <c r="AN69" s="90"/>
      <c r="AO69" s="90"/>
      <c r="BV69" s="1"/>
      <c r="CS69" s="1"/>
      <c r="CY69"/>
      <c r="CZ69"/>
      <c r="DD69" s="248"/>
      <c r="DE69" s="248"/>
    </row>
    <row r="70" spans="1:109" ht="19" hidden="1" customHeight="1">
      <c r="A70" s="498" t="s">
        <v>120</v>
      </c>
      <c r="B70" s="498"/>
      <c r="C70" s="498"/>
      <c r="D70" s="498">
        <f>COUNTIF([0]!April,"Weekend")</f>
        <v>8</v>
      </c>
      <c r="E70" s="499"/>
      <c r="F70" s="498" t="s">
        <v>192</v>
      </c>
      <c r="G70" s="498">
        <f>COUNTIFS($B$9:$B$38,"ti",[0]!April,"Skema 2")</f>
        <v>4</v>
      </c>
      <c r="H70" s="498"/>
      <c r="I70" s="662" t="s">
        <v>608</v>
      </c>
      <c r="J70" s="662"/>
      <c r="K70" s="662"/>
      <c r="L70" s="662"/>
      <c r="M70" s="667"/>
      <c r="N70" s="667"/>
      <c r="O70" s="4"/>
      <c r="P70" s="678"/>
      <c r="Q70" s="681">
        <f>IF(Stamoplysninger!$B$26="Der er indgået lokalaftale omkring weekendtimer.(Kræver aftale med TR/FSL) Weekendtillæg afspadseres.",ES40+ET40-EU40-EV40,0)</f>
        <v>0</v>
      </c>
      <c r="R70" s="230"/>
      <c r="S70" s="230"/>
      <c r="T70" s="230"/>
      <c r="U70" s="230"/>
      <c r="V70" s="230"/>
      <c r="W70" s="118"/>
      <c r="X70" s="118"/>
      <c r="Y70"/>
      <c r="Z70"/>
      <c r="AM70" s="1"/>
      <c r="BJ70" s="1"/>
      <c r="BU70" s="248"/>
      <c r="BV70" s="248"/>
      <c r="CY70"/>
      <c r="CZ70"/>
    </row>
    <row r="71" spans="1:109" ht="19" hidden="1" customHeight="1">
      <c r="A71" s="498" t="s">
        <v>127</v>
      </c>
      <c r="B71" s="498"/>
      <c r="C71" s="498"/>
      <c r="D71" s="498">
        <f>COUNTIF([0]!April,"SH-dag")</f>
        <v>3</v>
      </c>
      <c r="E71" s="499"/>
      <c r="F71" s="498" t="s">
        <v>193</v>
      </c>
      <c r="G71" s="498">
        <f>COUNTIFS($B$9:$B$38,"on",[0]!April,"Skema 2")</f>
        <v>4</v>
      </c>
      <c r="H71" s="498"/>
      <c r="I71" s="662" t="s">
        <v>609</v>
      </c>
      <c r="J71" s="662"/>
      <c r="K71" s="662"/>
      <c r="L71" s="662"/>
      <c r="M71" s="667"/>
      <c r="N71" s="667"/>
      <c r="O71" s="4"/>
      <c r="P71" s="678">
        <f>IF(Stamoplysninger!$B$26="Der er indgået lokalaftale omkring weekendtimer(Kræver aftale med TR/FSL). Weekendtillæg udbetales.",EW40+EX40-EY40-EZ40,0)</f>
        <v>0</v>
      </c>
      <c r="Q71" s="680"/>
      <c r="R71" s="230"/>
      <c r="S71" s="230"/>
      <c r="T71" s="230"/>
      <c r="U71" s="230"/>
      <c r="V71" s="230"/>
      <c r="W71" s="118"/>
      <c r="X71" s="118"/>
      <c r="Y71"/>
      <c r="Z71"/>
      <c r="AM71" s="1"/>
      <c r="BJ71" s="1"/>
      <c r="BU71" s="248"/>
      <c r="BV71" s="248"/>
      <c r="CY71"/>
      <c r="CZ71"/>
    </row>
    <row r="72" spans="1:109" ht="19" hidden="1" customHeight="1">
      <c r="A72" s="498" t="s">
        <v>109</v>
      </c>
      <c r="B72" s="498"/>
      <c r="C72" s="498"/>
      <c r="D72" s="498">
        <f>COUNTIF([0]!April,"Feriedag")</f>
        <v>0</v>
      </c>
      <c r="E72" s="499"/>
      <c r="F72" s="498" t="s">
        <v>194</v>
      </c>
      <c r="G72" s="498">
        <f>COUNTIFS($B$9:$B$38,"to",[0]!April,"Skema 2")</f>
        <v>3</v>
      </c>
      <c r="H72" s="498"/>
      <c r="I72" s="662" t="s">
        <v>610</v>
      </c>
      <c r="J72" s="662"/>
      <c r="K72" s="662"/>
      <c r="L72" s="662"/>
      <c r="M72" s="667"/>
      <c r="N72" s="667"/>
      <c r="O72" s="4"/>
      <c r="P72" s="678"/>
      <c r="Q72" s="629">
        <f>IF(Stamoplysninger!$B$26="Der er indgået lokalaftale omkring weekendtillæg(Kræver aftale med TR/FSL). Weekendtimerne afspadseres.",FA40+FB40-FC40-FD40,0)</f>
        <v>0</v>
      </c>
      <c r="R72" s="41"/>
      <c r="S72" s="41"/>
      <c r="T72" s="41"/>
      <c r="Y72"/>
      <c r="Z72"/>
      <c r="AM72" s="1"/>
      <c r="BJ72" s="1"/>
      <c r="BU72" s="248"/>
      <c r="BV72" s="248"/>
      <c r="CY72"/>
      <c r="CZ72"/>
    </row>
    <row r="73" spans="1:109" ht="19" hidden="1" customHeight="1">
      <c r="A73" s="498" t="s">
        <v>178</v>
      </c>
      <c r="B73" s="498"/>
      <c r="C73" s="498"/>
      <c r="D73" s="498">
        <f>COUNTIF([0]!April,"Nul-dag")</f>
        <v>3</v>
      </c>
      <c r="E73" s="499"/>
      <c r="F73" s="498" t="s">
        <v>195</v>
      </c>
      <c r="G73" s="498">
        <f>COUNTIFS($B$9:$B$38,"fr",[0]!April,"Skema 2")</f>
        <v>3</v>
      </c>
      <c r="H73" s="498"/>
      <c r="I73" s="662" t="s">
        <v>611</v>
      </c>
      <c r="J73" s="662"/>
      <c r="K73" s="662"/>
      <c r="L73" s="662"/>
      <c r="M73" s="667"/>
      <c r="N73" s="667"/>
      <c r="O73" s="4"/>
      <c r="P73" s="678">
        <f>IF(Stamoplysninger!$B$26="Der er indgået lokalaftale omkring weekendtillæg(Kræver aftale med TR/FSL). Weekendtimerne udbetales.",FE40+FF40-FG40-FH40,0)</f>
        <v>0</v>
      </c>
      <c r="Q73" s="629"/>
      <c r="V73" t="s">
        <v>618</v>
      </c>
      <c r="Y73"/>
      <c r="Z73"/>
      <c r="AM73" s="1"/>
      <c r="BJ73" s="1"/>
      <c r="BU73" s="248"/>
      <c r="BV73" s="248"/>
      <c r="CY73"/>
      <c r="CZ73"/>
    </row>
    <row r="74" spans="1:109" ht="19" hidden="1" customHeight="1">
      <c r="A74" s="503" t="s">
        <v>416</v>
      </c>
      <c r="B74" s="498"/>
      <c r="C74" s="498"/>
      <c r="D74" s="498">
        <f>COUNTIF([0]!April,"Orlov")</f>
        <v>0</v>
      </c>
      <c r="E74" s="499"/>
      <c r="F74" s="504"/>
      <c r="G74" s="504"/>
      <c r="H74" s="504"/>
      <c r="I74" s="662" t="s">
        <v>617</v>
      </c>
      <c r="J74" s="662"/>
      <c r="K74" s="662"/>
      <c r="L74" s="662"/>
      <c r="M74" s="668"/>
      <c r="N74" s="668"/>
      <c r="O74" s="4"/>
      <c r="P74" s="661"/>
      <c r="R74">
        <f>IF(C9="ikke relevant",V9*-1+X9*-1,0)</f>
        <v>0</v>
      </c>
      <c r="S74" t="s">
        <v>623</v>
      </c>
      <c r="V74">
        <f>IF(C9="ikke relevant",R9*-1,0)</f>
        <v>0</v>
      </c>
      <c r="Y74"/>
      <c r="Z74"/>
      <c r="AM74" s="1"/>
      <c r="BJ74" s="1"/>
      <c r="BU74" s="248"/>
      <c r="BV74" s="248"/>
      <c r="CY74"/>
      <c r="CZ74"/>
    </row>
    <row r="75" spans="1:109" ht="19" hidden="1" customHeight="1">
      <c r="A75" s="498" t="s">
        <v>160</v>
      </c>
      <c r="B75" s="498"/>
      <c r="C75" s="498"/>
      <c r="D75" s="498">
        <f>COUNTIF([0]!April,"Ikke relevant")</f>
        <v>0</v>
      </c>
      <c r="E75" s="499"/>
      <c r="F75" s="498" t="s">
        <v>196</v>
      </c>
      <c r="G75" s="498">
        <f>COUNTIFS($B$9:$B$38,"ma",[0]!April,"Skema 3")</f>
        <v>0</v>
      </c>
      <c r="H75" s="498"/>
      <c r="I75" s="662"/>
      <c r="J75" s="662"/>
      <c r="K75" s="662"/>
      <c r="L75" s="511"/>
      <c r="M75" s="668"/>
      <c r="N75" s="668"/>
      <c r="O75" s="4"/>
      <c r="P75" s="661"/>
      <c r="R75">
        <f>IF(C10="ikke relevant",V10*-1+X10*-1,0)</f>
        <v>0</v>
      </c>
      <c r="V75">
        <f>IF(C10="ikke relevant",R10*-1,0)</f>
        <v>0</v>
      </c>
      <c r="Y75" s="390">
        <f>IF(Stamoplysninger!B26="Der er indgået lokalaftale omkring weekendtillæg. Weekendtimerne udbetales.",April!#REF!,0)</f>
        <v>0</v>
      </c>
      <c r="Z75" s="390"/>
      <c r="AA75" s="390"/>
      <c r="AB75" s="391"/>
      <c r="AC75" s="123"/>
      <c r="AD75" s="123"/>
      <c r="AE75" s="230"/>
      <c r="AG75" s="230"/>
      <c r="AH75" s="230"/>
      <c r="AI75" s="230"/>
      <c r="AJ75" s="118"/>
      <c r="AK75" s="118"/>
      <c r="BA75" s="1"/>
      <c r="BX75" s="1"/>
      <c r="CI75" s="248"/>
      <c r="CJ75" s="248"/>
      <c r="CY75"/>
      <c r="CZ75"/>
    </row>
    <row r="76" spans="1:109" ht="19" hidden="1" customHeight="1">
      <c r="A76" s="498" t="s">
        <v>108</v>
      </c>
      <c r="B76" s="498"/>
      <c r="C76" s="498"/>
      <c r="D76" s="498">
        <f>SUM(D63:D75)</f>
        <v>30</v>
      </c>
      <c r="E76" s="498"/>
      <c r="F76" s="498" t="s">
        <v>197</v>
      </c>
      <c r="G76" s="498">
        <f>COUNTIFS($B$9:$B$38,"ti",[0]!April,"Skema 3")</f>
        <v>0</v>
      </c>
      <c r="H76" s="498"/>
      <c r="I76" s="662"/>
      <c r="J76" s="662"/>
      <c r="K76" s="662"/>
      <c r="L76" s="511"/>
      <c r="M76" s="668"/>
      <c r="N76" s="668"/>
      <c r="O76" s="4"/>
      <c r="P76" s="661"/>
      <c r="R76">
        <f t="shared" ref="R76:R104" si="36">IF(C11="ikke relevant",V11*-1+X11*-1,0)</f>
        <v>0</v>
      </c>
      <c r="V76">
        <f t="shared" ref="V76:V104" si="37">IF(C11="ikke relevant",R11*-1,0)</f>
        <v>0</v>
      </c>
      <c r="Y76"/>
      <c r="Z76"/>
      <c r="AO76" s="1"/>
      <c r="BL76" s="1"/>
      <c r="BW76" s="248"/>
      <c r="BX76" s="248"/>
      <c r="CY76"/>
      <c r="CZ76"/>
    </row>
    <row r="77" spans="1:109" ht="19" hidden="1" customHeight="1">
      <c r="A77" s="498" t="s">
        <v>239</v>
      </c>
      <c r="B77" s="498"/>
      <c r="C77" s="498"/>
      <c r="D77" s="498">
        <f>D76-D70-A86-D75</f>
        <v>22</v>
      </c>
      <c r="E77" s="505"/>
      <c r="F77" s="498" t="s">
        <v>198</v>
      </c>
      <c r="G77" s="498">
        <f>COUNTIFS($B$9:$B$38,"on",[0]!April,"Skema 3")</f>
        <v>0</v>
      </c>
      <c r="H77" s="498"/>
      <c r="I77" s="662"/>
      <c r="J77" s="662"/>
      <c r="K77" s="662"/>
      <c r="L77" s="511"/>
      <c r="M77" s="668"/>
      <c r="N77" s="668"/>
      <c r="O77" s="4"/>
      <c r="P77" s="661"/>
      <c r="R77">
        <f t="shared" si="36"/>
        <v>0</v>
      </c>
      <c r="V77">
        <f t="shared" si="37"/>
        <v>0</v>
      </c>
      <c r="Y77"/>
      <c r="Z77"/>
      <c r="AO77" s="1"/>
      <c r="BL77" s="1"/>
      <c r="BW77" s="248"/>
      <c r="BX77" s="248"/>
      <c r="CY77"/>
      <c r="CZ77"/>
    </row>
    <row r="78" spans="1:109" ht="19" hidden="1" customHeight="1">
      <c r="A78" s="498"/>
      <c r="B78" s="498"/>
      <c r="C78" s="498"/>
      <c r="D78" s="498"/>
      <c r="E78" s="498"/>
      <c r="F78" s="498" t="s">
        <v>199</v>
      </c>
      <c r="G78" s="498">
        <f>COUNTIFS($B$9:$B$38,"to",[0]!April,"Skema 3")</f>
        <v>0</v>
      </c>
      <c r="H78" s="498"/>
      <c r="I78" s="664"/>
      <c r="J78" s="662"/>
      <c r="K78" s="662"/>
      <c r="L78" s="511"/>
      <c r="M78" s="660"/>
      <c r="N78" s="660"/>
      <c r="O78" s="4"/>
      <c r="P78" s="661"/>
      <c r="R78">
        <f t="shared" si="36"/>
        <v>0</v>
      </c>
      <c r="V78">
        <f t="shared" si="37"/>
        <v>0</v>
      </c>
      <c r="Y78"/>
      <c r="Z78"/>
      <c r="AO78" s="1"/>
      <c r="BL78" s="1"/>
      <c r="BW78" s="248"/>
      <c r="BX78" s="248"/>
      <c r="CY78"/>
      <c r="CZ78"/>
    </row>
    <row r="79" spans="1:109" ht="19" hidden="1" customHeight="1">
      <c r="A79" s="498"/>
      <c r="B79" s="498"/>
      <c r="C79" s="498"/>
      <c r="D79" s="498"/>
      <c r="E79" s="498"/>
      <c r="F79" s="498" t="s">
        <v>200</v>
      </c>
      <c r="G79" s="498">
        <f>COUNTIFS($B$9:$B$38,"fr",[0]!April,"Skema 3")</f>
        <v>0</v>
      </c>
      <c r="H79" s="498"/>
      <c r="I79" s="506"/>
      <c r="J79" s="511"/>
      <c r="K79" s="511"/>
      <c r="L79" s="511"/>
      <c r="M79" s="4"/>
      <c r="N79" s="4"/>
      <c r="O79" s="4"/>
      <c r="P79" s="4"/>
      <c r="R79">
        <f t="shared" si="36"/>
        <v>0</v>
      </c>
      <c r="V79">
        <f t="shared" si="37"/>
        <v>0</v>
      </c>
      <c r="Y79"/>
      <c r="Z79"/>
      <c r="AO79" s="1"/>
      <c r="BL79" s="1"/>
      <c r="BW79" s="248"/>
      <c r="BX79" s="248"/>
      <c r="CY79"/>
      <c r="CZ79"/>
    </row>
    <row r="80" spans="1:109" ht="19" hidden="1" customHeight="1">
      <c r="A80" s="498" t="s">
        <v>292</v>
      </c>
      <c r="B80" s="498"/>
      <c r="C80" s="498"/>
      <c r="D80" s="498"/>
      <c r="E80" s="498"/>
      <c r="F80" s="498"/>
      <c r="G80" s="498"/>
      <c r="H80" s="498"/>
      <c r="I80" s="506"/>
      <c r="J80" s="511"/>
      <c r="K80" s="511"/>
      <c r="L80" s="511"/>
      <c r="M80" s="4"/>
      <c r="N80" s="4"/>
      <c r="O80" s="4"/>
      <c r="P80" s="4"/>
      <c r="R80">
        <f t="shared" si="36"/>
        <v>0</v>
      </c>
      <c r="V80">
        <f t="shared" si="37"/>
        <v>0</v>
      </c>
      <c r="Y80"/>
      <c r="Z80"/>
      <c r="AO80" s="1"/>
      <c r="BL80" s="1"/>
      <c r="BW80" s="248"/>
      <c r="BX80" s="248"/>
      <c r="CY80"/>
      <c r="CZ80"/>
    </row>
    <row r="81" spans="1:111" ht="19" hidden="1" customHeight="1">
      <c r="A81" s="498">
        <f>COUNTIF(C13:C14,"Skema 1")+COUNTIF(C13:C14,"Skema 2")+COUNTIF(C13:C14,"Skema 3")+COUNTIF(C13:C14,"Skema 4")+COUNTIF(C13:C14,"Fagdag")+COUNTIF(C13:C14,"Emnedag")+COUNTIF(C13:C14,"Lejrskole")+COUNTIF(C13:C14,"Ekskursion")+COUNTIF(C13:C14,"Pæd.dag")</f>
        <v>0</v>
      </c>
      <c r="B81" s="498"/>
      <c r="C81" s="498"/>
      <c r="D81" s="498"/>
      <c r="E81" s="498"/>
      <c r="F81" s="498" t="s">
        <v>201</v>
      </c>
      <c r="G81" s="498">
        <f>COUNTIFS($B$9:$B$38,"ma",[0]!April,"Skema 4")</f>
        <v>0</v>
      </c>
      <c r="H81" s="498"/>
      <c r="I81" s="506"/>
      <c r="J81" s="511"/>
      <c r="K81" s="511"/>
      <c r="L81" s="511"/>
      <c r="M81" s="4"/>
      <c r="N81" s="4"/>
      <c r="O81" s="4"/>
      <c r="P81" s="4"/>
      <c r="R81">
        <f t="shared" si="36"/>
        <v>0</v>
      </c>
      <c r="V81">
        <f t="shared" si="37"/>
        <v>0</v>
      </c>
      <c r="Y81"/>
      <c r="Z81"/>
      <c r="AO81" s="1"/>
      <c r="BL81" s="1"/>
      <c r="BW81" s="248"/>
      <c r="BX81" s="248"/>
      <c r="CY81"/>
      <c r="CZ81"/>
    </row>
    <row r="82" spans="1:111" ht="19" hidden="1" customHeight="1">
      <c r="A82" s="498">
        <f>COUNTIF(C20:C21,"Skema 1")+COUNTIF(C20:C21,"Skema 2")+COUNTIF(C20:C21,"Skema 3")+COUNTIF(C20:C21,"Skema 4")+COUNTIF(C20:C21,"Fagdag")+COUNTIF(C20:C21,"Emnedag")+COUNTIF(C20:C21,"Lejrskole")+COUNTIF(C20:C21,"Ekskursion")+COUNTIF(C20:C21,"Pæd.dag")</f>
        <v>0</v>
      </c>
      <c r="B82" s="498"/>
      <c r="C82" s="498"/>
      <c r="D82" s="498"/>
      <c r="E82" s="498"/>
      <c r="F82" s="498" t="s">
        <v>202</v>
      </c>
      <c r="G82" s="498">
        <f>COUNTIFS($B$9:$B$38,"ti",[0]!April,"Skema 4")</f>
        <v>0</v>
      </c>
      <c r="H82" s="498"/>
      <c r="I82" s="506"/>
      <c r="J82" s="511"/>
      <c r="K82" s="511"/>
      <c r="L82" s="511"/>
      <c r="M82" s="4"/>
      <c r="N82" s="4"/>
      <c r="O82" s="4"/>
      <c r="P82" s="4"/>
      <c r="R82">
        <f t="shared" si="36"/>
        <v>0</v>
      </c>
      <c r="V82">
        <f t="shared" si="37"/>
        <v>0</v>
      </c>
      <c r="Y82"/>
      <c r="Z82"/>
      <c r="AO82" s="1"/>
      <c r="BL82" s="1"/>
      <c r="BW82" s="248"/>
      <c r="BX82" s="248"/>
      <c r="CY82"/>
      <c r="CZ82"/>
    </row>
    <row r="83" spans="1:111" ht="19" hidden="1" customHeight="1">
      <c r="A83" s="498">
        <f>COUNTIF(C27:C28,"Skema 1")+COUNTIF(C27:C28,"Skema 2")+COUNTIF(C27:C28,"Skema 3")+COUNTIF(C27:C28,"Skema 4")+COUNTIF(C27:C28,"Fagdag")+COUNTIF(C27:C28,"Emnedag")+COUNTIF(C27:C28,"Lejrskole")+COUNTIF(C27:C28,"Ekskursion")+COUNTIF(C27:C28,"Pæd.dag")</f>
        <v>0</v>
      </c>
      <c r="B83" s="498"/>
      <c r="C83" s="498"/>
      <c r="D83" s="498"/>
      <c r="E83" s="498"/>
      <c r="F83" s="498" t="s">
        <v>203</v>
      </c>
      <c r="G83" s="498">
        <f>COUNTIFS($B$9:$B$38,"on",[0]!April,"Skema 4")</f>
        <v>0</v>
      </c>
      <c r="H83" s="498"/>
      <c r="I83" s="506"/>
      <c r="J83" s="511"/>
      <c r="K83" s="511"/>
      <c r="L83" s="511"/>
      <c r="M83" s="4"/>
      <c r="N83" s="4"/>
      <c r="O83" s="4"/>
      <c r="P83" s="4"/>
      <c r="R83">
        <f t="shared" si="36"/>
        <v>0</v>
      </c>
      <c r="V83">
        <f t="shared" si="37"/>
        <v>0</v>
      </c>
      <c r="Y83"/>
      <c r="Z83"/>
      <c r="AO83" s="1"/>
      <c r="BL83" s="1"/>
      <c r="BW83" s="248"/>
      <c r="BX83" s="248"/>
      <c r="CY83"/>
      <c r="CZ83"/>
    </row>
    <row r="84" spans="1:111" ht="19" hidden="1" customHeight="1">
      <c r="A84" s="498">
        <f>COUNTIF(C34:C35,"Skema 1")+COUNTIF(C34:C35,"Skema 2")+COUNTIF(C34:C35,"Skema 3")+COUNTIF(C34:C35,"Skema 4")+COUNTIF(C34:C35,"Fagdag")+COUNTIF(C34:C35,"Emnedag")+COUNTIF(C34:C35,"Lejrskole")+COUNTIF(C34:C35,"Ekskursion")+COUNTIF(C34:C35,"Pæd.dag")</f>
        <v>0</v>
      </c>
      <c r="B84" s="498"/>
      <c r="C84" s="498"/>
      <c r="D84" s="498"/>
      <c r="E84" s="498"/>
      <c r="F84" s="498" t="s">
        <v>204</v>
      </c>
      <c r="G84" s="498">
        <f>COUNTIFS($B$9:$B$38,"to",[0]!April,"Skema 4")</f>
        <v>0</v>
      </c>
      <c r="H84" s="498"/>
      <c r="I84" s="506"/>
      <c r="J84" s="511"/>
      <c r="K84" s="511"/>
      <c r="L84" s="511"/>
      <c r="M84" s="4"/>
      <c r="N84" s="4"/>
      <c r="O84" s="4"/>
      <c r="P84" s="4"/>
      <c r="R84">
        <f t="shared" si="36"/>
        <v>0</v>
      </c>
      <c r="V84">
        <f t="shared" si="37"/>
        <v>0</v>
      </c>
      <c r="Y84"/>
      <c r="Z84"/>
      <c r="AO84" s="1">
        <f>SUM(N84:AN84)</f>
        <v>0</v>
      </c>
      <c r="BL84" s="1">
        <f>SUM(AI84:BK84)</f>
        <v>0</v>
      </c>
      <c r="BW84" s="248"/>
      <c r="BX84" s="248"/>
      <c r="CY84"/>
      <c r="CZ84"/>
    </row>
    <row r="85" spans="1:111" ht="19" hidden="1" customHeight="1">
      <c r="A85" s="498"/>
      <c r="B85" s="498"/>
      <c r="C85" s="498"/>
      <c r="D85" s="498"/>
      <c r="E85" s="498"/>
      <c r="F85" s="498" t="s">
        <v>205</v>
      </c>
      <c r="G85" s="498">
        <f>COUNTIFS($B$9:$B$38,"fr",[0]!April,"Skema 4")</f>
        <v>0</v>
      </c>
      <c r="H85" s="498"/>
      <c r="I85" s="498"/>
      <c r="J85" s="501"/>
      <c r="K85" s="501"/>
      <c r="L85" s="41"/>
      <c r="R85">
        <f t="shared" si="36"/>
        <v>0</v>
      </c>
      <c r="V85">
        <f t="shared" si="37"/>
        <v>0</v>
      </c>
      <c r="Y85"/>
      <c r="Z85"/>
      <c r="AO85" s="1">
        <f>SUM(N85:AN85)</f>
        <v>0</v>
      </c>
      <c r="BL85" s="1">
        <f>SUM(AI85:BK85)</f>
        <v>0</v>
      </c>
      <c r="BW85" s="248"/>
      <c r="BX85" s="248"/>
      <c r="CY85"/>
      <c r="CZ85"/>
    </row>
    <row r="86" spans="1:111" ht="19" hidden="1" customHeight="1">
      <c r="A86" s="498">
        <f>SUM(A81:A85)</f>
        <v>0</v>
      </c>
      <c r="B86" s="498"/>
      <c r="C86" s="498"/>
      <c r="D86" s="498"/>
      <c r="E86" s="498"/>
      <c r="F86" s="498"/>
      <c r="G86" s="503">
        <f>SUM(G63:G85)</f>
        <v>16</v>
      </c>
      <c r="H86" s="501"/>
      <c r="I86" s="498"/>
      <c r="J86" s="501"/>
      <c r="K86" s="501"/>
      <c r="L86" s="41"/>
      <c r="R86">
        <f t="shared" si="36"/>
        <v>0</v>
      </c>
      <c r="V86">
        <f t="shared" si="37"/>
        <v>0</v>
      </c>
      <c r="Y86"/>
      <c r="Z86"/>
      <c r="AO86" s="1">
        <f>SUM(N86:AN86)</f>
        <v>0</v>
      </c>
      <c r="BL86" s="1">
        <f>SUM(AI86:BK86)</f>
        <v>0</v>
      </c>
      <c r="BW86" s="248"/>
      <c r="BX86" s="248"/>
      <c r="CY86"/>
      <c r="CZ86"/>
    </row>
    <row r="87" spans="1:111" ht="19" hidden="1" customHeight="1">
      <c r="A87" s="501"/>
      <c r="B87" s="501"/>
      <c r="C87" s="501"/>
      <c r="D87" s="501"/>
      <c r="E87" s="498"/>
      <c r="F87" s="498"/>
      <c r="G87" s="498"/>
      <c r="H87" s="41"/>
      <c r="I87" s="501"/>
      <c r="J87" s="501"/>
      <c r="K87" s="501"/>
      <c r="L87" s="41"/>
      <c r="R87">
        <f t="shared" si="36"/>
        <v>0</v>
      </c>
      <c r="V87">
        <f t="shared" si="37"/>
        <v>0</v>
      </c>
      <c r="Y87"/>
      <c r="Z87"/>
      <c r="AO87" s="1">
        <f>SUM(N87:AN87)</f>
        <v>0</v>
      </c>
      <c r="BL87" s="1">
        <f>SUM(AI87:BK87)</f>
        <v>0</v>
      </c>
      <c r="BW87" s="248"/>
      <c r="BX87" s="248"/>
      <c r="CY87"/>
      <c r="CZ87"/>
    </row>
    <row r="88" spans="1:111" hidden="1">
      <c r="A88" s="501"/>
      <c r="B88" s="501"/>
      <c r="C88" s="501"/>
      <c r="D88" s="501"/>
      <c r="E88" s="498"/>
      <c r="F88" s="498"/>
      <c r="G88" s="498"/>
      <c r="H88" s="41"/>
      <c r="I88" s="41"/>
      <c r="J88" s="501"/>
      <c r="K88" s="501"/>
      <c r="L88" s="41"/>
      <c r="R88">
        <f t="shared" si="36"/>
        <v>0</v>
      </c>
      <c r="V88">
        <f t="shared" si="37"/>
        <v>0</v>
      </c>
      <c r="Y88"/>
      <c r="Z88"/>
      <c r="BW88" s="248"/>
      <c r="BX88" s="248"/>
      <c r="CY88"/>
      <c r="CZ88"/>
    </row>
    <row r="89" spans="1:111" hidden="1">
      <c r="A89" s="501"/>
      <c r="B89" s="501"/>
      <c r="C89" s="501"/>
      <c r="D89" s="501"/>
      <c r="E89" s="498"/>
      <c r="F89" s="498"/>
      <c r="G89" s="498"/>
      <c r="H89" s="41"/>
      <c r="I89" s="41"/>
      <c r="J89" s="41"/>
      <c r="K89" s="41"/>
      <c r="L89" s="41"/>
      <c r="R89">
        <f t="shared" si="36"/>
        <v>0</v>
      </c>
      <c r="V89">
        <f t="shared" si="37"/>
        <v>0</v>
      </c>
      <c r="Y89"/>
      <c r="Z89"/>
      <c r="BW89" s="248"/>
      <c r="BX89" s="248"/>
      <c r="CY89"/>
      <c r="CZ89"/>
    </row>
    <row r="90" spans="1:111" hidden="1">
      <c r="A90" s="501"/>
      <c r="B90" s="501"/>
      <c r="C90" s="501"/>
      <c r="D90" s="501"/>
      <c r="E90" s="498"/>
      <c r="F90" s="498"/>
      <c r="G90" s="498"/>
      <c r="H90" s="41"/>
      <c r="I90" s="41"/>
      <c r="J90" s="41"/>
      <c r="K90" s="41"/>
      <c r="L90" s="41"/>
      <c r="R90">
        <f t="shared" si="36"/>
        <v>0</v>
      </c>
      <c r="V90">
        <f t="shared" si="37"/>
        <v>0</v>
      </c>
      <c r="Y90"/>
      <c r="Z90"/>
      <c r="BW90" s="248"/>
      <c r="BX90" s="248"/>
      <c r="CY90"/>
      <c r="CZ90"/>
    </row>
    <row r="91" spans="1:111" hidden="1">
      <c r="A91" s="501"/>
      <c r="B91" s="501"/>
      <c r="C91" s="501"/>
      <c r="D91" s="501"/>
      <c r="E91" s="498"/>
      <c r="F91" s="498"/>
      <c r="G91" s="498"/>
      <c r="I91" s="41"/>
      <c r="J91" s="41"/>
      <c r="K91" s="41"/>
      <c r="L91" s="41"/>
      <c r="R91">
        <f t="shared" si="36"/>
        <v>0</v>
      </c>
      <c r="V91">
        <f t="shared" si="37"/>
        <v>0</v>
      </c>
      <c r="Y91"/>
      <c r="Z91"/>
      <c r="BW91" s="248"/>
      <c r="BX91" s="248"/>
      <c r="CY91"/>
      <c r="CZ91"/>
    </row>
    <row r="92" spans="1:111" hidden="1">
      <c r="A92" s="445"/>
      <c r="B92" s="445"/>
      <c r="C92" s="445"/>
      <c r="D92" s="445"/>
      <c r="E92" s="118"/>
      <c r="F92" s="118"/>
      <c r="G92" s="118"/>
      <c r="I92" s="41"/>
      <c r="J92" s="41"/>
      <c r="K92" s="41"/>
      <c r="L92" s="41"/>
      <c r="R92">
        <f t="shared" si="36"/>
        <v>0</v>
      </c>
      <c r="V92">
        <f t="shared" si="37"/>
        <v>0</v>
      </c>
      <c r="Y92"/>
      <c r="Z92"/>
      <c r="BW92" s="248"/>
      <c r="BX92" s="248"/>
      <c r="CY92"/>
      <c r="CZ92"/>
    </row>
    <row r="93" spans="1:111" hidden="1">
      <c r="A93" s="445"/>
      <c r="B93" s="445"/>
      <c r="C93" s="445"/>
      <c r="D93" s="445"/>
      <c r="E93" s="118"/>
      <c r="F93" s="118"/>
      <c r="G93" s="118"/>
      <c r="I93" s="41"/>
      <c r="J93" s="41"/>
      <c r="K93" s="41"/>
      <c r="L93" s="41"/>
      <c r="R93">
        <f t="shared" si="36"/>
        <v>0</v>
      </c>
      <c r="V93">
        <f t="shared" si="37"/>
        <v>0</v>
      </c>
      <c r="Y93"/>
      <c r="Z93"/>
      <c r="AD93" s="4"/>
      <c r="AE93" s="231"/>
      <c r="AF93" s="231"/>
      <c r="AG93" s="231"/>
      <c r="AH93" s="231"/>
      <c r="CY93"/>
      <c r="CZ93"/>
      <c r="DF93" s="248"/>
      <c r="DG93" s="248"/>
    </row>
    <row r="94" spans="1:111" hidden="1">
      <c r="A94" s="445"/>
      <c r="B94" s="445"/>
      <c r="C94" s="445"/>
      <c r="D94" s="445"/>
      <c r="E94" s="118"/>
      <c r="F94" s="118"/>
      <c r="G94" s="118"/>
      <c r="I94" s="41"/>
      <c r="J94" s="41"/>
      <c r="K94" s="41"/>
      <c r="L94" s="41"/>
      <c r="R94">
        <f t="shared" si="36"/>
        <v>0</v>
      </c>
      <c r="V94">
        <f t="shared" si="37"/>
        <v>0</v>
      </c>
      <c r="Y94"/>
      <c r="Z94"/>
      <c r="AD94" s="4"/>
      <c r="AE94" s="231"/>
      <c r="AF94" s="231"/>
      <c r="AG94" s="231"/>
      <c r="AH94" s="231"/>
      <c r="CY94"/>
      <c r="CZ94"/>
      <c r="DF94" s="248"/>
      <c r="DG94" s="248"/>
    </row>
    <row r="95" spans="1:111" hidden="1">
      <c r="E95" s="90"/>
      <c r="F95" s="90"/>
      <c r="G95" s="90"/>
      <c r="I95" s="41"/>
      <c r="J95" s="41"/>
      <c r="K95" s="41"/>
      <c r="L95" s="41"/>
      <c r="R95">
        <f t="shared" si="36"/>
        <v>0</v>
      </c>
      <c r="V95">
        <f t="shared" si="37"/>
        <v>0</v>
      </c>
    </row>
    <row r="96" spans="1:111" hidden="1">
      <c r="E96" s="90"/>
      <c r="F96" s="90"/>
      <c r="G96" s="90"/>
      <c r="I96" s="41"/>
      <c r="J96" s="41"/>
      <c r="K96" s="41"/>
      <c r="L96" s="41"/>
      <c r="R96">
        <f t="shared" si="36"/>
        <v>0</v>
      </c>
      <c r="V96">
        <f t="shared" si="37"/>
        <v>0</v>
      </c>
    </row>
    <row r="97" spans="9:22" hidden="1">
      <c r="I97" s="41"/>
      <c r="J97" s="41"/>
      <c r="K97" s="41"/>
      <c r="L97" s="41"/>
      <c r="R97">
        <f t="shared" si="36"/>
        <v>0</v>
      </c>
      <c r="V97">
        <f t="shared" si="37"/>
        <v>0</v>
      </c>
    </row>
    <row r="98" spans="9:22" hidden="1">
      <c r="I98" s="41"/>
      <c r="J98" s="41"/>
      <c r="K98" s="41"/>
      <c r="L98" s="41"/>
      <c r="R98">
        <f t="shared" si="36"/>
        <v>0</v>
      </c>
      <c r="V98">
        <f t="shared" si="37"/>
        <v>0</v>
      </c>
    </row>
    <row r="99" spans="9:22" hidden="1">
      <c r="I99" s="41"/>
      <c r="J99" s="41"/>
      <c r="K99" s="41"/>
      <c r="L99" s="445"/>
      <c r="R99">
        <f t="shared" si="36"/>
        <v>0</v>
      </c>
      <c r="V99">
        <f t="shared" si="37"/>
        <v>0</v>
      </c>
    </row>
    <row r="100" spans="9:22" hidden="1">
      <c r="I100" s="41"/>
      <c r="J100" s="41"/>
      <c r="K100" s="41"/>
      <c r="L100" s="445"/>
      <c r="R100">
        <f t="shared" si="36"/>
        <v>0</v>
      </c>
      <c r="V100">
        <f t="shared" si="37"/>
        <v>0</v>
      </c>
    </row>
    <row r="101" spans="9:22" hidden="1">
      <c r="I101" s="41"/>
      <c r="J101" s="41"/>
      <c r="K101" s="41"/>
      <c r="L101" s="445"/>
      <c r="R101">
        <f t="shared" si="36"/>
        <v>0</v>
      </c>
      <c r="V101">
        <f t="shared" si="37"/>
        <v>0</v>
      </c>
    </row>
    <row r="102" spans="9:22" hidden="1">
      <c r="I102" s="445"/>
      <c r="J102" s="41"/>
      <c r="K102" s="41"/>
      <c r="L102" s="445"/>
      <c r="R102">
        <f t="shared" si="36"/>
        <v>0</v>
      </c>
      <c r="V102">
        <f t="shared" si="37"/>
        <v>0</v>
      </c>
    </row>
    <row r="103" spans="9:22" hidden="1">
      <c r="I103" s="445"/>
      <c r="J103" s="445"/>
      <c r="K103" s="445"/>
      <c r="L103" s="445"/>
      <c r="R103">
        <f t="shared" si="36"/>
        <v>0</v>
      </c>
      <c r="V103">
        <f t="shared" si="37"/>
        <v>0</v>
      </c>
    </row>
    <row r="104" spans="9:22" ht="17" hidden="1" thickBot="1">
      <c r="I104" s="445"/>
      <c r="J104" s="445"/>
      <c r="K104" s="445"/>
      <c r="L104" s="445"/>
      <c r="R104">
        <f t="shared" si="36"/>
        <v>0</v>
      </c>
      <c r="V104">
        <f t="shared" si="37"/>
        <v>0</v>
      </c>
    </row>
    <row r="105" spans="9:22" ht="17" hidden="1" thickBot="1">
      <c r="I105" s="445"/>
      <c r="J105" s="445"/>
      <c r="K105" s="445"/>
      <c r="L105" s="445"/>
      <c r="R105" s="693">
        <f>SUM(R74:R104)+FB40</f>
        <v>0</v>
      </c>
      <c r="V105">
        <f>SUM(V74:V104)</f>
        <v>0</v>
      </c>
    </row>
    <row r="106" spans="9:22">
      <c r="I106" s="445"/>
      <c r="J106" s="445"/>
      <c r="K106" s="445"/>
      <c r="L106" s="445"/>
    </row>
  </sheetData>
  <sheetProtection sheet="1" objects="1" scenarios="1"/>
  <mergeCells count="173">
    <mergeCell ref="FQ8:FR8"/>
    <mergeCell ref="DS8:DV8"/>
    <mergeCell ref="DZ8:EB8"/>
    <mergeCell ref="EG8:EI8"/>
    <mergeCell ref="EM8:EN8"/>
    <mergeCell ref="EQ8:ER8"/>
    <mergeCell ref="EU8:EV8"/>
    <mergeCell ref="FC8:FD8"/>
    <mergeCell ref="FG8:FH8"/>
    <mergeCell ref="FK8:FL8"/>
    <mergeCell ref="EY8:EZ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EW6:EZ6"/>
    <mergeCell ref="A60:B60"/>
    <mergeCell ref="C60:D60"/>
    <mergeCell ref="E60:G60"/>
    <mergeCell ref="I60:K60"/>
    <mergeCell ref="A61:G61"/>
    <mergeCell ref="I61:K61"/>
    <mergeCell ref="I57:K57"/>
    <mergeCell ref="A58:B58"/>
    <mergeCell ref="C58:D58"/>
    <mergeCell ref="E58:G58"/>
    <mergeCell ref="I58:K58"/>
    <mergeCell ref="A59:B59"/>
    <mergeCell ref="C59:D59"/>
    <mergeCell ref="E59:G59"/>
    <mergeCell ref="I59:K59"/>
    <mergeCell ref="A48:H48"/>
    <mergeCell ref="I48:K48"/>
    <mergeCell ref="A44:G44"/>
    <mergeCell ref="A47:H47"/>
    <mergeCell ref="I47:K47"/>
    <mergeCell ref="V44:X44"/>
    <mergeCell ref="M45:U45"/>
    <mergeCell ref="V45:X45"/>
    <mergeCell ref="M46:X46"/>
    <mergeCell ref="M47:U47"/>
    <mergeCell ref="V47:X47"/>
    <mergeCell ref="M48:U48"/>
    <mergeCell ref="V48:X48"/>
    <mergeCell ref="A66:C66"/>
    <mergeCell ref="A64:C64"/>
    <mergeCell ref="A49:H49"/>
    <mergeCell ref="I49:K49"/>
    <mergeCell ref="I50:K50"/>
    <mergeCell ref="M49:U49"/>
    <mergeCell ref="V49:X49"/>
    <mergeCell ref="M50:U50"/>
    <mergeCell ref="V50:X50"/>
    <mergeCell ref="A65:C65"/>
    <mergeCell ref="M51:U51"/>
    <mergeCell ref="V51:X51"/>
    <mergeCell ref="A52:G53"/>
    <mergeCell ref="I52:K52"/>
    <mergeCell ref="M52:U52"/>
    <mergeCell ref="V52:X52"/>
    <mergeCell ref="A55:K55"/>
    <mergeCell ref="A56:B56"/>
    <mergeCell ref="C56:D56"/>
    <mergeCell ref="E56:G56"/>
    <mergeCell ref="H56:K56"/>
    <mergeCell ref="A57:B57"/>
    <mergeCell ref="C57:D57"/>
    <mergeCell ref="E57:G57"/>
    <mergeCell ref="I42:K42"/>
    <mergeCell ref="A43:G43"/>
    <mergeCell ref="I43:K43"/>
    <mergeCell ref="M43:U43"/>
    <mergeCell ref="V43:X43"/>
    <mergeCell ref="A46:G46"/>
    <mergeCell ref="I46:K46"/>
    <mergeCell ref="E36:G36"/>
    <mergeCell ref="E37:G37"/>
    <mergeCell ref="E38:G38"/>
    <mergeCell ref="A39:I39"/>
    <mergeCell ref="A41:G41"/>
    <mergeCell ref="I41:K41"/>
    <mergeCell ref="M41:X41"/>
    <mergeCell ref="M42:U42"/>
    <mergeCell ref="V42:X42"/>
    <mergeCell ref="I44:K44"/>
    <mergeCell ref="A45:G45"/>
    <mergeCell ref="I45:K45"/>
    <mergeCell ref="M44:U44"/>
    <mergeCell ref="E24:G24"/>
    <mergeCell ref="E25:G25"/>
    <mergeCell ref="E26:G26"/>
    <mergeCell ref="E27:G27"/>
    <mergeCell ref="E28:G28"/>
    <mergeCell ref="E32:G32"/>
    <mergeCell ref="A42:G42"/>
    <mergeCell ref="E33:G33"/>
    <mergeCell ref="E34:G34"/>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A3:X3"/>
    <mergeCell ref="N6:N7"/>
    <mergeCell ref="O6:O7"/>
    <mergeCell ref="B2:E2"/>
    <mergeCell ref="E4:G4"/>
    <mergeCell ref="K4:L4"/>
    <mergeCell ref="A5:R5"/>
    <mergeCell ref="A4:D4"/>
    <mergeCell ref="I8:J8"/>
    <mergeCell ref="K8:R8"/>
    <mergeCell ref="I6:I7"/>
    <mergeCell ref="J6:J7"/>
    <mergeCell ref="I53:K53"/>
    <mergeCell ref="A54:G54"/>
    <mergeCell ref="I54:K54"/>
    <mergeCell ref="S5:X5"/>
    <mergeCell ref="S6:X6"/>
    <mergeCell ref="S8:U8"/>
    <mergeCell ref="V8:X8"/>
    <mergeCell ref="E17:G17"/>
    <mergeCell ref="E18:G18"/>
    <mergeCell ref="E19:G19"/>
    <mergeCell ref="E20:G20"/>
    <mergeCell ref="E21:G21"/>
    <mergeCell ref="E22:G22"/>
    <mergeCell ref="E11:G11"/>
    <mergeCell ref="E12:G12"/>
    <mergeCell ref="E13:G13"/>
    <mergeCell ref="E14:G14"/>
    <mergeCell ref="E15:G15"/>
    <mergeCell ref="E16:G16"/>
    <mergeCell ref="E29:G29"/>
    <mergeCell ref="E30:G30"/>
    <mergeCell ref="E31:G31"/>
    <mergeCell ref="E35:G35"/>
    <mergeCell ref="E23:G23"/>
  </mergeCells>
  <phoneticPr fontId="5" type="noConversion"/>
  <conditionalFormatting sqref="A9:H9 D10:H31 A10:C38 D32:E32 H32 D33:H38">
    <cfRule type="expression" dxfId="555" priority="41">
      <formula>OR($C9="ekskursion")</formula>
    </cfRule>
    <cfRule type="expression" dxfId="554" priority="47" stopIfTrue="1">
      <formula>OR($C9="Orlov")</formula>
    </cfRule>
    <cfRule type="expression" dxfId="553" priority="46">
      <formula>OR($C9="weekend")</formula>
    </cfRule>
    <cfRule type="expression" dxfId="552" priority="45">
      <formula>OR($C9="feriedag")</formula>
    </cfRule>
    <cfRule type="expression" dxfId="551" priority="44">
      <formula>OR($C9="fagdag")</formula>
    </cfRule>
    <cfRule type="expression" dxfId="550" priority="43">
      <formula>OR($C9="emnedag")</formula>
    </cfRule>
    <cfRule type="expression" dxfId="549" priority="42">
      <formula>OR($C9="lejrskole")</formula>
    </cfRule>
    <cfRule type="expression" dxfId="548" priority="40">
      <formula>OR($C9="SH-dag")</formula>
    </cfRule>
    <cfRule type="expression" dxfId="547" priority="39">
      <formula>OR($C9="nul-dag")</formula>
    </cfRule>
    <cfRule type="expression" dxfId="546" priority="38">
      <formula>OR($C9="pæd.dag")</formula>
    </cfRule>
    <cfRule type="expression" dxfId="545" priority="37">
      <formula>OR($C9="Ikke relevant")</formula>
    </cfRule>
    <cfRule type="expression" dxfId="544" priority="33">
      <formula>OR($C9="Skema 1")</formula>
    </cfRule>
    <cfRule type="expression" dxfId="543" priority="34">
      <formula>OR($C9="skema 2")</formula>
    </cfRule>
    <cfRule type="expression" dxfId="542" priority="35">
      <formula>OR($C9="Skema 3")</formula>
    </cfRule>
    <cfRule type="expression" dxfId="541" priority="36">
      <formula>OR($C9="Skema 4")</formula>
    </cfRule>
  </conditionalFormatting>
  <conditionalFormatting sqref="E20">
    <cfRule type="expression" dxfId="540" priority="49">
      <formula>OR($D19="nul-dag")</formula>
    </cfRule>
    <cfRule type="expression" dxfId="539" priority="50">
      <formula>OR($D19="SH-dag")</formula>
    </cfRule>
    <cfRule type="expression" dxfId="538" priority="51">
      <formula>OR($D19="ekskursion")</formula>
    </cfRule>
    <cfRule type="expression" dxfId="537" priority="52">
      <formula>OR($D19="lejrskole")</formula>
    </cfRule>
    <cfRule type="expression" dxfId="536" priority="48">
      <formula>OR($D19="pæd.dag")</formula>
    </cfRule>
    <cfRule type="expression" dxfId="535" priority="53">
      <formula>OR($D19="emnedag")</formula>
    </cfRule>
    <cfRule type="expression" dxfId="534" priority="54">
      <formula>OR($D19="fagdag")</formula>
    </cfRule>
    <cfRule type="expression" dxfId="533" priority="55">
      <formula>OR($D19="feriedag")</formula>
    </cfRule>
    <cfRule type="expression" dxfId="532" priority="56">
      <formula>OR($D19="weekend")</formula>
    </cfRule>
    <cfRule type="expression" dxfId="531" priority="57" stopIfTrue="1">
      <formula>OR($D19="skoledag")</formula>
    </cfRule>
    <cfRule type="expression" dxfId="530" priority="58">
      <formula>OR($D19="Ikke relevant")</formula>
    </cfRule>
  </conditionalFormatting>
  <conditionalFormatting sqref="H57:H60">
    <cfRule type="expression" dxfId="529" priority="1">
      <formula>OR($A57&gt;0,)</formula>
    </cfRule>
  </conditionalFormatting>
  <conditionalFormatting sqref="I57:I60">
    <cfRule type="expression" dxfId="528" priority="2">
      <formula>OR($C57&gt;0,)</formula>
    </cfRule>
  </conditionalFormatting>
  <conditionalFormatting sqref="K9:K38">
    <cfRule type="expression" dxfId="527" priority="30">
      <formula>OR($C9="Pæd.dag",)</formula>
    </cfRule>
  </conditionalFormatting>
  <conditionalFormatting sqref="K9:L38">
    <cfRule type="expression" dxfId="526" priority="32">
      <formula>OR($C9="Ekskursion",)</formula>
    </cfRule>
    <cfRule type="expression" dxfId="525" priority="31">
      <formula>OR($C9="Lejrskole",)</formula>
    </cfRule>
  </conditionalFormatting>
  <conditionalFormatting sqref="K9:M38">
    <cfRule type="expression" dxfId="524" priority="29">
      <formula>OR($C9="emnedag",)</formula>
    </cfRule>
    <cfRule type="expression" dxfId="523" priority="28">
      <formula>OR($C9="fagdag",)</formula>
    </cfRule>
  </conditionalFormatting>
  <conditionalFormatting sqref="R9:R38">
    <cfRule type="expression" dxfId="522" priority="59">
      <formula>OR($H9&gt;"0",)</formula>
    </cfRule>
  </conditionalFormatting>
  <conditionalFormatting sqref="V9:V38">
    <cfRule type="expression" dxfId="521" priority="10">
      <formula>OR($S9="X",)</formula>
    </cfRule>
  </conditionalFormatting>
  <conditionalFormatting sqref="V48:X51">
    <cfRule type="expression" dxfId="520" priority="3">
      <formula>OR($M48&gt;0,)</formula>
    </cfRule>
  </conditionalFormatting>
  <conditionalFormatting sqref="W9:W38">
    <cfRule type="expression" dxfId="519" priority="8">
      <formula>OR($T9="X",)</formula>
    </cfRule>
  </conditionalFormatting>
  <conditionalFormatting sqref="X9:X38">
    <cfRule type="expression" dxfId="518" priority="9">
      <formula>OR($U9="X",)</formula>
    </cfRule>
  </conditionalFormatting>
  <dataValidations count="3">
    <dataValidation type="list" allowBlank="1" showInputMessage="1" showErrorMessage="1" sqref="S9:U38 A57:D60" xr:uid="{6C7E9F36-C5DB-A948-BC25-9131908838E7}">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5:I29 I20:I21 I34:I35 I13:I14" xr:uid="{32B16C4D-1D61-5842-B83B-CF621443D18A}">
      <formula1>$W$1:$W$2</formula1>
    </dataValidation>
    <dataValidation type="list" allowBlank="1" showInputMessage="1" showErrorMessage="1" promptTitle="OBS:" prompt="Ved arrangementer med overnatning ydes istedet for ulempe- og weekendgodtgørelse på hhv. 25% og 50% faste tillæg pr. påbegyndt dag. " sqref="J9:J38" xr:uid="{ED1638E6-AA03-1A48-AF1C-42685E3401FF}">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4CF7B6A6-F178-4542-A347-7572CD7C83B4}">
          <x14:formula1>
            <xm:f>August!$A$89:$A$103</xm:f>
          </x14:formula1>
          <xm:sqref>C9:C38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6B31-457F-CD4A-9C4B-CED4E72CB9C5}">
  <sheetPr>
    <tabColor theme="4" tint="-0.249977111117893"/>
    <pageSetUpPr fitToPage="1"/>
  </sheetPr>
  <dimension ref="A1:GC108"/>
  <sheetViews>
    <sheetView topLeftCell="A7" zoomScale="90" workbookViewId="0">
      <selection activeCell="J23" sqref="J23"/>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1" hidden="1" customWidth="1"/>
    <col min="26" max="26" width="7" style="231"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8" hidden="1" customWidth="1"/>
    <col min="105" max="118" width="10.83203125" hidden="1" customWidth="1"/>
    <col min="119" max="185" width="0" hidden="1" customWidth="1"/>
  </cols>
  <sheetData>
    <row r="1" spans="1:185" ht="16" customHeight="1">
      <c r="A1" s="93"/>
      <c r="B1" s="90"/>
      <c r="C1" s="90"/>
      <c r="D1" s="90"/>
      <c r="E1" s="90"/>
      <c r="F1" s="90"/>
      <c r="G1" s="90"/>
      <c r="H1" s="279"/>
      <c r="I1" s="278"/>
      <c r="J1" s="90"/>
      <c r="K1" s="230"/>
      <c r="L1" s="230"/>
      <c r="M1" s="230"/>
      <c r="N1" s="230"/>
      <c r="O1" s="230"/>
      <c r="P1" s="90"/>
      <c r="Q1" s="90"/>
      <c r="R1" s="90"/>
      <c r="S1" s="90"/>
      <c r="T1" s="90"/>
      <c r="U1" s="90"/>
      <c r="V1" s="90"/>
      <c r="W1" s="90"/>
      <c r="X1" s="41"/>
      <c r="Y1" s="246"/>
      <c r="Z1" s="90"/>
      <c r="AB1" s="90"/>
      <c r="AC1" s="90"/>
      <c r="AH1" s="90"/>
      <c r="AI1" s="90"/>
      <c r="CX1" s="248"/>
      <c r="CZ1"/>
    </row>
    <row r="2" spans="1:185" ht="21" thickBot="1">
      <c r="A2" s="92">
        <v>5</v>
      </c>
      <c r="B2" s="1086"/>
      <c r="C2" s="1086"/>
      <c r="D2" s="1086"/>
      <c r="E2" s="1086"/>
      <c r="F2" s="90"/>
      <c r="G2" s="90"/>
      <c r="H2" s="279"/>
      <c r="I2" s="278"/>
      <c r="J2" s="230"/>
      <c r="K2" s="230"/>
      <c r="L2" s="230"/>
      <c r="M2" s="230"/>
      <c r="N2" s="230"/>
      <c r="O2" s="230"/>
      <c r="P2" s="90"/>
      <c r="Q2" s="90"/>
      <c r="R2" s="90"/>
      <c r="S2" s="90"/>
      <c r="T2" s="90"/>
      <c r="U2" s="90"/>
      <c r="V2" s="90"/>
      <c r="W2" s="123" t="s">
        <v>31</v>
      </c>
      <c r="X2" s="123" t="s">
        <v>31</v>
      </c>
      <c r="Y2"/>
      <c r="Z2" s="90"/>
      <c r="AA2" s="90"/>
      <c r="AE2" s="90"/>
      <c r="AG2" s="90"/>
      <c r="CV2" s="248"/>
      <c r="CW2" s="248"/>
      <c r="CY2"/>
      <c r="CZ2"/>
    </row>
    <row r="3" spans="1:185" ht="17" thickBot="1">
      <c r="A3" s="1115" t="s">
        <v>310</v>
      </c>
      <c r="B3" s="1116"/>
      <c r="C3" s="1116"/>
      <c r="D3" s="1116"/>
      <c r="E3" s="1116"/>
      <c r="F3" s="1116"/>
      <c r="G3" s="1116"/>
      <c r="H3" s="1116"/>
      <c r="I3" s="1116"/>
      <c r="J3" s="1116"/>
      <c r="K3" s="1116"/>
      <c r="L3" s="1116"/>
      <c r="M3" s="1116"/>
      <c r="N3" s="1116"/>
      <c r="O3" s="1116"/>
      <c r="P3" s="1116"/>
      <c r="Q3" s="1116"/>
      <c r="R3" s="1116"/>
      <c r="S3" s="1116"/>
      <c r="T3" s="1116"/>
      <c r="U3" s="1116"/>
      <c r="V3" s="1116"/>
      <c r="W3" s="1116"/>
      <c r="X3" s="1117"/>
      <c r="Y3" s="90"/>
      <c r="Z3"/>
      <c r="AC3" s="90"/>
      <c r="AD3" s="90"/>
      <c r="AF3" s="90"/>
      <c r="CT3" s="248"/>
      <c r="CU3" s="248"/>
      <c r="CY3"/>
      <c r="CZ3"/>
      <c r="FI3" s="878" t="s">
        <v>636</v>
      </c>
      <c r="FJ3" s="879"/>
      <c r="FK3" s="879"/>
      <c r="FL3" s="879"/>
      <c r="FM3" s="879"/>
      <c r="FN3" s="879"/>
      <c r="FO3" s="879"/>
      <c r="FP3" s="879"/>
      <c r="FQ3" s="879"/>
      <c r="FR3" s="879"/>
      <c r="FS3" s="879"/>
      <c r="FT3" s="879"/>
      <c r="FU3" s="879"/>
      <c r="FV3" s="879"/>
      <c r="FW3" s="879"/>
      <c r="FX3" s="879"/>
      <c r="FY3" s="879"/>
      <c r="FZ3" s="879"/>
      <c r="GA3" s="879"/>
      <c r="GB3" s="879"/>
      <c r="GC3" s="880"/>
    </row>
    <row r="4" spans="1:185" ht="254" customHeight="1" thickBot="1">
      <c r="A4" s="915" t="s">
        <v>432</v>
      </c>
      <c r="B4" s="916"/>
      <c r="C4" s="916"/>
      <c r="D4" s="916"/>
      <c r="E4" s="920" t="s">
        <v>311</v>
      </c>
      <c r="F4" s="920"/>
      <c r="G4" s="920"/>
      <c r="H4" s="280" t="s">
        <v>414</v>
      </c>
      <c r="I4" s="438" t="s">
        <v>467</v>
      </c>
      <c r="J4" s="438" t="s">
        <v>468</v>
      </c>
      <c r="K4" s="931" t="s">
        <v>515</v>
      </c>
      <c r="L4" s="931"/>
      <c r="M4" s="486" t="s">
        <v>457</v>
      </c>
      <c r="N4" s="486" t="s">
        <v>433</v>
      </c>
      <c r="O4" s="486" t="s">
        <v>434</v>
      </c>
      <c r="P4" s="487" t="s">
        <v>458</v>
      </c>
      <c r="Q4" s="487" t="s">
        <v>309</v>
      </c>
      <c r="R4" s="487" t="s">
        <v>435</v>
      </c>
      <c r="S4" s="488" t="s">
        <v>465</v>
      </c>
      <c r="T4" s="488" t="s">
        <v>436</v>
      </c>
      <c r="U4" s="488" t="s">
        <v>437</v>
      </c>
      <c r="V4" s="489" t="s">
        <v>459</v>
      </c>
      <c r="W4" s="489" t="s">
        <v>400</v>
      </c>
      <c r="X4" s="490" t="s">
        <v>399</v>
      </c>
      <c r="Y4" s="246"/>
      <c r="Z4" s="90"/>
      <c r="AB4" s="90"/>
      <c r="AC4" s="90"/>
      <c r="AH4" s="90"/>
      <c r="AI4" s="90"/>
      <c r="CX4" s="248"/>
      <c r="CZ4"/>
      <c r="FI4" s="730" t="s">
        <v>634</v>
      </c>
      <c r="FJ4" s="730"/>
      <c r="FK4" s="730"/>
      <c r="FL4" s="730"/>
      <c r="FM4" t="s">
        <v>627</v>
      </c>
      <c r="FO4" s="730" t="s">
        <v>633</v>
      </c>
      <c r="FP4" s="730"/>
      <c r="FQ4" s="730"/>
      <c r="FR4" s="730"/>
    </row>
    <row r="5" spans="1:185" ht="26" customHeight="1" thickBot="1">
      <c r="A5" s="932" t="str">
        <f>""&amp;A7&amp;" måneds kalender for: "&amp;Stamoplysninger!E8&amp;". Måneden vedr. normperioden: "&amp;Stamoplysninger!E11&amp;" - "&amp;Stamoplysninger!G11&amp;"."</f>
        <v>Maj måneds kalender for: Beate Simonsen. Måneden vedr. normperioden: 01.08.2024 - 31.07.2025.</v>
      </c>
      <c r="B5" s="933"/>
      <c r="C5" s="933"/>
      <c r="D5" s="933"/>
      <c r="E5" s="933"/>
      <c r="F5" s="933"/>
      <c r="G5" s="933"/>
      <c r="H5" s="933"/>
      <c r="I5" s="933"/>
      <c r="J5" s="933"/>
      <c r="K5" s="933"/>
      <c r="L5" s="933"/>
      <c r="M5" s="933"/>
      <c r="N5" s="933"/>
      <c r="O5" s="933"/>
      <c r="P5" s="933"/>
      <c r="Q5" s="933"/>
      <c r="R5" s="933"/>
      <c r="S5" s="925" t="s">
        <v>306</v>
      </c>
      <c r="T5" s="926"/>
      <c r="U5" s="926"/>
      <c r="V5" s="926"/>
      <c r="W5" s="926"/>
      <c r="X5" s="927"/>
      <c r="Y5" s="246"/>
      <c r="Z5" s="90"/>
      <c r="AB5" s="90"/>
      <c r="AC5" s="90"/>
      <c r="AH5" s="90"/>
      <c r="AI5" s="90"/>
      <c r="CX5" s="248"/>
      <c r="CZ5"/>
      <c r="FI5" s="881" t="s">
        <v>620</v>
      </c>
      <c r="FJ5" s="881"/>
      <c r="FK5" s="881"/>
      <c r="FL5" s="881"/>
      <c r="FM5" s="881"/>
      <c r="FN5" s="881"/>
      <c r="FO5" s="881"/>
      <c r="FP5" s="881"/>
      <c r="FQ5" s="881"/>
      <c r="FR5" s="881"/>
      <c r="FU5" t="s">
        <v>635</v>
      </c>
      <c r="FV5" t="s">
        <v>628</v>
      </c>
      <c r="FX5" t="s">
        <v>629</v>
      </c>
      <c r="FZ5" t="s">
        <v>630</v>
      </c>
      <c r="GB5" s="526" t="s">
        <v>631</v>
      </c>
    </row>
    <row r="6" spans="1:185" ht="47" customHeight="1">
      <c r="A6" s="329">
        <f>Januar!A6</f>
        <v>2025</v>
      </c>
      <c r="B6" s="242"/>
      <c r="C6" s="243"/>
      <c r="D6" s="244"/>
      <c r="E6" s="940" t="s">
        <v>471</v>
      </c>
      <c r="F6" s="941"/>
      <c r="G6" s="942"/>
      <c r="H6" s="326" t="s">
        <v>324</v>
      </c>
      <c r="I6" s="888" t="s">
        <v>466</v>
      </c>
      <c r="J6" s="938" t="s">
        <v>487</v>
      </c>
      <c r="K6" s="934" t="s">
        <v>303</v>
      </c>
      <c r="L6" s="935"/>
      <c r="M6" s="327" t="s">
        <v>304</v>
      </c>
      <c r="N6" s="888" t="s">
        <v>447</v>
      </c>
      <c r="O6" s="888" t="s">
        <v>308</v>
      </c>
      <c r="P6" s="888" t="s">
        <v>456</v>
      </c>
      <c r="Q6" s="888" t="s">
        <v>387</v>
      </c>
      <c r="R6" s="891" t="s">
        <v>516</v>
      </c>
      <c r="S6" s="953" t="s">
        <v>305</v>
      </c>
      <c r="T6" s="954"/>
      <c r="U6" s="954"/>
      <c r="V6" s="954"/>
      <c r="W6" s="954"/>
      <c r="X6" s="955"/>
      <c r="Y6" s="212"/>
      <c r="Z6" s="212"/>
      <c r="AA6" s="890" t="s">
        <v>261</v>
      </c>
      <c r="AB6" s="890"/>
      <c r="AC6" s="890"/>
      <c r="AD6" s="890"/>
      <c r="AE6" s="890"/>
      <c r="AF6" s="209"/>
      <c r="AG6" s="890" t="s">
        <v>222</v>
      </c>
      <c r="AH6" s="890"/>
      <c r="AI6" s="890"/>
      <c r="AJ6" s="890"/>
      <c r="AK6" s="890"/>
      <c r="AL6" s="890" t="s">
        <v>223</v>
      </c>
      <c r="AM6" s="890"/>
      <c r="AN6" s="890"/>
      <c r="AO6" s="890"/>
      <c r="AP6" s="890"/>
      <c r="AQ6" s="890" t="s">
        <v>224</v>
      </c>
      <c r="AR6" s="890"/>
      <c r="AS6" s="890"/>
      <c r="AT6" s="890"/>
      <c r="AU6" s="890"/>
      <c r="AV6" s="890" t="s">
        <v>225</v>
      </c>
      <c r="AW6" s="890"/>
      <c r="AX6" s="890"/>
      <c r="AY6" s="890"/>
      <c r="AZ6" s="890"/>
      <c r="BA6" s="299"/>
      <c r="BB6" s="209"/>
      <c r="BC6" s="890" t="s">
        <v>264</v>
      </c>
      <c r="BD6" s="890"/>
      <c r="BE6" s="890"/>
      <c r="BF6" s="890"/>
      <c r="BG6" s="890" t="s">
        <v>227</v>
      </c>
      <c r="BH6" s="890"/>
      <c r="BI6" s="890"/>
      <c r="BJ6" s="890"/>
      <c r="BK6" s="890"/>
      <c r="BL6" s="890" t="s">
        <v>228</v>
      </c>
      <c r="BM6" s="890"/>
      <c r="BN6" s="890"/>
      <c r="BO6" s="890"/>
      <c r="BP6" s="890"/>
      <c r="BQ6" s="890" t="s">
        <v>229</v>
      </c>
      <c r="BR6" s="890"/>
      <c r="BS6" s="890"/>
      <c r="BT6" s="890"/>
      <c r="BU6" s="890"/>
      <c r="BV6" s="890" t="s">
        <v>230</v>
      </c>
      <c r="BW6" s="890"/>
      <c r="BX6" s="890"/>
      <c r="BY6" s="890"/>
      <c r="BZ6" s="890"/>
      <c r="CD6" s="890" t="s">
        <v>265</v>
      </c>
      <c r="CE6" s="890"/>
      <c r="CF6" s="890"/>
      <c r="CG6" s="890"/>
      <c r="CH6" s="890"/>
      <c r="CI6" s="890" t="s">
        <v>267</v>
      </c>
      <c r="CJ6" s="890"/>
      <c r="CK6" s="890"/>
      <c r="CL6" s="890"/>
      <c r="CM6" s="890"/>
      <c r="CN6" s="890" t="s">
        <v>266</v>
      </c>
      <c r="CO6" s="890"/>
      <c r="CP6" s="890"/>
      <c r="CQ6" s="890"/>
      <c r="CR6" s="890"/>
      <c r="CS6" s="890" t="s">
        <v>268</v>
      </c>
      <c r="CT6" s="890"/>
      <c r="CU6" s="890"/>
      <c r="CV6" s="890"/>
      <c r="CW6" s="890"/>
      <c r="CX6" s="248"/>
      <c r="CZ6"/>
      <c r="DA6" s="730" t="s">
        <v>212</v>
      </c>
      <c r="DB6" s="730"/>
      <c r="DC6" s="730"/>
      <c r="DD6" s="730"/>
      <c r="DE6" s="730"/>
      <c r="DO6" s="1049" t="s">
        <v>320</v>
      </c>
      <c r="DP6" s="1050"/>
      <c r="DQ6" s="1050"/>
      <c r="DR6" s="1050"/>
      <c r="DS6" s="1050"/>
      <c r="DT6" s="1050"/>
      <c r="DU6" s="1050"/>
      <c r="DV6" s="1051"/>
      <c r="DW6" s="1052" t="s">
        <v>320</v>
      </c>
      <c r="DX6" s="1053"/>
      <c r="DY6" s="1053"/>
      <c r="DZ6" s="1053"/>
      <c r="EA6" s="1053"/>
      <c r="EB6" s="1054"/>
      <c r="EC6" s="1055" t="s">
        <v>376</v>
      </c>
      <c r="ED6" s="1056"/>
      <c r="EE6" s="1056"/>
      <c r="EF6" s="1056"/>
      <c r="EG6" s="1056"/>
      <c r="EH6" s="1056"/>
      <c r="EI6" s="1056"/>
      <c r="EJ6" s="1057"/>
      <c r="EK6" s="1058" t="s">
        <v>321</v>
      </c>
      <c r="EL6" s="1059"/>
      <c r="EM6" s="1059"/>
      <c r="EN6" s="1060"/>
      <c r="EO6" s="1058" t="s">
        <v>325</v>
      </c>
      <c r="EP6" s="1059"/>
      <c r="EQ6" s="1059"/>
      <c r="ER6" s="1060"/>
      <c r="ES6" s="873" t="s">
        <v>379</v>
      </c>
      <c r="ET6" s="874"/>
      <c r="EU6" s="874"/>
      <c r="EV6" s="875"/>
      <c r="EW6" s="873" t="s">
        <v>380</v>
      </c>
      <c r="EX6" s="874"/>
      <c r="EY6" s="874"/>
      <c r="EZ6" s="875"/>
      <c r="FA6" s="873" t="s">
        <v>381</v>
      </c>
      <c r="FB6" s="874"/>
      <c r="FC6" s="874"/>
      <c r="FD6" s="875"/>
      <c r="FE6" s="873" t="s">
        <v>382</v>
      </c>
      <c r="FF6" s="874"/>
      <c r="FG6" s="874"/>
      <c r="FH6" s="875"/>
      <c r="FI6" s="883" t="s">
        <v>605</v>
      </c>
      <c r="FJ6" s="884"/>
      <c r="FK6" s="884"/>
      <c r="FL6" s="1061"/>
      <c r="FM6" s="882" t="s">
        <v>381</v>
      </c>
      <c r="FN6" s="882"/>
      <c r="FO6" s="883" t="s">
        <v>632</v>
      </c>
      <c r="FP6" s="884"/>
      <c r="FQ6" s="884"/>
      <c r="FR6" s="885"/>
      <c r="FS6" s="886" t="s">
        <v>622</v>
      </c>
      <c r="FT6" s="887"/>
      <c r="FU6" t="s">
        <v>625</v>
      </c>
      <c r="FV6" s="882" t="s">
        <v>379</v>
      </c>
      <c r="FW6" s="882"/>
      <c r="FX6" s="882" t="s">
        <v>380</v>
      </c>
      <c r="FY6" s="882"/>
      <c r="FZ6" s="882" t="s">
        <v>382</v>
      </c>
      <c r="GA6" s="882"/>
      <c r="GB6" s="882" t="s">
        <v>378</v>
      </c>
      <c r="GC6" s="882"/>
    </row>
    <row r="7" spans="1:185" ht="193" customHeight="1">
      <c r="A7" s="997" t="s">
        <v>287</v>
      </c>
      <c r="B7" s="998"/>
      <c r="C7" s="998"/>
      <c r="D7" s="999"/>
      <c r="E7" s="943"/>
      <c r="F7" s="944"/>
      <c r="G7" s="945"/>
      <c r="H7" s="952" t="s">
        <v>486</v>
      </c>
      <c r="I7" s="937"/>
      <c r="J7" s="939"/>
      <c r="K7" s="328" t="s">
        <v>517</v>
      </c>
      <c r="L7" s="328" t="s">
        <v>518</v>
      </c>
      <c r="M7" s="328" t="s">
        <v>519</v>
      </c>
      <c r="N7" s="889"/>
      <c r="O7" s="889"/>
      <c r="P7" s="889"/>
      <c r="Q7" s="889"/>
      <c r="R7" s="892"/>
      <c r="S7" s="492" t="s">
        <v>738</v>
      </c>
      <c r="T7" s="327" t="s">
        <v>307</v>
      </c>
      <c r="U7" s="327" t="s">
        <v>401</v>
      </c>
      <c r="V7" s="443" t="s">
        <v>439</v>
      </c>
      <c r="W7" s="443" t="s">
        <v>438</v>
      </c>
      <c r="X7" s="444" t="s">
        <v>398</v>
      </c>
      <c r="Y7" s="212" t="s">
        <v>279</v>
      </c>
      <c r="Z7" s="212" t="s">
        <v>280</v>
      </c>
      <c r="AA7" s="300" t="s">
        <v>211</v>
      </c>
      <c r="AB7" t="s">
        <v>136</v>
      </c>
      <c r="AC7" t="s">
        <v>139</v>
      </c>
      <c r="AD7" t="s">
        <v>138</v>
      </c>
      <c r="AE7" t="s">
        <v>137</v>
      </c>
      <c r="AF7" t="s">
        <v>416</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8"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2" t="s">
        <v>231</v>
      </c>
      <c r="CB7" s="234" t="s">
        <v>251</v>
      </c>
      <c r="CC7" s="300"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8" t="s">
        <v>277</v>
      </c>
      <c r="CY7" s="248" t="s">
        <v>269</v>
      </c>
      <c r="CZ7" s="248" t="s">
        <v>270</v>
      </c>
      <c r="DA7" s="248" t="s">
        <v>271</v>
      </c>
      <c r="DB7" s="248" t="s">
        <v>272</v>
      </c>
      <c r="DC7" s="248" t="s">
        <v>273</v>
      </c>
      <c r="DD7" s="248" t="s">
        <v>274</v>
      </c>
      <c r="DE7" s="248" t="s">
        <v>275</v>
      </c>
      <c r="DF7" s="248" t="s">
        <v>276</v>
      </c>
      <c r="DG7" s="248"/>
      <c r="DO7" s="649" t="s">
        <v>720</v>
      </c>
      <c r="DP7" s="300" t="s">
        <v>721</v>
      </c>
      <c r="DQ7" s="703" t="s">
        <v>725</v>
      </c>
      <c r="DR7" s="703" t="s">
        <v>722</v>
      </c>
      <c r="DS7" s="650" t="s">
        <v>727</v>
      </c>
      <c r="DT7" s="650" t="str">
        <f>DP7</f>
        <v>Ulempetillæg på weekenddage - kræver der er sat kryds i weekendarbejde. KOLONNE I</v>
      </c>
      <c r="DU7" s="705" t="s">
        <v>728</v>
      </c>
      <c r="DV7" s="704" t="str">
        <f>DR7</f>
        <v>Ulempetillæg ændringer på weekenddage. Kræver der er sat kryds i ændring i timetal og at det er en weekeend. KOLONNE I OG S</v>
      </c>
      <c r="DW7" s="649" t="s">
        <v>598</v>
      </c>
      <c r="DX7" s="300" t="s">
        <v>596</v>
      </c>
      <c r="DY7" s="300" t="s">
        <v>597</v>
      </c>
      <c r="DZ7" s="650" t="str">
        <f>DW7</f>
        <v>17-06 timer til udbetaling inkl. ændringer 17-06</v>
      </c>
      <c r="EA7" s="650" t="str">
        <f>DX7</f>
        <v>Ulempetillæg på weekenddage</v>
      </c>
      <c r="EB7" s="651" t="str">
        <f>DY7</f>
        <v>Ulempetillæg ændringer på weekenddage</v>
      </c>
      <c r="EC7" s="706" t="s">
        <v>723</v>
      </c>
      <c r="ED7" s="703" t="s">
        <v>724</v>
      </c>
      <c r="EE7" s="703" t="s">
        <v>726</v>
      </c>
      <c r="EF7" s="703" t="s">
        <v>722</v>
      </c>
      <c r="EG7" s="650" t="s">
        <v>727</v>
      </c>
      <c r="EH7" s="705" t="str">
        <f>ED7</f>
        <v>Ulempetillæg på weekenddage til afspadsering. Kræver der er sat kryds i weekendarb. KOLONNE I</v>
      </c>
      <c r="EI7" s="705" t="s">
        <v>728</v>
      </c>
      <c r="EJ7" s="704" t="str">
        <f>EF7</f>
        <v>Ulempetillæg ændringer på weekenddage. Kræver der er sat kryds i ændring i timetal og at det er en weekeend. KOLONNE I OG S</v>
      </c>
      <c r="EK7" s="656" t="s">
        <v>730</v>
      </c>
      <c r="EL7" s="654" t="s">
        <v>729</v>
      </c>
      <c r="EM7" s="655" t="s">
        <v>733</v>
      </c>
      <c r="EN7" s="657" t="s">
        <v>732</v>
      </c>
      <c r="EO7" s="656" t="s">
        <v>730</v>
      </c>
      <c r="EP7" s="654" t="s">
        <v>729</v>
      </c>
      <c r="EQ7" s="655" t="s">
        <v>733</v>
      </c>
      <c r="ER7" s="657" t="s">
        <v>732</v>
      </c>
      <c r="ES7" s="656" t="s">
        <v>734</v>
      </c>
      <c r="ET7" s="654" t="s">
        <v>735</v>
      </c>
      <c r="EU7" s="655" t="s">
        <v>731</v>
      </c>
      <c r="EV7" s="657" t="s">
        <v>736</v>
      </c>
      <c r="EW7" s="656" t="s">
        <v>734</v>
      </c>
      <c r="EX7" s="654" t="s">
        <v>735</v>
      </c>
      <c r="EY7" s="655" t="s">
        <v>731</v>
      </c>
      <c r="EZ7" s="657" t="s">
        <v>736</v>
      </c>
      <c r="FA7" s="656" t="s">
        <v>737</v>
      </c>
      <c r="FB7" s="654" t="s">
        <v>735</v>
      </c>
      <c r="FC7" s="655" t="s">
        <v>731</v>
      </c>
      <c r="FD7" s="657" t="s">
        <v>736</v>
      </c>
      <c r="FE7" s="656" t="str">
        <f>FA7</f>
        <v>Weekendtimer på weekenddage</v>
      </c>
      <c r="FF7" s="654" t="s">
        <v>735</v>
      </c>
      <c r="FG7" s="655" t="s">
        <v>731</v>
      </c>
      <c r="FH7" s="657" t="s">
        <v>736</v>
      </c>
      <c r="FI7" s="682" t="s">
        <v>619</v>
      </c>
      <c r="FJ7" s="654" t="s">
        <v>600</v>
      </c>
      <c r="FK7" s="682" t="s">
        <v>619</v>
      </c>
      <c r="FL7" s="657" t="s">
        <v>600</v>
      </c>
      <c r="FM7" s="683" t="s">
        <v>613</v>
      </c>
      <c r="FN7" s="684" t="s">
        <v>614</v>
      </c>
      <c r="FO7" s="682" t="s">
        <v>599</v>
      </c>
      <c r="FP7" s="654" t="s">
        <v>600</v>
      </c>
      <c r="FQ7" s="686" t="s">
        <v>599</v>
      </c>
      <c r="FR7" s="687" t="s">
        <v>600</v>
      </c>
      <c r="FS7" s="691" t="s">
        <v>621</v>
      </c>
      <c r="FT7" s="684" t="s">
        <v>621</v>
      </c>
      <c r="FU7" s="300" t="s">
        <v>624</v>
      </c>
      <c r="FV7" s="683" t="s">
        <v>626</v>
      </c>
      <c r="FW7" s="683" t="s">
        <v>626</v>
      </c>
      <c r="FX7" s="683" t="s">
        <v>626</v>
      </c>
      <c r="FY7" s="683" t="s">
        <v>626</v>
      </c>
      <c r="FZ7" s="683" t="s">
        <v>615</v>
      </c>
      <c r="GA7" s="684" t="s">
        <v>616</v>
      </c>
      <c r="GB7" s="683" t="s">
        <v>615</v>
      </c>
      <c r="GC7" s="684" t="s">
        <v>616</v>
      </c>
    </row>
    <row r="8" spans="1:185" ht="20" customHeight="1">
      <c r="A8" s="1000"/>
      <c r="B8" s="1001"/>
      <c r="C8" s="1001"/>
      <c r="D8" s="1002"/>
      <c r="E8" s="946"/>
      <c r="F8" s="947"/>
      <c r="G8" s="948"/>
      <c r="H8" s="889"/>
      <c r="I8" s="928" t="s">
        <v>383</v>
      </c>
      <c r="J8" s="936"/>
      <c r="K8" s="928" t="s">
        <v>326</v>
      </c>
      <c r="L8" s="929"/>
      <c r="M8" s="929"/>
      <c r="N8" s="929"/>
      <c r="O8" s="929"/>
      <c r="P8" s="929"/>
      <c r="Q8" s="929"/>
      <c r="R8" s="929"/>
      <c r="S8" s="956" t="s">
        <v>383</v>
      </c>
      <c r="T8" s="929"/>
      <c r="U8" s="936"/>
      <c r="V8" s="928" t="s">
        <v>384</v>
      </c>
      <c r="W8" s="929"/>
      <c r="X8" s="930"/>
      <c r="Y8" s="212"/>
      <c r="Z8" s="212"/>
      <c r="AA8" s="300"/>
      <c r="BB8" s="228"/>
      <c r="CA8" s="112"/>
      <c r="CB8" s="234"/>
      <c r="CC8" s="300"/>
      <c r="CX8" s="248"/>
      <c r="DA8" s="248"/>
      <c r="DB8" s="248"/>
      <c r="DC8" s="248"/>
      <c r="DD8" s="248"/>
      <c r="DE8" s="248"/>
      <c r="DF8" s="248"/>
      <c r="DG8" s="248"/>
      <c r="DH8" t="s">
        <v>493</v>
      </c>
      <c r="DI8" t="s">
        <v>494</v>
      </c>
      <c r="DJ8" t="s">
        <v>495</v>
      </c>
      <c r="DO8" s="652"/>
      <c r="DS8" s="1063" t="s">
        <v>162</v>
      </c>
      <c r="DT8" s="1063"/>
      <c r="DU8" s="1063"/>
      <c r="DV8" s="1064"/>
      <c r="DW8" s="652"/>
      <c r="DZ8" s="1065" t="s">
        <v>162</v>
      </c>
      <c r="EA8" s="1065"/>
      <c r="EB8" s="1066"/>
      <c r="EG8" s="1065" t="s">
        <v>162</v>
      </c>
      <c r="EH8" s="1065"/>
      <c r="EI8" s="1065"/>
      <c r="EJ8" s="653"/>
      <c r="EK8" s="283"/>
      <c r="EL8" s="251"/>
      <c r="EM8" s="876" t="s">
        <v>162</v>
      </c>
      <c r="EN8" s="877"/>
      <c r="EO8" s="283"/>
      <c r="EP8" s="251"/>
      <c r="EQ8" s="876" t="s">
        <v>162</v>
      </c>
      <c r="ER8" s="877"/>
      <c r="ES8" s="283"/>
      <c r="ET8" s="251"/>
      <c r="EU8" s="876" t="s">
        <v>162</v>
      </c>
      <c r="EV8" s="877"/>
      <c r="EW8" s="283"/>
      <c r="EX8" s="251"/>
      <c r="EY8" s="876" t="s">
        <v>162</v>
      </c>
      <c r="EZ8" s="877"/>
      <c r="FA8" s="283"/>
      <c r="FB8" s="251"/>
      <c r="FC8" s="876" t="s">
        <v>162</v>
      </c>
      <c r="FD8" s="877"/>
      <c r="FE8" s="283"/>
      <c r="FF8" s="251"/>
      <c r="FG8" s="876" t="s">
        <v>162</v>
      </c>
      <c r="FH8" s="877"/>
      <c r="FI8" s="283"/>
      <c r="FJ8" s="251"/>
      <c r="FK8" s="876" t="s">
        <v>162</v>
      </c>
      <c r="FL8" s="877"/>
      <c r="FN8" s="645" t="s">
        <v>160</v>
      </c>
      <c r="FO8" s="283"/>
      <c r="FP8" s="251"/>
      <c r="FQ8" s="876" t="s">
        <v>162</v>
      </c>
      <c r="FR8" s="1062"/>
      <c r="FS8" s="283"/>
      <c r="FT8" s="692" t="s">
        <v>160</v>
      </c>
      <c r="FW8" s="645" t="s">
        <v>160</v>
      </c>
      <c r="FY8" s="645" t="s">
        <v>160</v>
      </c>
      <c r="GA8" s="645" t="s">
        <v>160</v>
      </c>
      <c r="GC8" s="645" t="s">
        <v>160</v>
      </c>
    </row>
    <row r="9" spans="1:185">
      <c r="A9" s="245">
        <f>IF(ISNUMBER(A7),A7+1,1)</f>
        <v>1</v>
      </c>
      <c r="B9" s="128" t="str">
        <f t="shared" ref="B9:B39" si="0">CHOOSE(MOD(WEEKDAY(DATE(A$6,A$2,A9)),7)+1,"lø","sø","ma","ti","on","to","fr",)</f>
        <v>to</v>
      </c>
      <c r="C9" s="129" t="s">
        <v>207</v>
      </c>
      <c r="D9" s="130" t="str">
        <f t="shared" ref="D9:D39" si="1">IF(B9="ma",(DATE(A$6,A$2,A9)-DATE(A$6,1,1)+7)/7,"")</f>
        <v/>
      </c>
      <c r="E9" s="917"/>
      <c r="F9" s="918"/>
      <c r="G9" s="919"/>
      <c r="H9" s="298"/>
      <c r="I9" s="527"/>
      <c r="J9" s="413"/>
      <c r="K9" s="380"/>
      <c r="L9" s="380"/>
      <c r="M9" s="380"/>
      <c r="N9" s="318">
        <f>BA9</f>
        <v>7.75</v>
      </c>
      <c r="O9" s="318">
        <f>CA9</f>
        <v>3</v>
      </c>
      <c r="P9" s="318">
        <f>IF(Stamoplysninger!$H$29="JA",Maj!DG9,CX9)</f>
        <v>0.83333333333333337</v>
      </c>
      <c r="Q9" s="318">
        <f>IF(OR(C9="Lejrskole",C9="Ekskursion"),0,N9-O9-P9)</f>
        <v>3.9166666666666665</v>
      </c>
      <c r="R9" s="319"/>
      <c r="S9" s="324"/>
      <c r="T9" s="325"/>
      <c r="U9" s="325"/>
      <c r="V9" s="435"/>
      <c r="W9" s="412"/>
      <c r="X9" s="642"/>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f>IF(AND(C9="Skema 2",B9="to"),Arbejdstidsoversigt!$E$84,"")</f>
        <v>7.75</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7.75</v>
      </c>
      <c r="BB9" s="229">
        <f t="shared" ref="BB9:BB39" si="8">SUM(AG9:AK9)*24</f>
        <v>0</v>
      </c>
      <c r="BC9" s="1">
        <f>IF($C$9="Lejrskole",$L$9,0)</f>
        <v>0</v>
      </c>
      <c r="BD9" s="1">
        <f t="shared" ref="BD9:BD39" si="9">IF(C9="Ekskursion",L9,0)</f>
        <v>0</v>
      </c>
      <c r="BE9" s="1">
        <f t="shared" ref="BE9:BE39" si="10">IF(C9="fagdag",L9,0)</f>
        <v>0</v>
      </c>
      <c r="BF9" s="1">
        <f t="shared" ref="BF9:BF39" si="11">IF(C9="emnedag",L9,0)</f>
        <v>0</v>
      </c>
      <c r="BG9" s="210" t="str">
        <f>IF(AND(C9="Skema 1",B9="ma"),Skemaoplysninger!$E$30,"")</f>
        <v/>
      </c>
      <c r="BH9" s="210" t="str">
        <f>IF(AND(C9="Skema 1",B9="ti"),Skemaoplysninger!$G$30,"")</f>
        <v/>
      </c>
      <c r="BI9" s="210" t="str">
        <f>IF(AND(C9="Skema 1",B9="on"),Skemaoplysninger!$I$30,"")</f>
        <v/>
      </c>
      <c r="BJ9" s="210" t="str">
        <f>IF(AND(C9="Skema 1",B9="to"),Skemaoplysninger!$K$30,"")</f>
        <v/>
      </c>
      <c r="BK9" s="210" t="str">
        <f>IF(AND(C9="Skema 1",B9="fr"),Skemaoplysninger!$M$30,"")</f>
        <v/>
      </c>
      <c r="BL9" s="210" t="str">
        <f>IF(AND(C9="Skema 2",B9="ma"),Skemaoplysninger!$S$30,"")</f>
        <v/>
      </c>
      <c r="BM9" s="210" t="str">
        <f>IF(AND(C9="Skema 2",B9="ti"),Skemaoplysninger!$U$30,"")</f>
        <v/>
      </c>
      <c r="BN9" s="210" t="str">
        <f>IF(AND(C9="Skema 2",B9="on"),Skemaoplysninger!$W$30,"")</f>
        <v/>
      </c>
      <c r="BO9" s="210">
        <f>IF(AND(C9="Skema 2",B9="to"),Skemaoplysninger!$Y$30,"")</f>
        <v>0.125</v>
      </c>
      <c r="BP9" s="210" t="str">
        <f>IF(AND(C9="Skema 2",B9="fr"),Skemaoplysninger!$AA$30,"")</f>
        <v/>
      </c>
      <c r="BQ9" s="210" t="str">
        <f>IF(AND(C9="Skema 3",B9="ma"),Skemaoplysninger!$AG$30,"")</f>
        <v/>
      </c>
      <c r="BR9" s="210" t="str">
        <f>IF(AND(C9="Skema 3",B9="ti"),Skemaoplysninger!$AI$30,"")</f>
        <v/>
      </c>
      <c r="BS9" s="210" t="str">
        <f>IF(AND(C9="Skema 3",B9="on"),Skemaoplysninger!$AK$30,"")</f>
        <v/>
      </c>
      <c r="BT9" s="210" t="str">
        <f>IF(AND(C9="Skema 3",B9="to"),Skemaoplysninger!$AM$30,"")</f>
        <v/>
      </c>
      <c r="BU9" s="210" t="str">
        <f>IF(AND(C9="Skema 3",B9="fr"),Skemaoplysninger!$AO$30,"")</f>
        <v/>
      </c>
      <c r="BV9" s="210" t="str">
        <f>IF(AND(C9="Skema 4",B9="ma"),Skemaoplysninger!$AU$30,"")</f>
        <v/>
      </c>
      <c r="BW9" s="210" t="str">
        <f>IF(AND(C9="Skema 4",B9="ti"),Skemaoplysninger!$AW$30,"")</f>
        <v/>
      </c>
      <c r="BX9" s="210" t="str">
        <f>IF(AND(C9="Skema 4",B9="on"),Skemaoplysninger!$AY$30,"")</f>
        <v/>
      </c>
      <c r="BY9" s="210" t="str">
        <f>IF(AND(C9="Skema 4",B9="to"),Skemaoplysninger!$BA$30,"")</f>
        <v/>
      </c>
      <c r="BZ9" s="210" t="str">
        <f>IF(AND(C9="Skema 4",B9="fr"),Skemaoplysninger!$BC$30,"")</f>
        <v/>
      </c>
      <c r="CA9" s="1">
        <f>SUM(BG9:BZ9)*24+SUM(BC9:BF9)</f>
        <v>3</v>
      </c>
      <c r="CB9" s="1">
        <f t="shared" ref="CB9:CB39" si="12">IF(C9="fagdag",M9,0)</f>
        <v>0</v>
      </c>
      <c r="CC9" s="1">
        <f t="shared" ref="CC9:CC39" si="13">IF(C9="emnedag",M9,0)</f>
        <v>0</v>
      </c>
      <c r="CD9" s="210" t="str">
        <f>IF(AND(C9="Skema 1",B9="ma"),Skemaoplysninger!$E$31,"")</f>
        <v/>
      </c>
      <c r="CE9" s="210" t="str">
        <f>IF(AND(C9="Skema 1",B9="ti"),Skemaoplysninger!$G$31,"")</f>
        <v/>
      </c>
      <c r="CF9" s="210" t="str">
        <f>IF(AND(C9="Skema 1",B9="on"),Skemaoplysninger!$I$31,"")</f>
        <v/>
      </c>
      <c r="CG9" s="210" t="str">
        <f>IF(AND(C9="Skema 1",B9="to"),Skemaoplysninger!$K$31,"")</f>
        <v/>
      </c>
      <c r="CH9" s="210" t="str">
        <f>IF(AND(C9="Skema 1",B9="fr"),Skemaoplysninger!$M$31,"")</f>
        <v/>
      </c>
      <c r="CI9" s="210" t="str">
        <f>IF(AND(C9="Skema 2",B9="ma"),Skemaoplysninger!$S$31,"")</f>
        <v/>
      </c>
      <c r="CJ9" s="210" t="str">
        <f>IF(AND(C9="Skema 2",B9="ti"),Skemaoplysninger!$U$31,"")</f>
        <v/>
      </c>
      <c r="CK9" s="210" t="str">
        <f>IF(AND(C9="Skema 2",B9="on"),Skemaoplysninger!$W$31,"")</f>
        <v/>
      </c>
      <c r="CL9" s="210">
        <f>IF(AND(C9="Skema 2",B9="to"),Skemaoplysninger!$Y$31,"")</f>
        <v>3.4722222222222224E-2</v>
      </c>
      <c r="CM9" s="210" t="str">
        <f>IF(AND(C9="Skema 2",B9="fr"),Skemaoplysninger!$AA$31,"")</f>
        <v/>
      </c>
      <c r="CN9" s="210" t="str">
        <f>IF(AND(C9="Skema 3",B9="ma"),Skemaoplysninger!$AG$31,"")</f>
        <v/>
      </c>
      <c r="CO9" s="210" t="str">
        <f>IF(AND(C9="Skema 3",B9="ti"),Skemaoplysninger!$AI$31,"")</f>
        <v/>
      </c>
      <c r="CP9" s="210" t="str">
        <f>IF(AND(C9="Skema 3",B9="on"),Skemaoplysninger!$AK$31,"")</f>
        <v/>
      </c>
      <c r="CQ9" s="210" t="str">
        <f>IF(AND(C9="Skema 3",B9="to"),Skemaoplysninger!$AM$31,"")</f>
        <v/>
      </c>
      <c r="CR9" s="210" t="str">
        <f>IF(AND(C9="Skema 3",B9="fr"),Skemaoplysninger!$AO$31,"")</f>
        <v/>
      </c>
      <c r="CS9" s="210" t="str">
        <f>IF(AND(C9="Skema 4",B9="ma"),Skemaoplysninger!$AU$31,"")</f>
        <v/>
      </c>
      <c r="CT9" s="210" t="str">
        <f>IF(AND(C9="Skema 4",B9="ti"),Skemaoplysninger!$AW$31,"")</f>
        <v/>
      </c>
      <c r="CU9" s="210" t="str">
        <f>IF(AND(C9="Skema 4",B9="on"),Skemaoplysninger!$AY$31,"")</f>
        <v/>
      </c>
      <c r="CV9" s="210" t="str">
        <f>IF(AND(C9="Skema 4",B9="to"),Skemaoplysninger!$BA$31,"")</f>
        <v/>
      </c>
      <c r="CW9" s="210" t="str">
        <f>IF(AND(C9="Skema 4",B9="fr"),Skemaoplysninger!$BC$31,"")</f>
        <v/>
      </c>
      <c r="CX9" s="249">
        <f>IF(Stamoplysninger!$H$29="NEJ",SUM(CD9:CW9)*24+CB9+CC9,0)</f>
        <v>0.83333333333333337</v>
      </c>
      <c r="CY9" s="249">
        <f>IF(C9="Skema 1",Stamoplysninger!$H$30/200,0)</f>
        <v>0</v>
      </c>
      <c r="CZ9" s="249">
        <f>IF(C9="Skema 2",Stamoplysninger!$H$30/200,0)</f>
        <v>0</v>
      </c>
      <c r="DA9" s="249">
        <f>IF(C9="Skema 3",Stamoplysninger!$H$30/200,0)</f>
        <v>0</v>
      </c>
      <c r="DB9" s="249">
        <f>IF(C9="Skema 4",Stamoplysninger!$H$30/200,0)</f>
        <v>0</v>
      </c>
      <c r="DC9" s="249">
        <f>IF(C9="fagdag",Stamoplysninger!$H$30/200,0)</f>
        <v>0</v>
      </c>
      <c r="DD9" s="249">
        <f>IF(C9="emnedag",Stamoplysninger!$H$30/200,0)</f>
        <v>0</v>
      </c>
      <c r="DE9" s="249">
        <f>IF(C9="lejrskole",Stamoplysninger!$H$30/200,0)</f>
        <v>0</v>
      </c>
      <c r="DF9" s="249">
        <f>IF(C9="ekskursion",Stamoplysninger!$H$30/200,0)</f>
        <v>0</v>
      </c>
      <c r="DG9" s="249">
        <f>SUM(CY9:DF9)</f>
        <v>0</v>
      </c>
      <c r="DH9" t="str">
        <f>IF(AND(E9&gt;0,H9&gt;0),""&amp;E9&amp;" og "&amp;H9&amp;"","")</f>
        <v/>
      </c>
      <c r="DI9">
        <f>IF(H9="",E9,"")</f>
        <v>0</v>
      </c>
      <c r="DJ9">
        <f>IF(E9="",H9,"")</f>
        <v>0</v>
      </c>
      <c r="DK9" t="str">
        <f t="shared" ref="DK9:DM38" si="14">IF(DH9=0,"",DH9)</f>
        <v/>
      </c>
      <c r="DL9" t="str">
        <f>IF(DI9=0,"",DI9)</f>
        <v/>
      </c>
      <c r="DM9" t="str">
        <f>IF(DJ9=0,"",DJ9)</f>
        <v/>
      </c>
      <c r="DN9" t="str">
        <f>DK9&amp;""&amp;DL9&amp;""&amp;DM9</f>
        <v/>
      </c>
      <c r="DO9" s="652">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71">
        <f>IF(AND(Stamoplysninger!$B$22="Ulempetillæg udbetales med 25% af nettotimelønnen.",C9="ikke relevant"),(R9)/4,0)</f>
        <v>0</v>
      </c>
      <c r="DT9" s="671">
        <f>IF(AND(AND(Stamoplysninger!$B$22="Ulempetillæg udbetales med 25% af nettotimelønnen.",I9="X",C9="Ikke relevant")),K9/4,0)</f>
        <v>0</v>
      </c>
      <c r="DU9" s="671">
        <f>IF(AND(AND(Stamoplysninger!$B$22="Ulempetillæg udbetales med 25% af nettotimelønnen.",C9="ikke relevant",U9="X")),(X9/4),0)</f>
        <v>0</v>
      </c>
      <c r="DV9" s="672">
        <f>IF(AND(AND(AND(Stamoplysninger!$B$22="Ulempetillæg udbetales med 25% af nettotimelønnen.",I9="X",C9="Ikke relevant",S9="X"))),V9/4,0)</f>
        <v>0</v>
      </c>
      <c r="DW9" s="652"/>
      <c r="DZ9" s="671"/>
      <c r="EA9" s="671"/>
      <c r="EB9" s="672"/>
      <c r="EC9" s="652">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71">
        <f>IF(AND(Stamoplysninger!$B$22="Ulempetillæg afspadseres med 25%(Kræver en aftale imellem ledelsen og den ansatte)",C9="ikke relevant"),(R9)/4,0)</f>
        <v>0</v>
      </c>
      <c r="EH9" s="671">
        <f>IF(AND(AND(Stamoplysninger!$B$22="Ulempetillæg afspadseres med 25%(Kræver en aftale imellem ledelsen og den ansatte)",I9="X",C9="Ikke relevant")),K9/4,0)</f>
        <v>0</v>
      </c>
      <c r="EI9" s="671">
        <f>IF(AND(AND(Stamoplysninger!$B$22="Ulempetillæg afspadseres med 25%(Kræver en aftale imellem ledelsen og den ansatte)",U9="X",C9="Ikke relevant")),X9/4,0)</f>
        <v>0</v>
      </c>
      <c r="EJ9" s="671">
        <f>IF(AND(AND(AND(Stamoplysninger!$B$22="Ulempetillæg afspadseres med 25%(Kræver en aftale imellem ledelsen og den ansatte)",I9="X",C9="Ikke relevant",S9="X"))),V9/4,0)</f>
        <v>0</v>
      </c>
      <c r="EK9" s="283">
        <f>IF(AND(Stamoplysninger!$B$26="Weekendtimer og weekendtillæg afspadseres.",$I$9="X"),$K$9*1.5,0)</f>
        <v>0</v>
      </c>
      <c r="EL9" s="251">
        <f>IF(AND(AND(Stamoplysninger!$B$26="Weekendtimer og weekendtillæg afspadseres.",$I$9="X",$S$9="X")),$V$9*1.5,0)</f>
        <v>0</v>
      </c>
      <c r="EM9" s="674">
        <f>IF(AND(AND(Stamoplysninger!$B$26="Weekendtimer og weekendtillæg afspadseres.",$I$9="X",$C$9="ikke relevant")),$K$9*1.5,0)</f>
        <v>0</v>
      </c>
      <c r="EN9" s="675">
        <f>IF(AND(AND(AND(Stamoplysninger!$B$26="Weekendtimer og weekendtillæg afspadseres.",$I$9="X",$C$9="ikke relevant",$S$9="X"))),($V$9*1.5),0)</f>
        <v>0</v>
      </c>
      <c r="EO9" s="283">
        <f>IF(AND(Stamoplysninger!$B$26="Weekendtimer og weekendtillæg udbetales.",$I$9="X"),$K$9*1.5,0)</f>
        <v>0</v>
      </c>
      <c r="EP9" s="251">
        <f>IF(AND(AND(Stamoplysninger!$B$26="Weekendtimer og weekendtillæg udbetales.",$I$9="X",$S$9="X")),$V$9*1.5,0)</f>
        <v>0</v>
      </c>
      <c r="EQ9" s="674">
        <f>IF(AND(AND(Stamoplysninger!$B$26="Weekendtimer og weekendtillæg udbetales.",$I$9="X",$C$9="ikke relevant")),$K$9*1.5,0)</f>
        <v>0</v>
      </c>
      <c r="ER9" s="675">
        <f>IF(AND(AND(AND(Stamoplysninger!$B$26="Weekendtimer og weekendtillæg udbetales.",$I$9="X",$C$9="ikke relevant",$S$9="X"))),($V$9*1.5),0)</f>
        <v>0</v>
      </c>
      <c r="ES9" s="283">
        <f>IF(AND(Stamoplysninger!$B$26="Der er indgået lokalaftale omkring weekendtimer.(Kræver aftale med TR/FSL) Weekendtillæg afspadseres.",$I$9="X"),$K$9*0.5,0)</f>
        <v>0</v>
      </c>
      <c r="ET9" s="251">
        <f>IF(AND(AND(Stamoplysninger!$B$26="Der er indgået lokalaftale omkring weekendtimer.(Kræver aftale med TR/FSL) Weekendtillæg afspadseres.",$I$9="X",$S$9="X")),$V$9*0.5,0)</f>
        <v>0</v>
      </c>
      <c r="EU9" s="674">
        <f>IF(AND(AND(Stamoplysninger!$B$26="Der er indgået lokalaftale omkring weekendtimer.(Kræver aftale med TR/FSL) Weekendtillæg afspadseres.",$I$9="X",$C$9="ikke relevant")),$K$9*0.5,0)</f>
        <v>0</v>
      </c>
      <c r="EV9" s="675">
        <f>IF(AND(AND(AND(Stamoplysninger!$B$26="Der er indgået lokalaftale omkring weekendtimer.(Kræver aftale med TR/FSL) Weekendtillæg afspadseres.",$I$9="X",$C$9="ikke relevant",$S$9="X"))),($V$9*0.5),0)</f>
        <v>0</v>
      </c>
      <c r="EW9" s="283">
        <f>IF(AND(Stamoplysninger!$B$26="Der er indgået lokalaftale omkring weekendtimer(Kræver aftale med TR/FSL). Weekendtillæg udbetales.",$I$9="X"),$K$9*0.5,0)</f>
        <v>0</v>
      </c>
      <c r="EX9" s="251">
        <f>IF(AND(AND(Stamoplysninger!$B$26="Der er indgået lokalaftale omkring weekendtimer(Kræver aftale med TR/FSL). Weekendtillæg udbetales.",$I$9="X",$S$9="X")),$V$9*0.5,0)</f>
        <v>0</v>
      </c>
      <c r="EY9" s="674">
        <f>IF(AND(AND(Stamoplysninger!$B$26="Der er indgået lokalaftale omkring weekendtimer(Kræver aftale med TR/FSL). Weekendtillæg udbetales.",$I$9="X",$C$9="ikke relevant")),$K$9*0.5,0)</f>
        <v>0</v>
      </c>
      <c r="EZ9" s="675">
        <f>IF(AND(AND(AND(Stamoplysninger!$B$26="Der er indgået lokalaftale omkring weekendtimer(Kræver aftale med TR/FSL). Weekendtillæg udbetales.",$I$9="X",$C$9="ikke relevant",$S$9="X"))),($V$9*0.5),0)</f>
        <v>0</v>
      </c>
      <c r="FA9" s="283">
        <f>IF(AND(Stamoplysninger!$B$26="Der er indgået lokalaftale omkring weekendtillæg(Kræver aftale med TR/FSL). Weekendtimerne afspadseres.",I9="X"),K9,0)</f>
        <v>0</v>
      </c>
      <c r="FB9" s="251">
        <f>IF(AND(AND(Stamoplysninger!$B$26="Der er indgået lokalaftale omkring weekendtillæg(Kræver aftale med TR/FSL). Weekendtimerne afspadseres.",I9="X",S9="X")),V9,0)</f>
        <v>0</v>
      </c>
      <c r="FC9" s="674">
        <f>IF(AND(AND(Stamoplysninger!$B$26="Der er indgået lokalaftale omkring weekendtillæg(Kræver aftale med TR/FSL). Weekendtimerne afspadseres..",I9="X",C9="ikke relevant")),K9,0)</f>
        <v>0</v>
      </c>
      <c r="FD9" s="675">
        <f>IF(AND(AND(AND(Stamoplysninger!$B$26="Der er indgået lokalaftale omkring weekendtillæg(Kræver aftale med TR/FSL). Weekendtimerne afspadseres.",I9="X",C9="ikke relevant",S9="X"))),(V9),0)</f>
        <v>0</v>
      </c>
      <c r="FE9" s="283">
        <f>IF(AND(Stamoplysninger!$B$26="Der er indgået lokalaftale omkring weekendtillæg(Kræver aftale med TR/FSL). Weekendtimerne udbetales.",I9="X"),K9,0)</f>
        <v>0</v>
      </c>
      <c r="FF9" s="251">
        <f>IF(AND(AND(Stamoplysninger!$B$26="Der er indgået lokalaftale omkring weekendtillæg(Kræver aftale med TR/FSL). Weekendtimerne udbetales.",I9="X",S9="X")),V9,0)</f>
        <v>0</v>
      </c>
      <c r="FG9" s="674">
        <f>IF(AND(AND(Stamoplysninger!$B$26="Der er indgået lokalaftale omkring weekendtillæg(Kræver aftale med TR/FSL). Weekendtimerne udbetales.",I9="X",C9="ikke relevant")),K9,0)</f>
        <v>0</v>
      </c>
      <c r="FH9" s="675">
        <f>IF(AND(AND(AND(Stamoplysninger!$B$26="Der er indgået lokalaftale omkring weekendtillæg(Kræver aftale med TR/FSL). Weekendtimerne udbetales.",I9="X",C9="ikke relevant",S9="X"))),(V9),0)</f>
        <v>0</v>
      </c>
      <c r="FI9" s="283">
        <f>IF(AND(Stamoplysninger!$B$26="Weekendtimer og weekendtillæg afspadseres.",I9="X"),K9,0)</f>
        <v>0</v>
      </c>
      <c r="FJ9" s="251">
        <f>IF(AND(Stamoplysninger!$B$26="Weekendtimer og weekendtillæg afspadseres.",I9="X"),(K9+V9)/2,0)</f>
        <v>0</v>
      </c>
      <c r="FK9" s="674">
        <f>IF(AND(AND(Stamoplysninger!$B$26="Weekendtimer og weekendtillæg afspadseres.",I9="X",C9="ikke relevant")),K9,0)</f>
        <v>0</v>
      </c>
      <c r="FL9" s="675">
        <f>IF(AND(AND(Stamoplysninger!$B$26="Weekendtimer og weekendtillæg afspadseres.",I9="X",C9="ikke relevant")),(K9+V9)/2,0)</f>
        <v>0</v>
      </c>
      <c r="FM9" s="283">
        <f>IF(AND(Stamoplysninger!$B$26="Der er indgået lokalaftale omkring weekendtillæg(Kræver aftale med TR/FSL). Weekendtimerne afspadseres.",I9="X"),K9,0)</f>
        <v>0</v>
      </c>
      <c r="FN9" s="674">
        <f>IF(AND(AND(Stamoplysninger!$B$26="Der er indgået lokalaftale omkring weekendtillæg(Kræver aftale med TR/FSL). Weekendtimerne afspadseres.",I9="X",C9="ikke relevant")),K9,0)</f>
        <v>0</v>
      </c>
      <c r="FO9" s="283">
        <f>IF(AND(Stamoplysninger!$B$26="Weekendtimer og weekendtillæg udbetales.",I9="X"),K9,0)</f>
        <v>0</v>
      </c>
      <c r="FP9" s="251">
        <f>IF(AND(Stamoplysninger!$B$26="Weekendtimer og weekendtillæg udbetales.",AA9="X"),(AC9+AN9)/2,0)</f>
        <v>0</v>
      </c>
      <c r="FQ9" s="674">
        <f>IF(AND(AND(Stamoplysninger!$B$26="Weekendtimer og weekendtillæg udbetales.",I9="X",C9="ikke relevant")),K9,0)</f>
        <v>0</v>
      </c>
      <c r="FR9" s="688">
        <f>IF(AND(AND(Stamoplysninger!$B$26="Weekendtimer og weekendtillæg udbetales.",AA9="X",U9="ikke relevant")),(AC9+AN9)/2,0)</f>
        <v>0</v>
      </c>
      <c r="FS9" s="283">
        <f t="shared" ref="FS9:FS37" si="15">IF(AND(I9="X",S9="X"),V9,0)</f>
        <v>0</v>
      </c>
      <c r="FT9" s="658">
        <f t="shared" ref="FT9:FT37" si="16">IF(AND(AND(C9="ikke relevant",I9="X",S9="X")),V9,0)</f>
        <v>0</v>
      </c>
      <c r="FU9">
        <f t="shared" ref="FU9:FU28" si="17">IF(AND(C9="weekend",I9="X"),K9,0)</f>
        <v>0</v>
      </c>
      <c r="FV9" s="283">
        <f>IF(AND(Stamoplysninger!$B$26="Der er indgået lokalaftale omkring weekendtimer.(Kræver aftale med TR/FSL) Weekendtillæg afspadseres.",I9="X"),K9,0)</f>
        <v>0</v>
      </c>
      <c r="FW9" s="674">
        <f>IF(AND(AND(Stamoplysninger!$B$26="Der er indgået lokalaftale omkring weekendtimer.(Kræver aftale med TR/FSL) Weekendtillæg afspadseres.",I9="X",C9="ikke relevant")),K9,0)</f>
        <v>0</v>
      </c>
      <c r="FX9" s="283">
        <f>IF(AND(Stamoplysninger!$B$26="Der er indgået lokalaftale omkring weekendtimer(Kræver aftale med TR/FSL). Weekendtillæg udbetales.",I9="X"),K9,0)</f>
        <v>0</v>
      </c>
      <c r="FY9" s="674">
        <f>IF(AND(AND(Stamoplysninger!$B$26="Der er indgået lokalaftale omkring weekendtimer(Kræver aftale med TR/FSL). Weekendtillæg udbetales.",I9="X",C9="ikke relevant")),K9,0)</f>
        <v>0</v>
      </c>
      <c r="FZ9" s="283">
        <f>IF(AND(Stamoplysninger!$B$26="Der er indgået lokalaftale omkring weekendtillæg(Kræver aftale med TR/FSL). Weekendtimerne udbetales.",I9="X"),K9,0)</f>
        <v>0</v>
      </c>
      <c r="GA9" s="674">
        <f>IF(AND(AND(Stamoplysninger!$B$26="Der er indgået lokalaftale omkring weekendtillæg(Kræver aftale med TR/FSL). Weekendtimerne udbetales.",I9="X",C9="ikke relevant")),K9,0)</f>
        <v>0</v>
      </c>
      <c r="GB9" s="283">
        <f>IF(AND(Stamoplysninger!$B$26="Der er indgået lokalaftale omkring weekendtimer og weekendtillæg.(Kræver aftale med TR/FSL).",I9="X"),K9,0)</f>
        <v>0</v>
      </c>
      <c r="GC9" s="674">
        <f>IF(AND(AND(Stamoplysninger!$B$26="Der er indgået lokalaftale omkring weekendtimer og weekendtillæg.(Kræver aftale med TR/FSL).",I9="X",C9="ikke relevant")),K9,0)</f>
        <v>0</v>
      </c>
    </row>
    <row r="10" spans="1:185">
      <c r="A10" s="245">
        <f t="shared" ref="A10:A38" si="18">IF(ISNUMBER(A9),A9+1,1)</f>
        <v>2</v>
      </c>
      <c r="B10" s="128" t="str">
        <f t="shared" si="0"/>
        <v>fr</v>
      </c>
      <c r="C10" s="129" t="s">
        <v>207</v>
      </c>
      <c r="D10" s="130" t="str">
        <f t="shared" si="1"/>
        <v/>
      </c>
      <c r="E10" s="917"/>
      <c r="F10" s="918"/>
      <c r="G10" s="919"/>
      <c r="H10" s="298"/>
      <c r="I10" s="527"/>
      <c r="J10" s="413"/>
      <c r="K10" s="380"/>
      <c r="L10" s="380"/>
      <c r="M10" s="380"/>
      <c r="N10" s="318">
        <f t="shared" ref="N10:N39" si="19">BA10</f>
        <v>7</v>
      </c>
      <c r="O10" s="318">
        <f t="shared" ref="O10:O39" si="20">CA10</f>
        <v>3</v>
      </c>
      <c r="P10" s="318">
        <f>IF(Stamoplysninger!$H$29="JA",Maj!DG10,CX10)</f>
        <v>0.83333333333333337</v>
      </c>
      <c r="Q10" s="318">
        <f t="shared" ref="Q10:Q39" si="21">IF(OR(C10="Lejrskole",C10="Ekskursion"),0,N10-O10-P10)</f>
        <v>3.1666666666666665</v>
      </c>
      <c r="R10" s="319"/>
      <c r="S10" s="324"/>
      <c r="T10" s="325"/>
      <c r="U10" s="325"/>
      <c r="V10" s="435"/>
      <c r="W10" s="412"/>
      <c r="X10" s="642"/>
      <c r="Y10">
        <f t="shared" ref="Y10:Y39" si="22">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f>IF(AND(C10="Skema 2",B10="fr"),Arbejdstidsoversigt!$E$85,"")</f>
        <v>7</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7</v>
      </c>
      <c r="BB10" s="229">
        <f t="shared" si="8"/>
        <v>0</v>
      </c>
      <c r="BC10" s="1">
        <f t="shared" ref="BC10:BC39" si="24">IF(C10="Lejrskole",L10,0)</f>
        <v>0</v>
      </c>
      <c r="BD10" s="1">
        <f t="shared" si="9"/>
        <v>0</v>
      </c>
      <c r="BE10" s="1">
        <f t="shared" si="10"/>
        <v>0</v>
      </c>
      <c r="BF10" s="1">
        <f t="shared" si="11"/>
        <v>0</v>
      </c>
      <c r="BG10" s="210" t="str">
        <f>IF(AND(C10="Skema 1",B10="ma"),Skemaoplysninger!$E$30,"")</f>
        <v/>
      </c>
      <c r="BH10" s="210" t="str">
        <f>IF(AND(C10="Skema 1",B10="ti"),Skemaoplysninger!$G$30,"")</f>
        <v/>
      </c>
      <c r="BI10" s="210" t="str">
        <f>IF(AND(C10="Skema 1",B10="on"),Skemaoplysninger!$I$30,"")</f>
        <v/>
      </c>
      <c r="BJ10" s="210" t="str">
        <f>IF(AND(C10="Skema 1",B10="to"),Skemaoplysninger!$K$30,"")</f>
        <v/>
      </c>
      <c r="BK10" s="210" t="str">
        <f>IF(AND(C10="Skema 1",B10="fr"),Skemaoplysninger!$M$30,"")</f>
        <v/>
      </c>
      <c r="BL10" s="210" t="str">
        <f>IF(AND(C10="Skema 2",B10="ma"),Skemaoplysninger!$S$30,"")</f>
        <v/>
      </c>
      <c r="BM10" s="210" t="str">
        <f>IF(AND(C10="Skema 2",B10="ti"),Skemaoplysninger!$U$30,"")</f>
        <v/>
      </c>
      <c r="BN10" s="210" t="str">
        <f>IF(AND(C10="Skema 2",B10="on"),Skemaoplysninger!$W$30,"")</f>
        <v/>
      </c>
      <c r="BO10" s="210" t="str">
        <f>IF(AND(C10="Skema 2",B10="to"),Skemaoplysninger!$Y$30,"")</f>
        <v/>
      </c>
      <c r="BP10" s="210">
        <f>IF(AND(C10="Skema 2",B10="fr"),Skemaoplysninger!$AA$30,"")</f>
        <v>0.125</v>
      </c>
      <c r="BQ10" s="210" t="str">
        <f>IF(AND(C10="Skema 3",B10="ma"),Skemaoplysninger!$AG$30,"")</f>
        <v/>
      </c>
      <c r="BR10" s="210" t="str">
        <f>IF(AND(C10="Skema 3",B10="ti"),Skemaoplysninger!$AI$30,"")</f>
        <v/>
      </c>
      <c r="BS10" s="210" t="str">
        <f>IF(AND(C10="Skema 3",B10="on"),Skemaoplysninger!$AK$30,"")</f>
        <v/>
      </c>
      <c r="BT10" s="210" t="str">
        <f>IF(AND(C10="Skema 3",B10="to"),Skemaoplysninger!$AM$30,"")</f>
        <v/>
      </c>
      <c r="BU10" s="210" t="str">
        <f>IF(AND(C10="Skema 3",B10="fr"),Skemaoplysninger!$AO$30,"")</f>
        <v/>
      </c>
      <c r="BV10" s="210" t="str">
        <f>IF(AND(C10="Skema 4",B10="ma"),Skemaoplysninger!$AU$30,"")</f>
        <v/>
      </c>
      <c r="BW10" s="210" t="str">
        <f>IF(AND(C10="Skema 4",B10="ti"),Skemaoplysninger!$AW$30,"")</f>
        <v/>
      </c>
      <c r="BX10" s="210" t="str">
        <f>IF(AND(C10="Skema 4",B10="on"),Skemaoplysninger!$AY$30,"")</f>
        <v/>
      </c>
      <c r="BY10" s="210" t="str">
        <f>IF(AND(C10="Skema 4",B10="to"),Skemaoplysninger!$BA$30,"")</f>
        <v/>
      </c>
      <c r="BZ10" s="210" t="str">
        <f>IF(AND(C10="Skema 4",B10="fr"),Skemaoplysninger!$BC$30,"")</f>
        <v/>
      </c>
      <c r="CA10" s="1">
        <f t="shared" ref="CA10:CA39" si="25">SUM(BG10:BZ10)*24+SUM(BC10:BF10)</f>
        <v>3</v>
      </c>
      <c r="CB10" s="1">
        <f t="shared" si="12"/>
        <v>0</v>
      </c>
      <c r="CC10" s="1">
        <f t="shared" si="13"/>
        <v>0</v>
      </c>
      <c r="CD10" s="210" t="str">
        <f>IF(AND(C10="Skema 1",B10="ma"),Skemaoplysninger!$E$31,"")</f>
        <v/>
      </c>
      <c r="CE10" s="210" t="str">
        <f>IF(AND(C10="Skema 1",B10="ti"),Skemaoplysninger!$G$31,"")</f>
        <v/>
      </c>
      <c r="CF10" s="210" t="str">
        <f>IF(AND(C10="Skema 1",B10="on"),Skemaoplysninger!$I$31,"")</f>
        <v/>
      </c>
      <c r="CG10" s="210" t="str">
        <f>IF(AND(C10="Skema 1",B10="to"),Skemaoplysninger!$K$31,"")</f>
        <v/>
      </c>
      <c r="CH10" s="210" t="str">
        <f>IF(AND(C10="Skema 1",B10="fr"),Skemaoplysninger!$M$31,"")</f>
        <v/>
      </c>
      <c r="CI10" s="210" t="str">
        <f>IF(AND(C10="Skema 2",B10="ma"),Skemaoplysninger!$S$31,"")</f>
        <v/>
      </c>
      <c r="CJ10" s="210" t="str">
        <f>IF(AND(C10="Skema 2",B10="ti"),Skemaoplysninger!$U$31,"")</f>
        <v/>
      </c>
      <c r="CK10" s="210" t="str">
        <f>IF(AND(C10="Skema 2",B10="on"),Skemaoplysninger!$W$31,"")</f>
        <v/>
      </c>
      <c r="CL10" s="210" t="str">
        <f>IF(AND(C10="Skema 2",B10="to"),Skemaoplysninger!$Y$31,"")</f>
        <v/>
      </c>
      <c r="CM10" s="210">
        <f>IF(AND(C10="Skema 2",B10="fr"),Skemaoplysninger!$AA$31,"")</f>
        <v>3.4722222222222224E-2</v>
      </c>
      <c r="CN10" s="210" t="str">
        <f>IF(AND(C10="Skema 3",B10="ma"),Skemaoplysninger!$AG$31,"")</f>
        <v/>
      </c>
      <c r="CO10" s="210" t="str">
        <f>IF(AND(C10="Skema 3",B10="ti"),Skemaoplysninger!$AI$31,"")</f>
        <v/>
      </c>
      <c r="CP10" s="210" t="str">
        <f>IF(AND(C10="Skema 3",B10="on"),Skemaoplysninger!$AK$31,"")</f>
        <v/>
      </c>
      <c r="CQ10" s="210" t="str">
        <f>IF(AND(C10="Skema 3",B10="to"),Skemaoplysninger!$AM$31,"")</f>
        <v/>
      </c>
      <c r="CR10" s="210" t="str">
        <f>IF(AND(C10="Skema 3",B10="fr"),Skemaoplysninger!$AO$31,"")</f>
        <v/>
      </c>
      <c r="CS10" s="210" t="str">
        <f>IF(AND(C10="Skema 4",B10="ma"),Skemaoplysninger!$AU$31,"")</f>
        <v/>
      </c>
      <c r="CT10" s="210" t="str">
        <f>IF(AND(C10="Skema 4",B10="ti"),Skemaoplysninger!$AW$31,"")</f>
        <v/>
      </c>
      <c r="CU10" s="210" t="str">
        <f>IF(AND(C10="Skema 4",B10="on"),Skemaoplysninger!$AY$31,"")</f>
        <v/>
      </c>
      <c r="CV10" s="210" t="str">
        <f>IF(AND(C10="Skema 4",B10="to"),Skemaoplysninger!$BA$31,"")</f>
        <v/>
      </c>
      <c r="CW10" s="210" t="str">
        <f>IF(AND(C10="Skema 4",B10="fr"),Skemaoplysninger!$BC$31,"")</f>
        <v/>
      </c>
      <c r="CX10" s="249">
        <f>IF(Stamoplysninger!$H$29="NEJ",SUM(CD10:CW10)*24+CB10+CC10,0)</f>
        <v>0.83333333333333337</v>
      </c>
      <c r="CY10" s="249">
        <f>IF(C10="Skema 1",Stamoplysninger!$H$30/200,0)</f>
        <v>0</v>
      </c>
      <c r="CZ10" s="249">
        <f>IF(C10="Skema 2",Stamoplysninger!$H$30/200,0)</f>
        <v>0</v>
      </c>
      <c r="DA10" s="249">
        <f>IF(C10="Skema 3",Stamoplysninger!$H$30/200,0)</f>
        <v>0</v>
      </c>
      <c r="DB10" s="249">
        <f>IF(C10="Skema 4",Stamoplysninger!$H$30/200,0)</f>
        <v>0</v>
      </c>
      <c r="DC10" s="249">
        <f>IF(C10="fagdag",Stamoplysninger!$H$30/200,0)</f>
        <v>0</v>
      </c>
      <c r="DD10" s="249">
        <f>IF(C10="emnedag",Stamoplysninger!$H$30/200,0)</f>
        <v>0</v>
      </c>
      <c r="DE10" s="249">
        <f>IF(C10="lejrskole",Stamoplysninger!$H$30/200,0)</f>
        <v>0</v>
      </c>
      <c r="DF10" s="249">
        <f>IF(C10="ekskursion",Stamoplysninger!$H$30/200,0)</f>
        <v>0</v>
      </c>
      <c r="DG10" s="249">
        <f t="shared" ref="DG10:DG39" si="26">SUM(CY10:DF10)</f>
        <v>0</v>
      </c>
      <c r="DH10" t="str">
        <f t="shared" ref="DH10:DH39" si="27">IF(AND(E10&gt;0,H10&gt;0),""&amp;E10&amp;" og "&amp;H10&amp;"","")</f>
        <v/>
      </c>
      <c r="DI10">
        <f t="shared" ref="DI10:DI39" si="28">IF(H10="",E10,"")</f>
        <v>0</v>
      </c>
      <c r="DJ10">
        <f t="shared" ref="DJ10:DJ39" si="29">IF(E10="",H10,"")</f>
        <v>0</v>
      </c>
      <c r="DK10" t="str">
        <f t="shared" si="14"/>
        <v/>
      </c>
      <c r="DL10" t="str">
        <f t="shared" si="14"/>
        <v/>
      </c>
      <c r="DM10" t="str">
        <f t="shared" si="14"/>
        <v/>
      </c>
      <c r="DN10" t="str">
        <f t="shared" ref="DN10:DN39" si="30">DK10&amp;""&amp;DL10&amp;""&amp;DM10</f>
        <v/>
      </c>
      <c r="DO10" s="652">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71">
        <f>IF(AND(Stamoplysninger!$B$22="Ulempetillæg udbetales med 25% af nettotimelønnen.",C10="ikke relevant"),(R10)/4,0)</f>
        <v>0</v>
      </c>
      <c r="DT10" s="671">
        <f>IF(AND(AND(Stamoplysninger!$B$22="Ulempetillæg udbetales med 25% af nettotimelønnen.",I10="X",C10="Ikke relevant")),K10/4,0)</f>
        <v>0</v>
      </c>
      <c r="DU10" s="671">
        <f>IF(AND(AND(Stamoplysninger!$B$22="Ulempetillæg udbetales med 25% af nettotimelønnen.",C10="ikke relevant",U10="X")),(X10/4),0)</f>
        <v>0</v>
      </c>
      <c r="DV10" s="672">
        <f>IF(AND(AND(AND(Stamoplysninger!$B$22="Ulempetillæg udbetales med 25% af nettotimelønnen.",I10="X",C10="Ikke relevant",S10="X"))),V10/4,0)</f>
        <v>0</v>
      </c>
      <c r="DW10" s="652"/>
      <c r="DZ10" s="671"/>
      <c r="EA10" s="671"/>
      <c r="EB10" s="672"/>
      <c r="EC10" s="652">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71">
        <f>IF(AND(Stamoplysninger!$B$22="Ulempetillæg afspadseres med 25%(Kræver en aftale imellem ledelsen og den ansatte)",C10="ikke relevant"),(R10)/4,0)</f>
        <v>0</v>
      </c>
      <c r="EH10" s="671">
        <f>IF(AND(AND(Stamoplysninger!$B$22="Ulempetillæg afspadseres med 25%(Kræver en aftale imellem ledelsen og den ansatte)",I10="X",C10="Ikke relevant")),K10/4,0)</f>
        <v>0</v>
      </c>
      <c r="EI10" s="671">
        <f>IF(AND(AND(Stamoplysninger!$B$22="Ulempetillæg afspadseres med 25%(Kræver en aftale imellem ledelsen og den ansatte)",U10="X",C10="Ikke relevant")),X10/4,0)</f>
        <v>0</v>
      </c>
      <c r="EJ10" s="671">
        <f>IF(AND(AND(AND(Stamoplysninger!$B$22="Ulempetillæg afspadseres med 25%(Kræver en aftale imellem ledelsen og den ansatte)",I10="X",C10="Ikke relevant",S10="X"))),V10/4,0)</f>
        <v>0</v>
      </c>
      <c r="EK10" s="283">
        <f>IF(AND(Stamoplysninger!$B$26="Weekendtimer og weekendtillæg afspadseres.",I10="X"),K10*1.5,0)</f>
        <v>0</v>
      </c>
      <c r="EL10" s="251">
        <f>IF(AND(AND(Stamoplysninger!$B$26="Weekendtimer og weekendtillæg afspadseres.",I10="X",S10="X")),V10*1.5,0)</f>
        <v>0</v>
      </c>
      <c r="EM10" s="674">
        <f>IF(AND(AND(Stamoplysninger!$B$26="Weekendtimer og weekendtillæg afspadseres.",I10="X",C10="ikke relevant")),K10*1.5,0)</f>
        <v>0</v>
      </c>
      <c r="EN10" s="675">
        <f>IF(AND(AND(AND(Stamoplysninger!$B$26="Weekendtimer og weekendtillæg afspadseres.",I10="X",C10="ikke relevant",S10="X"))),(V10*1.5),0)</f>
        <v>0</v>
      </c>
      <c r="EO10" s="283">
        <f>IF(AND(Stamoplysninger!$B$26="Weekendtimer og weekendtillæg udbetales.",I10="X"),K10*1.5,0)</f>
        <v>0</v>
      </c>
      <c r="EP10" s="251">
        <f>IF(AND(AND(Stamoplysninger!$B$26="Weekendtimer og weekendtillæg udbetales.",I10="X",S10="X")),V10*1.5,0)</f>
        <v>0</v>
      </c>
      <c r="EQ10" s="674">
        <f>IF(AND(AND(Stamoplysninger!$B$26="Weekendtimer og weekendtillæg udbetales.",I10="X",C10="ikke relevant")),K10*1.5,0)</f>
        <v>0</v>
      </c>
      <c r="ER10" s="675">
        <f>IF(AND(AND(AND(Stamoplysninger!$B$26="Weekendtimer og weekendtillæg udbetales.",I10="X",C10="ikke relevant",S10="X"))),(V10*1.5),0)</f>
        <v>0</v>
      </c>
      <c r="ES10" s="283">
        <f>IF(AND(Stamoplysninger!$B$26="Der er indgået lokalaftale omkring weekendtimer.(Kræver aftale med TR/FSL) Weekendtillæg afspadseres.",I10="X"),K10*0.5,0)</f>
        <v>0</v>
      </c>
      <c r="ET10" s="251">
        <f>IF(AND(AND(Stamoplysninger!$B$26="Der er indgået lokalaftale omkring weekendtimer.(Kræver aftale med TR/FSL) Weekendtillæg afspadseres.",I10="X",S10="X")),V10*0.5,0)</f>
        <v>0</v>
      </c>
      <c r="EU10" s="674">
        <f>IF(AND(AND(Stamoplysninger!$B$26="Der er indgået lokalaftale omkring weekendtimer.(Kræver aftale med TR/FSL) Weekendtillæg afspadseres.",I10="X",C10="ikke relevant")),K10*0.5,0)</f>
        <v>0</v>
      </c>
      <c r="EV10" s="675">
        <f>IF(AND(AND(AND(Stamoplysninger!$B$26="Der er indgået lokalaftale omkring weekendtimer.(Kræver aftale med TR/FSL) Weekendtillæg afspadseres.",I10="X",C10="ikke relevant",S10="X"))),(V10*0.5),0)</f>
        <v>0</v>
      </c>
      <c r="EW10" s="283">
        <f>IF(AND(Stamoplysninger!$B$26="Der er indgået lokalaftale omkring weekendtimer(Kræver aftale med TR/FSL). Weekendtillæg udbetales.",I10="X"),K10*0.5,0)</f>
        <v>0</v>
      </c>
      <c r="EX10" s="251">
        <f>IF(AND(AND(Stamoplysninger!$B$26="Der er indgået lokalaftale omkring weekendtimer(Kræver aftale med TR/FSL). Weekendtillæg udbetales.",I10="X",S10="X")),V10*0.5,0)</f>
        <v>0</v>
      </c>
      <c r="EY10" s="674">
        <f>IF(AND(AND(Stamoplysninger!$B$26="Der er indgået lokalaftale omkring weekendtimer(Kræver aftale med TR/FSL). Weekendtillæg udbetales.",I10="X",C10="ikke relevant")),K10*0.5,0)</f>
        <v>0</v>
      </c>
      <c r="EZ10" s="675">
        <f>IF(AND(AND(AND(Stamoplysninger!$B$26="Der er indgået lokalaftale omkring weekendtimer(Kræver aftale med TR/FSL). Weekendtillæg udbetales.",I10="X",C10="ikke relevant",S10="X"))),(V10*0.5),0)</f>
        <v>0</v>
      </c>
      <c r="FA10" s="283">
        <f>IF(AND(Stamoplysninger!$B$26="Der er indgået lokalaftale omkring weekendtillæg(Kræver aftale med TR/FSL). Weekendtimerne afspadseres.",I10="X"),K10,0)</f>
        <v>0</v>
      </c>
      <c r="FB10" s="251">
        <f>IF(AND(AND(Stamoplysninger!$B$26="Der er indgået lokalaftale omkring weekendtillæg(Kræver aftale med TR/FSL). Weekendtimerne afspadseres.",I10="X",S10="X")),V10,0)</f>
        <v>0</v>
      </c>
      <c r="FC10" s="674">
        <f>IF(AND(AND(Stamoplysninger!$B$26="Der er indgået lokalaftale omkring weekendtillæg(Kræver aftale med TR/FSL). Weekendtimerne afspadseres..",I10="X",C10="ikke relevant")),K10,0)</f>
        <v>0</v>
      </c>
      <c r="FD10" s="675">
        <f>IF(AND(AND(AND(Stamoplysninger!$B$26="Der er indgået lokalaftale omkring weekendtillæg(Kræver aftale med TR/FSL). Weekendtimerne afspadseres.",I10="X",C10="ikke relevant",S10="X"))),(V10),0)</f>
        <v>0</v>
      </c>
      <c r="FE10" s="283">
        <f>IF(AND(Stamoplysninger!$B$26="Der er indgået lokalaftale omkring weekendtillæg(Kræver aftale med TR/FSL). Weekendtimerne udbetales.",I10="X"),K10,0)</f>
        <v>0</v>
      </c>
      <c r="FF10" s="251">
        <f>IF(AND(AND(Stamoplysninger!$B$26="Der er indgået lokalaftale omkring weekendtillæg(Kræver aftale med TR/FSL). Weekendtimerne udbetales.",I10="X",S10="X")),V10,0)</f>
        <v>0</v>
      </c>
      <c r="FG10" s="674">
        <f>IF(AND(AND(Stamoplysninger!$B$26="Der er indgået lokalaftale omkring weekendtillæg(Kræver aftale med TR/FSL). Weekendtimerne udbetales.",I10="X",C10="ikke relevant")),K10,0)</f>
        <v>0</v>
      </c>
      <c r="FH10" s="675">
        <f>IF(AND(AND(AND(Stamoplysninger!$B$26="Der er indgået lokalaftale omkring weekendtillæg(Kræver aftale med TR/FSL). Weekendtimerne udbetales.",I10="X",C10="ikke relevant",S10="X"))),(V10),0)</f>
        <v>0</v>
      </c>
      <c r="FI10" s="283">
        <f>IF(AND(Stamoplysninger!$B$26="Weekendtimer og weekendtillæg afspadseres.",I10="X"),K10,0)</f>
        <v>0</v>
      </c>
      <c r="FJ10" s="251">
        <f>IF(AND(Stamoplysninger!$B$26="Weekendtimer og weekendtillæg afspadseres.",Y10="X"),(AA10+AL10)/2,0)</f>
        <v>0</v>
      </c>
      <c r="FK10" s="674">
        <f>IF(AND(AND(Stamoplysninger!$B$26="Weekendtimer og weekendtillæg afspadseres.",I10="X",C10="ikke relevant")),K10,0)</f>
        <v>0</v>
      </c>
      <c r="FL10" s="675">
        <f>IF(AND(AND(Stamoplysninger!$B$26="Weekendtimer og weekendtillæg afspadseres.",Y10="X",S10="ikke relevant")),(AA10+AL10)/2,0)</f>
        <v>0</v>
      </c>
      <c r="FM10" s="283">
        <f>IF(AND(Stamoplysninger!$B$26="Der er indgået lokalaftale omkring weekendtillæg(Kræver aftale med TR/FSL). Weekendtimerne afspadseres.",I10="X"),K10,0)</f>
        <v>0</v>
      </c>
      <c r="FN10" s="674">
        <f>IF(AND(AND(Stamoplysninger!$B$26="Der er indgået lokalaftale omkring weekendtillæg(Kræver aftale med TR/FSL). Weekendtimerne afspadseres.",I10="X",C10="ikke relevant")),K10,0)</f>
        <v>0</v>
      </c>
      <c r="FO10" s="283">
        <f>IF(AND(Stamoplysninger!$B$26="Weekendtimer og weekendtillæg udbetales.",I10="X"),K10,0)</f>
        <v>0</v>
      </c>
      <c r="FP10" s="251">
        <f>IF(AND(Stamoplysninger!$B$26="Weekendtimer og weekendtillæg udbetales.",AA10="X"),(AC10+AN10)/2,0)</f>
        <v>0</v>
      </c>
      <c r="FQ10" s="674">
        <f>IF(AND(AND(Stamoplysninger!$B$26="Weekendtimer og weekendtillæg udbetales.",I10="X",C10="ikke relevant")),K10,0)</f>
        <v>0</v>
      </c>
      <c r="FR10" s="688">
        <f>IF(AND(AND(Stamoplysninger!$B$26="Weekendtimer og weekendtillæg udbetales.",AA10="X",U10="ikke relevant")),(AC10+AN10)/2,0)</f>
        <v>0</v>
      </c>
      <c r="FS10" s="283">
        <f t="shared" si="15"/>
        <v>0</v>
      </c>
      <c r="FT10" s="658">
        <f t="shared" si="16"/>
        <v>0</v>
      </c>
      <c r="FU10">
        <f t="shared" si="17"/>
        <v>0</v>
      </c>
      <c r="FV10" s="283">
        <f>IF(AND(Stamoplysninger!$B$26="Der er indgået lokalaftale omkring weekendtimer.(Kræver aftale med TR/FSL) Weekendtillæg afspadseres.",I10="X"),K10,0)</f>
        <v>0</v>
      </c>
      <c r="FW10" s="674">
        <f>IF(AND(AND(Stamoplysninger!$B$26="Der er indgået lokalaftale omkring weekendtimer.(Kræver aftale med TR/FSL) Weekendtillæg afspadseres.",I10="X",C10="ikke relevant")),K10,0)</f>
        <v>0</v>
      </c>
      <c r="FX10" s="283">
        <f>IF(AND(Stamoplysninger!$B$26="Der er indgået lokalaftale omkring weekendtimer(Kræver aftale med TR/FSL). Weekendtillæg udbetales.",I10="X"),K10,0)</f>
        <v>0</v>
      </c>
      <c r="FY10" s="674">
        <f>IF(AND(AND(Stamoplysninger!$B$26="Der er indgået lokalaftale omkring weekendtimer(Kræver aftale med TR/FSL). Weekendtillæg udbetales.",I10="X",C10="ikke relevant")),K10,0)</f>
        <v>0</v>
      </c>
      <c r="FZ10" s="283">
        <f>IF(AND(Stamoplysninger!$B$26="Der er indgået lokalaftale omkring weekendtillæg(Kræver aftale med TR/FSL). Weekendtimerne udbetales.",I10="X"),K10,0)</f>
        <v>0</v>
      </c>
      <c r="GA10" s="674">
        <f>IF(AND(AND(Stamoplysninger!$B$26="Der er indgået lokalaftale omkring weekendtillæg(Kræver aftale med TR/FSL). Weekendtimerne udbetales.",I10="X",C10="ikke relevant")),K10,0)</f>
        <v>0</v>
      </c>
      <c r="GB10" s="283">
        <f>IF(AND(Stamoplysninger!$B$26="Der er indgået lokalaftale omkring weekendtimer og weekendtillæg.(Kræver aftale med TR/FSL).",I10="X"),K10,0)</f>
        <v>0</v>
      </c>
      <c r="GC10" s="674">
        <f>IF(AND(AND(Stamoplysninger!$B$26="Der er indgået lokalaftale omkring weekendtimer og weekendtillæg.(Kræver aftale med TR/FSL).",I10="X",C10="ikke relevant")),K10,0)</f>
        <v>0</v>
      </c>
    </row>
    <row r="11" spans="1:185">
      <c r="A11" s="245">
        <f t="shared" si="18"/>
        <v>3</v>
      </c>
      <c r="B11" s="128" t="str">
        <f t="shared" si="0"/>
        <v>lø</v>
      </c>
      <c r="C11" s="129" t="s">
        <v>120</v>
      </c>
      <c r="D11" s="130" t="str">
        <f t="shared" si="1"/>
        <v/>
      </c>
      <c r="E11" s="917"/>
      <c r="F11" s="918"/>
      <c r="G11" s="919"/>
      <c r="H11" s="298"/>
      <c r="I11" s="413"/>
      <c r="J11" s="413"/>
      <c r="K11" s="380"/>
      <c r="L11" s="380"/>
      <c r="M11" s="380"/>
      <c r="N11" s="318">
        <f t="shared" si="19"/>
        <v>0</v>
      </c>
      <c r="O11" s="318">
        <f t="shared" si="20"/>
        <v>0</v>
      </c>
      <c r="P11" s="318">
        <f>IF(Stamoplysninger!$H$29="JA",Maj!DG11,CX11)</f>
        <v>0</v>
      </c>
      <c r="Q11" s="318">
        <f t="shared" si="21"/>
        <v>0</v>
      </c>
      <c r="R11" s="319"/>
      <c r="S11" s="324"/>
      <c r="T11" s="325"/>
      <c r="U11" s="325"/>
      <c r="V11" s="435"/>
      <c r="W11" s="412"/>
      <c r="X11" s="642"/>
      <c r="Y11">
        <f t="shared" si="22"/>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9">
        <f t="shared" si="8"/>
        <v>0</v>
      </c>
      <c r="BC11" s="1">
        <f t="shared" si="24"/>
        <v>0</v>
      </c>
      <c r="BD11" s="1">
        <f t="shared" si="9"/>
        <v>0</v>
      </c>
      <c r="BE11" s="1">
        <f t="shared" si="10"/>
        <v>0</v>
      </c>
      <c r="BF11" s="1">
        <f t="shared" si="11"/>
        <v>0</v>
      </c>
      <c r="BG11" s="210" t="str">
        <f>IF(AND(C11="Skema 1",B11="ma"),Skemaoplysninger!$E$30,"")</f>
        <v/>
      </c>
      <c r="BH11" s="210" t="str">
        <f>IF(AND(C11="Skema 1",B11="ti"),Skemaoplysninger!$G$30,"")</f>
        <v/>
      </c>
      <c r="BI11" s="210" t="str">
        <f>IF(AND(C11="Skema 1",B11="on"),Skemaoplysninger!$I$30,"")</f>
        <v/>
      </c>
      <c r="BJ11" s="210" t="str">
        <f>IF(AND(C11="Skema 1",B11="to"),Skemaoplysninger!$K$30,"")</f>
        <v/>
      </c>
      <c r="BK11" s="210" t="str">
        <f>IF(AND(C11="Skema 1",B11="fr"),Skemaoplysninger!$M$30,"")</f>
        <v/>
      </c>
      <c r="BL11" s="210" t="str">
        <f>IF(AND(C11="Skema 2",B11="ma"),Skemaoplysninger!$S$30,"")</f>
        <v/>
      </c>
      <c r="BM11" s="210" t="str">
        <f>IF(AND(C11="Skema 2",B11="ti"),Skemaoplysninger!$U$30,"")</f>
        <v/>
      </c>
      <c r="BN11" s="210" t="str">
        <f>IF(AND(C11="Skema 2",B11="on"),Skemaoplysninger!$W$30,"")</f>
        <v/>
      </c>
      <c r="BO11" s="210" t="str">
        <f>IF(AND(C11="Skema 2",B11="to"),Skemaoplysninger!$Y$30,"")</f>
        <v/>
      </c>
      <c r="BP11" s="210" t="str">
        <f>IF(AND(C11="Skema 2",B11="fr"),Skemaoplysninger!$AA$30,"")</f>
        <v/>
      </c>
      <c r="BQ11" s="210" t="str">
        <f>IF(AND(C11="Skema 3",B11="ma"),Skemaoplysninger!$AG$30,"")</f>
        <v/>
      </c>
      <c r="BR11" s="210" t="str">
        <f>IF(AND(C11="Skema 3",B11="ti"),Skemaoplysninger!$AI$30,"")</f>
        <v/>
      </c>
      <c r="BS11" s="210" t="str">
        <f>IF(AND(C11="Skema 3",B11="on"),Skemaoplysninger!$AK$30,"")</f>
        <v/>
      </c>
      <c r="BT11" s="210" t="str">
        <f>IF(AND(C11="Skema 3",B11="to"),Skemaoplysninger!$AM$30,"")</f>
        <v/>
      </c>
      <c r="BU11" s="210" t="str">
        <f>IF(AND(C11="Skema 3",B11="fr"),Skemaoplysninger!$AO$30,"")</f>
        <v/>
      </c>
      <c r="BV11" s="210" t="str">
        <f>IF(AND(C11="Skema 4",B11="ma"),Skemaoplysninger!$AU$30,"")</f>
        <v/>
      </c>
      <c r="BW11" s="210" t="str">
        <f>IF(AND(C11="Skema 4",B11="ti"),Skemaoplysninger!$AW$30,"")</f>
        <v/>
      </c>
      <c r="BX11" s="210" t="str">
        <f>IF(AND(C11="Skema 4",B11="on"),Skemaoplysninger!$AY$30,"")</f>
        <v/>
      </c>
      <c r="BY11" s="210" t="str">
        <f>IF(AND(C11="Skema 4",B11="to"),Skemaoplysninger!$BA$30,"")</f>
        <v/>
      </c>
      <c r="BZ11" s="210" t="str">
        <f>IF(AND(C11="Skema 4",B11="fr"),Skemaoplysninger!$BC$30,"")</f>
        <v/>
      </c>
      <c r="CA11" s="1">
        <f t="shared" si="25"/>
        <v>0</v>
      </c>
      <c r="CB11" s="1">
        <f t="shared" si="12"/>
        <v>0</v>
      </c>
      <c r="CC11" s="1">
        <f t="shared" si="13"/>
        <v>0</v>
      </c>
      <c r="CD11" s="210" t="str">
        <f>IF(AND(C11="Skema 1",B11="ma"),Skemaoplysninger!$E$31,"")</f>
        <v/>
      </c>
      <c r="CE11" s="210" t="str">
        <f>IF(AND(C11="Skema 1",B11="ti"),Skemaoplysninger!$G$31,"")</f>
        <v/>
      </c>
      <c r="CF11" s="210" t="str">
        <f>IF(AND(C11="Skema 1",B11="on"),Skemaoplysninger!$I$31,"")</f>
        <v/>
      </c>
      <c r="CG11" s="210" t="str">
        <f>IF(AND(C11="Skema 1",B11="to"),Skemaoplysninger!$K$31,"")</f>
        <v/>
      </c>
      <c r="CH11" s="210" t="str">
        <f>IF(AND(C11="Skema 1",B11="fr"),Skemaoplysninger!$M$31,"")</f>
        <v/>
      </c>
      <c r="CI11" s="210" t="str">
        <f>IF(AND(C11="Skema 2",B11="ma"),Skemaoplysninger!$S$31,"")</f>
        <v/>
      </c>
      <c r="CJ11" s="210" t="str">
        <f>IF(AND(C11="Skema 2",B11="ti"),Skemaoplysninger!$U$31,"")</f>
        <v/>
      </c>
      <c r="CK11" s="210" t="str">
        <f>IF(AND(C11="Skema 2",B11="on"),Skemaoplysninger!$W$31,"")</f>
        <v/>
      </c>
      <c r="CL11" s="210" t="str">
        <f>IF(AND(C11="Skema 2",B11="to"),Skemaoplysninger!$Y$31,"")</f>
        <v/>
      </c>
      <c r="CM11" s="210" t="str">
        <f>IF(AND(C11="Skema 2",B11="fr"),Skemaoplysninger!$AA$31,"")</f>
        <v/>
      </c>
      <c r="CN11" s="210" t="str">
        <f>IF(AND(C11="Skema 3",B11="ma"),Skemaoplysninger!$AG$31,"")</f>
        <v/>
      </c>
      <c r="CO11" s="210" t="str">
        <f>IF(AND(C11="Skema 3",B11="ti"),Skemaoplysninger!$AI$31,"")</f>
        <v/>
      </c>
      <c r="CP11" s="210" t="str">
        <f>IF(AND(C11="Skema 3",B11="on"),Skemaoplysninger!$AK$31,"")</f>
        <v/>
      </c>
      <c r="CQ11" s="210" t="str">
        <f>IF(AND(C11="Skema 3",B11="to"),Skemaoplysninger!$AM$31,"")</f>
        <v/>
      </c>
      <c r="CR11" s="210" t="str">
        <f>IF(AND(C11="Skema 3",B11="fr"),Skemaoplysninger!$AO$31,"")</f>
        <v/>
      </c>
      <c r="CS11" s="210" t="str">
        <f>IF(AND(C11="Skema 4",B11="ma"),Skemaoplysninger!$AU$31,"")</f>
        <v/>
      </c>
      <c r="CT11" s="210" t="str">
        <f>IF(AND(C11="Skema 4",B11="ti"),Skemaoplysninger!$AW$31,"")</f>
        <v/>
      </c>
      <c r="CU11" s="210" t="str">
        <f>IF(AND(C11="Skema 4",B11="on"),Skemaoplysninger!$AY$31,"")</f>
        <v/>
      </c>
      <c r="CV11" s="210" t="str">
        <f>IF(AND(C11="Skema 4",B11="to"),Skemaoplysninger!$BA$31,"")</f>
        <v/>
      </c>
      <c r="CW11" s="210" t="str">
        <f>IF(AND(C11="Skema 4",B11="fr"),Skemaoplysninger!$BC$31,"")</f>
        <v/>
      </c>
      <c r="CX11" s="249">
        <f>IF(Stamoplysninger!$H$29="NEJ",SUM(CD11:CW11)*24+CB11+CC11,0)</f>
        <v>0</v>
      </c>
      <c r="CY11" s="249">
        <f>IF(C11="Skema 1",Stamoplysninger!$H$30/200,0)</f>
        <v>0</v>
      </c>
      <c r="CZ11" s="249">
        <f>IF(C11="Skema 2",Stamoplysninger!$H$30/200,0)</f>
        <v>0</v>
      </c>
      <c r="DA11" s="249">
        <f>IF(C11="Skema 3",Stamoplysninger!$H$30/200,0)</f>
        <v>0</v>
      </c>
      <c r="DB11" s="249">
        <f>IF(C11="Skema 4",Stamoplysninger!$H$30/200,0)</f>
        <v>0</v>
      </c>
      <c r="DC11" s="249">
        <f>IF(C11="fagdag",Stamoplysninger!$H$30/200,0)</f>
        <v>0</v>
      </c>
      <c r="DD11" s="249">
        <f>IF(C11="emnedag",Stamoplysninger!$H$30/200,0)</f>
        <v>0</v>
      </c>
      <c r="DE11" s="249">
        <f>IF(C11="lejrskole",Stamoplysninger!$H$30/200,0)</f>
        <v>0</v>
      </c>
      <c r="DF11" s="249">
        <f>IF(C11="ekskursion",Stamoplysninger!$H$30/200,0)</f>
        <v>0</v>
      </c>
      <c r="DG11" s="249">
        <f t="shared" si="26"/>
        <v>0</v>
      </c>
      <c r="DH11" t="str">
        <f t="shared" si="27"/>
        <v/>
      </c>
      <c r="DI11">
        <f t="shared" si="28"/>
        <v>0</v>
      </c>
      <c r="DJ11">
        <f t="shared" si="29"/>
        <v>0</v>
      </c>
      <c r="DK11" t="str">
        <f t="shared" si="14"/>
        <v/>
      </c>
      <c r="DL11" t="str">
        <f t="shared" si="14"/>
        <v/>
      </c>
      <c r="DM11" t="str">
        <f t="shared" si="14"/>
        <v/>
      </c>
      <c r="DN11" t="str">
        <f t="shared" si="30"/>
        <v/>
      </c>
      <c r="DO11" s="652">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71">
        <f>IF(AND(Stamoplysninger!$B$22="Ulempetillæg udbetales med 25% af nettotimelønnen.",C11="ikke relevant"),(R11)/4,0)</f>
        <v>0</v>
      </c>
      <c r="DT11" s="671">
        <f>IF(AND(AND(Stamoplysninger!$B$22="Ulempetillæg udbetales med 25% af nettotimelønnen.",I11="X",C11="Ikke relevant")),K11/4,0)</f>
        <v>0</v>
      </c>
      <c r="DU11" s="671">
        <f>IF(AND(AND(Stamoplysninger!$B$22="Ulempetillæg udbetales med 25% af nettotimelønnen.",C11="ikke relevant",U11="X")),(X11/4),0)</f>
        <v>0</v>
      </c>
      <c r="DV11" s="672">
        <f>IF(AND(AND(AND(Stamoplysninger!$B$22="Ulempetillæg udbetales med 25% af nettotimelønnen.",I11="X",C11="Ikke relevant",S11="X"))),V11/4,0)</f>
        <v>0</v>
      </c>
      <c r="DW11" s="652"/>
      <c r="DZ11" s="671"/>
      <c r="EA11" s="671"/>
      <c r="EB11" s="672"/>
      <c r="EC11" s="652">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71">
        <f>IF(AND(Stamoplysninger!$B$22="Ulempetillæg afspadseres med 25%(Kræver en aftale imellem ledelsen og den ansatte)",C11="ikke relevant"),(R11)/4,0)</f>
        <v>0</v>
      </c>
      <c r="EH11" s="671">
        <f>IF(AND(AND(Stamoplysninger!$B$22="Ulempetillæg afspadseres med 25%(Kræver en aftale imellem ledelsen og den ansatte)",I11="X",C11="Ikke relevant")),K11/4,0)</f>
        <v>0</v>
      </c>
      <c r="EI11" s="671">
        <f>IF(AND(AND(Stamoplysninger!$B$22="Ulempetillæg afspadseres med 25%(Kræver en aftale imellem ledelsen og den ansatte)",U11="X",C11="Ikke relevant")),X11/4,0)</f>
        <v>0</v>
      </c>
      <c r="EJ11" s="671">
        <f>IF(AND(AND(AND(Stamoplysninger!$B$22="Ulempetillæg afspadseres med 25%(Kræver en aftale imellem ledelsen og den ansatte)",I11="X",C11="Ikke relevant",S11="X"))),V11/4,0)</f>
        <v>0</v>
      </c>
      <c r="EK11" s="283">
        <f>IF(AND(Stamoplysninger!$B$26="Weekendtimer og weekendtillæg afspadseres.",I11="X"),K11*1.5,0)</f>
        <v>0</v>
      </c>
      <c r="EL11" s="251">
        <f>IF(AND(AND(Stamoplysninger!$B$26="Weekendtimer og weekendtillæg afspadseres.",I11="X",S11="X")),V11*1.5,0)</f>
        <v>0</v>
      </c>
      <c r="EM11" s="674">
        <f>IF(AND(AND(Stamoplysninger!$B$26="Weekendtimer og weekendtillæg afspadseres.",I11="X",C11="ikke relevant")),K11*1.5,0)</f>
        <v>0</v>
      </c>
      <c r="EN11" s="675">
        <f>IF(AND(AND(AND(Stamoplysninger!$B$26="Weekendtimer og weekendtillæg afspadseres.",I11="X",C11="ikke relevant",S11="X"))),(V11*1.5),0)</f>
        <v>0</v>
      </c>
      <c r="EO11" s="283">
        <f>IF(AND(Stamoplysninger!$B$26="Weekendtimer og weekendtillæg udbetales.",I11="X"),K11*1.5,0)</f>
        <v>0</v>
      </c>
      <c r="EP11" s="251">
        <f>IF(AND(AND(Stamoplysninger!$B$26="Weekendtimer og weekendtillæg udbetales.",I11="X",S11="X")),V11*1.5,0)</f>
        <v>0</v>
      </c>
      <c r="EQ11" s="674">
        <f>IF(AND(AND(Stamoplysninger!$B$26="Weekendtimer og weekendtillæg udbetales.",I11="X",C11="ikke relevant")),K11*1.5,0)</f>
        <v>0</v>
      </c>
      <c r="ER11" s="675">
        <f>IF(AND(AND(AND(Stamoplysninger!$B$26="Weekendtimer og weekendtillæg udbetales.",I11="X",C11="ikke relevant",S11="X"))),(V11*1.5),0)</f>
        <v>0</v>
      </c>
      <c r="ES11" s="283">
        <f>IF(AND(Stamoplysninger!$B$26="Der er indgået lokalaftale omkring weekendtimer.(Kræver aftale med TR/FSL) Weekendtillæg afspadseres.",I11="X"),K11*0.5,0)</f>
        <v>0</v>
      </c>
      <c r="ET11" s="251">
        <f>IF(AND(AND(Stamoplysninger!$B$26="Der er indgået lokalaftale omkring weekendtimer.(Kræver aftale med TR/FSL) Weekendtillæg afspadseres.",I11="X",S11="X")),V11*0.5,0)</f>
        <v>0</v>
      </c>
      <c r="EU11" s="674">
        <f>IF(AND(AND(Stamoplysninger!$B$26="Der er indgået lokalaftale omkring weekendtimer.(Kræver aftale med TR/FSL) Weekendtillæg afspadseres.",I11="X",C11="ikke relevant")),K11*0.5,0)</f>
        <v>0</v>
      </c>
      <c r="EV11" s="675">
        <f>IF(AND(AND(AND(Stamoplysninger!$B$26="Der er indgået lokalaftale omkring weekendtimer.(Kræver aftale med TR/FSL) Weekendtillæg afspadseres.",I11="X",C11="ikke relevant",S11="X"))),(V11*0.5),0)</f>
        <v>0</v>
      </c>
      <c r="EW11" s="283">
        <f>IF(AND(Stamoplysninger!$B$26="Der er indgået lokalaftale omkring weekendtimer(Kræver aftale med TR/FSL). Weekendtillæg udbetales.",I11="X"),K11*0.5,0)</f>
        <v>0</v>
      </c>
      <c r="EX11" s="251">
        <f>IF(AND(AND(Stamoplysninger!$B$26="Der er indgået lokalaftale omkring weekendtimer(Kræver aftale med TR/FSL). Weekendtillæg udbetales.",I11="X",S11="X")),V11*0.5,0)</f>
        <v>0</v>
      </c>
      <c r="EY11" s="674">
        <f>IF(AND(AND(Stamoplysninger!$B$26="Der er indgået lokalaftale omkring weekendtimer(Kræver aftale med TR/FSL). Weekendtillæg udbetales.",I11="X",C11="ikke relevant")),K11*0.5,0)</f>
        <v>0</v>
      </c>
      <c r="EZ11" s="675">
        <f>IF(AND(AND(AND(Stamoplysninger!$B$26="Der er indgået lokalaftale omkring weekendtimer(Kræver aftale med TR/FSL). Weekendtillæg udbetales.",I11="X",C11="ikke relevant",S11="X"))),(V11*0.5),0)</f>
        <v>0</v>
      </c>
      <c r="FA11" s="283">
        <f>IF(AND(Stamoplysninger!$B$26="Der er indgået lokalaftale omkring weekendtillæg(Kræver aftale med TR/FSL). Weekendtimerne afspadseres.",I11="X"),K11,0)</f>
        <v>0</v>
      </c>
      <c r="FB11" s="251">
        <f>IF(AND(AND(Stamoplysninger!$B$26="Der er indgået lokalaftale omkring weekendtillæg(Kræver aftale med TR/FSL). Weekendtimerne afspadseres.",I11="X",S11="X")),V11,0)</f>
        <v>0</v>
      </c>
      <c r="FC11" s="674">
        <f>IF(AND(AND(Stamoplysninger!$B$26="Der er indgået lokalaftale omkring weekendtillæg(Kræver aftale med TR/FSL). Weekendtimerne afspadseres..",I11="X",C11="ikke relevant")),K11,0)</f>
        <v>0</v>
      </c>
      <c r="FD11" s="675">
        <f>IF(AND(AND(AND(Stamoplysninger!$B$26="Der er indgået lokalaftale omkring weekendtillæg(Kræver aftale med TR/FSL). Weekendtimerne afspadseres.",I11="X",C11="ikke relevant",S11="X"))),(V11),0)</f>
        <v>0</v>
      </c>
      <c r="FE11" s="283">
        <f>IF(AND(Stamoplysninger!$B$26="Der er indgået lokalaftale omkring weekendtillæg(Kræver aftale med TR/FSL). Weekendtimerne udbetales.",I11="X"),K11,0)</f>
        <v>0</v>
      </c>
      <c r="FF11" s="251">
        <f>IF(AND(AND(Stamoplysninger!$B$26="Der er indgået lokalaftale omkring weekendtillæg(Kræver aftale med TR/FSL). Weekendtimerne udbetales.",I11="X",S11="X")),V11,0)</f>
        <v>0</v>
      </c>
      <c r="FG11" s="674">
        <f>IF(AND(AND(Stamoplysninger!$B$26="Der er indgået lokalaftale omkring weekendtillæg(Kræver aftale med TR/FSL). Weekendtimerne udbetales.",I11="X",C11="ikke relevant")),K11,0)</f>
        <v>0</v>
      </c>
      <c r="FH11" s="675">
        <f>IF(AND(AND(AND(Stamoplysninger!$B$26="Der er indgået lokalaftale omkring weekendtillæg(Kræver aftale med TR/FSL). Weekendtimerne udbetales.",I11="X",C11="ikke relevant",S11="X"))),(V11),0)</f>
        <v>0</v>
      </c>
      <c r="FI11" s="283">
        <f>IF(AND(Stamoplysninger!$B$26="Weekendtimer og weekendtillæg afspadseres.",I11="X"),K11,0)</f>
        <v>0</v>
      </c>
      <c r="FJ11" s="251">
        <f>IF(AND(Stamoplysninger!$B$26="Weekendtimer og weekendtillæg afspadseres.",Y11="X"),(AA11+AL11)/2,0)</f>
        <v>0</v>
      </c>
      <c r="FK11" s="674">
        <f>IF(AND(AND(Stamoplysninger!$B$26="Weekendtimer og weekendtillæg afspadseres.",I11="X",C11="ikke relevant")),K11,0)</f>
        <v>0</v>
      </c>
      <c r="FL11" s="675">
        <f>IF(AND(AND(Stamoplysninger!$B$26="Weekendtimer og weekendtillæg afspadseres.",Y11="X",S11="ikke relevant")),(AA11+AL11)/2,0)</f>
        <v>0</v>
      </c>
      <c r="FM11" s="283">
        <f>IF(AND(Stamoplysninger!$B$26="Der er indgået lokalaftale omkring weekendtillæg(Kræver aftale med TR/FSL). Weekendtimerne afspadseres.",I11="X"),K11,0)</f>
        <v>0</v>
      </c>
      <c r="FN11" s="674">
        <f>IF(AND(AND(Stamoplysninger!$B$26="Der er indgået lokalaftale omkring weekendtillæg(Kræver aftale med TR/FSL). Weekendtimerne afspadseres.",I11="X",C11="ikke relevant")),K11,0)</f>
        <v>0</v>
      </c>
      <c r="FO11" s="283">
        <f>IF(AND(Stamoplysninger!$B$26="Weekendtimer og weekendtillæg udbetales.",I11="X"),K11,0)</f>
        <v>0</v>
      </c>
      <c r="FP11" s="251">
        <f>IF(AND(Stamoplysninger!$B$26="Weekendtimer og weekendtillæg udbetales.",AA11="X"),(AC11+AN11)/2,0)</f>
        <v>0</v>
      </c>
      <c r="FQ11" s="674">
        <f>IF(AND(AND(Stamoplysninger!$B$26="Weekendtimer og weekendtillæg udbetales.",I11="X",C11="ikke relevant")),K11,0)</f>
        <v>0</v>
      </c>
      <c r="FR11" s="688">
        <f>IF(AND(AND(Stamoplysninger!$B$26="Weekendtimer og weekendtillæg udbetales.",AA11="X",U11="ikke relevant")),(AC11+AN11)/2,0)</f>
        <v>0</v>
      </c>
      <c r="FS11" s="283">
        <f t="shared" si="15"/>
        <v>0</v>
      </c>
      <c r="FT11" s="658">
        <f t="shared" si="16"/>
        <v>0</v>
      </c>
      <c r="FU11">
        <f t="shared" si="17"/>
        <v>0</v>
      </c>
      <c r="FV11" s="283">
        <f>IF(AND(Stamoplysninger!$B$26="Der er indgået lokalaftale omkring weekendtimer.(Kræver aftale med TR/FSL) Weekendtillæg afspadseres.",I11="X"),K11,0)</f>
        <v>0</v>
      </c>
      <c r="FW11" s="674">
        <f>IF(AND(AND(Stamoplysninger!$B$26="Der er indgået lokalaftale omkring weekendtimer.(Kræver aftale med TR/FSL) Weekendtillæg afspadseres.",I11="X",C11="ikke relevant")),K11,0)</f>
        <v>0</v>
      </c>
      <c r="FX11" s="283">
        <f>IF(AND(Stamoplysninger!$B$26="Der er indgået lokalaftale omkring weekendtimer(Kræver aftale med TR/FSL). Weekendtillæg udbetales.",I11="X"),K11,0)</f>
        <v>0</v>
      </c>
      <c r="FY11" s="674">
        <f>IF(AND(AND(Stamoplysninger!$B$26="Der er indgået lokalaftale omkring weekendtimer(Kræver aftale med TR/FSL). Weekendtillæg udbetales.",I11="X",C11="ikke relevant")),K11,0)</f>
        <v>0</v>
      </c>
      <c r="FZ11" s="283">
        <f>IF(AND(Stamoplysninger!$B$26="Der er indgået lokalaftale omkring weekendtillæg(Kræver aftale med TR/FSL). Weekendtimerne udbetales.",I11="X"),K11,0)</f>
        <v>0</v>
      </c>
      <c r="GA11" s="674">
        <f>IF(AND(AND(Stamoplysninger!$B$26="Der er indgået lokalaftale omkring weekendtillæg(Kræver aftale med TR/FSL). Weekendtimerne udbetales.",I11="X",C11="ikke relevant")),K11,0)</f>
        <v>0</v>
      </c>
      <c r="GB11" s="283">
        <f>IF(AND(Stamoplysninger!$B$26="Der er indgået lokalaftale omkring weekendtimer og weekendtillæg.(Kræver aftale med TR/FSL).",I11="X"),K11,0)</f>
        <v>0</v>
      </c>
      <c r="GC11" s="674">
        <f>IF(AND(AND(Stamoplysninger!$B$26="Der er indgået lokalaftale omkring weekendtimer og weekendtillæg.(Kræver aftale med TR/FSL).",I11="X",C11="ikke relevant")),K11,0)</f>
        <v>0</v>
      </c>
    </row>
    <row r="12" spans="1:185">
      <c r="A12" s="245">
        <f t="shared" si="18"/>
        <v>4</v>
      </c>
      <c r="B12" s="128" t="str">
        <f t="shared" si="0"/>
        <v>sø</v>
      </c>
      <c r="C12" s="129" t="s">
        <v>120</v>
      </c>
      <c r="D12" s="130" t="str">
        <f t="shared" si="1"/>
        <v/>
      </c>
      <c r="E12" s="917"/>
      <c r="F12" s="918"/>
      <c r="G12" s="919"/>
      <c r="H12" s="298"/>
      <c r="I12" s="413"/>
      <c r="J12" s="413"/>
      <c r="K12" s="380"/>
      <c r="L12" s="380"/>
      <c r="M12" s="380"/>
      <c r="N12" s="318">
        <f t="shared" si="19"/>
        <v>0</v>
      </c>
      <c r="O12" s="318">
        <f t="shared" si="20"/>
        <v>0</v>
      </c>
      <c r="P12" s="318">
        <f>IF(Stamoplysninger!$H$29="JA",Maj!DG12,CX12)</f>
        <v>0</v>
      </c>
      <c r="Q12" s="318">
        <f t="shared" si="21"/>
        <v>0</v>
      </c>
      <c r="R12" s="319"/>
      <c r="S12" s="324"/>
      <c r="T12" s="325"/>
      <c r="U12" s="325"/>
      <c r="V12" s="435"/>
      <c r="W12" s="412"/>
      <c r="X12" s="642"/>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9">
        <f t="shared" si="8"/>
        <v>0</v>
      </c>
      <c r="BC12" s="1">
        <f t="shared" si="24"/>
        <v>0</v>
      </c>
      <c r="BD12" s="1">
        <f t="shared" si="9"/>
        <v>0</v>
      </c>
      <c r="BE12" s="1">
        <f t="shared" si="10"/>
        <v>0</v>
      </c>
      <c r="BF12" s="1">
        <f t="shared" si="11"/>
        <v>0</v>
      </c>
      <c r="BG12" s="210" t="str">
        <f>IF(AND(C12="Skema 1",B12="ma"),Skemaoplysninger!$E$30,"")</f>
        <v/>
      </c>
      <c r="BH12" s="210" t="str">
        <f>IF(AND(C12="Skema 1",B12="ti"),Skemaoplysninger!$G$30,"")</f>
        <v/>
      </c>
      <c r="BI12" s="210" t="str">
        <f>IF(AND(C12="Skema 1",B12="on"),Skemaoplysninger!$I$30,"")</f>
        <v/>
      </c>
      <c r="BJ12" s="210" t="str">
        <f>IF(AND(C12="Skema 1",B12="to"),Skemaoplysninger!$K$30,"")</f>
        <v/>
      </c>
      <c r="BK12" s="210" t="str">
        <f>IF(AND(C12="Skema 1",B12="fr"),Skemaoplysninger!$M$30,"")</f>
        <v/>
      </c>
      <c r="BL12" s="210" t="str">
        <f>IF(AND(C12="Skema 2",B12="ma"),Skemaoplysninger!$S$30,"")</f>
        <v/>
      </c>
      <c r="BM12" s="210" t="str">
        <f>IF(AND(C12="Skema 2",B12="ti"),Skemaoplysninger!$U$30,"")</f>
        <v/>
      </c>
      <c r="BN12" s="210" t="str">
        <f>IF(AND(C12="Skema 2",B12="on"),Skemaoplysninger!$W$30,"")</f>
        <v/>
      </c>
      <c r="BO12" s="210" t="str">
        <f>IF(AND(C12="Skema 2",B12="to"),Skemaoplysninger!$Y$30,"")</f>
        <v/>
      </c>
      <c r="BP12" s="210" t="str">
        <f>IF(AND(C12="Skema 2",B12="fr"),Skemaoplysninger!$AA$30,"")</f>
        <v/>
      </c>
      <c r="BQ12" s="210" t="str">
        <f>IF(AND(C12="Skema 3",B12="ma"),Skemaoplysninger!$AG$30,"")</f>
        <v/>
      </c>
      <c r="BR12" s="210" t="str">
        <f>IF(AND(C12="Skema 3",B12="ti"),Skemaoplysninger!$AI$30,"")</f>
        <v/>
      </c>
      <c r="BS12" s="210" t="str">
        <f>IF(AND(C12="Skema 3",B12="on"),Skemaoplysninger!$AK$30,"")</f>
        <v/>
      </c>
      <c r="BT12" s="210" t="str">
        <f>IF(AND(C12="Skema 3",B12="to"),Skemaoplysninger!$AM$30,"")</f>
        <v/>
      </c>
      <c r="BU12" s="210" t="str">
        <f>IF(AND(C12="Skema 3",B12="fr"),Skemaoplysninger!$AO$30,"")</f>
        <v/>
      </c>
      <c r="BV12" s="210" t="str">
        <f>IF(AND(C12="Skema 4",B12="ma"),Skemaoplysninger!$AU$30,"")</f>
        <v/>
      </c>
      <c r="BW12" s="210" t="str">
        <f>IF(AND(C12="Skema 4",B12="ti"),Skemaoplysninger!$AW$30,"")</f>
        <v/>
      </c>
      <c r="BX12" s="210" t="str">
        <f>IF(AND(C12="Skema 4",B12="on"),Skemaoplysninger!$AY$30,"")</f>
        <v/>
      </c>
      <c r="BY12" s="210" t="str">
        <f>IF(AND(C12="Skema 4",B12="to"),Skemaoplysninger!$BA$30,"")</f>
        <v/>
      </c>
      <c r="BZ12" s="210" t="str">
        <f>IF(AND(C12="Skema 4",B12="fr"),Skemaoplysninger!$BC$30,"")</f>
        <v/>
      </c>
      <c r="CA12" s="1">
        <f t="shared" si="25"/>
        <v>0</v>
      </c>
      <c r="CB12" s="1">
        <f t="shared" si="12"/>
        <v>0</v>
      </c>
      <c r="CC12" s="1">
        <f t="shared" si="13"/>
        <v>0</v>
      </c>
      <c r="CD12" s="210" t="str">
        <f>IF(AND(C12="Skema 1",B12="ma"),Skemaoplysninger!$E$31,"")</f>
        <v/>
      </c>
      <c r="CE12" s="210" t="str">
        <f>IF(AND(C12="Skema 1",B12="ti"),Skemaoplysninger!$G$31,"")</f>
        <v/>
      </c>
      <c r="CF12" s="210" t="str">
        <f>IF(AND(C12="Skema 1",B12="on"),Skemaoplysninger!$I$31,"")</f>
        <v/>
      </c>
      <c r="CG12" s="210" t="str">
        <f>IF(AND(C12="Skema 1",B12="to"),Skemaoplysninger!$K$31,"")</f>
        <v/>
      </c>
      <c r="CH12" s="210" t="str">
        <f>IF(AND(C12="Skema 1",B12="fr"),Skemaoplysninger!$M$31,"")</f>
        <v/>
      </c>
      <c r="CI12" s="210" t="str">
        <f>IF(AND(C12="Skema 2",B12="ma"),Skemaoplysninger!$S$31,"")</f>
        <v/>
      </c>
      <c r="CJ12" s="210" t="str">
        <f>IF(AND(C12="Skema 2",B12="ti"),Skemaoplysninger!$U$31,"")</f>
        <v/>
      </c>
      <c r="CK12" s="210" t="str">
        <f>IF(AND(C12="Skema 2",B12="on"),Skemaoplysninger!$W$31,"")</f>
        <v/>
      </c>
      <c r="CL12" s="210" t="str">
        <f>IF(AND(C12="Skema 2",B12="to"),Skemaoplysninger!$Y$31,"")</f>
        <v/>
      </c>
      <c r="CM12" s="210" t="str">
        <f>IF(AND(C12="Skema 2",B12="fr"),Skemaoplysninger!$AA$31,"")</f>
        <v/>
      </c>
      <c r="CN12" s="210" t="str">
        <f>IF(AND(C12="Skema 3",B12="ma"),Skemaoplysninger!$AG$31,"")</f>
        <v/>
      </c>
      <c r="CO12" s="210" t="str">
        <f>IF(AND(C12="Skema 3",B12="ti"),Skemaoplysninger!$AI$31,"")</f>
        <v/>
      </c>
      <c r="CP12" s="210" t="str">
        <f>IF(AND(C12="Skema 3",B12="on"),Skemaoplysninger!$AK$31,"")</f>
        <v/>
      </c>
      <c r="CQ12" s="210" t="str">
        <f>IF(AND(C12="Skema 3",B12="to"),Skemaoplysninger!$AM$31,"")</f>
        <v/>
      </c>
      <c r="CR12" s="210" t="str">
        <f>IF(AND(C12="Skema 3",B12="fr"),Skemaoplysninger!$AO$31,"")</f>
        <v/>
      </c>
      <c r="CS12" s="210" t="str">
        <f>IF(AND(C12="Skema 4",B12="ma"),Skemaoplysninger!$AU$31,"")</f>
        <v/>
      </c>
      <c r="CT12" s="210" t="str">
        <f>IF(AND(C12="Skema 4",B12="ti"),Skemaoplysninger!$AW$31,"")</f>
        <v/>
      </c>
      <c r="CU12" s="210" t="str">
        <f>IF(AND(C12="Skema 4",B12="on"),Skemaoplysninger!$AY$31,"")</f>
        <v/>
      </c>
      <c r="CV12" s="210" t="str">
        <f>IF(AND(C12="Skema 4",B12="to"),Skemaoplysninger!$BA$31,"")</f>
        <v/>
      </c>
      <c r="CW12" s="210" t="str">
        <f>IF(AND(C12="Skema 4",B12="fr"),Skemaoplysninger!$BC$31,"")</f>
        <v/>
      </c>
      <c r="CX12" s="249">
        <f>IF(Stamoplysninger!$H$29="NEJ",SUM(CD12:CW12)*24+CB12+CC12,0)</f>
        <v>0</v>
      </c>
      <c r="CY12" s="249">
        <f>IF(C12="Skema 1",Stamoplysninger!$H$30/200,0)</f>
        <v>0</v>
      </c>
      <c r="CZ12" s="249">
        <f>IF(C12="Skema 2",Stamoplysninger!$H$30/200,0)</f>
        <v>0</v>
      </c>
      <c r="DA12" s="249">
        <f>IF(C12="Skema 3",Stamoplysninger!$H$30/200,0)</f>
        <v>0</v>
      </c>
      <c r="DB12" s="249">
        <f>IF(C12="Skema 4",Stamoplysninger!$H$30/200,0)</f>
        <v>0</v>
      </c>
      <c r="DC12" s="249">
        <f>IF(C12="fagdag",Stamoplysninger!$H$30/200,0)</f>
        <v>0</v>
      </c>
      <c r="DD12" s="249">
        <f>IF(C12="emnedag",Stamoplysninger!$H$30/200,0)</f>
        <v>0</v>
      </c>
      <c r="DE12" s="249">
        <f>IF(C12="lejrskole",Stamoplysninger!$H$30/200,0)</f>
        <v>0</v>
      </c>
      <c r="DF12" s="249">
        <f>IF(C12="ekskursion",Stamoplysninger!$H$30/200,0)</f>
        <v>0</v>
      </c>
      <c r="DG12" s="249">
        <f t="shared" si="26"/>
        <v>0</v>
      </c>
      <c r="DH12" t="str">
        <f t="shared" si="27"/>
        <v/>
      </c>
      <c r="DI12">
        <f t="shared" si="28"/>
        <v>0</v>
      </c>
      <c r="DJ12">
        <f>IF(E12="",H12,"")</f>
        <v>0</v>
      </c>
      <c r="DK12" t="str">
        <f t="shared" si="14"/>
        <v/>
      </c>
      <c r="DL12" t="str">
        <f t="shared" si="14"/>
        <v/>
      </c>
      <c r="DM12" t="str">
        <f t="shared" si="14"/>
        <v/>
      </c>
      <c r="DN12" t="str">
        <f t="shared" si="30"/>
        <v/>
      </c>
      <c r="DO12" s="652">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71">
        <f>IF(AND(Stamoplysninger!$B$22="Ulempetillæg udbetales med 25% af nettotimelønnen.",C12="ikke relevant"),(R12)/4,0)</f>
        <v>0</v>
      </c>
      <c r="DT12" s="671">
        <f>IF(AND(AND(Stamoplysninger!$B$22="Ulempetillæg udbetales med 25% af nettotimelønnen.",I12="X",C12="Ikke relevant")),K12/4,0)</f>
        <v>0</v>
      </c>
      <c r="DU12" s="671">
        <f>IF(AND(AND(Stamoplysninger!$B$22="Ulempetillæg udbetales med 25% af nettotimelønnen.",C12="ikke relevant",U12="X")),(X12/4),0)</f>
        <v>0</v>
      </c>
      <c r="DV12" s="672">
        <f>IF(AND(AND(AND(Stamoplysninger!$B$22="Ulempetillæg udbetales med 25% af nettotimelønnen.",I12="X",C12="Ikke relevant",S12="X"))),V12/4,0)</f>
        <v>0</v>
      </c>
      <c r="DW12" s="652"/>
      <c r="DZ12" s="671"/>
      <c r="EA12" s="671"/>
      <c r="EB12" s="672"/>
      <c r="EC12" s="652">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71">
        <f>IF(AND(Stamoplysninger!$B$22="Ulempetillæg afspadseres med 25%(Kræver en aftale imellem ledelsen og den ansatte)",C12="ikke relevant"),(R12)/4,0)</f>
        <v>0</v>
      </c>
      <c r="EH12" s="671">
        <f>IF(AND(AND(Stamoplysninger!$B$22="Ulempetillæg afspadseres med 25%(Kræver en aftale imellem ledelsen og den ansatte)",I12="X",C12="Ikke relevant")),K12/4,0)</f>
        <v>0</v>
      </c>
      <c r="EI12" s="671">
        <f>IF(AND(AND(Stamoplysninger!$B$22="Ulempetillæg afspadseres med 25%(Kræver en aftale imellem ledelsen og den ansatte)",U12="X",C12="Ikke relevant")),X12/4,0)</f>
        <v>0</v>
      </c>
      <c r="EJ12" s="671">
        <f>IF(AND(AND(AND(Stamoplysninger!$B$22="Ulempetillæg afspadseres med 25%(Kræver en aftale imellem ledelsen og den ansatte)",I12="X",C12="Ikke relevant",S12="X"))),V12/4,0)</f>
        <v>0</v>
      </c>
      <c r="EK12" s="283">
        <f>IF(AND(Stamoplysninger!$B$26="Weekendtimer og weekendtillæg afspadseres.",I12="X"),K12*1.5,0)</f>
        <v>0</v>
      </c>
      <c r="EL12" s="251">
        <f>IF(AND(AND(Stamoplysninger!$B$26="Weekendtimer og weekendtillæg afspadseres.",I12="X",S12="X")),V12*1.5,0)</f>
        <v>0</v>
      </c>
      <c r="EM12" s="674">
        <f>IF(AND(AND(Stamoplysninger!$B$26="Weekendtimer og weekendtillæg afspadseres.",I12="X",C12="ikke relevant")),K12*1.5,0)</f>
        <v>0</v>
      </c>
      <c r="EN12" s="675">
        <f>IF(AND(AND(AND(Stamoplysninger!$B$26="Weekendtimer og weekendtillæg afspadseres.",I12="X",C12="ikke relevant",S12="X"))),(V12*1.5),0)</f>
        <v>0</v>
      </c>
      <c r="EO12" s="283">
        <f>IF(AND(Stamoplysninger!$B$26="Weekendtimer og weekendtillæg udbetales.",I12="X"),K12*1.5,0)</f>
        <v>0</v>
      </c>
      <c r="EP12" s="251">
        <f>IF(AND(AND(Stamoplysninger!$B$26="Weekendtimer og weekendtillæg udbetales.",I12="X",S12="X")),V12*1.5,0)</f>
        <v>0</v>
      </c>
      <c r="EQ12" s="674">
        <f>IF(AND(AND(Stamoplysninger!$B$26="Weekendtimer og weekendtillæg udbetales.",I12="X",C12="ikke relevant")),K12*1.5,0)</f>
        <v>0</v>
      </c>
      <c r="ER12" s="675">
        <f>IF(AND(AND(AND(Stamoplysninger!$B$26="Weekendtimer og weekendtillæg udbetales.",I12="X",C12="ikke relevant",S12="X"))),(V12*1.5),0)</f>
        <v>0</v>
      </c>
      <c r="ES12" s="283">
        <f>IF(AND(Stamoplysninger!$B$26="Der er indgået lokalaftale omkring weekendtimer.(Kræver aftale med TR/FSL) Weekendtillæg afspadseres.",I12="X"),K12*0.5,0)</f>
        <v>0</v>
      </c>
      <c r="ET12" s="251">
        <f>IF(AND(AND(Stamoplysninger!$B$26="Der er indgået lokalaftale omkring weekendtimer.(Kræver aftale med TR/FSL) Weekendtillæg afspadseres.",I12="X",S12="X")),V12*0.5,0)</f>
        <v>0</v>
      </c>
      <c r="EU12" s="674">
        <f>IF(AND(AND(Stamoplysninger!$B$26="Der er indgået lokalaftale omkring weekendtimer.(Kræver aftale med TR/FSL) Weekendtillæg afspadseres.",I12="X",C12="ikke relevant")),K12*0.5,0)</f>
        <v>0</v>
      </c>
      <c r="EV12" s="675">
        <f>IF(AND(AND(AND(Stamoplysninger!$B$26="Der er indgået lokalaftale omkring weekendtimer.(Kræver aftale med TR/FSL) Weekendtillæg afspadseres.",I12="X",C12="ikke relevant",S12="X"))),(V12*0.5),0)</f>
        <v>0</v>
      </c>
      <c r="EW12" s="283">
        <f>IF(AND(Stamoplysninger!$B$26="Der er indgået lokalaftale omkring weekendtimer(Kræver aftale med TR/FSL). Weekendtillæg udbetales.",I12="X"),K12*0.5,0)</f>
        <v>0</v>
      </c>
      <c r="EX12" s="251">
        <f>IF(AND(AND(Stamoplysninger!$B$26="Der er indgået lokalaftale omkring weekendtimer(Kræver aftale med TR/FSL). Weekendtillæg udbetales.",I12="X",S12="X")),V12*0.5,0)</f>
        <v>0</v>
      </c>
      <c r="EY12" s="674">
        <f>IF(AND(AND(Stamoplysninger!$B$26="Der er indgået lokalaftale omkring weekendtimer(Kræver aftale med TR/FSL). Weekendtillæg udbetales.",I12="X",C12="ikke relevant")),K12*0.5,0)</f>
        <v>0</v>
      </c>
      <c r="EZ12" s="675">
        <f>IF(AND(AND(AND(Stamoplysninger!$B$26="Der er indgået lokalaftale omkring weekendtimer(Kræver aftale med TR/FSL). Weekendtillæg udbetales.",I12="X",C12="ikke relevant",S12="X"))),(V12*0.5),0)</f>
        <v>0</v>
      </c>
      <c r="FA12" s="283">
        <f>IF(AND(Stamoplysninger!$B$26="Der er indgået lokalaftale omkring weekendtillæg(Kræver aftale med TR/FSL). Weekendtimerne afspadseres.",I12="X"),K12,0)</f>
        <v>0</v>
      </c>
      <c r="FB12" s="251">
        <f>IF(AND(AND(Stamoplysninger!$B$26="Der er indgået lokalaftale omkring weekendtillæg(Kræver aftale med TR/FSL). Weekendtimerne afspadseres.",I12="X",S12="X")),V12,0)</f>
        <v>0</v>
      </c>
      <c r="FC12" s="674">
        <f>IF(AND(AND(Stamoplysninger!$B$26="Der er indgået lokalaftale omkring weekendtillæg(Kræver aftale med TR/FSL). Weekendtimerne afspadseres..",I12="X",C12="ikke relevant")),K12,0)</f>
        <v>0</v>
      </c>
      <c r="FD12" s="675">
        <f>IF(AND(AND(AND(Stamoplysninger!$B$26="Der er indgået lokalaftale omkring weekendtillæg(Kræver aftale med TR/FSL). Weekendtimerne afspadseres.",I12="X",C12="ikke relevant",S12="X"))),(V12),0)</f>
        <v>0</v>
      </c>
      <c r="FE12" s="283">
        <f>IF(AND(Stamoplysninger!$B$26="Der er indgået lokalaftale omkring weekendtillæg(Kræver aftale med TR/FSL). Weekendtimerne udbetales.",I12="X"),K12,0)</f>
        <v>0</v>
      </c>
      <c r="FF12" s="251">
        <f>IF(AND(AND(Stamoplysninger!$B$26="Der er indgået lokalaftale omkring weekendtillæg(Kræver aftale med TR/FSL). Weekendtimerne udbetales.",I12="X",S12="X")),V12,0)</f>
        <v>0</v>
      </c>
      <c r="FG12" s="674">
        <f>IF(AND(AND(Stamoplysninger!$B$26="Der er indgået lokalaftale omkring weekendtillæg(Kræver aftale med TR/FSL). Weekendtimerne udbetales.",I12="X",C12="ikke relevant")),K12,0)</f>
        <v>0</v>
      </c>
      <c r="FH12" s="675">
        <f>IF(AND(AND(AND(Stamoplysninger!$B$26="Der er indgået lokalaftale omkring weekendtillæg(Kræver aftale med TR/FSL). Weekendtimerne udbetales.",I12="X",C12="ikke relevant",S12="X"))),(V12),0)</f>
        <v>0</v>
      </c>
      <c r="FI12" s="283">
        <f>IF(AND(Stamoplysninger!$B$26="Weekendtimer og weekendtillæg afspadseres.",I12="X"),K12,0)</f>
        <v>0</v>
      </c>
      <c r="FJ12" s="251">
        <f>IF(AND(Stamoplysninger!$B$26="Weekendtimer og weekendtillæg afspadseres.",Y12="X"),(AA12+AL12)/2,0)</f>
        <v>0</v>
      </c>
      <c r="FK12" s="674">
        <f>IF(AND(AND(Stamoplysninger!$B$26="Weekendtimer og weekendtillæg afspadseres.",I12="X",C12="ikke relevant")),K12,0)</f>
        <v>0</v>
      </c>
      <c r="FL12" s="675">
        <f>IF(AND(AND(Stamoplysninger!$B$26="Weekendtimer og weekendtillæg afspadseres.",Y12="X",S12="ikke relevant")),(AA12+AL12)/2,0)</f>
        <v>0</v>
      </c>
      <c r="FM12" s="283">
        <f>IF(AND(Stamoplysninger!$B$26="Der er indgået lokalaftale omkring weekendtillæg(Kræver aftale med TR/FSL). Weekendtimerne afspadseres.",I12="X"),K12,0)</f>
        <v>0</v>
      </c>
      <c r="FN12" s="674">
        <f>IF(AND(AND(Stamoplysninger!$B$26="Der er indgået lokalaftale omkring weekendtillæg(Kræver aftale med TR/FSL). Weekendtimerne afspadseres.",I12="X",C12="ikke relevant")),K12,0)</f>
        <v>0</v>
      </c>
      <c r="FO12" s="283">
        <f>IF(AND(Stamoplysninger!$B$26="Weekendtimer og weekendtillæg udbetales.",I12="X"),K12,0)</f>
        <v>0</v>
      </c>
      <c r="FP12" s="251">
        <f>IF(AND(Stamoplysninger!$B$26="Weekendtimer og weekendtillæg udbetales.",AA12="X"),(AC12+AN12)/2,0)</f>
        <v>0</v>
      </c>
      <c r="FQ12" s="674">
        <f>IF(AND(AND(Stamoplysninger!$B$26="Weekendtimer og weekendtillæg udbetales.",I12="X",C12="ikke relevant")),K12,0)</f>
        <v>0</v>
      </c>
      <c r="FR12" s="688">
        <f>IF(AND(AND(Stamoplysninger!$B$26="Weekendtimer og weekendtillæg udbetales.",AA12="X",U12="ikke relevant")),(AC12+AN12)/2,0)</f>
        <v>0</v>
      </c>
      <c r="FS12" s="283">
        <f t="shared" si="15"/>
        <v>0</v>
      </c>
      <c r="FT12" s="658">
        <f t="shared" si="16"/>
        <v>0</v>
      </c>
      <c r="FU12">
        <f t="shared" si="17"/>
        <v>0</v>
      </c>
      <c r="FV12" s="283">
        <f>IF(AND(Stamoplysninger!$B$26="Der er indgået lokalaftale omkring weekendtimer.(Kræver aftale med TR/FSL) Weekendtillæg afspadseres.",I12="X"),K12,0)</f>
        <v>0</v>
      </c>
      <c r="FW12" s="674">
        <f>IF(AND(AND(Stamoplysninger!$B$26="Der er indgået lokalaftale omkring weekendtimer.(Kræver aftale med TR/FSL) Weekendtillæg afspadseres.",I12="X",C12="ikke relevant")),K12,0)</f>
        <v>0</v>
      </c>
      <c r="FX12" s="283">
        <f>IF(AND(Stamoplysninger!$B$26="Der er indgået lokalaftale omkring weekendtimer(Kræver aftale med TR/FSL). Weekendtillæg udbetales.",I12="X"),K12,0)</f>
        <v>0</v>
      </c>
      <c r="FY12" s="674">
        <f>IF(AND(AND(Stamoplysninger!$B$26="Der er indgået lokalaftale omkring weekendtimer(Kræver aftale med TR/FSL). Weekendtillæg udbetales.",I12="X",C12="ikke relevant")),K12,0)</f>
        <v>0</v>
      </c>
      <c r="FZ12" s="283">
        <f>IF(AND(Stamoplysninger!$B$26="Der er indgået lokalaftale omkring weekendtillæg(Kræver aftale med TR/FSL). Weekendtimerne udbetales.",I12="X"),K12,0)</f>
        <v>0</v>
      </c>
      <c r="GA12" s="674">
        <f>IF(AND(AND(Stamoplysninger!$B$26="Der er indgået lokalaftale omkring weekendtillæg(Kræver aftale med TR/FSL). Weekendtimerne udbetales.",I12="X",C12="ikke relevant")),K12,0)</f>
        <v>0</v>
      </c>
      <c r="GB12" s="283">
        <f>IF(AND(Stamoplysninger!$B$26="Der er indgået lokalaftale omkring weekendtimer og weekendtillæg.(Kræver aftale med TR/FSL).",I12="X"),K12,0)</f>
        <v>0</v>
      </c>
      <c r="GC12" s="674">
        <f>IF(AND(AND(Stamoplysninger!$B$26="Der er indgået lokalaftale omkring weekendtimer og weekendtillæg.(Kræver aftale med TR/FSL).",I12="X",C12="ikke relevant")),K12,0)</f>
        <v>0</v>
      </c>
    </row>
    <row r="13" spans="1:185">
      <c r="A13" s="245">
        <f t="shared" si="18"/>
        <v>5</v>
      </c>
      <c r="B13" s="128" t="str">
        <f t="shared" si="0"/>
        <v>ma</v>
      </c>
      <c r="C13" s="129" t="s">
        <v>207</v>
      </c>
      <c r="D13" s="130">
        <f t="shared" si="1"/>
        <v>18.714285714285715</v>
      </c>
      <c r="E13" s="917"/>
      <c r="F13" s="918"/>
      <c r="G13" s="919"/>
      <c r="H13" s="298"/>
      <c r="I13" s="618"/>
      <c r="J13" s="413"/>
      <c r="K13" s="380"/>
      <c r="L13" s="380"/>
      <c r="M13" s="380"/>
      <c r="N13" s="318">
        <f t="shared" si="19"/>
        <v>7.75</v>
      </c>
      <c r="O13" s="318">
        <f t="shared" si="20"/>
        <v>3.4999999999999996</v>
      </c>
      <c r="P13" s="318">
        <f>IF(Stamoplysninger!$H$29="JA",Maj!DG13,CX13)</f>
        <v>1</v>
      </c>
      <c r="Q13" s="318">
        <f t="shared" si="21"/>
        <v>3.25</v>
      </c>
      <c r="R13" s="319"/>
      <c r="S13" s="324"/>
      <c r="T13" s="325"/>
      <c r="U13" s="325"/>
      <c r="V13" s="435"/>
      <c r="W13" s="412"/>
      <c r="X13" s="642"/>
      <c r="Y13">
        <f t="shared" si="22"/>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f>IF(AND(C13="Skema 2",B13="ma"),Arbejdstidsoversigt!$E$81,"")</f>
        <v>7.75</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7.75</v>
      </c>
      <c r="BB13" s="229">
        <f t="shared" si="8"/>
        <v>0</v>
      </c>
      <c r="BC13" s="1">
        <f t="shared" si="24"/>
        <v>0</v>
      </c>
      <c r="BD13" s="1">
        <f t="shared" si="9"/>
        <v>0</v>
      </c>
      <c r="BE13" s="1">
        <f t="shared" si="10"/>
        <v>0</v>
      </c>
      <c r="BF13" s="1">
        <f t="shared" si="11"/>
        <v>0</v>
      </c>
      <c r="BG13" s="210" t="str">
        <f>IF(AND(C13="Skema 1",B13="ma"),Skemaoplysninger!$E$30,"")</f>
        <v/>
      </c>
      <c r="BH13" s="210" t="str">
        <f>IF(AND(C13="Skema 1",B13="ti"),Skemaoplysninger!$G$30,"")</f>
        <v/>
      </c>
      <c r="BI13" s="210" t="str">
        <f>IF(AND(C13="Skema 1",B13="on"),Skemaoplysninger!$I$30,"")</f>
        <v/>
      </c>
      <c r="BJ13" s="210" t="str">
        <f>IF(AND(C13="Skema 1",B13="to"),Skemaoplysninger!$K$30,"")</f>
        <v/>
      </c>
      <c r="BK13" s="210" t="str">
        <f>IF(AND(C13="Skema 1",B13="fr"),Skemaoplysninger!$M$30,"")</f>
        <v/>
      </c>
      <c r="BL13" s="210">
        <f>IF(AND(C13="Skema 2",B13="ma"),Skemaoplysninger!$S$30,"")</f>
        <v>0.14583333333333331</v>
      </c>
      <c r="BM13" s="210" t="str">
        <f>IF(AND(C13="Skema 2",B13="ti"),Skemaoplysninger!$U$30,"")</f>
        <v/>
      </c>
      <c r="BN13" s="210" t="str">
        <f>IF(AND(C13="Skema 2",B13="on"),Skemaoplysninger!$W$30,"")</f>
        <v/>
      </c>
      <c r="BO13" s="210" t="str">
        <f>IF(AND(C13="Skema 2",B13="to"),Skemaoplysninger!$Y$30,"")</f>
        <v/>
      </c>
      <c r="BP13" s="210" t="str">
        <f>IF(AND(C13="Skema 2",B13="fr"),Skemaoplysninger!$AA$30,"")</f>
        <v/>
      </c>
      <c r="BQ13" s="210" t="str">
        <f>IF(AND(C13="Skema 3",B13="ma"),Skemaoplysninger!$AG$30,"")</f>
        <v/>
      </c>
      <c r="BR13" s="210" t="str">
        <f>IF(AND(C13="Skema 3",B13="ti"),Skemaoplysninger!$AI$30,"")</f>
        <v/>
      </c>
      <c r="BS13" s="210" t="str">
        <f>IF(AND(C13="Skema 3",B13="on"),Skemaoplysninger!$AK$30,"")</f>
        <v/>
      </c>
      <c r="BT13" s="210" t="str">
        <f>IF(AND(C13="Skema 3",B13="to"),Skemaoplysninger!$AM$30,"")</f>
        <v/>
      </c>
      <c r="BU13" s="210" t="str">
        <f>IF(AND(C13="Skema 3",B13="fr"),Skemaoplysninger!$AO$30,"")</f>
        <v/>
      </c>
      <c r="BV13" s="210" t="str">
        <f>IF(AND(C13="Skema 4",B13="ma"),Skemaoplysninger!$AU$30,"")</f>
        <v/>
      </c>
      <c r="BW13" s="210" t="str">
        <f>IF(AND(C13="Skema 4",B13="ti"),Skemaoplysninger!$AW$30,"")</f>
        <v/>
      </c>
      <c r="BX13" s="210" t="str">
        <f>IF(AND(C13="Skema 4",B13="on"),Skemaoplysninger!$AY$30,"")</f>
        <v/>
      </c>
      <c r="BY13" s="210" t="str">
        <f>IF(AND(C13="Skema 4",B13="to"),Skemaoplysninger!$BA$30,"")</f>
        <v/>
      </c>
      <c r="BZ13" s="210" t="str">
        <f>IF(AND(C13="Skema 4",B13="fr"),Skemaoplysninger!$BC$30,"")</f>
        <v/>
      </c>
      <c r="CA13" s="1">
        <f t="shared" si="25"/>
        <v>3.4999999999999996</v>
      </c>
      <c r="CB13" s="1">
        <f t="shared" si="12"/>
        <v>0</v>
      </c>
      <c r="CC13" s="1">
        <f t="shared" si="13"/>
        <v>0</v>
      </c>
      <c r="CD13" s="210" t="str">
        <f>IF(AND(C13="Skema 1",B13="ma"),Skemaoplysninger!$E$31,"")</f>
        <v/>
      </c>
      <c r="CE13" s="210" t="str">
        <f>IF(AND(C13="Skema 1",B13="ti"),Skemaoplysninger!$G$31,"")</f>
        <v/>
      </c>
      <c r="CF13" s="210" t="str">
        <f>IF(AND(C13="Skema 1",B13="on"),Skemaoplysninger!$I$31,"")</f>
        <v/>
      </c>
      <c r="CG13" s="210" t="str">
        <f>IF(AND(C13="Skema 1",B13="to"),Skemaoplysninger!$K$31,"")</f>
        <v/>
      </c>
      <c r="CH13" s="210" t="str">
        <f>IF(AND(C13="Skema 1",B13="fr"),Skemaoplysninger!$M$31,"")</f>
        <v/>
      </c>
      <c r="CI13" s="210">
        <f>IF(AND(C13="Skema 2",B13="ma"),Skemaoplysninger!$S$31,"")</f>
        <v>4.1666666666666671E-2</v>
      </c>
      <c r="CJ13" s="210" t="str">
        <f>IF(AND(C13="Skema 2",B13="ti"),Skemaoplysninger!$U$31,"")</f>
        <v/>
      </c>
      <c r="CK13" s="210" t="str">
        <f>IF(AND(C13="Skema 2",B13="on"),Skemaoplysninger!$W$31,"")</f>
        <v/>
      </c>
      <c r="CL13" s="210" t="str">
        <f>IF(AND(C13="Skema 2",B13="to"),Skemaoplysninger!$Y$31,"")</f>
        <v/>
      </c>
      <c r="CM13" s="210" t="str">
        <f>IF(AND(C13="Skema 2",B13="fr"),Skemaoplysninger!$AA$31,"")</f>
        <v/>
      </c>
      <c r="CN13" s="210" t="str">
        <f>IF(AND(C13="Skema 3",B13="ma"),Skemaoplysninger!$AG$31,"")</f>
        <v/>
      </c>
      <c r="CO13" s="210" t="str">
        <f>IF(AND(C13="Skema 3",B13="ti"),Skemaoplysninger!$AI$31,"")</f>
        <v/>
      </c>
      <c r="CP13" s="210" t="str">
        <f>IF(AND(C13="Skema 3",B13="on"),Skemaoplysninger!$AK$31,"")</f>
        <v/>
      </c>
      <c r="CQ13" s="210" t="str">
        <f>IF(AND(C13="Skema 3",B13="to"),Skemaoplysninger!$AM$31,"")</f>
        <v/>
      </c>
      <c r="CR13" s="210" t="str">
        <f>IF(AND(C13="Skema 3",B13="fr"),Skemaoplysninger!$AO$31,"")</f>
        <v/>
      </c>
      <c r="CS13" s="210" t="str">
        <f>IF(AND(C13="Skema 4",B13="ma"),Skemaoplysninger!$AU$31,"")</f>
        <v/>
      </c>
      <c r="CT13" s="210" t="str">
        <f>IF(AND(C13="Skema 4",B13="ti"),Skemaoplysninger!$AW$31,"")</f>
        <v/>
      </c>
      <c r="CU13" s="210" t="str">
        <f>IF(AND(C13="Skema 4",B13="on"),Skemaoplysninger!$AY$31,"")</f>
        <v/>
      </c>
      <c r="CV13" s="210" t="str">
        <f>IF(AND(C13="Skema 4",B13="to"),Skemaoplysninger!$BA$31,"")</f>
        <v/>
      </c>
      <c r="CW13" s="210" t="str">
        <f>IF(AND(C13="Skema 4",B13="fr"),Skemaoplysninger!$BC$31,"")</f>
        <v/>
      </c>
      <c r="CX13" s="249">
        <f>IF(Stamoplysninger!$H$29="NEJ",SUM(CD13:CW13)*24+CB13+CC13,0)</f>
        <v>1</v>
      </c>
      <c r="CY13" s="249">
        <f>IF(C13="Skema 1",Stamoplysninger!$H$30/200,0)</f>
        <v>0</v>
      </c>
      <c r="CZ13" s="249">
        <f>IF(C13="Skema 2",Stamoplysninger!$H$30/200,0)</f>
        <v>0</v>
      </c>
      <c r="DA13" s="249">
        <f>IF(C13="Skema 3",Stamoplysninger!$H$30/200,0)</f>
        <v>0</v>
      </c>
      <c r="DB13" s="249">
        <f>IF(C13="Skema 4",Stamoplysninger!$H$30/200,0)</f>
        <v>0</v>
      </c>
      <c r="DC13" s="249">
        <f>IF(C13="fagdag",Stamoplysninger!$H$30/200,0)</f>
        <v>0</v>
      </c>
      <c r="DD13" s="249">
        <f>IF(C13="emnedag",Stamoplysninger!$H$30/200,0)</f>
        <v>0</v>
      </c>
      <c r="DE13" s="249">
        <f>IF(C13="lejrskole",Stamoplysninger!$H$30/200,0)</f>
        <v>0</v>
      </c>
      <c r="DF13" s="249">
        <f>IF(C13="ekskursion",Stamoplysninger!$H$30/200,0)</f>
        <v>0</v>
      </c>
      <c r="DG13" s="249">
        <f t="shared" si="26"/>
        <v>0</v>
      </c>
      <c r="DH13" t="str">
        <f t="shared" si="27"/>
        <v/>
      </c>
      <c r="DI13">
        <f t="shared" si="28"/>
        <v>0</v>
      </c>
      <c r="DJ13">
        <f t="shared" si="29"/>
        <v>0</v>
      </c>
      <c r="DK13" t="str">
        <f t="shared" si="14"/>
        <v/>
      </c>
      <c r="DL13" t="str">
        <f t="shared" si="14"/>
        <v/>
      </c>
      <c r="DM13" t="str">
        <f t="shared" si="14"/>
        <v/>
      </c>
      <c r="DN13" t="str">
        <f t="shared" si="30"/>
        <v/>
      </c>
      <c r="DO13" s="652">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71">
        <f>IF(AND(Stamoplysninger!$B$22="Ulempetillæg udbetales med 25% af nettotimelønnen.",C13="ikke relevant"),(R13)/4,0)</f>
        <v>0</v>
      </c>
      <c r="DT13" s="671">
        <f>IF(AND(AND(Stamoplysninger!$B$22="Ulempetillæg udbetales med 25% af nettotimelønnen.",I13="X",C13="Ikke relevant")),K13/4,0)</f>
        <v>0</v>
      </c>
      <c r="DU13" s="671">
        <f>IF(AND(AND(Stamoplysninger!$B$22="Ulempetillæg udbetales med 25% af nettotimelønnen.",C13="ikke relevant",U13="X")),(X13/4),0)</f>
        <v>0</v>
      </c>
      <c r="DV13" s="672">
        <f>IF(AND(AND(AND(Stamoplysninger!$B$22="Ulempetillæg udbetales med 25% af nettotimelønnen.",I13="X",C13="Ikke relevant",S13="X"))),V13/4,0)</f>
        <v>0</v>
      </c>
      <c r="DW13" s="652"/>
      <c r="DZ13" s="671"/>
      <c r="EA13" s="671"/>
      <c r="EB13" s="672"/>
      <c r="EC13" s="652">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71">
        <f>IF(AND(Stamoplysninger!$B$22="Ulempetillæg afspadseres med 25%(Kræver en aftale imellem ledelsen og den ansatte)",C13="ikke relevant"),(R13)/4,0)</f>
        <v>0</v>
      </c>
      <c r="EH13" s="671">
        <f>IF(AND(AND(Stamoplysninger!$B$22="Ulempetillæg afspadseres med 25%(Kræver en aftale imellem ledelsen og den ansatte)",I13="X",C13="Ikke relevant")),K13/4,0)</f>
        <v>0</v>
      </c>
      <c r="EI13" s="671">
        <f>IF(AND(AND(Stamoplysninger!$B$22="Ulempetillæg afspadseres med 25%(Kræver en aftale imellem ledelsen og den ansatte)",U13="X",C13="Ikke relevant")),X13/4,0)</f>
        <v>0</v>
      </c>
      <c r="EJ13" s="671">
        <f>IF(AND(AND(AND(Stamoplysninger!$B$22="Ulempetillæg afspadseres med 25%(Kræver en aftale imellem ledelsen og den ansatte)",I13="X",C13="Ikke relevant",S13="X"))),V13/4,0)</f>
        <v>0</v>
      </c>
      <c r="EK13" s="283">
        <f>IF(AND(Stamoplysninger!$B$26="Weekendtimer og weekendtillæg afspadseres.",I13="X"),K13*1.5,0)</f>
        <v>0</v>
      </c>
      <c r="EL13" s="251">
        <f>IF(AND(AND(Stamoplysninger!$B$26="Weekendtimer og weekendtillæg afspadseres.",I13="X",S13="X")),V13*1.5,0)</f>
        <v>0</v>
      </c>
      <c r="EM13" s="674">
        <f>IF(AND(AND(Stamoplysninger!$B$26="Weekendtimer og weekendtillæg afspadseres.",I13="X",C13="ikke relevant")),K13*1.5,0)</f>
        <v>0</v>
      </c>
      <c r="EN13" s="675">
        <f>IF(AND(AND(AND(Stamoplysninger!$B$26="Weekendtimer og weekendtillæg afspadseres.",I13="X",C13="ikke relevant",S13="X"))),(V13*1.5),0)</f>
        <v>0</v>
      </c>
      <c r="EO13" s="283">
        <f>IF(AND(Stamoplysninger!$B$26="Weekendtimer og weekendtillæg udbetales.",I13="X"),K13*1.5,0)</f>
        <v>0</v>
      </c>
      <c r="EP13" s="251">
        <f>IF(AND(AND(Stamoplysninger!$B$26="Weekendtimer og weekendtillæg udbetales.",I13="X",S13="X")),V13*1.5,0)</f>
        <v>0</v>
      </c>
      <c r="EQ13" s="674">
        <f>IF(AND(AND(Stamoplysninger!$B$26="Weekendtimer og weekendtillæg udbetales.",I13="X",C13="ikke relevant")),K13*1.5,0)</f>
        <v>0</v>
      </c>
      <c r="ER13" s="675">
        <f>IF(AND(AND(AND(Stamoplysninger!$B$26="Weekendtimer og weekendtillæg udbetales.",I13="X",C13="ikke relevant",S13="X"))),(V13*1.5),0)</f>
        <v>0</v>
      </c>
      <c r="ES13" s="283">
        <f>IF(AND(Stamoplysninger!$B$26="Der er indgået lokalaftale omkring weekendtimer.(Kræver aftale med TR/FSL) Weekendtillæg afspadseres.",I13="X"),K13*0.5,0)</f>
        <v>0</v>
      </c>
      <c r="ET13" s="251">
        <f>IF(AND(AND(Stamoplysninger!$B$26="Der er indgået lokalaftale omkring weekendtimer.(Kræver aftale med TR/FSL) Weekendtillæg afspadseres.",I13="X",S13="X")),V13*0.5,0)</f>
        <v>0</v>
      </c>
      <c r="EU13" s="674">
        <f>IF(AND(AND(Stamoplysninger!$B$26="Der er indgået lokalaftale omkring weekendtimer.(Kræver aftale med TR/FSL) Weekendtillæg afspadseres.",I13="X",C13="ikke relevant")),K13*0.5,0)</f>
        <v>0</v>
      </c>
      <c r="EV13" s="675">
        <f>IF(AND(AND(AND(Stamoplysninger!$B$26="Der er indgået lokalaftale omkring weekendtimer.(Kræver aftale med TR/FSL) Weekendtillæg afspadseres.",I13="X",C13="ikke relevant",S13="X"))),(V13*0.5),0)</f>
        <v>0</v>
      </c>
      <c r="EW13" s="283">
        <f>IF(AND(Stamoplysninger!$B$26="Der er indgået lokalaftale omkring weekendtimer(Kræver aftale med TR/FSL). Weekendtillæg udbetales.",I13="X"),K13*0.5,0)</f>
        <v>0</v>
      </c>
      <c r="EX13" s="251">
        <f>IF(AND(AND(Stamoplysninger!$B$26="Der er indgået lokalaftale omkring weekendtimer(Kræver aftale med TR/FSL). Weekendtillæg udbetales.",I13="X",S13="X")),V13*0.5,0)</f>
        <v>0</v>
      </c>
      <c r="EY13" s="674">
        <f>IF(AND(AND(Stamoplysninger!$B$26="Der er indgået lokalaftale omkring weekendtimer(Kræver aftale med TR/FSL). Weekendtillæg udbetales.",I13="X",C13="ikke relevant")),K13*0.5,0)</f>
        <v>0</v>
      </c>
      <c r="EZ13" s="675">
        <f>IF(AND(AND(AND(Stamoplysninger!$B$26="Der er indgået lokalaftale omkring weekendtimer(Kræver aftale med TR/FSL). Weekendtillæg udbetales.",I13="X",C13="ikke relevant",S13="X"))),(V13*0.5),0)</f>
        <v>0</v>
      </c>
      <c r="FA13" s="283">
        <f>IF(AND(Stamoplysninger!$B$26="Der er indgået lokalaftale omkring weekendtillæg(Kræver aftale med TR/FSL). Weekendtimerne afspadseres.",I13="X"),K13,0)</f>
        <v>0</v>
      </c>
      <c r="FB13" s="251">
        <f>IF(AND(AND(Stamoplysninger!$B$26="Der er indgået lokalaftale omkring weekendtillæg(Kræver aftale med TR/FSL). Weekendtimerne afspadseres.",I13="X",S13="X")),V13,0)</f>
        <v>0</v>
      </c>
      <c r="FC13" s="674">
        <f>IF(AND(AND(Stamoplysninger!$B$26="Der er indgået lokalaftale omkring weekendtillæg(Kræver aftale med TR/FSL). Weekendtimerne afspadseres..",I13="X",C13="ikke relevant")),K13,0)</f>
        <v>0</v>
      </c>
      <c r="FD13" s="675">
        <f>IF(AND(AND(AND(Stamoplysninger!$B$26="Der er indgået lokalaftale omkring weekendtillæg(Kræver aftale med TR/FSL). Weekendtimerne afspadseres.",I13="X",C13="ikke relevant",S13="X"))),(V13),0)</f>
        <v>0</v>
      </c>
      <c r="FE13" s="283">
        <f>IF(AND(Stamoplysninger!$B$26="Der er indgået lokalaftale omkring weekendtillæg(Kræver aftale med TR/FSL). Weekendtimerne udbetales.",I13="X"),K13,0)</f>
        <v>0</v>
      </c>
      <c r="FF13" s="251">
        <f>IF(AND(AND(Stamoplysninger!$B$26="Der er indgået lokalaftale omkring weekendtillæg(Kræver aftale med TR/FSL). Weekendtimerne udbetales.",I13="X",S13="X")),V13,0)</f>
        <v>0</v>
      </c>
      <c r="FG13" s="674">
        <f>IF(AND(AND(Stamoplysninger!$B$26="Der er indgået lokalaftale omkring weekendtillæg(Kræver aftale med TR/FSL). Weekendtimerne udbetales.",I13="X",C13="ikke relevant")),K13,0)</f>
        <v>0</v>
      </c>
      <c r="FH13" s="675">
        <f>IF(AND(AND(AND(Stamoplysninger!$B$26="Der er indgået lokalaftale omkring weekendtillæg(Kræver aftale med TR/FSL). Weekendtimerne udbetales.",I13="X",C13="ikke relevant",S13="X"))),(V13),0)</f>
        <v>0</v>
      </c>
      <c r="FI13" s="283">
        <f>IF(AND(Stamoplysninger!$B$26="Weekendtimer og weekendtillæg afspadseres.",I13="X"),K13,0)</f>
        <v>0</v>
      </c>
      <c r="FJ13" s="251">
        <f>IF(AND(Stamoplysninger!$B$26="Weekendtimer og weekendtillæg afspadseres.",Y13="X"),(AA13+AL13)/2,0)</f>
        <v>0</v>
      </c>
      <c r="FK13" s="674">
        <f>IF(AND(AND(Stamoplysninger!$B$26="Weekendtimer og weekendtillæg afspadseres.",I13="X",C13="ikke relevant")),K13,0)</f>
        <v>0</v>
      </c>
      <c r="FL13" s="675">
        <f>IF(AND(AND(Stamoplysninger!$B$26="Weekendtimer og weekendtillæg afspadseres.",Y13="X",S13="ikke relevant")),(AA13+AL13)/2,0)</f>
        <v>0</v>
      </c>
      <c r="FM13" s="283">
        <f>IF(AND(Stamoplysninger!$B$26="Der er indgået lokalaftale omkring weekendtillæg(Kræver aftale med TR/FSL). Weekendtimerne afspadseres.",I13="X"),K13,0)</f>
        <v>0</v>
      </c>
      <c r="FN13" s="674">
        <f>IF(AND(AND(Stamoplysninger!$B$26="Der er indgået lokalaftale omkring weekendtillæg(Kræver aftale med TR/FSL). Weekendtimerne afspadseres.",I13="X",C13="ikke relevant")),K13,0)</f>
        <v>0</v>
      </c>
      <c r="FO13" s="283">
        <f>IF(AND(Stamoplysninger!$B$26="Weekendtimer og weekendtillæg udbetales.",I13="X"),K13,0)</f>
        <v>0</v>
      </c>
      <c r="FP13" s="251">
        <f>IF(AND(Stamoplysninger!$B$26="Weekendtimer og weekendtillæg udbetales.",AA13="X"),(AC13+AN13)/2,0)</f>
        <v>0</v>
      </c>
      <c r="FQ13" s="674">
        <f>IF(AND(AND(Stamoplysninger!$B$26="Weekendtimer og weekendtillæg udbetales.",I13="X",C13="ikke relevant")),K13,0)</f>
        <v>0</v>
      </c>
      <c r="FR13" s="688">
        <f>IF(AND(AND(Stamoplysninger!$B$26="Weekendtimer og weekendtillæg udbetales.",AA13="X",U13="ikke relevant")),(AC13+AN13)/2,0)</f>
        <v>0</v>
      </c>
      <c r="FS13" s="283">
        <f t="shared" si="15"/>
        <v>0</v>
      </c>
      <c r="FT13" s="658">
        <f t="shared" si="16"/>
        <v>0</v>
      </c>
      <c r="FU13">
        <f t="shared" si="17"/>
        <v>0</v>
      </c>
      <c r="FV13" s="283">
        <f>IF(AND(Stamoplysninger!$B$26="Der er indgået lokalaftale omkring weekendtimer.(Kræver aftale med TR/FSL) Weekendtillæg afspadseres.",I13="X"),K13,0)</f>
        <v>0</v>
      </c>
      <c r="FW13" s="674">
        <f>IF(AND(AND(Stamoplysninger!$B$26="Der er indgået lokalaftale omkring weekendtimer.(Kræver aftale med TR/FSL) Weekendtillæg afspadseres.",I13="X",C13="ikke relevant")),K13,0)</f>
        <v>0</v>
      </c>
      <c r="FX13" s="283">
        <f>IF(AND(Stamoplysninger!$B$26="Der er indgået lokalaftale omkring weekendtimer(Kræver aftale med TR/FSL). Weekendtillæg udbetales.",I13="X"),K13,0)</f>
        <v>0</v>
      </c>
      <c r="FY13" s="674">
        <f>IF(AND(AND(Stamoplysninger!$B$26="Der er indgået lokalaftale omkring weekendtimer(Kræver aftale med TR/FSL). Weekendtillæg udbetales.",I13="X",C13="ikke relevant")),K13,0)</f>
        <v>0</v>
      </c>
      <c r="FZ13" s="283">
        <f>IF(AND(Stamoplysninger!$B$26="Der er indgået lokalaftale omkring weekendtillæg(Kræver aftale med TR/FSL). Weekendtimerne udbetales.",I13="X"),K13,0)</f>
        <v>0</v>
      </c>
      <c r="GA13" s="674">
        <f>IF(AND(AND(Stamoplysninger!$B$26="Der er indgået lokalaftale omkring weekendtillæg(Kræver aftale med TR/FSL). Weekendtimerne udbetales.",I13="X",C13="ikke relevant")),K13,0)</f>
        <v>0</v>
      </c>
      <c r="GB13" s="283">
        <f>IF(AND(Stamoplysninger!$B$26="Der er indgået lokalaftale omkring weekendtimer og weekendtillæg.(Kræver aftale med TR/FSL).",I13="X"),K13,0)</f>
        <v>0</v>
      </c>
      <c r="GC13" s="674">
        <f>IF(AND(AND(Stamoplysninger!$B$26="Der er indgået lokalaftale omkring weekendtimer og weekendtillæg.(Kræver aftale med TR/FSL).",I13="X",C13="ikke relevant")),K13,0)</f>
        <v>0</v>
      </c>
    </row>
    <row r="14" spans="1:185" ht="16" customHeight="1">
      <c r="A14" s="245">
        <f t="shared" si="18"/>
        <v>6</v>
      </c>
      <c r="B14" s="128" t="str">
        <f t="shared" si="0"/>
        <v>ti</v>
      </c>
      <c r="C14" s="129" t="s">
        <v>207</v>
      </c>
      <c r="D14" s="130" t="str">
        <f t="shared" si="1"/>
        <v/>
      </c>
      <c r="E14" s="917"/>
      <c r="F14" s="918"/>
      <c r="G14" s="919"/>
      <c r="H14" s="298"/>
      <c r="I14" s="618"/>
      <c r="J14" s="413"/>
      <c r="K14" s="380"/>
      <c r="L14" s="380"/>
      <c r="M14" s="380"/>
      <c r="N14" s="318">
        <f t="shared" si="19"/>
        <v>8.5</v>
      </c>
      <c r="O14" s="318">
        <f t="shared" si="20"/>
        <v>3.75</v>
      </c>
      <c r="P14" s="318">
        <f>IF(Stamoplysninger!$H$29="JA",Maj!DG14,CX14)</f>
        <v>1.5</v>
      </c>
      <c r="Q14" s="318">
        <f t="shared" si="21"/>
        <v>3.25</v>
      </c>
      <c r="R14" s="319"/>
      <c r="S14" s="324"/>
      <c r="T14" s="325"/>
      <c r="U14" s="325"/>
      <c r="V14" s="435"/>
      <c r="W14" s="412"/>
      <c r="X14" s="642"/>
      <c r="Y14">
        <f t="shared" si="22"/>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f>IF(AND(C14="Skema 2",B14="ti"),Arbejdstidsoversigt!$E$82,"")</f>
        <v>8.5</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8.5</v>
      </c>
      <c r="BB14" s="229">
        <f t="shared" si="8"/>
        <v>0</v>
      </c>
      <c r="BC14" s="1">
        <f t="shared" si="24"/>
        <v>0</v>
      </c>
      <c r="BD14" s="1">
        <f t="shared" si="9"/>
        <v>0</v>
      </c>
      <c r="BE14" s="1">
        <f t="shared" si="10"/>
        <v>0</v>
      </c>
      <c r="BF14" s="1">
        <f t="shared" si="11"/>
        <v>0</v>
      </c>
      <c r="BG14" s="210" t="str">
        <f>IF(AND(C14="Skema 1",B14="ma"),Skemaoplysninger!$E$30,"")</f>
        <v/>
      </c>
      <c r="BH14" s="210" t="str">
        <f>IF(AND(C14="Skema 1",B14="ti"),Skemaoplysninger!$G$30,"")</f>
        <v/>
      </c>
      <c r="BI14" s="210" t="str">
        <f>IF(AND(C14="Skema 1",B14="on"),Skemaoplysninger!$I$30,"")</f>
        <v/>
      </c>
      <c r="BJ14" s="210" t="str">
        <f>IF(AND(C14="Skema 1",B14="to"),Skemaoplysninger!$K$30,"")</f>
        <v/>
      </c>
      <c r="BK14" s="210" t="str">
        <f>IF(AND(C14="Skema 1",B14="fr"),Skemaoplysninger!$M$30,"")</f>
        <v/>
      </c>
      <c r="BL14" s="210" t="str">
        <f>IF(AND(C14="Skema 2",B14="ma"),Skemaoplysninger!$S$30,"")</f>
        <v/>
      </c>
      <c r="BM14" s="210">
        <f>IF(AND(C14="Skema 2",B14="ti"),Skemaoplysninger!$U$30,"")</f>
        <v>0.15625</v>
      </c>
      <c r="BN14" s="210" t="str">
        <f>IF(AND(C14="Skema 2",B14="on"),Skemaoplysninger!$W$30,"")</f>
        <v/>
      </c>
      <c r="BO14" s="210" t="str">
        <f>IF(AND(C14="Skema 2",B14="to"),Skemaoplysninger!$Y$30,"")</f>
        <v/>
      </c>
      <c r="BP14" s="210" t="str">
        <f>IF(AND(C14="Skema 2",B14="fr"),Skemaoplysninger!$AA$30,"")</f>
        <v/>
      </c>
      <c r="BQ14" s="210" t="str">
        <f>IF(AND(C14="Skema 3",B14="ma"),Skemaoplysninger!$AG$30,"")</f>
        <v/>
      </c>
      <c r="BR14" s="210" t="str">
        <f>IF(AND(C14="Skema 3",B14="ti"),Skemaoplysninger!$AI$30,"")</f>
        <v/>
      </c>
      <c r="BS14" s="210" t="str">
        <f>IF(AND(C14="Skema 3",B14="on"),Skemaoplysninger!$AK$30,"")</f>
        <v/>
      </c>
      <c r="BT14" s="210" t="str">
        <f>IF(AND(C14="Skema 3",B14="to"),Skemaoplysninger!$AM$30,"")</f>
        <v/>
      </c>
      <c r="BU14" s="210" t="str">
        <f>IF(AND(C14="Skema 3",B14="fr"),Skemaoplysninger!$AO$30,"")</f>
        <v/>
      </c>
      <c r="BV14" s="210" t="str">
        <f>IF(AND(C14="Skema 4",B14="ma"),Skemaoplysninger!$AU$30,"")</f>
        <v/>
      </c>
      <c r="BW14" s="210" t="str">
        <f>IF(AND(C14="Skema 4",B14="ti"),Skemaoplysninger!$AW$30,"")</f>
        <v/>
      </c>
      <c r="BX14" s="210" t="str">
        <f>IF(AND(C14="Skema 4",B14="on"),Skemaoplysninger!$AY$30,"")</f>
        <v/>
      </c>
      <c r="BY14" s="210" t="str">
        <f>IF(AND(C14="Skema 4",B14="to"),Skemaoplysninger!$BA$30,"")</f>
        <v/>
      </c>
      <c r="BZ14" s="210" t="str">
        <f>IF(AND(C14="Skema 4",B14="fr"),Skemaoplysninger!$BC$30,"")</f>
        <v/>
      </c>
      <c r="CA14" s="1">
        <f t="shared" si="25"/>
        <v>3.75</v>
      </c>
      <c r="CB14" s="1">
        <f t="shared" si="12"/>
        <v>0</v>
      </c>
      <c r="CC14" s="1">
        <f t="shared" si="13"/>
        <v>0</v>
      </c>
      <c r="CD14" s="210" t="str">
        <f>IF(AND(C14="Skema 1",B14="ma"),Skemaoplysninger!$E$31,"")</f>
        <v/>
      </c>
      <c r="CE14" s="210" t="str">
        <f>IF(AND(C14="Skema 1",B14="ti"),Skemaoplysninger!$G$31,"")</f>
        <v/>
      </c>
      <c r="CF14" s="210" t="str">
        <f>IF(AND(C14="Skema 1",B14="on"),Skemaoplysninger!$I$31,"")</f>
        <v/>
      </c>
      <c r="CG14" s="210" t="str">
        <f>IF(AND(C14="Skema 1",B14="to"),Skemaoplysninger!$K$31,"")</f>
        <v/>
      </c>
      <c r="CH14" s="210" t="str">
        <f>IF(AND(C14="Skema 1",B14="fr"),Skemaoplysninger!$M$31,"")</f>
        <v/>
      </c>
      <c r="CI14" s="210" t="str">
        <f>IF(AND(C14="Skema 2",B14="ma"),Skemaoplysninger!$S$31,"")</f>
        <v/>
      </c>
      <c r="CJ14" s="210">
        <f>IF(AND(C14="Skema 2",B14="ti"),Skemaoplysninger!$U$31,"")</f>
        <v>6.25E-2</v>
      </c>
      <c r="CK14" s="210" t="str">
        <f>IF(AND(C14="Skema 2",B14="on"),Skemaoplysninger!$W$31,"")</f>
        <v/>
      </c>
      <c r="CL14" s="210" t="str">
        <f>IF(AND(C14="Skema 2",B14="to"),Skemaoplysninger!$Y$31,"")</f>
        <v/>
      </c>
      <c r="CM14" s="210" t="str">
        <f>IF(AND(C14="Skema 2",B14="fr"),Skemaoplysninger!$AA$31,"")</f>
        <v/>
      </c>
      <c r="CN14" s="210" t="str">
        <f>IF(AND(C14="Skema 3",B14="ma"),Skemaoplysninger!$AG$31,"")</f>
        <v/>
      </c>
      <c r="CO14" s="210" t="str">
        <f>IF(AND(C14="Skema 3",B14="ti"),Skemaoplysninger!$AI$31,"")</f>
        <v/>
      </c>
      <c r="CP14" s="210" t="str">
        <f>IF(AND(C14="Skema 3",B14="on"),Skemaoplysninger!$AK$31,"")</f>
        <v/>
      </c>
      <c r="CQ14" s="210" t="str">
        <f>IF(AND(C14="Skema 3",B14="to"),Skemaoplysninger!$AM$31,"")</f>
        <v/>
      </c>
      <c r="CR14" s="210" t="str">
        <f>IF(AND(C14="Skema 3",B14="fr"),Skemaoplysninger!$AO$31,"")</f>
        <v/>
      </c>
      <c r="CS14" s="210" t="str">
        <f>IF(AND(C14="Skema 4",B14="ma"),Skemaoplysninger!$AU$31,"")</f>
        <v/>
      </c>
      <c r="CT14" s="210" t="str">
        <f>IF(AND(C14="Skema 4",B14="ti"),Skemaoplysninger!$AW$31,"")</f>
        <v/>
      </c>
      <c r="CU14" s="210" t="str">
        <f>IF(AND(C14="Skema 4",B14="on"),Skemaoplysninger!$AY$31,"")</f>
        <v/>
      </c>
      <c r="CV14" s="210" t="str">
        <f>IF(AND(C14="Skema 4",B14="to"),Skemaoplysninger!$BA$31,"")</f>
        <v/>
      </c>
      <c r="CW14" s="210" t="str">
        <f>IF(AND(C14="Skema 4",B14="fr"),Skemaoplysninger!$BC$31,"")</f>
        <v/>
      </c>
      <c r="CX14" s="249">
        <f>IF(Stamoplysninger!$H$29="NEJ",SUM(CD14:CW14)*24+CB14+CC14,0)</f>
        <v>1.5</v>
      </c>
      <c r="CY14" s="249">
        <f>IF(C14="Skema 1",Stamoplysninger!$H$30/200,0)</f>
        <v>0</v>
      </c>
      <c r="CZ14" s="249">
        <f>IF(C14="Skema 2",Stamoplysninger!$H$30/200,0)</f>
        <v>0</v>
      </c>
      <c r="DA14" s="249">
        <f>IF(C14="Skema 3",Stamoplysninger!$H$30/200,0)</f>
        <v>0</v>
      </c>
      <c r="DB14" s="249">
        <f>IF(C14="Skema 4",Stamoplysninger!$H$30/200,0)</f>
        <v>0</v>
      </c>
      <c r="DC14" s="249">
        <f>IF(C14="fagdag",Stamoplysninger!$H$30/200,0)</f>
        <v>0</v>
      </c>
      <c r="DD14" s="249">
        <f>IF(C14="emnedag",Stamoplysninger!$H$30/200,0)</f>
        <v>0</v>
      </c>
      <c r="DE14" s="249">
        <f>IF(C14="lejrskole",Stamoplysninger!$H$30/200,0)</f>
        <v>0</v>
      </c>
      <c r="DF14" s="249">
        <f>IF(C14="ekskursion",Stamoplysninger!$H$30/200,0)</f>
        <v>0</v>
      </c>
      <c r="DG14" s="249">
        <f t="shared" si="26"/>
        <v>0</v>
      </c>
      <c r="DH14" t="str">
        <f t="shared" si="27"/>
        <v/>
      </c>
      <c r="DI14">
        <f t="shared" si="28"/>
        <v>0</v>
      </c>
      <c r="DJ14">
        <f t="shared" si="29"/>
        <v>0</v>
      </c>
      <c r="DK14" t="str">
        <f t="shared" si="14"/>
        <v/>
      </c>
      <c r="DL14" t="str">
        <f t="shared" si="14"/>
        <v/>
      </c>
      <c r="DM14" t="str">
        <f t="shared" si="14"/>
        <v/>
      </c>
      <c r="DN14" t="str">
        <f t="shared" si="30"/>
        <v/>
      </c>
      <c r="DO14" s="652">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71">
        <f>IF(AND(Stamoplysninger!$B$22="Ulempetillæg udbetales med 25% af nettotimelønnen.",C14="ikke relevant"),(R14)/4,0)</f>
        <v>0</v>
      </c>
      <c r="DT14" s="671">
        <f>IF(AND(AND(Stamoplysninger!$B$22="Ulempetillæg udbetales med 25% af nettotimelønnen.",I14="X",C14="Ikke relevant")),K14/4,0)</f>
        <v>0</v>
      </c>
      <c r="DU14" s="671">
        <f>IF(AND(AND(Stamoplysninger!$B$22="Ulempetillæg udbetales med 25% af nettotimelønnen.",C14="ikke relevant",U14="X")),(X14/4),0)</f>
        <v>0</v>
      </c>
      <c r="DV14" s="672">
        <f>IF(AND(AND(AND(Stamoplysninger!$B$22="Ulempetillæg udbetales med 25% af nettotimelønnen.",I14="X",C14="Ikke relevant",S14="X"))),V14/4,0)</f>
        <v>0</v>
      </c>
      <c r="DW14" s="652"/>
      <c r="DZ14" s="671"/>
      <c r="EA14" s="671"/>
      <c r="EB14" s="672"/>
      <c r="EC14" s="652">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71">
        <f>IF(AND(Stamoplysninger!$B$22="Ulempetillæg afspadseres med 25%(Kræver en aftale imellem ledelsen og den ansatte)",C14="ikke relevant"),(R14)/4,0)</f>
        <v>0</v>
      </c>
      <c r="EH14" s="671">
        <f>IF(AND(AND(Stamoplysninger!$B$22="Ulempetillæg afspadseres med 25%(Kræver en aftale imellem ledelsen og den ansatte)",I14="X",C14="Ikke relevant")),K14/4,0)</f>
        <v>0</v>
      </c>
      <c r="EI14" s="671">
        <f>IF(AND(AND(Stamoplysninger!$B$22="Ulempetillæg afspadseres med 25%(Kræver en aftale imellem ledelsen og den ansatte)",U14="X",C14="Ikke relevant")),X14/4,0)</f>
        <v>0</v>
      </c>
      <c r="EJ14" s="671">
        <f>IF(AND(AND(AND(Stamoplysninger!$B$22="Ulempetillæg afspadseres med 25%(Kræver en aftale imellem ledelsen og den ansatte)",I14="X",C14="Ikke relevant",S14="X"))),V14/4,0)</f>
        <v>0</v>
      </c>
      <c r="EK14" s="283">
        <f>IF(AND(Stamoplysninger!$B$26="Weekendtimer og weekendtillæg afspadseres.",I14="X"),K14*1.5,0)</f>
        <v>0</v>
      </c>
      <c r="EL14" s="251">
        <f>IF(AND(AND(Stamoplysninger!$B$26="Weekendtimer og weekendtillæg afspadseres.",I14="X",S14="X")),V14*1.5,0)</f>
        <v>0</v>
      </c>
      <c r="EM14" s="674">
        <f>IF(AND(AND(Stamoplysninger!$B$26="Weekendtimer og weekendtillæg afspadseres.",I14="X",C14="ikke relevant")),K14*1.5,0)</f>
        <v>0</v>
      </c>
      <c r="EN14" s="675">
        <f>IF(AND(AND(AND(Stamoplysninger!$B$26="Weekendtimer og weekendtillæg afspadseres.",I14="X",C14="ikke relevant",S14="X"))),(V14*1.5),0)</f>
        <v>0</v>
      </c>
      <c r="EO14" s="283">
        <f>IF(AND(Stamoplysninger!$B$26="Weekendtimer og weekendtillæg udbetales.",I14="X"),K14*1.5,0)</f>
        <v>0</v>
      </c>
      <c r="EP14" s="251">
        <f>IF(AND(AND(Stamoplysninger!$B$26="Weekendtimer og weekendtillæg udbetales.",I14="X",S14="X")),V14*1.5,0)</f>
        <v>0</v>
      </c>
      <c r="EQ14" s="674">
        <f>IF(AND(AND(Stamoplysninger!$B$26="Weekendtimer og weekendtillæg udbetales.",I14="X",C14="ikke relevant")),K14*1.5,0)</f>
        <v>0</v>
      </c>
      <c r="ER14" s="675">
        <f>IF(AND(AND(AND(Stamoplysninger!$B$26="Weekendtimer og weekendtillæg udbetales.",I14="X",C14="ikke relevant",S14="X"))),(V14*1.5),0)</f>
        <v>0</v>
      </c>
      <c r="ES14" s="283">
        <f>IF(AND(Stamoplysninger!$B$26="Der er indgået lokalaftale omkring weekendtimer.(Kræver aftale med TR/FSL) Weekendtillæg afspadseres.",I14="X"),K14*0.5,0)</f>
        <v>0</v>
      </c>
      <c r="ET14" s="251">
        <f>IF(AND(AND(Stamoplysninger!$B$26="Der er indgået lokalaftale omkring weekendtimer.(Kræver aftale med TR/FSL) Weekendtillæg afspadseres.",I14="X",S14="X")),V14*0.5,0)</f>
        <v>0</v>
      </c>
      <c r="EU14" s="674">
        <f>IF(AND(AND(Stamoplysninger!$B$26="Der er indgået lokalaftale omkring weekendtimer.(Kræver aftale med TR/FSL) Weekendtillæg afspadseres.",I14="X",C14="ikke relevant")),K14*0.5,0)</f>
        <v>0</v>
      </c>
      <c r="EV14" s="675">
        <f>IF(AND(AND(AND(Stamoplysninger!$B$26="Der er indgået lokalaftale omkring weekendtimer.(Kræver aftale med TR/FSL) Weekendtillæg afspadseres.",I14="X",C14="ikke relevant",S14="X"))),(V14*0.5),0)</f>
        <v>0</v>
      </c>
      <c r="EW14" s="283">
        <f>IF(AND(Stamoplysninger!$B$26="Der er indgået lokalaftale omkring weekendtimer(Kræver aftale med TR/FSL). Weekendtillæg udbetales.",I14="X"),K14*0.5,0)</f>
        <v>0</v>
      </c>
      <c r="EX14" s="251">
        <f>IF(AND(AND(Stamoplysninger!$B$26="Der er indgået lokalaftale omkring weekendtimer(Kræver aftale med TR/FSL). Weekendtillæg udbetales.",I14="X",S14="X")),V14*0.5,0)</f>
        <v>0</v>
      </c>
      <c r="EY14" s="674">
        <f>IF(AND(AND(Stamoplysninger!$B$26="Der er indgået lokalaftale omkring weekendtimer(Kræver aftale med TR/FSL). Weekendtillæg udbetales.",I14="X",C14="ikke relevant")),K14*0.5,0)</f>
        <v>0</v>
      </c>
      <c r="EZ14" s="675">
        <f>IF(AND(AND(AND(Stamoplysninger!$B$26="Der er indgået lokalaftale omkring weekendtimer(Kræver aftale med TR/FSL). Weekendtillæg udbetales.",I14="X",C14="ikke relevant",S14="X"))),(V14*0.5),0)</f>
        <v>0</v>
      </c>
      <c r="FA14" s="283">
        <f>IF(AND(Stamoplysninger!$B$26="Der er indgået lokalaftale omkring weekendtillæg(Kræver aftale med TR/FSL). Weekendtimerne afspadseres.",I14="X"),K14,0)</f>
        <v>0</v>
      </c>
      <c r="FB14" s="251">
        <f>IF(AND(AND(Stamoplysninger!$B$26="Der er indgået lokalaftale omkring weekendtillæg(Kræver aftale med TR/FSL). Weekendtimerne afspadseres.",I14="X",S14="X")),V14,0)</f>
        <v>0</v>
      </c>
      <c r="FC14" s="674">
        <f>IF(AND(AND(Stamoplysninger!$B$26="Der er indgået lokalaftale omkring weekendtillæg(Kræver aftale med TR/FSL). Weekendtimerne afspadseres..",I14="X",C14="ikke relevant")),K14,0)</f>
        <v>0</v>
      </c>
      <c r="FD14" s="675">
        <f>IF(AND(AND(AND(Stamoplysninger!$B$26="Der er indgået lokalaftale omkring weekendtillæg(Kræver aftale med TR/FSL). Weekendtimerne afspadseres.",I14="X",C14="ikke relevant",S14="X"))),(V14),0)</f>
        <v>0</v>
      </c>
      <c r="FE14" s="283">
        <f>IF(AND(Stamoplysninger!$B$26="Der er indgået lokalaftale omkring weekendtillæg(Kræver aftale med TR/FSL). Weekendtimerne udbetales.",I14="X"),K14,0)</f>
        <v>0</v>
      </c>
      <c r="FF14" s="251">
        <f>IF(AND(AND(Stamoplysninger!$B$26="Der er indgået lokalaftale omkring weekendtillæg(Kræver aftale med TR/FSL). Weekendtimerne udbetales.",I14="X",S14="X")),V14,0)</f>
        <v>0</v>
      </c>
      <c r="FG14" s="674">
        <f>IF(AND(AND(Stamoplysninger!$B$26="Der er indgået lokalaftale omkring weekendtillæg(Kræver aftale med TR/FSL). Weekendtimerne udbetales.",I14="X",C14="ikke relevant")),K14,0)</f>
        <v>0</v>
      </c>
      <c r="FH14" s="675">
        <f>IF(AND(AND(AND(Stamoplysninger!$B$26="Der er indgået lokalaftale omkring weekendtillæg(Kræver aftale med TR/FSL). Weekendtimerne udbetales.",I14="X",C14="ikke relevant",S14="X"))),(V14),0)</f>
        <v>0</v>
      </c>
      <c r="FI14" s="283">
        <f>IF(AND(Stamoplysninger!$B$26="Weekendtimer og weekendtillæg afspadseres.",I14="X"),K14,0)</f>
        <v>0</v>
      </c>
      <c r="FJ14" s="251">
        <f>IF(AND(Stamoplysninger!$B$26="Weekendtimer og weekendtillæg afspadseres.",Y14="X"),(AA14+AL14)/2,0)</f>
        <v>0</v>
      </c>
      <c r="FK14" s="674">
        <f>IF(AND(AND(Stamoplysninger!$B$26="Weekendtimer og weekendtillæg afspadseres.",I14="X",C14="ikke relevant")),K14,0)</f>
        <v>0</v>
      </c>
      <c r="FL14" s="675">
        <f>IF(AND(AND(Stamoplysninger!$B$26="Weekendtimer og weekendtillæg afspadseres.",Y14="X",S14="ikke relevant")),(AA14+AL14)/2,0)</f>
        <v>0</v>
      </c>
      <c r="FM14" s="283">
        <f>IF(AND(Stamoplysninger!$B$26="Der er indgået lokalaftale omkring weekendtillæg(Kræver aftale med TR/FSL). Weekendtimerne afspadseres.",I14="X"),K14,0)</f>
        <v>0</v>
      </c>
      <c r="FN14" s="674">
        <f>IF(AND(AND(Stamoplysninger!$B$26="Der er indgået lokalaftale omkring weekendtillæg(Kræver aftale med TR/FSL). Weekendtimerne afspadseres.",I14="X",C14="ikke relevant")),K14,0)</f>
        <v>0</v>
      </c>
      <c r="FO14" s="283">
        <f>IF(AND(Stamoplysninger!$B$26="Weekendtimer og weekendtillæg udbetales.",I14="X"),K14,0)</f>
        <v>0</v>
      </c>
      <c r="FP14" s="251">
        <f>IF(AND(Stamoplysninger!$B$26="Weekendtimer og weekendtillæg udbetales.",AA14="X"),(AC14+AN14)/2,0)</f>
        <v>0</v>
      </c>
      <c r="FQ14" s="674">
        <f>IF(AND(AND(Stamoplysninger!$B$26="Weekendtimer og weekendtillæg udbetales.",I14="X",C14="ikke relevant")),K14,0)</f>
        <v>0</v>
      </c>
      <c r="FR14" s="688">
        <f>IF(AND(AND(Stamoplysninger!$B$26="Weekendtimer og weekendtillæg udbetales.",AA14="X",U14="ikke relevant")),(AC14+AN14)/2,0)</f>
        <v>0</v>
      </c>
      <c r="FS14" s="283">
        <f t="shared" si="15"/>
        <v>0</v>
      </c>
      <c r="FT14" s="658">
        <f t="shared" si="16"/>
        <v>0</v>
      </c>
      <c r="FU14">
        <f t="shared" si="17"/>
        <v>0</v>
      </c>
      <c r="FV14" s="283">
        <f>IF(AND(Stamoplysninger!$B$26="Der er indgået lokalaftale omkring weekendtimer.(Kræver aftale med TR/FSL) Weekendtillæg afspadseres.",I14="X"),K14,0)</f>
        <v>0</v>
      </c>
      <c r="FW14" s="674">
        <f>IF(AND(AND(Stamoplysninger!$B$26="Der er indgået lokalaftale omkring weekendtimer.(Kræver aftale med TR/FSL) Weekendtillæg afspadseres.",I14="X",C14="ikke relevant")),K14,0)</f>
        <v>0</v>
      </c>
      <c r="FX14" s="283">
        <f>IF(AND(Stamoplysninger!$B$26="Der er indgået lokalaftale omkring weekendtimer(Kræver aftale med TR/FSL). Weekendtillæg udbetales.",I14="X"),K14,0)</f>
        <v>0</v>
      </c>
      <c r="FY14" s="674">
        <f>IF(AND(AND(Stamoplysninger!$B$26="Der er indgået lokalaftale omkring weekendtimer(Kræver aftale med TR/FSL). Weekendtillæg udbetales.",I14="X",C14="ikke relevant")),K14,0)</f>
        <v>0</v>
      </c>
      <c r="FZ14" s="283">
        <f>IF(AND(Stamoplysninger!$B$26="Der er indgået lokalaftale omkring weekendtillæg(Kræver aftale med TR/FSL). Weekendtimerne udbetales.",I14="X"),K14,0)</f>
        <v>0</v>
      </c>
      <c r="GA14" s="674">
        <f>IF(AND(AND(Stamoplysninger!$B$26="Der er indgået lokalaftale omkring weekendtillæg(Kræver aftale med TR/FSL). Weekendtimerne udbetales.",I14="X",C14="ikke relevant")),K14,0)</f>
        <v>0</v>
      </c>
      <c r="GB14" s="283">
        <f>IF(AND(Stamoplysninger!$B$26="Der er indgået lokalaftale omkring weekendtimer og weekendtillæg.(Kræver aftale med TR/FSL).",I14="X"),K14,0)</f>
        <v>0</v>
      </c>
      <c r="GC14" s="674">
        <f>IF(AND(AND(Stamoplysninger!$B$26="Der er indgået lokalaftale omkring weekendtimer og weekendtillæg.(Kræver aftale med TR/FSL).",I14="X",C14="ikke relevant")),K14,0)</f>
        <v>0</v>
      </c>
    </row>
    <row r="15" spans="1:185" ht="16" customHeight="1">
      <c r="A15" s="245">
        <f t="shared" si="18"/>
        <v>7</v>
      </c>
      <c r="B15" s="128" t="str">
        <f t="shared" si="0"/>
        <v>on</v>
      </c>
      <c r="C15" s="129" t="s">
        <v>207</v>
      </c>
      <c r="D15" s="130" t="str">
        <f t="shared" si="1"/>
        <v/>
      </c>
      <c r="E15" s="917"/>
      <c r="F15" s="918"/>
      <c r="G15" s="919"/>
      <c r="H15" s="298"/>
      <c r="I15" s="527"/>
      <c r="J15" s="413"/>
      <c r="K15" s="380"/>
      <c r="L15" s="380"/>
      <c r="M15" s="380"/>
      <c r="N15" s="318">
        <f t="shared" si="19"/>
        <v>7.75</v>
      </c>
      <c r="O15" s="318">
        <f t="shared" si="20"/>
        <v>4.25</v>
      </c>
      <c r="P15" s="318">
        <f>IF(Stamoplysninger!$H$29="JA",Maj!DG15,CX15)</f>
        <v>1</v>
      </c>
      <c r="Q15" s="318">
        <f t="shared" si="21"/>
        <v>2.5</v>
      </c>
      <c r="R15" s="319"/>
      <c r="S15" s="324"/>
      <c r="T15" s="325"/>
      <c r="U15" s="325"/>
      <c r="V15" s="435"/>
      <c r="W15" s="412"/>
      <c r="X15" s="642"/>
      <c r="Y15">
        <f t="shared" si="22"/>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f>IF(AND(C15="Skema 2",B15="on"),Arbejdstidsoversigt!$E$83,"")</f>
        <v>7.75</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7.75</v>
      </c>
      <c r="BB15" s="229">
        <f t="shared" si="8"/>
        <v>0</v>
      </c>
      <c r="BC15" s="1">
        <f t="shared" si="24"/>
        <v>0</v>
      </c>
      <c r="BD15" s="1">
        <f t="shared" si="9"/>
        <v>0</v>
      </c>
      <c r="BE15" s="1">
        <f t="shared" si="10"/>
        <v>0</v>
      </c>
      <c r="BF15" s="1">
        <f t="shared" si="11"/>
        <v>0</v>
      </c>
      <c r="BG15" s="210" t="str">
        <f>IF(AND(C15="Skema 1",B15="ma"),Skemaoplysninger!$E$30,"")</f>
        <v/>
      </c>
      <c r="BH15" s="210" t="str">
        <f>IF(AND(C15="Skema 1",B15="ti"),Skemaoplysninger!$G$30,"")</f>
        <v/>
      </c>
      <c r="BI15" s="210" t="str">
        <f>IF(AND(C15="Skema 1",B15="on"),Skemaoplysninger!$I$30,"")</f>
        <v/>
      </c>
      <c r="BJ15" s="210" t="str">
        <f>IF(AND(C15="Skema 1",B15="to"),Skemaoplysninger!$K$30,"")</f>
        <v/>
      </c>
      <c r="BK15" s="210" t="str">
        <f>IF(AND(C15="Skema 1",B15="fr"),Skemaoplysninger!$M$30,"")</f>
        <v/>
      </c>
      <c r="BL15" s="210" t="str">
        <f>IF(AND(C15="Skema 2",B15="ma"),Skemaoplysninger!$S$30,"")</f>
        <v/>
      </c>
      <c r="BM15" s="210" t="str">
        <f>IF(AND(C15="Skema 2",B15="ti"),Skemaoplysninger!$U$30,"")</f>
        <v/>
      </c>
      <c r="BN15" s="210">
        <f>IF(AND(C15="Skema 2",B15="on"),Skemaoplysninger!$W$30,"")</f>
        <v>0.17708333333333331</v>
      </c>
      <c r="BO15" s="210" t="str">
        <f>IF(AND(C15="Skema 2",B15="to"),Skemaoplysninger!$Y$30,"")</f>
        <v/>
      </c>
      <c r="BP15" s="210" t="str">
        <f>IF(AND(C15="Skema 2",B15="fr"),Skemaoplysninger!$AA$30,"")</f>
        <v/>
      </c>
      <c r="BQ15" s="210" t="str">
        <f>IF(AND(C15="Skema 3",B15="ma"),Skemaoplysninger!$AG$30,"")</f>
        <v/>
      </c>
      <c r="BR15" s="210" t="str">
        <f>IF(AND(C15="Skema 3",B15="ti"),Skemaoplysninger!$AI$30,"")</f>
        <v/>
      </c>
      <c r="BS15" s="210" t="str">
        <f>IF(AND(C15="Skema 3",B15="on"),Skemaoplysninger!$AK$30,"")</f>
        <v/>
      </c>
      <c r="BT15" s="210" t="str">
        <f>IF(AND(C15="Skema 3",B15="to"),Skemaoplysninger!$AM$30,"")</f>
        <v/>
      </c>
      <c r="BU15" s="210" t="str">
        <f>IF(AND(C15="Skema 3",B15="fr"),Skemaoplysninger!$AO$30,"")</f>
        <v/>
      </c>
      <c r="BV15" s="210" t="str">
        <f>IF(AND(C15="Skema 4",B15="ma"),Skemaoplysninger!$AU$30,"")</f>
        <v/>
      </c>
      <c r="BW15" s="210" t="str">
        <f>IF(AND(C15="Skema 4",B15="ti"),Skemaoplysninger!$AW$30,"")</f>
        <v/>
      </c>
      <c r="BX15" s="210" t="str">
        <f>IF(AND(C15="Skema 4",B15="on"),Skemaoplysninger!$AY$30,"")</f>
        <v/>
      </c>
      <c r="BY15" s="210" t="str">
        <f>IF(AND(C15="Skema 4",B15="to"),Skemaoplysninger!$BA$30,"")</f>
        <v/>
      </c>
      <c r="BZ15" s="210" t="str">
        <f>IF(AND(C15="Skema 4",B15="fr"),Skemaoplysninger!$BC$30,"")</f>
        <v/>
      </c>
      <c r="CA15" s="1">
        <f t="shared" si="25"/>
        <v>4.25</v>
      </c>
      <c r="CB15" s="1">
        <f t="shared" si="12"/>
        <v>0</v>
      </c>
      <c r="CC15" s="1">
        <f t="shared" si="13"/>
        <v>0</v>
      </c>
      <c r="CD15" s="210" t="str">
        <f>IF(AND(C15="Skema 1",B15="ma"),Skemaoplysninger!$E$31,"")</f>
        <v/>
      </c>
      <c r="CE15" s="210" t="str">
        <f>IF(AND(C15="Skema 1",B15="ti"),Skemaoplysninger!$G$31,"")</f>
        <v/>
      </c>
      <c r="CF15" s="210" t="str">
        <f>IF(AND(C15="Skema 1",B15="on"),Skemaoplysninger!$I$31,"")</f>
        <v/>
      </c>
      <c r="CG15" s="210" t="str">
        <f>IF(AND(C15="Skema 1",B15="to"),Skemaoplysninger!$K$31,"")</f>
        <v/>
      </c>
      <c r="CH15" s="210" t="str">
        <f>IF(AND(C15="Skema 1",B15="fr"),Skemaoplysninger!$M$31,"")</f>
        <v/>
      </c>
      <c r="CI15" s="210" t="str">
        <f>IF(AND(C15="Skema 2",B15="ma"),Skemaoplysninger!$S$31,"")</f>
        <v/>
      </c>
      <c r="CJ15" s="210" t="str">
        <f>IF(AND(C15="Skema 2",B15="ti"),Skemaoplysninger!$U$31,"")</f>
        <v/>
      </c>
      <c r="CK15" s="210">
        <f>IF(AND(C15="Skema 2",B15="on"),Skemaoplysninger!$W$31,"")</f>
        <v>4.1666666666666664E-2</v>
      </c>
      <c r="CL15" s="210" t="str">
        <f>IF(AND(C15="Skema 2",B15="to"),Skemaoplysninger!$Y$31,"")</f>
        <v/>
      </c>
      <c r="CM15" s="210" t="str">
        <f>IF(AND(C15="Skema 2",B15="fr"),Skemaoplysninger!$AA$31,"")</f>
        <v/>
      </c>
      <c r="CN15" s="210" t="str">
        <f>IF(AND(C15="Skema 3",B15="ma"),Skemaoplysninger!$AG$31,"")</f>
        <v/>
      </c>
      <c r="CO15" s="210" t="str">
        <f>IF(AND(C15="Skema 3",B15="ti"),Skemaoplysninger!$AI$31,"")</f>
        <v/>
      </c>
      <c r="CP15" s="210" t="str">
        <f>IF(AND(C15="Skema 3",B15="on"),Skemaoplysninger!$AK$31,"")</f>
        <v/>
      </c>
      <c r="CQ15" s="210" t="str">
        <f>IF(AND(C15="Skema 3",B15="to"),Skemaoplysninger!$AM$31,"")</f>
        <v/>
      </c>
      <c r="CR15" s="210" t="str">
        <f>IF(AND(C15="Skema 3",B15="fr"),Skemaoplysninger!$AO$31,"")</f>
        <v/>
      </c>
      <c r="CS15" s="210" t="str">
        <f>IF(AND(C15="Skema 4",B15="ma"),Skemaoplysninger!$AU$31,"")</f>
        <v/>
      </c>
      <c r="CT15" s="210" t="str">
        <f>IF(AND(C15="Skema 4",B15="ti"),Skemaoplysninger!$AW$31,"")</f>
        <v/>
      </c>
      <c r="CU15" s="210" t="str">
        <f>IF(AND(C15="Skema 4",B15="on"),Skemaoplysninger!$AY$31,"")</f>
        <v/>
      </c>
      <c r="CV15" s="210" t="str">
        <f>IF(AND(C15="Skema 4",B15="to"),Skemaoplysninger!$BA$31,"")</f>
        <v/>
      </c>
      <c r="CW15" s="210" t="str">
        <f>IF(AND(C15="Skema 4",B15="fr"),Skemaoplysninger!$BC$31,"")</f>
        <v/>
      </c>
      <c r="CX15" s="249">
        <f>IF(Stamoplysninger!$H$29="NEJ",SUM(CD15:CW15)*24+CB15+CC15,0)</f>
        <v>1</v>
      </c>
      <c r="CY15" s="249">
        <f>IF(C15="Skema 1",Stamoplysninger!$H$30/200,0)</f>
        <v>0</v>
      </c>
      <c r="CZ15" s="249">
        <f>IF(C15="Skema 2",Stamoplysninger!$H$30/200,0)</f>
        <v>0</v>
      </c>
      <c r="DA15" s="249">
        <f>IF(C15="Skema 3",Stamoplysninger!$H$30/200,0)</f>
        <v>0</v>
      </c>
      <c r="DB15" s="249">
        <f>IF(C15="Skema 4",Stamoplysninger!$H$30/200,0)</f>
        <v>0</v>
      </c>
      <c r="DC15" s="249">
        <f>IF(C15="fagdag",Stamoplysninger!$H$30/200,0)</f>
        <v>0</v>
      </c>
      <c r="DD15" s="249">
        <f>IF(C15="emnedag",Stamoplysninger!$H$30/200,0)</f>
        <v>0</v>
      </c>
      <c r="DE15" s="249">
        <f>IF(C15="lejrskole",Stamoplysninger!$H$30/200,0)</f>
        <v>0</v>
      </c>
      <c r="DF15" s="249">
        <f>IF(C15="ekskursion",Stamoplysninger!$H$30/200,0)</f>
        <v>0</v>
      </c>
      <c r="DG15" s="249">
        <f t="shared" si="26"/>
        <v>0</v>
      </c>
      <c r="DH15" t="str">
        <f t="shared" si="27"/>
        <v/>
      </c>
      <c r="DI15">
        <f t="shared" si="28"/>
        <v>0</v>
      </c>
      <c r="DJ15">
        <f t="shared" si="29"/>
        <v>0</v>
      </c>
      <c r="DK15" t="str">
        <f t="shared" si="14"/>
        <v/>
      </c>
      <c r="DL15" t="str">
        <f t="shared" si="14"/>
        <v/>
      </c>
      <c r="DM15" t="str">
        <f t="shared" si="14"/>
        <v/>
      </c>
      <c r="DN15" t="str">
        <f t="shared" si="30"/>
        <v/>
      </c>
      <c r="DO15" s="652">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71">
        <f>IF(AND(Stamoplysninger!$B$22="Ulempetillæg udbetales med 25% af nettotimelønnen.",C15="ikke relevant"),(R15)/4,0)</f>
        <v>0</v>
      </c>
      <c r="DT15" s="671">
        <f>IF(AND(AND(Stamoplysninger!$B$22="Ulempetillæg udbetales med 25% af nettotimelønnen.",I15="X",C15="Ikke relevant")),K15/4,0)</f>
        <v>0</v>
      </c>
      <c r="DU15" s="671">
        <f>IF(AND(AND(Stamoplysninger!$B$22="Ulempetillæg udbetales med 25% af nettotimelønnen.",C15="ikke relevant",U15="X")),(X15/4),0)</f>
        <v>0</v>
      </c>
      <c r="DV15" s="672">
        <f>IF(AND(AND(AND(Stamoplysninger!$B$22="Ulempetillæg udbetales med 25% af nettotimelønnen.",I15="X",C15="Ikke relevant",S15="X"))),V15/4,0)</f>
        <v>0</v>
      </c>
      <c r="DW15" s="652"/>
      <c r="DZ15" s="671"/>
      <c r="EA15" s="671"/>
      <c r="EB15" s="672"/>
      <c r="EC15" s="652">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71">
        <f>IF(AND(Stamoplysninger!$B$22="Ulempetillæg afspadseres med 25%(Kræver en aftale imellem ledelsen og den ansatte)",C15="ikke relevant"),(R15)/4,0)</f>
        <v>0</v>
      </c>
      <c r="EH15" s="671">
        <f>IF(AND(AND(Stamoplysninger!$B$22="Ulempetillæg afspadseres med 25%(Kræver en aftale imellem ledelsen og den ansatte)",I15="X",C15="Ikke relevant")),K15/4,0)</f>
        <v>0</v>
      </c>
      <c r="EI15" s="671">
        <f>IF(AND(AND(Stamoplysninger!$B$22="Ulempetillæg afspadseres med 25%(Kræver en aftale imellem ledelsen og den ansatte)",U15="X",C15="Ikke relevant")),X15/4,0)</f>
        <v>0</v>
      </c>
      <c r="EJ15" s="671">
        <f>IF(AND(AND(AND(Stamoplysninger!$B$22="Ulempetillæg afspadseres med 25%(Kræver en aftale imellem ledelsen og den ansatte)",I15="X",C15="Ikke relevant",S15="X"))),V15/4,0)</f>
        <v>0</v>
      </c>
      <c r="EK15" s="283">
        <f>IF(AND(Stamoplysninger!$B$26="Weekendtimer og weekendtillæg afspadseres.",I15="X"),K15*1.5,0)</f>
        <v>0</v>
      </c>
      <c r="EL15" s="251">
        <f>IF(AND(AND(Stamoplysninger!$B$26="Weekendtimer og weekendtillæg afspadseres.",I15="X",S15="X")),V15*1.5,0)</f>
        <v>0</v>
      </c>
      <c r="EM15" s="674">
        <f>IF(AND(AND(Stamoplysninger!$B$26="Weekendtimer og weekendtillæg afspadseres.",I15="X",C15="ikke relevant")),K15*1.5,0)</f>
        <v>0</v>
      </c>
      <c r="EN15" s="675">
        <f>IF(AND(AND(AND(Stamoplysninger!$B$26="Weekendtimer og weekendtillæg afspadseres.",I15="X",C15="ikke relevant",S15="X"))),(V15*1.5),0)</f>
        <v>0</v>
      </c>
      <c r="EO15" s="283">
        <f>IF(AND(Stamoplysninger!$B$26="Weekendtimer og weekendtillæg udbetales.",I15="X"),K15*1.5,0)</f>
        <v>0</v>
      </c>
      <c r="EP15" s="251">
        <f>IF(AND(AND(Stamoplysninger!$B$26="Weekendtimer og weekendtillæg udbetales.",I15="X",S15="X")),V15*1.5,0)</f>
        <v>0</v>
      </c>
      <c r="EQ15" s="674">
        <f>IF(AND(AND(Stamoplysninger!$B$26="Weekendtimer og weekendtillæg udbetales.",I15="X",C15="ikke relevant")),K15*1.5,0)</f>
        <v>0</v>
      </c>
      <c r="ER15" s="675">
        <f>IF(AND(AND(AND(Stamoplysninger!$B$26="Weekendtimer og weekendtillæg udbetales.",I15="X",C15="ikke relevant",S15="X"))),(V15*1.5),0)</f>
        <v>0</v>
      </c>
      <c r="ES15" s="283">
        <f>IF(AND(Stamoplysninger!$B$26="Der er indgået lokalaftale omkring weekendtimer.(Kræver aftale med TR/FSL) Weekendtillæg afspadseres.",I15="X"),K15*0.5,0)</f>
        <v>0</v>
      </c>
      <c r="ET15" s="251">
        <f>IF(AND(AND(Stamoplysninger!$B$26="Der er indgået lokalaftale omkring weekendtimer.(Kræver aftale med TR/FSL) Weekendtillæg afspadseres.",I15="X",S15="X")),V15*0.5,0)</f>
        <v>0</v>
      </c>
      <c r="EU15" s="674">
        <f>IF(AND(AND(Stamoplysninger!$B$26="Der er indgået lokalaftale omkring weekendtimer.(Kræver aftale med TR/FSL) Weekendtillæg afspadseres.",I15="X",C15="ikke relevant")),K15*0.5,0)</f>
        <v>0</v>
      </c>
      <c r="EV15" s="675">
        <f>IF(AND(AND(AND(Stamoplysninger!$B$26="Der er indgået lokalaftale omkring weekendtimer.(Kræver aftale med TR/FSL) Weekendtillæg afspadseres.",I15="X",C15="ikke relevant",S15="X"))),(V15*0.5),0)</f>
        <v>0</v>
      </c>
      <c r="EW15" s="283">
        <f>IF(AND(Stamoplysninger!$B$26="Der er indgået lokalaftale omkring weekendtimer(Kræver aftale med TR/FSL). Weekendtillæg udbetales.",I15="X"),K15*0.5,0)</f>
        <v>0</v>
      </c>
      <c r="EX15" s="251">
        <f>IF(AND(AND(Stamoplysninger!$B$26="Der er indgået lokalaftale omkring weekendtimer(Kræver aftale med TR/FSL). Weekendtillæg udbetales.",I15="X",S15="X")),V15*0.5,0)</f>
        <v>0</v>
      </c>
      <c r="EY15" s="674">
        <f>IF(AND(AND(Stamoplysninger!$B$26="Der er indgået lokalaftale omkring weekendtimer(Kræver aftale med TR/FSL). Weekendtillæg udbetales.",I15="X",C15="ikke relevant")),K15*0.5,0)</f>
        <v>0</v>
      </c>
      <c r="EZ15" s="675">
        <f>IF(AND(AND(AND(Stamoplysninger!$B$26="Der er indgået lokalaftale omkring weekendtimer(Kræver aftale med TR/FSL). Weekendtillæg udbetales.",I15="X",C15="ikke relevant",S15="X"))),(V15*0.5),0)</f>
        <v>0</v>
      </c>
      <c r="FA15" s="283">
        <f>IF(AND(Stamoplysninger!$B$26="Der er indgået lokalaftale omkring weekendtillæg(Kræver aftale med TR/FSL). Weekendtimerne afspadseres.",I15="X"),K15,0)</f>
        <v>0</v>
      </c>
      <c r="FB15" s="251">
        <f>IF(AND(AND(Stamoplysninger!$B$26="Der er indgået lokalaftale omkring weekendtillæg(Kræver aftale med TR/FSL). Weekendtimerne afspadseres.",I15="X",S15="X")),V15,0)</f>
        <v>0</v>
      </c>
      <c r="FC15" s="674">
        <f>IF(AND(AND(Stamoplysninger!$B$26="Der er indgået lokalaftale omkring weekendtillæg(Kræver aftale med TR/FSL). Weekendtimerne afspadseres..",I15="X",C15="ikke relevant")),K15,0)</f>
        <v>0</v>
      </c>
      <c r="FD15" s="675">
        <f>IF(AND(AND(AND(Stamoplysninger!$B$26="Der er indgået lokalaftale omkring weekendtillæg(Kræver aftale med TR/FSL). Weekendtimerne afspadseres.",I15="X",C15="ikke relevant",S15="X"))),(V15),0)</f>
        <v>0</v>
      </c>
      <c r="FE15" s="283">
        <f>IF(AND(Stamoplysninger!$B$26="Der er indgået lokalaftale omkring weekendtillæg(Kræver aftale med TR/FSL). Weekendtimerne udbetales.",I15="X"),K15,0)</f>
        <v>0</v>
      </c>
      <c r="FF15" s="251">
        <f>IF(AND(AND(Stamoplysninger!$B$26="Der er indgået lokalaftale omkring weekendtillæg(Kræver aftale med TR/FSL). Weekendtimerne udbetales.",I15="X",S15="X")),V15,0)</f>
        <v>0</v>
      </c>
      <c r="FG15" s="674">
        <f>IF(AND(AND(Stamoplysninger!$B$26="Der er indgået lokalaftale omkring weekendtillæg(Kræver aftale med TR/FSL). Weekendtimerne udbetales.",I15="X",C15="ikke relevant")),K15,0)</f>
        <v>0</v>
      </c>
      <c r="FH15" s="675">
        <f>IF(AND(AND(AND(Stamoplysninger!$B$26="Der er indgået lokalaftale omkring weekendtillæg(Kræver aftale med TR/FSL). Weekendtimerne udbetales.",I15="X",C15="ikke relevant",S15="X"))),(V15),0)</f>
        <v>0</v>
      </c>
      <c r="FI15" s="283">
        <f>IF(AND(Stamoplysninger!$B$26="Weekendtimer og weekendtillæg afspadseres.",I15="X"),K15,0)</f>
        <v>0</v>
      </c>
      <c r="FJ15" s="251">
        <f>IF(AND(Stamoplysninger!$B$26="Weekendtimer og weekendtillæg afspadseres.",Y15="X"),(AA15+AL15)/2,0)</f>
        <v>0</v>
      </c>
      <c r="FK15" s="674">
        <f>IF(AND(AND(Stamoplysninger!$B$26="Weekendtimer og weekendtillæg afspadseres.",I15="X",C15="ikke relevant")),K15,0)</f>
        <v>0</v>
      </c>
      <c r="FL15" s="675">
        <f>IF(AND(AND(Stamoplysninger!$B$26="Weekendtimer og weekendtillæg afspadseres.",Y15="X",S15="ikke relevant")),(AA15+AL15)/2,0)</f>
        <v>0</v>
      </c>
      <c r="FM15" s="283">
        <f>IF(AND(Stamoplysninger!$B$26="Der er indgået lokalaftale omkring weekendtillæg(Kræver aftale med TR/FSL). Weekendtimerne afspadseres.",I15="X"),K15,0)</f>
        <v>0</v>
      </c>
      <c r="FN15" s="674">
        <f>IF(AND(AND(Stamoplysninger!$B$26="Der er indgået lokalaftale omkring weekendtillæg(Kræver aftale med TR/FSL). Weekendtimerne afspadseres.",I15="X",C15="ikke relevant")),K15,0)</f>
        <v>0</v>
      </c>
      <c r="FO15" s="283">
        <f>IF(AND(Stamoplysninger!$B$26="Weekendtimer og weekendtillæg udbetales.",I15="X"),K15,0)</f>
        <v>0</v>
      </c>
      <c r="FP15" s="251">
        <f>IF(AND(Stamoplysninger!$B$26="Weekendtimer og weekendtillæg udbetales.",AA15="X"),(AC15+AN15)/2,0)</f>
        <v>0</v>
      </c>
      <c r="FQ15" s="674">
        <f>IF(AND(AND(Stamoplysninger!$B$26="Weekendtimer og weekendtillæg udbetales.",I15="X",C15="ikke relevant")),K15,0)</f>
        <v>0</v>
      </c>
      <c r="FR15" s="688">
        <f>IF(AND(AND(Stamoplysninger!$B$26="Weekendtimer og weekendtillæg udbetales.",AA15="X",U15="ikke relevant")),(AC15+AN15)/2,0)</f>
        <v>0</v>
      </c>
      <c r="FS15" s="283">
        <f t="shared" si="15"/>
        <v>0</v>
      </c>
      <c r="FT15" s="658">
        <f t="shared" si="16"/>
        <v>0</v>
      </c>
      <c r="FU15">
        <f t="shared" si="17"/>
        <v>0</v>
      </c>
      <c r="FV15" s="283">
        <f>IF(AND(Stamoplysninger!$B$26="Der er indgået lokalaftale omkring weekendtimer.(Kræver aftale med TR/FSL) Weekendtillæg afspadseres.",I15="X"),K15,0)</f>
        <v>0</v>
      </c>
      <c r="FW15" s="674">
        <f>IF(AND(AND(Stamoplysninger!$B$26="Der er indgået lokalaftale omkring weekendtimer.(Kræver aftale med TR/FSL) Weekendtillæg afspadseres.",I15="X",C15="ikke relevant")),K15,0)</f>
        <v>0</v>
      </c>
      <c r="FX15" s="283">
        <f>IF(AND(Stamoplysninger!$B$26="Der er indgået lokalaftale omkring weekendtimer(Kræver aftale med TR/FSL). Weekendtillæg udbetales.",I15="X"),K15,0)</f>
        <v>0</v>
      </c>
      <c r="FY15" s="674">
        <f>IF(AND(AND(Stamoplysninger!$B$26="Der er indgået lokalaftale omkring weekendtimer(Kræver aftale med TR/FSL). Weekendtillæg udbetales.",I15="X",C15="ikke relevant")),K15,0)</f>
        <v>0</v>
      </c>
      <c r="FZ15" s="283">
        <f>IF(AND(Stamoplysninger!$B$26="Der er indgået lokalaftale omkring weekendtillæg(Kræver aftale med TR/FSL). Weekendtimerne udbetales.",I15="X"),K15,0)</f>
        <v>0</v>
      </c>
      <c r="GA15" s="674">
        <f>IF(AND(AND(Stamoplysninger!$B$26="Der er indgået lokalaftale omkring weekendtillæg(Kræver aftale med TR/FSL). Weekendtimerne udbetales.",I15="X",C15="ikke relevant")),K15,0)</f>
        <v>0</v>
      </c>
      <c r="GB15" s="283">
        <f>IF(AND(Stamoplysninger!$B$26="Der er indgået lokalaftale omkring weekendtimer og weekendtillæg.(Kræver aftale med TR/FSL).",I15="X"),K15,0)</f>
        <v>0</v>
      </c>
      <c r="GC15" s="674">
        <f>IF(AND(AND(Stamoplysninger!$B$26="Der er indgået lokalaftale omkring weekendtimer og weekendtillæg.(Kræver aftale med TR/FSL).",I15="X",C15="ikke relevant")),K15,0)</f>
        <v>0</v>
      </c>
    </row>
    <row r="16" spans="1:185">
      <c r="A16" s="245">
        <f t="shared" si="18"/>
        <v>8</v>
      </c>
      <c r="B16" s="128" t="str">
        <f t="shared" si="0"/>
        <v>to</v>
      </c>
      <c r="C16" s="129" t="s">
        <v>207</v>
      </c>
      <c r="D16" s="130" t="str">
        <f t="shared" si="1"/>
        <v/>
      </c>
      <c r="E16" s="917"/>
      <c r="F16" s="918"/>
      <c r="G16" s="919"/>
      <c r="H16" s="298"/>
      <c r="I16" s="618"/>
      <c r="J16" s="413"/>
      <c r="K16" s="380"/>
      <c r="L16" s="380"/>
      <c r="M16" s="380"/>
      <c r="N16" s="318">
        <f t="shared" si="19"/>
        <v>7.75</v>
      </c>
      <c r="O16" s="318">
        <f t="shared" si="20"/>
        <v>3</v>
      </c>
      <c r="P16" s="318">
        <f>IF(Stamoplysninger!$H$29="JA",Maj!DG16,CX16)</f>
        <v>0.83333333333333337</v>
      </c>
      <c r="Q16" s="318">
        <f t="shared" si="21"/>
        <v>3.9166666666666665</v>
      </c>
      <c r="R16" s="319"/>
      <c r="S16" s="324"/>
      <c r="T16" s="325"/>
      <c r="U16" s="325"/>
      <c r="V16" s="435"/>
      <c r="W16" s="412"/>
      <c r="X16" s="642"/>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f>IF(AND(C16="Skema 2",B16="to"),Arbejdstidsoversigt!$E$84,"")</f>
        <v>7.75</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7.75</v>
      </c>
      <c r="BB16" s="229">
        <f t="shared" si="8"/>
        <v>0</v>
      </c>
      <c r="BC16" s="1">
        <f t="shared" si="24"/>
        <v>0</v>
      </c>
      <c r="BD16" s="1">
        <f t="shared" si="9"/>
        <v>0</v>
      </c>
      <c r="BE16" s="1">
        <f t="shared" si="10"/>
        <v>0</v>
      </c>
      <c r="BF16" s="1">
        <f t="shared" si="11"/>
        <v>0</v>
      </c>
      <c r="BG16" s="210" t="str">
        <f>IF(AND(C16="Skema 1",B16="ma"),Skemaoplysninger!$E$30,"")</f>
        <v/>
      </c>
      <c r="BH16" s="210" t="str">
        <f>IF(AND(C16="Skema 1",B16="ti"),Skemaoplysninger!$G$30,"")</f>
        <v/>
      </c>
      <c r="BI16" s="210" t="str">
        <f>IF(AND(C16="Skema 1",B16="on"),Skemaoplysninger!$I$30,"")</f>
        <v/>
      </c>
      <c r="BJ16" s="210" t="str">
        <f>IF(AND(C16="Skema 1",B16="to"),Skemaoplysninger!$K$30,"")</f>
        <v/>
      </c>
      <c r="BK16" s="210" t="str">
        <f>IF(AND(C16="Skema 1",B16="fr"),Skemaoplysninger!$M$30,"")</f>
        <v/>
      </c>
      <c r="BL16" s="210" t="str">
        <f>IF(AND(C16="Skema 2",B16="ma"),Skemaoplysninger!$S$30,"")</f>
        <v/>
      </c>
      <c r="BM16" s="210" t="str">
        <f>IF(AND(C16="Skema 2",B16="ti"),Skemaoplysninger!$U$30,"")</f>
        <v/>
      </c>
      <c r="BN16" s="210" t="str">
        <f>IF(AND(C16="Skema 2",B16="on"),Skemaoplysninger!$W$30,"")</f>
        <v/>
      </c>
      <c r="BO16" s="210">
        <f>IF(AND(C16="Skema 2",B16="to"),Skemaoplysninger!$Y$30,"")</f>
        <v>0.125</v>
      </c>
      <c r="BP16" s="210" t="str">
        <f>IF(AND(C16="Skema 2",B16="fr"),Skemaoplysninger!$AA$30,"")</f>
        <v/>
      </c>
      <c r="BQ16" s="210" t="str">
        <f>IF(AND(C16="Skema 3",B16="ma"),Skemaoplysninger!$AG$30,"")</f>
        <v/>
      </c>
      <c r="BR16" s="210" t="str">
        <f>IF(AND(C16="Skema 3",B16="ti"),Skemaoplysninger!$AI$30,"")</f>
        <v/>
      </c>
      <c r="BS16" s="210" t="str">
        <f>IF(AND(C16="Skema 3",B16="on"),Skemaoplysninger!$AK$30,"")</f>
        <v/>
      </c>
      <c r="BT16" s="210" t="str">
        <f>IF(AND(C16="Skema 3",B16="to"),Skemaoplysninger!$AM$30,"")</f>
        <v/>
      </c>
      <c r="BU16" s="210" t="str">
        <f>IF(AND(C16="Skema 3",B16="fr"),Skemaoplysninger!$AO$30,"")</f>
        <v/>
      </c>
      <c r="BV16" s="210" t="str">
        <f>IF(AND(C16="Skema 4",B16="ma"),Skemaoplysninger!$AU$30,"")</f>
        <v/>
      </c>
      <c r="BW16" s="210" t="str">
        <f>IF(AND(C16="Skema 4",B16="ti"),Skemaoplysninger!$AW$30,"")</f>
        <v/>
      </c>
      <c r="BX16" s="210" t="str">
        <f>IF(AND(C16="Skema 4",B16="on"),Skemaoplysninger!$AY$30,"")</f>
        <v/>
      </c>
      <c r="BY16" s="210" t="str">
        <f>IF(AND(C16="Skema 4",B16="to"),Skemaoplysninger!$BA$30,"")</f>
        <v/>
      </c>
      <c r="BZ16" s="210" t="str">
        <f>IF(AND(C16="Skema 4",B16="fr"),Skemaoplysninger!$BC$30,"")</f>
        <v/>
      </c>
      <c r="CA16" s="1">
        <f t="shared" si="25"/>
        <v>3</v>
      </c>
      <c r="CB16" s="1">
        <f t="shared" si="12"/>
        <v>0</v>
      </c>
      <c r="CC16" s="1">
        <f t="shared" si="13"/>
        <v>0</v>
      </c>
      <c r="CD16" s="210" t="str">
        <f>IF(AND(C16="Skema 1",B16="ma"),Skemaoplysninger!$E$31,"")</f>
        <v/>
      </c>
      <c r="CE16" s="210" t="str">
        <f>IF(AND(C16="Skema 1",B16="ti"),Skemaoplysninger!$G$31,"")</f>
        <v/>
      </c>
      <c r="CF16" s="210" t="str">
        <f>IF(AND(C16="Skema 1",B16="on"),Skemaoplysninger!$I$31,"")</f>
        <v/>
      </c>
      <c r="CG16" s="210" t="str">
        <f>IF(AND(C16="Skema 1",B16="to"),Skemaoplysninger!$K$31,"")</f>
        <v/>
      </c>
      <c r="CH16" s="210" t="str">
        <f>IF(AND(C16="Skema 1",B16="fr"),Skemaoplysninger!$M$31,"")</f>
        <v/>
      </c>
      <c r="CI16" s="210" t="str">
        <f>IF(AND(C16="Skema 2",B16="ma"),Skemaoplysninger!$S$31,"")</f>
        <v/>
      </c>
      <c r="CJ16" s="210" t="str">
        <f>IF(AND(C16="Skema 2",B16="ti"),Skemaoplysninger!$U$31,"")</f>
        <v/>
      </c>
      <c r="CK16" s="210" t="str">
        <f>IF(AND(C16="Skema 2",B16="on"),Skemaoplysninger!$W$31,"")</f>
        <v/>
      </c>
      <c r="CL16" s="210">
        <f>IF(AND(C16="Skema 2",B16="to"),Skemaoplysninger!$Y$31,"")</f>
        <v>3.4722222222222224E-2</v>
      </c>
      <c r="CM16" s="210" t="str">
        <f>IF(AND(C16="Skema 2",B16="fr"),Skemaoplysninger!$AA$31,"")</f>
        <v/>
      </c>
      <c r="CN16" s="210" t="str">
        <f>IF(AND(C16="Skema 3",B16="ma"),Skemaoplysninger!$AG$31,"")</f>
        <v/>
      </c>
      <c r="CO16" s="210" t="str">
        <f>IF(AND(C16="Skema 3",B16="ti"),Skemaoplysninger!$AI$31,"")</f>
        <v/>
      </c>
      <c r="CP16" s="210" t="str">
        <f>IF(AND(C16="Skema 3",B16="on"),Skemaoplysninger!$AK$31,"")</f>
        <v/>
      </c>
      <c r="CQ16" s="210" t="str">
        <f>IF(AND(C16="Skema 3",B16="to"),Skemaoplysninger!$AM$31,"")</f>
        <v/>
      </c>
      <c r="CR16" s="210" t="str">
        <f>IF(AND(C16="Skema 3",B16="fr"),Skemaoplysninger!$AO$31,"")</f>
        <v/>
      </c>
      <c r="CS16" s="210" t="str">
        <f>IF(AND(C16="Skema 4",B16="ma"),Skemaoplysninger!$AU$31,"")</f>
        <v/>
      </c>
      <c r="CT16" s="210" t="str">
        <f>IF(AND(C16="Skema 4",B16="ti"),Skemaoplysninger!$AW$31,"")</f>
        <v/>
      </c>
      <c r="CU16" s="210" t="str">
        <f>IF(AND(C16="Skema 4",B16="on"),Skemaoplysninger!$AY$31,"")</f>
        <v/>
      </c>
      <c r="CV16" s="210" t="str">
        <f>IF(AND(C16="Skema 4",B16="to"),Skemaoplysninger!$BA$31,"")</f>
        <v/>
      </c>
      <c r="CW16" s="210" t="str">
        <f>IF(AND(C16="Skema 4",B16="fr"),Skemaoplysninger!$BC$31,"")</f>
        <v/>
      </c>
      <c r="CX16" s="249">
        <f>IF(Stamoplysninger!$H$29="NEJ",SUM(CD16:CW16)*24+CB16+CC16,0)</f>
        <v>0.83333333333333337</v>
      </c>
      <c r="CY16" s="249">
        <f>IF(C16="Skema 1",Stamoplysninger!$H$30/200,0)</f>
        <v>0</v>
      </c>
      <c r="CZ16" s="249">
        <f>IF(C16="Skema 2",Stamoplysninger!$H$30/200,0)</f>
        <v>0</v>
      </c>
      <c r="DA16" s="249">
        <f>IF(C16="Skema 3",Stamoplysninger!$H$30/200,0)</f>
        <v>0</v>
      </c>
      <c r="DB16" s="249">
        <f>IF(C16="Skema 4",Stamoplysninger!$H$30/200,0)</f>
        <v>0</v>
      </c>
      <c r="DC16" s="249">
        <f>IF(C16="fagdag",Stamoplysninger!$H$30/200,0)</f>
        <v>0</v>
      </c>
      <c r="DD16" s="249">
        <f>IF(C16="emnedag",Stamoplysninger!$H$30/200,0)</f>
        <v>0</v>
      </c>
      <c r="DE16" s="249">
        <f>IF(C16="lejrskole",Stamoplysninger!$H$30/200,0)</f>
        <v>0</v>
      </c>
      <c r="DF16" s="249">
        <f>IF(C16="ekskursion",Stamoplysninger!$H$30/200,0)</f>
        <v>0</v>
      </c>
      <c r="DG16" s="249">
        <f t="shared" si="26"/>
        <v>0</v>
      </c>
      <c r="DH16" t="str">
        <f t="shared" si="27"/>
        <v/>
      </c>
      <c r="DI16">
        <f t="shared" si="28"/>
        <v>0</v>
      </c>
      <c r="DJ16">
        <f t="shared" si="29"/>
        <v>0</v>
      </c>
      <c r="DK16" t="str">
        <f t="shared" si="14"/>
        <v/>
      </c>
      <c r="DL16" t="str">
        <f t="shared" si="14"/>
        <v/>
      </c>
      <c r="DM16" t="str">
        <f t="shared" si="14"/>
        <v/>
      </c>
      <c r="DN16" t="str">
        <f t="shared" si="30"/>
        <v/>
      </c>
      <c r="DO16" s="652">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71">
        <f>IF(AND(Stamoplysninger!$B$22="Ulempetillæg udbetales med 25% af nettotimelønnen.",C16="ikke relevant"),(R16)/4,0)</f>
        <v>0</v>
      </c>
      <c r="DT16" s="671">
        <f>IF(AND(AND(Stamoplysninger!$B$22="Ulempetillæg udbetales med 25% af nettotimelønnen.",I16="X",C16="Ikke relevant")),K16/4,0)</f>
        <v>0</v>
      </c>
      <c r="DU16" s="671">
        <f>IF(AND(AND(Stamoplysninger!$B$22="Ulempetillæg udbetales med 25% af nettotimelønnen.",C16="ikke relevant",U16="X")),(X16/4),0)</f>
        <v>0</v>
      </c>
      <c r="DV16" s="672">
        <f>IF(AND(AND(AND(Stamoplysninger!$B$22="Ulempetillæg udbetales med 25% af nettotimelønnen.",I16="X",C16="Ikke relevant",S16="X"))),V16/4,0)</f>
        <v>0</v>
      </c>
      <c r="DW16" s="652"/>
      <c r="DZ16" s="671"/>
      <c r="EA16" s="671"/>
      <c r="EB16" s="672"/>
      <c r="EC16" s="652">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71">
        <f>IF(AND(Stamoplysninger!$B$22="Ulempetillæg afspadseres med 25%(Kræver en aftale imellem ledelsen og den ansatte)",C16="ikke relevant"),(R16)/4,0)</f>
        <v>0</v>
      </c>
      <c r="EH16" s="671">
        <f>IF(AND(AND(Stamoplysninger!$B$22="Ulempetillæg afspadseres med 25%(Kræver en aftale imellem ledelsen og den ansatte)",I16="X",C16="Ikke relevant")),K16/4,0)</f>
        <v>0</v>
      </c>
      <c r="EI16" s="671">
        <f>IF(AND(AND(Stamoplysninger!$B$22="Ulempetillæg afspadseres med 25%(Kræver en aftale imellem ledelsen og den ansatte)",U16="X",C16="Ikke relevant")),X16/4,0)</f>
        <v>0</v>
      </c>
      <c r="EJ16" s="671">
        <f>IF(AND(AND(AND(Stamoplysninger!$B$22="Ulempetillæg afspadseres med 25%(Kræver en aftale imellem ledelsen og den ansatte)",I16="X",C16="Ikke relevant",S16="X"))),V16/4,0)</f>
        <v>0</v>
      </c>
      <c r="EK16" s="283">
        <f>IF(AND(Stamoplysninger!$B$26="Weekendtimer og weekendtillæg afspadseres.",I16="X"),K16*1.5,0)</f>
        <v>0</v>
      </c>
      <c r="EL16" s="251">
        <f>IF(AND(AND(Stamoplysninger!$B$26="Weekendtimer og weekendtillæg afspadseres.",I16="X",S16="X")),V16*1.5,0)</f>
        <v>0</v>
      </c>
      <c r="EM16" s="674">
        <f>IF(AND(AND(Stamoplysninger!$B$26="Weekendtimer og weekendtillæg afspadseres.",I16="X",C16="ikke relevant")),K16*1.5,0)</f>
        <v>0</v>
      </c>
      <c r="EN16" s="675">
        <f>IF(AND(AND(AND(Stamoplysninger!$B$26="Weekendtimer og weekendtillæg afspadseres.",I16="X",C16="ikke relevant",S16="X"))),(V16*1.5),0)</f>
        <v>0</v>
      </c>
      <c r="EO16" s="283">
        <f>IF(AND(Stamoplysninger!$B$26="Weekendtimer og weekendtillæg udbetales.",I16="X"),K16*1.5,0)</f>
        <v>0</v>
      </c>
      <c r="EP16" s="251">
        <f>IF(AND(AND(Stamoplysninger!$B$26="Weekendtimer og weekendtillæg udbetales.",I16="X",S16="X")),V16*1.5,0)</f>
        <v>0</v>
      </c>
      <c r="EQ16" s="674">
        <f>IF(AND(AND(Stamoplysninger!$B$26="Weekendtimer og weekendtillæg udbetales.",I16="X",C16="ikke relevant")),K16*1.5,0)</f>
        <v>0</v>
      </c>
      <c r="ER16" s="675">
        <f>IF(AND(AND(AND(Stamoplysninger!$B$26="Weekendtimer og weekendtillæg udbetales.",I16="X",C16="ikke relevant",S16="X"))),(V16*1.5),0)</f>
        <v>0</v>
      </c>
      <c r="ES16" s="283">
        <f>IF(AND(Stamoplysninger!$B$26="Der er indgået lokalaftale omkring weekendtimer.(Kræver aftale med TR/FSL) Weekendtillæg afspadseres.",I16="X"),K16*0.5,0)</f>
        <v>0</v>
      </c>
      <c r="ET16" s="251">
        <f>IF(AND(AND(Stamoplysninger!$B$26="Der er indgået lokalaftale omkring weekendtimer.(Kræver aftale med TR/FSL) Weekendtillæg afspadseres.",I16="X",S16="X")),V16*0.5,0)</f>
        <v>0</v>
      </c>
      <c r="EU16" s="674">
        <f>IF(AND(AND(Stamoplysninger!$B$26="Der er indgået lokalaftale omkring weekendtimer.(Kræver aftale med TR/FSL) Weekendtillæg afspadseres.",I16="X",C16="ikke relevant")),K16*0.5,0)</f>
        <v>0</v>
      </c>
      <c r="EV16" s="675">
        <f>IF(AND(AND(AND(Stamoplysninger!$B$26="Der er indgået lokalaftale omkring weekendtimer.(Kræver aftale med TR/FSL) Weekendtillæg afspadseres.",I16="X",C16="ikke relevant",S16="X"))),(V16*0.5),0)</f>
        <v>0</v>
      </c>
      <c r="EW16" s="283">
        <f>IF(AND(Stamoplysninger!$B$26="Der er indgået lokalaftale omkring weekendtimer(Kræver aftale med TR/FSL). Weekendtillæg udbetales.",I16="X"),K16*0.5,0)</f>
        <v>0</v>
      </c>
      <c r="EX16" s="251">
        <f>IF(AND(AND(Stamoplysninger!$B$26="Der er indgået lokalaftale omkring weekendtimer(Kræver aftale med TR/FSL). Weekendtillæg udbetales.",I16="X",S16="X")),V16*0.5,0)</f>
        <v>0</v>
      </c>
      <c r="EY16" s="674">
        <f>IF(AND(AND(Stamoplysninger!$B$26="Der er indgået lokalaftale omkring weekendtimer(Kræver aftale med TR/FSL). Weekendtillæg udbetales.",I16="X",C16="ikke relevant")),K16*0.5,0)</f>
        <v>0</v>
      </c>
      <c r="EZ16" s="675">
        <f>IF(AND(AND(AND(Stamoplysninger!$B$26="Der er indgået lokalaftale omkring weekendtimer(Kræver aftale med TR/FSL). Weekendtillæg udbetales.",I16="X",C16="ikke relevant",S16="X"))),(V16*0.5),0)</f>
        <v>0</v>
      </c>
      <c r="FA16" s="283">
        <f>IF(AND(Stamoplysninger!$B$26="Der er indgået lokalaftale omkring weekendtillæg(Kræver aftale med TR/FSL). Weekendtimerne afspadseres.",I16="X"),K16,0)</f>
        <v>0</v>
      </c>
      <c r="FB16" s="251">
        <f>IF(AND(AND(Stamoplysninger!$B$26="Der er indgået lokalaftale omkring weekendtillæg(Kræver aftale med TR/FSL). Weekendtimerne afspadseres.",I16="X",S16="X")),V16,0)</f>
        <v>0</v>
      </c>
      <c r="FC16" s="674">
        <f>IF(AND(AND(Stamoplysninger!$B$26="Der er indgået lokalaftale omkring weekendtillæg(Kræver aftale med TR/FSL). Weekendtimerne afspadseres..",I16="X",C16="ikke relevant")),K16,0)</f>
        <v>0</v>
      </c>
      <c r="FD16" s="675">
        <f>IF(AND(AND(AND(Stamoplysninger!$B$26="Der er indgået lokalaftale omkring weekendtillæg(Kræver aftale med TR/FSL). Weekendtimerne afspadseres.",I16="X",C16="ikke relevant",S16="X"))),(V16),0)</f>
        <v>0</v>
      </c>
      <c r="FE16" s="283">
        <f>IF(AND(Stamoplysninger!$B$26="Der er indgået lokalaftale omkring weekendtillæg(Kræver aftale med TR/FSL). Weekendtimerne udbetales.",I16="X"),K16,0)</f>
        <v>0</v>
      </c>
      <c r="FF16" s="251">
        <f>IF(AND(AND(Stamoplysninger!$B$26="Der er indgået lokalaftale omkring weekendtillæg(Kræver aftale med TR/FSL). Weekendtimerne udbetales.",I16="X",S16="X")),V16,0)</f>
        <v>0</v>
      </c>
      <c r="FG16" s="674">
        <f>IF(AND(AND(Stamoplysninger!$B$26="Der er indgået lokalaftale omkring weekendtillæg(Kræver aftale med TR/FSL). Weekendtimerne udbetales.",I16="X",C16="ikke relevant")),K16,0)</f>
        <v>0</v>
      </c>
      <c r="FH16" s="675">
        <f>IF(AND(AND(AND(Stamoplysninger!$B$26="Der er indgået lokalaftale omkring weekendtillæg(Kræver aftale med TR/FSL). Weekendtimerne udbetales.",I16="X",C16="ikke relevant",S16="X"))),(V16),0)</f>
        <v>0</v>
      </c>
      <c r="FI16" s="283">
        <f>IF(AND(Stamoplysninger!$B$26="Weekendtimer og weekendtillæg afspadseres.",I16="X"),K16,0)</f>
        <v>0</v>
      </c>
      <c r="FJ16" s="251">
        <f>IF(AND(Stamoplysninger!$B$26="Weekendtimer og weekendtillæg afspadseres.",Y16="X"),(AA16+AL16)/2,0)</f>
        <v>0</v>
      </c>
      <c r="FK16" s="674">
        <f>IF(AND(AND(Stamoplysninger!$B$26="Weekendtimer og weekendtillæg afspadseres.",I16="X",C16="ikke relevant")),K16,0)</f>
        <v>0</v>
      </c>
      <c r="FL16" s="675">
        <f>IF(AND(AND(Stamoplysninger!$B$26="Weekendtimer og weekendtillæg afspadseres.",Y16="X",S16="ikke relevant")),(AA16+AL16)/2,0)</f>
        <v>0</v>
      </c>
      <c r="FM16" s="283">
        <f>IF(AND(Stamoplysninger!$B$26="Der er indgået lokalaftale omkring weekendtillæg(Kræver aftale med TR/FSL). Weekendtimerne afspadseres.",I16="X"),K16,0)</f>
        <v>0</v>
      </c>
      <c r="FN16" s="674">
        <f>IF(AND(AND(Stamoplysninger!$B$26="Der er indgået lokalaftale omkring weekendtillæg(Kræver aftale med TR/FSL). Weekendtimerne afspadseres.",I16="X",C16="ikke relevant")),K16,0)</f>
        <v>0</v>
      </c>
      <c r="FO16" s="283">
        <f>IF(AND(Stamoplysninger!$B$26="Weekendtimer og weekendtillæg udbetales.",I16="X"),K16,0)</f>
        <v>0</v>
      </c>
      <c r="FP16" s="251">
        <f>IF(AND(Stamoplysninger!$B$26="Weekendtimer og weekendtillæg udbetales.",AA16="X"),(AC16+AN16)/2,0)</f>
        <v>0</v>
      </c>
      <c r="FQ16" s="674">
        <f>IF(AND(AND(Stamoplysninger!$B$26="Weekendtimer og weekendtillæg udbetales.",I16="X",C16="ikke relevant")),K16,0)</f>
        <v>0</v>
      </c>
      <c r="FR16" s="688">
        <f>IF(AND(AND(Stamoplysninger!$B$26="Weekendtimer og weekendtillæg udbetales.",AA16="X",U16="ikke relevant")),(AC16+AN16)/2,0)</f>
        <v>0</v>
      </c>
      <c r="FS16" s="283">
        <f t="shared" si="15"/>
        <v>0</v>
      </c>
      <c r="FT16" s="658">
        <f t="shared" si="16"/>
        <v>0</v>
      </c>
      <c r="FU16">
        <f t="shared" si="17"/>
        <v>0</v>
      </c>
      <c r="FV16" s="283">
        <f>IF(AND(Stamoplysninger!$B$26="Der er indgået lokalaftale omkring weekendtimer.(Kræver aftale med TR/FSL) Weekendtillæg afspadseres.",I16="X"),K16,0)</f>
        <v>0</v>
      </c>
      <c r="FW16" s="674">
        <f>IF(AND(AND(Stamoplysninger!$B$26="Der er indgået lokalaftale omkring weekendtimer.(Kræver aftale med TR/FSL) Weekendtillæg afspadseres.",I16="X",C16="ikke relevant")),K16,0)</f>
        <v>0</v>
      </c>
      <c r="FX16" s="283">
        <f>IF(AND(Stamoplysninger!$B$26="Der er indgået lokalaftale omkring weekendtimer(Kræver aftale med TR/FSL). Weekendtillæg udbetales.",I16="X"),K16,0)</f>
        <v>0</v>
      </c>
      <c r="FY16" s="674">
        <f>IF(AND(AND(Stamoplysninger!$B$26="Der er indgået lokalaftale omkring weekendtimer(Kræver aftale med TR/FSL). Weekendtillæg udbetales.",I16="X",C16="ikke relevant")),K16,0)</f>
        <v>0</v>
      </c>
      <c r="FZ16" s="283">
        <f>IF(AND(Stamoplysninger!$B$26="Der er indgået lokalaftale omkring weekendtillæg(Kræver aftale med TR/FSL). Weekendtimerne udbetales.",I16="X"),K16,0)</f>
        <v>0</v>
      </c>
      <c r="GA16" s="674">
        <f>IF(AND(AND(Stamoplysninger!$B$26="Der er indgået lokalaftale omkring weekendtillæg(Kræver aftale med TR/FSL). Weekendtimerne udbetales.",I16="X",C16="ikke relevant")),K16,0)</f>
        <v>0</v>
      </c>
      <c r="GB16" s="283">
        <f>IF(AND(Stamoplysninger!$B$26="Der er indgået lokalaftale omkring weekendtimer og weekendtillæg.(Kræver aftale med TR/FSL).",I16="X"),K16,0)</f>
        <v>0</v>
      </c>
      <c r="GC16" s="674">
        <f>IF(AND(AND(Stamoplysninger!$B$26="Der er indgået lokalaftale omkring weekendtimer og weekendtillæg.(Kræver aftale med TR/FSL).",I16="X",C16="ikke relevant")),K16,0)</f>
        <v>0</v>
      </c>
    </row>
    <row r="17" spans="1:185">
      <c r="A17" s="245">
        <f t="shared" si="18"/>
        <v>9</v>
      </c>
      <c r="B17" s="128" t="str">
        <f t="shared" si="0"/>
        <v>fr</v>
      </c>
      <c r="C17" s="129" t="s">
        <v>207</v>
      </c>
      <c r="D17" s="130" t="str">
        <f t="shared" si="1"/>
        <v/>
      </c>
      <c r="E17" s="917"/>
      <c r="F17" s="918"/>
      <c r="G17" s="919"/>
      <c r="H17" s="298"/>
      <c r="I17" s="618"/>
      <c r="J17" s="413"/>
      <c r="K17" s="380"/>
      <c r="L17" s="380"/>
      <c r="M17" s="380"/>
      <c r="N17" s="318">
        <f t="shared" si="19"/>
        <v>7</v>
      </c>
      <c r="O17" s="318">
        <f t="shared" si="20"/>
        <v>3</v>
      </c>
      <c r="P17" s="318">
        <f>IF(Stamoplysninger!$H$29="JA",Maj!DG17,CX17)</f>
        <v>0.83333333333333337</v>
      </c>
      <c r="Q17" s="318">
        <f t="shared" si="21"/>
        <v>3.1666666666666665</v>
      </c>
      <c r="R17" s="319"/>
      <c r="S17" s="324"/>
      <c r="T17" s="325"/>
      <c r="U17" s="325"/>
      <c r="V17" s="435"/>
      <c r="W17" s="412"/>
      <c r="X17" s="642"/>
      <c r="Y17">
        <f t="shared" si="22"/>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f>IF(AND(C17="Skema 2",B17="fr"),Arbejdstidsoversigt!$E$85,"")</f>
        <v>7</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7</v>
      </c>
      <c r="BB17" s="229">
        <f t="shared" si="8"/>
        <v>0</v>
      </c>
      <c r="BC17" s="1">
        <f t="shared" si="24"/>
        <v>0</v>
      </c>
      <c r="BD17" s="1">
        <f t="shared" si="9"/>
        <v>0</v>
      </c>
      <c r="BE17" s="1">
        <f t="shared" si="10"/>
        <v>0</v>
      </c>
      <c r="BF17" s="1">
        <f t="shared" si="11"/>
        <v>0</v>
      </c>
      <c r="BG17" s="210" t="str">
        <f>IF(AND(C17="Skema 1",B17="ma"),Skemaoplysninger!$E$30,"")</f>
        <v/>
      </c>
      <c r="BH17" s="210" t="str">
        <f>IF(AND(C17="Skema 1",B17="ti"),Skemaoplysninger!$G$30,"")</f>
        <v/>
      </c>
      <c r="BI17" s="210" t="str">
        <f>IF(AND(C17="Skema 1",B17="on"),Skemaoplysninger!$I$30,"")</f>
        <v/>
      </c>
      <c r="BJ17" s="210" t="str">
        <f>IF(AND(C17="Skema 1",B17="to"),Skemaoplysninger!$K$30,"")</f>
        <v/>
      </c>
      <c r="BK17" s="210" t="str">
        <f>IF(AND(C17="Skema 1",B17="fr"),Skemaoplysninger!$M$30,"")</f>
        <v/>
      </c>
      <c r="BL17" s="210" t="str">
        <f>IF(AND(C17="Skema 2",B17="ma"),Skemaoplysninger!$S$30,"")</f>
        <v/>
      </c>
      <c r="BM17" s="210" t="str">
        <f>IF(AND(C17="Skema 2",B17="ti"),Skemaoplysninger!$U$30,"")</f>
        <v/>
      </c>
      <c r="BN17" s="210" t="str">
        <f>IF(AND(C17="Skema 2",B17="on"),Skemaoplysninger!$W$30,"")</f>
        <v/>
      </c>
      <c r="BO17" s="210" t="str">
        <f>IF(AND(C17="Skema 2",B17="to"),Skemaoplysninger!$Y$30,"")</f>
        <v/>
      </c>
      <c r="BP17" s="210">
        <f>IF(AND(C17="Skema 2",B17="fr"),Skemaoplysninger!$AA$30,"")</f>
        <v>0.125</v>
      </c>
      <c r="BQ17" s="210" t="str">
        <f>IF(AND(C17="Skema 3",B17="ma"),Skemaoplysninger!$AG$30,"")</f>
        <v/>
      </c>
      <c r="BR17" s="210" t="str">
        <f>IF(AND(C17="Skema 3",B17="ti"),Skemaoplysninger!$AI$30,"")</f>
        <v/>
      </c>
      <c r="BS17" s="210" t="str">
        <f>IF(AND(C17="Skema 3",B17="on"),Skemaoplysninger!$AK$30,"")</f>
        <v/>
      </c>
      <c r="BT17" s="210" t="str">
        <f>IF(AND(C17="Skema 3",B17="to"),Skemaoplysninger!$AM$30,"")</f>
        <v/>
      </c>
      <c r="BU17" s="210" t="str">
        <f>IF(AND(C17="Skema 3",B17="fr"),Skemaoplysninger!$AO$30,"")</f>
        <v/>
      </c>
      <c r="BV17" s="210" t="str">
        <f>IF(AND(C17="Skema 4",B17="ma"),Skemaoplysninger!$AU$30,"")</f>
        <v/>
      </c>
      <c r="BW17" s="210" t="str">
        <f>IF(AND(C17="Skema 4",B17="ti"),Skemaoplysninger!$AW$30,"")</f>
        <v/>
      </c>
      <c r="BX17" s="210" t="str">
        <f>IF(AND(C17="Skema 4",B17="on"),Skemaoplysninger!$AY$30,"")</f>
        <v/>
      </c>
      <c r="BY17" s="210" t="str">
        <f>IF(AND(C17="Skema 4",B17="to"),Skemaoplysninger!$BA$30,"")</f>
        <v/>
      </c>
      <c r="BZ17" s="210" t="str">
        <f>IF(AND(C17="Skema 4",B17="fr"),Skemaoplysninger!$BC$30,"")</f>
        <v/>
      </c>
      <c r="CA17" s="1">
        <f t="shared" si="25"/>
        <v>3</v>
      </c>
      <c r="CB17" s="1">
        <f t="shared" si="12"/>
        <v>0</v>
      </c>
      <c r="CC17" s="1">
        <f t="shared" si="13"/>
        <v>0</v>
      </c>
      <c r="CD17" s="210" t="str">
        <f>IF(AND(C17="Skema 1",B17="ma"),Skemaoplysninger!$E$31,"")</f>
        <v/>
      </c>
      <c r="CE17" s="210" t="str">
        <f>IF(AND(C17="Skema 1",B17="ti"),Skemaoplysninger!$G$31,"")</f>
        <v/>
      </c>
      <c r="CF17" s="210" t="str">
        <f>IF(AND(C17="Skema 1",B17="on"),Skemaoplysninger!$I$31,"")</f>
        <v/>
      </c>
      <c r="CG17" s="210" t="str">
        <f>IF(AND(C17="Skema 1",B17="to"),Skemaoplysninger!$K$31,"")</f>
        <v/>
      </c>
      <c r="CH17" s="210" t="str">
        <f>IF(AND(C17="Skema 1",B17="fr"),Skemaoplysninger!$M$31,"")</f>
        <v/>
      </c>
      <c r="CI17" s="210" t="str">
        <f>IF(AND(C17="Skema 2",B17="ma"),Skemaoplysninger!$S$31,"")</f>
        <v/>
      </c>
      <c r="CJ17" s="210" t="str">
        <f>IF(AND(C17="Skema 2",B17="ti"),Skemaoplysninger!$U$31,"")</f>
        <v/>
      </c>
      <c r="CK17" s="210" t="str">
        <f>IF(AND(C17="Skema 2",B17="on"),Skemaoplysninger!$W$31,"")</f>
        <v/>
      </c>
      <c r="CL17" s="210" t="str">
        <f>IF(AND(C17="Skema 2",B17="to"),Skemaoplysninger!$Y$31,"")</f>
        <v/>
      </c>
      <c r="CM17" s="210">
        <f>IF(AND(C17="Skema 2",B17="fr"),Skemaoplysninger!$AA$31,"")</f>
        <v>3.4722222222222224E-2</v>
      </c>
      <c r="CN17" s="210" t="str">
        <f>IF(AND(C17="Skema 3",B17="ma"),Skemaoplysninger!$AG$31,"")</f>
        <v/>
      </c>
      <c r="CO17" s="210" t="str">
        <f>IF(AND(C17="Skema 3",B17="ti"),Skemaoplysninger!$AI$31,"")</f>
        <v/>
      </c>
      <c r="CP17" s="210" t="str">
        <f>IF(AND(C17="Skema 3",B17="on"),Skemaoplysninger!$AK$31,"")</f>
        <v/>
      </c>
      <c r="CQ17" s="210" t="str">
        <f>IF(AND(C17="Skema 3",B17="to"),Skemaoplysninger!$AM$31,"")</f>
        <v/>
      </c>
      <c r="CR17" s="210" t="str">
        <f>IF(AND(C17="Skema 3",B17="fr"),Skemaoplysninger!$AO$31,"")</f>
        <v/>
      </c>
      <c r="CS17" s="210" t="str">
        <f>IF(AND(C17="Skema 4",B17="ma"),Skemaoplysninger!$AU$31,"")</f>
        <v/>
      </c>
      <c r="CT17" s="210" t="str">
        <f>IF(AND(C17="Skema 4",B17="ti"),Skemaoplysninger!$AW$31,"")</f>
        <v/>
      </c>
      <c r="CU17" s="210" t="str">
        <f>IF(AND(C17="Skema 4",B17="on"),Skemaoplysninger!$AY$31,"")</f>
        <v/>
      </c>
      <c r="CV17" s="210" t="str">
        <f>IF(AND(C17="Skema 4",B17="to"),Skemaoplysninger!$BA$31,"")</f>
        <v/>
      </c>
      <c r="CW17" s="210" t="str">
        <f>IF(AND(C17="Skema 4",B17="fr"),Skemaoplysninger!$BC$31,"")</f>
        <v/>
      </c>
      <c r="CX17" s="249">
        <f>IF(Stamoplysninger!$H$29="NEJ",SUM(CD17:CW17)*24+CB17+CC17,0)</f>
        <v>0.83333333333333337</v>
      </c>
      <c r="CY17" s="249">
        <f>IF(C17="Skema 1",Stamoplysninger!$H$30/200,0)</f>
        <v>0</v>
      </c>
      <c r="CZ17" s="249">
        <f>IF(C17="Skema 2",Stamoplysninger!$H$30/200,0)</f>
        <v>0</v>
      </c>
      <c r="DA17" s="249">
        <f>IF(C17="Skema 3",Stamoplysninger!$H$30/200,0)</f>
        <v>0</v>
      </c>
      <c r="DB17" s="249">
        <f>IF(C17="Skema 4",Stamoplysninger!$H$30/200,0)</f>
        <v>0</v>
      </c>
      <c r="DC17" s="249">
        <f>IF(C17="fagdag",Stamoplysninger!$H$30/200,0)</f>
        <v>0</v>
      </c>
      <c r="DD17" s="249">
        <f>IF(C17="emnedag",Stamoplysninger!$H$30/200,0)</f>
        <v>0</v>
      </c>
      <c r="DE17" s="249">
        <f>IF(C17="lejrskole",Stamoplysninger!$H$30/200,0)</f>
        <v>0</v>
      </c>
      <c r="DF17" s="249">
        <f>IF(C17="ekskursion",Stamoplysninger!$H$30/200,0)</f>
        <v>0</v>
      </c>
      <c r="DG17" s="249">
        <f t="shared" si="26"/>
        <v>0</v>
      </c>
      <c r="DH17" t="str">
        <f t="shared" si="27"/>
        <v/>
      </c>
      <c r="DI17">
        <f t="shared" si="28"/>
        <v>0</v>
      </c>
      <c r="DJ17">
        <f t="shared" si="29"/>
        <v>0</v>
      </c>
      <c r="DK17" t="str">
        <f t="shared" si="14"/>
        <v/>
      </c>
      <c r="DL17" t="str">
        <f t="shared" si="14"/>
        <v/>
      </c>
      <c r="DM17" t="str">
        <f t="shared" si="14"/>
        <v/>
      </c>
      <c r="DN17" t="str">
        <f t="shared" si="30"/>
        <v/>
      </c>
      <c r="DO17" s="652">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71">
        <f>IF(AND(Stamoplysninger!$B$22="Ulempetillæg udbetales med 25% af nettotimelønnen.",C17="ikke relevant"),(R17)/4,0)</f>
        <v>0</v>
      </c>
      <c r="DT17" s="671">
        <f>IF(AND(AND(Stamoplysninger!$B$22="Ulempetillæg udbetales med 25% af nettotimelønnen.",I17="X",C17="Ikke relevant")),K17/4,0)</f>
        <v>0</v>
      </c>
      <c r="DU17" s="671">
        <f>IF(AND(AND(Stamoplysninger!$B$22="Ulempetillæg udbetales med 25% af nettotimelønnen.",C17="ikke relevant",U17="X")),(X17/4),0)</f>
        <v>0</v>
      </c>
      <c r="DV17" s="672">
        <f>IF(AND(AND(AND(Stamoplysninger!$B$22="Ulempetillæg udbetales med 25% af nettotimelønnen.",I17="X",C17="Ikke relevant",S17="X"))),V17/4,0)</f>
        <v>0</v>
      </c>
      <c r="DW17" s="652"/>
      <c r="DZ17" s="671"/>
      <c r="EA17" s="671"/>
      <c r="EB17" s="672"/>
      <c r="EC17" s="652">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71">
        <f>IF(AND(Stamoplysninger!$B$22="Ulempetillæg afspadseres med 25%(Kræver en aftale imellem ledelsen og den ansatte)",C17="ikke relevant"),(R17)/4,0)</f>
        <v>0</v>
      </c>
      <c r="EH17" s="671">
        <f>IF(AND(AND(Stamoplysninger!$B$22="Ulempetillæg afspadseres med 25%(Kræver en aftale imellem ledelsen og den ansatte)",I17="X",C17="Ikke relevant")),K17/4,0)</f>
        <v>0</v>
      </c>
      <c r="EI17" s="671">
        <f>IF(AND(AND(Stamoplysninger!$B$22="Ulempetillæg afspadseres med 25%(Kræver en aftale imellem ledelsen og den ansatte)",U17="X",C17="Ikke relevant")),X17/4,0)</f>
        <v>0</v>
      </c>
      <c r="EJ17" s="671">
        <f>IF(AND(AND(AND(Stamoplysninger!$B$22="Ulempetillæg afspadseres med 25%(Kræver en aftale imellem ledelsen og den ansatte)",I17="X",C17="Ikke relevant",S17="X"))),V17/4,0)</f>
        <v>0</v>
      </c>
      <c r="EK17" s="283">
        <f>IF(AND(Stamoplysninger!$B$26="Weekendtimer og weekendtillæg afspadseres.",I17="X"),K17*1.5,0)</f>
        <v>0</v>
      </c>
      <c r="EL17" s="251">
        <f>IF(AND(AND(Stamoplysninger!$B$26="Weekendtimer og weekendtillæg afspadseres.",I17="X",S17="X")),V17*1.5,0)</f>
        <v>0</v>
      </c>
      <c r="EM17" s="674">
        <f>IF(AND(AND(Stamoplysninger!$B$26="Weekendtimer og weekendtillæg afspadseres.",I17="X",C17="ikke relevant")),K17*1.5,0)</f>
        <v>0</v>
      </c>
      <c r="EN17" s="675">
        <f>IF(AND(AND(AND(Stamoplysninger!$B$26="Weekendtimer og weekendtillæg afspadseres.",I17="X",C17="ikke relevant",S17="X"))),(V17*1.5),0)</f>
        <v>0</v>
      </c>
      <c r="EO17" s="283">
        <f>IF(AND(Stamoplysninger!$B$26="Weekendtimer og weekendtillæg udbetales.",I17="X"),K17*1.5,0)</f>
        <v>0</v>
      </c>
      <c r="EP17" s="251">
        <f>IF(AND(AND(Stamoplysninger!$B$26="Weekendtimer og weekendtillæg udbetales.",I17="X",S17="X")),V17*1.5,0)</f>
        <v>0</v>
      </c>
      <c r="EQ17" s="674">
        <f>IF(AND(AND(Stamoplysninger!$B$26="Weekendtimer og weekendtillæg udbetales.",I17="X",C17="ikke relevant")),K17*1.5,0)</f>
        <v>0</v>
      </c>
      <c r="ER17" s="675">
        <f>IF(AND(AND(AND(Stamoplysninger!$B$26="Weekendtimer og weekendtillæg udbetales.",I17="X",C17="ikke relevant",S17="X"))),(V17*1.5),0)</f>
        <v>0</v>
      </c>
      <c r="ES17" s="283">
        <f>IF(AND(Stamoplysninger!$B$26="Der er indgået lokalaftale omkring weekendtimer.(Kræver aftale med TR/FSL) Weekendtillæg afspadseres.",I17="X"),K17*0.5,0)</f>
        <v>0</v>
      </c>
      <c r="ET17" s="251">
        <f>IF(AND(AND(Stamoplysninger!$B$26="Der er indgået lokalaftale omkring weekendtimer.(Kræver aftale med TR/FSL) Weekendtillæg afspadseres.",I17="X",S17="X")),V17*0.5,0)</f>
        <v>0</v>
      </c>
      <c r="EU17" s="674">
        <f>IF(AND(AND(Stamoplysninger!$B$26="Der er indgået lokalaftale omkring weekendtimer.(Kræver aftale med TR/FSL) Weekendtillæg afspadseres.",I17="X",C17="ikke relevant")),K17*0.5,0)</f>
        <v>0</v>
      </c>
      <c r="EV17" s="675">
        <f>IF(AND(AND(AND(Stamoplysninger!$B$26="Der er indgået lokalaftale omkring weekendtimer.(Kræver aftale med TR/FSL) Weekendtillæg afspadseres.",I17="X",C17="ikke relevant",S17="X"))),(V17*0.5),0)</f>
        <v>0</v>
      </c>
      <c r="EW17" s="283">
        <f>IF(AND(Stamoplysninger!$B$26="Der er indgået lokalaftale omkring weekendtimer(Kræver aftale med TR/FSL). Weekendtillæg udbetales.",I17="X"),K17*0.5,0)</f>
        <v>0</v>
      </c>
      <c r="EX17" s="251">
        <f>IF(AND(AND(Stamoplysninger!$B$26="Der er indgået lokalaftale omkring weekendtimer(Kræver aftale med TR/FSL). Weekendtillæg udbetales.",I17="X",S17="X")),V17*0.5,0)</f>
        <v>0</v>
      </c>
      <c r="EY17" s="674">
        <f>IF(AND(AND(Stamoplysninger!$B$26="Der er indgået lokalaftale omkring weekendtimer(Kræver aftale med TR/FSL). Weekendtillæg udbetales.",I17="X",C17="ikke relevant")),K17*0.5,0)</f>
        <v>0</v>
      </c>
      <c r="EZ17" s="675">
        <f>IF(AND(AND(AND(Stamoplysninger!$B$26="Der er indgået lokalaftale omkring weekendtimer(Kræver aftale med TR/FSL). Weekendtillæg udbetales.",I17="X",C17="ikke relevant",S17="X"))),(V17*0.5),0)</f>
        <v>0</v>
      </c>
      <c r="FA17" s="283">
        <f>IF(AND(Stamoplysninger!$B$26="Der er indgået lokalaftale omkring weekendtillæg(Kræver aftale med TR/FSL). Weekendtimerne afspadseres.",I17="X"),K17,0)</f>
        <v>0</v>
      </c>
      <c r="FB17" s="251">
        <f>IF(AND(AND(Stamoplysninger!$B$26="Der er indgået lokalaftale omkring weekendtillæg(Kræver aftale med TR/FSL). Weekendtimerne afspadseres.",I17="X",S17="X")),V17,0)</f>
        <v>0</v>
      </c>
      <c r="FC17" s="674">
        <f>IF(AND(AND(Stamoplysninger!$B$26="Der er indgået lokalaftale omkring weekendtillæg(Kræver aftale med TR/FSL). Weekendtimerne afspadseres..",I17="X",C17="ikke relevant")),K17,0)</f>
        <v>0</v>
      </c>
      <c r="FD17" s="675">
        <f>IF(AND(AND(AND(Stamoplysninger!$B$26="Der er indgået lokalaftale omkring weekendtillæg(Kræver aftale med TR/FSL). Weekendtimerne afspadseres.",I17="X",C17="ikke relevant",S17="X"))),(V17),0)</f>
        <v>0</v>
      </c>
      <c r="FE17" s="283">
        <f>IF(AND(Stamoplysninger!$B$26="Der er indgået lokalaftale omkring weekendtillæg(Kræver aftale med TR/FSL). Weekendtimerne udbetales.",I17="X"),K17,0)</f>
        <v>0</v>
      </c>
      <c r="FF17" s="251">
        <f>IF(AND(AND(Stamoplysninger!$B$26="Der er indgået lokalaftale omkring weekendtillæg(Kræver aftale med TR/FSL). Weekendtimerne udbetales.",I17="X",S17="X")),V17,0)</f>
        <v>0</v>
      </c>
      <c r="FG17" s="674">
        <f>IF(AND(AND(Stamoplysninger!$B$26="Der er indgået lokalaftale omkring weekendtillæg(Kræver aftale med TR/FSL). Weekendtimerne udbetales.",I17="X",C17="ikke relevant")),K17,0)</f>
        <v>0</v>
      </c>
      <c r="FH17" s="675">
        <f>IF(AND(AND(AND(Stamoplysninger!$B$26="Der er indgået lokalaftale omkring weekendtillæg(Kræver aftale med TR/FSL). Weekendtimerne udbetales.",I17="X",C17="ikke relevant",S17="X"))),(V17),0)</f>
        <v>0</v>
      </c>
      <c r="FI17" s="283">
        <f>IF(AND(Stamoplysninger!$B$26="Weekendtimer og weekendtillæg afspadseres.",I17="X"),K17,0)</f>
        <v>0</v>
      </c>
      <c r="FJ17" s="251">
        <f>IF(AND(Stamoplysninger!$B$26="Weekendtimer og weekendtillæg afspadseres.",Y17="X"),(AA17+AL17)/2,0)</f>
        <v>0</v>
      </c>
      <c r="FK17" s="674">
        <f>IF(AND(AND(Stamoplysninger!$B$26="Weekendtimer og weekendtillæg afspadseres.",I17="X",C17="ikke relevant")),K17,0)</f>
        <v>0</v>
      </c>
      <c r="FL17" s="675">
        <f>IF(AND(AND(Stamoplysninger!$B$26="Weekendtimer og weekendtillæg afspadseres.",Y17="X",S17="ikke relevant")),(AA17+AL17)/2,0)</f>
        <v>0</v>
      </c>
      <c r="FM17" s="283">
        <f>IF(AND(Stamoplysninger!$B$26="Der er indgået lokalaftale omkring weekendtillæg(Kræver aftale med TR/FSL). Weekendtimerne afspadseres.",I17="X"),K17,0)</f>
        <v>0</v>
      </c>
      <c r="FN17" s="674">
        <f>IF(AND(AND(Stamoplysninger!$B$26="Der er indgået lokalaftale omkring weekendtillæg(Kræver aftale med TR/FSL). Weekendtimerne afspadseres.",I17="X",C17="ikke relevant")),K17,0)</f>
        <v>0</v>
      </c>
      <c r="FO17" s="283">
        <f>IF(AND(Stamoplysninger!$B$26="Weekendtimer og weekendtillæg udbetales.",I17="X"),K17,0)</f>
        <v>0</v>
      </c>
      <c r="FP17" s="251">
        <f>IF(AND(Stamoplysninger!$B$26="Weekendtimer og weekendtillæg udbetales.",AA17="X"),(AC17+AN17)/2,0)</f>
        <v>0</v>
      </c>
      <c r="FQ17" s="674">
        <f>IF(AND(AND(Stamoplysninger!$B$26="Weekendtimer og weekendtillæg udbetales.",I17="X",C17="ikke relevant")),K17,0)</f>
        <v>0</v>
      </c>
      <c r="FR17" s="688">
        <f>IF(AND(AND(Stamoplysninger!$B$26="Weekendtimer og weekendtillæg udbetales.",AA17="X",U17="ikke relevant")),(AC17+AN17)/2,0)</f>
        <v>0</v>
      </c>
      <c r="FS17" s="283">
        <f t="shared" si="15"/>
        <v>0</v>
      </c>
      <c r="FT17" s="658">
        <f t="shared" si="16"/>
        <v>0</v>
      </c>
      <c r="FU17">
        <f t="shared" si="17"/>
        <v>0</v>
      </c>
      <c r="FV17" s="283">
        <f>IF(AND(Stamoplysninger!$B$26="Der er indgået lokalaftale omkring weekendtimer.(Kræver aftale med TR/FSL) Weekendtillæg afspadseres.",I17="X"),K17,0)</f>
        <v>0</v>
      </c>
      <c r="FW17" s="674">
        <f>IF(AND(AND(Stamoplysninger!$B$26="Der er indgået lokalaftale omkring weekendtimer.(Kræver aftale med TR/FSL) Weekendtillæg afspadseres.",I17="X",C17="ikke relevant")),K17,0)</f>
        <v>0</v>
      </c>
      <c r="FX17" s="283">
        <f>IF(AND(Stamoplysninger!$B$26="Der er indgået lokalaftale omkring weekendtimer(Kræver aftale med TR/FSL). Weekendtillæg udbetales.",I17="X"),K17,0)</f>
        <v>0</v>
      </c>
      <c r="FY17" s="674">
        <f>IF(AND(AND(Stamoplysninger!$B$26="Der er indgået lokalaftale omkring weekendtimer(Kræver aftale med TR/FSL). Weekendtillæg udbetales.",I17="X",C17="ikke relevant")),K17,0)</f>
        <v>0</v>
      </c>
      <c r="FZ17" s="283">
        <f>IF(AND(Stamoplysninger!$B$26="Der er indgået lokalaftale omkring weekendtillæg(Kræver aftale med TR/FSL). Weekendtimerne udbetales.",I17="X"),K17,0)</f>
        <v>0</v>
      </c>
      <c r="GA17" s="674">
        <f>IF(AND(AND(Stamoplysninger!$B$26="Der er indgået lokalaftale omkring weekendtillæg(Kræver aftale med TR/FSL). Weekendtimerne udbetales.",I17="X",C17="ikke relevant")),K17,0)</f>
        <v>0</v>
      </c>
      <c r="GB17" s="283">
        <f>IF(AND(Stamoplysninger!$B$26="Der er indgået lokalaftale omkring weekendtimer og weekendtillæg.(Kræver aftale med TR/FSL).",I17="X"),K17,0)</f>
        <v>0</v>
      </c>
      <c r="GC17" s="674">
        <f>IF(AND(AND(Stamoplysninger!$B$26="Der er indgået lokalaftale omkring weekendtimer og weekendtillæg.(Kræver aftale med TR/FSL).",I17="X",C17="ikke relevant")),K17,0)</f>
        <v>0</v>
      </c>
    </row>
    <row r="18" spans="1:185">
      <c r="A18" s="245">
        <f t="shared" si="18"/>
        <v>10</v>
      </c>
      <c r="B18" s="128" t="str">
        <f t="shared" si="0"/>
        <v>lø</v>
      </c>
      <c r="C18" s="129" t="s">
        <v>120</v>
      </c>
      <c r="D18" s="130" t="str">
        <f t="shared" si="1"/>
        <v/>
      </c>
      <c r="E18" s="917"/>
      <c r="F18" s="918"/>
      <c r="G18" s="919"/>
      <c r="H18" s="298"/>
      <c r="I18" s="413"/>
      <c r="J18" s="413"/>
      <c r="K18" s="380"/>
      <c r="L18" s="380"/>
      <c r="M18" s="380"/>
      <c r="N18" s="318">
        <f t="shared" si="19"/>
        <v>0</v>
      </c>
      <c r="O18" s="318">
        <f t="shared" si="20"/>
        <v>0</v>
      </c>
      <c r="P18" s="318">
        <f>IF(Stamoplysninger!$H$29="JA",Maj!DG18,CX18)</f>
        <v>0</v>
      </c>
      <c r="Q18" s="318">
        <f t="shared" si="21"/>
        <v>0</v>
      </c>
      <c r="R18" s="319"/>
      <c r="S18" s="324"/>
      <c r="T18" s="325"/>
      <c r="U18" s="325"/>
      <c r="V18" s="435"/>
      <c r="W18" s="412"/>
      <c r="X18" s="642"/>
      <c r="Y18">
        <f t="shared" si="22"/>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9">
        <f t="shared" si="8"/>
        <v>0</v>
      </c>
      <c r="BC18" s="1">
        <f t="shared" si="24"/>
        <v>0</v>
      </c>
      <c r="BD18" s="1">
        <f t="shared" si="9"/>
        <v>0</v>
      </c>
      <c r="BE18" s="1">
        <f t="shared" si="10"/>
        <v>0</v>
      </c>
      <c r="BF18" s="1">
        <f t="shared" si="11"/>
        <v>0</v>
      </c>
      <c r="BG18" s="210" t="str">
        <f>IF(AND(C18="Skema 1",B18="ma"),Skemaoplysninger!$E$30,"")</f>
        <v/>
      </c>
      <c r="BH18" s="210" t="str">
        <f>IF(AND(C18="Skema 1",B18="ti"),Skemaoplysninger!$G$30,"")</f>
        <v/>
      </c>
      <c r="BI18" s="210" t="str">
        <f>IF(AND(C18="Skema 1",B18="on"),Skemaoplysninger!$I$30,"")</f>
        <v/>
      </c>
      <c r="BJ18" s="210" t="str">
        <f>IF(AND(C18="Skema 1",B18="to"),Skemaoplysninger!$K$30,"")</f>
        <v/>
      </c>
      <c r="BK18" s="210" t="str">
        <f>IF(AND(C18="Skema 1",B18="fr"),Skemaoplysninger!$M$30,"")</f>
        <v/>
      </c>
      <c r="BL18" s="210" t="str">
        <f>IF(AND(C18="Skema 2",B18="ma"),Skemaoplysninger!$S$30,"")</f>
        <v/>
      </c>
      <c r="BM18" s="210" t="str">
        <f>IF(AND(C18="Skema 2",B18="ti"),Skemaoplysninger!$U$30,"")</f>
        <v/>
      </c>
      <c r="BN18" s="210" t="str">
        <f>IF(AND(C18="Skema 2",B18="on"),Skemaoplysninger!$W$30,"")</f>
        <v/>
      </c>
      <c r="BO18" s="210" t="str">
        <f>IF(AND(C18="Skema 2",B18="to"),Skemaoplysninger!$Y$30,"")</f>
        <v/>
      </c>
      <c r="BP18" s="210" t="str">
        <f>IF(AND(C18="Skema 2",B18="fr"),Skemaoplysninger!$AA$30,"")</f>
        <v/>
      </c>
      <c r="BQ18" s="210" t="str">
        <f>IF(AND(C18="Skema 3",B18="ma"),Skemaoplysninger!$AG$30,"")</f>
        <v/>
      </c>
      <c r="BR18" s="210" t="str">
        <f>IF(AND(C18="Skema 3",B18="ti"),Skemaoplysninger!$AI$30,"")</f>
        <v/>
      </c>
      <c r="BS18" s="210" t="str">
        <f>IF(AND(C18="Skema 3",B18="on"),Skemaoplysninger!$AK$30,"")</f>
        <v/>
      </c>
      <c r="BT18" s="210" t="str">
        <f>IF(AND(C18="Skema 3",B18="to"),Skemaoplysninger!$AM$30,"")</f>
        <v/>
      </c>
      <c r="BU18" s="210" t="str">
        <f>IF(AND(C18="Skema 3",B18="fr"),Skemaoplysninger!$AO$30,"")</f>
        <v/>
      </c>
      <c r="BV18" s="210" t="str">
        <f>IF(AND(C18="Skema 4",B18="ma"),Skemaoplysninger!$AU$30,"")</f>
        <v/>
      </c>
      <c r="BW18" s="210" t="str">
        <f>IF(AND(C18="Skema 4",B18="ti"),Skemaoplysninger!$AW$30,"")</f>
        <v/>
      </c>
      <c r="BX18" s="210" t="str">
        <f>IF(AND(C18="Skema 4",B18="on"),Skemaoplysninger!$AY$30,"")</f>
        <v/>
      </c>
      <c r="BY18" s="210" t="str">
        <f>IF(AND(C18="Skema 4",B18="to"),Skemaoplysninger!$BA$30,"")</f>
        <v/>
      </c>
      <c r="BZ18" s="210" t="str">
        <f>IF(AND(C18="Skema 4",B18="fr"),Skemaoplysninger!$BC$30,"")</f>
        <v/>
      </c>
      <c r="CA18" s="1">
        <f t="shared" si="25"/>
        <v>0</v>
      </c>
      <c r="CB18" s="1">
        <f t="shared" si="12"/>
        <v>0</v>
      </c>
      <c r="CC18" s="1">
        <f t="shared" si="13"/>
        <v>0</v>
      </c>
      <c r="CD18" s="210" t="str">
        <f>IF(AND(C18="Skema 1",B18="ma"),Skemaoplysninger!$E$31,"")</f>
        <v/>
      </c>
      <c r="CE18" s="210" t="str">
        <f>IF(AND(C18="Skema 1",B18="ti"),Skemaoplysninger!$G$31,"")</f>
        <v/>
      </c>
      <c r="CF18" s="210" t="str">
        <f>IF(AND(C18="Skema 1",B18="on"),Skemaoplysninger!$I$31,"")</f>
        <v/>
      </c>
      <c r="CG18" s="210" t="str">
        <f>IF(AND(C18="Skema 1",B18="to"),Skemaoplysninger!$K$31,"")</f>
        <v/>
      </c>
      <c r="CH18" s="210" t="str">
        <f>IF(AND(C18="Skema 1",B18="fr"),Skemaoplysninger!$M$31,"")</f>
        <v/>
      </c>
      <c r="CI18" s="210" t="str">
        <f>IF(AND(C18="Skema 2",B18="ma"),Skemaoplysninger!$S$31,"")</f>
        <v/>
      </c>
      <c r="CJ18" s="210" t="str">
        <f>IF(AND(C18="Skema 2",B18="ti"),Skemaoplysninger!$U$31,"")</f>
        <v/>
      </c>
      <c r="CK18" s="210" t="str">
        <f>IF(AND(C18="Skema 2",B18="on"),Skemaoplysninger!$W$31,"")</f>
        <v/>
      </c>
      <c r="CL18" s="210" t="str">
        <f>IF(AND(C18="Skema 2",B18="to"),Skemaoplysninger!$Y$31,"")</f>
        <v/>
      </c>
      <c r="CM18" s="210" t="str">
        <f>IF(AND(C18="Skema 2",B18="fr"),Skemaoplysninger!$AA$31,"")</f>
        <v/>
      </c>
      <c r="CN18" s="210" t="str">
        <f>IF(AND(C18="Skema 3",B18="ma"),Skemaoplysninger!$AG$31,"")</f>
        <v/>
      </c>
      <c r="CO18" s="210" t="str">
        <f>IF(AND(C18="Skema 3",B18="ti"),Skemaoplysninger!$AI$31,"")</f>
        <v/>
      </c>
      <c r="CP18" s="210" t="str">
        <f>IF(AND(C18="Skema 3",B18="on"),Skemaoplysninger!$AK$31,"")</f>
        <v/>
      </c>
      <c r="CQ18" s="210" t="str">
        <f>IF(AND(C18="Skema 3",B18="to"),Skemaoplysninger!$AM$31,"")</f>
        <v/>
      </c>
      <c r="CR18" s="210" t="str">
        <f>IF(AND(C18="Skema 3",B18="fr"),Skemaoplysninger!$AO$31,"")</f>
        <v/>
      </c>
      <c r="CS18" s="210" t="str">
        <f>IF(AND(C18="Skema 4",B18="ma"),Skemaoplysninger!$AU$31,"")</f>
        <v/>
      </c>
      <c r="CT18" s="210" t="str">
        <f>IF(AND(C18="Skema 4",B18="ti"),Skemaoplysninger!$AW$31,"")</f>
        <v/>
      </c>
      <c r="CU18" s="210" t="str">
        <f>IF(AND(C18="Skema 4",B18="on"),Skemaoplysninger!$AY$31,"")</f>
        <v/>
      </c>
      <c r="CV18" s="210" t="str">
        <f>IF(AND(C18="Skema 4",B18="to"),Skemaoplysninger!$BA$31,"")</f>
        <v/>
      </c>
      <c r="CW18" s="210" t="str">
        <f>IF(AND(C18="Skema 4",B18="fr"),Skemaoplysninger!$BC$31,"")</f>
        <v/>
      </c>
      <c r="CX18" s="249">
        <f>IF(Stamoplysninger!$H$29="NEJ",SUM(CD18:CW18)*24+CB18+CC18,0)</f>
        <v>0</v>
      </c>
      <c r="CY18" s="249">
        <f>IF(C18="Skema 1",Stamoplysninger!$H$30/200,0)</f>
        <v>0</v>
      </c>
      <c r="CZ18" s="249">
        <f>IF(C18="Skema 2",Stamoplysninger!$H$30/200,0)</f>
        <v>0</v>
      </c>
      <c r="DA18" s="249">
        <f>IF(C18="Skema 3",Stamoplysninger!$H$30/200,0)</f>
        <v>0</v>
      </c>
      <c r="DB18" s="249">
        <f>IF(C18="Skema 4",Stamoplysninger!$H$30/200,0)</f>
        <v>0</v>
      </c>
      <c r="DC18" s="249">
        <f>IF(C18="fagdag",Stamoplysninger!$H$30/200,0)</f>
        <v>0</v>
      </c>
      <c r="DD18" s="249">
        <f>IF(C18="emnedag",Stamoplysninger!$H$30/200,0)</f>
        <v>0</v>
      </c>
      <c r="DE18" s="249">
        <f>IF(C18="lejrskole",Stamoplysninger!$H$30/200,0)</f>
        <v>0</v>
      </c>
      <c r="DF18" s="249">
        <f>IF(C18="ekskursion",Stamoplysninger!$H$30/200,0)</f>
        <v>0</v>
      </c>
      <c r="DG18" s="249">
        <f t="shared" si="26"/>
        <v>0</v>
      </c>
      <c r="DH18" t="str">
        <f t="shared" si="27"/>
        <v/>
      </c>
      <c r="DI18">
        <f t="shared" si="28"/>
        <v>0</v>
      </c>
      <c r="DJ18">
        <f t="shared" si="29"/>
        <v>0</v>
      </c>
      <c r="DK18" t="str">
        <f t="shared" si="14"/>
        <v/>
      </c>
      <c r="DL18" t="str">
        <f t="shared" si="14"/>
        <v/>
      </c>
      <c r="DM18" t="str">
        <f t="shared" si="14"/>
        <v/>
      </c>
      <c r="DN18" t="str">
        <f t="shared" si="30"/>
        <v/>
      </c>
      <c r="DO18" s="652">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71">
        <f>IF(AND(Stamoplysninger!$B$22="Ulempetillæg udbetales med 25% af nettotimelønnen.",C18="ikke relevant"),(R18)/4,0)</f>
        <v>0</v>
      </c>
      <c r="DT18" s="671">
        <f>IF(AND(AND(Stamoplysninger!$B$22="Ulempetillæg udbetales med 25% af nettotimelønnen.",I18="X",C18="Ikke relevant")),K18/4,0)</f>
        <v>0</v>
      </c>
      <c r="DU18" s="671">
        <f>IF(AND(AND(Stamoplysninger!$B$22="Ulempetillæg udbetales med 25% af nettotimelønnen.",C18="ikke relevant",U18="X")),(X18/4),0)</f>
        <v>0</v>
      </c>
      <c r="DV18" s="672">
        <f>IF(AND(AND(AND(Stamoplysninger!$B$22="Ulempetillæg udbetales med 25% af nettotimelønnen.",I18="X",C18="Ikke relevant",S18="X"))),V18/4,0)</f>
        <v>0</v>
      </c>
      <c r="DW18" s="652"/>
      <c r="DZ18" s="671"/>
      <c r="EA18" s="671"/>
      <c r="EB18" s="672"/>
      <c r="EC18" s="652">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71">
        <f>IF(AND(Stamoplysninger!$B$22="Ulempetillæg afspadseres med 25%(Kræver en aftale imellem ledelsen og den ansatte)",C18="ikke relevant"),(R18)/4,0)</f>
        <v>0</v>
      </c>
      <c r="EH18" s="671">
        <f>IF(AND(AND(Stamoplysninger!$B$22="Ulempetillæg afspadseres med 25%(Kræver en aftale imellem ledelsen og den ansatte)",I18="X",C18="Ikke relevant")),K18/4,0)</f>
        <v>0</v>
      </c>
      <c r="EI18" s="671">
        <f>IF(AND(AND(Stamoplysninger!$B$22="Ulempetillæg afspadseres med 25%(Kræver en aftale imellem ledelsen og den ansatte)",U18="X",C18="Ikke relevant")),X18/4,0)</f>
        <v>0</v>
      </c>
      <c r="EJ18" s="671">
        <f>IF(AND(AND(AND(Stamoplysninger!$B$22="Ulempetillæg afspadseres med 25%(Kræver en aftale imellem ledelsen og den ansatte)",I18="X",C18="Ikke relevant",S18="X"))),V18/4,0)</f>
        <v>0</v>
      </c>
      <c r="EK18" s="283">
        <f>IF(AND(Stamoplysninger!$B$26="Weekendtimer og weekendtillæg afspadseres.",I18="X"),K18*1.5,0)</f>
        <v>0</v>
      </c>
      <c r="EL18" s="251">
        <f>IF(AND(AND(Stamoplysninger!$B$26="Weekendtimer og weekendtillæg afspadseres.",I18="X",S18="X")),V18*1.5,0)</f>
        <v>0</v>
      </c>
      <c r="EM18" s="674">
        <f>IF(AND(AND(Stamoplysninger!$B$26="Weekendtimer og weekendtillæg afspadseres.",I18="X",C18="ikke relevant")),K18*1.5,0)</f>
        <v>0</v>
      </c>
      <c r="EN18" s="675">
        <f>IF(AND(AND(AND(Stamoplysninger!$B$26="Weekendtimer og weekendtillæg afspadseres.",I18="X",C18="ikke relevant",S18="X"))),(V18*1.5),0)</f>
        <v>0</v>
      </c>
      <c r="EO18" s="283">
        <f>IF(AND(Stamoplysninger!$B$26="Weekendtimer og weekendtillæg udbetales.",I18="X"),K18*1.5,0)</f>
        <v>0</v>
      </c>
      <c r="EP18" s="251">
        <f>IF(AND(AND(Stamoplysninger!$B$26="Weekendtimer og weekendtillæg udbetales.",I18="X",S18="X")),V18*1.5,0)</f>
        <v>0</v>
      </c>
      <c r="EQ18" s="674">
        <f>IF(AND(AND(Stamoplysninger!$B$26="Weekendtimer og weekendtillæg udbetales.",I18="X",C18="ikke relevant")),K18*1.5,0)</f>
        <v>0</v>
      </c>
      <c r="ER18" s="675">
        <f>IF(AND(AND(AND(Stamoplysninger!$B$26="Weekendtimer og weekendtillæg udbetales.",I18="X",C18="ikke relevant",S18="X"))),(V18*1.5),0)</f>
        <v>0</v>
      </c>
      <c r="ES18" s="283">
        <f>IF(AND(Stamoplysninger!$B$26="Der er indgået lokalaftale omkring weekendtimer.(Kræver aftale med TR/FSL) Weekendtillæg afspadseres.",I18="X"),K18*0.5,0)</f>
        <v>0</v>
      </c>
      <c r="ET18" s="251">
        <f>IF(AND(AND(Stamoplysninger!$B$26="Der er indgået lokalaftale omkring weekendtimer.(Kræver aftale med TR/FSL) Weekendtillæg afspadseres.",I18="X",S18="X")),V18*0.5,0)</f>
        <v>0</v>
      </c>
      <c r="EU18" s="674">
        <f>IF(AND(AND(Stamoplysninger!$B$26="Der er indgået lokalaftale omkring weekendtimer.(Kræver aftale med TR/FSL) Weekendtillæg afspadseres.",I18="X",C18="ikke relevant")),K18*0.5,0)</f>
        <v>0</v>
      </c>
      <c r="EV18" s="675">
        <f>IF(AND(AND(AND(Stamoplysninger!$B$26="Der er indgået lokalaftale omkring weekendtimer.(Kræver aftale med TR/FSL) Weekendtillæg afspadseres.",I18="X",C18="ikke relevant",S18="X"))),(V18*0.5),0)</f>
        <v>0</v>
      </c>
      <c r="EW18" s="283">
        <f>IF(AND(Stamoplysninger!$B$26="Der er indgået lokalaftale omkring weekendtimer(Kræver aftale med TR/FSL). Weekendtillæg udbetales.",I18="X"),K18*0.5,0)</f>
        <v>0</v>
      </c>
      <c r="EX18" s="251">
        <f>IF(AND(AND(Stamoplysninger!$B$26="Der er indgået lokalaftale omkring weekendtimer(Kræver aftale med TR/FSL). Weekendtillæg udbetales.",I18="X",S18="X")),V18*0.5,0)</f>
        <v>0</v>
      </c>
      <c r="EY18" s="674">
        <f>IF(AND(AND(Stamoplysninger!$B$26="Der er indgået lokalaftale omkring weekendtimer(Kræver aftale med TR/FSL). Weekendtillæg udbetales.",I18="X",C18="ikke relevant")),K18*0.5,0)</f>
        <v>0</v>
      </c>
      <c r="EZ18" s="675">
        <f>IF(AND(AND(AND(Stamoplysninger!$B$26="Der er indgået lokalaftale omkring weekendtimer(Kræver aftale med TR/FSL). Weekendtillæg udbetales.",I18="X",C18="ikke relevant",S18="X"))),(V18*0.5),0)</f>
        <v>0</v>
      </c>
      <c r="FA18" s="283">
        <f>IF(AND(Stamoplysninger!$B$26="Der er indgået lokalaftale omkring weekendtillæg(Kræver aftale med TR/FSL). Weekendtimerne afspadseres.",I18="X"),K18,0)</f>
        <v>0</v>
      </c>
      <c r="FB18" s="251">
        <f>IF(AND(AND(Stamoplysninger!$B$26="Der er indgået lokalaftale omkring weekendtillæg(Kræver aftale med TR/FSL). Weekendtimerne afspadseres.",I18="X",S18="X")),V18,0)</f>
        <v>0</v>
      </c>
      <c r="FC18" s="674">
        <f>IF(AND(AND(Stamoplysninger!$B$26="Der er indgået lokalaftale omkring weekendtillæg(Kræver aftale med TR/FSL). Weekendtimerne afspadseres..",I18="X",C18="ikke relevant")),K18,0)</f>
        <v>0</v>
      </c>
      <c r="FD18" s="675">
        <f>IF(AND(AND(AND(Stamoplysninger!$B$26="Der er indgået lokalaftale omkring weekendtillæg(Kræver aftale med TR/FSL). Weekendtimerne afspadseres.",I18="X",C18="ikke relevant",S18="X"))),(V18),0)</f>
        <v>0</v>
      </c>
      <c r="FE18" s="283">
        <f>IF(AND(Stamoplysninger!$B$26="Der er indgået lokalaftale omkring weekendtillæg(Kræver aftale med TR/FSL). Weekendtimerne udbetales.",I18="X"),K18,0)</f>
        <v>0</v>
      </c>
      <c r="FF18" s="251">
        <f>IF(AND(AND(Stamoplysninger!$B$26="Der er indgået lokalaftale omkring weekendtillæg(Kræver aftale med TR/FSL). Weekendtimerne udbetales.",I18="X",S18="X")),V18,0)</f>
        <v>0</v>
      </c>
      <c r="FG18" s="674">
        <f>IF(AND(AND(Stamoplysninger!$B$26="Der er indgået lokalaftale omkring weekendtillæg(Kræver aftale med TR/FSL). Weekendtimerne udbetales.",I18="X",C18="ikke relevant")),K18,0)</f>
        <v>0</v>
      </c>
      <c r="FH18" s="675">
        <f>IF(AND(AND(AND(Stamoplysninger!$B$26="Der er indgået lokalaftale omkring weekendtillæg(Kræver aftale med TR/FSL). Weekendtimerne udbetales.",I18="X",C18="ikke relevant",S18="X"))),(V18),0)</f>
        <v>0</v>
      </c>
      <c r="FI18" s="283">
        <f>IF(AND(Stamoplysninger!$B$26="Weekendtimer og weekendtillæg afspadseres.",I18="X"),K18,0)</f>
        <v>0</v>
      </c>
      <c r="FJ18" s="251">
        <f>IF(AND(Stamoplysninger!$B$26="Weekendtimer og weekendtillæg afspadseres.",Y18="X"),(AA18+AL18)/2,0)</f>
        <v>0</v>
      </c>
      <c r="FK18" s="674">
        <f>IF(AND(AND(Stamoplysninger!$B$26="Weekendtimer og weekendtillæg afspadseres.",I18="X",C18="ikke relevant")),K18,0)</f>
        <v>0</v>
      </c>
      <c r="FL18" s="675">
        <f>IF(AND(AND(Stamoplysninger!$B$26="Weekendtimer og weekendtillæg afspadseres.",Y18="X",S18="ikke relevant")),(AA18+AL18)/2,0)</f>
        <v>0</v>
      </c>
      <c r="FM18" s="283">
        <f>IF(AND(Stamoplysninger!$B$26="Der er indgået lokalaftale omkring weekendtillæg(Kræver aftale med TR/FSL). Weekendtimerne afspadseres.",I18="X"),K18,0)</f>
        <v>0</v>
      </c>
      <c r="FN18" s="674">
        <f>IF(AND(AND(Stamoplysninger!$B$26="Der er indgået lokalaftale omkring weekendtillæg(Kræver aftale med TR/FSL). Weekendtimerne afspadseres.",I18="X",C18="ikke relevant")),K18,0)</f>
        <v>0</v>
      </c>
      <c r="FO18" s="283">
        <f>IF(AND(Stamoplysninger!$B$26="Weekendtimer og weekendtillæg udbetales.",I18="X"),K18,0)</f>
        <v>0</v>
      </c>
      <c r="FP18" s="251">
        <f>IF(AND(Stamoplysninger!$B$26="Weekendtimer og weekendtillæg udbetales.",AA18="X"),(AC18+AN18)/2,0)</f>
        <v>0</v>
      </c>
      <c r="FQ18" s="674">
        <f>IF(AND(AND(Stamoplysninger!$B$26="Weekendtimer og weekendtillæg udbetales.",I18="X",C18="ikke relevant")),K18,0)</f>
        <v>0</v>
      </c>
      <c r="FR18" s="688">
        <f>IF(AND(AND(Stamoplysninger!$B$26="Weekendtimer og weekendtillæg udbetales.",AA18="X",U18="ikke relevant")),(AC18+AN18)/2,0)</f>
        <v>0</v>
      </c>
      <c r="FS18" s="283">
        <f t="shared" si="15"/>
        <v>0</v>
      </c>
      <c r="FT18" s="658">
        <f t="shared" si="16"/>
        <v>0</v>
      </c>
      <c r="FU18">
        <f t="shared" si="17"/>
        <v>0</v>
      </c>
      <c r="FV18" s="283">
        <f>IF(AND(Stamoplysninger!$B$26="Der er indgået lokalaftale omkring weekendtimer.(Kræver aftale med TR/FSL) Weekendtillæg afspadseres.",I18="X"),K18,0)</f>
        <v>0</v>
      </c>
      <c r="FW18" s="674">
        <f>IF(AND(AND(Stamoplysninger!$B$26="Der er indgået lokalaftale omkring weekendtimer.(Kræver aftale med TR/FSL) Weekendtillæg afspadseres.",I18="X",C18="ikke relevant")),K18,0)</f>
        <v>0</v>
      </c>
      <c r="FX18" s="283">
        <f>IF(AND(Stamoplysninger!$B$26="Der er indgået lokalaftale omkring weekendtimer(Kræver aftale med TR/FSL). Weekendtillæg udbetales.",I18="X"),K18,0)</f>
        <v>0</v>
      </c>
      <c r="FY18" s="674">
        <f>IF(AND(AND(Stamoplysninger!$B$26="Der er indgået lokalaftale omkring weekendtimer(Kræver aftale med TR/FSL). Weekendtillæg udbetales.",I18="X",C18="ikke relevant")),K18,0)</f>
        <v>0</v>
      </c>
      <c r="FZ18" s="283">
        <f>IF(AND(Stamoplysninger!$B$26="Der er indgået lokalaftale omkring weekendtillæg(Kræver aftale med TR/FSL). Weekendtimerne udbetales.",I18="X"),K18,0)</f>
        <v>0</v>
      </c>
      <c r="GA18" s="674">
        <f>IF(AND(AND(Stamoplysninger!$B$26="Der er indgået lokalaftale omkring weekendtillæg(Kræver aftale med TR/FSL). Weekendtimerne udbetales.",I18="X",C18="ikke relevant")),K18,0)</f>
        <v>0</v>
      </c>
      <c r="GB18" s="283">
        <f>IF(AND(Stamoplysninger!$B$26="Der er indgået lokalaftale omkring weekendtimer og weekendtillæg.(Kræver aftale med TR/FSL).",I18="X"),K18,0)</f>
        <v>0</v>
      </c>
      <c r="GC18" s="674">
        <f>IF(AND(AND(Stamoplysninger!$B$26="Der er indgået lokalaftale omkring weekendtimer og weekendtillæg.(Kræver aftale med TR/FSL).",I18="X",C18="ikke relevant")),K18,0)</f>
        <v>0</v>
      </c>
    </row>
    <row r="19" spans="1:185">
      <c r="A19" s="245">
        <f t="shared" si="18"/>
        <v>11</v>
      </c>
      <c r="B19" s="128" t="str">
        <f t="shared" si="0"/>
        <v>sø</v>
      </c>
      <c r="C19" s="129" t="s">
        <v>120</v>
      </c>
      <c r="D19" s="130" t="str">
        <f t="shared" si="1"/>
        <v/>
      </c>
      <c r="E19" s="917"/>
      <c r="F19" s="918"/>
      <c r="G19" s="919"/>
      <c r="H19" s="298"/>
      <c r="I19" s="413"/>
      <c r="J19" s="413"/>
      <c r="K19" s="380"/>
      <c r="L19" s="380"/>
      <c r="M19" s="380"/>
      <c r="N19" s="318">
        <f t="shared" si="19"/>
        <v>0</v>
      </c>
      <c r="O19" s="318">
        <f t="shared" si="20"/>
        <v>0</v>
      </c>
      <c r="P19" s="318">
        <f>IF(Stamoplysninger!$H$29="JA",Maj!DG19,CX19)</f>
        <v>0</v>
      </c>
      <c r="Q19" s="318">
        <f t="shared" si="21"/>
        <v>0</v>
      </c>
      <c r="R19" s="319"/>
      <c r="S19" s="324"/>
      <c r="T19" s="325"/>
      <c r="U19" s="325"/>
      <c r="V19" s="435"/>
      <c r="W19" s="412"/>
      <c r="X19" s="642"/>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9">
        <f t="shared" si="8"/>
        <v>0</v>
      </c>
      <c r="BC19" s="1">
        <f t="shared" si="24"/>
        <v>0</v>
      </c>
      <c r="BD19" s="1">
        <f t="shared" si="9"/>
        <v>0</v>
      </c>
      <c r="BE19" s="1">
        <f t="shared" si="10"/>
        <v>0</v>
      </c>
      <c r="BF19" s="1">
        <f t="shared" si="11"/>
        <v>0</v>
      </c>
      <c r="BG19" s="210" t="str">
        <f>IF(AND(C19="Skema 1",B19="ma"),Skemaoplysninger!$E$30,"")</f>
        <v/>
      </c>
      <c r="BH19" s="210" t="str">
        <f>IF(AND(C19="Skema 1",B19="ti"),Skemaoplysninger!$G$30,"")</f>
        <v/>
      </c>
      <c r="BI19" s="210" t="str">
        <f>IF(AND(C19="Skema 1",B19="on"),Skemaoplysninger!$I$30,"")</f>
        <v/>
      </c>
      <c r="BJ19" s="210" t="str">
        <f>IF(AND(C19="Skema 1",B19="to"),Skemaoplysninger!$K$30,"")</f>
        <v/>
      </c>
      <c r="BK19" s="210" t="str">
        <f>IF(AND(C19="Skema 1",B19="fr"),Skemaoplysninger!$M$30,"")</f>
        <v/>
      </c>
      <c r="BL19" s="210" t="str">
        <f>IF(AND(C19="Skema 2",B19="ma"),Skemaoplysninger!$S$30,"")</f>
        <v/>
      </c>
      <c r="BM19" s="210" t="str">
        <f>IF(AND(C19="Skema 2",B19="ti"),Skemaoplysninger!$U$30,"")</f>
        <v/>
      </c>
      <c r="BN19" s="210" t="str">
        <f>IF(AND(C19="Skema 2",B19="on"),Skemaoplysninger!$W$30,"")</f>
        <v/>
      </c>
      <c r="BO19" s="210" t="str">
        <f>IF(AND(C19="Skema 2",B19="to"),Skemaoplysninger!$Y$30,"")</f>
        <v/>
      </c>
      <c r="BP19" s="210" t="str">
        <f>IF(AND(C19="Skema 2",B19="fr"),Skemaoplysninger!$AA$30,"")</f>
        <v/>
      </c>
      <c r="BQ19" s="210" t="str">
        <f>IF(AND(C19="Skema 3",B19="ma"),Skemaoplysninger!$AG$30,"")</f>
        <v/>
      </c>
      <c r="BR19" s="210" t="str">
        <f>IF(AND(C19="Skema 3",B19="ti"),Skemaoplysninger!$AI$30,"")</f>
        <v/>
      </c>
      <c r="BS19" s="210" t="str">
        <f>IF(AND(C19="Skema 3",B19="on"),Skemaoplysninger!$AK$30,"")</f>
        <v/>
      </c>
      <c r="BT19" s="210" t="str">
        <f>IF(AND(C19="Skema 3",B19="to"),Skemaoplysninger!$AM$30,"")</f>
        <v/>
      </c>
      <c r="BU19" s="210" t="str">
        <f>IF(AND(C19="Skema 3",B19="fr"),Skemaoplysninger!$AO$30,"")</f>
        <v/>
      </c>
      <c r="BV19" s="210" t="str">
        <f>IF(AND(C19="Skema 4",B19="ma"),Skemaoplysninger!$AU$30,"")</f>
        <v/>
      </c>
      <c r="BW19" s="210" t="str">
        <f>IF(AND(C19="Skema 4",B19="ti"),Skemaoplysninger!$AW$30,"")</f>
        <v/>
      </c>
      <c r="BX19" s="210" t="str">
        <f>IF(AND(C19="Skema 4",B19="on"),Skemaoplysninger!$AY$30,"")</f>
        <v/>
      </c>
      <c r="BY19" s="210" t="str">
        <f>IF(AND(C19="Skema 4",B19="to"),Skemaoplysninger!$BA$30,"")</f>
        <v/>
      </c>
      <c r="BZ19" s="210" t="str">
        <f>IF(AND(C19="Skema 4",B19="fr"),Skemaoplysninger!$BC$30,"")</f>
        <v/>
      </c>
      <c r="CA19" s="1">
        <f t="shared" si="25"/>
        <v>0</v>
      </c>
      <c r="CB19" s="1">
        <f t="shared" si="12"/>
        <v>0</v>
      </c>
      <c r="CC19" s="1">
        <f t="shared" si="13"/>
        <v>0</v>
      </c>
      <c r="CD19" s="210" t="str">
        <f>IF(AND(C19="Skema 1",B19="ma"),Skemaoplysninger!$E$31,"")</f>
        <v/>
      </c>
      <c r="CE19" s="210" t="str">
        <f>IF(AND(C19="Skema 1",B19="ti"),Skemaoplysninger!$G$31,"")</f>
        <v/>
      </c>
      <c r="CF19" s="210" t="str">
        <f>IF(AND(C19="Skema 1",B19="on"),Skemaoplysninger!$I$31,"")</f>
        <v/>
      </c>
      <c r="CG19" s="210" t="str">
        <f>IF(AND(C19="Skema 1",B19="to"),Skemaoplysninger!$K$31,"")</f>
        <v/>
      </c>
      <c r="CH19" s="210" t="str">
        <f>IF(AND(C19="Skema 1",B19="fr"),Skemaoplysninger!$M$31,"")</f>
        <v/>
      </c>
      <c r="CI19" s="210" t="str">
        <f>IF(AND(C19="Skema 2",B19="ma"),Skemaoplysninger!$S$31,"")</f>
        <v/>
      </c>
      <c r="CJ19" s="210" t="str">
        <f>IF(AND(C19="Skema 2",B19="ti"),Skemaoplysninger!$U$31,"")</f>
        <v/>
      </c>
      <c r="CK19" s="210" t="str">
        <f>IF(AND(C19="Skema 2",B19="on"),Skemaoplysninger!$W$31,"")</f>
        <v/>
      </c>
      <c r="CL19" s="210" t="str">
        <f>IF(AND(C19="Skema 2",B19="to"),Skemaoplysninger!$Y$31,"")</f>
        <v/>
      </c>
      <c r="CM19" s="210" t="str">
        <f>IF(AND(C19="Skema 2",B19="fr"),Skemaoplysninger!$AA$31,"")</f>
        <v/>
      </c>
      <c r="CN19" s="210" t="str">
        <f>IF(AND(C19="Skema 3",B19="ma"),Skemaoplysninger!$AG$31,"")</f>
        <v/>
      </c>
      <c r="CO19" s="210" t="str">
        <f>IF(AND(C19="Skema 3",B19="ti"),Skemaoplysninger!$AI$31,"")</f>
        <v/>
      </c>
      <c r="CP19" s="210" t="str">
        <f>IF(AND(C19="Skema 3",B19="on"),Skemaoplysninger!$AK$31,"")</f>
        <v/>
      </c>
      <c r="CQ19" s="210" t="str">
        <f>IF(AND(C19="Skema 3",B19="to"),Skemaoplysninger!$AM$31,"")</f>
        <v/>
      </c>
      <c r="CR19" s="210" t="str">
        <f>IF(AND(C19="Skema 3",B19="fr"),Skemaoplysninger!$AO$31,"")</f>
        <v/>
      </c>
      <c r="CS19" s="210" t="str">
        <f>IF(AND(C19="Skema 4",B19="ma"),Skemaoplysninger!$AU$31,"")</f>
        <v/>
      </c>
      <c r="CT19" s="210" t="str">
        <f>IF(AND(C19="Skema 4",B19="ti"),Skemaoplysninger!$AW$31,"")</f>
        <v/>
      </c>
      <c r="CU19" s="210" t="str">
        <f>IF(AND(C19="Skema 4",B19="on"),Skemaoplysninger!$AY$31,"")</f>
        <v/>
      </c>
      <c r="CV19" s="210" t="str">
        <f>IF(AND(C19="Skema 4",B19="to"),Skemaoplysninger!$BA$31,"")</f>
        <v/>
      </c>
      <c r="CW19" s="210" t="str">
        <f>IF(AND(C19="Skema 4",B19="fr"),Skemaoplysninger!$BC$31,"")</f>
        <v/>
      </c>
      <c r="CX19" s="249">
        <f>IF(Stamoplysninger!$H$29="NEJ",SUM(CD19:CW19)*24+CB19+CC19,0)</f>
        <v>0</v>
      </c>
      <c r="CY19" s="249">
        <f>IF(C19="Skema 1",Stamoplysninger!$H$30/200,0)</f>
        <v>0</v>
      </c>
      <c r="CZ19" s="249">
        <f>IF(C19="Skema 2",Stamoplysninger!$H$30/200,0)</f>
        <v>0</v>
      </c>
      <c r="DA19" s="249">
        <f>IF(C19="Skema 3",Stamoplysninger!$H$30/200,0)</f>
        <v>0</v>
      </c>
      <c r="DB19" s="249">
        <f>IF(C19="Skema 4",Stamoplysninger!$H$30/200,0)</f>
        <v>0</v>
      </c>
      <c r="DC19" s="249">
        <f>IF(C19="fagdag",Stamoplysninger!$H$30/200,0)</f>
        <v>0</v>
      </c>
      <c r="DD19" s="249">
        <f>IF(C19="emnedag",Stamoplysninger!$H$30/200,0)</f>
        <v>0</v>
      </c>
      <c r="DE19" s="249">
        <f>IF(C19="lejrskole",Stamoplysninger!$H$30/200,0)</f>
        <v>0</v>
      </c>
      <c r="DF19" s="249">
        <f>IF(C19="ekskursion",Stamoplysninger!$H$30/200,0)</f>
        <v>0</v>
      </c>
      <c r="DG19" s="249">
        <f t="shared" si="26"/>
        <v>0</v>
      </c>
      <c r="DH19" t="str">
        <f t="shared" si="27"/>
        <v/>
      </c>
      <c r="DI19">
        <f t="shared" si="28"/>
        <v>0</v>
      </c>
      <c r="DJ19">
        <f t="shared" si="29"/>
        <v>0</v>
      </c>
      <c r="DK19" t="str">
        <f t="shared" si="14"/>
        <v/>
      </c>
      <c r="DL19" t="str">
        <f t="shared" si="14"/>
        <v/>
      </c>
      <c r="DM19" t="str">
        <f t="shared" si="14"/>
        <v/>
      </c>
      <c r="DN19" t="str">
        <f t="shared" si="30"/>
        <v/>
      </c>
      <c r="DO19" s="652">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71">
        <f>IF(AND(Stamoplysninger!$B$22="Ulempetillæg udbetales med 25% af nettotimelønnen.",C19="ikke relevant"),(R19)/4,0)</f>
        <v>0</v>
      </c>
      <c r="DT19" s="671">
        <f>IF(AND(AND(Stamoplysninger!$B$22="Ulempetillæg udbetales med 25% af nettotimelønnen.",I19="X",C19="Ikke relevant")),K19/4,0)</f>
        <v>0</v>
      </c>
      <c r="DU19" s="671">
        <f>IF(AND(AND(Stamoplysninger!$B$22="Ulempetillæg udbetales med 25% af nettotimelønnen.",C19="ikke relevant",U19="X")),(X19/4),0)</f>
        <v>0</v>
      </c>
      <c r="DV19" s="672">
        <f>IF(AND(AND(AND(Stamoplysninger!$B$22="Ulempetillæg udbetales med 25% af nettotimelønnen.",I19="X",C19="Ikke relevant",S19="X"))),V19/4,0)</f>
        <v>0</v>
      </c>
      <c r="DW19" s="652"/>
      <c r="DZ19" s="671"/>
      <c r="EA19" s="671"/>
      <c r="EB19" s="672"/>
      <c r="EC19" s="652">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71">
        <f>IF(AND(Stamoplysninger!$B$22="Ulempetillæg afspadseres med 25%(Kræver en aftale imellem ledelsen og den ansatte)",C19="ikke relevant"),(R19)/4,0)</f>
        <v>0</v>
      </c>
      <c r="EH19" s="671">
        <f>IF(AND(AND(Stamoplysninger!$B$22="Ulempetillæg afspadseres med 25%(Kræver en aftale imellem ledelsen og den ansatte)",I19="X",C19="Ikke relevant")),K19/4,0)</f>
        <v>0</v>
      </c>
      <c r="EI19" s="671">
        <f>IF(AND(AND(Stamoplysninger!$B$22="Ulempetillæg afspadseres med 25%(Kræver en aftale imellem ledelsen og den ansatte)",U19="X",C19="Ikke relevant")),X19/4,0)</f>
        <v>0</v>
      </c>
      <c r="EJ19" s="671">
        <f>IF(AND(AND(AND(Stamoplysninger!$B$22="Ulempetillæg afspadseres med 25%(Kræver en aftale imellem ledelsen og den ansatte)",I19="X",C19="Ikke relevant",S19="X"))),V19/4,0)</f>
        <v>0</v>
      </c>
      <c r="EK19" s="283">
        <f>IF(AND(Stamoplysninger!$B$26="Weekendtimer og weekendtillæg afspadseres.",I19="X"),K19*1.5,0)</f>
        <v>0</v>
      </c>
      <c r="EL19" s="251">
        <f>IF(AND(AND(Stamoplysninger!$B$26="Weekendtimer og weekendtillæg afspadseres.",I19="X",S19="X")),V19*1.5,0)</f>
        <v>0</v>
      </c>
      <c r="EM19" s="674">
        <f>IF(AND(AND(Stamoplysninger!$B$26="Weekendtimer og weekendtillæg afspadseres.",I19="X",C19="ikke relevant")),K19*1.5,0)</f>
        <v>0</v>
      </c>
      <c r="EN19" s="675">
        <f>IF(AND(AND(AND(Stamoplysninger!$B$26="Weekendtimer og weekendtillæg afspadseres.",I19="X",C19="ikke relevant",S19="X"))),(V19*1.5),0)</f>
        <v>0</v>
      </c>
      <c r="EO19" s="283">
        <f>IF(AND(Stamoplysninger!$B$26="Weekendtimer og weekendtillæg udbetales.",I19="X"),K19*1.5,0)</f>
        <v>0</v>
      </c>
      <c r="EP19" s="251">
        <f>IF(AND(AND(Stamoplysninger!$B$26="Weekendtimer og weekendtillæg udbetales.",I19="X",S19="X")),V19*1.5,0)</f>
        <v>0</v>
      </c>
      <c r="EQ19" s="674">
        <f>IF(AND(AND(Stamoplysninger!$B$26="Weekendtimer og weekendtillæg udbetales.",I19="X",C19="ikke relevant")),K19*1.5,0)</f>
        <v>0</v>
      </c>
      <c r="ER19" s="675">
        <f>IF(AND(AND(AND(Stamoplysninger!$B$26="Weekendtimer og weekendtillæg udbetales.",I19="X",C19="ikke relevant",S19="X"))),(V19*1.5),0)</f>
        <v>0</v>
      </c>
      <c r="ES19" s="283">
        <f>IF(AND(Stamoplysninger!$B$26="Der er indgået lokalaftale omkring weekendtimer.(Kræver aftale med TR/FSL) Weekendtillæg afspadseres.",I19="X"),K19*0.5,0)</f>
        <v>0</v>
      </c>
      <c r="ET19" s="251">
        <f>IF(AND(AND(Stamoplysninger!$B$26="Der er indgået lokalaftale omkring weekendtimer.(Kræver aftale med TR/FSL) Weekendtillæg afspadseres.",I19="X",S19="X")),V19*0.5,0)</f>
        <v>0</v>
      </c>
      <c r="EU19" s="674">
        <f>IF(AND(AND(Stamoplysninger!$B$26="Der er indgået lokalaftale omkring weekendtimer.(Kræver aftale med TR/FSL) Weekendtillæg afspadseres.",I19="X",C19="ikke relevant")),K19*0.5,0)</f>
        <v>0</v>
      </c>
      <c r="EV19" s="675">
        <f>IF(AND(AND(AND(Stamoplysninger!$B$26="Der er indgået lokalaftale omkring weekendtimer.(Kræver aftale med TR/FSL) Weekendtillæg afspadseres.",I19="X",C19="ikke relevant",S19="X"))),(V19*0.5),0)</f>
        <v>0</v>
      </c>
      <c r="EW19" s="283">
        <f>IF(AND(Stamoplysninger!$B$26="Der er indgået lokalaftale omkring weekendtimer(Kræver aftale med TR/FSL). Weekendtillæg udbetales.",I19="X"),K19*0.5,0)</f>
        <v>0</v>
      </c>
      <c r="EX19" s="251">
        <f>IF(AND(AND(Stamoplysninger!$B$26="Der er indgået lokalaftale omkring weekendtimer(Kræver aftale med TR/FSL). Weekendtillæg udbetales.",I19="X",S19="X")),V19*0.5,0)</f>
        <v>0</v>
      </c>
      <c r="EY19" s="674">
        <f>IF(AND(AND(Stamoplysninger!$B$26="Der er indgået lokalaftale omkring weekendtimer(Kræver aftale med TR/FSL). Weekendtillæg udbetales.",I19="X",C19="ikke relevant")),K19*0.5,0)</f>
        <v>0</v>
      </c>
      <c r="EZ19" s="675">
        <f>IF(AND(AND(AND(Stamoplysninger!$B$26="Der er indgået lokalaftale omkring weekendtimer(Kræver aftale med TR/FSL). Weekendtillæg udbetales.",I19="X",C19="ikke relevant",S19="X"))),(V19*0.5),0)</f>
        <v>0</v>
      </c>
      <c r="FA19" s="283">
        <f>IF(AND(Stamoplysninger!$B$26="Der er indgået lokalaftale omkring weekendtillæg(Kræver aftale med TR/FSL). Weekendtimerne afspadseres.",I19="X"),K19,0)</f>
        <v>0</v>
      </c>
      <c r="FB19" s="251">
        <f>IF(AND(AND(Stamoplysninger!$B$26="Der er indgået lokalaftale omkring weekendtillæg(Kræver aftale med TR/FSL). Weekendtimerne afspadseres.",I19="X",S19="X")),V19,0)</f>
        <v>0</v>
      </c>
      <c r="FC19" s="674">
        <f>IF(AND(AND(Stamoplysninger!$B$26="Der er indgået lokalaftale omkring weekendtillæg(Kræver aftale med TR/FSL). Weekendtimerne afspadseres..",I19="X",C19="ikke relevant")),K19,0)</f>
        <v>0</v>
      </c>
      <c r="FD19" s="675">
        <f>IF(AND(AND(AND(Stamoplysninger!$B$26="Der er indgået lokalaftale omkring weekendtillæg(Kræver aftale med TR/FSL). Weekendtimerne afspadseres.",I19="X",C19="ikke relevant",S19="X"))),(V19),0)</f>
        <v>0</v>
      </c>
      <c r="FE19" s="283">
        <f>IF(AND(Stamoplysninger!$B$26="Der er indgået lokalaftale omkring weekendtillæg(Kræver aftale med TR/FSL). Weekendtimerne udbetales.",I19="X"),K19,0)</f>
        <v>0</v>
      </c>
      <c r="FF19" s="251">
        <f>IF(AND(AND(Stamoplysninger!$B$26="Der er indgået lokalaftale omkring weekendtillæg(Kræver aftale med TR/FSL). Weekendtimerne udbetales.",I19="X",S19="X")),V19,0)</f>
        <v>0</v>
      </c>
      <c r="FG19" s="674">
        <f>IF(AND(AND(Stamoplysninger!$B$26="Der er indgået lokalaftale omkring weekendtillæg(Kræver aftale med TR/FSL). Weekendtimerne udbetales.",I19="X",C19="ikke relevant")),K19,0)</f>
        <v>0</v>
      </c>
      <c r="FH19" s="675">
        <f>IF(AND(AND(AND(Stamoplysninger!$B$26="Der er indgået lokalaftale omkring weekendtillæg(Kræver aftale med TR/FSL). Weekendtimerne udbetales.",I19="X",C19="ikke relevant",S19="X"))),(V19),0)</f>
        <v>0</v>
      </c>
      <c r="FI19" s="283">
        <f>IF(AND(Stamoplysninger!$B$26="Weekendtimer og weekendtillæg afspadseres.",I19="X"),K19,0)</f>
        <v>0</v>
      </c>
      <c r="FJ19" s="251">
        <f>IF(AND(Stamoplysninger!$B$26="Weekendtimer og weekendtillæg afspadseres.",Y19="X"),(AA19+AL19)/2,0)</f>
        <v>0</v>
      </c>
      <c r="FK19" s="674">
        <f>IF(AND(AND(Stamoplysninger!$B$26="Weekendtimer og weekendtillæg afspadseres.",I19="X",C19="ikke relevant")),K19,0)</f>
        <v>0</v>
      </c>
      <c r="FL19" s="675">
        <f>IF(AND(AND(Stamoplysninger!$B$26="Weekendtimer og weekendtillæg afspadseres.",Y19="X",S19="ikke relevant")),(AA19+AL19)/2,0)</f>
        <v>0</v>
      </c>
      <c r="FM19" s="283">
        <f>IF(AND(Stamoplysninger!$B$26="Der er indgået lokalaftale omkring weekendtillæg(Kræver aftale med TR/FSL). Weekendtimerne afspadseres.",I19="X"),K19,0)</f>
        <v>0</v>
      </c>
      <c r="FN19" s="674">
        <f>IF(AND(AND(Stamoplysninger!$B$26="Der er indgået lokalaftale omkring weekendtillæg(Kræver aftale med TR/FSL). Weekendtimerne afspadseres.",I19="X",C19="ikke relevant")),K19,0)</f>
        <v>0</v>
      </c>
      <c r="FO19" s="283">
        <f>IF(AND(Stamoplysninger!$B$26="Weekendtimer og weekendtillæg udbetales.",I19="X"),K19,0)</f>
        <v>0</v>
      </c>
      <c r="FP19" s="251">
        <f>IF(AND(Stamoplysninger!$B$26="Weekendtimer og weekendtillæg udbetales.",AA19="X"),(AC19+AN19)/2,0)</f>
        <v>0</v>
      </c>
      <c r="FQ19" s="674">
        <f>IF(AND(AND(Stamoplysninger!$B$26="Weekendtimer og weekendtillæg udbetales.",I19="X",C19="ikke relevant")),K19,0)</f>
        <v>0</v>
      </c>
      <c r="FR19" s="688">
        <f>IF(AND(AND(Stamoplysninger!$B$26="Weekendtimer og weekendtillæg udbetales.",AA19="X",U19="ikke relevant")),(AC19+AN19)/2,0)</f>
        <v>0</v>
      </c>
      <c r="FS19" s="283">
        <f t="shared" si="15"/>
        <v>0</v>
      </c>
      <c r="FT19" s="658">
        <f t="shared" si="16"/>
        <v>0</v>
      </c>
      <c r="FU19">
        <f t="shared" si="17"/>
        <v>0</v>
      </c>
      <c r="FV19" s="283">
        <f>IF(AND(Stamoplysninger!$B$26="Der er indgået lokalaftale omkring weekendtimer.(Kræver aftale med TR/FSL) Weekendtillæg afspadseres.",I19="X"),K19,0)</f>
        <v>0</v>
      </c>
      <c r="FW19" s="674">
        <f>IF(AND(AND(Stamoplysninger!$B$26="Der er indgået lokalaftale omkring weekendtimer.(Kræver aftale med TR/FSL) Weekendtillæg afspadseres.",I19="X",C19="ikke relevant")),K19,0)</f>
        <v>0</v>
      </c>
      <c r="FX19" s="283">
        <f>IF(AND(Stamoplysninger!$B$26="Der er indgået lokalaftale omkring weekendtimer(Kræver aftale med TR/FSL). Weekendtillæg udbetales.",I19="X"),K19,0)</f>
        <v>0</v>
      </c>
      <c r="FY19" s="674">
        <f>IF(AND(AND(Stamoplysninger!$B$26="Der er indgået lokalaftale omkring weekendtimer(Kræver aftale med TR/FSL). Weekendtillæg udbetales.",I19="X",C19="ikke relevant")),K19,0)</f>
        <v>0</v>
      </c>
      <c r="FZ19" s="283">
        <f>IF(AND(Stamoplysninger!$B$26="Der er indgået lokalaftale omkring weekendtillæg(Kræver aftale med TR/FSL). Weekendtimerne udbetales.",I19="X"),K19,0)</f>
        <v>0</v>
      </c>
      <c r="GA19" s="674">
        <f>IF(AND(AND(Stamoplysninger!$B$26="Der er indgået lokalaftale omkring weekendtillæg(Kræver aftale med TR/FSL). Weekendtimerne udbetales.",I19="X",C19="ikke relevant")),K19,0)</f>
        <v>0</v>
      </c>
      <c r="GB19" s="283">
        <f>IF(AND(Stamoplysninger!$B$26="Der er indgået lokalaftale omkring weekendtimer og weekendtillæg.(Kræver aftale med TR/FSL).",I19="X"),K19,0)</f>
        <v>0</v>
      </c>
      <c r="GC19" s="674">
        <f>IF(AND(AND(Stamoplysninger!$B$26="Der er indgået lokalaftale omkring weekendtimer og weekendtillæg.(Kræver aftale med TR/FSL).",I19="X",C19="ikke relevant")),K19,0)</f>
        <v>0</v>
      </c>
    </row>
    <row r="20" spans="1:185">
      <c r="A20" s="245">
        <f>IF(ISNUMBER(A19),A19+1,1)</f>
        <v>12</v>
      </c>
      <c r="B20" s="128" t="str">
        <f t="shared" si="0"/>
        <v>ma</v>
      </c>
      <c r="C20" s="129" t="s">
        <v>207</v>
      </c>
      <c r="D20" s="130">
        <f t="shared" si="1"/>
        <v>19.714285714285715</v>
      </c>
      <c r="E20" s="917"/>
      <c r="F20" s="918"/>
      <c r="G20" s="919"/>
      <c r="H20" s="298"/>
      <c r="I20" s="618"/>
      <c r="J20" s="413"/>
      <c r="K20" s="380"/>
      <c r="L20" s="380"/>
      <c r="M20" s="380"/>
      <c r="N20" s="318">
        <f t="shared" si="19"/>
        <v>7.75</v>
      </c>
      <c r="O20" s="318">
        <f t="shared" si="20"/>
        <v>3.4999999999999996</v>
      </c>
      <c r="P20" s="318">
        <f>IF(Stamoplysninger!$H$29="JA",Maj!DG20,CX20)</f>
        <v>1</v>
      </c>
      <c r="Q20" s="318">
        <f t="shared" si="21"/>
        <v>3.25</v>
      </c>
      <c r="R20" s="319"/>
      <c r="S20" s="324"/>
      <c r="T20" s="325"/>
      <c r="U20" s="325"/>
      <c r="V20" s="435"/>
      <c r="W20" s="412"/>
      <c r="X20" s="642"/>
      <c r="Y20">
        <f t="shared" si="22"/>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f>IF(AND(C20="Skema 2",B20="ma"),Arbejdstidsoversigt!$E$81,"")</f>
        <v>7.75</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7.75</v>
      </c>
      <c r="BB20" s="229">
        <f t="shared" si="8"/>
        <v>0</v>
      </c>
      <c r="BC20" s="1">
        <f t="shared" si="24"/>
        <v>0</v>
      </c>
      <c r="BD20" s="1">
        <f t="shared" si="9"/>
        <v>0</v>
      </c>
      <c r="BE20" s="1">
        <f t="shared" si="10"/>
        <v>0</v>
      </c>
      <c r="BF20" s="1">
        <f t="shared" si="11"/>
        <v>0</v>
      </c>
      <c r="BG20" s="210" t="str">
        <f>IF(AND(C20="Skema 1",B20="ma"),Skemaoplysninger!$E$30,"")</f>
        <v/>
      </c>
      <c r="BH20" s="210" t="str">
        <f>IF(AND(C20="Skema 1",B20="ti"),Skemaoplysninger!$G$30,"")</f>
        <v/>
      </c>
      <c r="BI20" s="210" t="str">
        <f>IF(AND(C20="Skema 1",B20="on"),Skemaoplysninger!$I$30,"")</f>
        <v/>
      </c>
      <c r="BJ20" s="210" t="str">
        <f>IF(AND(C20="Skema 1",B20="to"),Skemaoplysninger!$K$30,"")</f>
        <v/>
      </c>
      <c r="BK20" s="210" t="str">
        <f>IF(AND(C20="Skema 1",B20="fr"),Skemaoplysninger!$M$30,"")</f>
        <v/>
      </c>
      <c r="BL20" s="210">
        <f>IF(AND(C20="Skema 2",B20="ma"),Skemaoplysninger!$S$30,"")</f>
        <v>0.14583333333333331</v>
      </c>
      <c r="BM20" s="210" t="str">
        <f>IF(AND(C20="Skema 2",B20="ti"),Skemaoplysninger!$U$30,"")</f>
        <v/>
      </c>
      <c r="BN20" s="210" t="str">
        <f>IF(AND(C20="Skema 2",B20="on"),Skemaoplysninger!$W$30,"")</f>
        <v/>
      </c>
      <c r="BO20" s="210" t="str">
        <f>IF(AND(C20="Skema 2",B20="to"),Skemaoplysninger!$Y$30,"")</f>
        <v/>
      </c>
      <c r="BP20" s="210" t="str">
        <f>IF(AND(C20="Skema 2",B20="fr"),Skemaoplysninger!$AA$30,"")</f>
        <v/>
      </c>
      <c r="BQ20" s="210" t="str">
        <f>IF(AND(C20="Skema 3",B20="ma"),Skemaoplysninger!$AG$30,"")</f>
        <v/>
      </c>
      <c r="BR20" s="210" t="str">
        <f>IF(AND(C20="Skema 3",B20="ti"),Skemaoplysninger!$AI$30,"")</f>
        <v/>
      </c>
      <c r="BS20" s="210" t="str">
        <f>IF(AND(C20="Skema 3",B20="on"),Skemaoplysninger!$AK$30,"")</f>
        <v/>
      </c>
      <c r="BT20" s="210" t="str">
        <f>IF(AND(C20="Skema 3",B20="to"),Skemaoplysninger!$AM$30,"")</f>
        <v/>
      </c>
      <c r="BU20" s="210" t="str">
        <f>IF(AND(C20="Skema 3",B20="fr"),Skemaoplysninger!$AO$30,"")</f>
        <v/>
      </c>
      <c r="BV20" s="210" t="str">
        <f>IF(AND(C20="Skema 4",B20="ma"),Skemaoplysninger!$AU$30,"")</f>
        <v/>
      </c>
      <c r="BW20" s="210" t="str">
        <f>IF(AND(C20="Skema 4",B20="ti"),Skemaoplysninger!$AW$30,"")</f>
        <v/>
      </c>
      <c r="BX20" s="210" t="str">
        <f>IF(AND(C20="Skema 4",B20="on"),Skemaoplysninger!$AY$30,"")</f>
        <v/>
      </c>
      <c r="BY20" s="210" t="str">
        <f>IF(AND(C20="Skema 4",B20="to"),Skemaoplysninger!$BA$30,"")</f>
        <v/>
      </c>
      <c r="BZ20" s="210" t="str">
        <f>IF(AND(C20="Skema 4",B20="fr"),Skemaoplysninger!$BC$30,"")</f>
        <v/>
      </c>
      <c r="CA20" s="1">
        <f t="shared" si="25"/>
        <v>3.4999999999999996</v>
      </c>
      <c r="CB20" s="1">
        <f t="shared" si="12"/>
        <v>0</v>
      </c>
      <c r="CC20" s="1">
        <f t="shared" si="13"/>
        <v>0</v>
      </c>
      <c r="CD20" s="210" t="str">
        <f>IF(AND(C20="Skema 1",B20="ma"),Skemaoplysninger!$E$31,"")</f>
        <v/>
      </c>
      <c r="CE20" s="210" t="str">
        <f>IF(AND(C20="Skema 1",B20="ti"),Skemaoplysninger!$G$31,"")</f>
        <v/>
      </c>
      <c r="CF20" s="210" t="str">
        <f>IF(AND(C20="Skema 1",B20="on"),Skemaoplysninger!$I$31,"")</f>
        <v/>
      </c>
      <c r="CG20" s="210" t="str">
        <f>IF(AND(C20="Skema 1",B20="to"),Skemaoplysninger!$K$31,"")</f>
        <v/>
      </c>
      <c r="CH20" s="210" t="str">
        <f>IF(AND(C20="Skema 1",B20="fr"),Skemaoplysninger!$M$31,"")</f>
        <v/>
      </c>
      <c r="CI20" s="210">
        <f>IF(AND(C20="Skema 2",B20="ma"),Skemaoplysninger!$S$31,"")</f>
        <v>4.1666666666666671E-2</v>
      </c>
      <c r="CJ20" s="210" t="str">
        <f>IF(AND(C20="Skema 2",B20="ti"),Skemaoplysninger!$U$31,"")</f>
        <v/>
      </c>
      <c r="CK20" s="210" t="str">
        <f>IF(AND(C20="Skema 2",B20="on"),Skemaoplysninger!$W$31,"")</f>
        <v/>
      </c>
      <c r="CL20" s="210" t="str">
        <f>IF(AND(C20="Skema 2",B20="to"),Skemaoplysninger!$Y$31,"")</f>
        <v/>
      </c>
      <c r="CM20" s="210" t="str">
        <f>IF(AND(C20="Skema 2",B20="fr"),Skemaoplysninger!$AA$31,"")</f>
        <v/>
      </c>
      <c r="CN20" s="210" t="str">
        <f>IF(AND(C20="Skema 3",B20="ma"),Skemaoplysninger!$AG$31,"")</f>
        <v/>
      </c>
      <c r="CO20" s="210" t="str">
        <f>IF(AND(C20="Skema 3",B20="ti"),Skemaoplysninger!$AI$31,"")</f>
        <v/>
      </c>
      <c r="CP20" s="210" t="str">
        <f>IF(AND(C20="Skema 3",B20="on"),Skemaoplysninger!$AK$31,"")</f>
        <v/>
      </c>
      <c r="CQ20" s="210" t="str">
        <f>IF(AND(C20="Skema 3",B20="to"),Skemaoplysninger!$AM$31,"")</f>
        <v/>
      </c>
      <c r="CR20" s="210" t="str">
        <f>IF(AND(C20="Skema 3",B20="fr"),Skemaoplysninger!$AO$31,"")</f>
        <v/>
      </c>
      <c r="CS20" s="210" t="str">
        <f>IF(AND(C20="Skema 4",B20="ma"),Skemaoplysninger!$AU$31,"")</f>
        <v/>
      </c>
      <c r="CT20" s="210" t="str">
        <f>IF(AND(C20="Skema 4",B20="ti"),Skemaoplysninger!$AW$31,"")</f>
        <v/>
      </c>
      <c r="CU20" s="210" t="str">
        <f>IF(AND(C20="Skema 4",B20="on"),Skemaoplysninger!$AY$31,"")</f>
        <v/>
      </c>
      <c r="CV20" s="210" t="str">
        <f>IF(AND(C20="Skema 4",B20="to"),Skemaoplysninger!$BA$31,"")</f>
        <v/>
      </c>
      <c r="CW20" s="210" t="str">
        <f>IF(AND(C20="Skema 4",B20="fr"),Skemaoplysninger!$BC$31,"")</f>
        <v/>
      </c>
      <c r="CX20" s="249">
        <f>IF(Stamoplysninger!$H$29="NEJ",SUM(CD20:CW20)*24+CB20+CC20,0)</f>
        <v>1</v>
      </c>
      <c r="CY20" s="249">
        <f>IF(C20="Skema 1",Stamoplysninger!$H$30/200,0)</f>
        <v>0</v>
      </c>
      <c r="CZ20" s="249">
        <f>IF(C20="Skema 2",Stamoplysninger!$H$30/200,0)</f>
        <v>0</v>
      </c>
      <c r="DA20" s="249">
        <f>IF(C20="Skema 3",Stamoplysninger!$H$30/200,0)</f>
        <v>0</v>
      </c>
      <c r="DB20" s="249">
        <f>IF(C20="Skema 4",Stamoplysninger!$H$30/200,0)</f>
        <v>0</v>
      </c>
      <c r="DC20" s="249">
        <f>IF(C20="fagdag",Stamoplysninger!$H$30/200,0)</f>
        <v>0</v>
      </c>
      <c r="DD20" s="249">
        <f>IF(C20="emnedag",Stamoplysninger!$H$30/200,0)</f>
        <v>0</v>
      </c>
      <c r="DE20" s="249">
        <f>IF(C20="lejrskole",Stamoplysninger!$H$30/200,0)</f>
        <v>0</v>
      </c>
      <c r="DF20" s="249">
        <f>IF(C20="ekskursion",Stamoplysninger!$H$30/200,0)</f>
        <v>0</v>
      </c>
      <c r="DG20" s="249">
        <f t="shared" si="26"/>
        <v>0</v>
      </c>
      <c r="DH20" t="str">
        <f t="shared" si="27"/>
        <v/>
      </c>
      <c r="DI20">
        <f t="shared" si="28"/>
        <v>0</v>
      </c>
      <c r="DJ20">
        <f t="shared" si="29"/>
        <v>0</v>
      </c>
      <c r="DK20" t="str">
        <f t="shared" si="14"/>
        <v/>
      </c>
      <c r="DL20" t="str">
        <f t="shared" si="14"/>
        <v/>
      </c>
      <c r="DM20" t="str">
        <f t="shared" si="14"/>
        <v/>
      </c>
      <c r="DN20" t="str">
        <f t="shared" si="30"/>
        <v/>
      </c>
      <c r="DO20" s="652">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71">
        <f>IF(AND(Stamoplysninger!$B$22="Ulempetillæg udbetales med 25% af nettotimelønnen.",C20="ikke relevant"),(R20)/4,0)</f>
        <v>0</v>
      </c>
      <c r="DT20" s="671">
        <f>IF(AND(AND(Stamoplysninger!$B$22="Ulempetillæg udbetales med 25% af nettotimelønnen.",I20="X",C20="Ikke relevant")),K20/4,0)</f>
        <v>0</v>
      </c>
      <c r="DU20" s="671">
        <f>IF(AND(AND(Stamoplysninger!$B$22="Ulempetillæg udbetales med 25% af nettotimelønnen.",C20="ikke relevant",U20="X")),(X20/4),0)</f>
        <v>0</v>
      </c>
      <c r="DV20" s="672">
        <f>IF(AND(AND(AND(Stamoplysninger!$B$22="Ulempetillæg udbetales med 25% af nettotimelønnen.",I20="X",C20="Ikke relevant",S20="X"))),V20/4,0)</f>
        <v>0</v>
      </c>
      <c r="DW20" s="652"/>
      <c r="DZ20" s="671"/>
      <c r="EA20" s="671"/>
      <c r="EB20" s="672"/>
      <c r="EC20" s="652">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71">
        <f>IF(AND(Stamoplysninger!$B$22="Ulempetillæg afspadseres med 25%(Kræver en aftale imellem ledelsen og den ansatte)",C20="ikke relevant"),(R20)/4,0)</f>
        <v>0</v>
      </c>
      <c r="EH20" s="671">
        <f>IF(AND(AND(Stamoplysninger!$B$22="Ulempetillæg afspadseres med 25%(Kræver en aftale imellem ledelsen og den ansatte)",I20="X",C20="Ikke relevant")),K20/4,0)</f>
        <v>0</v>
      </c>
      <c r="EI20" s="671">
        <f>IF(AND(AND(Stamoplysninger!$B$22="Ulempetillæg afspadseres med 25%(Kræver en aftale imellem ledelsen og den ansatte)",U20="X",C20="Ikke relevant")),X20/4,0)</f>
        <v>0</v>
      </c>
      <c r="EJ20" s="671">
        <f>IF(AND(AND(AND(Stamoplysninger!$B$22="Ulempetillæg afspadseres med 25%(Kræver en aftale imellem ledelsen og den ansatte)",I20="X",C20="Ikke relevant",S20="X"))),V20/4,0)</f>
        <v>0</v>
      </c>
      <c r="EK20" s="283">
        <f>IF(AND(Stamoplysninger!$B$26="Weekendtimer og weekendtillæg afspadseres.",I20="X"),K20*1.5,0)</f>
        <v>0</v>
      </c>
      <c r="EL20" s="251">
        <f>IF(AND(AND(Stamoplysninger!$B$26="Weekendtimer og weekendtillæg afspadseres.",I20="X",S20="X")),V20*1.5,0)</f>
        <v>0</v>
      </c>
      <c r="EM20" s="674">
        <f>IF(AND(AND(Stamoplysninger!$B$26="Weekendtimer og weekendtillæg afspadseres.",I20="X",C20="ikke relevant")),K20*1.5,0)</f>
        <v>0</v>
      </c>
      <c r="EN20" s="675">
        <f>IF(AND(AND(AND(Stamoplysninger!$B$26="Weekendtimer og weekendtillæg afspadseres.",I20="X",C20="ikke relevant",S20="X"))),(V20*1.5),0)</f>
        <v>0</v>
      </c>
      <c r="EO20" s="283">
        <f>IF(AND(Stamoplysninger!$B$26="Weekendtimer og weekendtillæg udbetales.",I20="X"),K20*1.5,0)</f>
        <v>0</v>
      </c>
      <c r="EP20" s="251">
        <f>IF(AND(AND(Stamoplysninger!$B$26="Weekendtimer og weekendtillæg udbetales.",I20="X",S20="X")),V20*1.5,0)</f>
        <v>0</v>
      </c>
      <c r="EQ20" s="674">
        <f>IF(AND(AND(Stamoplysninger!$B$26="Weekendtimer og weekendtillæg udbetales.",I20="X",C20="ikke relevant")),K20*1.5,0)</f>
        <v>0</v>
      </c>
      <c r="ER20" s="675">
        <f>IF(AND(AND(AND(Stamoplysninger!$B$26="Weekendtimer og weekendtillæg udbetales.",I20="X",C20="ikke relevant",S20="X"))),(V20*1.5),0)</f>
        <v>0</v>
      </c>
      <c r="ES20" s="283">
        <f>IF(AND(Stamoplysninger!$B$26="Der er indgået lokalaftale omkring weekendtimer.(Kræver aftale med TR/FSL) Weekendtillæg afspadseres.",I20="X"),K20*0.5,0)</f>
        <v>0</v>
      </c>
      <c r="ET20" s="251">
        <f>IF(AND(AND(Stamoplysninger!$B$26="Der er indgået lokalaftale omkring weekendtimer.(Kræver aftale med TR/FSL) Weekendtillæg afspadseres.",I20="X",S20="X")),V20*0.5,0)</f>
        <v>0</v>
      </c>
      <c r="EU20" s="674">
        <f>IF(AND(AND(Stamoplysninger!$B$26="Der er indgået lokalaftale omkring weekendtimer.(Kræver aftale med TR/FSL) Weekendtillæg afspadseres.",I20="X",C20="ikke relevant")),K20*0.5,0)</f>
        <v>0</v>
      </c>
      <c r="EV20" s="675">
        <f>IF(AND(AND(AND(Stamoplysninger!$B$26="Der er indgået lokalaftale omkring weekendtimer.(Kræver aftale med TR/FSL) Weekendtillæg afspadseres.",I20="X",C20="ikke relevant",S20="X"))),(V20*0.5),0)</f>
        <v>0</v>
      </c>
      <c r="EW20" s="283">
        <f>IF(AND(Stamoplysninger!$B$26="Der er indgået lokalaftale omkring weekendtimer(Kræver aftale med TR/FSL). Weekendtillæg udbetales.",I20="X"),K20*0.5,0)</f>
        <v>0</v>
      </c>
      <c r="EX20" s="251">
        <f>IF(AND(AND(Stamoplysninger!$B$26="Der er indgået lokalaftale omkring weekendtimer(Kræver aftale med TR/FSL). Weekendtillæg udbetales.",I20="X",S20="X")),V20*0.5,0)</f>
        <v>0</v>
      </c>
      <c r="EY20" s="674">
        <f>IF(AND(AND(Stamoplysninger!$B$26="Der er indgået lokalaftale omkring weekendtimer(Kræver aftale med TR/FSL). Weekendtillæg udbetales.",I20="X",C20="ikke relevant")),K20*0.5,0)</f>
        <v>0</v>
      </c>
      <c r="EZ20" s="675">
        <f>IF(AND(AND(AND(Stamoplysninger!$B$26="Der er indgået lokalaftale omkring weekendtimer(Kræver aftale med TR/FSL). Weekendtillæg udbetales.",I20="X",C20="ikke relevant",S20="X"))),(V20*0.5),0)</f>
        <v>0</v>
      </c>
      <c r="FA20" s="283">
        <f>IF(AND(Stamoplysninger!$B$26="Der er indgået lokalaftale omkring weekendtillæg(Kræver aftale med TR/FSL). Weekendtimerne afspadseres.",I20="X"),K20,0)</f>
        <v>0</v>
      </c>
      <c r="FB20" s="251">
        <f>IF(AND(AND(Stamoplysninger!$B$26="Der er indgået lokalaftale omkring weekendtillæg(Kræver aftale med TR/FSL). Weekendtimerne afspadseres.",I20="X",S20="X")),V20,0)</f>
        <v>0</v>
      </c>
      <c r="FC20" s="674">
        <f>IF(AND(AND(Stamoplysninger!$B$26="Der er indgået lokalaftale omkring weekendtillæg(Kræver aftale med TR/FSL). Weekendtimerne afspadseres..",I20="X",C20="ikke relevant")),K20,0)</f>
        <v>0</v>
      </c>
      <c r="FD20" s="675">
        <f>IF(AND(AND(AND(Stamoplysninger!$B$26="Der er indgået lokalaftale omkring weekendtillæg(Kræver aftale med TR/FSL). Weekendtimerne afspadseres.",I20="X",C20="ikke relevant",S20="X"))),(V20),0)</f>
        <v>0</v>
      </c>
      <c r="FE20" s="283">
        <f>IF(AND(Stamoplysninger!$B$26="Der er indgået lokalaftale omkring weekendtillæg(Kræver aftale med TR/FSL). Weekendtimerne udbetales.",I20="X"),K20,0)</f>
        <v>0</v>
      </c>
      <c r="FF20" s="251">
        <f>IF(AND(AND(Stamoplysninger!$B$26="Der er indgået lokalaftale omkring weekendtillæg(Kræver aftale med TR/FSL). Weekendtimerne udbetales.",I20="X",S20="X")),V20,0)</f>
        <v>0</v>
      </c>
      <c r="FG20" s="674">
        <f>IF(AND(AND(Stamoplysninger!$B$26="Der er indgået lokalaftale omkring weekendtillæg(Kræver aftale med TR/FSL). Weekendtimerne udbetales.",I20="X",C20="ikke relevant")),K20,0)</f>
        <v>0</v>
      </c>
      <c r="FH20" s="675">
        <f>IF(AND(AND(AND(Stamoplysninger!$B$26="Der er indgået lokalaftale omkring weekendtillæg(Kræver aftale med TR/FSL). Weekendtimerne udbetales.",I20="X",C20="ikke relevant",S20="X"))),(V20),0)</f>
        <v>0</v>
      </c>
      <c r="FI20" s="283">
        <f>IF(AND(Stamoplysninger!$B$26="Weekendtimer og weekendtillæg afspadseres.",I20="X"),K20,0)</f>
        <v>0</v>
      </c>
      <c r="FJ20" s="251">
        <f>IF(AND(Stamoplysninger!$B$26="Weekendtimer og weekendtillæg afspadseres.",Y20="X"),(AA20+AL20)/2,0)</f>
        <v>0</v>
      </c>
      <c r="FK20" s="674">
        <f>IF(AND(AND(Stamoplysninger!$B$26="Weekendtimer og weekendtillæg afspadseres.",I20="X",C20="ikke relevant")),K20,0)</f>
        <v>0</v>
      </c>
      <c r="FL20" s="675">
        <f>IF(AND(AND(Stamoplysninger!$B$26="Weekendtimer og weekendtillæg afspadseres.",Y20="X",S20="ikke relevant")),(AA20+AL20)/2,0)</f>
        <v>0</v>
      </c>
      <c r="FM20" s="283">
        <f>IF(AND(Stamoplysninger!$B$26="Der er indgået lokalaftale omkring weekendtillæg(Kræver aftale med TR/FSL). Weekendtimerne afspadseres.",I20="X"),K20,0)</f>
        <v>0</v>
      </c>
      <c r="FN20" s="674">
        <f>IF(AND(AND(Stamoplysninger!$B$26="Der er indgået lokalaftale omkring weekendtillæg(Kræver aftale med TR/FSL). Weekendtimerne afspadseres.",I20="X",C20="ikke relevant")),K20,0)</f>
        <v>0</v>
      </c>
      <c r="FO20" s="283">
        <f>IF(AND(Stamoplysninger!$B$26="Weekendtimer og weekendtillæg udbetales.",I20="X"),K20,0)</f>
        <v>0</v>
      </c>
      <c r="FP20" s="251">
        <f>IF(AND(Stamoplysninger!$B$26="Weekendtimer og weekendtillæg udbetales.",AA20="X"),(AC20+AN20)/2,0)</f>
        <v>0</v>
      </c>
      <c r="FQ20" s="674">
        <f>IF(AND(AND(Stamoplysninger!$B$26="Weekendtimer og weekendtillæg udbetales.",I20="X",C20="ikke relevant")),K20,0)</f>
        <v>0</v>
      </c>
      <c r="FR20" s="688">
        <f>IF(AND(AND(Stamoplysninger!$B$26="Weekendtimer og weekendtillæg udbetales.",AA20="X",U20="ikke relevant")),(AC20+AN20)/2,0)</f>
        <v>0</v>
      </c>
      <c r="FS20" s="283">
        <f t="shared" si="15"/>
        <v>0</v>
      </c>
      <c r="FT20" s="658">
        <f t="shared" si="16"/>
        <v>0</v>
      </c>
      <c r="FU20">
        <f t="shared" si="17"/>
        <v>0</v>
      </c>
      <c r="FV20" s="283">
        <f>IF(AND(Stamoplysninger!$B$26="Der er indgået lokalaftale omkring weekendtimer.(Kræver aftale med TR/FSL) Weekendtillæg afspadseres.",I20="X"),K20,0)</f>
        <v>0</v>
      </c>
      <c r="FW20" s="674">
        <f>IF(AND(AND(Stamoplysninger!$B$26="Der er indgået lokalaftale omkring weekendtimer.(Kræver aftale med TR/FSL) Weekendtillæg afspadseres.",I20="X",C20="ikke relevant")),K20,0)</f>
        <v>0</v>
      </c>
      <c r="FX20" s="283">
        <f>IF(AND(Stamoplysninger!$B$26="Der er indgået lokalaftale omkring weekendtimer(Kræver aftale med TR/FSL). Weekendtillæg udbetales.",I20="X"),K20,0)</f>
        <v>0</v>
      </c>
      <c r="FY20" s="674">
        <f>IF(AND(AND(Stamoplysninger!$B$26="Der er indgået lokalaftale omkring weekendtimer(Kræver aftale med TR/FSL). Weekendtillæg udbetales.",I20="X",C20="ikke relevant")),K20,0)</f>
        <v>0</v>
      </c>
      <c r="FZ20" s="283">
        <f>IF(AND(Stamoplysninger!$B$26="Der er indgået lokalaftale omkring weekendtillæg(Kræver aftale med TR/FSL). Weekendtimerne udbetales.",I20="X"),K20,0)</f>
        <v>0</v>
      </c>
      <c r="GA20" s="674">
        <f>IF(AND(AND(Stamoplysninger!$B$26="Der er indgået lokalaftale omkring weekendtillæg(Kræver aftale med TR/FSL). Weekendtimerne udbetales.",I20="X",C20="ikke relevant")),K20,0)</f>
        <v>0</v>
      </c>
      <c r="GB20" s="283">
        <f>IF(AND(Stamoplysninger!$B$26="Der er indgået lokalaftale omkring weekendtimer og weekendtillæg.(Kræver aftale med TR/FSL).",I20="X"),K20,0)</f>
        <v>0</v>
      </c>
      <c r="GC20" s="674">
        <f>IF(AND(AND(Stamoplysninger!$B$26="Der er indgået lokalaftale omkring weekendtimer og weekendtillæg.(Kræver aftale med TR/FSL).",I20="X",C20="ikke relevant")),K20,0)</f>
        <v>0</v>
      </c>
    </row>
    <row r="21" spans="1:185">
      <c r="A21" s="245">
        <f>IF(ISNUMBER(A20),A20+1,1)</f>
        <v>13</v>
      </c>
      <c r="B21" s="128" t="str">
        <f t="shared" si="0"/>
        <v>ti</v>
      </c>
      <c r="C21" s="129" t="s">
        <v>137</v>
      </c>
      <c r="D21" s="130" t="str">
        <f t="shared" si="1"/>
        <v/>
      </c>
      <c r="E21" s="949" t="s">
        <v>713</v>
      </c>
      <c r="F21" s="950"/>
      <c r="G21" s="951"/>
      <c r="H21" s="297"/>
      <c r="I21" s="618"/>
      <c r="J21" s="413"/>
      <c r="K21" s="380">
        <v>14.33</v>
      </c>
      <c r="L21" s="380">
        <v>6</v>
      </c>
      <c r="M21" s="380"/>
      <c r="N21" s="318">
        <f t="shared" si="19"/>
        <v>14.33</v>
      </c>
      <c r="O21" s="318">
        <f t="shared" si="20"/>
        <v>6</v>
      </c>
      <c r="P21" s="318">
        <f>IF(Stamoplysninger!$H$29="JA",Maj!DG21,CX21)</f>
        <v>0</v>
      </c>
      <c r="Q21" s="318">
        <f t="shared" si="21"/>
        <v>0</v>
      </c>
      <c r="R21" s="319"/>
      <c r="S21" s="324"/>
      <c r="T21" s="325"/>
      <c r="U21" s="325"/>
      <c r="V21" s="435"/>
      <c r="W21" s="412"/>
      <c r="X21" s="642"/>
      <c r="Y21">
        <f t="shared" si="22"/>
        <v>0</v>
      </c>
      <c r="Z21">
        <f t="shared" si="2"/>
        <v>0</v>
      </c>
      <c r="AA21" s="1">
        <f t="shared" si="3"/>
        <v>0</v>
      </c>
      <c r="AB21" s="1">
        <f t="shared" si="4"/>
        <v>0</v>
      </c>
      <c r="AC21" s="1">
        <f t="shared" si="5"/>
        <v>0</v>
      </c>
      <c r="AD21" s="1">
        <f t="shared" si="6"/>
        <v>0</v>
      </c>
      <c r="AE21" s="1">
        <f t="shared" si="7"/>
        <v>14.33</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14.33</v>
      </c>
      <c r="BB21" s="229">
        <f t="shared" si="8"/>
        <v>0</v>
      </c>
      <c r="BC21" s="1">
        <f t="shared" si="24"/>
        <v>6</v>
      </c>
      <c r="BD21" s="1">
        <f t="shared" si="9"/>
        <v>0</v>
      </c>
      <c r="BE21" s="1">
        <f t="shared" si="10"/>
        <v>0</v>
      </c>
      <c r="BF21" s="1">
        <f t="shared" si="11"/>
        <v>0</v>
      </c>
      <c r="BG21" s="210" t="str">
        <f>IF(AND(C21="Skema 1",B21="ma"),Skemaoplysninger!$E$30,"")</f>
        <v/>
      </c>
      <c r="BH21" s="210" t="str">
        <f>IF(AND(C21="Skema 1",B21="ti"),Skemaoplysninger!$G$30,"")</f>
        <v/>
      </c>
      <c r="BI21" s="210" t="str">
        <f>IF(AND(C21="Skema 1",B21="on"),Skemaoplysninger!$I$30,"")</f>
        <v/>
      </c>
      <c r="BJ21" s="210" t="str">
        <f>IF(AND(C21="Skema 1",B21="to"),Skemaoplysninger!$K$30,"")</f>
        <v/>
      </c>
      <c r="BK21" s="210" t="str">
        <f>IF(AND(C21="Skema 1",B21="fr"),Skemaoplysninger!$M$30,"")</f>
        <v/>
      </c>
      <c r="BL21" s="210" t="str">
        <f>IF(AND(C21="Skema 2",B21="ma"),Skemaoplysninger!$S$30,"")</f>
        <v/>
      </c>
      <c r="BM21" s="210" t="str">
        <f>IF(AND(C21="Skema 2",B21="ti"),Skemaoplysninger!$U$30,"")</f>
        <v/>
      </c>
      <c r="BN21" s="210" t="str">
        <f>IF(AND(C21="Skema 2",B21="on"),Skemaoplysninger!$W$30,"")</f>
        <v/>
      </c>
      <c r="BO21" s="210" t="str">
        <f>IF(AND(C21="Skema 2",B21="to"),Skemaoplysninger!$Y$30,"")</f>
        <v/>
      </c>
      <c r="BP21" s="210" t="str">
        <f>IF(AND(C21="Skema 2",B21="fr"),Skemaoplysninger!$AA$30,"")</f>
        <v/>
      </c>
      <c r="BQ21" s="210" t="str">
        <f>IF(AND(C21="Skema 3",B21="ma"),Skemaoplysninger!$AG$30,"")</f>
        <v/>
      </c>
      <c r="BR21" s="210" t="str">
        <f>IF(AND(C21="Skema 3",B21="ti"),Skemaoplysninger!$AI$30,"")</f>
        <v/>
      </c>
      <c r="BS21" s="210" t="str">
        <f>IF(AND(C21="Skema 3",B21="on"),Skemaoplysninger!$AK$30,"")</f>
        <v/>
      </c>
      <c r="BT21" s="210" t="str">
        <f>IF(AND(C21="Skema 3",B21="to"),Skemaoplysninger!$AM$30,"")</f>
        <v/>
      </c>
      <c r="BU21" s="210" t="str">
        <f>IF(AND(C21="Skema 3",B21="fr"),Skemaoplysninger!$AO$30,"")</f>
        <v/>
      </c>
      <c r="BV21" s="210" t="str">
        <f>IF(AND(C21="Skema 4",B21="ma"),Skemaoplysninger!$AU$30,"")</f>
        <v/>
      </c>
      <c r="BW21" s="210" t="str">
        <f>IF(AND(C21="Skema 4",B21="ti"),Skemaoplysninger!$AW$30,"")</f>
        <v/>
      </c>
      <c r="BX21" s="210" t="str">
        <f>IF(AND(C21="Skema 4",B21="on"),Skemaoplysninger!$AY$30,"")</f>
        <v/>
      </c>
      <c r="BY21" s="210" t="str">
        <f>IF(AND(C21="Skema 4",B21="to"),Skemaoplysninger!$BA$30,"")</f>
        <v/>
      </c>
      <c r="BZ21" s="210" t="str">
        <f>IF(AND(C21="Skema 4",B21="fr"),Skemaoplysninger!$BC$30,"")</f>
        <v/>
      </c>
      <c r="CA21" s="1">
        <f t="shared" si="25"/>
        <v>6</v>
      </c>
      <c r="CB21" s="1">
        <f t="shared" si="12"/>
        <v>0</v>
      </c>
      <c r="CC21" s="1">
        <f t="shared" si="13"/>
        <v>0</v>
      </c>
      <c r="CD21" s="210" t="str">
        <f>IF(AND(C21="Skema 1",B21="ma"),Skemaoplysninger!$E$31,"")</f>
        <v/>
      </c>
      <c r="CE21" s="210" t="str">
        <f>IF(AND(C21="Skema 1",B21="ti"),Skemaoplysninger!$G$31,"")</f>
        <v/>
      </c>
      <c r="CF21" s="210" t="str">
        <f>IF(AND(C21="Skema 1",B21="on"),Skemaoplysninger!$I$31,"")</f>
        <v/>
      </c>
      <c r="CG21" s="210" t="str">
        <f>IF(AND(C21="Skema 1",B21="to"),Skemaoplysninger!$K$31,"")</f>
        <v/>
      </c>
      <c r="CH21" s="210" t="str">
        <f>IF(AND(C21="Skema 1",B21="fr"),Skemaoplysninger!$M$31,"")</f>
        <v/>
      </c>
      <c r="CI21" s="210" t="str">
        <f>IF(AND(C21="Skema 2",B21="ma"),Skemaoplysninger!$S$31,"")</f>
        <v/>
      </c>
      <c r="CJ21" s="210" t="str">
        <f>IF(AND(C21="Skema 2",B21="ti"),Skemaoplysninger!$U$31,"")</f>
        <v/>
      </c>
      <c r="CK21" s="210" t="str">
        <f>IF(AND(C21="Skema 2",B21="on"),Skemaoplysninger!$W$31,"")</f>
        <v/>
      </c>
      <c r="CL21" s="210" t="str">
        <f>IF(AND(C21="Skema 2",B21="to"),Skemaoplysninger!$Y$31,"")</f>
        <v/>
      </c>
      <c r="CM21" s="210" t="str">
        <f>IF(AND(C21="Skema 2",B21="fr"),Skemaoplysninger!$AA$31,"")</f>
        <v/>
      </c>
      <c r="CN21" s="210" t="str">
        <f>IF(AND(C21="Skema 3",B21="ma"),Skemaoplysninger!$AG$31,"")</f>
        <v/>
      </c>
      <c r="CO21" s="210" t="str">
        <f>IF(AND(C21="Skema 3",B21="ti"),Skemaoplysninger!$AI$31,"")</f>
        <v/>
      </c>
      <c r="CP21" s="210" t="str">
        <f>IF(AND(C21="Skema 3",B21="on"),Skemaoplysninger!$AK$31,"")</f>
        <v/>
      </c>
      <c r="CQ21" s="210" t="str">
        <f>IF(AND(C21="Skema 3",B21="to"),Skemaoplysninger!$AM$31,"")</f>
        <v/>
      </c>
      <c r="CR21" s="210" t="str">
        <f>IF(AND(C21="Skema 3",B21="fr"),Skemaoplysninger!$AO$31,"")</f>
        <v/>
      </c>
      <c r="CS21" s="210" t="str">
        <f>IF(AND(C21="Skema 4",B21="ma"),Skemaoplysninger!$AU$31,"")</f>
        <v/>
      </c>
      <c r="CT21" s="210" t="str">
        <f>IF(AND(C21="Skema 4",B21="ti"),Skemaoplysninger!$AW$31,"")</f>
        <v/>
      </c>
      <c r="CU21" s="210" t="str">
        <f>IF(AND(C21="Skema 4",B21="on"),Skemaoplysninger!$AY$31,"")</f>
        <v/>
      </c>
      <c r="CV21" s="210" t="str">
        <f>IF(AND(C21="Skema 4",B21="to"),Skemaoplysninger!$BA$31,"")</f>
        <v/>
      </c>
      <c r="CW21" s="210" t="str">
        <f>IF(AND(C21="Skema 4",B21="fr"),Skemaoplysninger!$BC$31,"")</f>
        <v/>
      </c>
      <c r="CX21" s="249">
        <f>IF(Stamoplysninger!$H$29="NEJ",SUM(CD21:CW21)*24+CB21+CC21,0)</f>
        <v>0</v>
      </c>
      <c r="CY21" s="249">
        <f>IF(C21="Skema 1",Stamoplysninger!$H$30/200,0)</f>
        <v>0</v>
      </c>
      <c r="CZ21" s="249">
        <f>IF(C21="Skema 2",Stamoplysninger!$H$30/200,0)</f>
        <v>0</v>
      </c>
      <c r="DA21" s="249">
        <f>IF(C21="Skema 3",Stamoplysninger!$H$30/200,0)</f>
        <v>0</v>
      </c>
      <c r="DB21" s="249">
        <f>IF(C21="Skema 4",Stamoplysninger!$H$30/200,0)</f>
        <v>0</v>
      </c>
      <c r="DC21" s="249">
        <f>IF(C21="fagdag",Stamoplysninger!$H$30/200,0)</f>
        <v>0</v>
      </c>
      <c r="DD21" s="249">
        <f>IF(C21="emnedag",Stamoplysninger!$H$30/200,0)</f>
        <v>0</v>
      </c>
      <c r="DE21" s="249">
        <f>IF(C21="lejrskole",Stamoplysninger!$H$30/200,0)</f>
        <v>0</v>
      </c>
      <c r="DF21" s="249">
        <f>IF(C21="ekskursion",Stamoplysninger!$H$30/200,0)</f>
        <v>0</v>
      </c>
      <c r="DG21" s="249">
        <f t="shared" si="26"/>
        <v>0</v>
      </c>
      <c r="DH21" t="str">
        <f t="shared" si="27"/>
        <v/>
      </c>
      <c r="DI21" t="str">
        <f t="shared" si="28"/>
        <v>Storlejr - kl. 8:00</v>
      </c>
      <c r="DJ21" t="str">
        <f t="shared" si="29"/>
        <v/>
      </c>
      <c r="DK21" t="str">
        <f t="shared" si="14"/>
        <v/>
      </c>
      <c r="DL21" t="str">
        <f t="shared" si="14"/>
        <v>Storlejr - kl. 8:00</v>
      </c>
      <c r="DM21" t="str">
        <f t="shared" si="14"/>
        <v/>
      </c>
      <c r="DN21" t="str">
        <f t="shared" si="30"/>
        <v>Storlejr - kl. 8:00</v>
      </c>
      <c r="DO21" s="652">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71">
        <f>IF(AND(Stamoplysninger!$B$22="Ulempetillæg udbetales med 25% af nettotimelønnen.",C21="ikke relevant"),(R21)/4,0)</f>
        <v>0</v>
      </c>
      <c r="DT21" s="671">
        <f>IF(AND(AND(Stamoplysninger!$B$22="Ulempetillæg udbetales med 25% af nettotimelønnen.",I21="X",C21="Ikke relevant")),K21/4,0)</f>
        <v>0</v>
      </c>
      <c r="DU21" s="671">
        <f>IF(AND(AND(Stamoplysninger!$B$22="Ulempetillæg udbetales med 25% af nettotimelønnen.",C21="ikke relevant",U21="X")),(X21/4),0)</f>
        <v>0</v>
      </c>
      <c r="DV21" s="672">
        <f>IF(AND(AND(AND(Stamoplysninger!$B$22="Ulempetillæg udbetales med 25% af nettotimelønnen.",I21="X",C21="Ikke relevant",S21="X"))),V21/4,0)</f>
        <v>0</v>
      </c>
      <c r="DW21" s="652"/>
      <c r="DZ21" s="671"/>
      <c r="EA21" s="671"/>
      <c r="EB21" s="672"/>
      <c r="EC21" s="652">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71">
        <f>IF(AND(Stamoplysninger!$B$22="Ulempetillæg afspadseres med 25%(Kræver en aftale imellem ledelsen og den ansatte)",C21="ikke relevant"),(R21)/4,0)</f>
        <v>0</v>
      </c>
      <c r="EH21" s="671">
        <f>IF(AND(AND(Stamoplysninger!$B$22="Ulempetillæg afspadseres med 25%(Kræver en aftale imellem ledelsen og den ansatte)",I21="X",C21="Ikke relevant")),K21/4,0)</f>
        <v>0</v>
      </c>
      <c r="EI21" s="671">
        <f>IF(AND(AND(Stamoplysninger!$B$22="Ulempetillæg afspadseres med 25%(Kræver en aftale imellem ledelsen og den ansatte)",U21="X",C21="Ikke relevant")),X21/4,0)</f>
        <v>0</v>
      </c>
      <c r="EJ21" s="671">
        <f>IF(AND(AND(AND(Stamoplysninger!$B$22="Ulempetillæg afspadseres med 25%(Kræver en aftale imellem ledelsen og den ansatte)",I21="X",C21="Ikke relevant",S21="X"))),V21/4,0)</f>
        <v>0</v>
      </c>
      <c r="EK21" s="283">
        <f>IF(AND(Stamoplysninger!$B$26="Weekendtimer og weekendtillæg afspadseres.",I21="X"),K21*1.5,0)</f>
        <v>0</v>
      </c>
      <c r="EL21" s="251">
        <f>IF(AND(AND(Stamoplysninger!$B$26="Weekendtimer og weekendtillæg afspadseres.",I21="X",S21="X")),V21*1.5,0)</f>
        <v>0</v>
      </c>
      <c r="EM21" s="674">
        <f>IF(AND(AND(Stamoplysninger!$B$26="Weekendtimer og weekendtillæg afspadseres.",I21="X",C21="ikke relevant")),K21*1.5,0)</f>
        <v>0</v>
      </c>
      <c r="EN21" s="675">
        <f>IF(AND(AND(AND(Stamoplysninger!$B$26="Weekendtimer og weekendtillæg afspadseres.",I21="X",C21="ikke relevant",S21="X"))),(V21*1.5),0)</f>
        <v>0</v>
      </c>
      <c r="EO21" s="283">
        <f>IF(AND(Stamoplysninger!$B$26="Weekendtimer og weekendtillæg udbetales.",I21="X"),K21*1.5,0)</f>
        <v>0</v>
      </c>
      <c r="EP21" s="251">
        <f>IF(AND(AND(Stamoplysninger!$B$26="Weekendtimer og weekendtillæg udbetales.",I21="X",S21="X")),V21*1.5,0)</f>
        <v>0</v>
      </c>
      <c r="EQ21" s="674">
        <f>IF(AND(AND(Stamoplysninger!$B$26="Weekendtimer og weekendtillæg udbetales.",I21="X",C21="ikke relevant")),K21*1.5,0)</f>
        <v>0</v>
      </c>
      <c r="ER21" s="675">
        <f>IF(AND(AND(AND(Stamoplysninger!$B$26="Weekendtimer og weekendtillæg udbetales.",I21="X",C21="ikke relevant",S21="X"))),(V21*1.5),0)</f>
        <v>0</v>
      </c>
      <c r="ES21" s="283">
        <f>IF(AND(Stamoplysninger!$B$26="Der er indgået lokalaftale omkring weekendtimer.(Kræver aftale med TR/FSL) Weekendtillæg afspadseres.",I21="X"),K21*0.5,0)</f>
        <v>0</v>
      </c>
      <c r="ET21" s="251">
        <f>IF(AND(AND(Stamoplysninger!$B$26="Der er indgået lokalaftale omkring weekendtimer.(Kræver aftale med TR/FSL) Weekendtillæg afspadseres.",I21="X",S21="X")),V21*0.5,0)</f>
        <v>0</v>
      </c>
      <c r="EU21" s="674">
        <f>IF(AND(AND(Stamoplysninger!$B$26="Der er indgået lokalaftale omkring weekendtimer.(Kræver aftale med TR/FSL) Weekendtillæg afspadseres.",I21="X",C21="ikke relevant")),K21*0.5,0)</f>
        <v>0</v>
      </c>
      <c r="EV21" s="675">
        <f>IF(AND(AND(AND(Stamoplysninger!$B$26="Der er indgået lokalaftale omkring weekendtimer.(Kræver aftale med TR/FSL) Weekendtillæg afspadseres.",I21="X",C21="ikke relevant",S21="X"))),(V21*0.5),0)</f>
        <v>0</v>
      </c>
      <c r="EW21" s="283">
        <f>IF(AND(Stamoplysninger!$B$26="Der er indgået lokalaftale omkring weekendtimer(Kræver aftale med TR/FSL). Weekendtillæg udbetales.",I21="X"),K21*0.5,0)</f>
        <v>0</v>
      </c>
      <c r="EX21" s="251">
        <f>IF(AND(AND(Stamoplysninger!$B$26="Der er indgået lokalaftale omkring weekendtimer(Kræver aftale med TR/FSL). Weekendtillæg udbetales.",I21="X",S21="X")),V21*0.5,0)</f>
        <v>0</v>
      </c>
      <c r="EY21" s="674">
        <f>IF(AND(AND(Stamoplysninger!$B$26="Der er indgået lokalaftale omkring weekendtimer(Kræver aftale med TR/FSL). Weekendtillæg udbetales.",I21="X",C21="ikke relevant")),K21*0.5,0)</f>
        <v>0</v>
      </c>
      <c r="EZ21" s="675">
        <f>IF(AND(AND(AND(Stamoplysninger!$B$26="Der er indgået lokalaftale omkring weekendtimer(Kræver aftale med TR/FSL). Weekendtillæg udbetales.",I21="X",C21="ikke relevant",S21="X"))),(V21*0.5),0)</f>
        <v>0</v>
      </c>
      <c r="FA21" s="283">
        <f>IF(AND(Stamoplysninger!$B$26="Der er indgået lokalaftale omkring weekendtillæg(Kræver aftale med TR/FSL). Weekendtimerne afspadseres.",I21="X"),K21,0)</f>
        <v>0</v>
      </c>
      <c r="FB21" s="251">
        <f>IF(AND(AND(Stamoplysninger!$B$26="Der er indgået lokalaftale omkring weekendtillæg(Kræver aftale med TR/FSL). Weekendtimerne afspadseres.",I21="X",S21="X")),V21,0)</f>
        <v>0</v>
      </c>
      <c r="FC21" s="674">
        <f>IF(AND(AND(Stamoplysninger!$B$26="Der er indgået lokalaftale omkring weekendtillæg(Kræver aftale med TR/FSL). Weekendtimerne afspadseres..",I21="X",C21="ikke relevant")),K21,0)</f>
        <v>0</v>
      </c>
      <c r="FD21" s="675">
        <f>IF(AND(AND(AND(Stamoplysninger!$B$26="Der er indgået lokalaftale omkring weekendtillæg(Kræver aftale med TR/FSL). Weekendtimerne afspadseres.",I21="X",C21="ikke relevant",S21="X"))),(V21),0)</f>
        <v>0</v>
      </c>
      <c r="FE21" s="283">
        <f>IF(AND(Stamoplysninger!$B$26="Der er indgået lokalaftale omkring weekendtillæg(Kræver aftale med TR/FSL). Weekendtimerne udbetales.",I21="X"),K21,0)</f>
        <v>0</v>
      </c>
      <c r="FF21" s="251">
        <f>IF(AND(AND(Stamoplysninger!$B$26="Der er indgået lokalaftale omkring weekendtillæg(Kræver aftale med TR/FSL). Weekendtimerne udbetales.",I21="X",S21="X")),V21,0)</f>
        <v>0</v>
      </c>
      <c r="FG21" s="674">
        <f>IF(AND(AND(Stamoplysninger!$B$26="Der er indgået lokalaftale omkring weekendtillæg(Kræver aftale med TR/FSL). Weekendtimerne udbetales.",I21="X",C21="ikke relevant")),K21,0)</f>
        <v>0</v>
      </c>
      <c r="FH21" s="675">
        <f>IF(AND(AND(AND(Stamoplysninger!$B$26="Der er indgået lokalaftale omkring weekendtillæg(Kræver aftale med TR/FSL). Weekendtimerne udbetales.",I21="X",C21="ikke relevant",S21="X"))),(V21),0)</f>
        <v>0</v>
      </c>
      <c r="FI21" s="283">
        <f>IF(AND(Stamoplysninger!$B$26="Weekendtimer og weekendtillæg afspadseres.",I21="X"),K21,0)</f>
        <v>0</v>
      </c>
      <c r="FJ21" s="251">
        <f>IF(AND(Stamoplysninger!$B$26="Weekendtimer og weekendtillæg afspadseres.",Y21="X"),(AA21+AL21)/2,0)</f>
        <v>0</v>
      </c>
      <c r="FK21" s="674">
        <f>IF(AND(AND(Stamoplysninger!$B$26="Weekendtimer og weekendtillæg afspadseres.",I21="X",C21="ikke relevant")),K21,0)</f>
        <v>0</v>
      </c>
      <c r="FL21" s="675">
        <f>IF(AND(AND(Stamoplysninger!$B$26="Weekendtimer og weekendtillæg afspadseres.",Y21="X",S21="ikke relevant")),(AA21+AL21)/2,0)</f>
        <v>0</v>
      </c>
      <c r="FM21" s="283">
        <f>IF(AND(Stamoplysninger!$B$26="Der er indgået lokalaftale omkring weekendtillæg(Kræver aftale med TR/FSL). Weekendtimerne afspadseres.",I21="X"),K21,0)</f>
        <v>0</v>
      </c>
      <c r="FN21" s="674">
        <f>IF(AND(AND(Stamoplysninger!$B$26="Der er indgået lokalaftale omkring weekendtillæg(Kræver aftale med TR/FSL). Weekendtimerne afspadseres.",I21="X",C21="ikke relevant")),K21,0)</f>
        <v>0</v>
      </c>
      <c r="FO21" s="283">
        <f>IF(AND(Stamoplysninger!$B$26="Weekendtimer og weekendtillæg udbetales.",I21="X"),K21,0)</f>
        <v>0</v>
      </c>
      <c r="FP21" s="251">
        <f>IF(AND(Stamoplysninger!$B$26="Weekendtimer og weekendtillæg udbetales.",AA21="X"),(AC21+AN21)/2,0)</f>
        <v>0</v>
      </c>
      <c r="FQ21" s="674">
        <f>IF(AND(AND(Stamoplysninger!$B$26="Weekendtimer og weekendtillæg udbetales.",I21="X",C21="ikke relevant")),K21,0)</f>
        <v>0</v>
      </c>
      <c r="FR21" s="688">
        <f>IF(AND(AND(Stamoplysninger!$B$26="Weekendtimer og weekendtillæg udbetales.",AA21="X",U21="ikke relevant")),(AC21+AN21)/2,0)</f>
        <v>0</v>
      </c>
      <c r="FS21" s="283">
        <f t="shared" si="15"/>
        <v>0</v>
      </c>
      <c r="FT21" s="658">
        <f t="shared" si="16"/>
        <v>0</v>
      </c>
      <c r="FU21">
        <f t="shared" si="17"/>
        <v>0</v>
      </c>
      <c r="FV21" s="283">
        <f>IF(AND(Stamoplysninger!$B$26="Der er indgået lokalaftale omkring weekendtimer.(Kræver aftale med TR/FSL) Weekendtillæg afspadseres.",I21="X"),K21,0)</f>
        <v>0</v>
      </c>
      <c r="FW21" s="674">
        <f>IF(AND(AND(Stamoplysninger!$B$26="Der er indgået lokalaftale omkring weekendtimer.(Kræver aftale med TR/FSL) Weekendtillæg afspadseres.",I21="X",C21="ikke relevant")),K21,0)</f>
        <v>0</v>
      </c>
      <c r="FX21" s="283">
        <f>IF(AND(Stamoplysninger!$B$26="Der er indgået lokalaftale omkring weekendtimer(Kræver aftale med TR/FSL). Weekendtillæg udbetales.",I21="X"),K21,0)</f>
        <v>0</v>
      </c>
      <c r="FY21" s="674">
        <f>IF(AND(AND(Stamoplysninger!$B$26="Der er indgået lokalaftale omkring weekendtimer(Kræver aftale med TR/FSL). Weekendtillæg udbetales.",I21="X",C21="ikke relevant")),K21,0)</f>
        <v>0</v>
      </c>
      <c r="FZ21" s="283">
        <f>IF(AND(Stamoplysninger!$B$26="Der er indgået lokalaftale omkring weekendtillæg(Kræver aftale med TR/FSL). Weekendtimerne udbetales.",I21="X"),K21,0)</f>
        <v>0</v>
      </c>
      <c r="GA21" s="674">
        <f>IF(AND(AND(Stamoplysninger!$B$26="Der er indgået lokalaftale omkring weekendtillæg(Kræver aftale med TR/FSL). Weekendtimerne udbetales.",I21="X",C21="ikke relevant")),K21,0)</f>
        <v>0</v>
      </c>
      <c r="GB21" s="283">
        <f>IF(AND(Stamoplysninger!$B$26="Der er indgået lokalaftale omkring weekendtimer og weekendtillæg.(Kræver aftale med TR/FSL).",I21="X"),K21,0)</f>
        <v>0</v>
      </c>
      <c r="GC21" s="674">
        <f>IF(AND(AND(Stamoplysninger!$B$26="Der er indgået lokalaftale omkring weekendtimer og weekendtillæg.(Kræver aftale med TR/FSL).",I21="X",C21="ikke relevant")),K21,0)</f>
        <v>0</v>
      </c>
    </row>
    <row r="22" spans="1:185">
      <c r="A22" s="245">
        <f t="shared" si="18"/>
        <v>14</v>
      </c>
      <c r="B22" s="128" t="str">
        <f t="shared" si="0"/>
        <v>on</v>
      </c>
      <c r="C22" s="129" t="s">
        <v>137</v>
      </c>
      <c r="D22" s="130" t="str">
        <f t="shared" si="1"/>
        <v/>
      </c>
      <c r="E22" s="949" t="s">
        <v>712</v>
      </c>
      <c r="F22" s="950"/>
      <c r="G22" s="951"/>
      <c r="H22" s="297"/>
      <c r="I22" s="527"/>
      <c r="J22" s="413"/>
      <c r="K22" s="380">
        <v>17.329999999999998</v>
      </c>
      <c r="L22" s="380">
        <v>6</v>
      </c>
      <c r="M22" s="380"/>
      <c r="N22" s="318">
        <f t="shared" si="19"/>
        <v>17.329999999999998</v>
      </c>
      <c r="O22" s="318">
        <f t="shared" si="20"/>
        <v>6</v>
      </c>
      <c r="P22" s="318">
        <f>IF(Stamoplysninger!$H$29="JA",Maj!DG22,CX22)</f>
        <v>0</v>
      </c>
      <c r="Q22" s="318">
        <f t="shared" si="21"/>
        <v>0</v>
      </c>
      <c r="R22" s="319"/>
      <c r="S22" s="324"/>
      <c r="T22" s="325"/>
      <c r="U22" s="325"/>
      <c r="V22" s="435"/>
      <c r="W22" s="412"/>
      <c r="X22" s="642"/>
      <c r="Y22">
        <f t="shared" si="22"/>
        <v>0</v>
      </c>
      <c r="Z22">
        <f t="shared" si="2"/>
        <v>0</v>
      </c>
      <c r="AA22" s="1">
        <f t="shared" si="3"/>
        <v>0</v>
      </c>
      <c r="AB22" s="1">
        <f t="shared" si="4"/>
        <v>0</v>
      </c>
      <c r="AC22" s="1">
        <f t="shared" si="5"/>
        <v>0</v>
      </c>
      <c r="AD22" s="1">
        <f t="shared" si="6"/>
        <v>0</v>
      </c>
      <c r="AE22" s="1">
        <f t="shared" si="7"/>
        <v>17.329999999999998</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17.329999999999998</v>
      </c>
      <c r="BB22" s="229">
        <f t="shared" si="8"/>
        <v>0</v>
      </c>
      <c r="BC22" s="1">
        <f t="shared" si="24"/>
        <v>6</v>
      </c>
      <c r="BD22" s="1">
        <f t="shared" si="9"/>
        <v>0</v>
      </c>
      <c r="BE22" s="1">
        <f t="shared" si="10"/>
        <v>0</v>
      </c>
      <c r="BF22" s="1">
        <f t="shared" si="11"/>
        <v>0</v>
      </c>
      <c r="BG22" s="210" t="str">
        <f>IF(AND(C22="Skema 1",B22="ma"),Skemaoplysninger!$E$30,"")</f>
        <v/>
      </c>
      <c r="BH22" s="210" t="str">
        <f>IF(AND(C22="Skema 1",B22="ti"),Skemaoplysninger!$G$30,"")</f>
        <v/>
      </c>
      <c r="BI22" s="210" t="str">
        <f>IF(AND(C22="Skema 1",B22="on"),Skemaoplysninger!$I$30,"")</f>
        <v/>
      </c>
      <c r="BJ22" s="210" t="str">
        <f>IF(AND(C22="Skema 1",B22="to"),Skemaoplysninger!$K$30,"")</f>
        <v/>
      </c>
      <c r="BK22" s="210" t="str">
        <f>IF(AND(C22="Skema 1",B22="fr"),Skemaoplysninger!$M$30,"")</f>
        <v/>
      </c>
      <c r="BL22" s="210" t="str">
        <f>IF(AND(C22="Skema 2",B22="ma"),Skemaoplysninger!$S$30,"")</f>
        <v/>
      </c>
      <c r="BM22" s="210" t="str">
        <f>IF(AND(C22="Skema 2",B22="ti"),Skemaoplysninger!$U$30,"")</f>
        <v/>
      </c>
      <c r="BN22" s="210" t="str">
        <f>IF(AND(C22="Skema 2",B22="on"),Skemaoplysninger!$W$30,"")</f>
        <v/>
      </c>
      <c r="BO22" s="210" t="str">
        <f>IF(AND(C22="Skema 2",B22="to"),Skemaoplysninger!$Y$30,"")</f>
        <v/>
      </c>
      <c r="BP22" s="210" t="str">
        <f>IF(AND(C22="Skema 2",B22="fr"),Skemaoplysninger!$AA$30,"")</f>
        <v/>
      </c>
      <c r="BQ22" s="210" t="str">
        <f>IF(AND(C22="Skema 3",B22="ma"),Skemaoplysninger!$AG$30,"")</f>
        <v/>
      </c>
      <c r="BR22" s="210" t="str">
        <f>IF(AND(C22="Skema 3",B22="ti"),Skemaoplysninger!$AI$30,"")</f>
        <v/>
      </c>
      <c r="BS22" s="210" t="str">
        <f>IF(AND(C22="Skema 3",B22="on"),Skemaoplysninger!$AK$30,"")</f>
        <v/>
      </c>
      <c r="BT22" s="210" t="str">
        <f>IF(AND(C22="Skema 3",B22="to"),Skemaoplysninger!$AM$30,"")</f>
        <v/>
      </c>
      <c r="BU22" s="210" t="str">
        <f>IF(AND(C22="Skema 3",B22="fr"),Skemaoplysninger!$AO$30,"")</f>
        <v/>
      </c>
      <c r="BV22" s="210" t="str">
        <f>IF(AND(C22="Skema 4",B22="ma"),Skemaoplysninger!$AU$30,"")</f>
        <v/>
      </c>
      <c r="BW22" s="210" t="str">
        <f>IF(AND(C22="Skema 4",B22="ti"),Skemaoplysninger!$AW$30,"")</f>
        <v/>
      </c>
      <c r="BX22" s="210" t="str">
        <f>IF(AND(C22="Skema 4",B22="on"),Skemaoplysninger!$AY$30,"")</f>
        <v/>
      </c>
      <c r="BY22" s="210" t="str">
        <f>IF(AND(C22="Skema 4",B22="to"),Skemaoplysninger!$BA$30,"")</f>
        <v/>
      </c>
      <c r="BZ22" s="210" t="str">
        <f>IF(AND(C22="Skema 4",B22="fr"),Skemaoplysninger!$BC$30,"")</f>
        <v/>
      </c>
      <c r="CA22" s="1">
        <f t="shared" si="25"/>
        <v>6</v>
      </c>
      <c r="CB22" s="1">
        <f t="shared" si="12"/>
        <v>0</v>
      </c>
      <c r="CC22" s="1">
        <f t="shared" si="13"/>
        <v>0</v>
      </c>
      <c r="CD22" s="210" t="str">
        <f>IF(AND(C22="Skema 1",B22="ma"),Skemaoplysninger!$E$31,"")</f>
        <v/>
      </c>
      <c r="CE22" s="210" t="str">
        <f>IF(AND(C22="Skema 1",B22="ti"),Skemaoplysninger!$G$31,"")</f>
        <v/>
      </c>
      <c r="CF22" s="210" t="str">
        <f>IF(AND(C22="Skema 1",B22="on"),Skemaoplysninger!$I$31,"")</f>
        <v/>
      </c>
      <c r="CG22" s="210" t="str">
        <f>IF(AND(C22="Skema 1",B22="to"),Skemaoplysninger!$K$31,"")</f>
        <v/>
      </c>
      <c r="CH22" s="210" t="str">
        <f>IF(AND(C22="Skema 1",B22="fr"),Skemaoplysninger!$M$31,"")</f>
        <v/>
      </c>
      <c r="CI22" s="210" t="str">
        <f>IF(AND(C22="Skema 2",B22="ma"),Skemaoplysninger!$S$31,"")</f>
        <v/>
      </c>
      <c r="CJ22" s="210" t="str">
        <f>IF(AND(C22="Skema 2",B22="ti"),Skemaoplysninger!$U$31,"")</f>
        <v/>
      </c>
      <c r="CK22" s="210" t="str">
        <f>IF(AND(C22="Skema 2",B22="on"),Skemaoplysninger!$W$31,"")</f>
        <v/>
      </c>
      <c r="CL22" s="210" t="str">
        <f>IF(AND(C22="Skema 2",B22="to"),Skemaoplysninger!$Y$31,"")</f>
        <v/>
      </c>
      <c r="CM22" s="210" t="str">
        <f>IF(AND(C22="Skema 2",B22="fr"),Skemaoplysninger!$AA$31,"")</f>
        <v/>
      </c>
      <c r="CN22" s="210" t="str">
        <f>IF(AND(C22="Skema 3",B22="ma"),Skemaoplysninger!$AG$31,"")</f>
        <v/>
      </c>
      <c r="CO22" s="210" t="str">
        <f>IF(AND(C22="Skema 3",B22="ti"),Skemaoplysninger!$AI$31,"")</f>
        <v/>
      </c>
      <c r="CP22" s="210" t="str">
        <f>IF(AND(C22="Skema 3",B22="on"),Skemaoplysninger!$AK$31,"")</f>
        <v/>
      </c>
      <c r="CQ22" s="210" t="str">
        <f>IF(AND(C22="Skema 3",B22="to"),Skemaoplysninger!$AM$31,"")</f>
        <v/>
      </c>
      <c r="CR22" s="210" t="str">
        <f>IF(AND(C22="Skema 3",B22="fr"),Skemaoplysninger!$AO$31,"")</f>
        <v/>
      </c>
      <c r="CS22" s="210" t="str">
        <f>IF(AND(C22="Skema 4",B22="ma"),Skemaoplysninger!$AU$31,"")</f>
        <v/>
      </c>
      <c r="CT22" s="210" t="str">
        <f>IF(AND(C22="Skema 4",B22="ti"),Skemaoplysninger!$AW$31,"")</f>
        <v/>
      </c>
      <c r="CU22" s="210" t="str">
        <f>IF(AND(C22="Skema 4",B22="on"),Skemaoplysninger!$AY$31,"")</f>
        <v/>
      </c>
      <c r="CV22" s="210" t="str">
        <f>IF(AND(C22="Skema 4",B22="to"),Skemaoplysninger!$BA$31,"")</f>
        <v/>
      </c>
      <c r="CW22" s="210" t="str">
        <f>IF(AND(C22="Skema 4",B22="fr"),Skemaoplysninger!$BC$31,"")</f>
        <v/>
      </c>
      <c r="CX22" s="249">
        <f>IF(Stamoplysninger!$H$29="NEJ",SUM(CD22:CW22)*24+CB22+CC22,0)</f>
        <v>0</v>
      </c>
      <c r="CY22" s="249">
        <f>IF(C22="Skema 1",Stamoplysninger!$H$30/200,0)</f>
        <v>0</v>
      </c>
      <c r="CZ22" s="249">
        <f>IF(C22="Skema 2",Stamoplysninger!$H$30/200,0)</f>
        <v>0</v>
      </c>
      <c r="DA22" s="249">
        <f>IF(C22="Skema 3",Stamoplysninger!$H$30/200,0)</f>
        <v>0</v>
      </c>
      <c r="DB22" s="249">
        <f>IF(C22="Skema 4",Stamoplysninger!$H$30/200,0)</f>
        <v>0</v>
      </c>
      <c r="DC22" s="249">
        <f>IF(C22="fagdag",Stamoplysninger!$H$30/200,0)</f>
        <v>0</v>
      </c>
      <c r="DD22" s="249">
        <f>IF(C22="emnedag",Stamoplysninger!$H$30/200,0)</f>
        <v>0</v>
      </c>
      <c r="DE22" s="249">
        <f>IF(C22="lejrskole",Stamoplysninger!$H$30/200,0)</f>
        <v>0</v>
      </c>
      <c r="DF22" s="249">
        <f>IF(C22="ekskursion",Stamoplysninger!$H$30/200,0)</f>
        <v>0</v>
      </c>
      <c r="DG22" s="249">
        <f t="shared" si="26"/>
        <v>0</v>
      </c>
      <c r="DH22" t="str">
        <f t="shared" si="27"/>
        <v/>
      </c>
      <c r="DI22" t="str">
        <f t="shared" si="28"/>
        <v>Storlejr</v>
      </c>
      <c r="DJ22" t="str">
        <f t="shared" si="29"/>
        <v/>
      </c>
      <c r="DK22" t="str">
        <f t="shared" si="14"/>
        <v/>
      </c>
      <c r="DL22" t="str">
        <f t="shared" si="14"/>
        <v>Storlejr</v>
      </c>
      <c r="DM22" t="str">
        <f t="shared" si="14"/>
        <v/>
      </c>
      <c r="DN22" t="str">
        <f t="shared" si="30"/>
        <v>Storlejr</v>
      </c>
      <c r="DO22" s="652">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71">
        <f>IF(AND(Stamoplysninger!$B$22="Ulempetillæg udbetales med 25% af nettotimelønnen.",C22="ikke relevant"),(R22)/4,0)</f>
        <v>0</v>
      </c>
      <c r="DT22" s="671">
        <f>IF(AND(AND(Stamoplysninger!$B$22="Ulempetillæg udbetales med 25% af nettotimelønnen.",I22="X",C22="Ikke relevant")),K22/4,0)</f>
        <v>0</v>
      </c>
      <c r="DU22" s="671">
        <f>IF(AND(AND(Stamoplysninger!$B$22="Ulempetillæg udbetales med 25% af nettotimelønnen.",C22="ikke relevant",U22="X")),(X22/4),0)</f>
        <v>0</v>
      </c>
      <c r="DV22" s="672">
        <f>IF(AND(AND(AND(Stamoplysninger!$B$22="Ulempetillæg udbetales med 25% af nettotimelønnen.",I22="X",C22="Ikke relevant",S22="X"))),V22/4,0)</f>
        <v>0</v>
      </c>
      <c r="DW22" s="652"/>
      <c r="DZ22" s="671"/>
      <c r="EA22" s="671"/>
      <c r="EB22" s="672"/>
      <c r="EC22" s="652">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71">
        <f>IF(AND(Stamoplysninger!$B$22="Ulempetillæg afspadseres med 25%(Kræver en aftale imellem ledelsen og den ansatte)",C22="ikke relevant"),(R22)/4,0)</f>
        <v>0</v>
      </c>
      <c r="EH22" s="671">
        <f>IF(AND(AND(Stamoplysninger!$B$22="Ulempetillæg afspadseres med 25%(Kræver en aftale imellem ledelsen og den ansatte)",I22="X",C22="Ikke relevant")),K22/4,0)</f>
        <v>0</v>
      </c>
      <c r="EI22" s="671">
        <f>IF(AND(AND(Stamoplysninger!$B$22="Ulempetillæg afspadseres med 25%(Kræver en aftale imellem ledelsen og den ansatte)",U22="X",C22="Ikke relevant")),X22/4,0)</f>
        <v>0</v>
      </c>
      <c r="EJ22" s="671">
        <f>IF(AND(AND(AND(Stamoplysninger!$B$22="Ulempetillæg afspadseres med 25%(Kræver en aftale imellem ledelsen og den ansatte)",I22="X",C22="Ikke relevant",S22="X"))),V22/4,0)</f>
        <v>0</v>
      </c>
      <c r="EK22" s="283">
        <f>IF(AND(Stamoplysninger!$B$26="Weekendtimer og weekendtillæg afspadseres.",I22="X"),K22*1.5,0)</f>
        <v>0</v>
      </c>
      <c r="EL22" s="251">
        <f>IF(AND(AND(Stamoplysninger!$B$26="Weekendtimer og weekendtillæg afspadseres.",I22="X",S22="X")),V22*1.5,0)</f>
        <v>0</v>
      </c>
      <c r="EM22" s="674">
        <f>IF(AND(AND(Stamoplysninger!$B$26="Weekendtimer og weekendtillæg afspadseres.",I22="X",C22="ikke relevant")),K22*1.5,0)</f>
        <v>0</v>
      </c>
      <c r="EN22" s="675">
        <f>IF(AND(AND(AND(Stamoplysninger!$B$26="Weekendtimer og weekendtillæg afspadseres.",I22="X",C22="ikke relevant",S22="X"))),(V22*1.5),0)</f>
        <v>0</v>
      </c>
      <c r="EO22" s="283">
        <f>IF(AND(Stamoplysninger!$B$26="Weekendtimer og weekendtillæg udbetales.",I22="X"),K22*1.5,0)</f>
        <v>0</v>
      </c>
      <c r="EP22" s="251">
        <f>IF(AND(AND(Stamoplysninger!$B$26="Weekendtimer og weekendtillæg udbetales.",I22="X",S22="X")),V22*1.5,0)</f>
        <v>0</v>
      </c>
      <c r="EQ22" s="674">
        <f>IF(AND(AND(Stamoplysninger!$B$26="Weekendtimer og weekendtillæg udbetales.",I22="X",C22="ikke relevant")),K22*1.5,0)</f>
        <v>0</v>
      </c>
      <c r="ER22" s="675">
        <f>IF(AND(AND(AND(Stamoplysninger!$B$26="Weekendtimer og weekendtillæg udbetales.",I22="X",C22="ikke relevant",S22="X"))),(V22*1.5),0)</f>
        <v>0</v>
      </c>
      <c r="ES22" s="283">
        <f>IF(AND(Stamoplysninger!$B$26="Der er indgået lokalaftale omkring weekendtimer.(Kræver aftale med TR/FSL) Weekendtillæg afspadseres.",I22="X"),K22*0.5,0)</f>
        <v>0</v>
      </c>
      <c r="ET22" s="251">
        <f>IF(AND(AND(Stamoplysninger!$B$26="Der er indgået lokalaftale omkring weekendtimer.(Kræver aftale med TR/FSL) Weekendtillæg afspadseres.",I22="X",S22="X")),V22*0.5,0)</f>
        <v>0</v>
      </c>
      <c r="EU22" s="674">
        <f>IF(AND(AND(Stamoplysninger!$B$26="Der er indgået lokalaftale omkring weekendtimer.(Kræver aftale med TR/FSL) Weekendtillæg afspadseres.",I22="X",C22="ikke relevant")),K22*0.5,0)</f>
        <v>0</v>
      </c>
      <c r="EV22" s="675">
        <f>IF(AND(AND(AND(Stamoplysninger!$B$26="Der er indgået lokalaftale omkring weekendtimer.(Kræver aftale med TR/FSL) Weekendtillæg afspadseres.",I22="X",C22="ikke relevant",S22="X"))),(V22*0.5),0)</f>
        <v>0</v>
      </c>
      <c r="EW22" s="283">
        <f>IF(AND(Stamoplysninger!$B$26="Der er indgået lokalaftale omkring weekendtimer(Kræver aftale med TR/FSL). Weekendtillæg udbetales.",I22="X"),K22*0.5,0)</f>
        <v>0</v>
      </c>
      <c r="EX22" s="251">
        <f>IF(AND(AND(Stamoplysninger!$B$26="Der er indgået lokalaftale omkring weekendtimer(Kræver aftale med TR/FSL). Weekendtillæg udbetales.",I22="X",S22="X")),V22*0.5,0)</f>
        <v>0</v>
      </c>
      <c r="EY22" s="674">
        <f>IF(AND(AND(Stamoplysninger!$B$26="Der er indgået lokalaftale omkring weekendtimer(Kræver aftale med TR/FSL). Weekendtillæg udbetales.",I22="X",C22="ikke relevant")),K22*0.5,0)</f>
        <v>0</v>
      </c>
      <c r="EZ22" s="675">
        <f>IF(AND(AND(AND(Stamoplysninger!$B$26="Der er indgået lokalaftale omkring weekendtimer(Kræver aftale med TR/FSL). Weekendtillæg udbetales.",I22="X",C22="ikke relevant",S22="X"))),(V22*0.5),0)</f>
        <v>0</v>
      </c>
      <c r="FA22" s="283">
        <f>IF(AND(Stamoplysninger!$B$26="Der er indgået lokalaftale omkring weekendtillæg(Kræver aftale med TR/FSL). Weekendtimerne afspadseres.",I22="X"),K22,0)</f>
        <v>0</v>
      </c>
      <c r="FB22" s="251">
        <f>IF(AND(AND(Stamoplysninger!$B$26="Der er indgået lokalaftale omkring weekendtillæg(Kræver aftale med TR/FSL). Weekendtimerne afspadseres.",I22="X",S22="X")),V22,0)</f>
        <v>0</v>
      </c>
      <c r="FC22" s="674">
        <f>IF(AND(AND(Stamoplysninger!$B$26="Der er indgået lokalaftale omkring weekendtillæg(Kræver aftale med TR/FSL). Weekendtimerne afspadseres..",I22="X",C22="ikke relevant")),K22,0)</f>
        <v>0</v>
      </c>
      <c r="FD22" s="675">
        <f>IF(AND(AND(AND(Stamoplysninger!$B$26="Der er indgået lokalaftale omkring weekendtillæg(Kræver aftale med TR/FSL). Weekendtimerne afspadseres.",I22="X",C22="ikke relevant",S22="X"))),(V22),0)</f>
        <v>0</v>
      </c>
      <c r="FE22" s="283">
        <f>IF(AND(Stamoplysninger!$B$26="Der er indgået lokalaftale omkring weekendtillæg(Kræver aftale med TR/FSL). Weekendtimerne udbetales.",I22="X"),K22,0)</f>
        <v>0</v>
      </c>
      <c r="FF22" s="251">
        <f>IF(AND(AND(Stamoplysninger!$B$26="Der er indgået lokalaftale omkring weekendtillæg(Kræver aftale med TR/FSL). Weekendtimerne udbetales.",I22="X",S22="X")),V22,0)</f>
        <v>0</v>
      </c>
      <c r="FG22" s="674">
        <f>IF(AND(AND(Stamoplysninger!$B$26="Der er indgået lokalaftale omkring weekendtillæg(Kræver aftale med TR/FSL). Weekendtimerne udbetales.",I22="X",C22="ikke relevant")),K22,0)</f>
        <v>0</v>
      </c>
      <c r="FH22" s="675">
        <f>IF(AND(AND(AND(Stamoplysninger!$B$26="Der er indgået lokalaftale omkring weekendtillæg(Kræver aftale med TR/FSL). Weekendtimerne udbetales.",I22="X",C22="ikke relevant",S22="X"))),(V22),0)</f>
        <v>0</v>
      </c>
      <c r="FI22" s="283">
        <f>IF(AND(Stamoplysninger!$B$26="Weekendtimer og weekendtillæg afspadseres.",I22="X"),K22,0)</f>
        <v>0</v>
      </c>
      <c r="FJ22" s="251">
        <f>IF(AND(Stamoplysninger!$B$26="Weekendtimer og weekendtillæg afspadseres.",Y22="X"),(AA22+AL22)/2,0)</f>
        <v>0</v>
      </c>
      <c r="FK22" s="674">
        <f>IF(AND(AND(Stamoplysninger!$B$26="Weekendtimer og weekendtillæg afspadseres.",I22="X",C22="ikke relevant")),K22,0)</f>
        <v>0</v>
      </c>
      <c r="FL22" s="675">
        <f>IF(AND(AND(Stamoplysninger!$B$26="Weekendtimer og weekendtillæg afspadseres.",Y22="X",S22="ikke relevant")),(AA22+AL22)/2,0)</f>
        <v>0</v>
      </c>
      <c r="FM22" s="283">
        <f>IF(AND(Stamoplysninger!$B$26="Der er indgået lokalaftale omkring weekendtillæg(Kræver aftale med TR/FSL). Weekendtimerne afspadseres.",I22="X"),K22,0)</f>
        <v>0</v>
      </c>
      <c r="FN22" s="674">
        <f>IF(AND(AND(Stamoplysninger!$B$26="Der er indgået lokalaftale omkring weekendtillæg(Kræver aftale med TR/FSL). Weekendtimerne afspadseres.",I22="X",C22="ikke relevant")),K22,0)</f>
        <v>0</v>
      </c>
      <c r="FO22" s="283">
        <f>IF(AND(Stamoplysninger!$B$26="Weekendtimer og weekendtillæg udbetales.",I22="X"),K22,0)</f>
        <v>0</v>
      </c>
      <c r="FP22" s="251">
        <f>IF(AND(Stamoplysninger!$B$26="Weekendtimer og weekendtillæg udbetales.",AA22="X"),(AC22+AN22)/2,0)</f>
        <v>0</v>
      </c>
      <c r="FQ22" s="674">
        <f>IF(AND(AND(Stamoplysninger!$B$26="Weekendtimer og weekendtillæg udbetales.",I22="X",C22="ikke relevant")),K22,0)</f>
        <v>0</v>
      </c>
      <c r="FR22" s="688">
        <f>IF(AND(AND(Stamoplysninger!$B$26="Weekendtimer og weekendtillæg udbetales.",AA22="X",U22="ikke relevant")),(AC22+AN22)/2,0)</f>
        <v>0</v>
      </c>
      <c r="FS22" s="283">
        <f t="shared" si="15"/>
        <v>0</v>
      </c>
      <c r="FT22" s="658">
        <f t="shared" si="16"/>
        <v>0</v>
      </c>
      <c r="FU22">
        <f t="shared" si="17"/>
        <v>0</v>
      </c>
      <c r="FV22" s="283">
        <f>IF(AND(Stamoplysninger!$B$26="Der er indgået lokalaftale omkring weekendtimer.(Kræver aftale med TR/FSL) Weekendtillæg afspadseres.",I22="X"),K22,0)</f>
        <v>0</v>
      </c>
      <c r="FW22" s="674">
        <f>IF(AND(AND(Stamoplysninger!$B$26="Der er indgået lokalaftale omkring weekendtimer.(Kræver aftale med TR/FSL) Weekendtillæg afspadseres.",I22="X",C22="ikke relevant")),K22,0)</f>
        <v>0</v>
      </c>
      <c r="FX22" s="283">
        <f>IF(AND(Stamoplysninger!$B$26="Der er indgået lokalaftale omkring weekendtimer(Kræver aftale med TR/FSL). Weekendtillæg udbetales.",I22="X"),K22,0)</f>
        <v>0</v>
      </c>
      <c r="FY22" s="674">
        <f>IF(AND(AND(Stamoplysninger!$B$26="Der er indgået lokalaftale omkring weekendtimer(Kræver aftale med TR/FSL). Weekendtillæg udbetales.",I22="X",C22="ikke relevant")),K22,0)</f>
        <v>0</v>
      </c>
      <c r="FZ22" s="283">
        <f>IF(AND(Stamoplysninger!$B$26="Der er indgået lokalaftale omkring weekendtillæg(Kræver aftale med TR/FSL). Weekendtimerne udbetales.",I22="X"),K22,0)</f>
        <v>0</v>
      </c>
      <c r="GA22" s="674">
        <f>IF(AND(AND(Stamoplysninger!$B$26="Der er indgået lokalaftale omkring weekendtillæg(Kræver aftale med TR/FSL). Weekendtimerne udbetales.",I22="X",C22="ikke relevant")),K22,0)</f>
        <v>0</v>
      </c>
      <c r="GB22" s="283">
        <f>IF(AND(Stamoplysninger!$B$26="Der er indgået lokalaftale omkring weekendtimer og weekendtillæg.(Kræver aftale med TR/FSL).",I22="X"),K22,0)</f>
        <v>0</v>
      </c>
      <c r="GC22" s="674">
        <f>IF(AND(AND(Stamoplysninger!$B$26="Der er indgået lokalaftale omkring weekendtimer og weekendtillæg.(Kræver aftale med TR/FSL).",I22="X",C22="ikke relevant")),K22,0)</f>
        <v>0</v>
      </c>
    </row>
    <row r="23" spans="1:185">
      <c r="A23" s="245">
        <f t="shared" si="18"/>
        <v>15</v>
      </c>
      <c r="B23" s="128" t="str">
        <f t="shared" si="0"/>
        <v>to</v>
      </c>
      <c r="C23" s="129" t="s">
        <v>137</v>
      </c>
      <c r="D23" s="130" t="str">
        <f t="shared" si="1"/>
        <v/>
      </c>
      <c r="E23" s="949" t="s">
        <v>714</v>
      </c>
      <c r="F23" s="950"/>
      <c r="G23" s="951"/>
      <c r="H23" s="297"/>
      <c r="I23" s="527"/>
      <c r="J23" s="413"/>
      <c r="K23" s="380">
        <v>15</v>
      </c>
      <c r="L23" s="380">
        <v>6</v>
      </c>
      <c r="M23" s="380"/>
      <c r="N23" s="318">
        <f t="shared" si="19"/>
        <v>15</v>
      </c>
      <c r="O23" s="318">
        <f t="shared" si="20"/>
        <v>6</v>
      </c>
      <c r="P23" s="318">
        <f>IF(Stamoplysninger!$H$29="JA",Maj!DG23,CX23)</f>
        <v>0</v>
      </c>
      <c r="Q23" s="318">
        <f t="shared" si="21"/>
        <v>0</v>
      </c>
      <c r="R23" s="319"/>
      <c r="S23" s="324"/>
      <c r="T23" s="325"/>
      <c r="U23" s="325"/>
      <c r="V23" s="435"/>
      <c r="W23" s="412"/>
      <c r="X23" s="642"/>
      <c r="Y23">
        <f t="shared" si="22"/>
        <v>0</v>
      </c>
      <c r="Z23">
        <f t="shared" si="2"/>
        <v>0</v>
      </c>
      <c r="AA23" s="1">
        <f t="shared" si="3"/>
        <v>0</v>
      </c>
      <c r="AB23" s="1">
        <f t="shared" si="4"/>
        <v>0</v>
      </c>
      <c r="AC23" s="1">
        <f t="shared" si="5"/>
        <v>0</v>
      </c>
      <c r="AD23" s="1">
        <f t="shared" si="6"/>
        <v>0</v>
      </c>
      <c r="AE23" s="1">
        <f t="shared" si="7"/>
        <v>15</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15</v>
      </c>
      <c r="BB23" s="229">
        <f t="shared" si="8"/>
        <v>0</v>
      </c>
      <c r="BC23" s="1">
        <f t="shared" si="24"/>
        <v>6</v>
      </c>
      <c r="BD23" s="1">
        <f t="shared" si="9"/>
        <v>0</v>
      </c>
      <c r="BE23" s="1">
        <f t="shared" si="10"/>
        <v>0</v>
      </c>
      <c r="BF23" s="1">
        <f t="shared" si="11"/>
        <v>0</v>
      </c>
      <c r="BG23" s="210" t="str">
        <f>IF(AND(C23="Skema 1",B23="ma"),Skemaoplysninger!$E$30,"")</f>
        <v/>
      </c>
      <c r="BH23" s="210" t="str">
        <f>IF(AND(C23="Skema 1",B23="ti"),Skemaoplysninger!$G$30,"")</f>
        <v/>
      </c>
      <c r="BI23" s="210" t="str">
        <f>IF(AND(C23="Skema 1",B23="on"),Skemaoplysninger!$I$30,"")</f>
        <v/>
      </c>
      <c r="BJ23" s="210" t="str">
        <f>IF(AND(C23="Skema 1",B23="to"),Skemaoplysninger!$K$30,"")</f>
        <v/>
      </c>
      <c r="BK23" s="210" t="str">
        <f>IF(AND(C23="Skema 1",B23="fr"),Skemaoplysninger!$M$30,"")</f>
        <v/>
      </c>
      <c r="BL23" s="210" t="str">
        <f>IF(AND(C23="Skema 2",B23="ma"),Skemaoplysninger!$S$30,"")</f>
        <v/>
      </c>
      <c r="BM23" s="210" t="str">
        <f>IF(AND(C23="Skema 2",B23="ti"),Skemaoplysninger!$U$30,"")</f>
        <v/>
      </c>
      <c r="BN23" s="210" t="str">
        <f>IF(AND(C23="Skema 2",B23="on"),Skemaoplysninger!$W$30,"")</f>
        <v/>
      </c>
      <c r="BO23" s="210" t="str">
        <f>IF(AND(C23="Skema 2",B23="to"),Skemaoplysninger!$Y$30,"")</f>
        <v/>
      </c>
      <c r="BP23" s="210" t="str">
        <f>IF(AND(C23="Skema 2",B23="fr"),Skemaoplysninger!$AA$30,"")</f>
        <v/>
      </c>
      <c r="BQ23" s="210" t="str">
        <f>IF(AND(C23="Skema 3",B23="ma"),Skemaoplysninger!$AG$30,"")</f>
        <v/>
      </c>
      <c r="BR23" s="210" t="str">
        <f>IF(AND(C23="Skema 3",B23="ti"),Skemaoplysninger!$AI$30,"")</f>
        <v/>
      </c>
      <c r="BS23" s="210" t="str">
        <f>IF(AND(C23="Skema 3",B23="on"),Skemaoplysninger!$AK$30,"")</f>
        <v/>
      </c>
      <c r="BT23" s="210" t="str">
        <f>IF(AND(C23="Skema 3",B23="to"),Skemaoplysninger!$AM$30,"")</f>
        <v/>
      </c>
      <c r="BU23" s="210" t="str">
        <f>IF(AND(C23="Skema 3",B23="fr"),Skemaoplysninger!$AO$30,"")</f>
        <v/>
      </c>
      <c r="BV23" s="210" t="str">
        <f>IF(AND(C23="Skema 4",B23="ma"),Skemaoplysninger!$AU$30,"")</f>
        <v/>
      </c>
      <c r="BW23" s="210" t="str">
        <f>IF(AND(C23="Skema 4",B23="ti"),Skemaoplysninger!$AW$30,"")</f>
        <v/>
      </c>
      <c r="BX23" s="210" t="str">
        <f>IF(AND(C23="Skema 4",B23="on"),Skemaoplysninger!$AY$30,"")</f>
        <v/>
      </c>
      <c r="BY23" s="210" t="str">
        <f>IF(AND(C23="Skema 4",B23="to"),Skemaoplysninger!$BA$30,"")</f>
        <v/>
      </c>
      <c r="BZ23" s="210" t="str">
        <f>IF(AND(C23="Skema 4",B23="fr"),Skemaoplysninger!$BC$30,"")</f>
        <v/>
      </c>
      <c r="CA23" s="1">
        <f t="shared" si="25"/>
        <v>6</v>
      </c>
      <c r="CB23" s="1">
        <f t="shared" si="12"/>
        <v>0</v>
      </c>
      <c r="CC23" s="1">
        <f t="shared" si="13"/>
        <v>0</v>
      </c>
      <c r="CD23" s="210" t="str">
        <f>IF(AND(C23="Skema 1",B23="ma"),Skemaoplysninger!$E$31,"")</f>
        <v/>
      </c>
      <c r="CE23" s="210" t="str">
        <f>IF(AND(C23="Skema 1",B23="ti"),Skemaoplysninger!$G$31,"")</f>
        <v/>
      </c>
      <c r="CF23" s="210" t="str">
        <f>IF(AND(C23="Skema 1",B23="on"),Skemaoplysninger!$I$31,"")</f>
        <v/>
      </c>
      <c r="CG23" s="210" t="str">
        <f>IF(AND(C23="Skema 1",B23="to"),Skemaoplysninger!$K$31,"")</f>
        <v/>
      </c>
      <c r="CH23" s="210" t="str">
        <f>IF(AND(C23="Skema 1",B23="fr"),Skemaoplysninger!$M$31,"")</f>
        <v/>
      </c>
      <c r="CI23" s="210" t="str">
        <f>IF(AND(C23="Skema 2",B23="ma"),Skemaoplysninger!$S$31,"")</f>
        <v/>
      </c>
      <c r="CJ23" s="210" t="str">
        <f>IF(AND(C23="Skema 2",B23="ti"),Skemaoplysninger!$U$31,"")</f>
        <v/>
      </c>
      <c r="CK23" s="210" t="str">
        <f>IF(AND(C23="Skema 2",B23="on"),Skemaoplysninger!$W$31,"")</f>
        <v/>
      </c>
      <c r="CL23" s="210" t="str">
        <f>IF(AND(C23="Skema 2",B23="to"),Skemaoplysninger!$Y$31,"")</f>
        <v/>
      </c>
      <c r="CM23" s="210" t="str">
        <f>IF(AND(C23="Skema 2",B23="fr"),Skemaoplysninger!$AA$31,"")</f>
        <v/>
      </c>
      <c r="CN23" s="210" t="str">
        <f>IF(AND(C23="Skema 3",B23="ma"),Skemaoplysninger!$AG$31,"")</f>
        <v/>
      </c>
      <c r="CO23" s="210" t="str">
        <f>IF(AND(C23="Skema 3",B23="ti"),Skemaoplysninger!$AI$31,"")</f>
        <v/>
      </c>
      <c r="CP23" s="210" t="str">
        <f>IF(AND(C23="Skema 3",B23="on"),Skemaoplysninger!$AK$31,"")</f>
        <v/>
      </c>
      <c r="CQ23" s="210" t="str">
        <f>IF(AND(C23="Skema 3",B23="to"),Skemaoplysninger!$AM$31,"")</f>
        <v/>
      </c>
      <c r="CR23" s="210" t="str">
        <f>IF(AND(C23="Skema 3",B23="fr"),Skemaoplysninger!$AO$31,"")</f>
        <v/>
      </c>
      <c r="CS23" s="210" t="str">
        <f>IF(AND(C23="Skema 4",B23="ma"),Skemaoplysninger!$AU$31,"")</f>
        <v/>
      </c>
      <c r="CT23" s="210" t="str">
        <f>IF(AND(C23="Skema 4",B23="ti"),Skemaoplysninger!$AW$31,"")</f>
        <v/>
      </c>
      <c r="CU23" s="210" t="str">
        <f>IF(AND(C23="Skema 4",B23="on"),Skemaoplysninger!$AY$31,"")</f>
        <v/>
      </c>
      <c r="CV23" s="210" t="str">
        <f>IF(AND(C23="Skema 4",B23="to"),Skemaoplysninger!$BA$31,"")</f>
        <v/>
      </c>
      <c r="CW23" s="210" t="str">
        <f>IF(AND(C23="Skema 4",B23="fr"),Skemaoplysninger!$BC$31,"")</f>
        <v/>
      </c>
      <c r="CX23" s="249">
        <f>IF(Stamoplysninger!$H$29="NEJ",SUM(CD23:CW23)*24+CB23+CC23,0)</f>
        <v>0</v>
      </c>
      <c r="CY23" s="249">
        <f>IF(C23="Skema 1",Stamoplysninger!$H$30/200,0)</f>
        <v>0</v>
      </c>
      <c r="CZ23" s="249">
        <f>IF(C23="Skema 2",Stamoplysninger!$H$30/200,0)</f>
        <v>0</v>
      </c>
      <c r="DA23" s="249">
        <f>IF(C23="Skema 3",Stamoplysninger!$H$30/200,0)</f>
        <v>0</v>
      </c>
      <c r="DB23" s="249">
        <f>IF(C23="Skema 4",Stamoplysninger!$H$30/200,0)</f>
        <v>0</v>
      </c>
      <c r="DC23" s="249">
        <f>IF(C23="fagdag",Stamoplysninger!$H$30/200,0)</f>
        <v>0</v>
      </c>
      <c r="DD23" s="249">
        <f>IF(C23="emnedag",Stamoplysninger!$H$30/200,0)</f>
        <v>0</v>
      </c>
      <c r="DE23" s="249">
        <f>IF(C23="lejrskole",Stamoplysninger!$H$30/200,0)</f>
        <v>0</v>
      </c>
      <c r="DF23" s="249">
        <f>IF(C23="ekskursion",Stamoplysninger!$H$30/200,0)</f>
        <v>0</v>
      </c>
      <c r="DG23" s="249">
        <f t="shared" si="26"/>
        <v>0</v>
      </c>
      <c r="DH23" t="str">
        <f t="shared" si="27"/>
        <v/>
      </c>
      <c r="DI23" t="str">
        <f t="shared" si="28"/>
        <v>Storlejr - forventet hjemkomst kl. 17</v>
      </c>
      <c r="DJ23" t="str">
        <f t="shared" si="29"/>
        <v/>
      </c>
      <c r="DK23" t="str">
        <f t="shared" si="14"/>
        <v/>
      </c>
      <c r="DL23" t="str">
        <f t="shared" si="14"/>
        <v>Storlejr - forventet hjemkomst kl. 17</v>
      </c>
      <c r="DM23" t="str">
        <f t="shared" si="14"/>
        <v/>
      </c>
      <c r="DN23" t="str">
        <f t="shared" si="30"/>
        <v>Storlejr - forventet hjemkomst kl. 17</v>
      </c>
      <c r="DO23" s="652">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71">
        <f>IF(AND(Stamoplysninger!$B$22="Ulempetillæg udbetales med 25% af nettotimelønnen.",C23="ikke relevant"),(R23)/4,0)</f>
        <v>0</v>
      </c>
      <c r="DT23" s="671">
        <f>IF(AND(AND(Stamoplysninger!$B$22="Ulempetillæg udbetales med 25% af nettotimelønnen.",I23="X",C23="Ikke relevant")),K23/4,0)</f>
        <v>0</v>
      </c>
      <c r="DU23" s="671">
        <f>IF(AND(AND(Stamoplysninger!$B$22="Ulempetillæg udbetales med 25% af nettotimelønnen.",C23="ikke relevant",U23="X")),(X23/4),0)</f>
        <v>0</v>
      </c>
      <c r="DV23" s="672">
        <f>IF(AND(AND(AND(Stamoplysninger!$B$22="Ulempetillæg udbetales med 25% af nettotimelønnen.",I23="X",C23="Ikke relevant",S23="X"))),V23/4,0)</f>
        <v>0</v>
      </c>
      <c r="DW23" s="652"/>
      <c r="DZ23" s="671"/>
      <c r="EA23" s="671"/>
      <c r="EB23" s="672"/>
      <c r="EC23" s="652">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71">
        <f>IF(AND(Stamoplysninger!$B$22="Ulempetillæg afspadseres med 25%(Kræver en aftale imellem ledelsen og den ansatte)",C23="ikke relevant"),(R23)/4,0)</f>
        <v>0</v>
      </c>
      <c r="EH23" s="671">
        <f>IF(AND(AND(Stamoplysninger!$B$22="Ulempetillæg afspadseres med 25%(Kræver en aftale imellem ledelsen og den ansatte)",I23="X",C23="Ikke relevant")),K23/4,0)</f>
        <v>0</v>
      </c>
      <c r="EI23" s="671">
        <f>IF(AND(AND(Stamoplysninger!$B$22="Ulempetillæg afspadseres med 25%(Kræver en aftale imellem ledelsen og den ansatte)",U23="X",C23="Ikke relevant")),X23/4,0)</f>
        <v>0</v>
      </c>
      <c r="EJ23" s="671">
        <f>IF(AND(AND(AND(Stamoplysninger!$B$22="Ulempetillæg afspadseres med 25%(Kræver en aftale imellem ledelsen og den ansatte)",I23="X",C23="Ikke relevant",S23="X"))),V23/4,0)</f>
        <v>0</v>
      </c>
      <c r="EK23" s="283">
        <f>IF(AND(Stamoplysninger!$B$26="Weekendtimer og weekendtillæg afspadseres.",I23="X"),K23*1.5,0)</f>
        <v>0</v>
      </c>
      <c r="EL23" s="251">
        <f>IF(AND(AND(Stamoplysninger!$B$26="Weekendtimer og weekendtillæg afspadseres.",I23="X",S23="X")),V23*1.5,0)</f>
        <v>0</v>
      </c>
      <c r="EM23" s="674">
        <f>IF(AND(AND(Stamoplysninger!$B$26="Weekendtimer og weekendtillæg afspadseres.",I23="X",C23="ikke relevant")),K23*1.5,0)</f>
        <v>0</v>
      </c>
      <c r="EN23" s="675">
        <f>IF(AND(AND(AND(Stamoplysninger!$B$26="Weekendtimer og weekendtillæg afspadseres.",I23="X",C23="ikke relevant",S23="X"))),(V23*1.5),0)</f>
        <v>0</v>
      </c>
      <c r="EO23" s="283">
        <f>IF(AND(Stamoplysninger!$B$26="Weekendtimer og weekendtillæg udbetales.",I23="X"),K23*1.5,0)</f>
        <v>0</v>
      </c>
      <c r="EP23" s="251">
        <f>IF(AND(AND(Stamoplysninger!$B$26="Weekendtimer og weekendtillæg udbetales.",I23="X",S23="X")),V23*1.5,0)</f>
        <v>0</v>
      </c>
      <c r="EQ23" s="674">
        <f>IF(AND(AND(Stamoplysninger!$B$26="Weekendtimer og weekendtillæg udbetales.",I23="X",C23="ikke relevant")),K23*1.5,0)</f>
        <v>0</v>
      </c>
      <c r="ER23" s="675">
        <f>IF(AND(AND(AND(Stamoplysninger!$B$26="Weekendtimer og weekendtillæg udbetales.",I23="X",C23="ikke relevant",S23="X"))),(V23*1.5),0)</f>
        <v>0</v>
      </c>
      <c r="ES23" s="283">
        <f>IF(AND(Stamoplysninger!$B$26="Der er indgået lokalaftale omkring weekendtimer.(Kræver aftale med TR/FSL) Weekendtillæg afspadseres.",I23="X"),K23*0.5,0)</f>
        <v>0</v>
      </c>
      <c r="ET23" s="251">
        <f>IF(AND(AND(Stamoplysninger!$B$26="Der er indgået lokalaftale omkring weekendtimer.(Kræver aftale med TR/FSL) Weekendtillæg afspadseres.",I23="X",S23="X")),V23*0.5,0)</f>
        <v>0</v>
      </c>
      <c r="EU23" s="674">
        <f>IF(AND(AND(Stamoplysninger!$B$26="Der er indgået lokalaftale omkring weekendtimer.(Kræver aftale med TR/FSL) Weekendtillæg afspadseres.",I23="X",C23="ikke relevant")),K23*0.5,0)</f>
        <v>0</v>
      </c>
      <c r="EV23" s="675">
        <f>IF(AND(AND(AND(Stamoplysninger!$B$26="Der er indgået lokalaftale omkring weekendtimer.(Kræver aftale med TR/FSL) Weekendtillæg afspadseres.",I23="X",C23="ikke relevant",S23="X"))),(V23*0.5),0)</f>
        <v>0</v>
      </c>
      <c r="EW23" s="283">
        <f>IF(AND(Stamoplysninger!$B$26="Der er indgået lokalaftale omkring weekendtimer(Kræver aftale med TR/FSL). Weekendtillæg udbetales.",I23="X"),K23*0.5,0)</f>
        <v>0</v>
      </c>
      <c r="EX23" s="251">
        <f>IF(AND(AND(Stamoplysninger!$B$26="Der er indgået lokalaftale omkring weekendtimer(Kræver aftale med TR/FSL). Weekendtillæg udbetales.",I23="X",S23="X")),V23*0.5,0)</f>
        <v>0</v>
      </c>
      <c r="EY23" s="674">
        <f>IF(AND(AND(Stamoplysninger!$B$26="Der er indgået lokalaftale omkring weekendtimer(Kræver aftale med TR/FSL). Weekendtillæg udbetales.",I23="X",C23="ikke relevant")),K23*0.5,0)</f>
        <v>0</v>
      </c>
      <c r="EZ23" s="675">
        <f>IF(AND(AND(AND(Stamoplysninger!$B$26="Der er indgået lokalaftale omkring weekendtimer(Kræver aftale med TR/FSL). Weekendtillæg udbetales.",I23="X",C23="ikke relevant",S23="X"))),(V23*0.5),0)</f>
        <v>0</v>
      </c>
      <c r="FA23" s="283">
        <f>IF(AND(Stamoplysninger!$B$26="Der er indgået lokalaftale omkring weekendtillæg(Kræver aftale med TR/FSL). Weekendtimerne afspadseres.",I23="X"),K23,0)</f>
        <v>0</v>
      </c>
      <c r="FB23" s="251">
        <f>IF(AND(AND(Stamoplysninger!$B$26="Der er indgået lokalaftale omkring weekendtillæg(Kræver aftale med TR/FSL). Weekendtimerne afspadseres.",I23="X",S23="X")),V23,0)</f>
        <v>0</v>
      </c>
      <c r="FC23" s="674">
        <f>IF(AND(AND(Stamoplysninger!$B$26="Der er indgået lokalaftale omkring weekendtillæg(Kræver aftale med TR/FSL). Weekendtimerne afspadseres..",I23="X",C23="ikke relevant")),K23,0)</f>
        <v>0</v>
      </c>
      <c r="FD23" s="675">
        <f>IF(AND(AND(AND(Stamoplysninger!$B$26="Der er indgået lokalaftale omkring weekendtillæg(Kræver aftale med TR/FSL). Weekendtimerne afspadseres.",I23="X",C23="ikke relevant",S23="X"))),(V23),0)</f>
        <v>0</v>
      </c>
      <c r="FE23" s="283">
        <f>IF(AND(Stamoplysninger!$B$26="Der er indgået lokalaftale omkring weekendtillæg(Kræver aftale med TR/FSL). Weekendtimerne udbetales.",I23="X"),K23,0)</f>
        <v>0</v>
      </c>
      <c r="FF23" s="251">
        <f>IF(AND(AND(Stamoplysninger!$B$26="Der er indgået lokalaftale omkring weekendtillæg(Kræver aftale med TR/FSL). Weekendtimerne udbetales.",I23="X",S23="X")),V23,0)</f>
        <v>0</v>
      </c>
      <c r="FG23" s="674">
        <f>IF(AND(AND(Stamoplysninger!$B$26="Der er indgået lokalaftale omkring weekendtillæg(Kræver aftale med TR/FSL). Weekendtimerne udbetales.",I23="X",C23="ikke relevant")),K23,0)</f>
        <v>0</v>
      </c>
      <c r="FH23" s="675">
        <f>IF(AND(AND(AND(Stamoplysninger!$B$26="Der er indgået lokalaftale omkring weekendtillæg(Kræver aftale med TR/FSL). Weekendtimerne udbetales.",I23="X",C23="ikke relevant",S23="X"))),(V23),0)</f>
        <v>0</v>
      </c>
      <c r="FI23" s="283">
        <f>IF(AND(Stamoplysninger!$B$26="Weekendtimer og weekendtillæg afspadseres.",I23="X"),K23,0)</f>
        <v>0</v>
      </c>
      <c r="FJ23" s="251">
        <f>IF(AND(Stamoplysninger!$B$26="Weekendtimer og weekendtillæg afspadseres.",Y23="X"),(AA23+AL23)/2,0)</f>
        <v>0</v>
      </c>
      <c r="FK23" s="674">
        <f>IF(AND(AND(Stamoplysninger!$B$26="Weekendtimer og weekendtillæg afspadseres.",I23="X",C23="ikke relevant")),K23,0)</f>
        <v>0</v>
      </c>
      <c r="FL23" s="675">
        <f>IF(AND(AND(Stamoplysninger!$B$26="Weekendtimer og weekendtillæg afspadseres.",Y23="X",S23="ikke relevant")),(AA23+AL23)/2,0)</f>
        <v>0</v>
      </c>
      <c r="FM23" s="283">
        <f>IF(AND(Stamoplysninger!$B$26="Der er indgået lokalaftale omkring weekendtillæg(Kræver aftale med TR/FSL). Weekendtimerne afspadseres.",I23="X"),K23,0)</f>
        <v>0</v>
      </c>
      <c r="FN23" s="674">
        <f>IF(AND(AND(Stamoplysninger!$B$26="Der er indgået lokalaftale omkring weekendtillæg(Kræver aftale med TR/FSL). Weekendtimerne afspadseres.",I23="X",C23="ikke relevant")),K23,0)</f>
        <v>0</v>
      </c>
      <c r="FO23" s="283">
        <f>IF(AND(Stamoplysninger!$B$26="Weekendtimer og weekendtillæg udbetales.",I23="X"),K23,0)</f>
        <v>0</v>
      </c>
      <c r="FP23" s="251">
        <f>IF(AND(Stamoplysninger!$B$26="Weekendtimer og weekendtillæg udbetales.",AA23="X"),(AC23+AN23)/2,0)</f>
        <v>0</v>
      </c>
      <c r="FQ23" s="674">
        <f>IF(AND(AND(Stamoplysninger!$B$26="Weekendtimer og weekendtillæg udbetales.",I23="X",C23="ikke relevant")),K23,0)</f>
        <v>0</v>
      </c>
      <c r="FR23" s="688">
        <f>IF(AND(AND(Stamoplysninger!$B$26="Weekendtimer og weekendtillæg udbetales.",AA23="X",U23="ikke relevant")),(AC23+AN23)/2,0)</f>
        <v>0</v>
      </c>
      <c r="FS23" s="283">
        <f t="shared" si="15"/>
        <v>0</v>
      </c>
      <c r="FT23" s="658">
        <f t="shared" si="16"/>
        <v>0</v>
      </c>
      <c r="FU23">
        <f t="shared" si="17"/>
        <v>0</v>
      </c>
      <c r="FV23" s="283">
        <f>IF(AND(Stamoplysninger!$B$26="Der er indgået lokalaftale omkring weekendtimer.(Kræver aftale med TR/FSL) Weekendtillæg afspadseres.",I23="X"),K23,0)</f>
        <v>0</v>
      </c>
      <c r="FW23" s="674">
        <f>IF(AND(AND(Stamoplysninger!$B$26="Der er indgået lokalaftale omkring weekendtimer.(Kræver aftale med TR/FSL) Weekendtillæg afspadseres.",I23="X",C23="ikke relevant")),K23,0)</f>
        <v>0</v>
      </c>
      <c r="FX23" s="283">
        <f>IF(AND(Stamoplysninger!$B$26="Der er indgået lokalaftale omkring weekendtimer(Kræver aftale med TR/FSL). Weekendtillæg udbetales.",I23="X"),K23,0)</f>
        <v>0</v>
      </c>
      <c r="FY23" s="674">
        <f>IF(AND(AND(Stamoplysninger!$B$26="Der er indgået lokalaftale omkring weekendtimer(Kræver aftale med TR/FSL). Weekendtillæg udbetales.",I23="X",C23="ikke relevant")),K23,0)</f>
        <v>0</v>
      </c>
      <c r="FZ23" s="283">
        <f>IF(AND(Stamoplysninger!$B$26="Der er indgået lokalaftale omkring weekendtillæg(Kræver aftale med TR/FSL). Weekendtimerne udbetales.",I23="X"),K23,0)</f>
        <v>0</v>
      </c>
      <c r="GA23" s="674">
        <f>IF(AND(AND(Stamoplysninger!$B$26="Der er indgået lokalaftale omkring weekendtillæg(Kræver aftale med TR/FSL). Weekendtimerne udbetales.",I23="X",C23="ikke relevant")),K23,0)</f>
        <v>0</v>
      </c>
      <c r="GB23" s="283">
        <f>IF(AND(Stamoplysninger!$B$26="Der er indgået lokalaftale omkring weekendtimer og weekendtillæg.(Kræver aftale med TR/FSL).",I23="X"),K23,0)</f>
        <v>0</v>
      </c>
      <c r="GC23" s="674">
        <f>IF(AND(AND(Stamoplysninger!$B$26="Der er indgået lokalaftale omkring weekendtimer og weekendtillæg.(Kræver aftale med TR/FSL).",I23="X",C23="ikke relevant")),K23,0)</f>
        <v>0</v>
      </c>
    </row>
    <row r="24" spans="1:185">
      <c r="A24" s="245">
        <f>IF(ISNUMBER(A23),A23+1,1)</f>
        <v>16</v>
      </c>
      <c r="B24" s="128" t="str">
        <f t="shared" si="0"/>
        <v>fr</v>
      </c>
      <c r="C24" s="129" t="s">
        <v>207</v>
      </c>
      <c r="D24" s="130" t="str">
        <f t="shared" si="1"/>
        <v/>
      </c>
      <c r="E24" s="917"/>
      <c r="F24" s="918"/>
      <c r="G24" s="919"/>
      <c r="H24" s="298"/>
      <c r="I24" s="527"/>
      <c r="J24" s="413"/>
      <c r="K24" s="380"/>
      <c r="L24" s="380"/>
      <c r="M24" s="380"/>
      <c r="N24" s="318">
        <f t="shared" si="19"/>
        <v>7</v>
      </c>
      <c r="O24" s="318">
        <f t="shared" si="20"/>
        <v>3</v>
      </c>
      <c r="P24" s="318">
        <f>IF(Stamoplysninger!$H$29="JA",Maj!DG24,CX24)</f>
        <v>0.83333333333333337</v>
      </c>
      <c r="Q24" s="318">
        <f t="shared" si="21"/>
        <v>3.1666666666666665</v>
      </c>
      <c r="R24" s="319"/>
      <c r="S24" s="324"/>
      <c r="T24" s="325"/>
      <c r="U24" s="325"/>
      <c r="V24" s="435"/>
      <c r="W24" s="412"/>
      <c r="X24" s="642"/>
      <c r="Y24">
        <f t="shared" si="22"/>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f>IF(AND(C24="Skema 2",B24="fr"),Arbejdstidsoversigt!$E$85,"")</f>
        <v>7</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7</v>
      </c>
      <c r="BB24" s="229">
        <f t="shared" si="8"/>
        <v>0</v>
      </c>
      <c r="BC24" s="1">
        <f t="shared" si="24"/>
        <v>0</v>
      </c>
      <c r="BD24" s="1">
        <f t="shared" si="9"/>
        <v>0</v>
      </c>
      <c r="BE24" s="1">
        <f t="shared" si="10"/>
        <v>0</v>
      </c>
      <c r="BF24" s="1">
        <f t="shared" si="11"/>
        <v>0</v>
      </c>
      <c r="BG24" s="210" t="str">
        <f>IF(AND(C24="Skema 1",B24="ma"),Skemaoplysninger!$E$30,"")</f>
        <v/>
      </c>
      <c r="BH24" s="210" t="str">
        <f>IF(AND(C24="Skema 1",B24="ti"),Skemaoplysninger!$G$30,"")</f>
        <v/>
      </c>
      <c r="BI24" s="210" t="str">
        <f>IF(AND(C24="Skema 1",B24="on"),Skemaoplysninger!$I$30,"")</f>
        <v/>
      </c>
      <c r="BJ24" s="210" t="str">
        <f>IF(AND(C24="Skema 1",B24="to"),Skemaoplysninger!$K$30,"")</f>
        <v/>
      </c>
      <c r="BK24" s="210" t="str">
        <f>IF(AND(C24="Skema 1",B24="fr"),Skemaoplysninger!$M$30,"")</f>
        <v/>
      </c>
      <c r="BL24" s="210" t="str">
        <f>IF(AND(C24="Skema 2",B24="ma"),Skemaoplysninger!$S$30,"")</f>
        <v/>
      </c>
      <c r="BM24" s="210" t="str">
        <f>IF(AND(C24="Skema 2",B24="ti"),Skemaoplysninger!$U$30,"")</f>
        <v/>
      </c>
      <c r="BN24" s="210" t="str">
        <f>IF(AND(C24="Skema 2",B24="on"),Skemaoplysninger!$W$30,"")</f>
        <v/>
      </c>
      <c r="BO24" s="210" t="str">
        <f>IF(AND(C24="Skema 2",B24="to"),Skemaoplysninger!$Y$30,"")</f>
        <v/>
      </c>
      <c r="BP24" s="210">
        <f>IF(AND(C24="Skema 2",B24="fr"),Skemaoplysninger!$AA$30,"")</f>
        <v>0.125</v>
      </c>
      <c r="BQ24" s="210" t="str">
        <f>IF(AND(C24="Skema 3",B24="ma"),Skemaoplysninger!$AG$30,"")</f>
        <v/>
      </c>
      <c r="BR24" s="210" t="str">
        <f>IF(AND(C24="Skema 3",B24="ti"),Skemaoplysninger!$AI$30,"")</f>
        <v/>
      </c>
      <c r="BS24" s="210" t="str">
        <f>IF(AND(C24="Skema 3",B24="on"),Skemaoplysninger!$AK$30,"")</f>
        <v/>
      </c>
      <c r="BT24" s="210" t="str">
        <f>IF(AND(C24="Skema 3",B24="to"),Skemaoplysninger!$AM$30,"")</f>
        <v/>
      </c>
      <c r="BU24" s="210" t="str">
        <f>IF(AND(C24="Skema 3",B24="fr"),Skemaoplysninger!$AO$30,"")</f>
        <v/>
      </c>
      <c r="BV24" s="210" t="str">
        <f>IF(AND(C24="Skema 4",B24="ma"),Skemaoplysninger!$AU$30,"")</f>
        <v/>
      </c>
      <c r="BW24" s="210" t="str">
        <f>IF(AND(C24="Skema 4",B24="ti"),Skemaoplysninger!$AW$30,"")</f>
        <v/>
      </c>
      <c r="BX24" s="210" t="str">
        <f>IF(AND(C24="Skema 4",B24="on"),Skemaoplysninger!$AY$30,"")</f>
        <v/>
      </c>
      <c r="BY24" s="210" t="str">
        <f>IF(AND(C24="Skema 4",B24="to"),Skemaoplysninger!$BA$30,"")</f>
        <v/>
      </c>
      <c r="BZ24" s="210" t="str">
        <f>IF(AND(C24="Skema 4",B24="fr"),Skemaoplysninger!$BC$30,"")</f>
        <v/>
      </c>
      <c r="CA24" s="1">
        <f t="shared" si="25"/>
        <v>3</v>
      </c>
      <c r="CB24" s="1">
        <f t="shared" si="12"/>
        <v>0</v>
      </c>
      <c r="CC24" s="1">
        <f t="shared" si="13"/>
        <v>0</v>
      </c>
      <c r="CD24" s="210" t="str">
        <f>IF(AND(C24="Skema 1",B24="ma"),Skemaoplysninger!$E$31,"")</f>
        <v/>
      </c>
      <c r="CE24" s="210" t="str">
        <f>IF(AND(C24="Skema 1",B24="ti"),Skemaoplysninger!$G$31,"")</f>
        <v/>
      </c>
      <c r="CF24" s="210" t="str">
        <f>IF(AND(C24="Skema 1",B24="on"),Skemaoplysninger!$I$31,"")</f>
        <v/>
      </c>
      <c r="CG24" s="210" t="str">
        <f>IF(AND(C24="Skema 1",B24="to"),Skemaoplysninger!$K$31,"")</f>
        <v/>
      </c>
      <c r="CH24" s="210" t="str">
        <f>IF(AND(C24="Skema 1",B24="fr"),Skemaoplysninger!$M$31,"")</f>
        <v/>
      </c>
      <c r="CI24" s="210" t="str">
        <f>IF(AND(C24="Skema 2",B24="ma"),Skemaoplysninger!$S$31,"")</f>
        <v/>
      </c>
      <c r="CJ24" s="210" t="str">
        <f>IF(AND(C24="Skema 2",B24="ti"),Skemaoplysninger!$U$31,"")</f>
        <v/>
      </c>
      <c r="CK24" s="210" t="str">
        <f>IF(AND(C24="Skema 2",B24="on"),Skemaoplysninger!$W$31,"")</f>
        <v/>
      </c>
      <c r="CL24" s="210" t="str">
        <f>IF(AND(C24="Skema 2",B24="to"),Skemaoplysninger!$Y$31,"")</f>
        <v/>
      </c>
      <c r="CM24" s="210">
        <f>IF(AND(C24="Skema 2",B24="fr"),Skemaoplysninger!$AA$31,"")</f>
        <v>3.4722222222222224E-2</v>
      </c>
      <c r="CN24" s="210" t="str">
        <f>IF(AND(C24="Skema 3",B24="ma"),Skemaoplysninger!$AG$31,"")</f>
        <v/>
      </c>
      <c r="CO24" s="210" t="str">
        <f>IF(AND(C24="Skema 3",B24="ti"),Skemaoplysninger!$AI$31,"")</f>
        <v/>
      </c>
      <c r="CP24" s="210" t="str">
        <f>IF(AND(C24="Skema 3",B24="on"),Skemaoplysninger!$AK$31,"")</f>
        <v/>
      </c>
      <c r="CQ24" s="210" t="str">
        <f>IF(AND(C24="Skema 3",B24="to"),Skemaoplysninger!$AM$31,"")</f>
        <v/>
      </c>
      <c r="CR24" s="210" t="str">
        <f>IF(AND(C24="Skema 3",B24="fr"),Skemaoplysninger!$AO$31,"")</f>
        <v/>
      </c>
      <c r="CS24" s="210" t="str">
        <f>IF(AND(C24="Skema 4",B24="ma"),Skemaoplysninger!$AU$31,"")</f>
        <v/>
      </c>
      <c r="CT24" s="210" t="str">
        <f>IF(AND(C24="Skema 4",B24="ti"),Skemaoplysninger!$AW$31,"")</f>
        <v/>
      </c>
      <c r="CU24" s="210" t="str">
        <f>IF(AND(C24="Skema 4",B24="on"),Skemaoplysninger!$AY$31,"")</f>
        <v/>
      </c>
      <c r="CV24" s="210" t="str">
        <f>IF(AND(C24="Skema 4",B24="to"),Skemaoplysninger!$BA$31,"")</f>
        <v/>
      </c>
      <c r="CW24" s="210" t="str">
        <f>IF(AND(C24="Skema 4",B24="fr"),Skemaoplysninger!$BC$31,"")</f>
        <v/>
      </c>
      <c r="CX24" s="249">
        <f>IF(Stamoplysninger!$H$29="NEJ",SUM(CD24:CW24)*24+CB24+CC24,0)</f>
        <v>0.83333333333333337</v>
      </c>
      <c r="CY24" s="249">
        <f>IF(C24="Skema 1",Stamoplysninger!$H$30/200,0)</f>
        <v>0</v>
      </c>
      <c r="CZ24" s="249">
        <f>IF(C24="Skema 2",Stamoplysninger!$H$30/200,0)</f>
        <v>0</v>
      </c>
      <c r="DA24" s="249">
        <f>IF(C24="Skema 3",Stamoplysninger!$H$30/200,0)</f>
        <v>0</v>
      </c>
      <c r="DB24" s="249">
        <f>IF(C24="Skema 4",Stamoplysninger!$H$30/200,0)</f>
        <v>0</v>
      </c>
      <c r="DC24" s="249">
        <f>IF(C24="fagdag",Stamoplysninger!$H$30/200,0)</f>
        <v>0</v>
      </c>
      <c r="DD24" s="249">
        <f>IF(C24="emnedag",Stamoplysninger!$H$30/200,0)</f>
        <v>0</v>
      </c>
      <c r="DE24" s="249">
        <f>IF(C24="lejrskole",Stamoplysninger!$H$30/200,0)</f>
        <v>0</v>
      </c>
      <c r="DF24" s="249">
        <f>IF(C24="ekskursion",Stamoplysninger!$H$30/200,0)</f>
        <v>0</v>
      </c>
      <c r="DG24" s="249">
        <f t="shared" si="26"/>
        <v>0</v>
      </c>
      <c r="DH24" t="str">
        <f t="shared" si="27"/>
        <v/>
      </c>
      <c r="DI24">
        <f t="shared" si="28"/>
        <v>0</v>
      </c>
      <c r="DJ24">
        <f t="shared" si="29"/>
        <v>0</v>
      </c>
      <c r="DK24" t="str">
        <f t="shared" si="14"/>
        <v/>
      </c>
      <c r="DL24" t="str">
        <f t="shared" si="14"/>
        <v/>
      </c>
      <c r="DM24" t="str">
        <f t="shared" si="14"/>
        <v/>
      </c>
      <c r="DN24" t="str">
        <f t="shared" si="30"/>
        <v/>
      </c>
      <c r="DO24" s="652">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71">
        <f>IF(AND(Stamoplysninger!$B$22="Ulempetillæg udbetales med 25% af nettotimelønnen.",C24="ikke relevant"),(R24)/4,0)</f>
        <v>0</v>
      </c>
      <c r="DT24" s="671">
        <f>IF(AND(AND(Stamoplysninger!$B$22="Ulempetillæg udbetales med 25% af nettotimelønnen.",I24="X",C24="Ikke relevant")),K24/4,0)</f>
        <v>0</v>
      </c>
      <c r="DU24" s="671">
        <f>IF(AND(AND(Stamoplysninger!$B$22="Ulempetillæg udbetales med 25% af nettotimelønnen.",C24="ikke relevant",U24="X")),(X24/4),0)</f>
        <v>0</v>
      </c>
      <c r="DV24" s="672">
        <f>IF(AND(AND(AND(Stamoplysninger!$B$22="Ulempetillæg udbetales med 25% af nettotimelønnen.",I24="X",C24="Ikke relevant",S24="X"))),V24/4,0)</f>
        <v>0</v>
      </c>
      <c r="DW24" s="652"/>
      <c r="DZ24" s="671"/>
      <c r="EA24" s="671"/>
      <c r="EB24" s="672"/>
      <c r="EC24" s="652">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71">
        <f>IF(AND(Stamoplysninger!$B$22="Ulempetillæg afspadseres med 25%(Kræver en aftale imellem ledelsen og den ansatte)",C24="ikke relevant"),(R24)/4,0)</f>
        <v>0</v>
      </c>
      <c r="EH24" s="671">
        <f>IF(AND(AND(Stamoplysninger!$B$22="Ulempetillæg afspadseres med 25%(Kræver en aftale imellem ledelsen og den ansatte)",I24="X",C24="Ikke relevant")),K24/4,0)</f>
        <v>0</v>
      </c>
      <c r="EI24" s="671">
        <f>IF(AND(AND(Stamoplysninger!$B$22="Ulempetillæg afspadseres med 25%(Kræver en aftale imellem ledelsen og den ansatte)",U24="X",C24="Ikke relevant")),X24/4,0)</f>
        <v>0</v>
      </c>
      <c r="EJ24" s="671">
        <f>IF(AND(AND(AND(Stamoplysninger!$B$22="Ulempetillæg afspadseres med 25%(Kræver en aftale imellem ledelsen og den ansatte)",I24="X",C24="Ikke relevant",S24="X"))),V24/4,0)</f>
        <v>0</v>
      </c>
      <c r="EK24" s="283">
        <f>IF(AND(Stamoplysninger!$B$26="Weekendtimer og weekendtillæg afspadseres.",I24="X"),K24*1.5,0)</f>
        <v>0</v>
      </c>
      <c r="EL24" s="251">
        <f>IF(AND(AND(Stamoplysninger!$B$26="Weekendtimer og weekendtillæg afspadseres.",I24="X",S24="X")),V24*1.5,0)</f>
        <v>0</v>
      </c>
      <c r="EM24" s="674">
        <f>IF(AND(AND(Stamoplysninger!$B$26="Weekendtimer og weekendtillæg afspadseres.",I24="X",C24="ikke relevant")),K24*1.5,0)</f>
        <v>0</v>
      </c>
      <c r="EN24" s="675">
        <f>IF(AND(AND(AND(Stamoplysninger!$B$26="Weekendtimer og weekendtillæg afspadseres.",I24="X",C24="ikke relevant",S24="X"))),(V24*1.5),0)</f>
        <v>0</v>
      </c>
      <c r="EO24" s="283">
        <f>IF(AND(Stamoplysninger!$B$26="Weekendtimer og weekendtillæg udbetales.",I24="X"),K24*1.5,0)</f>
        <v>0</v>
      </c>
      <c r="EP24" s="251">
        <f>IF(AND(AND(Stamoplysninger!$B$26="Weekendtimer og weekendtillæg udbetales.",I24="X",S24="X")),V24*1.5,0)</f>
        <v>0</v>
      </c>
      <c r="EQ24" s="674">
        <f>IF(AND(AND(Stamoplysninger!$B$26="Weekendtimer og weekendtillæg udbetales.",I24="X",C24="ikke relevant")),K24*1.5,0)</f>
        <v>0</v>
      </c>
      <c r="ER24" s="675">
        <f>IF(AND(AND(AND(Stamoplysninger!$B$26="Weekendtimer og weekendtillæg udbetales.",I24="X",C24="ikke relevant",S24="X"))),(V24*1.5),0)</f>
        <v>0</v>
      </c>
      <c r="ES24" s="283">
        <f>IF(AND(Stamoplysninger!$B$26="Der er indgået lokalaftale omkring weekendtimer.(Kræver aftale med TR/FSL) Weekendtillæg afspadseres.",I24="X"),K24*0.5,0)</f>
        <v>0</v>
      </c>
      <c r="ET24" s="251">
        <f>IF(AND(AND(Stamoplysninger!$B$26="Der er indgået lokalaftale omkring weekendtimer.(Kræver aftale med TR/FSL) Weekendtillæg afspadseres.",I24="X",S24="X")),V24*0.5,0)</f>
        <v>0</v>
      </c>
      <c r="EU24" s="674">
        <f>IF(AND(AND(Stamoplysninger!$B$26="Der er indgået lokalaftale omkring weekendtimer.(Kræver aftale med TR/FSL) Weekendtillæg afspadseres.",I24="X",C24="ikke relevant")),K24*0.5,0)</f>
        <v>0</v>
      </c>
      <c r="EV24" s="675">
        <f>IF(AND(AND(AND(Stamoplysninger!$B$26="Der er indgået lokalaftale omkring weekendtimer.(Kræver aftale med TR/FSL) Weekendtillæg afspadseres.",I24="X",C24="ikke relevant",S24="X"))),(V24*0.5),0)</f>
        <v>0</v>
      </c>
      <c r="EW24" s="283">
        <f>IF(AND(Stamoplysninger!$B$26="Der er indgået lokalaftale omkring weekendtimer(Kræver aftale med TR/FSL). Weekendtillæg udbetales.",I24="X"),K24*0.5,0)</f>
        <v>0</v>
      </c>
      <c r="EX24" s="251">
        <f>IF(AND(AND(Stamoplysninger!$B$26="Der er indgået lokalaftale omkring weekendtimer(Kræver aftale med TR/FSL). Weekendtillæg udbetales.",I24="X",S24="X")),V24*0.5,0)</f>
        <v>0</v>
      </c>
      <c r="EY24" s="674">
        <f>IF(AND(AND(Stamoplysninger!$B$26="Der er indgået lokalaftale omkring weekendtimer(Kræver aftale med TR/FSL). Weekendtillæg udbetales.",I24="X",C24="ikke relevant")),K24*0.5,0)</f>
        <v>0</v>
      </c>
      <c r="EZ24" s="675">
        <f>IF(AND(AND(AND(Stamoplysninger!$B$26="Der er indgået lokalaftale omkring weekendtimer(Kræver aftale med TR/FSL). Weekendtillæg udbetales.",I24="X",C24="ikke relevant",S24="X"))),(V24*0.5),0)</f>
        <v>0</v>
      </c>
      <c r="FA24" s="283">
        <f>IF(AND(Stamoplysninger!$B$26="Der er indgået lokalaftale omkring weekendtillæg(Kræver aftale med TR/FSL). Weekendtimerne afspadseres.",I24="X"),K24,0)</f>
        <v>0</v>
      </c>
      <c r="FB24" s="251">
        <f>IF(AND(AND(Stamoplysninger!$B$26="Der er indgået lokalaftale omkring weekendtillæg(Kræver aftale med TR/FSL). Weekendtimerne afspadseres.",I24="X",S24="X")),V24,0)</f>
        <v>0</v>
      </c>
      <c r="FC24" s="674">
        <f>IF(AND(AND(Stamoplysninger!$B$26="Der er indgået lokalaftale omkring weekendtillæg(Kræver aftale med TR/FSL). Weekendtimerne afspadseres..",I24="X",C24="ikke relevant")),K24,0)</f>
        <v>0</v>
      </c>
      <c r="FD24" s="675">
        <f>IF(AND(AND(AND(Stamoplysninger!$B$26="Der er indgået lokalaftale omkring weekendtillæg(Kræver aftale med TR/FSL). Weekendtimerne afspadseres.",I24="X",C24="ikke relevant",S24="X"))),(V24),0)</f>
        <v>0</v>
      </c>
      <c r="FE24" s="283">
        <f>IF(AND(Stamoplysninger!$B$26="Der er indgået lokalaftale omkring weekendtillæg(Kræver aftale med TR/FSL). Weekendtimerne udbetales.",I24="X"),K24,0)</f>
        <v>0</v>
      </c>
      <c r="FF24" s="251">
        <f>IF(AND(AND(Stamoplysninger!$B$26="Der er indgået lokalaftale omkring weekendtillæg(Kræver aftale med TR/FSL). Weekendtimerne udbetales.",I24="X",S24="X")),V24,0)</f>
        <v>0</v>
      </c>
      <c r="FG24" s="674">
        <f>IF(AND(AND(Stamoplysninger!$B$26="Der er indgået lokalaftale omkring weekendtillæg(Kræver aftale med TR/FSL). Weekendtimerne udbetales.",I24="X",C24="ikke relevant")),K24,0)</f>
        <v>0</v>
      </c>
      <c r="FH24" s="675">
        <f>IF(AND(AND(AND(Stamoplysninger!$B$26="Der er indgået lokalaftale omkring weekendtillæg(Kræver aftale med TR/FSL). Weekendtimerne udbetales.",I24="X",C24="ikke relevant",S24="X"))),(V24),0)</f>
        <v>0</v>
      </c>
      <c r="FI24" s="283">
        <f>IF(AND(Stamoplysninger!$B$26="Weekendtimer og weekendtillæg afspadseres.",I24="X"),K24,0)</f>
        <v>0</v>
      </c>
      <c r="FJ24" s="251">
        <f>IF(AND(Stamoplysninger!$B$26="Weekendtimer og weekendtillæg afspadseres.",Y24="X"),(AA24+AL24)/2,0)</f>
        <v>0</v>
      </c>
      <c r="FK24" s="674">
        <f>IF(AND(AND(Stamoplysninger!$B$26="Weekendtimer og weekendtillæg afspadseres.",I24="X",C24="ikke relevant")),K24,0)</f>
        <v>0</v>
      </c>
      <c r="FL24" s="675">
        <f>IF(AND(AND(Stamoplysninger!$B$26="Weekendtimer og weekendtillæg afspadseres.",Y24="X",S24="ikke relevant")),(AA24+AL24)/2,0)</f>
        <v>0</v>
      </c>
      <c r="FM24" s="283">
        <f>IF(AND(Stamoplysninger!$B$26="Der er indgået lokalaftale omkring weekendtillæg(Kræver aftale med TR/FSL). Weekendtimerne afspadseres.",I24="X"),K24,0)</f>
        <v>0</v>
      </c>
      <c r="FN24" s="674">
        <f>IF(AND(AND(Stamoplysninger!$B$26="Der er indgået lokalaftale omkring weekendtillæg(Kræver aftale med TR/FSL). Weekendtimerne afspadseres.",I24="X",C24="ikke relevant")),K24,0)</f>
        <v>0</v>
      </c>
      <c r="FO24" s="283">
        <f>IF(AND(Stamoplysninger!$B$26="Weekendtimer og weekendtillæg udbetales.",I24="X"),K24,0)</f>
        <v>0</v>
      </c>
      <c r="FP24" s="251">
        <f>IF(AND(Stamoplysninger!$B$26="Weekendtimer og weekendtillæg udbetales.",AA24="X"),(AC24+AN24)/2,0)</f>
        <v>0</v>
      </c>
      <c r="FQ24" s="674">
        <f>IF(AND(AND(Stamoplysninger!$B$26="Weekendtimer og weekendtillæg udbetales.",I24="X",C24="ikke relevant")),K24,0)</f>
        <v>0</v>
      </c>
      <c r="FR24" s="688">
        <f>IF(AND(AND(Stamoplysninger!$B$26="Weekendtimer og weekendtillæg udbetales.",AA24="X",U24="ikke relevant")),(AC24+AN24)/2,0)</f>
        <v>0</v>
      </c>
      <c r="FS24" s="283">
        <f t="shared" si="15"/>
        <v>0</v>
      </c>
      <c r="FT24" s="658">
        <f t="shared" si="16"/>
        <v>0</v>
      </c>
      <c r="FU24">
        <f t="shared" si="17"/>
        <v>0</v>
      </c>
      <c r="FV24" s="283">
        <f>IF(AND(Stamoplysninger!$B$26="Der er indgået lokalaftale omkring weekendtimer.(Kræver aftale med TR/FSL) Weekendtillæg afspadseres.",I24="X"),K24,0)</f>
        <v>0</v>
      </c>
      <c r="FW24" s="674">
        <f>IF(AND(AND(Stamoplysninger!$B$26="Der er indgået lokalaftale omkring weekendtimer.(Kræver aftale med TR/FSL) Weekendtillæg afspadseres.",I24="X",C24="ikke relevant")),K24,0)</f>
        <v>0</v>
      </c>
      <c r="FX24" s="283">
        <f>IF(AND(Stamoplysninger!$B$26="Der er indgået lokalaftale omkring weekendtimer(Kræver aftale med TR/FSL). Weekendtillæg udbetales.",I24="X"),K24,0)</f>
        <v>0</v>
      </c>
      <c r="FY24" s="674">
        <f>IF(AND(AND(Stamoplysninger!$B$26="Der er indgået lokalaftale omkring weekendtimer(Kræver aftale med TR/FSL). Weekendtillæg udbetales.",I24="X",C24="ikke relevant")),K24,0)</f>
        <v>0</v>
      </c>
      <c r="FZ24" s="283">
        <f>IF(AND(Stamoplysninger!$B$26="Der er indgået lokalaftale omkring weekendtillæg(Kræver aftale med TR/FSL). Weekendtimerne udbetales.",I24="X"),K24,0)</f>
        <v>0</v>
      </c>
      <c r="GA24" s="674">
        <f>IF(AND(AND(Stamoplysninger!$B$26="Der er indgået lokalaftale omkring weekendtillæg(Kræver aftale med TR/FSL). Weekendtimerne udbetales.",I24="X",C24="ikke relevant")),K24,0)</f>
        <v>0</v>
      </c>
      <c r="GB24" s="283">
        <f>IF(AND(Stamoplysninger!$B$26="Der er indgået lokalaftale omkring weekendtimer og weekendtillæg.(Kræver aftale med TR/FSL).",I24="X"),K24,0)</f>
        <v>0</v>
      </c>
      <c r="GC24" s="674">
        <f>IF(AND(AND(Stamoplysninger!$B$26="Der er indgået lokalaftale omkring weekendtimer og weekendtillæg.(Kræver aftale med TR/FSL).",I24="X",C24="ikke relevant")),K24,0)</f>
        <v>0</v>
      </c>
    </row>
    <row r="25" spans="1:185">
      <c r="A25" s="245">
        <f t="shared" si="18"/>
        <v>17</v>
      </c>
      <c r="B25" s="128" t="str">
        <f t="shared" si="0"/>
        <v>lø</v>
      </c>
      <c r="C25" s="129" t="s">
        <v>120</v>
      </c>
      <c r="D25" s="130" t="str">
        <f t="shared" si="1"/>
        <v/>
      </c>
      <c r="E25" s="917"/>
      <c r="F25" s="918"/>
      <c r="G25" s="919"/>
      <c r="H25" s="298"/>
      <c r="I25" s="413"/>
      <c r="J25" s="413"/>
      <c r="K25" s="380"/>
      <c r="L25" s="380"/>
      <c r="M25" s="380"/>
      <c r="N25" s="318">
        <f t="shared" si="19"/>
        <v>0</v>
      </c>
      <c r="O25" s="318">
        <f t="shared" si="20"/>
        <v>0</v>
      </c>
      <c r="P25" s="318">
        <f>IF(Stamoplysninger!$H$29="JA",Maj!DG25,CX25)</f>
        <v>0</v>
      </c>
      <c r="Q25" s="318">
        <f t="shared" si="21"/>
        <v>0</v>
      </c>
      <c r="R25" s="319"/>
      <c r="S25" s="324"/>
      <c r="T25" s="325"/>
      <c r="U25" s="325"/>
      <c r="V25" s="435"/>
      <c r="W25" s="412"/>
      <c r="X25" s="642"/>
      <c r="Y25">
        <f t="shared" si="22"/>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9">
        <f t="shared" si="8"/>
        <v>0</v>
      </c>
      <c r="BC25" s="1">
        <f t="shared" si="24"/>
        <v>0</v>
      </c>
      <c r="BD25" s="1">
        <f t="shared" si="9"/>
        <v>0</v>
      </c>
      <c r="BE25" s="1">
        <f t="shared" si="10"/>
        <v>0</v>
      </c>
      <c r="BF25" s="1">
        <f t="shared" si="11"/>
        <v>0</v>
      </c>
      <c r="BG25" s="210" t="str">
        <f>IF(AND(C25="Skema 1",B25="ma"),Skemaoplysninger!$E$30,"")</f>
        <v/>
      </c>
      <c r="BH25" s="210" t="str">
        <f>IF(AND(C25="Skema 1",B25="ti"),Skemaoplysninger!$G$30,"")</f>
        <v/>
      </c>
      <c r="BI25" s="210" t="str">
        <f>IF(AND(C25="Skema 1",B25="on"),Skemaoplysninger!$I$30,"")</f>
        <v/>
      </c>
      <c r="BJ25" s="210" t="str">
        <f>IF(AND(C25="Skema 1",B25="to"),Skemaoplysninger!$K$30,"")</f>
        <v/>
      </c>
      <c r="BK25" s="210" t="str">
        <f>IF(AND(C25="Skema 1",B25="fr"),Skemaoplysninger!$M$30,"")</f>
        <v/>
      </c>
      <c r="BL25" s="210" t="str">
        <f>IF(AND(C25="Skema 2",B25="ma"),Skemaoplysninger!$S$30,"")</f>
        <v/>
      </c>
      <c r="BM25" s="210" t="str">
        <f>IF(AND(C25="Skema 2",B25="ti"),Skemaoplysninger!$U$30,"")</f>
        <v/>
      </c>
      <c r="BN25" s="210" t="str">
        <f>IF(AND(C25="Skema 2",B25="on"),Skemaoplysninger!$W$30,"")</f>
        <v/>
      </c>
      <c r="BO25" s="210" t="str">
        <f>IF(AND(C25="Skema 2",B25="to"),Skemaoplysninger!$Y$30,"")</f>
        <v/>
      </c>
      <c r="BP25" s="210" t="str">
        <f>IF(AND(C25="Skema 2",B25="fr"),Skemaoplysninger!$AA$30,"")</f>
        <v/>
      </c>
      <c r="BQ25" s="210" t="str">
        <f>IF(AND(C25="Skema 3",B25="ma"),Skemaoplysninger!$AG$30,"")</f>
        <v/>
      </c>
      <c r="BR25" s="210" t="str">
        <f>IF(AND(C25="Skema 3",B25="ti"),Skemaoplysninger!$AI$30,"")</f>
        <v/>
      </c>
      <c r="BS25" s="210" t="str">
        <f>IF(AND(C25="Skema 3",B25="on"),Skemaoplysninger!$AK$30,"")</f>
        <v/>
      </c>
      <c r="BT25" s="210" t="str">
        <f>IF(AND(C25="Skema 3",B25="to"),Skemaoplysninger!$AM$30,"")</f>
        <v/>
      </c>
      <c r="BU25" s="210" t="str">
        <f>IF(AND(C25="Skema 3",B25="fr"),Skemaoplysninger!$AO$30,"")</f>
        <v/>
      </c>
      <c r="BV25" s="210" t="str">
        <f>IF(AND(C25="Skema 4",B25="ma"),Skemaoplysninger!$AU$30,"")</f>
        <v/>
      </c>
      <c r="BW25" s="210" t="str">
        <f>IF(AND(C25="Skema 4",B25="ti"),Skemaoplysninger!$AW$30,"")</f>
        <v/>
      </c>
      <c r="BX25" s="210" t="str">
        <f>IF(AND(C25="Skema 4",B25="on"),Skemaoplysninger!$AY$30,"")</f>
        <v/>
      </c>
      <c r="BY25" s="210" t="str">
        <f>IF(AND(C25="Skema 4",B25="to"),Skemaoplysninger!$BA$30,"")</f>
        <v/>
      </c>
      <c r="BZ25" s="210" t="str">
        <f>IF(AND(C25="Skema 4",B25="fr"),Skemaoplysninger!$BC$30,"")</f>
        <v/>
      </c>
      <c r="CA25" s="1">
        <f t="shared" si="25"/>
        <v>0</v>
      </c>
      <c r="CB25" s="1">
        <f t="shared" si="12"/>
        <v>0</v>
      </c>
      <c r="CC25" s="1">
        <f t="shared" si="13"/>
        <v>0</v>
      </c>
      <c r="CD25" s="210" t="str">
        <f>IF(AND(C25="Skema 1",B25="ma"),Skemaoplysninger!$E$31,"")</f>
        <v/>
      </c>
      <c r="CE25" s="210" t="str">
        <f>IF(AND(C25="Skema 1",B25="ti"),Skemaoplysninger!$G$31,"")</f>
        <v/>
      </c>
      <c r="CF25" s="210" t="str">
        <f>IF(AND(C25="Skema 1",B25="on"),Skemaoplysninger!$I$31,"")</f>
        <v/>
      </c>
      <c r="CG25" s="210" t="str">
        <f>IF(AND(C25="Skema 1",B25="to"),Skemaoplysninger!$K$31,"")</f>
        <v/>
      </c>
      <c r="CH25" s="210" t="str">
        <f>IF(AND(C25="Skema 1",B25="fr"),Skemaoplysninger!$M$31,"")</f>
        <v/>
      </c>
      <c r="CI25" s="210" t="str">
        <f>IF(AND(C25="Skema 2",B25="ma"),Skemaoplysninger!$S$31,"")</f>
        <v/>
      </c>
      <c r="CJ25" s="210" t="str">
        <f>IF(AND(C25="Skema 2",B25="ti"),Skemaoplysninger!$U$31,"")</f>
        <v/>
      </c>
      <c r="CK25" s="210" t="str">
        <f>IF(AND(C25="Skema 2",B25="on"),Skemaoplysninger!$W$31,"")</f>
        <v/>
      </c>
      <c r="CL25" s="210" t="str">
        <f>IF(AND(C25="Skema 2",B25="to"),Skemaoplysninger!$Y$31,"")</f>
        <v/>
      </c>
      <c r="CM25" s="210" t="str">
        <f>IF(AND(C25="Skema 2",B25="fr"),Skemaoplysninger!$AA$31,"")</f>
        <v/>
      </c>
      <c r="CN25" s="210" t="str">
        <f>IF(AND(C25="Skema 3",B25="ma"),Skemaoplysninger!$AG$31,"")</f>
        <v/>
      </c>
      <c r="CO25" s="210" t="str">
        <f>IF(AND(C25="Skema 3",B25="ti"),Skemaoplysninger!$AI$31,"")</f>
        <v/>
      </c>
      <c r="CP25" s="210" t="str">
        <f>IF(AND(C25="Skema 3",B25="on"),Skemaoplysninger!$AK$31,"")</f>
        <v/>
      </c>
      <c r="CQ25" s="210" t="str">
        <f>IF(AND(C25="Skema 3",B25="to"),Skemaoplysninger!$AM$31,"")</f>
        <v/>
      </c>
      <c r="CR25" s="210" t="str">
        <f>IF(AND(C25="Skema 3",B25="fr"),Skemaoplysninger!$AO$31,"")</f>
        <v/>
      </c>
      <c r="CS25" s="210" t="str">
        <f>IF(AND(C25="Skema 4",B25="ma"),Skemaoplysninger!$AU$31,"")</f>
        <v/>
      </c>
      <c r="CT25" s="210" t="str">
        <f>IF(AND(C25="Skema 4",B25="ti"),Skemaoplysninger!$AW$31,"")</f>
        <v/>
      </c>
      <c r="CU25" s="210" t="str">
        <f>IF(AND(C25="Skema 4",B25="on"),Skemaoplysninger!$AY$31,"")</f>
        <v/>
      </c>
      <c r="CV25" s="210" t="str">
        <f>IF(AND(C25="Skema 4",B25="to"),Skemaoplysninger!$BA$31,"")</f>
        <v/>
      </c>
      <c r="CW25" s="210" t="str">
        <f>IF(AND(C25="Skema 4",B25="fr"),Skemaoplysninger!$BC$31,"")</f>
        <v/>
      </c>
      <c r="CX25" s="249">
        <f>IF(Stamoplysninger!$H$29="NEJ",SUM(CD25:CW25)*24+CB25+CC25,0)</f>
        <v>0</v>
      </c>
      <c r="CY25" s="249">
        <f>IF(C25="Skema 1",Stamoplysninger!$H$30/200,0)</f>
        <v>0</v>
      </c>
      <c r="CZ25" s="249">
        <f>IF(C25="Skema 2",Stamoplysninger!$H$30/200,0)</f>
        <v>0</v>
      </c>
      <c r="DA25" s="249">
        <f>IF(C25="Skema 3",Stamoplysninger!$H$30/200,0)</f>
        <v>0</v>
      </c>
      <c r="DB25" s="249">
        <f>IF(C25="Skema 4",Stamoplysninger!$H$30/200,0)</f>
        <v>0</v>
      </c>
      <c r="DC25" s="249">
        <f>IF(C25="fagdag",Stamoplysninger!$H$30/200,0)</f>
        <v>0</v>
      </c>
      <c r="DD25" s="249">
        <f>IF(C25="emnedag",Stamoplysninger!$H$30/200,0)</f>
        <v>0</v>
      </c>
      <c r="DE25" s="249">
        <f>IF(C25="lejrskole",Stamoplysninger!$H$30/200,0)</f>
        <v>0</v>
      </c>
      <c r="DF25" s="249">
        <f>IF(C25="ekskursion",Stamoplysninger!$H$30/200,0)</f>
        <v>0</v>
      </c>
      <c r="DG25" s="249">
        <f t="shared" si="26"/>
        <v>0</v>
      </c>
      <c r="DH25" t="str">
        <f t="shared" si="27"/>
        <v/>
      </c>
      <c r="DI25">
        <f t="shared" si="28"/>
        <v>0</v>
      </c>
      <c r="DJ25">
        <f t="shared" si="29"/>
        <v>0</v>
      </c>
      <c r="DK25" t="str">
        <f t="shared" si="14"/>
        <v/>
      </c>
      <c r="DL25" t="str">
        <f t="shared" si="14"/>
        <v/>
      </c>
      <c r="DM25" t="str">
        <f t="shared" si="14"/>
        <v/>
      </c>
      <c r="DN25" t="str">
        <f t="shared" si="30"/>
        <v/>
      </c>
      <c r="DO25" s="652">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71">
        <f>IF(AND(Stamoplysninger!$B$22="Ulempetillæg udbetales med 25% af nettotimelønnen.",C25="ikke relevant"),(R25)/4,0)</f>
        <v>0</v>
      </c>
      <c r="DT25" s="671">
        <f>IF(AND(AND(Stamoplysninger!$B$22="Ulempetillæg udbetales med 25% af nettotimelønnen.",I25="X",C25="Ikke relevant")),K25/4,0)</f>
        <v>0</v>
      </c>
      <c r="DU25" s="671">
        <f>IF(AND(AND(Stamoplysninger!$B$22="Ulempetillæg udbetales med 25% af nettotimelønnen.",C25="ikke relevant",U25="X")),(X25/4),0)</f>
        <v>0</v>
      </c>
      <c r="DV25" s="672">
        <f>IF(AND(AND(AND(Stamoplysninger!$B$22="Ulempetillæg udbetales med 25% af nettotimelønnen.",I25="X",C25="Ikke relevant",S25="X"))),V25/4,0)</f>
        <v>0</v>
      </c>
      <c r="DW25" s="652"/>
      <c r="DZ25" s="671"/>
      <c r="EA25" s="671"/>
      <c r="EB25" s="672"/>
      <c r="EC25" s="652">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71">
        <f>IF(AND(Stamoplysninger!$B$22="Ulempetillæg afspadseres med 25%(Kræver en aftale imellem ledelsen og den ansatte)",C25="ikke relevant"),(R25)/4,0)</f>
        <v>0</v>
      </c>
      <c r="EH25" s="671">
        <f>IF(AND(AND(Stamoplysninger!$B$22="Ulempetillæg afspadseres med 25%(Kræver en aftale imellem ledelsen og den ansatte)",I25="X",C25="Ikke relevant")),K25/4,0)</f>
        <v>0</v>
      </c>
      <c r="EI25" s="671">
        <f>IF(AND(AND(Stamoplysninger!$B$22="Ulempetillæg afspadseres med 25%(Kræver en aftale imellem ledelsen og den ansatte)",U25="X",C25="Ikke relevant")),X25/4,0)</f>
        <v>0</v>
      </c>
      <c r="EJ25" s="671">
        <f>IF(AND(AND(AND(Stamoplysninger!$B$22="Ulempetillæg afspadseres med 25%(Kræver en aftale imellem ledelsen og den ansatte)",I25="X",C25="Ikke relevant",S25="X"))),V25/4,0)</f>
        <v>0</v>
      </c>
      <c r="EK25" s="283">
        <f>IF(AND(Stamoplysninger!$B$26="Weekendtimer og weekendtillæg afspadseres.",I25="X"),K25*1.5,0)</f>
        <v>0</v>
      </c>
      <c r="EL25" s="251">
        <f>IF(AND(AND(Stamoplysninger!$B$26="Weekendtimer og weekendtillæg afspadseres.",I25="X",S25="X")),V25*1.5,0)</f>
        <v>0</v>
      </c>
      <c r="EM25" s="674">
        <f>IF(AND(AND(Stamoplysninger!$B$26="Weekendtimer og weekendtillæg afspadseres.",I25="X",C25="ikke relevant")),K25*1.5,0)</f>
        <v>0</v>
      </c>
      <c r="EN25" s="675">
        <f>IF(AND(AND(AND(Stamoplysninger!$B$26="Weekendtimer og weekendtillæg afspadseres.",I25="X",C25="ikke relevant",S25="X"))),(V25*1.5),0)</f>
        <v>0</v>
      </c>
      <c r="EO25" s="283">
        <f>IF(AND(Stamoplysninger!$B$26="Weekendtimer og weekendtillæg udbetales.",I25="X"),K25*1.5,0)</f>
        <v>0</v>
      </c>
      <c r="EP25" s="251">
        <f>IF(AND(AND(Stamoplysninger!$B$26="Weekendtimer og weekendtillæg udbetales.",I25="X",S25="X")),V25*1.5,0)</f>
        <v>0</v>
      </c>
      <c r="EQ25" s="674">
        <f>IF(AND(AND(Stamoplysninger!$B$26="Weekendtimer og weekendtillæg udbetales.",I25="X",C25="ikke relevant")),K25*1.5,0)</f>
        <v>0</v>
      </c>
      <c r="ER25" s="675">
        <f>IF(AND(AND(AND(Stamoplysninger!$B$26="Weekendtimer og weekendtillæg udbetales.",I25="X",C25="ikke relevant",S25="X"))),(V25*1.5),0)</f>
        <v>0</v>
      </c>
      <c r="ES25" s="283">
        <f>IF(AND(Stamoplysninger!$B$26="Der er indgået lokalaftale omkring weekendtimer.(Kræver aftale med TR/FSL) Weekendtillæg afspadseres.",I25="X"),K25*0.5,0)</f>
        <v>0</v>
      </c>
      <c r="ET25" s="251">
        <f>IF(AND(AND(Stamoplysninger!$B$26="Der er indgået lokalaftale omkring weekendtimer.(Kræver aftale med TR/FSL) Weekendtillæg afspadseres.",I25="X",S25="X")),V25*0.5,0)</f>
        <v>0</v>
      </c>
      <c r="EU25" s="674">
        <f>IF(AND(AND(Stamoplysninger!$B$26="Der er indgået lokalaftale omkring weekendtimer.(Kræver aftale med TR/FSL) Weekendtillæg afspadseres.",I25="X",C25="ikke relevant")),K25*0.5,0)</f>
        <v>0</v>
      </c>
      <c r="EV25" s="675">
        <f>IF(AND(AND(AND(Stamoplysninger!$B$26="Der er indgået lokalaftale omkring weekendtimer.(Kræver aftale med TR/FSL) Weekendtillæg afspadseres.",I25="X",C25="ikke relevant",S25="X"))),(V25*0.5),0)</f>
        <v>0</v>
      </c>
      <c r="EW25" s="283">
        <f>IF(AND(Stamoplysninger!$B$26="Der er indgået lokalaftale omkring weekendtimer(Kræver aftale med TR/FSL). Weekendtillæg udbetales.",I25="X"),K25*0.5,0)</f>
        <v>0</v>
      </c>
      <c r="EX25" s="251">
        <f>IF(AND(AND(Stamoplysninger!$B$26="Der er indgået lokalaftale omkring weekendtimer(Kræver aftale med TR/FSL). Weekendtillæg udbetales.",I25="X",S25="X")),V25*0.5,0)</f>
        <v>0</v>
      </c>
      <c r="EY25" s="674">
        <f>IF(AND(AND(Stamoplysninger!$B$26="Der er indgået lokalaftale omkring weekendtimer(Kræver aftale med TR/FSL). Weekendtillæg udbetales.",I25="X",C25="ikke relevant")),K25*0.5,0)</f>
        <v>0</v>
      </c>
      <c r="EZ25" s="675">
        <f>IF(AND(AND(AND(Stamoplysninger!$B$26="Der er indgået lokalaftale omkring weekendtimer(Kræver aftale med TR/FSL). Weekendtillæg udbetales.",I25="X",C25="ikke relevant",S25="X"))),(V25*0.5),0)</f>
        <v>0</v>
      </c>
      <c r="FA25" s="283">
        <f>IF(AND(Stamoplysninger!$B$26="Der er indgået lokalaftale omkring weekendtillæg(Kræver aftale med TR/FSL). Weekendtimerne afspadseres.",I25="X"),K25,0)</f>
        <v>0</v>
      </c>
      <c r="FB25" s="251">
        <f>IF(AND(AND(Stamoplysninger!$B$26="Der er indgået lokalaftale omkring weekendtillæg(Kræver aftale med TR/FSL). Weekendtimerne afspadseres.",I25="X",S25="X")),V25,0)</f>
        <v>0</v>
      </c>
      <c r="FC25" s="674">
        <f>IF(AND(AND(Stamoplysninger!$B$26="Der er indgået lokalaftale omkring weekendtillæg(Kræver aftale med TR/FSL). Weekendtimerne afspadseres..",I25="X",C25="ikke relevant")),K25,0)</f>
        <v>0</v>
      </c>
      <c r="FD25" s="675">
        <f>IF(AND(AND(AND(Stamoplysninger!$B$26="Der er indgået lokalaftale omkring weekendtillæg(Kræver aftale med TR/FSL). Weekendtimerne afspadseres.",I25="X",C25="ikke relevant",S25="X"))),(V25),0)</f>
        <v>0</v>
      </c>
      <c r="FE25" s="283">
        <f>IF(AND(Stamoplysninger!$B$26="Der er indgået lokalaftale omkring weekendtillæg(Kræver aftale med TR/FSL). Weekendtimerne udbetales.",I25="X"),K25,0)</f>
        <v>0</v>
      </c>
      <c r="FF25" s="251">
        <f>IF(AND(AND(Stamoplysninger!$B$26="Der er indgået lokalaftale omkring weekendtillæg(Kræver aftale med TR/FSL). Weekendtimerne udbetales.",I25="X",S25="X")),V25,0)</f>
        <v>0</v>
      </c>
      <c r="FG25" s="674">
        <f>IF(AND(AND(Stamoplysninger!$B$26="Der er indgået lokalaftale omkring weekendtillæg(Kræver aftale med TR/FSL). Weekendtimerne udbetales.",I25="X",C25="ikke relevant")),K25,0)</f>
        <v>0</v>
      </c>
      <c r="FH25" s="675">
        <f>IF(AND(AND(AND(Stamoplysninger!$B$26="Der er indgået lokalaftale omkring weekendtillæg(Kræver aftale med TR/FSL). Weekendtimerne udbetales.",I25="X",C25="ikke relevant",S25="X"))),(V25),0)</f>
        <v>0</v>
      </c>
      <c r="FI25" s="283">
        <f>IF(AND(Stamoplysninger!$B$26="Weekendtimer og weekendtillæg afspadseres.",I25="X"),K25,0)</f>
        <v>0</v>
      </c>
      <c r="FJ25" s="251">
        <f>IF(AND(Stamoplysninger!$B$26="Weekendtimer og weekendtillæg afspadseres.",Y25="X"),(AA25+AL25)/2,0)</f>
        <v>0</v>
      </c>
      <c r="FK25" s="674">
        <f>IF(AND(AND(Stamoplysninger!$B$26="Weekendtimer og weekendtillæg afspadseres.",I25="X",C25="ikke relevant")),K25,0)</f>
        <v>0</v>
      </c>
      <c r="FL25" s="675">
        <f>IF(AND(AND(Stamoplysninger!$B$26="Weekendtimer og weekendtillæg afspadseres.",Y25="X",S25="ikke relevant")),(AA25+AL25)/2,0)</f>
        <v>0</v>
      </c>
      <c r="FM25" s="283">
        <f>IF(AND(Stamoplysninger!$B$26="Der er indgået lokalaftale omkring weekendtillæg(Kræver aftale med TR/FSL). Weekendtimerne afspadseres.",I25="X"),K25,0)</f>
        <v>0</v>
      </c>
      <c r="FN25" s="674">
        <f>IF(AND(AND(Stamoplysninger!$B$26="Der er indgået lokalaftale omkring weekendtillæg(Kræver aftale med TR/FSL). Weekendtimerne afspadseres.",I25="X",C25="ikke relevant")),K25,0)</f>
        <v>0</v>
      </c>
      <c r="FO25" s="283">
        <f>IF(AND(Stamoplysninger!$B$26="Weekendtimer og weekendtillæg udbetales.",I25="X"),K25,0)</f>
        <v>0</v>
      </c>
      <c r="FP25" s="251">
        <f>IF(AND(Stamoplysninger!$B$26="Weekendtimer og weekendtillæg udbetales.",AA25="X"),(AC25+AN25)/2,0)</f>
        <v>0</v>
      </c>
      <c r="FQ25" s="674">
        <f>IF(AND(AND(Stamoplysninger!$B$26="Weekendtimer og weekendtillæg udbetales.",I25="X",C25="ikke relevant")),K25,0)</f>
        <v>0</v>
      </c>
      <c r="FR25" s="688">
        <f>IF(AND(AND(Stamoplysninger!$B$26="Weekendtimer og weekendtillæg udbetales.",AA25="X",U25="ikke relevant")),(AC25+AN25)/2,0)</f>
        <v>0</v>
      </c>
      <c r="FS25" s="283">
        <f t="shared" si="15"/>
        <v>0</v>
      </c>
      <c r="FT25" s="658">
        <f t="shared" si="16"/>
        <v>0</v>
      </c>
      <c r="FU25">
        <f t="shared" si="17"/>
        <v>0</v>
      </c>
      <c r="FV25" s="283">
        <f>IF(AND(Stamoplysninger!$B$26="Der er indgået lokalaftale omkring weekendtimer.(Kræver aftale med TR/FSL) Weekendtillæg afspadseres.",I25="X"),K25,0)</f>
        <v>0</v>
      </c>
      <c r="FW25" s="674">
        <f>IF(AND(AND(Stamoplysninger!$B$26="Der er indgået lokalaftale omkring weekendtimer.(Kræver aftale med TR/FSL) Weekendtillæg afspadseres.",I25="X",C25="ikke relevant")),K25,0)</f>
        <v>0</v>
      </c>
      <c r="FX25" s="283">
        <f>IF(AND(Stamoplysninger!$B$26="Der er indgået lokalaftale omkring weekendtimer(Kræver aftale med TR/FSL). Weekendtillæg udbetales.",I25="X"),K25,0)</f>
        <v>0</v>
      </c>
      <c r="FY25" s="674">
        <f>IF(AND(AND(Stamoplysninger!$B$26="Der er indgået lokalaftale omkring weekendtimer(Kræver aftale med TR/FSL). Weekendtillæg udbetales.",I25="X",C25="ikke relevant")),K25,0)</f>
        <v>0</v>
      </c>
      <c r="FZ25" s="283">
        <f>IF(AND(Stamoplysninger!$B$26="Der er indgået lokalaftale omkring weekendtillæg(Kræver aftale med TR/FSL). Weekendtimerne udbetales.",I25="X"),K25,0)</f>
        <v>0</v>
      </c>
      <c r="GA25" s="674">
        <f>IF(AND(AND(Stamoplysninger!$B$26="Der er indgået lokalaftale omkring weekendtillæg(Kræver aftale med TR/FSL). Weekendtimerne udbetales.",I25="X",C25="ikke relevant")),K25,0)</f>
        <v>0</v>
      </c>
      <c r="GB25" s="283">
        <f>IF(AND(Stamoplysninger!$B$26="Der er indgået lokalaftale omkring weekendtimer og weekendtillæg.(Kræver aftale med TR/FSL).",I25="X"),K25,0)</f>
        <v>0</v>
      </c>
      <c r="GC25" s="674">
        <f>IF(AND(AND(Stamoplysninger!$B$26="Der er indgået lokalaftale omkring weekendtimer og weekendtillæg.(Kræver aftale med TR/FSL).",I25="X",C25="ikke relevant")),K25,0)</f>
        <v>0</v>
      </c>
    </row>
    <row r="26" spans="1:185">
      <c r="A26" s="245">
        <f t="shared" si="18"/>
        <v>18</v>
      </c>
      <c r="B26" s="128" t="str">
        <f t="shared" si="0"/>
        <v>sø</v>
      </c>
      <c r="C26" s="129" t="s">
        <v>120</v>
      </c>
      <c r="D26" s="130" t="str">
        <f t="shared" si="1"/>
        <v/>
      </c>
      <c r="E26" s="917"/>
      <c r="F26" s="918"/>
      <c r="G26" s="919"/>
      <c r="H26" s="298"/>
      <c r="I26" s="413"/>
      <c r="J26" s="413"/>
      <c r="K26" s="380"/>
      <c r="L26" s="380"/>
      <c r="M26" s="380"/>
      <c r="N26" s="318">
        <f t="shared" si="19"/>
        <v>0</v>
      </c>
      <c r="O26" s="318">
        <f t="shared" si="20"/>
        <v>0</v>
      </c>
      <c r="P26" s="318">
        <f>IF(Stamoplysninger!$H$29="JA",Maj!DG26,CX26)</f>
        <v>0</v>
      </c>
      <c r="Q26" s="318">
        <f t="shared" si="21"/>
        <v>0</v>
      </c>
      <c r="R26" s="319"/>
      <c r="S26" s="324"/>
      <c r="T26" s="325"/>
      <c r="U26" s="325"/>
      <c r="V26" s="435"/>
      <c r="W26" s="412"/>
      <c r="X26" s="642"/>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9">
        <f t="shared" si="8"/>
        <v>0</v>
      </c>
      <c r="BC26" s="1">
        <f t="shared" si="24"/>
        <v>0</v>
      </c>
      <c r="BD26" s="1">
        <f t="shared" si="9"/>
        <v>0</v>
      </c>
      <c r="BE26" s="1">
        <f t="shared" si="10"/>
        <v>0</v>
      </c>
      <c r="BF26" s="1">
        <f t="shared" si="11"/>
        <v>0</v>
      </c>
      <c r="BG26" s="210" t="str">
        <f>IF(AND(C26="Skema 1",B26="ma"),Skemaoplysninger!$E$30,"")</f>
        <v/>
      </c>
      <c r="BH26" s="210" t="str">
        <f>IF(AND(C26="Skema 1",B26="ti"),Skemaoplysninger!$G$30,"")</f>
        <v/>
      </c>
      <c r="BI26" s="210" t="str">
        <f>IF(AND(C26="Skema 1",B26="on"),Skemaoplysninger!$I$30,"")</f>
        <v/>
      </c>
      <c r="BJ26" s="210" t="str">
        <f>IF(AND(C26="Skema 1",B26="to"),Skemaoplysninger!$K$30,"")</f>
        <v/>
      </c>
      <c r="BK26" s="210" t="str">
        <f>IF(AND(C26="Skema 1",B26="fr"),Skemaoplysninger!$M$30,"")</f>
        <v/>
      </c>
      <c r="BL26" s="210" t="str">
        <f>IF(AND(C26="Skema 2",B26="ma"),Skemaoplysninger!$S$30,"")</f>
        <v/>
      </c>
      <c r="BM26" s="210" t="str">
        <f>IF(AND(C26="Skema 2",B26="ti"),Skemaoplysninger!$U$30,"")</f>
        <v/>
      </c>
      <c r="BN26" s="210" t="str">
        <f>IF(AND(C26="Skema 2",B26="on"),Skemaoplysninger!$W$30,"")</f>
        <v/>
      </c>
      <c r="BO26" s="210" t="str">
        <f>IF(AND(C26="Skema 2",B26="to"),Skemaoplysninger!$Y$30,"")</f>
        <v/>
      </c>
      <c r="BP26" s="210" t="str">
        <f>IF(AND(C26="Skema 2",B26="fr"),Skemaoplysninger!$AA$30,"")</f>
        <v/>
      </c>
      <c r="BQ26" s="210" t="str">
        <f>IF(AND(C26="Skema 3",B26="ma"),Skemaoplysninger!$AG$30,"")</f>
        <v/>
      </c>
      <c r="BR26" s="210" t="str">
        <f>IF(AND(C26="Skema 3",B26="ti"),Skemaoplysninger!$AI$30,"")</f>
        <v/>
      </c>
      <c r="BS26" s="210" t="str">
        <f>IF(AND(C26="Skema 3",B26="on"),Skemaoplysninger!$AK$30,"")</f>
        <v/>
      </c>
      <c r="BT26" s="210" t="str">
        <f>IF(AND(C26="Skema 3",B26="to"),Skemaoplysninger!$AM$30,"")</f>
        <v/>
      </c>
      <c r="BU26" s="210" t="str">
        <f>IF(AND(C26="Skema 3",B26="fr"),Skemaoplysninger!$AO$30,"")</f>
        <v/>
      </c>
      <c r="BV26" s="210" t="str">
        <f>IF(AND(C26="Skema 4",B26="ma"),Skemaoplysninger!$AU$30,"")</f>
        <v/>
      </c>
      <c r="BW26" s="210" t="str">
        <f>IF(AND(C26="Skema 4",B26="ti"),Skemaoplysninger!$AW$30,"")</f>
        <v/>
      </c>
      <c r="BX26" s="210" t="str">
        <f>IF(AND(C26="Skema 4",B26="on"),Skemaoplysninger!$AY$30,"")</f>
        <v/>
      </c>
      <c r="BY26" s="210" t="str">
        <f>IF(AND(C26="Skema 4",B26="to"),Skemaoplysninger!$BA$30,"")</f>
        <v/>
      </c>
      <c r="BZ26" s="210" t="str">
        <f>IF(AND(C26="Skema 4",B26="fr"),Skemaoplysninger!$BC$30,"")</f>
        <v/>
      </c>
      <c r="CA26" s="1">
        <f t="shared" si="25"/>
        <v>0</v>
      </c>
      <c r="CB26" s="1">
        <f t="shared" si="12"/>
        <v>0</v>
      </c>
      <c r="CC26" s="1">
        <f t="shared" si="13"/>
        <v>0</v>
      </c>
      <c r="CD26" s="210" t="str">
        <f>IF(AND(C26="Skema 1",B26="ma"),Skemaoplysninger!$E$31,"")</f>
        <v/>
      </c>
      <c r="CE26" s="210" t="str">
        <f>IF(AND(C26="Skema 1",B26="ti"),Skemaoplysninger!$G$31,"")</f>
        <v/>
      </c>
      <c r="CF26" s="210" t="str">
        <f>IF(AND(C26="Skema 1",B26="on"),Skemaoplysninger!$I$31,"")</f>
        <v/>
      </c>
      <c r="CG26" s="210" t="str">
        <f>IF(AND(C26="Skema 1",B26="to"),Skemaoplysninger!$K$31,"")</f>
        <v/>
      </c>
      <c r="CH26" s="210" t="str">
        <f>IF(AND(C26="Skema 1",B26="fr"),Skemaoplysninger!$M$31,"")</f>
        <v/>
      </c>
      <c r="CI26" s="210" t="str">
        <f>IF(AND(C26="Skema 2",B26="ma"),Skemaoplysninger!$S$31,"")</f>
        <v/>
      </c>
      <c r="CJ26" s="210" t="str">
        <f>IF(AND(C26="Skema 2",B26="ti"),Skemaoplysninger!$U$31,"")</f>
        <v/>
      </c>
      <c r="CK26" s="210" t="str">
        <f>IF(AND(C26="Skema 2",B26="on"),Skemaoplysninger!$W$31,"")</f>
        <v/>
      </c>
      <c r="CL26" s="210" t="str">
        <f>IF(AND(C26="Skema 2",B26="to"),Skemaoplysninger!$Y$31,"")</f>
        <v/>
      </c>
      <c r="CM26" s="210" t="str">
        <f>IF(AND(C26="Skema 2",B26="fr"),Skemaoplysninger!$AA$31,"")</f>
        <v/>
      </c>
      <c r="CN26" s="210" t="str">
        <f>IF(AND(C26="Skema 3",B26="ma"),Skemaoplysninger!$AG$31,"")</f>
        <v/>
      </c>
      <c r="CO26" s="210" t="str">
        <f>IF(AND(C26="Skema 3",B26="ti"),Skemaoplysninger!$AI$31,"")</f>
        <v/>
      </c>
      <c r="CP26" s="210" t="str">
        <f>IF(AND(C26="Skema 3",B26="on"),Skemaoplysninger!$AK$31,"")</f>
        <v/>
      </c>
      <c r="CQ26" s="210" t="str">
        <f>IF(AND(C26="Skema 3",B26="to"),Skemaoplysninger!$AM$31,"")</f>
        <v/>
      </c>
      <c r="CR26" s="210" t="str">
        <f>IF(AND(C26="Skema 3",B26="fr"),Skemaoplysninger!$AO$31,"")</f>
        <v/>
      </c>
      <c r="CS26" s="210" t="str">
        <f>IF(AND(C26="Skema 4",B26="ma"),Skemaoplysninger!$AU$31,"")</f>
        <v/>
      </c>
      <c r="CT26" s="210" t="str">
        <f>IF(AND(C26="Skema 4",B26="ti"),Skemaoplysninger!$AW$31,"")</f>
        <v/>
      </c>
      <c r="CU26" s="210" t="str">
        <f>IF(AND(C26="Skema 4",B26="on"),Skemaoplysninger!$AY$31,"")</f>
        <v/>
      </c>
      <c r="CV26" s="210" t="str">
        <f>IF(AND(C26="Skema 4",B26="to"),Skemaoplysninger!$BA$31,"")</f>
        <v/>
      </c>
      <c r="CW26" s="210" t="str">
        <f>IF(AND(C26="Skema 4",B26="fr"),Skemaoplysninger!$BC$31,"")</f>
        <v/>
      </c>
      <c r="CX26" s="249">
        <f>IF(Stamoplysninger!$H$29="NEJ",SUM(CD26:CW26)*24+CB26+CC26,0)</f>
        <v>0</v>
      </c>
      <c r="CY26" s="249">
        <f>IF(C26="Skema 1",Stamoplysninger!$H$30/200,0)</f>
        <v>0</v>
      </c>
      <c r="CZ26" s="249">
        <f>IF(C26="Skema 2",Stamoplysninger!$H$30/200,0)</f>
        <v>0</v>
      </c>
      <c r="DA26" s="249">
        <f>IF(C26="Skema 3",Stamoplysninger!$H$30/200,0)</f>
        <v>0</v>
      </c>
      <c r="DB26" s="249">
        <f>IF(C26="Skema 4",Stamoplysninger!$H$30/200,0)</f>
        <v>0</v>
      </c>
      <c r="DC26" s="249">
        <f>IF(C26="fagdag",Stamoplysninger!$H$30/200,0)</f>
        <v>0</v>
      </c>
      <c r="DD26" s="249">
        <f>IF(C26="emnedag",Stamoplysninger!$H$30/200,0)</f>
        <v>0</v>
      </c>
      <c r="DE26" s="249">
        <f>IF(C26="lejrskole",Stamoplysninger!$H$30/200,0)</f>
        <v>0</v>
      </c>
      <c r="DF26" s="249">
        <f>IF(C26="ekskursion",Stamoplysninger!$H$30/200,0)</f>
        <v>0</v>
      </c>
      <c r="DG26" s="249">
        <f t="shared" si="26"/>
        <v>0</v>
      </c>
      <c r="DH26" t="str">
        <f t="shared" si="27"/>
        <v/>
      </c>
      <c r="DI26">
        <f t="shared" si="28"/>
        <v>0</v>
      </c>
      <c r="DJ26">
        <f t="shared" si="29"/>
        <v>0</v>
      </c>
      <c r="DK26" t="str">
        <f t="shared" si="14"/>
        <v/>
      </c>
      <c r="DL26" t="str">
        <f t="shared" si="14"/>
        <v/>
      </c>
      <c r="DM26" t="str">
        <f t="shared" si="14"/>
        <v/>
      </c>
      <c r="DN26" t="str">
        <f t="shared" si="30"/>
        <v/>
      </c>
      <c r="DO26" s="652">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71">
        <f>IF(AND(Stamoplysninger!$B$22="Ulempetillæg udbetales med 25% af nettotimelønnen.",C26="ikke relevant"),(R26)/4,0)</f>
        <v>0</v>
      </c>
      <c r="DT26" s="671">
        <f>IF(AND(AND(Stamoplysninger!$B$22="Ulempetillæg udbetales med 25% af nettotimelønnen.",I26="X",C26="Ikke relevant")),K26/4,0)</f>
        <v>0</v>
      </c>
      <c r="DU26" s="671">
        <f>IF(AND(AND(Stamoplysninger!$B$22="Ulempetillæg udbetales med 25% af nettotimelønnen.",C26="ikke relevant",U26="X")),(X26/4),0)</f>
        <v>0</v>
      </c>
      <c r="DV26" s="672">
        <f>IF(AND(AND(AND(Stamoplysninger!$B$22="Ulempetillæg udbetales med 25% af nettotimelønnen.",I26="X",C26="Ikke relevant",S26="X"))),V26/4,0)</f>
        <v>0</v>
      </c>
      <c r="DW26" s="652"/>
      <c r="DZ26" s="671"/>
      <c r="EA26" s="671"/>
      <c r="EB26" s="672"/>
      <c r="EC26" s="652">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71">
        <f>IF(AND(Stamoplysninger!$B$22="Ulempetillæg afspadseres med 25%(Kræver en aftale imellem ledelsen og den ansatte)",C26="ikke relevant"),(R26)/4,0)</f>
        <v>0</v>
      </c>
      <c r="EH26" s="671">
        <f>IF(AND(AND(Stamoplysninger!$B$22="Ulempetillæg afspadseres med 25%(Kræver en aftale imellem ledelsen og den ansatte)",I26="X",C26="Ikke relevant")),K26/4,0)</f>
        <v>0</v>
      </c>
      <c r="EI26" s="671">
        <f>IF(AND(AND(Stamoplysninger!$B$22="Ulempetillæg afspadseres med 25%(Kræver en aftale imellem ledelsen og den ansatte)",U26="X",C26="Ikke relevant")),X26/4,0)</f>
        <v>0</v>
      </c>
      <c r="EJ26" s="671">
        <f>IF(AND(AND(AND(Stamoplysninger!$B$22="Ulempetillæg afspadseres med 25%(Kræver en aftale imellem ledelsen og den ansatte)",I26="X",C26="Ikke relevant",S26="X"))),V26/4,0)</f>
        <v>0</v>
      </c>
      <c r="EK26" s="283">
        <f>IF(AND(Stamoplysninger!$B$26="Weekendtimer og weekendtillæg afspadseres.",I26="X"),K26*1.5,0)</f>
        <v>0</v>
      </c>
      <c r="EL26" s="251">
        <f>IF(AND(AND(Stamoplysninger!$B$26="Weekendtimer og weekendtillæg afspadseres.",I26="X",S26="X")),V26*1.5,0)</f>
        <v>0</v>
      </c>
      <c r="EM26" s="674">
        <f>IF(AND(AND(Stamoplysninger!$B$26="Weekendtimer og weekendtillæg afspadseres.",I26="X",C26="ikke relevant")),K26*1.5,0)</f>
        <v>0</v>
      </c>
      <c r="EN26" s="675">
        <f>IF(AND(AND(AND(Stamoplysninger!$B$26="Weekendtimer og weekendtillæg afspadseres.",I26="X",C26="ikke relevant",S26="X"))),(V26*1.5),0)</f>
        <v>0</v>
      </c>
      <c r="EO26" s="283">
        <f>IF(AND(Stamoplysninger!$B$26="Weekendtimer og weekendtillæg udbetales.",I26="X"),K26*1.5,0)</f>
        <v>0</v>
      </c>
      <c r="EP26" s="251">
        <f>IF(AND(AND(Stamoplysninger!$B$26="Weekendtimer og weekendtillæg udbetales.",I26="X",S26="X")),V26*1.5,0)</f>
        <v>0</v>
      </c>
      <c r="EQ26" s="674">
        <f>IF(AND(AND(Stamoplysninger!$B$26="Weekendtimer og weekendtillæg udbetales.",I26="X",C26="ikke relevant")),K26*1.5,0)</f>
        <v>0</v>
      </c>
      <c r="ER26" s="675">
        <f>IF(AND(AND(AND(Stamoplysninger!$B$26="Weekendtimer og weekendtillæg udbetales.",I26="X",C26="ikke relevant",S26="X"))),(V26*1.5),0)</f>
        <v>0</v>
      </c>
      <c r="ES26" s="283">
        <f>IF(AND(Stamoplysninger!$B$26="Der er indgået lokalaftale omkring weekendtimer.(Kræver aftale med TR/FSL) Weekendtillæg afspadseres.",I26="X"),K26*0.5,0)</f>
        <v>0</v>
      </c>
      <c r="ET26" s="251">
        <f>IF(AND(AND(Stamoplysninger!$B$26="Der er indgået lokalaftale omkring weekendtimer.(Kræver aftale med TR/FSL) Weekendtillæg afspadseres.",I26="X",S26="X")),V26*0.5,0)</f>
        <v>0</v>
      </c>
      <c r="EU26" s="674">
        <f>IF(AND(AND(Stamoplysninger!$B$26="Der er indgået lokalaftale omkring weekendtimer.(Kræver aftale med TR/FSL) Weekendtillæg afspadseres.",I26="X",C26="ikke relevant")),K26*0.5,0)</f>
        <v>0</v>
      </c>
      <c r="EV26" s="675">
        <f>IF(AND(AND(AND(Stamoplysninger!$B$26="Der er indgået lokalaftale omkring weekendtimer.(Kræver aftale med TR/FSL) Weekendtillæg afspadseres.",I26="X",C26="ikke relevant",S26="X"))),(V26*0.5),0)</f>
        <v>0</v>
      </c>
      <c r="EW26" s="283">
        <f>IF(AND(Stamoplysninger!$B$26="Der er indgået lokalaftale omkring weekendtimer(Kræver aftale med TR/FSL). Weekendtillæg udbetales.",I26="X"),K26*0.5,0)</f>
        <v>0</v>
      </c>
      <c r="EX26" s="251">
        <f>IF(AND(AND(Stamoplysninger!$B$26="Der er indgået lokalaftale omkring weekendtimer(Kræver aftale med TR/FSL). Weekendtillæg udbetales.",I26="X",S26="X")),V26*0.5,0)</f>
        <v>0</v>
      </c>
      <c r="EY26" s="674">
        <f>IF(AND(AND(Stamoplysninger!$B$26="Der er indgået lokalaftale omkring weekendtimer(Kræver aftale med TR/FSL). Weekendtillæg udbetales.",I26="X",C26="ikke relevant")),K26*0.5,0)</f>
        <v>0</v>
      </c>
      <c r="EZ26" s="675">
        <f>IF(AND(AND(AND(Stamoplysninger!$B$26="Der er indgået lokalaftale omkring weekendtimer(Kræver aftale med TR/FSL). Weekendtillæg udbetales.",I26="X",C26="ikke relevant",S26="X"))),(V26*0.5),0)</f>
        <v>0</v>
      </c>
      <c r="FA26" s="283">
        <f>IF(AND(Stamoplysninger!$B$26="Der er indgået lokalaftale omkring weekendtillæg(Kræver aftale med TR/FSL). Weekendtimerne afspadseres.",I26="X"),K26,0)</f>
        <v>0</v>
      </c>
      <c r="FB26" s="251">
        <f>IF(AND(AND(Stamoplysninger!$B$26="Der er indgået lokalaftale omkring weekendtillæg(Kræver aftale med TR/FSL). Weekendtimerne afspadseres.",I26="X",S26="X")),V26,0)</f>
        <v>0</v>
      </c>
      <c r="FC26" s="674">
        <f>IF(AND(AND(Stamoplysninger!$B$26="Der er indgået lokalaftale omkring weekendtillæg(Kræver aftale med TR/FSL). Weekendtimerne afspadseres..",I26="X",C26="ikke relevant")),K26,0)</f>
        <v>0</v>
      </c>
      <c r="FD26" s="675">
        <f>IF(AND(AND(AND(Stamoplysninger!$B$26="Der er indgået lokalaftale omkring weekendtillæg(Kræver aftale med TR/FSL). Weekendtimerne afspadseres.",I26="X",C26="ikke relevant",S26="X"))),(V26),0)</f>
        <v>0</v>
      </c>
      <c r="FE26" s="283">
        <f>IF(AND(Stamoplysninger!$B$26="Der er indgået lokalaftale omkring weekendtillæg(Kræver aftale med TR/FSL). Weekendtimerne udbetales.",I26="X"),K26,0)</f>
        <v>0</v>
      </c>
      <c r="FF26" s="251">
        <f>IF(AND(AND(Stamoplysninger!$B$26="Der er indgået lokalaftale omkring weekendtillæg(Kræver aftale med TR/FSL). Weekendtimerne udbetales.",I26="X",S26="X")),V26,0)</f>
        <v>0</v>
      </c>
      <c r="FG26" s="674">
        <f>IF(AND(AND(Stamoplysninger!$B$26="Der er indgået lokalaftale omkring weekendtillæg(Kræver aftale med TR/FSL). Weekendtimerne udbetales.",I26="X",C26="ikke relevant")),K26,0)</f>
        <v>0</v>
      </c>
      <c r="FH26" s="675">
        <f>IF(AND(AND(AND(Stamoplysninger!$B$26="Der er indgået lokalaftale omkring weekendtillæg(Kræver aftale med TR/FSL). Weekendtimerne udbetales.",I26="X",C26="ikke relevant",S26="X"))),(V26),0)</f>
        <v>0</v>
      </c>
      <c r="FI26" s="283">
        <f>IF(AND(Stamoplysninger!$B$26="Weekendtimer og weekendtillæg afspadseres.",I26="X"),K26,0)</f>
        <v>0</v>
      </c>
      <c r="FJ26" s="251">
        <f>IF(AND(Stamoplysninger!$B$26="Weekendtimer og weekendtillæg afspadseres.",Y26="X"),(AA26+AL26)/2,0)</f>
        <v>0</v>
      </c>
      <c r="FK26" s="674">
        <f>IF(AND(AND(Stamoplysninger!$B$26="Weekendtimer og weekendtillæg afspadseres.",I26="X",C26="ikke relevant")),K26,0)</f>
        <v>0</v>
      </c>
      <c r="FL26" s="675">
        <f>IF(AND(AND(Stamoplysninger!$B$26="Weekendtimer og weekendtillæg afspadseres.",Y26="X",S26="ikke relevant")),(AA26+AL26)/2,0)</f>
        <v>0</v>
      </c>
      <c r="FM26" s="283">
        <f>IF(AND(Stamoplysninger!$B$26="Der er indgået lokalaftale omkring weekendtillæg(Kræver aftale med TR/FSL). Weekendtimerne afspadseres.",I26="X"),K26,0)</f>
        <v>0</v>
      </c>
      <c r="FN26" s="674">
        <f>IF(AND(AND(Stamoplysninger!$B$26="Der er indgået lokalaftale omkring weekendtillæg(Kræver aftale med TR/FSL). Weekendtimerne afspadseres.",I26="X",C26="ikke relevant")),K26,0)</f>
        <v>0</v>
      </c>
      <c r="FO26" s="283">
        <f>IF(AND(Stamoplysninger!$B$26="Weekendtimer og weekendtillæg udbetales.",I26="X"),K26,0)</f>
        <v>0</v>
      </c>
      <c r="FP26" s="251">
        <f>IF(AND(Stamoplysninger!$B$26="Weekendtimer og weekendtillæg udbetales.",AA26="X"),(AC26+AN26)/2,0)</f>
        <v>0</v>
      </c>
      <c r="FQ26" s="674">
        <f>IF(AND(AND(Stamoplysninger!$B$26="Weekendtimer og weekendtillæg udbetales.",I26="X",C26="ikke relevant")),K26,0)</f>
        <v>0</v>
      </c>
      <c r="FR26" s="688">
        <f>IF(AND(AND(Stamoplysninger!$B$26="Weekendtimer og weekendtillæg udbetales.",AA26="X",U26="ikke relevant")),(AC26+AN26)/2,0)</f>
        <v>0</v>
      </c>
      <c r="FS26" s="283">
        <f t="shared" si="15"/>
        <v>0</v>
      </c>
      <c r="FT26" s="658">
        <f t="shared" si="16"/>
        <v>0</v>
      </c>
      <c r="FU26">
        <f t="shared" si="17"/>
        <v>0</v>
      </c>
      <c r="FV26" s="283">
        <f>IF(AND(Stamoplysninger!$B$26="Der er indgået lokalaftale omkring weekendtimer.(Kræver aftale med TR/FSL) Weekendtillæg afspadseres.",I26="X"),K26,0)</f>
        <v>0</v>
      </c>
      <c r="FW26" s="674">
        <f>IF(AND(AND(Stamoplysninger!$B$26="Der er indgået lokalaftale omkring weekendtimer.(Kræver aftale med TR/FSL) Weekendtillæg afspadseres.",I26="X",C26="ikke relevant")),K26,0)</f>
        <v>0</v>
      </c>
      <c r="FX26" s="283">
        <f>IF(AND(Stamoplysninger!$B$26="Der er indgået lokalaftale omkring weekendtimer(Kræver aftale med TR/FSL). Weekendtillæg udbetales.",I26="X"),K26,0)</f>
        <v>0</v>
      </c>
      <c r="FY26" s="674">
        <f>IF(AND(AND(Stamoplysninger!$B$26="Der er indgået lokalaftale omkring weekendtimer(Kræver aftale med TR/FSL). Weekendtillæg udbetales.",I26="X",C26="ikke relevant")),K26,0)</f>
        <v>0</v>
      </c>
      <c r="FZ26" s="283">
        <f>IF(AND(Stamoplysninger!$B$26="Der er indgået lokalaftale omkring weekendtillæg(Kræver aftale med TR/FSL). Weekendtimerne udbetales.",I26="X"),K26,0)</f>
        <v>0</v>
      </c>
      <c r="GA26" s="674">
        <f>IF(AND(AND(Stamoplysninger!$B$26="Der er indgået lokalaftale omkring weekendtillæg(Kræver aftale med TR/FSL). Weekendtimerne udbetales.",I26="X",C26="ikke relevant")),K26,0)</f>
        <v>0</v>
      </c>
      <c r="GB26" s="283">
        <f>IF(AND(Stamoplysninger!$B$26="Der er indgået lokalaftale omkring weekendtimer og weekendtillæg.(Kræver aftale med TR/FSL).",I26="X"),K26,0)</f>
        <v>0</v>
      </c>
      <c r="GC26" s="674">
        <f>IF(AND(AND(Stamoplysninger!$B$26="Der er indgået lokalaftale omkring weekendtimer og weekendtillæg.(Kræver aftale med TR/FSL).",I26="X",C26="ikke relevant")),K26,0)</f>
        <v>0</v>
      </c>
    </row>
    <row r="27" spans="1:185">
      <c r="A27" s="245">
        <f t="shared" si="18"/>
        <v>19</v>
      </c>
      <c r="B27" s="128" t="str">
        <f t="shared" si="0"/>
        <v>ma</v>
      </c>
      <c r="C27" s="129" t="s">
        <v>207</v>
      </c>
      <c r="D27" s="130">
        <f t="shared" si="1"/>
        <v>20.714285714285715</v>
      </c>
      <c r="E27" s="917"/>
      <c r="F27" s="918"/>
      <c r="G27" s="919"/>
      <c r="H27" s="298"/>
      <c r="I27" s="527"/>
      <c r="J27" s="413"/>
      <c r="K27" s="380"/>
      <c r="L27" s="380"/>
      <c r="M27" s="380"/>
      <c r="N27" s="318">
        <f t="shared" si="19"/>
        <v>7.75</v>
      </c>
      <c r="O27" s="318">
        <f t="shared" si="20"/>
        <v>3.4999999999999996</v>
      </c>
      <c r="P27" s="318">
        <f>IF(Stamoplysninger!$H$29="JA",Maj!DG27,CX27)</f>
        <v>1</v>
      </c>
      <c r="Q27" s="318">
        <f t="shared" si="21"/>
        <v>3.25</v>
      </c>
      <c r="R27" s="319"/>
      <c r="S27" s="324"/>
      <c r="T27" s="325"/>
      <c r="U27" s="325"/>
      <c r="V27" s="435"/>
      <c r="W27" s="412"/>
      <c r="X27" s="642"/>
      <c r="Y27">
        <f t="shared" si="22"/>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f>IF(AND(C27="Skema 2",B27="ma"),Arbejdstidsoversigt!$E$81,"")</f>
        <v>7.75</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7.75</v>
      </c>
      <c r="BB27" s="229">
        <f t="shared" si="8"/>
        <v>0</v>
      </c>
      <c r="BC27" s="1">
        <f t="shared" si="24"/>
        <v>0</v>
      </c>
      <c r="BD27" s="1">
        <f t="shared" si="9"/>
        <v>0</v>
      </c>
      <c r="BE27" s="1">
        <f t="shared" si="10"/>
        <v>0</v>
      </c>
      <c r="BF27" s="1">
        <f t="shared" si="11"/>
        <v>0</v>
      </c>
      <c r="BG27" s="210" t="str">
        <f>IF(AND(C27="Skema 1",B27="ma"),Skemaoplysninger!$E$30,"")</f>
        <v/>
      </c>
      <c r="BH27" s="210" t="str">
        <f>IF(AND(C27="Skema 1",B27="ti"),Skemaoplysninger!$G$30,"")</f>
        <v/>
      </c>
      <c r="BI27" s="210" t="str">
        <f>IF(AND(C27="Skema 1",B27="on"),Skemaoplysninger!$I$30,"")</f>
        <v/>
      </c>
      <c r="BJ27" s="210" t="str">
        <f>IF(AND(C27="Skema 1",B27="to"),Skemaoplysninger!$K$30,"")</f>
        <v/>
      </c>
      <c r="BK27" s="210" t="str">
        <f>IF(AND(C27="Skema 1",B27="fr"),Skemaoplysninger!$M$30,"")</f>
        <v/>
      </c>
      <c r="BL27" s="210">
        <f>IF(AND(C27="Skema 2",B27="ma"),Skemaoplysninger!$S$30,"")</f>
        <v>0.14583333333333331</v>
      </c>
      <c r="BM27" s="210" t="str">
        <f>IF(AND(C27="Skema 2",B27="ti"),Skemaoplysninger!$U$30,"")</f>
        <v/>
      </c>
      <c r="BN27" s="210" t="str">
        <f>IF(AND(C27="Skema 2",B27="on"),Skemaoplysninger!$W$30,"")</f>
        <v/>
      </c>
      <c r="BO27" s="210" t="str">
        <f>IF(AND(C27="Skema 2",B27="to"),Skemaoplysninger!$Y$30,"")</f>
        <v/>
      </c>
      <c r="BP27" s="210" t="str">
        <f>IF(AND(C27="Skema 2",B27="fr"),Skemaoplysninger!$AA$30,"")</f>
        <v/>
      </c>
      <c r="BQ27" s="210" t="str">
        <f>IF(AND(C27="Skema 3",B27="ma"),Skemaoplysninger!$AG$30,"")</f>
        <v/>
      </c>
      <c r="BR27" s="210" t="str">
        <f>IF(AND(C27="Skema 3",B27="ti"),Skemaoplysninger!$AI$30,"")</f>
        <v/>
      </c>
      <c r="BS27" s="210" t="str">
        <f>IF(AND(C27="Skema 3",B27="on"),Skemaoplysninger!$AK$30,"")</f>
        <v/>
      </c>
      <c r="BT27" s="210" t="str">
        <f>IF(AND(C27="Skema 3",B27="to"),Skemaoplysninger!$AM$30,"")</f>
        <v/>
      </c>
      <c r="BU27" s="210" t="str">
        <f>IF(AND(C27="Skema 3",B27="fr"),Skemaoplysninger!$AO$30,"")</f>
        <v/>
      </c>
      <c r="BV27" s="210" t="str">
        <f>IF(AND(C27="Skema 4",B27="ma"),Skemaoplysninger!$AU$30,"")</f>
        <v/>
      </c>
      <c r="BW27" s="210" t="str">
        <f>IF(AND(C27="Skema 4",B27="ti"),Skemaoplysninger!$AW$30,"")</f>
        <v/>
      </c>
      <c r="BX27" s="210" t="str">
        <f>IF(AND(C27="Skema 4",B27="on"),Skemaoplysninger!$AY$30,"")</f>
        <v/>
      </c>
      <c r="BY27" s="210" t="str">
        <f>IF(AND(C27="Skema 4",B27="to"),Skemaoplysninger!$BA$30,"")</f>
        <v/>
      </c>
      <c r="BZ27" s="210" t="str">
        <f>IF(AND(C27="Skema 4",B27="fr"),Skemaoplysninger!$BC$30,"")</f>
        <v/>
      </c>
      <c r="CA27" s="1">
        <f t="shared" si="25"/>
        <v>3.4999999999999996</v>
      </c>
      <c r="CB27" s="1">
        <f t="shared" si="12"/>
        <v>0</v>
      </c>
      <c r="CC27" s="1">
        <f t="shared" si="13"/>
        <v>0</v>
      </c>
      <c r="CD27" s="210" t="str">
        <f>IF(AND(C27="Skema 1",B27="ma"),Skemaoplysninger!$E$31,"")</f>
        <v/>
      </c>
      <c r="CE27" s="210" t="str">
        <f>IF(AND(C27="Skema 1",B27="ti"),Skemaoplysninger!$G$31,"")</f>
        <v/>
      </c>
      <c r="CF27" s="210" t="str">
        <f>IF(AND(C27="Skema 1",B27="on"),Skemaoplysninger!$I$31,"")</f>
        <v/>
      </c>
      <c r="CG27" s="210" t="str">
        <f>IF(AND(C27="Skema 1",B27="to"),Skemaoplysninger!$K$31,"")</f>
        <v/>
      </c>
      <c r="CH27" s="210" t="str">
        <f>IF(AND(C27="Skema 1",B27="fr"),Skemaoplysninger!$M$31,"")</f>
        <v/>
      </c>
      <c r="CI27" s="210">
        <f>IF(AND(C27="Skema 2",B27="ma"),Skemaoplysninger!$S$31,"")</f>
        <v>4.1666666666666671E-2</v>
      </c>
      <c r="CJ27" s="210" t="str">
        <f>IF(AND(C27="Skema 2",B27="ti"),Skemaoplysninger!$U$31,"")</f>
        <v/>
      </c>
      <c r="CK27" s="210" t="str">
        <f>IF(AND(C27="Skema 2",B27="on"),Skemaoplysninger!$W$31,"")</f>
        <v/>
      </c>
      <c r="CL27" s="210" t="str">
        <f>IF(AND(C27="Skema 2",B27="to"),Skemaoplysninger!$Y$31,"")</f>
        <v/>
      </c>
      <c r="CM27" s="210" t="str">
        <f>IF(AND(C27="Skema 2",B27="fr"),Skemaoplysninger!$AA$31,"")</f>
        <v/>
      </c>
      <c r="CN27" s="210" t="str">
        <f>IF(AND(C27="Skema 3",B27="ma"),Skemaoplysninger!$AG$31,"")</f>
        <v/>
      </c>
      <c r="CO27" s="210" t="str">
        <f>IF(AND(C27="Skema 3",B27="ti"),Skemaoplysninger!$AI$31,"")</f>
        <v/>
      </c>
      <c r="CP27" s="210" t="str">
        <f>IF(AND(C27="Skema 3",B27="on"),Skemaoplysninger!$AK$31,"")</f>
        <v/>
      </c>
      <c r="CQ27" s="210" t="str">
        <f>IF(AND(C27="Skema 3",B27="to"),Skemaoplysninger!$AM$31,"")</f>
        <v/>
      </c>
      <c r="CR27" s="210" t="str">
        <f>IF(AND(C27="Skema 3",B27="fr"),Skemaoplysninger!$AO$31,"")</f>
        <v/>
      </c>
      <c r="CS27" s="210" t="str">
        <f>IF(AND(C27="Skema 4",B27="ma"),Skemaoplysninger!$AU$31,"")</f>
        <v/>
      </c>
      <c r="CT27" s="210" t="str">
        <f>IF(AND(C27="Skema 4",B27="ti"),Skemaoplysninger!$AW$31,"")</f>
        <v/>
      </c>
      <c r="CU27" s="210" t="str">
        <f>IF(AND(C27="Skema 4",B27="on"),Skemaoplysninger!$AY$31,"")</f>
        <v/>
      </c>
      <c r="CV27" s="210" t="str">
        <f>IF(AND(C27="Skema 4",B27="to"),Skemaoplysninger!$BA$31,"")</f>
        <v/>
      </c>
      <c r="CW27" s="210" t="str">
        <f>IF(AND(C27="Skema 4",B27="fr"),Skemaoplysninger!$BC$31,"")</f>
        <v/>
      </c>
      <c r="CX27" s="249">
        <f>IF(Stamoplysninger!$H$29="NEJ",SUM(CD27:CW27)*24+CB27+CC27,0)</f>
        <v>1</v>
      </c>
      <c r="CY27" s="249">
        <f>IF(C27="Skema 1",Stamoplysninger!$H$30/200,0)</f>
        <v>0</v>
      </c>
      <c r="CZ27" s="249">
        <f>IF(C27="Skema 2",Stamoplysninger!$H$30/200,0)</f>
        <v>0</v>
      </c>
      <c r="DA27" s="249">
        <f>IF(C27="Skema 3",Stamoplysninger!$H$30/200,0)</f>
        <v>0</v>
      </c>
      <c r="DB27" s="249">
        <f>IF(C27="Skema 4",Stamoplysninger!$H$30/200,0)</f>
        <v>0</v>
      </c>
      <c r="DC27" s="249">
        <f>IF(C27="fagdag",Stamoplysninger!$H$30/200,0)</f>
        <v>0</v>
      </c>
      <c r="DD27" s="249">
        <f>IF(C27="emnedag",Stamoplysninger!$H$30/200,0)</f>
        <v>0</v>
      </c>
      <c r="DE27" s="249">
        <f>IF(C27="lejrskole",Stamoplysninger!$H$30/200,0)</f>
        <v>0</v>
      </c>
      <c r="DF27" s="249">
        <f>IF(C27="ekskursion",Stamoplysninger!$H$30/200,0)</f>
        <v>0</v>
      </c>
      <c r="DG27" s="249">
        <f t="shared" si="26"/>
        <v>0</v>
      </c>
      <c r="DH27" t="str">
        <f t="shared" si="27"/>
        <v/>
      </c>
      <c r="DI27">
        <f t="shared" si="28"/>
        <v>0</v>
      </c>
      <c r="DJ27">
        <f t="shared" si="29"/>
        <v>0</v>
      </c>
      <c r="DK27" t="str">
        <f t="shared" si="14"/>
        <v/>
      </c>
      <c r="DL27" t="str">
        <f t="shared" si="14"/>
        <v/>
      </c>
      <c r="DM27" t="str">
        <f t="shared" si="14"/>
        <v/>
      </c>
      <c r="DN27" t="str">
        <f t="shared" si="30"/>
        <v/>
      </c>
      <c r="DO27" s="652">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71">
        <f>IF(AND(Stamoplysninger!$B$22="Ulempetillæg udbetales med 25% af nettotimelønnen.",C27="ikke relevant"),(R27)/4,0)</f>
        <v>0</v>
      </c>
      <c r="DT27" s="671">
        <f>IF(AND(AND(Stamoplysninger!$B$22="Ulempetillæg udbetales med 25% af nettotimelønnen.",I27="X",C27="Ikke relevant")),K27/4,0)</f>
        <v>0</v>
      </c>
      <c r="DU27" s="671">
        <f>IF(AND(AND(Stamoplysninger!$B$22="Ulempetillæg udbetales med 25% af nettotimelønnen.",C27="ikke relevant",U27="X")),(X27/4),0)</f>
        <v>0</v>
      </c>
      <c r="DV27" s="672">
        <f>IF(AND(AND(AND(Stamoplysninger!$B$22="Ulempetillæg udbetales med 25% af nettotimelønnen.",I27="X",C27="Ikke relevant",S27="X"))),V27/4,0)</f>
        <v>0</v>
      </c>
      <c r="DW27" s="652"/>
      <c r="DZ27" s="671"/>
      <c r="EA27" s="671"/>
      <c r="EB27" s="672"/>
      <c r="EC27" s="652">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71">
        <f>IF(AND(Stamoplysninger!$B$22="Ulempetillæg afspadseres med 25%(Kræver en aftale imellem ledelsen og den ansatte)",C27="ikke relevant"),(R27)/4,0)</f>
        <v>0</v>
      </c>
      <c r="EH27" s="671">
        <f>IF(AND(AND(Stamoplysninger!$B$22="Ulempetillæg afspadseres med 25%(Kræver en aftale imellem ledelsen og den ansatte)",I27="X",C27="Ikke relevant")),K27/4,0)</f>
        <v>0</v>
      </c>
      <c r="EI27" s="671">
        <f>IF(AND(AND(Stamoplysninger!$B$22="Ulempetillæg afspadseres med 25%(Kræver en aftale imellem ledelsen og den ansatte)",U27="X",C27="Ikke relevant")),X27/4,0)</f>
        <v>0</v>
      </c>
      <c r="EJ27" s="671">
        <f>IF(AND(AND(AND(Stamoplysninger!$B$22="Ulempetillæg afspadseres med 25%(Kræver en aftale imellem ledelsen og den ansatte)",I27="X",C27="Ikke relevant",S27="X"))),V27/4,0)</f>
        <v>0</v>
      </c>
      <c r="EK27" s="283">
        <f>IF(AND(Stamoplysninger!$B$26="Weekendtimer og weekendtillæg afspadseres.",I27="X"),K27*1.5,0)</f>
        <v>0</v>
      </c>
      <c r="EL27" s="251">
        <f>IF(AND(AND(Stamoplysninger!$B$26="Weekendtimer og weekendtillæg afspadseres.",I27="X",S27="X")),V27*1.5,0)</f>
        <v>0</v>
      </c>
      <c r="EM27" s="674">
        <f>IF(AND(AND(Stamoplysninger!$B$26="Weekendtimer og weekendtillæg afspadseres.",I27="X",C27="ikke relevant")),K27*1.5,0)</f>
        <v>0</v>
      </c>
      <c r="EN27" s="675">
        <f>IF(AND(AND(AND(Stamoplysninger!$B$26="Weekendtimer og weekendtillæg afspadseres.",I27="X",C27="ikke relevant",S27="X"))),(V27*1.5),0)</f>
        <v>0</v>
      </c>
      <c r="EO27" s="283">
        <f>IF(AND(Stamoplysninger!$B$26="Weekendtimer og weekendtillæg udbetales.",I27="X"),K27*1.5,0)</f>
        <v>0</v>
      </c>
      <c r="EP27" s="251">
        <f>IF(AND(AND(Stamoplysninger!$B$26="Weekendtimer og weekendtillæg udbetales.",I27="X",S27="X")),V27*1.5,0)</f>
        <v>0</v>
      </c>
      <c r="EQ27" s="674">
        <f>IF(AND(AND(Stamoplysninger!$B$26="Weekendtimer og weekendtillæg udbetales.",I27="X",C27="ikke relevant")),K27*1.5,0)</f>
        <v>0</v>
      </c>
      <c r="ER27" s="675">
        <f>IF(AND(AND(AND(Stamoplysninger!$B$26="Weekendtimer og weekendtillæg udbetales.",I27="X",C27="ikke relevant",S27="X"))),(V27*1.5),0)</f>
        <v>0</v>
      </c>
      <c r="ES27" s="283">
        <f>IF(AND(Stamoplysninger!$B$26="Der er indgået lokalaftale omkring weekendtimer.(Kræver aftale med TR/FSL) Weekendtillæg afspadseres.",I27="X"),K27*0.5,0)</f>
        <v>0</v>
      </c>
      <c r="ET27" s="251">
        <f>IF(AND(AND(Stamoplysninger!$B$26="Der er indgået lokalaftale omkring weekendtimer.(Kræver aftale med TR/FSL) Weekendtillæg afspadseres.",I27="X",S27="X")),V27*0.5,0)</f>
        <v>0</v>
      </c>
      <c r="EU27" s="674">
        <f>IF(AND(AND(Stamoplysninger!$B$26="Der er indgået lokalaftale omkring weekendtimer.(Kræver aftale med TR/FSL) Weekendtillæg afspadseres.",I27="X",C27="ikke relevant")),K27*0.5,0)</f>
        <v>0</v>
      </c>
      <c r="EV27" s="675">
        <f>IF(AND(AND(AND(Stamoplysninger!$B$26="Der er indgået lokalaftale omkring weekendtimer.(Kræver aftale med TR/FSL) Weekendtillæg afspadseres.",I27="X",C27="ikke relevant",S27="X"))),(V27*0.5),0)</f>
        <v>0</v>
      </c>
      <c r="EW27" s="283">
        <f>IF(AND(Stamoplysninger!$B$26="Der er indgået lokalaftale omkring weekendtimer(Kræver aftale med TR/FSL). Weekendtillæg udbetales.",I27="X"),K27*0.5,0)</f>
        <v>0</v>
      </c>
      <c r="EX27" s="251">
        <f>IF(AND(AND(Stamoplysninger!$B$26="Der er indgået lokalaftale omkring weekendtimer(Kræver aftale med TR/FSL). Weekendtillæg udbetales.",I27="X",S27="X")),V27*0.5,0)</f>
        <v>0</v>
      </c>
      <c r="EY27" s="674">
        <f>IF(AND(AND(Stamoplysninger!$B$26="Der er indgået lokalaftale omkring weekendtimer(Kræver aftale med TR/FSL). Weekendtillæg udbetales.",I27="X",C27="ikke relevant")),K27*0.5,0)</f>
        <v>0</v>
      </c>
      <c r="EZ27" s="675">
        <f>IF(AND(AND(AND(Stamoplysninger!$B$26="Der er indgået lokalaftale omkring weekendtimer(Kræver aftale med TR/FSL). Weekendtillæg udbetales.",I27="X",C27="ikke relevant",S27="X"))),(V27*0.5),0)</f>
        <v>0</v>
      </c>
      <c r="FA27" s="283">
        <f>IF(AND(Stamoplysninger!$B$26="Der er indgået lokalaftale omkring weekendtillæg(Kræver aftale med TR/FSL). Weekendtimerne afspadseres.",I27="X"),K27,0)</f>
        <v>0</v>
      </c>
      <c r="FB27" s="251">
        <f>IF(AND(AND(Stamoplysninger!$B$26="Der er indgået lokalaftale omkring weekendtillæg(Kræver aftale med TR/FSL). Weekendtimerne afspadseres.",I27="X",S27="X")),V27,0)</f>
        <v>0</v>
      </c>
      <c r="FC27" s="674">
        <f>IF(AND(AND(Stamoplysninger!$B$26="Der er indgået lokalaftale omkring weekendtillæg(Kræver aftale med TR/FSL). Weekendtimerne afspadseres..",I27="X",C27="ikke relevant")),K27,0)</f>
        <v>0</v>
      </c>
      <c r="FD27" s="675">
        <f>IF(AND(AND(AND(Stamoplysninger!$B$26="Der er indgået lokalaftale omkring weekendtillæg(Kræver aftale med TR/FSL). Weekendtimerne afspadseres.",I27="X",C27="ikke relevant",S27="X"))),(V27),0)</f>
        <v>0</v>
      </c>
      <c r="FE27" s="283">
        <f>IF(AND(Stamoplysninger!$B$26="Der er indgået lokalaftale omkring weekendtillæg(Kræver aftale med TR/FSL). Weekendtimerne udbetales.",I27="X"),K27,0)</f>
        <v>0</v>
      </c>
      <c r="FF27" s="251">
        <f>IF(AND(AND(Stamoplysninger!$B$26="Der er indgået lokalaftale omkring weekendtillæg(Kræver aftale med TR/FSL). Weekendtimerne udbetales.",I27="X",S27="X")),V27,0)</f>
        <v>0</v>
      </c>
      <c r="FG27" s="674">
        <f>IF(AND(AND(Stamoplysninger!$B$26="Der er indgået lokalaftale omkring weekendtillæg(Kræver aftale med TR/FSL). Weekendtimerne udbetales.",I27="X",C27="ikke relevant")),K27,0)</f>
        <v>0</v>
      </c>
      <c r="FH27" s="675">
        <f>IF(AND(AND(AND(Stamoplysninger!$B$26="Der er indgået lokalaftale omkring weekendtillæg(Kræver aftale med TR/FSL). Weekendtimerne udbetales.",I27="X",C27="ikke relevant",S27="X"))),(V27),0)</f>
        <v>0</v>
      </c>
      <c r="FI27" s="283">
        <f>IF(AND(Stamoplysninger!$B$26="Weekendtimer og weekendtillæg afspadseres.",I27="X"),K27,0)</f>
        <v>0</v>
      </c>
      <c r="FJ27" s="251">
        <f>IF(AND(Stamoplysninger!$B$26="Weekendtimer og weekendtillæg afspadseres.",Y27="X"),(AA27+AL27)/2,0)</f>
        <v>0</v>
      </c>
      <c r="FK27" s="674">
        <f>IF(AND(AND(Stamoplysninger!$B$26="Weekendtimer og weekendtillæg afspadseres.",I27="X",C27="ikke relevant")),K27,0)</f>
        <v>0</v>
      </c>
      <c r="FL27" s="675">
        <f>IF(AND(AND(Stamoplysninger!$B$26="Weekendtimer og weekendtillæg afspadseres.",Y27="X",S27="ikke relevant")),(AA27+AL27)/2,0)</f>
        <v>0</v>
      </c>
      <c r="FM27" s="283">
        <f>IF(AND(Stamoplysninger!$B$26="Der er indgået lokalaftale omkring weekendtillæg(Kræver aftale med TR/FSL). Weekendtimerne afspadseres.",I27="X"),K27,0)</f>
        <v>0</v>
      </c>
      <c r="FN27" s="674">
        <f>IF(AND(AND(Stamoplysninger!$B$26="Der er indgået lokalaftale omkring weekendtillæg(Kræver aftale med TR/FSL). Weekendtimerne afspadseres.",I27="X",C27="ikke relevant")),K27,0)</f>
        <v>0</v>
      </c>
      <c r="FO27" s="283">
        <f>IF(AND(Stamoplysninger!$B$26="Weekendtimer og weekendtillæg udbetales.",I27="X"),K27,0)</f>
        <v>0</v>
      </c>
      <c r="FP27" s="251">
        <f>IF(AND(Stamoplysninger!$B$26="Weekendtimer og weekendtillæg udbetales.",AA27="X"),(AC27+AN27)/2,0)</f>
        <v>0</v>
      </c>
      <c r="FQ27" s="674">
        <f>IF(AND(AND(Stamoplysninger!$B$26="Weekendtimer og weekendtillæg udbetales.",I27="X",C27="ikke relevant")),K27,0)</f>
        <v>0</v>
      </c>
      <c r="FR27" s="688">
        <f>IF(AND(AND(Stamoplysninger!$B$26="Weekendtimer og weekendtillæg udbetales.",AA27="X",U27="ikke relevant")),(AC27+AN27)/2,0)</f>
        <v>0</v>
      </c>
      <c r="FS27" s="283">
        <f t="shared" si="15"/>
        <v>0</v>
      </c>
      <c r="FT27" s="658">
        <f t="shared" si="16"/>
        <v>0</v>
      </c>
      <c r="FU27">
        <f t="shared" si="17"/>
        <v>0</v>
      </c>
      <c r="FV27" s="283">
        <f>IF(AND(Stamoplysninger!$B$26="Der er indgået lokalaftale omkring weekendtimer.(Kræver aftale med TR/FSL) Weekendtillæg afspadseres.",I27="X"),K27,0)</f>
        <v>0</v>
      </c>
      <c r="FW27" s="674">
        <f>IF(AND(AND(Stamoplysninger!$B$26="Der er indgået lokalaftale omkring weekendtimer.(Kræver aftale med TR/FSL) Weekendtillæg afspadseres.",I27="X",C27="ikke relevant")),K27,0)</f>
        <v>0</v>
      </c>
      <c r="FX27" s="283">
        <f>IF(AND(Stamoplysninger!$B$26="Der er indgået lokalaftale omkring weekendtimer(Kræver aftale med TR/FSL). Weekendtillæg udbetales.",I27="X"),K27,0)</f>
        <v>0</v>
      </c>
      <c r="FY27" s="674">
        <f>IF(AND(AND(Stamoplysninger!$B$26="Der er indgået lokalaftale omkring weekendtimer(Kræver aftale med TR/FSL). Weekendtillæg udbetales.",I27="X",C27="ikke relevant")),K27,0)</f>
        <v>0</v>
      </c>
      <c r="FZ27" s="283">
        <f>IF(AND(Stamoplysninger!$B$26="Der er indgået lokalaftale omkring weekendtillæg(Kræver aftale med TR/FSL). Weekendtimerne udbetales.",I27="X"),K27,0)</f>
        <v>0</v>
      </c>
      <c r="GA27" s="674">
        <f>IF(AND(AND(Stamoplysninger!$B$26="Der er indgået lokalaftale omkring weekendtillæg(Kræver aftale med TR/FSL). Weekendtimerne udbetales.",I27="X",C27="ikke relevant")),K27,0)</f>
        <v>0</v>
      </c>
      <c r="GB27" s="283">
        <f>IF(AND(Stamoplysninger!$B$26="Der er indgået lokalaftale omkring weekendtimer og weekendtillæg.(Kræver aftale med TR/FSL).",I27="X"),K27,0)</f>
        <v>0</v>
      </c>
      <c r="GC27" s="674">
        <f>IF(AND(AND(Stamoplysninger!$B$26="Der er indgået lokalaftale omkring weekendtimer og weekendtillæg.(Kræver aftale med TR/FSL).",I27="X",C27="ikke relevant")),K27,0)</f>
        <v>0</v>
      </c>
    </row>
    <row r="28" spans="1:185">
      <c r="A28" s="245">
        <f t="shared" si="18"/>
        <v>20</v>
      </c>
      <c r="B28" s="128" t="str">
        <f t="shared" si="0"/>
        <v>ti</v>
      </c>
      <c r="C28" s="129" t="s">
        <v>207</v>
      </c>
      <c r="D28" s="130" t="str">
        <f t="shared" si="1"/>
        <v/>
      </c>
      <c r="E28" s="917"/>
      <c r="F28" s="918"/>
      <c r="G28" s="919"/>
      <c r="H28" s="298"/>
      <c r="I28" s="527"/>
      <c r="J28" s="413"/>
      <c r="K28" s="380"/>
      <c r="L28" s="380"/>
      <c r="M28" s="380"/>
      <c r="N28" s="318">
        <f t="shared" si="19"/>
        <v>8.5</v>
      </c>
      <c r="O28" s="318">
        <f t="shared" si="20"/>
        <v>3.75</v>
      </c>
      <c r="P28" s="318">
        <f>IF(Stamoplysninger!$H$29="JA",Maj!DG28,CX28)</f>
        <v>1.5</v>
      </c>
      <c r="Q28" s="318">
        <f t="shared" si="21"/>
        <v>3.25</v>
      </c>
      <c r="R28" s="319"/>
      <c r="S28" s="324"/>
      <c r="T28" s="325"/>
      <c r="U28" s="325"/>
      <c r="V28" s="435"/>
      <c r="W28" s="412"/>
      <c r="X28" s="642"/>
      <c r="Y28">
        <f t="shared" si="22"/>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f>IF(AND(C28="Skema 2",B28="ti"),Arbejdstidsoversigt!$E$82,"")</f>
        <v>8.5</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8.5</v>
      </c>
      <c r="BB28" s="229">
        <f t="shared" si="8"/>
        <v>0</v>
      </c>
      <c r="BC28" s="1">
        <f t="shared" si="24"/>
        <v>0</v>
      </c>
      <c r="BD28" s="1">
        <f t="shared" si="9"/>
        <v>0</v>
      </c>
      <c r="BE28" s="1">
        <f t="shared" si="10"/>
        <v>0</v>
      </c>
      <c r="BF28" s="1">
        <f t="shared" si="11"/>
        <v>0</v>
      </c>
      <c r="BG28" s="210" t="str">
        <f>IF(AND(C28="Skema 1",B28="ma"),Skemaoplysninger!$E$30,"")</f>
        <v/>
      </c>
      <c r="BH28" s="210" t="str">
        <f>IF(AND(C28="Skema 1",B28="ti"),Skemaoplysninger!$G$30,"")</f>
        <v/>
      </c>
      <c r="BI28" s="210" t="str">
        <f>IF(AND(C28="Skema 1",B28="on"),Skemaoplysninger!$I$30,"")</f>
        <v/>
      </c>
      <c r="BJ28" s="210" t="str">
        <f>IF(AND(C28="Skema 1",B28="to"),Skemaoplysninger!$K$30,"")</f>
        <v/>
      </c>
      <c r="BK28" s="210" t="str">
        <f>IF(AND(C28="Skema 1",B28="fr"),Skemaoplysninger!$M$30,"")</f>
        <v/>
      </c>
      <c r="BL28" s="210" t="str">
        <f>IF(AND(C28="Skema 2",B28="ma"),Skemaoplysninger!$S$30,"")</f>
        <v/>
      </c>
      <c r="BM28" s="210">
        <f>IF(AND(C28="Skema 2",B28="ti"),Skemaoplysninger!$U$30,"")</f>
        <v>0.15625</v>
      </c>
      <c r="BN28" s="210" t="str">
        <f>IF(AND(C28="Skema 2",B28="on"),Skemaoplysninger!$W$30,"")</f>
        <v/>
      </c>
      <c r="BO28" s="210" t="str">
        <f>IF(AND(C28="Skema 2",B28="to"),Skemaoplysninger!$Y$30,"")</f>
        <v/>
      </c>
      <c r="BP28" s="210" t="str">
        <f>IF(AND(C28="Skema 2",B28="fr"),Skemaoplysninger!$AA$30,"")</f>
        <v/>
      </c>
      <c r="BQ28" s="210" t="str">
        <f>IF(AND(C28="Skema 3",B28="ma"),Skemaoplysninger!$AG$30,"")</f>
        <v/>
      </c>
      <c r="BR28" s="210" t="str">
        <f>IF(AND(C28="Skema 3",B28="ti"),Skemaoplysninger!$AI$30,"")</f>
        <v/>
      </c>
      <c r="BS28" s="210" t="str">
        <f>IF(AND(C28="Skema 3",B28="on"),Skemaoplysninger!$AK$30,"")</f>
        <v/>
      </c>
      <c r="BT28" s="210" t="str">
        <f>IF(AND(C28="Skema 3",B28="to"),Skemaoplysninger!$AM$30,"")</f>
        <v/>
      </c>
      <c r="BU28" s="210" t="str">
        <f>IF(AND(C28="Skema 3",B28="fr"),Skemaoplysninger!$AO$30,"")</f>
        <v/>
      </c>
      <c r="BV28" s="210" t="str">
        <f>IF(AND(C28="Skema 4",B28="ma"),Skemaoplysninger!$AU$30,"")</f>
        <v/>
      </c>
      <c r="BW28" s="210" t="str">
        <f>IF(AND(C28="Skema 4",B28="ti"),Skemaoplysninger!$AW$30,"")</f>
        <v/>
      </c>
      <c r="BX28" s="210" t="str">
        <f>IF(AND(C28="Skema 4",B28="on"),Skemaoplysninger!$AY$30,"")</f>
        <v/>
      </c>
      <c r="BY28" s="210" t="str">
        <f>IF(AND(C28="Skema 4",B28="to"),Skemaoplysninger!$BA$30,"")</f>
        <v/>
      </c>
      <c r="BZ28" s="210" t="str">
        <f>IF(AND(C28="Skema 4",B28="fr"),Skemaoplysninger!$BC$30,"")</f>
        <v/>
      </c>
      <c r="CA28" s="1">
        <f t="shared" si="25"/>
        <v>3.75</v>
      </c>
      <c r="CB28" s="1">
        <f t="shared" si="12"/>
        <v>0</v>
      </c>
      <c r="CC28" s="1">
        <f t="shared" si="13"/>
        <v>0</v>
      </c>
      <c r="CD28" s="210" t="str">
        <f>IF(AND(C28="Skema 1",B28="ma"),Skemaoplysninger!$E$31,"")</f>
        <v/>
      </c>
      <c r="CE28" s="210" t="str">
        <f>IF(AND(C28="Skema 1",B28="ti"),Skemaoplysninger!$G$31,"")</f>
        <v/>
      </c>
      <c r="CF28" s="210" t="str">
        <f>IF(AND(C28="Skema 1",B28="on"),Skemaoplysninger!$I$31,"")</f>
        <v/>
      </c>
      <c r="CG28" s="210" t="str">
        <f>IF(AND(C28="Skema 1",B28="to"),Skemaoplysninger!$K$31,"")</f>
        <v/>
      </c>
      <c r="CH28" s="210" t="str">
        <f>IF(AND(C28="Skema 1",B28="fr"),Skemaoplysninger!$M$31,"")</f>
        <v/>
      </c>
      <c r="CI28" s="210" t="str">
        <f>IF(AND(C28="Skema 2",B28="ma"),Skemaoplysninger!$S$31,"")</f>
        <v/>
      </c>
      <c r="CJ28" s="210">
        <f>IF(AND(C28="Skema 2",B28="ti"),Skemaoplysninger!$U$31,"")</f>
        <v>6.25E-2</v>
      </c>
      <c r="CK28" s="210" t="str">
        <f>IF(AND(C28="Skema 2",B28="on"),Skemaoplysninger!$W$31,"")</f>
        <v/>
      </c>
      <c r="CL28" s="210" t="str">
        <f>IF(AND(C28="Skema 2",B28="to"),Skemaoplysninger!$Y$31,"")</f>
        <v/>
      </c>
      <c r="CM28" s="210" t="str">
        <f>IF(AND(C28="Skema 2",B28="fr"),Skemaoplysninger!$AA$31,"")</f>
        <v/>
      </c>
      <c r="CN28" s="210" t="str">
        <f>IF(AND(C28="Skema 3",B28="ma"),Skemaoplysninger!$AG$31,"")</f>
        <v/>
      </c>
      <c r="CO28" s="210" t="str">
        <f>IF(AND(C28="Skema 3",B28="ti"),Skemaoplysninger!$AI$31,"")</f>
        <v/>
      </c>
      <c r="CP28" s="210" t="str">
        <f>IF(AND(C28="Skema 3",B28="on"),Skemaoplysninger!$AK$31,"")</f>
        <v/>
      </c>
      <c r="CQ28" s="210" t="str">
        <f>IF(AND(C28="Skema 3",B28="to"),Skemaoplysninger!$AM$31,"")</f>
        <v/>
      </c>
      <c r="CR28" s="210" t="str">
        <f>IF(AND(C28="Skema 3",B28="fr"),Skemaoplysninger!$AO$31,"")</f>
        <v/>
      </c>
      <c r="CS28" s="210" t="str">
        <f>IF(AND(C28="Skema 4",B28="ma"),Skemaoplysninger!$AU$31,"")</f>
        <v/>
      </c>
      <c r="CT28" s="210" t="str">
        <f>IF(AND(C28="Skema 4",B28="ti"),Skemaoplysninger!$AW$31,"")</f>
        <v/>
      </c>
      <c r="CU28" s="210" t="str">
        <f>IF(AND(C28="Skema 4",B28="on"),Skemaoplysninger!$AY$31,"")</f>
        <v/>
      </c>
      <c r="CV28" s="210" t="str">
        <f>IF(AND(C28="Skema 4",B28="to"),Skemaoplysninger!$BA$31,"")</f>
        <v/>
      </c>
      <c r="CW28" s="210" t="str">
        <f>IF(AND(C28="Skema 4",B28="fr"),Skemaoplysninger!$BC$31,"")</f>
        <v/>
      </c>
      <c r="CX28" s="249">
        <f>IF(Stamoplysninger!$H$29="NEJ",SUM(CD28:CW28)*24+CB28+CC28,0)</f>
        <v>1.5</v>
      </c>
      <c r="CY28" s="249">
        <f>IF(C28="Skema 1",Stamoplysninger!$H$30/200,0)</f>
        <v>0</v>
      </c>
      <c r="CZ28" s="249">
        <f>IF(C28="Skema 2",Stamoplysninger!$H$30/200,0)</f>
        <v>0</v>
      </c>
      <c r="DA28" s="249">
        <f>IF(C28="Skema 3",Stamoplysninger!$H$30/200,0)</f>
        <v>0</v>
      </c>
      <c r="DB28" s="249">
        <f>IF(C28="Skema 4",Stamoplysninger!$H$30/200,0)</f>
        <v>0</v>
      </c>
      <c r="DC28" s="249">
        <f>IF(C28="fagdag",Stamoplysninger!$H$30/200,0)</f>
        <v>0</v>
      </c>
      <c r="DD28" s="249">
        <f>IF(C28="emnedag",Stamoplysninger!$H$30/200,0)</f>
        <v>0</v>
      </c>
      <c r="DE28" s="249">
        <f>IF(C28="lejrskole",Stamoplysninger!$H$30/200,0)</f>
        <v>0</v>
      </c>
      <c r="DF28" s="249">
        <f>IF(C28="ekskursion",Stamoplysninger!$H$30/200,0)</f>
        <v>0</v>
      </c>
      <c r="DG28" s="249">
        <f t="shared" si="26"/>
        <v>0</v>
      </c>
      <c r="DH28" t="str">
        <f t="shared" si="27"/>
        <v/>
      </c>
      <c r="DI28">
        <f t="shared" si="28"/>
        <v>0</v>
      </c>
      <c r="DJ28">
        <f t="shared" si="29"/>
        <v>0</v>
      </c>
      <c r="DK28" t="str">
        <f t="shared" si="14"/>
        <v/>
      </c>
      <c r="DL28" t="str">
        <f t="shared" si="14"/>
        <v/>
      </c>
      <c r="DM28" t="str">
        <f t="shared" si="14"/>
        <v/>
      </c>
      <c r="DN28" t="str">
        <f t="shared" si="30"/>
        <v/>
      </c>
      <c r="DO28" s="652">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71">
        <f>IF(AND(Stamoplysninger!$B$22="Ulempetillæg udbetales med 25% af nettotimelønnen.",C28="ikke relevant"),(R28)/4,0)</f>
        <v>0</v>
      </c>
      <c r="DT28" s="671">
        <f>IF(AND(AND(Stamoplysninger!$B$22="Ulempetillæg udbetales med 25% af nettotimelønnen.",I28="X",C28="Ikke relevant")),K28/4,0)</f>
        <v>0</v>
      </c>
      <c r="DU28" s="671">
        <f>IF(AND(AND(Stamoplysninger!$B$22="Ulempetillæg udbetales med 25% af nettotimelønnen.",C28="ikke relevant",U28="X")),(X28/4),0)</f>
        <v>0</v>
      </c>
      <c r="DV28" s="672">
        <f>IF(AND(AND(AND(Stamoplysninger!$B$22="Ulempetillæg udbetales med 25% af nettotimelønnen.",I28="X",C28="Ikke relevant",S28="X"))),V28/4,0)</f>
        <v>0</v>
      </c>
      <c r="DW28" s="652"/>
      <c r="DZ28" s="671"/>
      <c r="EA28" s="671"/>
      <c r="EB28" s="672"/>
      <c r="EC28" s="652">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71">
        <f>IF(AND(Stamoplysninger!$B$22="Ulempetillæg afspadseres med 25%(Kræver en aftale imellem ledelsen og den ansatte)",C28="ikke relevant"),(R28)/4,0)</f>
        <v>0</v>
      </c>
      <c r="EH28" s="671">
        <f>IF(AND(AND(Stamoplysninger!$B$22="Ulempetillæg afspadseres med 25%(Kræver en aftale imellem ledelsen og den ansatte)",I28="X",C28="Ikke relevant")),K28/4,0)</f>
        <v>0</v>
      </c>
      <c r="EI28" s="671">
        <f>IF(AND(AND(Stamoplysninger!$B$22="Ulempetillæg afspadseres med 25%(Kræver en aftale imellem ledelsen og den ansatte)",U28="X",C28="Ikke relevant")),X28/4,0)</f>
        <v>0</v>
      </c>
      <c r="EJ28" s="671">
        <f>IF(AND(AND(AND(Stamoplysninger!$B$22="Ulempetillæg afspadseres med 25%(Kræver en aftale imellem ledelsen og den ansatte)",I28="X",C28="Ikke relevant",S28="X"))),V28/4,0)</f>
        <v>0</v>
      </c>
      <c r="EK28" s="283">
        <f>IF(AND(Stamoplysninger!$B$26="Weekendtimer og weekendtillæg afspadseres.",I28="X"),K28*1.5,0)</f>
        <v>0</v>
      </c>
      <c r="EL28" s="251">
        <f>IF(AND(AND(Stamoplysninger!$B$26="Weekendtimer og weekendtillæg afspadseres.",I28="X",S28="X")),V28*1.5,0)</f>
        <v>0</v>
      </c>
      <c r="EM28" s="674">
        <f>IF(AND(AND(Stamoplysninger!$B$26="Weekendtimer og weekendtillæg afspadseres.",I28="X",C28="ikke relevant")),K28*1.5,0)</f>
        <v>0</v>
      </c>
      <c r="EN28" s="675">
        <f>IF(AND(AND(AND(Stamoplysninger!$B$26="Weekendtimer og weekendtillæg afspadseres.",I28="X",C28="ikke relevant",S28="X"))),(V28*1.5),0)</f>
        <v>0</v>
      </c>
      <c r="EO28" s="283">
        <f>IF(AND(Stamoplysninger!$B$26="Weekendtimer og weekendtillæg udbetales.",I28="X"),K28*1.5,0)</f>
        <v>0</v>
      </c>
      <c r="EP28" s="251">
        <f>IF(AND(AND(Stamoplysninger!$B$26="Weekendtimer og weekendtillæg udbetales.",I28="X",S28="X")),V28*1.5,0)</f>
        <v>0</v>
      </c>
      <c r="EQ28" s="674">
        <f>IF(AND(AND(Stamoplysninger!$B$26="Weekendtimer og weekendtillæg udbetales.",I28="X",C28="ikke relevant")),K28*1.5,0)</f>
        <v>0</v>
      </c>
      <c r="ER28" s="675">
        <f>IF(AND(AND(AND(Stamoplysninger!$B$26="Weekendtimer og weekendtillæg udbetales.",I28="X",C28="ikke relevant",S28="X"))),(V28*1.5),0)</f>
        <v>0</v>
      </c>
      <c r="ES28" s="283">
        <f>IF(AND(Stamoplysninger!$B$26="Der er indgået lokalaftale omkring weekendtimer.(Kræver aftale med TR/FSL) Weekendtillæg afspadseres.",I28="X"),K28*0.5,0)</f>
        <v>0</v>
      </c>
      <c r="ET28" s="251">
        <f>IF(AND(AND(Stamoplysninger!$B$26="Der er indgået lokalaftale omkring weekendtimer.(Kræver aftale med TR/FSL) Weekendtillæg afspadseres.",I28="X",S28="X")),V28*0.5,0)</f>
        <v>0</v>
      </c>
      <c r="EU28" s="674">
        <f>IF(AND(AND(Stamoplysninger!$B$26="Der er indgået lokalaftale omkring weekendtimer.(Kræver aftale med TR/FSL) Weekendtillæg afspadseres.",I28="X",C28="ikke relevant")),K28*0.5,0)</f>
        <v>0</v>
      </c>
      <c r="EV28" s="675">
        <f>IF(AND(AND(AND(Stamoplysninger!$B$26="Der er indgået lokalaftale omkring weekendtimer.(Kræver aftale med TR/FSL) Weekendtillæg afspadseres.",I28="X",C28="ikke relevant",S28="X"))),(V28*0.5),0)</f>
        <v>0</v>
      </c>
      <c r="EW28" s="283">
        <f>IF(AND(Stamoplysninger!$B$26="Der er indgået lokalaftale omkring weekendtimer(Kræver aftale med TR/FSL). Weekendtillæg udbetales.",I28="X"),K28*0.5,0)</f>
        <v>0</v>
      </c>
      <c r="EX28" s="251">
        <f>IF(AND(AND(Stamoplysninger!$B$26="Der er indgået lokalaftale omkring weekendtimer(Kræver aftale med TR/FSL). Weekendtillæg udbetales.",I28="X",S28="X")),V28*0.5,0)</f>
        <v>0</v>
      </c>
      <c r="EY28" s="674">
        <f>IF(AND(AND(Stamoplysninger!$B$26="Der er indgået lokalaftale omkring weekendtimer(Kræver aftale med TR/FSL). Weekendtillæg udbetales.",I28="X",C28="ikke relevant")),K28*0.5,0)</f>
        <v>0</v>
      </c>
      <c r="EZ28" s="675">
        <f>IF(AND(AND(AND(Stamoplysninger!$B$26="Der er indgået lokalaftale omkring weekendtimer(Kræver aftale med TR/FSL). Weekendtillæg udbetales.",I28="X",C28="ikke relevant",S28="X"))),(V28*0.5),0)</f>
        <v>0</v>
      </c>
      <c r="FA28" s="283">
        <f>IF(AND(Stamoplysninger!$B$26="Der er indgået lokalaftale omkring weekendtillæg(Kræver aftale med TR/FSL). Weekendtimerne afspadseres.",I28="X"),K28,0)</f>
        <v>0</v>
      </c>
      <c r="FB28" s="251">
        <f>IF(AND(AND(Stamoplysninger!$B$26="Der er indgået lokalaftale omkring weekendtillæg(Kræver aftale med TR/FSL). Weekendtimerne afspadseres.",I28="X",S28="X")),V28,0)</f>
        <v>0</v>
      </c>
      <c r="FC28" s="674">
        <f>IF(AND(AND(Stamoplysninger!$B$26="Der er indgået lokalaftale omkring weekendtillæg(Kræver aftale med TR/FSL). Weekendtimerne afspadseres..",I28="X",C28="ikke relevant")),K28,0)</f>
        <v>0</v>
      </c>
      <c r="FD28" s="675">
        <f>IF(AND(AND(AND(Stamoplysninger!$B$26="Der er indgået lokalaftale omkring weekendtillæg(Kræver aftale med TR/FSL). Weekendtimerne afspadseres.",I28="X",C28="ikke relevant",S28="X"))),(V28),0)</f>
        <v>0</v>
      </c>
      <c r="FE28" s="283">
        <f>IF(AND(Stamoplysninger!$B$26="Der er indgået lokalaftale omkring weekendtillæg(Kræver aftale med TR/FSL). Weekendtimerne udbetales.",I28="X"),K28,0)</f>
        <v>0</v>
      </c>
      <c r="FF28" s="251">
        <f>IF(AND(AND(Stamoplysninger!$B$26="Der er indgået lokalaftale omkring weekendtillæg(Kræver aftale med TR/FSL). Weekendtimerne udbetales.",I28="X",S28="X")),V28,0)</f>
        <v>0</v>
      </c>
      <c r="FG28" s="674">
        <f>IF(AND(AND(Stamoplysninger!$B$26="Der er indgået lokalaftale omkring weekendtillæg(Kræver aftale med TR/FSL). Weekendtimerne udbetales.",I28="X",C28="ikke relevant")),K28,0)</f>
        <v>0</v>
      </c>
      <c r="FH28" s="675">
        <f>IF(AND(AND(AND(Stamoplysninger!$B$26="Der er indgået lokalaftale omkring weekendtillæg(Kræver aftale med TR/FSL). Weekendtimerne udbetales.",I28="X",C28="ikke relevant",S28="X"))),(V28),0)</f>
        <v>0</v>
      </c>
      <c r="FI28" s="283">
        <f>IF(AND(Stamoplysninger!$B$26="Weekendtimer og weekendtillæg afspadseres.",I28="X"),K28,0)</f>
        <v>0</v>
      </c>
      <c r="FJ28" s="251">
        <f>IF(AND(Stamoplysninger!$B$26="Weekendtimer og weekendtillæg afspadseres.",Y28="X"),(AA28+AL28)/2,0)</f>
        <v>0</v>
      </c>
      <c r="FK28" s="674">
        <f>IF(AND(AND(Stamoplysninger!$B$26="Weekendtimer og weekendtillæg afspadseres.",I28="X",C28="ikke relevant")),K28,0)</f>
        <v>0</v>
      </c>
      <c r="FL28" s="675">
        <f>IF(AND(AND(Stamoplysninger!$B$26="Weekendtimer og weekendtillæg afspadseres.",Y28="X",S28="ikke relevant")),(AA28+AL28)/2,0)</f>
        <v>0</v>
      </c>
      <c r="FM28" s="283">
        <f>IF(AND(Stamoplysninger!$B$26="Der er indgået lokalaftale omkring weekendtillæg(Kræver aftale med TR/FSL). Weekendtimerne afspadseres.",I28="X"),K28,0)</f>
        <v>0</v>
      </c>
      <c r="FN28" s="674">
        <f>IF(AND(AND(Stamoplysninger!$B$26="Der er indgået lokalaftale omkring weekendtillæg(Kræver aftale med TR/FSL). Weekendtimerne afspadseres.",I28="X",C28="ikke relevant")),K28,0)</f>
        <v>0</v>
      </c>
      <c r="FO28" s="283">
        <f>IF(AND(Stamoplysninger!$B$26="Weekendtimer og weekendtillæg udbetales.",I28="X"),K28,0)</f>
        <v>0</v>
      </c>
      <c r="FP28" s="251">
        <f>IF(AND(Stamoplysninger!$B$26="Weekendtimer og weekendtillæg udbetales.",AA28="X"),(AC28+AN28)/2,0)</f>
        <v>0</v>
      </c>
      <c r="FQ28" s="674">
        <f>IF(AND(AND(Stamoplysninger!$B$26="Weekendtimer og weekendtillæg udbetales.",I28="X",C28="ikke relevant")),K28,0)</f>
        <v>0</v>
      </c>
      <c r="FR28" s="688">
        <f>IF(AND(AND(Stamoplysninger!$B$26="Weekendtimer og weekendtillæg udbetales.",AA28="X",U28="ikke relevant")),(AC28+AN28)/2,0)</f>
        <v>0</v>
      </c>
      <c r="FS28" s="283">
        <f t="shared" si="15"/>
        <v>0</v>
      </c>
      <c r="FT28" s="658">
        <f t="shared" si="16"/>
        <v>0</v>
      </c>
      <c r="FU28">
        <f t="shared" si="17"/>
        <v>0</v>
      </c>
      <c r="FV28" s="283">
        <f>IF(AND(Stamoplysninger!$B$26="Der er indgået lokalaftale omkring weekendtimer.(Kræver aftale med TR/FSL) Weekendtillæg afspadseres.",I28="X"),K28,0)</f>
        <v>0</v>
      </c>
      <c r="FW28" s="674">
        <f>IF(AND(AND(Stamoplysninger!$B$26="Der er indgået lokalaftale omkring weekendtimer.(Kræver aftale med TR/FSL) Weekendtillæg afspadseres.",I28="X",C28="ikke relevant")),K28,0)</f>
        <v>0</v>
      </c>
      <c r="FX28" s="283">
        <f>IF(AND(Stamoplysninger!$B$26="Der er indgået lokalaftale omkring weekendtimer(Kræver aftale med TR/FSL). Weekendtillæg udbetales.",I28="X"),K28,0)</f>
        <v>0</v>
      </c>
      <c r="FY28" s="674">
        <f>IF(AND(AND(Stamoplysninger!$B$26="Der er indgået lokalaftale omkring weekendtimer(Kræver aftale med TR/FSL). Weekendtillæg udbetales.",I28="X",C28="ikke relevant")),K28,0)</f>
        <v>0</v>
      </c>
      <c r="FZ28" s="283">
        <f>IF(AND(Stamoplysninger!$B$26="Der er indgået lokalaftale omkring weekendtillæg(Kræver aftale med TR/FSL). Weekendtimerne udbetales.",I28="X"),K28,0)</f>
        <v>0</v>
      </c>
      <c r="GA28" s="674">
        <f>IF(AND(AND(Stamoplysninger!$B$26="Der er indgået lokalaftale omkring weekendtillæg(Kræver aftale med TR/FSL). Weekendtimerne udbetales.",I28="X",C28="ikke relevant")),K28,0)</f>
        <v>0</v>
      </c>
      <c r="GB28" s="283">
        <f>IF(AND(Stamoplysninger!$B$26="Der er indgået lokalaftale omkring weekendtimer og weekendtillæg.(Kræver aftale med TR/FSL).",I28="X"),K28,0)</f>
        <v>0</v>
      </c>
      <c r="GC28" s="674">
        <f>IF(AND(AND(Stamoplysninger!$B$26="Der er indgået lokalaftale omkring weekendtimer og weekendtillæg.(Kræver aftale med TR/FSL).",I28="X",C28="ikke relevant")),K28,0)</f>
        <v>0</v>
      </c>
    </row>
    <row r="29" spans="1:185">
      <c r="A29" s="245">
        <f t="shared" si="18"/>
        <v>21</v>
      </c>
      <c r="B29" s="128" t="str">
        <f t="shared" si="0"/>
        <v>on</v>
      </c>
      <c r="C29" s="129" t="s">
        <v>207</v>
      </c>
      <c r="D29" s="130" t="str">
        <f t="shared" si="1"/>
        <v/>
      </c>
      <c r="E29" s="917"/>
      <c r="F29" s="918"/>
      <c r="G29" s="919"/>
      <c r="H29" s="298"/>
      <c r="I29" s="527"/>
      <c r="J29" s="413"/>
      <c r="K29" s="380"/>
      <c r="L29" s="380"/>
      <c r="M29" s="380"/>
      <c r="N29" s="318">
        <f t="shared" si="19"/>
        <v>7.75</v>
      </c>
      <c r="O29" s="318">
        <f t="shared" si="20"/>
        <v>4.25</v>
      </c>
      <c r="P29" s="318">
        <f>IF(Stamoplysninger!$H$29="JA",Maj!DG29,CX29)</f>
        <v>1</v>
      </c>
      <c r="Q29" s="318">
        <f t="shared" si="21"/>
        <v>2.5</v>
      </c>
      <c r="R29" s="319"/>
      <c r="S29" s="324"/>
      <c r="T29" s="325"/>
      <c r="U29" s="325"/>
      <c r="V29" s="435"/>
      <c r="W29" s="412"/>
      <c r="X29" s="642"/>
      <c r="Y29">
        <f t="shared" si="22"/>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f>IF(AND(C29="Skema 2",B29="on"),Arbejdstidsoversigt!$E$83,"")</f>
        <v>7.75</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7.75</v>
      </c>
      <c r="BB29" s="229">
        <f t="shared" si="8"/>
        <v>0</v>
      </c>
      <c r="BC29" s="1">
        <f t="shared" si="24"/>
        <v>0</v>
      </c>
      <c r="BD29" s="1">
        <f t="shared" si="9"/>
        <v>0</v>
      </c>
      <c r="BE29" s="1">
        <f t="shared" si="10"/>
        <v>0</v>
      </c>
      <c r="BF29" s="1">
        <f t="shared" si="11"/>
        <v>0</v>
      </c>
      <c r="BG29" s="210" t="str">
        <f>IF(AND(C29="Skema 1",B29="ma"),Skemaoplysninger!$E$30,"")</f>
        <v/>
      </c>
      <c r="BH29" s="210" t="str">
        <f>IF(AND(C29="Skema 1",B29="ti"),Skemaoplysninger!$G$30,"")</f>
        <v/>
      </c>
      <c r="BI29" s="210" t="str">
        <f>IF(AND(C29="Skema 1",B29="on"),Skemaoplysninger!$I$30,"")</f>
        <v/>
      </c>
      <c r="BJ29" s="210" t="str">
        <f>IF(AND(C29="Skema 1",B29="to"),Skemaoplysninger!$K$30,"")</f>
        <v/>
      </c>
      <c r="BK29" s="210" t="str">
        <f>IF(AND(C29="Skema 1",B29="fr"),Skemaoplysninger!$M$30,"")</f>
        <v/>
      </c>
      <c r="BL29" s="210" t="str">
        <f>IF(AND(C29="Skema 2",B29="ma"),Skemaoplysninger!$S$30,"")</f>
        <v/>
      </c>
      <c r="BM29" s="210" t="str">
        <f>IF(AND(C29="Skema 2",B29="ti"),Skemaoplysninger!$U$30,"")</f>
        <v/>
      </c>
      <c r="BN29" s="210">
        <f>IF(AND(C29="Skema 2",B29="on"),Skemaoplysninger!$W$30,"")</f>
        <v>0.17708333333333331</v>
      </c>
      <c r="BO29" s="210" t="str">
        <f>IF(AND(C29="Skema 2",B29="to"),Skemaoplysninger!$Y$30,"")</f>
        <v/>
      </c>
      <c r="BP29" s="210" t="str">
        <f>IF(AND(C29="Skema 2",B29="fr"),Skemaoplysninger!$AA$30,"")</f>
        <v/>
      </c>
      <c r="BQ29" s="210" t="str">
        <f>IF(AND(C29="Skema 3",B29="ma"),Skemaoplysninger!$AG$30,"")</f>
        <v/>
      </c>
      <c r="BR29" s="210" t="str">
        <f>IF(AND(C29="Skema 3",B29="ti"),Skemaoplysninger!$AI$30,"")</f>
        <v/>
      </c>
      <c r="BS29" s="210" t="str">
        <f>IF(AND(C29="Skema 3",B29="on"),Skemaoplysninger!$AK$30,"")</f>
        <v/>
      </c>
      <c r="BT29" s="210" t="str">
        <f>IF(AND(C29="Skema 3",B29="to"),Skemaoplysninger!$AM$30,"")</f>
        <v/>
      </c>
      <c r="BU29" s="210" t="str">
        <f>IF(AND(C29="Skema 3",B29="fr"),Skemaoplysninger!$AO$30,"")</f>
        <v/>
      </c>
      <c r="BV29" s="210" t="str">
        <f>IF(AND(C29="Skema 4",B29="ma"),Skemaoplysninger!$AU$30,"")</f>
        <v/>
      </c>
      <c r="BW29" s="210" t="str">
        <f>IF(AND(C29="Skema 4",B29="ti"),Skemaoplysninger!$AW$30,"")</f>
        <v/>
      </c>
      <c r="BX29" s="210" t="str">
        <f>IF(AND(C29="Skema 4",B29="on"),Skemaoplysninger!$AY$30,"")</f>
        <v/>
      </c>
      <c r="BY29" s="210" t="str">
        <f>IF(AND(C29="Skema 4",B29="to"),Skemaoplysninger!$BA$30,"")</f>
        <v/>
      </c>
      <c r="BZ29" s="210" t="str">
        <f>IF(AND(C29="Skema 4",B29="fr"),Skemaoplysninger!$BC$30,"")</f>
        <v/>
      </c>
      <c r="CA29" s="1">
        <f t="shared" si="25"/>
        <v>4.25</v>
      </c>
      <c r="CB29" s="1">
        <f t="shared" si="12"/>
        <v>0</v>
      </c>
      <c r="CC29" s="1">
        <f t="shared" si="13"/>
        <v>0</v>
      </c>
      <c r="CD29" s="210" t="str">
        <f>IF(AND(C29="Skema 1",B29="ma"),Skemaoplysninger!$E$31,"")</f>
        <v/>
      </c>
      <c r="CE29" s="210" t="str">
        <f>IF(AND(C29="Skema 1",B29="ti"),Skemaoplysninger!$G$31,"")</f>
        <v/>
      </c>
      <c r="CF29" s="210" t="str">
        <f>IF(AND(C29="Skema 1",B29="on"),Skemaoplysninger!$I$31,"")</f>
        <v/>
      </c>
      <c r="CG29" s="210" t="str">
        <f>IF(AND(C29="Skema 1",B29="to"),Skemaoplysninger!$K$31,"")</f>
        <v/>
      </c>
      <c r="CH29" s="210" t="str">
        <f>IF(AND(C29="Skema 1",B29="fr"),Skemaoplysninger!$M$31,"")</f>
        <v/>
      </c>
      <c r="CI29" s="210" t="str">
        <f>IF(AND(C29="Skema 2",B29="ma"),Skemaoplysninger!$S$31,"")</f>
        <v/>
      </c>
      <c r="CJ29" s="210" t="str">
        <f>IF(AND(C29="Skema 2",B29="ti"),Skemaoplysninger!$U$31,"")</f>
        <v/>
      </c>
      <c r="CK29" s="210">
        <f>IF(AND(C29="Skema 2",B29="on"),Skemaoplysninger!$W$31,"")</f>
        <v>4.1666666666666664E-2</v>
      </c>
      <c r="CL29" s="210" t="str">
        <f>IF(AND(C29="Skema 2",B29="to"),Skemaoplysninger!$Y$31,"")</f>
        <v/>
      </c>
      <c r="CM29" s="210" t="str">
        <f>IF(AND(C29="Skema 2",B29="fr"),Skemaoplysninger!$AA$31,"")</f>
        <v/>
      </c>
      <c r="CN29" s="210" t="str">
        <f>IF(AND(C29="Skema 3",B29="ma"),Skemaoplysninger!$AG$31,"")</f>
        <v/>
      </c>
      <c r="CO29" s="210" t="str">
        <f>IF(AND(C29="Skema 3",B29="ti"),Skemaoplysninger!$AI$31,"")</f>
        <v/>
      </c>
      <c r="CP29" s="210" t="str">
        <f>IF(AND(C29="Skema 3",B29="on"),Skemaoplysninger!$AK$31,"")</f>
        <v/>
      </c>
      <c r="CQ29" s="210" t="str">
        <f>IF(AND(C29="Skema 3",B29="to"),Skemaoplysninger!$AM$31,"")</f>
        <v/>
      </c>
      <c r="CR29" s="210" t="str">
        <f>IF(AND(C29="Skema 3",B29="fr"),Skemaoplysninger!$AO$31,"")</f>
        <v/>
      </c>
      <c r="CS29" s="210" t="str">
        <f>IF(AND(C29="Skema 4",B29="ma"),Skemaoplysninger!$AU$31,"")</f>
        <v/>
      </c>
      <c r="CT29" s="210" t="str">
        <f>IF(AND(C29="Skema 4",B29="ti"),Skemaoplysninger!$AW$31,"")</f>
        <v/>
      </c>
      <c r="CU29" s="210" t="str">
        <f>IF(AND(C29="Skema 4",B29="on"),Skemaoplysninger!$AY$31,"")</f>
        <v/>
      </c>
      <c r="CV29" s="210" t="str">
        <f>IF(AND(C29="Skema 4",B29="to"),Skemaoplysninger!$BA$31,"")</f>
        <v/>
      </c>
      <c r="CW29" s="210" t="str">
        <f>IF(AND(C29="Skema 4",B29="fr"),Skemaoplysninger!$BC$31,"")</f>
        <v/>
      </c>
      <c r="CX29" s="249">
        <f>IF(Stamoplysninger!$H$29="NEJ",SUM(CD29:CW29)*24+CB29+CC29,0)</f>
        <v>1</v>
      </c>
      <c r="CY29" s="249">
        <f>IF(C29="Skema 1",Stamoplysninger!$H$30/200,0)</f>
        <v>0</v>
      </c>
      <c r="CZ29" s="249">
        <f>IF(C29="Skema 2",Stamoplysninger!$H$30/200,0)</f>
        <v>0</v>
      </c>
      <c r="DA29" s="249">
        <f>IF(C29="Skema 3",Stamoplysninger!$H$30/200,0)</f>
        <v>0</v>
      </c>
      <c r="DB29" s="249">
        <f>IF(C29="Skema 4",Stamoplysninger!$H$30/200,0)</f>
        <v>0</v>
      </c>
      <c r="DC29" s="249">
        <f>IF(C29="fagdag",Stamoplysninger!$H$30/200,0)</f>
        <v>0</v>
      </c>
      <c r="DD29" s="249">
        <f>IF(C29="emnedag",Stamoplysninger!$H$30/200,0)</f>
        <v>0</v>
      </c>
      <c r="DE29" s="249">
        <f>IF(C29="lejrskole",Stamoplysninger!$H$30/200,0)</f>
        <v>0</v>
      </c>
      <c r="DF29" s="249">
        <f>IF(C29="ekskursion",Stamoplysninger!$H$30/200,0)</f>
        <v>0</v>
      </c>
      <c r="DG29" s="249">
        <f t="shared" si="26"/>
        <v>0</v>
      </c>
      <c r="DH29" t="str">
        <f t="shared" si="27"/>
        <v/>
      </c>
      <c r="DI29">
        <f t="shared" si="28"/>
        <v>0</v>
      </c>
      <c r="DJ29">
        <f t="shared" si="29"/>
        <v>0</v>
      </c>
      <c r="DK29" t="str">
        <f t="shared" si="14"/>
        <v/>
      </c>
      <c r="DL29" t="str">
        <f t="shared" si="14"/>
        <v/>
      </c>
      <c r="DM29" t="str">
        <f t="shared" si="14"/>
        <v/>
      </c>
      <c r="DN29" t="str">
        <f t="shared" si="30"/>
        <v/>
      </c>
      <c r="DO29" s="652">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71">
        <f>IF(AND(Stamoplysninger!$B$22="Ulempetillæg udbetales med 25% af nettotimelønnen.",C29="ikke relevant"),(R29)/4,0)</f>
        <v>0</v>
      </c>
      <c r="DT29" s="671">
        <f>IF(AND(AND(Stamoplysninger!$B$22="Ulempetillæg udbetales med 25% af nettotimelønnen.",I29="X",C29="Ikke relevant")),K29/4,0)</f>
        <v>0</v>
      </c>
      <c r="DU29" s="671">
        <f>IF(AND(AND(Stamoplysninger!$B$22="Ulempetillæg udbetales med 25% af nettotimelønnen.",C29="ikke relevant",U29="X")),(X29/4),0)</f>
        <v>0</v>
      </c>
      <c r="DV29" s="672">
        <f>IF(AND(AND(AND(Stamoplysninger!$B$22="Ulempetillæg udbetales med 25% af nettotimelønnen.",I29="X",C29="Ikke relevant",S29="X"))),V29/4,0)</f>
        <v>0</v>
      </c>
      <c r="DW29" s="652"/>
      <c r="DZ29" s="671"/>
      <c r="EA29" s="671"/>
      <c r="EB29" s="672"/>
      <c r="EC29" s="652">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71">
        <f>IF(AND(Stamoplysninger!$B$22="Ulempetillæg afspadseres med 25%(Kræver en aftale imellem ledelsen og den ansatte)",C29="ikke relevant"),(R29)/4,0)</f>
        <v>0</v>
      </c>
      <c r="EH29" s="671">
        <f>IF(AND(AND(Stamoplysninger!$B$22="Ulempetillæg afspadseres med 25%(Kræver en aftale imellem ledelsen og den ansatte)",I29="X",C29="Ikke relevant")),K29/4,0)</f>
        <v>0</v>
      </c>
      <c r="EI29" s="671">
        <f>IF(AND(AND(Stamoplysninger!$B$22="Ulempetillæg afspadseres med 25%(Kræver en aftale imellem ledelsen og den ansatte)",U29="X",C29="Ikke relevant")),X29/4,0)</f>
        <v>0</v>
      </c>
      <c r="EJ29" s="671">
        <f>IF(AND(AND(AND(Stamoplysninger!$B$22="Ulempetillæg afspadseres med 25%(Kræver en aftale imellem ledelsen og den ansatte)",I29="X",C29="Ikke relevant",S29="X"))),V29/4,0)</f>
        <v>0</v>
      </c>
      <c r="EK29" s="283">
        <f>IF(AND(Stamoplysninger!$B$26="Weekendtimer og weekendtillæg afspadseres.",I29="X"),K29*1.5,0)</f>
        <v>0</v>
      </c>
      <c r="EL29" s="251">
        <f>IF(AND(AND(Stamoplysninger!$B$26="Weekendtimer og weekendtillæg afspadseres.",I29="X",S29="X")),V29*1.5,0)</f>
        <v>0</v>
      </c>
      <c r="EM29" s="674">
        <f>IF(AND(AND(Stamoplysninger!$B$26="Weekendtimer og weekendtillæg afspadseres.",I29="X",C29="ikke relevant")),K29*1.5,0)</f>
        <v>0</v>
      </c>
      <c r="EN29" s="675">
        <f>IF(AND(AND(AND(Stamoplysninger!$B$26="Weekendtimer og weekendtillæg afspadseres.",I29="X",C29="ikke relevant",S29="X"))),(V29*1.5),0)</f>
        <v>0</v>
      </c>
      <c r="EO29" s="283">
        <f>IF(AND(Stamoplysninger!$B$26="Weekendtimer og weekendtillæg udbetales.",I29="X"),K29*1.5,0)</f>
        <v>0</v>
      </c>
      <c r="EP29" s="251">
        <f>IF(AND(AND(Stamoplysninger!$B$26="Weekendtimer og weekendtillæg udbetales.",I29="X",S29="X")),V29*1.5,0)</f>
        <v>0</v>
      </c>
      <c r="EQ29" s="674">
        <f>IF(AND(AND(Stamoplysninger!$B$26="Weekendtimer og weekendtillæg udbetales.",I29="X",C29="ikke relevant")),K29*1.5,0)</f>
        <v>0</v>
      </c>
      <c r="ER29" s="675">
        <f>IF(AND(AND(AND(Stamoplysninger!$B$26="Weekendtimer og weekendtillæg udbetales.",I29="X",C29="ikke relevant",S29="X"))),(V29*1.5),0)</f>
        <v>0</v>
      </c>
      <c r="ES29" s="283">
        <f>IF(AND(Stamoplysninger!$B$26="Der er indgået lokalaftale omkring weekendtimer.(Kræver aftale med TR/FSL) Weekendtillæg afspadseres.",I29="X"),K29*0.5,0)</f>
        <v>0</v>
      </c>
      <c r="ET29" s="251">
        <f>IF(AND(AND(Stamoplysninger!$B$26="Der er indgået lokalaftale omkring weekendtimer.(Kræver aftale med TR/FSL) Weekendtillæg afspadseres.",I29="X",S29="X")),V29*0.5,0)</f>
        <v>0</v>
      </c>
      <c r="EU29" s="674">
        <f>IF(AND(AND(Stamoplysninger!$B$26="Der er indgået lokalaftale omkring weekendtimer.(Kræver aftale med TR/FSL) Weekendtillæg afspadseres.",I29="X",C29="ikke relevant")),K29*0.5,0)</f>
        <v>0</v>
      </c>
      <c r="EV29" s="675">
        <f>IF(AND(AND(AND(Stamoplysninger!$B$26="Der er indgået lokalaftale omkring weekendtimer.(Kræver aftale med TR/FSL) Weekendtillæg afspadseres.",I29="X",C29="ikke relevant",S29="X"))),(V29*0.5),0)</f>
        <v>0</v>
      </c>
      <c r="EW29" s="283">
        <f>IF(AND(Stamoplysninger!$B$26="Der er indgået lokalaftale omkring weekendtimer(Kræver aftale med TR/FSL). Weekendtillæg udbetales.",I29="X"),K29*0.5,0)</f>
        <v>0</v>
      </c>
      <c r="EX29" s="251">
        <f>IF(AND(AND(Stamoplysninger!$B$26="Der er indgået lokalaftale omkring weekendtimer(Kræver aftale med TR/FSL). Weekendtillæg udbetales.",I29="X",S29="X")),V29*0.5,0)</f>
        <v>0</v>
      </c>
      <c r="EY29" s="674">
        <f>IF(AND(AND(Stamoplysninger!$B$26="Der er indgået lokalaftale omkring weekendtimer(Kræver aftale med TR/FSL). Weekendtillæg udbetales.",I29="X",C29="ikke relevant")),K29*0.5,0)</f>
        <v>0</v>
      </c>
      <c r="EZ29" s="675">
        <f>IF(AND(AND(AND(Stamoplysninger!$B$26="Der er indgået lokalaftale omkring weekendtimer(Kræver aftale med TR/FSL). Weekendtillæg udbetales.",I29="X",C29="ikke relevant",S29="X"))),(V29*0.5),0)</f>
        <v>0</v>
      </c>
      <c r="FA29" s="283">
        <f>IF(AND(Stamoplysninger!$B$26="Der er indgået lokalaftale omkring weekendtillæg(Kræver aftale med TR/FSL). Weekendtimerne afspadseres.",I29="X"),K29,0)</f>
        <v>0</v>
      </c>
      <c r="FB29" s="251">
        <f>IF(AND(AND(Stamoplysninger!$B$26="Der er indgået lokalaftale omkring weekendtillæg(Kræver aftale med TR/FSL). Weekendtimerne afspadseres.",I29="X",S29="X")),V29,0)</f>
        <v>0</v>
      </c>
      <c r="FC29" s="674">
        <f>IF(AND(AND(Stamoplysninger!$B$26="Der er indgået lokalaftale omkring weekendtillæg(Kræver aftale med TR/FSL). Weekendtimerne afspadseres..",I29="X",C29="ikke relevant")),K29,0)</f>
        <v>0</v>
      </c>
      <c r="FD29" s="675">
        <f>IF(AND(AND(AND(Stamoplysninger!$B$26="Der er indgået lokalaftale omkring weekendtillæg(Kræver aftale med TR/FSL). Weekendtimerne afspadseres.",I29="X",C29="ikke relevant",S29="X"))),(V29),0)</f>
        <v>0</v>
      </c>
      <c r="FE29" s="283">
        <f>IF(AND(Stamoplysninger!$B$26="Der er indgået lokalaftale omkring weekendtillæg(Kræver aftale med TR/FSL). Weekendtimerne udbetales.",I29="X"),K29,0)</f>
        <v>0</v>
      </c>
      <c r="FF29" s="251">
        <f>IF(AND(AND(Stamoplysninger!$B$26="Der er indgået lokalaftale omkring weekendtillæg(Kræver aftale med TR/FSL). Weekendtimerne udbetales.",I29="X",S29="X")),V29,0)</f>
        <v>0</v>
      </c>
      <c r="FG29" s="674">
        <f>IF(AND(AND(Stamoplysninger!$B$26="Der er indgået lokalaftale omkring weekendtillæg(Kræver aftale med TR/FSL). Weekendtimerne udbetales.",I29="X",C29="ikke relevant")),K29,0)</f>
        <v>0</v>
      </c>
      <c r="FH29" s="675">
        <f>IF(AND(AND(AND(Stamoplysninger!$B$26="Der er indgået lokalaftale omkring weekendtillæg(Kræver aftale med TR/FSL). Weekendtimerne udbetales.",I29="X",C29="ikke relevant",S29="X"))),(V29),0)</f>
        <v>0</v>
      </c>
      <c r="FI29" s="283">
        <f>IF(AND(Stamoplysninger!$B$26="Weekendtimer og weekendtillæg afspadseres.",I29="X"),K29,0)</f>
        <v>0</v>
      </c>
      <c r="FJ29" s="251">
        <f>IF(AND(Stamoplysninger!$B$26="Weekendtimer og weekendtillæg afspadseres.",Y29="X"),(AA29+AL29)/2,0)</f>
        <v>0</v>
      </c>
      <c r="FK29" s="674">
        <f>IF(AND(AND(Stamoplysninger!$B$26="Weekendtimer og weekendtillæg afspadseres.",I29="X",C29="ikke relevant")),K29,0)</f>
        <v>0</v>
      </c>
      <c r="FL29" s="675">
        <f>IF(AND(AND(Stamoplysninger!$B$26="Weekendtimer og weekendtillæg afspadseres.",Y29="X",S29="ikke relevant")),(AA29+AL29)/2,0)</f>
        <v>0</v>
      </c>
      <c r="FM29" s="283">
        <f>IF(AND(Stamoplysninger!$B$26="Der er indgået lokalaftale omkring weekendtillæg(Kræver aftale med TR/FSL). Weekendtimerne afspadseres.",I29="X"),K29,0)</f>
        <v>0</v>
      </c>
      <c r="FN29" s="674">
        <f>IF(AND(AND(Stamoplysninger!$B$26="Der er indgået lokalaftale omkring weekendtillæg(Kræver aftale med TR/FSL). Weekendtimerne afspadseres.",I29="X",C29="ikke relevant")),K29,0)</f>
        <v>0</v>
      </c>
      <c r="FO29" s="283">
        <f>IF(AND(Stamoplysninger!$B$26="Weekendtimer og weekendtillæg udbetales.",I29="X"),K29,0)</f>
        <v>0</v>
      </c>
      <c r="FP29" s="251">
        <f>IF(AND(Stamoplysninger!$B$26="Weekendtimer og weekendtillæg udbetales.",AA29="X"),(AC29+AN29)/2,0)</f>
        <v>0</v>
      </c>
      <c r="FQ29" s="674">
        <f>IF(AND(AND(Stamoplysninger!$B$26="Weekendtimer og weekendtillæg udbetales.",I29="X",C29="ikke relevant")),K29,0)</f>
        <v>0</v>
      </c>
      <c r="FR29" s="688">
        <f>IF(AND(AND(Stamoplysninger!$B$26="Weekendtimer og weekendtillæg udbetales.",AA29="X",U29="ikke relevant")),(AC29+AN29)/2,0)</f>
        <v>0</v>
      </c>
      <c r="FS29" s="283">
        <f t="shared" si="15"/>
        <v>0</v>
      </c>
      <c r="FT29" s="658">
        <f t="shared" si="16"/>
        <v>0</v>
      </c>
      <c r="FU29">
        <f>IF(AND(C29="weekend",I29="X"),K29,0)</f>
        <v>0</v>
      </c>
      <c r="FV29" s="283">
        <f>IF(AND(Stamoplysninger!$B$26="Der er indgået lokalaftale omkring weekendtimer.(Kræver aftale med TR/FSL) Weekendtillæg afspadseres.",I29="X"),K29,0)</f>
        <v>0</v>
      </c>
      <c r="FW29" s="674">
        <f>IF(AND(AND(Stamoplysninger!$B$26="Der er indgået lokalaftale omkring weekendtimer.(Kræver aftale med TR/FSL) Weekendtillæg afspadseres.",I29="X",C29="ikke relevant")),K29,0)</f>
        <v>0</v>
      </c>
      <c r="FX29" s="283">
        <f>IF(AND(Stamoplysninger!$B$26="Der er indgået lokalaftale omkring weekendtimer(Kræver aftale med TR/FSL). Weekendtillæg udbetales.",I29="X"),K29,0)</f>
        <v>0</v>
      </c>
      <c r="FY29" s="674">
        <f>IF(AND(AND(Stamoplysninger!$B$26="Der er indgået lokalaftale omkring weekendtimer(Kræver aftale med TR/FSL). Weekendtillæg udbetales.",I29="X",C29="ikke relevant")),K29,0)</f>
        <v>0</v>
      </c>
      <c r="FZ29" s="283">
        <f>IF(AND(Stamoplysninger!$B$26="Der er indgået lokalaftale omkring weekendtillæg(Kræver aftale med TR/FSL). Weekendtimerne udbetales.",I29="X"),K29,0)</f>
        <v>0</v>
      </c>
      <c r="GA29" s="674">
        <f>IF(AND(AND(Stamoplysninger!$B$26="Der er indgået lokalaftale omkring weekendtillæg(Kræver aftale med TR/FSL). Weekendtimerne udbetales.",I29="X",C29="ikke relevant")),K29,0)</f>
        <v>0</v>
      </c>
      <c r="GB29" s="283">
        <f>IF(AND(Stamoplysninger!$B$26="Der er indgået lokalaftale omkring weekendtimer og weekendtillæg.(Kræver aftale med TR/FSL).",I29="X"),K29,0)</f>
        <v>0</v>
      </c>
      <c r="GC29" s="674">
        <f>IF(AND(AND(Stamoplysninger!$B$26="Der er indgået lokalaftale omkring weekendtimer og weekendtillæg.(Kræver aftale med TR/FSL).",I29="X",C29="ikke relevant")),K29,0)</f>
        <v>0</v>
      </c>
    </row>
    <row r="30" spans="1:185">
      <c r="A30" s="245">
        <f t="shared" si="18"/>
        <v>22</v>
      </c>
      <c r="B30" s="128" t="str">
        <f t="shared" si="0"/>
        <v>to</v>
      </c>
      <c r="C30" s="129" t="s">
        <v>207</v>
      </c>
      <c r="D30" s="130" t="str">
        <f t="shared" si="1"/>
        <v/>
      </c>
      <c r="E30" s="917"/>
      <c r="F30" s="918"/>
      <c r="G30" s="919"/>
      <c r="H30" s="298"/>
      <c r="I30" s="527"/>
      <c r="J30" s="413"/>
      <c r="K30" s="380"/>
      <c r="L30" s="380"/>
      <c r="M30" s="380"/>
      <c r="N30" s="318">
        <f t="shared" si="19"/>
        <v>7.75</v>
      </c>
      <c r="O30" s="318">
        <f t="shared" si="20"/>
        <v>3</v>
      </c>
      <c r="P30" s="318">
        <f>IF(Stamoplysninger!$H$29="JA",Maj!DG30,CX30)</f>
        <v>0.83333333333333337</v>
      </c>
      <c r="Q30" s="318">
        <f t="shared" si="21"/>
        <v>3.9166666666666665</v>
      </c>
      <c r="R30" s="319"/>
      <c r="S30" s="324"/>
      <c r="T30" s="325"/>
      <c r="U30" s="325"/>
      <c r="V30" s="435"/>
      <c r="W30" s="412"/>
      <c r="X30" s="642"/>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f>IF(AND(C30="Skema 2",B30="to"),Arbejdstidsoversigt!$E$84,"")</f>
        <v>7.75</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7.75</v>
      </c>
      <c r="BB30" s="229">
        <f t="shared" si="8"/>
        <v>0</v>
      </c>
      <c r="BC30" s="1">
        <f t="shared" si="24"/>
        <v>0</v>
      </c>
      <c r="BD30" s="1">
        <f t="shared" si="9"/>
        <v>0</v>
      </c>
      <c r="BE30" s="1">
        <f t="shared" si="10"/>
        <v>0</v>
      </c>
      <c r="BF30" s="1">
        <f t="shared" si="11"/>
        <v>0</v>
      </c>
      <c r="BG30" s="210" t="str">
        <f>IF(AND(C30="Skema 1",B30="ma"),Skemaoplysninger!$E$30,"")</f>
        <v/>
      </c>
      <c r="BH30" s="210" t="str">
        <f>IF(AND(C30="Skema 1",B30="ti"),Skemaoplysninger!$G$30,"")</f>
        <v/>
      </c>
      <c r="BI30" s="210" t="str">
        <f>IF(AND(C30="Skema 1",B30="on"),Skemaoplysninger!$I$30,"")</f>
        <v/>
      </c>
      <c r="BJ30" s="210" t="str">
        <f>IF(AND(C30="Skema 1",B30="to"),Skemaoplysninger!$K$30,"")</f>
        <v/>
      </c>
      <c r="BK30" s="210" t="str">
        <f>IF(AND(C30="Skema 1",B30="fr"),Skemaoplysninger!$M$30,"")</f>
        <v/>
      </c>
      <c r="BL30" s="210" t="str">
        <f>IF(AND(C30="Skema 2",B30="ma"),Skemaoplysninger!$S$30,"")</f>
        <v/>
      </c>
      <c r="BM30" s="210" t="str">
        <f>IF(AND(C30="Skema 2",B30="ti"),Skemaoplysninger!$U$30,"")</f>
        <v/>
      </c>
      <c r="BN30" s="210" t="str">
        <f>IF(AND(C30="Skema 2",B30="on"),Skemaoplysninger!$W$30,"")</f>
        <v/>
      </c>
      <c r="BO30" s="210">
        <f>IF(AND(C30="Skema 2",B30="to"),Skemaoplysninger!$Y$30,"")</f>
        <v>0.125</v>
      </c>
      <c r="BP30" s="210" t="str">
        <f>IF(AND(C30="Skema 2",B30="fr"),Skemaoplysninger!$AA$30,"")</f>
        <v/>
      </c>
      <c r="BQ30" s="210" t="str">
        <f>IF(AND(C30="Skema 3",B30="ma"),Skemaoplysninger!$AG$30,"")</f>
        <v/>
      </c>
      <c r="BR30" s="210" t="str">
        <f>IF(AND(C30="Skema 3",B30="ti"),Skemaoplysninger!$AI$30,"")</f>
        <v/>
      </c>
      <c r="BS30" s="210" t="str">
        <f>IF(AND(C30="Skema 3",B30="on"),Skemaoplysninger!$AK$30,"")</f>
        <v/>
      </c>
      <c r="BT30" s="210" t="str">
        <f>IF(AND(C30="Skema 3",B30="to"),Skemaoplysninger!$AM$30,"")</f>
        <v/>
      </c>
      <c r="BU30" s="210" t="str">
        <f>IF(AND(C30="Skema 3",B30="fr"),Skemaoplysninger!$AO$30,"")</f>
        <v/>
      </c>
      <c r="BV30" s="210" t="str">
        <f>IF(AND(C30="Skema 4",B30="ma"),Skemaoplysninger!$AU$30,"")</f>
        <v/>
      </c>
      <c r="BW30" s="210" t="str">
        <f>IF(AND(C30="Skema 4",B30="ti"),Skemaoplysninger!$AW$30,"")</f>
        <v/>
      </c>
      <c r="BX30" s="210" t="str">
        <f>IF(AND(C30="Skema 4",B30="on"),Skemaoplysninger!$AY$30,"")</f>
        <v/>
      </c>
      <c r="BY30" s="210" t="str">
        <f>IF(AND(C30="Skema 4",B30="to"),Skemaoplysninger!$BA$30,"")</f>
        <v/>
      </c>
      <c r="BZ30" s="210" t="str">
        <f>IF(AND(C30="Skema 4",B30="fr"),Skemaoplysninger!$BC$30,"")</f>
        <v/>
      </c>
      <c r="CA30" s="1">
        <f t="shared" si="25"/>
        <v>3</v>
      </c>
      <c r="CB30" s="1">
        <f t="shared" si="12"/>
        <v>0</v>
      </c>
      <c r="CC30" s="1">
        <f t="shared" si="13"/>
        <v>0</v>
      </c>
      <c r="CD30" s="210" t="str">
        <f>IF(AND(C30="Skema 1",B30="ma"),Skemaoplysninger!$E$31,"")</f>
        <v/>
      </c>
      <c r="CE30" s="210" t="str">
        <f>IF(AND(C30="Skema 1",B30="ti"),Skemaoplysninger!$G$31,"")</f>
        <v/>
      </c>
      <c r="CF30" s="210" t="str">
        <f>IF(AND(C30="Skema 1",B30="on"),Skemaoplysninger!$I$31,"")</f>
        <v/>
      </c>
      <c r="CG30" s="210" t="str">
        <f>IF(AND(C30="Skema 1",B30="to"),Skemaoplysninger!$K$31,"")</f>
        <v/>
      </c>
      <c r="CH30" s="210" t="str">
        <f>IF(AND(C30="Skema 1",B30="fr"),Skemaoplysninger!$M$31,"")</f>
        <v/>
      </c>
      <c r="CI30" s="210" t="str">
        <f>IF(AND(C30="Skema 2",B30="ma"),Skemaoplysninger!$S$31,"")</f>
        <v/>
      </c>
      <c r="CJ30" s="210" t="str">
        <f>IF(AND(C30="Skema 2",B30="ti"),Skemaoplysninger!$U$31,"")</f>
        <v/>
      </c>
      <c r="CK30" s="210" t="str">
        <f>IF(AND(C30="Skema 2",B30="on"),Skemaoplysninger!$W$31,"")</f>
        <v/>
      </c>
      <c r="CL30" s="210">
        <f>IF(AND(C30="Skema 2",B30="to"),Skemaoplysninger!$Y$31,"")</f>
        <v>3.4722222222222224E-2</v>
      </c>
      <c r="CM30" s="210" t="str">
        <f>IF(AND(C30="Skema 2",B30="fr"),Skemaoplysninger!$AA$31,"")</f>
        <v/>
      </c>
      <c r="CN30" s="210" t="str">
        <f>IF(AND(C30="Skema 3",B30="ma"),Skemaoplysninger!$AG$31,"")</f>
        <v/>
      </c>
      <c r="CO30" s="210" t="str">
        <f>IF(AND(C30="Skema 3",B30="ti"),Skemaoplysninger!$AI$31,"")</f>
        <v/>
      </c>
      <c r="CP30" s="210" t="str">
        <f>IF(AND(C30="Skema 3",B30="on"),Skemaoplysninger!$AK$31,"")</f>
        <v/>
      </c>
      <c r="CQ30" s="210" t="str">
        <f>IF(AND(C30="Skema 3",B30="to"),Skemaoplysninger!$AM$31,"")</f>
        <v/>
      </c>
      <c r="CR30" s="210" t="str">
        <f>IF(AND(C30="Skema 3",B30="fr"),Skemaoplysninger!$AO$31,"")</f>
        <v/>
      </c>
      <c r="CS30" s="210" t="str">
        <f>IF(AND(C30="Skema 4",B30="ma"),Skemaoplysninger!$AU$31,"")</f>
        <v/>
      </c>
      <c r="CT30" s="210" t="str">
        <f>IF(AND(C30="Skema 4",B30="ti"),Skemaoplysninger!$AW$31,"")</f>
        <v/>
      </c>
      <c r="CU30" s="210" t="str">
        <f>IF(AND(C30="Skema 4",B30="on"),Skemaoplysninger!$AY$31,"")</f>
        <v/>
      </c>
      <c r="CV30" s="210" t="str">
        <f>IF(AND(C30="Skema 4",B30="to"),Skemaoplysninger!$BA$31,"")</f>
        <v/>
      </c>
      <c r="CW30" s="210" t="str">
        <f>IF(AND(C30="Skema 4",B30="fr"),Skemaoplysninger!$BC$31,"")</f>
        <v/>
      </c>
      <c r="CX30" s="249">
        <f>IF(Stamoplysninger!$H$29="NEJ",SUM(CD30:CW30)*24+CB30+CC30,0)</f>
        <v>0.83333333333333337</v>
      </c>
      <c r="CY30" s="249">
        <f>IF(C30="Skema 1",Stamoplysninger!$H$30/200,0)</f>
        <v>0</v>
      </c>
      <c r="CZ30" s="249">
        <f>IF(C30="Skema 2",Stamoplysninger!$H$30/200,0)</f>
        <v>0</v>
      </c>
      <c r="DA30" s="249">
        <f>IF(C30="Skema 3",Stamoplysninger!$H$30/200,0)</f>
        <v>0</v>
      </c>
      <c r="DB30" s="249">
        <f>IF(C30="Skema 4",Stamoplysninger!$H$30/200,0)</f>
        <v>0</v>
      </c>
      <c r="DC30" s="249">
        <f>IF(C30="fagdag",Stamoplysninger!$H$30/200,0)</f>
        <v>0</v>
      </c>
      <c r="DD30" s="249">
        <f>IF(C30="emnedag",Stamoplysninger!$H$30/200,0)</f>
        <v>0</v>
      </c>
      <c r="DE30" s="249">
        <f>IF(C30="lejrskole",Stamoplysninger!$H$30/200,0)</f>
        <v>0</v>
      </c>
      <c r="DF30" s="249">
        <f>IF(C30="ekskursion",Stamoplysninger!$H$30/200,0)</f>
        <v>0</v>
      </c>
      <c r="DG30" s="249">
        <f t="shared" si="26"/>
        <v>0</v>
      </c>
      <c r="DH30" t="str">
        <f t="shared" si="27"/>
        <v/>
      </c>
      <c r="DI30">
        <f t="shared" si="28"/>
        <v>0</v>
      </c>
      <c r="DJ30">
        <f t="shared" si="29"/>
        <v>0</v>
      </c>
      <c r="DK30" t="str">
        <f t="shared" si="14"/>
        <v/>
      </c>
      <c r="DL30" t="str">
        <f t="shared" si="14"/>
        <v/>
      </c>
      <c r="DM30" t="str">
        <f t="shared" si="14"/>
        <v/>
      </c>
      <c r="DN30" t="str">
        <f t="shared" si="30"/>
        <v/>
      </c>
      <c r="DO30" s="652">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71">
        <f>IF(AND(Stamoplysninger!$B$22="Ulempetillæg udbetales med 25% af nettotimelønnen.",C30="ikke relevant"),(R30)/4,0)</f>
        <v>0</v>
      </c>
      <c r="DT30" s="671">
        <f>IF(AND(AND(Stamoplysninger!$B$22="Ulempetillæg udbetales med 25% af nettotimelønnen.",I30="X",C30="Ikke relevant")),K30/4,0)</f>
        <v>0</v>
      </c>
      <c r="DU30" s="671">
        <f>IF(AND(AND(Stamoplysninger!$B$22="Ulempetillæg udbetales med 25% af nettotimelønnen.",C30="ikke relevant",U30="X")),(X30/4),0)</f>
        <v>0</v>
      </c>
      <c r="DV30" s="672">
        <f>IF(AND(AND(AND(Stamoplysninger!$B$22="Ulempetillæg udbetales med 25% af nettotimelønnen.",I30="X",C30="Ikke relevant",S30="X"))),V30/4,0)</f>
        <v>0</v>
      </c>
      <c r="DW30" s="652"/>
      <c r="DZ30" s="671"/>
      <c r="EA30" s="671"/>
      <c r="EB30" s="672"/>
      <c r="EC30" s="652">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71">
        <f>IF(AND(Stamoplysninger!$B$22="Ulempetillæg afspadseres med 25%(Kræver en aftale imellem ledelsen og den ansatte)",C30="ikke relevant"),(R30)/4,0)</f>
        <v>0</v>
      </c>
      <c r="EH30" s="671">
        <f>IF(AND(AND(Stamoplysninger!$B$22="Ulempetillæg afspadseres med 25%(Kræver en aftale imellem ledelsen og den ansatte)",I30="X",C30="Ikke relevant")),K30/4,0)</f>
        <v>0</v>
      </c>
      <c r="EI30" s="671">
        <f>IF(AND(AND(Stamoplysninger!$B$22="Ulempetillæg afspadseres med 25%(Kræver en aftale imellem ledelsen og den ansatte)",U30="X",C30="Ikke relevant")),X30/4,0)</f>
        <v>0</v>
      </c>
      <c r="EJ30" s="671">
        <f>IF(AND(AND(AND(Stamoplysninger!$B$22="Ulempetillæg afspadseres med 25%(Kræver en aftale imellem ledelsen og den ansatte)",I30="X",C30="Ikke relevant",S30="X"))),V30/4,0)</f>
        <v>0</v>
      </c>
      <c r="EK30" s="283">
        <f>IF(AND(Stamoplysninger!$B$26="Weekendtimer og weekendtillæg afspadseres.",I30="X"),K30*1.5,0)</f>
        <v>0</v>
      </c>
      <c r="EL30" s="251">
        <f>IF(AND(AND(Stamoplysninger!$B$26="Weekendtimer og weekendtillæg afspadseres.",I30="X",S30="X")),V30*1.5,0)</f>
        <v>0</v>
      </c>
      <c r="EM30" s="674">
        <f>IF(AND(AND(Stamoplysninger!$B$26="Weekendtimer og weekendtillæg afspadseres.",I30="X",C30="ikke relevant")),K30*1.5,0)</f>
        <v>0</v>
      </c>
      <c r="EN30" s="675">
        <f>IF(AND(AND(AND(Stamoplysninger!$B$26="Weekendtimer og weekendtillæg afspadseres.",I30="X",C30="ikke relevant",S30="X"))),(V30*1.5),0)</f>
        <v>0</v>
      </c>
      <c r="EO30" s="283">
        <f>IF(AND(Stamoplysninger!$B$26="Weekendtimer og weekendtillæg udbetales.",I30="X"),K30*1.5,0)</f>
        <v>0</v>
      </c>
      <c r="EP30" s="251">
        <f>IF(AND(AND(Stamoplysninger!$B$26="Weekendtimer og weekendtillæg udbetales.",I30="X",S30="X")),V30*1.5,0)</f>
        <v>0</v>
      </c>
      <c r="EQ30" s="674">
        <f>IF(AND(AND(Stamoplysninger!$B$26="Weekendtimer og weekendtillæg udbetales.",I30="X",C30="ikke relevant")),K30*1.5,0)</f>
        <v>0</v>
      </c>
      <c r="ER30" s="675">
        <f>IF(AND(AND(AND(Stamoplysninger!$B$26="Weekendtimer og weekendtillæg udbetales.",I30="X",C30="ikke relevant",S30="X"))),(V30*1.5),0)</f>
        <v>0</v>
      </c>
      <c r="ES30" s="283">
        <f>IF(AND(Stamoplysninger!$B$26="Der er indgået lokalaftale omkring weekendtimer.(Kræver aftale med TR/FSL) Weekendtillæg afspadseres.",I30="X"),K30*0.5,0)</f>
        <v>0</v>
      </c>
      <c r="ET30" s="251">
        <f>IF(AND(AND(Stamoplysninger!$B$26="Der er indgået lokalaftale omkring weekendtimer.(Kræver aftale med TR/FSL) Weekendtillæg afspadseres.",I30="X",S30="X")),V30*0.5,0)</f>
        <v>0</v>
      </c>
      <c r="EU30" s="674">
        <f>IF(AND(AND(Stamoplysninger!$B$26="Der er indgået lokalaftale omkring weekendtimer.(Kræver aftale med TR/FSL) Weekendtillæg afspadseres.",I30="X",C30="ikke relevant")),K30*0.5,0)</f>
        <v>0</v>
      </c>
      <c r="EV30" s="675">
        <f>IF(AND(AND(AND(Stamoplysninger!$B$26="Der er indgået lokalaftale omkring weekendtimer.(Kræver aftale med TR/FSL) Weekendtillæg afspadseres.",I30="X",C30="ikke relevant",S30="X"))),(V30*0.5),0)</f>
        <v>0</v>
      </c>
      <c r="EW30" s="283">
        <f>IF(AND(Stamoplysninger!$B$26="Der er indgået lokalaftale omkring weekendtimer(Kræver aftale med TR/FSL). Weekendtillæg udbetales.",I30="X"),K30*0.5,0)</f>
        <v>0</v>
      </c>
      <c r="EX30" s="251">
        <f>IF(AND(AND(Stamoplysninger!$B$26="Der er indgået lokalaftale omkring weekendtimer(Kræver aftale med TR/FSL). Weekendtillæg udbetales.",I30="X",S30="X")),V30*0.5,0)</f>
        <v>0</v>
      </c>
      <c r="EY30" s="674">
        <f>IF(AND(AND(Stamoplysninger!$B$26="Der er indgået lokalaftale omkring weekendtimer(Kræver aftale med TR/FSL). Weekendtillæg udbetales.",I30="X",C30="ikke relevant")),K30*0.5,0)</f>
        <v>0</v>
      </c>
      <c r="EZ30" s="675">
        <f>IF(AND(AND(AND(Stamoplysninger!$B$26="Der er indgået lokalaftale omkring weekendtimer(Kræver aftale med TR/FSL). Weekendtillæg udbetales.",I30="X",C30="ikke relevant",S30="X"))),(V30*0.5),0)</f>
        <v>0</v>
      </c>
      <c r="FA30" s="283">
        <f>IF(AND(Stamoplysninger!$B$26="Der er indgået lokalaftale omkring weekendtillæg(Kræver aftale med TR/FSL). Weekendtimerne afspadseres.",I30="X"),K30,0)</f>
        <v>0</v>
      </c>
      <c r="FB30" s="251">
        <f>IF(AND(AND(Stamoplysninger!$B$26="Der er indgået lokalaftale omkring weekendtillæg(Kræver aftale med TR/FSL). Weekendtimerne afspadseres.",I30="X",S30="X")),V30,0)</f>
        <v>0</v>
      </c>
      <c r="FC30" s="674">
        <f>IF(AND(AND(Stamoplysninger!$B$26="Der er indgået lokalaftale omkring weekendtillæg(Kræver aftale med TR/FSL). Weekendtimerne afspadseres..",I30="X",C30="ikke relevant")),K30,0)</f>
        <v>0</v>
      </c>
      <c r="FD30" s="675">
        <f>IF(AND(AND(AND(Stamoplysninger!$B$26="Der er indgået lokalaftale omkring weekendtillæg(Kræver aftale med TR/FSL). Weekendtimerne afspadseres.",I30="X",C30="ikke relevant",S30="X"))),(V30),0)</f>
        <v>0</v>
      </c>
      <c r="FE30" s="283">
        <f>IF(AND(Stamoplysninger!$B$26="Der er indgået lokalaftale omkring weekendtillæg(Kræver aftale med TR/FSL). Weekendtimerne udbetales.",I30="X"),K30,0)</f>
        <v>0</v>
      </c>
      <c r="FF30" s="251">
        <f>IF(AND(AND(Stamoplysninger!$B$26="Der er indgået lokalaftale omkring weekendtillæg(Kræver aftale med TR/FSL). Weekendtimerne udbetales.",I30="X",S30="X")),V30,0)</f>
        <v>0</v>
      </c>
      <c r="FG30" s="674">
        <f>IF(AND(AND(Stamoplysninger!$B$26="Der er indgået lokalaftale omkring weekendtillæg(Kræver aftale med TR/FSL). Weekendtimerne udbetales.",I30="X",C30="ikke relevant")),K30,0)</f>
        <v>0</v>
      </c>
      <c r="FH30" s="675">
        <f>IF(AND(AND(AND(Stamoplysninger!$B$26="Der er indgået lokalaftale omkring weekendtillæg(Kræver aftale med TR/FSL). Weekendtimerne udbetales.",I30="X",C30="ikke relevant",S30="X"))),(V30),0)</f>
        <v>0</v>
      </c>
      <c r="FI30" s="283">
        <f>IF(AND(Stamoplysninger!$B$26="Weekendtimer og weekendtillæg afspadseres.",I30="X"),K30,0)</f>
        <v>0</v>
      </c>
      <c r="FJ30" s="251">
        <f>IF(AND(Stamoplysninger!$B$26="Weekendtimer og weekendtillæg afspadseres.",Y30="X"),(AA30+AL30)/2,0)</f>
        <v>0</v>
      </c>
      <c r="FK30" s="674">
        <f>IF(AND(AND(Stamoplysninger!$B$26="Weekendtimer og weekendtillæg afspadseres.",I30="X",C30="ikke relevant")),K30,0)</f>
        <v>0</v>
      </c>
      <c r="FL30" s="675">
        <f>IF(AND(AND(Stamoplysninger!$B$26="Weekendtimer og weekendtillæg afspadseres.",Y30="X",S30="ikke relevant")),(AA30+AL30)/2,0)</f>
        <v>0</v>
      </c>
      <c r="FM30" s="283">
        <f>IF(AND(Stamoplysninger!$B$26="Der er indgået lokalaftale omkring weekendtillæg(Kræver aftale med TR/FSL). Weekendtimerne afspadseres.",I30="X"),K30,0)</f>
        <v>0</v>
      </c>
      <c r="FN30" s="674">
        <f>IF(AND(AND(Stamoplysninger!$B$26="Der er indgået lokalaftale omkring weekendtillæg(Kræver aftale med TR/FSL). Weekendtimerne afspadseres.",I30="X",C30="ikke relevant")),K30,0)</f>
        <v>0</v>
      </c>
      <c r="FO30" s="283">
        <f>IF(AND(Stamoplysninger!$B$26="Weekendtimer og weekendtillæg udbetales.",I30="X"),K30,0)</f>
        <v>0</v>
      </c>
      <c r="FP30" s="251">
        <f>IF(AND(Stamoplysninger!$B$26="Weekendtimer og weekendtillæg udbetales.",AA30="X"),(AC30+AN30)/2,0)</f>
        <v>0</v>
      </c>
      <c r="FQ30" s="674">
        <f>IF(AND(AND(Stamoplysninger!$B$26="Weekendtimer og weekendtillæg udbetales.",I30="X",C30="ikke relevant")),K30,0)</f>
        <v>0</v>
      </c>
      <c r="FR30" s="688">
        <f>IF(AND(AND(Stamoplysninger!$B$26="Weekendtimer og weekendtillæg udbetales.",AA30="X",U30="ikke relevant")),(AC30+AN30)/2,0)</f>
        <v>0</v>
      </c>
      <c r="FS30" s="283">
        <f t="shared" si="15"/>
        <v>0</v>
      </c>
      <c r="FT30" s="658">
        <f t="shared" si="16"/>
        <v>0</v>
      </c>
      <c r="FU30">
        <f t="shared" ref="FU30:FU39" si="31">IF(AND(C30="weekend",I30="X"),K30,0)</f>
        <v>0</v>
      </c>
      <c r="FV30" s="283">
        <f>IF(AND(Stamoplysninger!$B$26="Der er indgået lokalaftale omkring weekendtimer.(Kræver aftale med TR/FSL) Weekendtillæg afspadseres.",I30="X"),K30,0)</f>
        <v>0</v>
      </c>
      <c r="FW30" s="674">
        <f>IF(AND(AND(Stamoplysninger!$B$26="Der er indgået lokalaftale omkring weekendtimer.(Kræver aftale med TR/FSL) Weekendtillæg afspadseres.",I30="X",C30="ikke relevant")),K30,0)</f>
        <v>0</v>
      </c>
      <c r="FX30" s="283">
        <f>IF(AND(Stamoplysninger!$B$26="Der er indgået lokalaftale omkring weekendtimer(Kræver aftale med TR/FSL). Weekendtillæg udbetales.",I30="X"),K30,0)</f>
        <v>0</v>
      </c>
      <c r="FY30" s="674">
        <f>IF(AND(AND(Stamoplysninger!$B$26="Der er indgået lokalaftale omkring weekendtimer(Kræver aftale med TR/FSL). Weekendtillæg udbetales.",I30="X",C30="ikke relevant")),K30,0)</f>
        <v>0</v>
      </c>
      <c r="FZ30" s="283">
        <f>IF(AND(Stamoplysninger!$B$26="Der er indgået lokalaftale omkring weekendtillæg(Kræver aftale med TR/FSL). Weekendtimerne udbetales.",I30="X"),K30,0)</f>
        <v>0</v>
      </c>
      <c r="GA30" s="674">
        <f>IF(AND(AND(Stamoplysninger!$B$26="Der er indgået lokalaftale omkring weekendtillæg(Kræver aftale med TR/FSL). Weekendtimerne udbetales.",I30="X",C30="ikke relevant")),K30,0)</f>
        <v>0</v>
      </c>
      <c r="GB30" s="283">
        <f>IF(AND(Stamoplysninger!$B$26="Der er indgået lokalaftale omkring weekendtimer og weekendtillæg.(Kræver aftale med TR/FSL).",I30="X"),K30,0)</f>
        <v>0</v>
      </c>
      <c r="GC30" s="674">
        <f>IF(AND(AND(Stamoplysninger!$B$26="Der er indgået lokalaftale omkring weekendtimer og weekendtillæg.(Kræver aftale med TR/FSL).",I30="X",C30="ikke relevant")),K30,0)</f>
        <v>0</v>
      </c>
    </row>
    <row r="31" spans="1:185">
      <c r="A31" s="245">
        <f t="shared" si="18"/>
        <v>23</v>
      </c>
      <c r="B31" s="128" t="str">
        <f t="shared" si="0"/>
        <v>fr</v>
      </c>
      <c r="C31" s="129" t="s">
        <v>207</v>
      </c>
      <c r="D31" s="130" t="str">
        <f t="shared" si="1"/>
        <v/>
      </c>
      <c r="E31" s="917"/>
      <c r="F31" s="918"/>
      <c r="G31" s="919"/>
      <c r="H31" s="298"/>
      <c r="I31" s="527"/>
      <c r="J31" s="413"/>
      <c r="K31" s="380"/>
      <c r="L31" s="380"/>
      <c r="M31" s="380"/>
      <c r="N31" s="318">
        <f t="shared" si="19"/>
        <v>7</v>
      </c>
      <c r="O31" s="318">
        <f t="shared" si="20"/>
        <v>3</v>
      </c>
      <c r="P31" s="318">
        <f>IF(Stamoplysninger!$H$29="JA",Maj!DG31,CX31)</f>
        <v>0.83333333333333337</v>
      </c>
      <c r="Q31" s="318">
        <f t="shared" si="21"/>
        <v>3.1666666666666665</v>
      </c>
      <c r="R31" s="319"/>
      <c r="S31" s="324"/>
      <c r="T31" s="325"/>
      <c r="U31" s="325"/>
      <c r="V31" s="435"/>
      <c r="W31" s="412"/>
      <c r="X31" s="642"/>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f>IF(AND(C31="Skema 2",B31="fr"),Arbejdstidsoversigt!$E$85,"")</f>
        <v>7</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7</v>
      </c>
      <c r="BB31" s="229">
        <f t="shared" si="8"/>
        <v>0</v>
      </c>
      <c r="BC31" s="1">
        <f t="shared" si="24"/>
        <v>0</v>
      </c>
      <c r="BD31" s="1">
        <f t="shared" si="9"/>
        <v>0</v>
      </c>
      <c r="BE31" s="1">
        <f t="shared" si="10"/>
        <v>0</v>
      </c>
      <c r="BF31" s="1">
        <f t="shared" si="11"/>
        <v>0</v>
      </c>
      <c r="BG31" s="210" t="str">
        <f>IF(AND(C31="Skema 1",B31="ma"),Skemaoplysninger!$E$30,"")</f>
        <v/>
      </c>
      <c r="BH31" s="210" t="str">
        <f>IF(AND(C31="Skema 1",B31="ti"),Skemaoplysninger!$G$30,"")</f>
        <v/>
      </c>
      <c r="BI31" s="210" t="str">
        <f>IF(AND(C31="Skema 1",B31="on"),Skemaoplysninger!$I$30,"")</f>
        <v/>
      </c>
      <c r="BJ31" s="210" t="str">
        <f>IF(AND(C31="Skema 1",B31="to"),Skemaoplysninger!$K$30,"")</f>
        <v/>
      </c>
      <c r="BK31" s="210" t="str">
        <f>IF(AND(C31="Skema 1",B31="fr"),Skemaoplysninger!$M$30,"")</f>
        <v/>
      </c>
      <c r="BL31" s="210" t="str">
        <f>IF(AND(C31="Skema 2",B31="ma"),Skemaoplysninger!$S$30,"")</f>
        <v/>
      </c>
      <c r="BM31" s="210" t="str">
        <f>IF(AND(C31="Skema 2",B31="ti"),Skemaoplysninger!$U$30,"")</f>
        <v/>
      </c>
      <c r="BN31" s="210" t="str">
        <f>IF(AND(C31="Skema 2",B31="on"),Skemaoplysninger!$W$30,"")</f>
        <v/>
      </c>
      <c r="BO31" s="210" t="str">
        <f>IF(AND(C31="Skema 2",B31="to"),Skemaoplysninger!$Y$30,"")</f>
        <v/>
      </c>
      <c r="BP31" s="210">
        <f>IF(AND(C31="Skema 2",B31="fr"),Skemaoplysninger!$AA$30,"")</f>
        <v>0.125</v>
      </c>
      <c r="BQ31" s="210" t="str">
        <f>IF(AND(C31="Skema 3",B31="ma"),Skemaoplysninger!$AG$30,"")</f>
        <v/>
      </c>
      <c r="BR31" s="210" t="str">
        <f>IF(AND(C31="Skema 3",B31="ti"),Skemaoplysninger!$AI$30,"")</f>
        <v/>
      </c>
      <c r="BS31" s="210" t="str">
        <f>IF(AND(C31="Skema 3",B31="on"),Skemaoplysninger!$AK$30,"")</f>
        <v/>
      </c>
      <c r="BT31" s="210" t="str">
        <f>IF(AND(C31="Skema 3",B31="to"),Skemaoplysninger!$AM$30,"")</f>
        <v/>
      </c>
      <c r="BU31" s="210" t="str">
        <f>IF(AND(C31="Skema 3",B31="fr"),Skemaoplysninger!$AO$30,"")</f>
        <v/>
      </c>
      <c r="BV31" s="210" t="str">
        <f>IF(AND(C31="Skema 4",B31="ma"),Skemaoplysninger!$AU$30,"")</f>
        <v/>
      </c>
      <c r="BW31" s="210" t="str">
        <f>IF(AND(C31="Skema 4",B31="ti"),Skemaoplysninger!$AW$30,"")</f>
        <v/>
      </c>
      <c r="BX31" s="210" t="str">
        <f>IF(AND(C31="Skema 4",B31="on"),Skemaoplysninger!$AY$30,"")</f>
        <v/>
      </c>
      <c r="BY31" s="210" t="str">
        <f>IF(AND(C31="Skema 4",B31="to"),Skemaoplysninger!$BA$30,"")</f>
        <v/>
      </c>
      <c r="BZ31" s="210" t="str">
        <f>IF(AND(C31="Skema 4",B31="fr"),Skemaoplysninger!$BC$30,"")</f>
        <v/>
      </c>
      <c r="CA31" s="1">
        <f t="shared" si="25"/>
        <v>3</v>
      </c>
      <c r="CB31" s="1">
        <f t="shared" si="12"/>
        <v>0</v>
      </c>
      <c r="CC31" s="1">
        <f t="shared" si="13"/>
        <v>0</v>
      </c>
      <c r="CD31" s="210" t="str">
        <f>IF(AND(C31="Skema 1",B31="ma"),Skemaoplysninger!$E$31,"")</f>
        <v/>
      </c>
      <c r="CE31" s="210" t="str">
        <f>IF(AND(C31="Skema 1",B31="ti"),Skemaoplysninger!$G$31,"")</f>
        <v/>
      </c>
      <c r="CF31" s="210" t="str">
        <f>IF(AND(C31="Skema 1",B31="on"),Skemaoplysninger!$I$31,"")</f>
        <v/>
      </c>
      <c r="CG31" s="210" t="str">
        <f>IF(AND(C31="Skema 1",B31="to"),Skemaoplysninger!$K$31,"")</f>
        <v/>
      </c>
      <c r="CH31" s="210" t="str">
        <f>IF(AND(C31="Skema 1",B31="fr"),Skemaoplysninger!$M$31,"")</f>
        <v/>
      </c>
      <c r="CI31" s="210" t="str">
        <f>IF(AND(C31="Skema 2",B31="ma"),Skemaoplysninger!$S$31,"")</f>
        <v/>
      </c>
      <c r="CJ31" s="210" t="str">
        <f>IF(AND(C31="Skema 2",B31="ti"),Skemaoplysninger!$U$31,"")</f>
        <v/>
      </c>
      <c r="CK31" s="210" t="str">
        <f>IF(AND(C31="Skema 2",B31="on"),Skemaoplysninger!$W$31,"")</f>
        <v/>
      </c>
      <c r="CL31" s="210" t="str">
        <f>IF(AND(C31="Skema 2",B31="to"),Skemaoplysninger!$Y$31,"")</f>
        <v/>
      </c>
      <c r="CM31" s="210">
        <f>IF(AND(C31="Skema 2",B31="fr"),Skemaoplysninger!$AA$31,"")</f>
        <v>3.4722222222222224E-2</v>
      </c>
      <c r="CN31" s="210" t="str">
        <f>IF(AND(C31="Skema 3",B31="ma"),Skemaoplysninger!$AG$31,"")</f>
        <v/>
      </c>
      <c r="CO31" s="210" t="str">
        <f>IF(AND(C31="Skema 3",B31="ti"),Skemaoplysninger!$AI$31,"")</f>
        <v/>
      </c>
      <c r="CP31" s="210" t="str">
        <f>IF(AND(C31="Skema 3",B31="on"),Skemaoplysninger!$AK$31,"")</f>
        <v/>
      </c>
      <c r="CQ31" s="210" t="str">
        <f>IF(AND(C31="Skema 3",B31="to"),Skemaoplysninger!$AM$31,"")</f>
        <v/>
      </c>
      <c r="CR31" s="210" t="str">
        <f>IF(AND(C31="Skema 3",B31="fr"),Skemaoplysninger!$AO$31,"")</f>
        <v/>
      </c>
      <c r="CS31" s="210" t="str">
        <f>IF(AND(C31="Skema 4",B31="ma"),Skemaoplysninger!$AU$31,"")</f>
        <v/>
      </c>
      <c r="CT31" s="210" t="str">
        <f>IF(AND(C31="Skema 4",B31="ti"),Skemaoplysninger!$AW$31,"")</f>
        <v/>
      </c>
      <c r="CU31" s="210" t="str">
        <f>IF(AND(C31="Skema 4",B31="on"),Skemaoplysninger!$AY$31,"")</f>
        <v/>
      </c>
      <c r="CV31" s="210" t="str">
        <f>IF(AND(C31="Skema 4",B31="to"),Skemaoplysninger!$BA$31,"")</f>
        <v/>
      </c>
      <c r="CW31" s="210" t="str">
        <f>IF(AND(C31="Skema 4",B31="fr"),Skemaoplysninger!$BC$31,"")</f>
        <v/>
      </c>
      <c r="CX31" s="249">
        <f>IF(Stamoplysninger!$H$29="NEJ",SUM(CD31:CW31)*24+CB31+CC31,0)</f>
        <v>0.83333333333333337</v>
      </c>
      <c r="CY31" s="249">
        <f>IF(C31="Skema 1",Stamoplysninger!$H$30/200,0)</f>
        <v>0</v>
      </c>
      <c r="CZ31" s="249">
        <f>IF(C31="Skema 2",Stamoplysninger!$H$30/200,0)</f>
        <v>0</v>
      </c>
      <c r="DA31" s="249">
        <f>IF(C31="Skema 3",Stamoplysninger!$H$30/200,0)</f>
        <v>0</v>
      </c>
      <c r="DB31" s="249">
        <f>IF(C31="Skema 4",Stamoplysninger!$H$30/200,0)</f>
        <v>0</v>
      </c>
      <c r="DC31" s="249">
        <f>IF(C31="fagdag",Stamoplysninger!$H$30/200,0)</f>
        <v>0</v>
      </c>
      <c r="DD31" s="249">
        <f>IF(C31="emnedag",Stamoplysninger!$H$30/200,0)</f>
        <v>0</v>
      </c>
      <c r="DE31" s="249">
        <f>IF(C31="lejrskole",Stamoplysninger!$H$30/200,0)</f>
        <v>0</v>
      </c>
      <c r="DF31" s="249">
        <f>IF(C31="ekskursion",Stamoplysninger!$H$30/200,0)</f>
        <v>0</v>
      </c>
      <c r="DG31" s="249">
        <f t="shared" si="26"/>
        <v>0</v>
      </c>
      <c r="DH31" t="str">
        <f t="shared" si="27"/>
        <v/>
      </c>
      <c r="DI31">
        <f t="shared" si="28"/>
        <v>0</v>
      </c>
      <c r="DJ31">
        <f t="shared" si="29"/>
        <v>0</v>
      </c>
      <c r="DK31" t="str">
        <f t="shared" si="14"/>
        <v/>
      </c>
      <c r="DL31" t="str">
        <f t="shared" si="14"/>
        <v/>
      </c>
      <c r="DM31" t="str">
        <f t="shared" si="14"/>
        <v/>
      </c>
      <c r="DN31" t="str">
        <f t="shared" si="30"/>
        <v/>
      </c>
      <c r="DO31" s="652">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71">
        <f>IF(AND(Stamoplysninger!$B$22="Ulempetillæg udbetales med 25% af nettotimelønnen.",C31="ikke relevant"),(R31)/4,0)</f>
        <v>0</v>
      </c>
      <c r="DT31" s="671">
        <f>IF(AND(AND(Stamoplysninger!$B$22="Ulempetillæg udbetales med 25% af nettotimelønnen.",I31="X",C31="Ikke relevant")),K31/4,0)</f>
        <v>0</v>
      </c>
      <c r="DU31" s="671">
        <f>IF(AND(AND(Stamoplysninger!$B$22="Ulempetillæg udbetales med 25% af nettotimelønnen.",C31="ikke relevant",U31="X")),(X31/4),0)</f>
        <v>0</v>
      </c>
      <c r="DV31" s="672">
        <f>IF(AND(AND(AND(Stamoplysninger!$B$22="Ulempetillæg udbetales med 25% af nettotimelønnen.",I31="X",C31="Ikke relevant",S31="X"))),V31/4,0)</f>
        <v>0</v>
      </c>
      <c r="DW31" s="652"/>
      <c r="DZ31" s="671"/>
      <c r="EA31" s="671"/>
      <c r="EB31" s="672"/>
      <c r="EC31" s="652">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71">
        <f>IF(AND(Stamoplysninger!$B$22="Ulempetillæg afspadseres med 25%(Kræver en aftale imellem ledelsen og den ansatte)",C31="ikke relevant"),(R31)/4,0)</f>
        <v>0</v>
      </c>
      <c r="EH31" s="671">
        <f>IF(AND(AND(Stamoplysninger!$B$22="Ulempetillæg afspadseres med 25%(Kræver en aftale imellem ledelsen og den ansatte)",I31="X",C31="Ikke relevant")),K31/4,0)</f>
        <v>0</v>
      </c>
      <c r="EI31" s="671">
        <f>IF(AND(AND(Stamoplysninger!$B$22="Ulempetillæg afspadseres med 25%(Kræver en aftale imellem ledelsen og den ansatte)",U31="X",C31="Ikke relevant")),X31/4,0)</f>
        <v>0</v>
      </c>
      <c r="EJ31" s="671">
        <f>IF(AND(AND(AND(Stamoplysninger!$B$22="Ulempetillæg afspadseres med 25%(Kræver en aftale imellem ledelsen og den ansatte)",I31="X",C31="Ikke relevant",S31="X"))),V31/4,0)</f>
        <v>0</v>
      </c>
      <c r="EK31" s="283">
        <f>IF(AND(Stamoplysninger!$B$26="Weekendtimer og weekendtillæg afspadseres.",I31="X"),K31*1.5,0)</f>
        <v>0</v>
      </c>
      <c r="EL31" s="251">
        <f>IF(AND(AND(Stamoplysninger!$B$26="Weekendtimer og weekendtillæg afspadseres.",I31="X",S31="X")),V31*1.5,0)</f>
        <v>0</v>
      </c>
      <c r="EM31" s="674">
        <f>IF(AND(AND(Stamoplysninger!$B$26="Weekendtimer og weekendtillæg afspadseres.",I31="X",C31="ikke relevant")),K31*1.5,0)</f>
        <v>0</v>
      </c>
      <c r="EN31" s="675">
        <f>IF(AND(AND(AND(Stamoplysninger!$B$26="Weekendtimer og weekendtillæg afspadseres.",I31="X",C31="ikke relevant",S31="X"))),(V31*1.5),0)</f>
        <v>0</v>
      </c>
      <c r="EO31" s="283">
        <f>IF(AND(Stamoplysninger!$B$26="Weekendtimer og weekendtillæg udbetales.",I31="X"),K31*1.5,0)</f>
        <v>0</v>
      </c>
      <c r="EP31" s="251">
        <f>IF(AND(AND(Stamoplysninger!$B$26="Weekendtimer og weekendtillæg udbetales.",I31="X",S31="X")),V31*1.5,0)</f>
        <v>0</v>
      </c>
      <c r="EQ31" s="674">
        <f>IF(AND(AND(Stamoplysninger!$B$26="Weekendtimer og weekendtillæg udbetales.",I31="X",C31="ikke relevant")),K31*1.5,0)</f>
        <v>0</v>
      </c>
      <c r="ER31" s="675">
        <f>IF(AND(AND(AND(Stamoplysninger!$B$26="Weekendtimer og weekendtillæg udbetales.",I31="X",C31="ikke relevant",S31="X"))),(V31*1.5),0)</f>
        <v>0</v>
      </c>
      <c r="ES31" s="283">
        <f>IF(AND(Stamoplysninger!$B$26="Der er indgået lokalaftale omkring weekendtimer.(Kræver aftale med TR/FSL) Weekendtillæg afspadseres.",I31="X"),K31*0.5,0)</f>
        <v>0</v>
      </c>
      <c r="ET31" s="251">
        <f>IF(AND(AND(Stamoplysninger!$B$26="Der er indgået lokalaftale omkring weekendtimer.(Kræver aftale med TR/FSL) Weekendtillæg afspadseres.",I31="X",S31="X")),V31*0.5,0)</f>
        <v>0</v>
      </c>
      <c r="EU31" s="674">
        <f>IF(AND(AND(Stamoplysninger!$B$26="Der er indgået lokalaftale omkring weekendtimer.(Kræver aftale med TR/FSL) Weekendtillæg afspadseres.",I31="X",C31="ikke relevant")),K31*0.5,0)</f>
        <v>0</v>
      </c>
      <c r="EV31" s="675">
        <f>IF(AND(AND(AND(Stamoplysninger!$B$26="Der er indgået lokalaftale omkring weekendtimer.(Kræver aftale med TR/FSL) Weekendtillæg afspadseres.",I31="X",C31="ikke relevant",S31="X"))),(V31*0.5),0)</f>
        <v>0</v>
      </c>
      <c r="EW31" s="283">
        <f>IF(AND(Stamoplysninger!$B$26="Der er indgået lokalaftale omkring weekendtimer(Kræver aftale med TR/FSL). Weekendtillæg udbetales.",I31="X"),K31*0.5,0)</f>
        <v>0</v>
      </c>
      <c r="EX31" s="251">
        <f>IF(AND(AND(Stamoplysninger!$B$26="Der er indgået lokalaftale omkring weekendtimer(Kræver aftale med TR/FSL). Weekendtillæg udbetales.",I31="X",S31="X")),V31*0.5,0)</f>
        <v>0</v>
      </c>
      <c r="EY31" s="674">
        <f>IF(AND(AND(Stamoplysninger!$B$26="Der er indgået lokalaftale omkring weekendtimer(Kræver aftale med TR/FSL). Weekendtillæg udbetales.",I31="X",C31="ikke relevant")),K31*0.5,0)</f>
        <v>0</v>
      </c>
      <c r="EZ31" s="675">
        <f>IF(AND(AND(AND(Stamoplysninger!$B$26="Der er indgået lokalaftale omkring weekendtimer(Kræver aftale med TR/FSL). Weekendtillæg udbetales.",I31="X",C31="ikke relevant",S31="X"))),(V31*0.5),0)</f>
        <v>0</v>
      </c>
      <c r="FA31" s="283">
        <f>IF(AND(Stamoplysninger!$B$26="Der er indgået lokalaftale omkring weekendtillæg(Kræver aftale med TR/FSL). Weekendtimerne afspadseres.",I31="X"),K31,0)</f>
        <v>0</v>
      </c>
      <c r="FB31" s="251">
        <f>IF(AND(AND(Stamoplysninger!$B$26="Der er indgået lokalaftale omkring weekendtillæg(Kræver aftale med TR/FSL). Weekendtimerne afspadseres.",I31="X",S31="X")),V31,0)</f>
        <v>0</v>
      </c>
      <c r="FC31" s="674">
        <f>IF(AND(AND(Stamoplysninger!$B$26="Der er indgået lokalaftale omkring weekendtillæg(Kræver aftale med TR/FSL). Weekendtimerne afspadseres..",I31="X",C31="ikke relevant")),K31,0)</f>
        <v>0</v>
      </c>
      <c r="FD31" s="675">
        <f>IF(AND(AND(AND(Stamoplysninger!$B$26="Der er indgået lokalaftale omkring weekendtillæg(Kræver aftale med TR/FSL). Weekendtimerne afspadseres.",I31="X",C31="ikke relevant",S31="X"))),(V31),0)</f>
        <v>0</v>
      </c>
      <c r="FE31" s="283">
        <f>IF(AND(Stamoplysninger!$B$26="Der er indgået lokalaftale omkring weekendtillæg(Kræver aftale med TR/FSL). Weekendtimerne udbetales.",I31="X"),K31,0)</f>
        <v>0</v>
      </c>
      <c r="FF31" s="251">
        <f>IF(AND(AND(Stamoplysninger!$B$26="Der er indgået lokalaftale omkring weekendtillæg(Kræver aftale med TR/FSL). Weekendtimerne udbetales.",I31="X",S31="X")),V31,0)</f>
        <v>0</v>
      </c>
      <c r="FG31" s="674">
        <f>IF(AND(AND(Stamoplysninger!$B$26="Der er indgået lokalaftale omkring weekendtillæg(Kræver aftale med TR/FSL). Weekendtimerne udbetales.",I31="X",C31="ikke relevant")),K31,0)</f>
        <v>0</v>
      </c>
      <c r="FH31" s="675">
        <f>IF(AND(AND(AND(Stamoplysninger!$B$26="Der er indgået lokalaftale omkring weekendtillæg(Kræver aftale med TR/FSL). Weekendtimerne udbetales.",I31="X",C31="ikke relevant",S31="X"))),(V31),0)</f>
        <v>0</v>
      </c>
      <c r="FI31" s="283">
        <f>IF(AND(Stamoplysninger!$B$26="Weekendtimer og weekendtillæg afspadseres.",I31="X"),K31,0)</f>
        <v>0</v>
      </c>
      <c r="FJ31" s="251">
        <f>IF(AND(Stamoplysninger!$B$26="Weekendtimer og weekendtillæg afspadseres.",Y31="X"),(AA31+AL31)/2,0)</f>
        <v>0</v>
      </c>
      <c r="FK31" s="674">
        <f>IF(AND(AND(Stamoplysninger!$B$26="Weekendtimer og weekendtillæg afspadseres.",I31="X",C31="ikke relevant")),K31,0)</f>
        <v>0</v>
      </c>
      <c r="FL31" s="675">
        <f>IF(AND(AND(Stamoplysninger!$B$26="Weekendtimer og weekendtillæg afspadseres.",Y31="X",S31="ikke relevant")),(AA31+AL31)/2,0)</f>
        <v>0</v>
      </c>
      <c r="FM31" s="283">
        <f>IF(AND(Stamoplysninger!$B$26="Der er indgået lokalaftale omkring weekendtillæg(Kræver aftale med TR/FSL). Weekendtimerne afspadseres.",I31="X"),K31,0)</f>
        <v>0</v>
      </c>
      <c r="FN31" s="674">
        <f>IF(AND(AND(Stamoplysninger!$B$26="Der er indgået lokalaftale omkring weekendtillæg(Kræver aftale med TR/FSL). Weekendtimerne afspadseres.",I31="X",C31="ikke relevant")),K31,0)</f>
        <v>0</v>
      </c>
      <c r="FO31" s="283">
        <f>IF(AND(Stamoplysninger!$B$26="Weekendtimer og weekendtillæg udbetales.",I31="X"),K31,0)</f>
        <v>0</v>
      </c>
      <c r="FP31" s="251">
        <f>IF(AND(Stamoplysninger!$B$26="Weekendtimer og weekendtillæg udbetales.",AA31="X"),(AC31+AN31)/2,0)</f>
        <v>0</v>
      </c>
      <c r="FQ31" s="674">
        <f>IF(AND(AND(Stamoplysninger!$B$26="Weekendtimer og weekendtillæg udbetales.",I31="X",C31="ikke relevant")),K31,0)</f>
        <v>0</v>
      </c>
      <c r="FR31" s="688">
        <f>IF(AND(AND(Stamoplysninger!$B$26="Weekendtimer og weekendtillæg udbetales.",AA31="X",U31="ikke relevant")),(AC31+AN31)/2,0)</f>
        <v>0</v>
      </c>
      <c r="FS31" s="283">
        <f t="shared" si="15"/>
        <v>0</v>
      </c>
      <c r="FT31" s="658">
        <f t="shared" si="16"/>
        <v>0</v>
      </c>
      <c r="FU31">
        <f t="shared" si="31"/>
        <v>0</v>
      </c>
      <c r="FV31" s="283">
        <f>IF(AND(Stamoplysninger!$B$26="Der er indgået lokalaftale omkring weekendtimer.(Kræver aftale med TR/FSL) Weekendtillæg afspadseres.",I31="X"),K31,0)</f>
        <v>0</v>
      </c>
      <c r="FW31" s="674">
        <f>IF(AND(AND(Stamoplysninger!$B$26="Der er indgået lokalaftale omkring weekendtimer.(Kræver aftale med TR/FSL) Weekendtillæg afspadseres.",I31="X",C31="ikke relevant")),K31,0)</f>
        <v>0</v>
      </c>
      <c r="FX31" s="283">
        <f>IF(AND(Stamoplysninger!$B$26="Der er indgået lokalaftale omkring weekendtimer(Kræver aftale med TR/FSL). Weekendtillæg udbetales.",I31="X"),K31,0)</f>
        <v>0</v>
      </c>
      <c r="FY31" s="674">
        <f>IF(AND(AND(Stamoplysninger!$B$26="Der er indgået lokalaftale omkring weekendtimer(Kræver aftale med TR/FSL). Weekendtillæg udbetales.",I31="X",C31="ikke relevant")),K31,0)</f>
        <v>0</v>
      </c>
      <c r="FZ31" s="283">
        <f>IF(AND(Stamoplysninger!$B$26="Der er indgået lokalaftale omkring weekendtillæg(Kræver aftale med TR/FSL). Weekendtimerne udbetales.",I31="X"),K31,0)</f>
        <v>0</v>
      </c>
      <c r="GA31" s="674">
        <f>IF(AND(AND(Stamoplysninger!$B$26="Der er indgået lokalaftale omkring weekendtillæg(Kræver aftale med TR/FSL). Weekendtimerne udbetales.",I31="X",C31="ikke relevant")),K31,0)</f>
        <v>0</v>
      </c>
      <c r="GB31" s="283">
        <f>IF(AND(Stamoplysninger!$B$26="Der er indgået lokalaftale omkring weekendtimer og weekendtillæg.(Kræver aftale med TR/FSL).",I31="X"),K31,0)</f>
        <v>0</v>
      </c>
      <c r="GC31" s="674">
        <f>IF(AND(AND(Stamoplysninger!$B$26="Der er indgået lokalaftale omkring weekendtimer og weekendtillæg.(Kræver aftale med TR/FSL).",I31="X",C31="ikke relevant")),K31,0)</f>
        <v>0</v>
      </c>
    </row>
    <row r="32" spans="1:185">
      <c r="A32" s="245">
        <f t="shared" si="18"/>
        <v>24</v>
      </c>
      <c r="B32" s="128" t="str">
        <f t="shared" si="0"/>
        <v>lø</v>
      </c>
      <c r="C32" s="129" t="s">
        <v>120</v>
      </c>
      <c r="D32" s="130" t="str">
        <f t="shared" si="1"/>
        <v/>
      </c>
      <c r="E32" s="949"/>
      <c r="F32" s="950"/>
      <c r="G32" s="951"/>
      <c r="H32" s="298"/>
      <c r="I32" s="413"/>
      <c r="J32" s="413"/>
      <c r="K32" s="380"/>
      <c r="L32" s="380"/>
      <c r="M32" s="380"/>
      <c r="N32" s="318">
        <f t="shared" si="19"/>
        <v>0</v>
      </c>
      <c r="O32" s="318">
        <f t="shared" si="20"/>
        <v>0</v>
      </c>
      <c r="P32" s="318">
        <f>IF(Stamoplysninger!$H$29="JA",Maj!DG32,CX32)</f>
        <v>0</v>
      </c>
      <c r="Q32" s="318">
        <f t="shared" si="21"/>
        <v>0</v>
      </c>
      <c r="R32" s="319"/>
      <c r="S32" s="324"/>
      <c r="T32" s="325"/>
      <c r="U32" s="325"/>
      <c r="V32" s="435"/>
      <c r="W32" s="412"/>
      <c r="X32" s="642"/>
      <c r="Y32">
        <f t="shared" si="22"/>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9">
        <f t="shared" si="8"/>
        <v>0</v>
      </c>
      <c r="BC32" s="1">
        <f t="shared" si="24"/>
        <v>0</v>
      </c>
      <c r="BD32" s="1">
        <f t="shared" si="9"/>
        <v>0</v>
      </c>
      <c r="BE32" s="1">
        <f t="shared" si="10"/>
        <v>0</v>
      </c>
      <c r="BF32" s="1">
        <f t="shared" si="11"/>
        <v>0</v>
      </c>
      <c r="BG32" s="210" t="str">
        <f>IF(AND(C32="Skema 1",B32="ma"),Skemaoplysninger!$E$30,"")</f>
        <v/>
      </c>
      <c r="BH32" s="210" t="str">
        <f>IF(AND(C32="Skema 1",B32="ti"),Skemaoplysninger!$G$30,"")</f>
        <v/>
      </c>
      <c r="BI32" s="210" t="str">
        <f>IF(AND(C32="Skema 1",B32="on"),Skemaoplysninger!$I$30,"")</f>
        <v/>
      </c>
      <c r="BJ32" s="210" t="str">
        <f>IF(AND(C32="Skema 1",B32="to"),Skemaoplysninger!$K$30,"")</f>
        <v/>
      </c>
      <c r="BK32" s="210" t="str">
        <f>IF(AND(C32="Skema 1",B32="fr"),Skemaoplysninger!$M$30,"")</f>
        <v/>
      </c>
      <c r="BL32" s="210" t="str">
        <f>IF(AND(C32="Skema 2",B32="ma"),Skemaoplysninger!$S$30,"")</f>
        <v/>
      </c>
      <c r="BM32" s="210" t="str">
        <f>IF(AND(C32="Skema 2",B32="ti"),Skemaoplysninger!$U$30,"")</f>
        <v/>
      </c>
      <c r="BN32" s="210" t="str">
        <f>IF(AND(C32="Skema 2",B32="on"),Skemaoplysninger!$W$30,"")</f>
        <v/>
      </c>
      <c r="BO32" s="210" t="str">
        <f>IF(AND(C32="Skema 2",B32="to"),Skemaoplysninger!$Y$30,"")</f>
        <v/>
      </c>
      <c r="BP32" s="210" t="str">
        <f>IF(AND(C32="Skema 2",B32="fr"),Skemaoplysninger!$AA$30,"")</f>
        <v/>
      </c>
      <c r="BQ32" s="210" t="str">
        <f>IF(AND(C32="Skema 3",B32="ma"),Skemaoplysninger!$AG$30,"")</f>
        <v/>
      </c>
      <c r="BR32" s="210" t="str">
        <f>IF(AND(C32="Skema 3",B32="ti"),Skemaoplysninger!$AI$30,"")</f>
        <v/>
      </c>
      <c r="BS32" s="210" t="str">
        <f>IF(AND(C32="Skema 3",B32="on"),Skemaoplysninger!$AK$30,"")</f>
        <v/>
      </c>
      <c r="BT32" s="210" t="str">
        <f>IF(AND(C32="Skema 3",B32="to"),Skemaoplysninger!$AM$30,"")</f>
        <v/>
      </c>
      <c r="BU32" s="210" t="str">
        <f>IF(AND(C32="Skema 3",B32="fr"),Skemaoplysninger!$AO$30,"")</f>
        <v/>
      </c>
      <c r="BV32" s="210" t="str">
        <f>IF(AND(C32="Skema 4",B32="ma"),Skemaoplysninger!$AU$30,"")</f>
        <v/>
      </c>
      <c r="BW32" s="210" t="str">
        <f>IF(AND(C32="Skema 4",B32="ti"),Skemaoplysninger!$AW$30,"")</f>
        <v/>
      </c>
      <c r="BX32" s="210" t="str">
        <f>IF(AND(C32="Skema 4",B32="on"),Skemaoplysninger!$AY$30,"")</f>
        <v/>
      </c>
      <c r="BY32" s="210" t="str">
        <f>IF(AND(C32="Skema 4",B32="to"),Skemaoplysninger!$BA$30,"")</f>
        <v/>
      </c>
      <c r="BZ32" s="210" t="str">
        <f>IF(AND(C32="Skema 4",B32="fr"),Skemaoplysninger!$BC$30,"")</f>
        <v/>
      </c>
      <c r="CA32" s="1">
        <f t="shared" si="25"/>
        <v>0</v>
      </c>
      <c r="CB32" s="1">
        <f t="shared" si="12"/>
        <v>0</v>
      </c>
      <c r="CC32" s="1">
        <f t="shared" si="13"/>
        <v>0</v>
      </c>
      <c r="CD32" s="210" t="str">
        <f>IF(AND(C32="Skema 1",B32="ma"),Skemaoplysninger!$E$31,"")</f>
        <v/>
      </c>
      <c r="CE32" s="210" t="str">
        <f>IF(AND(C32="Skema 1",B32="ti"),Skemaoplysninger!$G$31,"")</f>
        <v/>
      </c>
      <c r="CF32" s="210" t="str">
        <f>IF(AND(C32="Skema 1",B32="on"),Skemaoplysninger!$I$31,"")</f>
        <v/>
      </c>
      <c r="CG32" s="210" t="str">
        <f>IF(AND(C32="Skema 1",B32="to"),Skemaoplysninger!$K$31,"")</f>
        <v/>
      </c>
      <c r="CH32" s="210" t="str">
        <f>IF(AND(C32="Skema 1",B32="fr"),Skemaoplysninger!$M$31,"")</f>
        <v/>
      </c>
      <c r="CI32" s="210" t="str">
        <f>IF(AND(C32="Skema 2",B32="ma"),Skemaoplysninger!$S$31,"")</f>
        <v/>
      </c>
      <c r="CJ32" s="210" t="str">
        <f>IF(AND(C32="Skema 2",B32="ti"),Skemaoplysninger!$U$31,"")</f>
        <v/>
      </c>
      <c r="CK32" s="210" t="str">
        <f>IF(AND(C32="Skema 2",B32="on"),Skemaoplysninger!$W$31,"")</f>
        <v/>
      </c>
      <c r="CL32" s="210" t="str">
        <f>IF(AND(C32="Skema 2",B32="to"),Skemaoplysninger!$Y$31,"")</f>
        <v/>
      </c>
      <c r="CM32" s="210" t="str">
        <f>IF(AND(C32="Skema 2",B32="fr"),Skemaoplysninger!$AA$31,"")</f>
        <v/>
      </c>
      <c r="CN32" s="210" t="str">
        <f>IF(AND(C32="Skema 3",B32="ma"),Skemaoplysninger!$AG$31,"")</f>
        <v/>
      </c>
      <c r="CO32" s="210" t="str">
        <f>IF(AND(C32="Skema 3",B32="ti"),Skemaoplysninger!$AI$31,"")</f>
        <v/>
      </c>
      <c r="CP32" s="210" t="str">
        <f>IF(AND(C32="Skema 3",B32="on"),Skemaoplysninger!$AK$31,"")</f>
        <v/>
      </c>
      <c r="CQ32" s="210" t="str">
        <f>IF(AND(C32="Skema 3",B32="to"),Skemaoplysninger!$AM$31,"")</f>
        <v/>
      </c>
      <c r="CR32" s="210" t="str">
        <f>IF(AND(C32="Skema 3",B32="fr"),Skemaoplysninger!$AO$31,"")</f>
        <v/>
      </c>
      <c r="CS32" s="210" t="str">
        <f>IF(AND(C32="Skema 4",B32="ma"),Skemaoplysninger!$AU$31,"")</f>
        <v/>
      </c>
      <c r="CT32" s="210" t="str">
        <f>IF(AND(C32="Skema 4",B32="ti"),Skemaoplysninger!$AW$31,"")</f>
        <v/>
      </c>
      <c r="CU32" s="210" t="str">
        <f>IF(AND(C32="Skema 4",B32="on"),Skemaoplysninger!$AY$31,"")</f>
        <v/>
      </c>
      <c r="CV32" s="210" t="str">
        <f>IF(AND(C32="Skema 4",B32="to"),Skemaoplysninger!$BA$31,"")</f>
        <v/>
      </c>
      <c r="CW32" s="210" t="str">
        <f>IF(AND(C32="Skema 4",B32="fr"),Skemaoplysninger!$BC$31,"")</f>
        <v/>
      </c>
      <c r="CX32" s="249">
        <f>IF(Stamoplysninger!$H$29="NEJ",SUM(CD32:CW32)*24+CB32+CC32,0)</f>
        <v>0</v>
      </c>
      <c r="CY32" s="249">
        <f>IF(C32="Skema 1",Stamoplysninger!$H$30/200,0)</f>
        <v>0</v>
      </c>
      <c r="CZ32" s="249">
        <f>IF(C32="Skema 2",Stamoplysninger!$H$30/200,0)</f>
        <v>0</v>
      </c>
      <c r="DA32" s="249">
        <f>IF(C32="Skema 3",Stamoplysninger!$H$30/200,0)</f>
        <v>0</v>
      </c>
      <c r="DB32" s="249">
        <f>IF(C32="Skema 4",Stamoplysninger!$H$30/200,0)</f>
        <v>0</v>
      </c>
      <c r="DC32" s="249">
        <f>IF(C32="fagdag",Stamoplysninger!$H$30/200,0)</f>
        <v>0</v>
      </c>
      <c r="DD32" s="249">
        <f>IF(C32="emnedag",Stamoplysninger!$H$30/200,0)</f>
        <v>0</v>
      </c>
      <c r="DE32" s="249">
        <f>IF(C32="lejrskole",Stamoplysninger!$H$30/200,0)</f>
        <v>0</v>
      </c>
      <c r="DF32" s="249">
        <f>IF(C32="ekskursion",Stamoplysninger!$H$30/200,0)</f>
        <v>0</v>
      </c>
      <c r="DG32" s="249">
        <f t="shared" si="26"/>
        <v>0</v>
      </c>
      <c r="DH32" t="str">
        <f t="shared" si="27"/>
        <v/>
      </c>
      <c r="DI32">
        <f t="shared" si="28"/>
        <v>0</v>
      </c>
      <c r="DJ32">
        <f t="shared" si="29"/>
        <v>0</v>
      </c>
      <c r="DK32" t="str">
        <f t="shared" si="14"/>
        <v/>
      </c>
      <c r="DL32" t="str">
        <f t="shared" si="14"/>
        <v/>
      </c>
      <c r="DM32" t="str">
        <f t="shared" si="14"/>
        <v/>
      </c>
      <c r="DN32" t="str">
        <f t="shared" si="30"/>
        <v/>
      </c>
      <c r="DO32" s="652">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71">
        <f>IF(AND(Stamoplysninger!$B$22="Ulempetillæg udbetales med 25% af nettotimelønnen.",C32="ikke relevant"),(R32)/4,0)</f>
        <v>0</v>
      </c>
      <c r="DT32" s="671">
        <f>IF(AND(AND(Stamoplysninger!$B$22="Ulempetillæg udbetales med 25% af nettotimelønnen.",I32="X",C32="Ikke relevant")),K32/4,0)</f>
        <v>0</v>
      </c>
      <c r="DU32" s="671">
        <f>IF(AND(AND(Stamoplysninger!$B$22="Ulempetillæg udbetales med 25% af nettotimelønnen.",C32="ikke relevant",U32="X")),(X32/4),0)</f>
        <v>0</v>
      </c>
      <c r="DV32" s="672">
        <f>IF(AND(AND(AND(Stamoplysninger!$B$22="Ulempetillæg udbetales med 25% af nettotimelønnen.",I32="X",C32="Ikke relevant",S32="X"))),V32/4,0)</f>
        <v>0</v>
      </c>
      <c r="DW32" s="652"/>
      <c r="DZ32" s="671"/>
      <c r="EA32" s="671"/>
      <c r="EB32" s="672"/>
      <c r="EC32" s="652">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71">
        <f>IF(AND(Stamoplysninger!$B$22="Ulempetillæg afspadseres med 25%(Kræver en aftale imellem ledelsen og den ansatte)",C32="ikke relevant"),(R32)/4,0)</f>
        <v>0</v>
      </c>
      <c r="EH32" s="671">
        <f>IF(AND(AND(Stamoplysninger!$B$22="Ulempetillæg afspadseres med 25%(Kræver en aftale imellem ledelsen og den ansatte)",I32="X",C32="Ikke relevant")),K32/4,0)</f>
        <v>0</v>
      </c>
      <c r="EI32" s="671">
        <f>IF(AND(AND(Stamoplysninger!$B$22="Ulempetillæg afspadseres med 25%(Kræver en aftale imellem ledelsen og den ansatte)",U32="X",C32="Ikke relevant")),X32/4,0)</f>
        <v>0</v>
      </c>
      <c r="EJ32" s="671">
        <f>IF(AND(AND(AND(Stamoplysninger!$B$22="Ulempetillæg afspadseres med 25%(Kræver en aftale imellem ledelsen og den ansatte)",I32="X",C32="Ikke relevant",S32="X"))),V32/4,0)</f>
        <v>0</v>
      </c>
      <c r="EK32" s="283">
        <f>IF(AND(Stamoplysninger!$B$26="Weekendtimer og weekendtillæg afspadseres.",I32="X"),K32*1.5,0)</f>
        <v>0</v>
      </c>
      <c r="EL32" s="251">
        <f>IF(AND(AND(Stamoplysninger!$B$26="Weekendtimer og weekendtillæg afspadseres.",I32="X",S32="X")),V32*1.5,0)</f>
        <v>0</v>
      </c>
      <c r="EM32" s="674">
        <f>IF(AND(AND(Stamoplysninger!$B$26="Weekendtimer og weekendtillæg afspadseres.",I32="X",C32="ikke relevant")),K32*1.5,0)</f>
        <v>0</v>
      </c>
      <c r="EN32" s="675">
        <f>IF(AND(AND(AND(Stamoplysninger!$B$26="Weekendtimer og weekendtillæg afspadseres.",I32="X",C32="ikke relevant",S32="X"))),(V32*1.5),0)</f>
        <v>0</v>
      </c>
      <c r="EO32" s="283">
        <f>IF(AND(Stamoplysninger!$B$26="Weekendtimer og weekendtillæg udbetales.",I32="X"),K32*1.5,0)</f>
        <v>0</v>
      </c>
      <c r="EP32" s="251">
        <f>IF(AND(AND(Stamoplysninger!$B$26="Weekendtimer og weekendtillæg udbetales.",I32="X",S32="X")),V32*1.5,0)</f>
        <v>0</v>
      </c>
      <c r="EQ32" s="674">
        <f>IF(AND(AND(Stamoplysninger!$B$26="Weekendtimer og weekendtillæg udbetales.",I32="X",C32="ikke relevant")),K32*1.5,0)</f>
        <v>0</v>
      </c>
      <c r="ER32" s="675">
        <f>IF(AND(AND(AND(Stamoplysninger!$B$26="Weekendtimer og weekendtillæg udbetales.",I32="X",C32="ikke relevant",S32="X"))),(V32*1.5),0)</f>
        <v>0</v>
      </c>
      <c r="ES32" s="283">
        <f>IF(AND(Stamoplysninger!$B$26="Der er indgået lokalaftale omkring weekendtimer.(Kræver aftale med TR/FSL) Weekendtillæg afspadseres.",I32="X"),K32*0.5,0)</f>
        <v>0</v>
      </c>
      <c r="ET32" s="251">
        <f>IF(AND(AND(Stamoplysninger!$B$26="Der er indgået lokalaftale omkring weekendtimer.(Kræver aftale med TR/FSL) Weekendtillæg afspadseres.",I32="X",S32="X")),V32*0.5,0)</f>
        <v>0</v>
      </c>
      <c r="EU32" s="674">
        <f>IF(AND(AND(Stamoplysninger!$B$26="Der er indgået lokalaftale omkring weekendtimer.(Kræver aftale med TR/FSL) Weekendtillæg afspadseres.",I32="X",C32="ikke relevant")),K32*0.5,0)</f>
        <v>0</v>
      </c>
      <c r="EV32" s="675">
        <f>IF(AND(AND(AND(Stamoplysninger!$B$26="Der er indgået lokalaftale omkring weekendtimer.(Kræver aftale med TR/FSL) Weekendtillæg afspadseres.",I32="X",C32="ikke relevant",S32="X"))),(V32*0.5),0)</f>
        <v>0</v>
      </c>
      <c r="EW32" s="283">
        <f>IF(AND(Stamoplysninger!$B$26="Der er indgået lokalaftale omkring weekendtimer(Kræver aftale med TR/FSL). Weekendtillæg udbetales.",I32="X"),K32*0.5,0)</f>
        <v>0</v>
      </c>
      <c r="EX32" s="251">
        <f>IF(AND(AND(Stamoplysninger!$B$26="Der er indgået lokalaftale omkring weekendtimer(Kræver aftale med TR/FSL). Weekendtillæg udbetales.",I32="X",S32="X")),V32*0.5,0)</f>
        <v>0</v>
      </c>
      <c r="EY32" s="674">
        <f>IF(AND(AND(Stamoplysninger!$B$26="Der er indgået lokalaftale omkring weekendtimer(Kræver aftale med TR/FSL). Weekendtillæg udbetales.",I32="X",C32="ikke relevant")),K32*0.5,0)</f>
        <v>0</v>
      </c>
      <c r="EZ32" s="675">
        <f>IF(AND(AND(AND(Stamoplysninger!$B$26="Der er indgået lokalaftale omkring weekendtimer(Kræver aftale med TR/FSL). Weekendtillæg udbetales.",I32="X",C32="ikke relevant",S32="X"))),(V32*0.5),0)</f>
        <v>0</v>
      </c>
      <c r="FA32" s="283">
        <f>IF(AND(Stamoplysninger!$B$26="Der er indgået lokalaftale omkring weekendtillæg(Kræver aftale med TR/FSL). Weekendtimerne afspadseres.",I32="X"),K32,0)</f>
        <v>0</v>
      </c>
      <c r="FB32" s="251">
        <f>IF(AND(AND(Stamoplysninger!$B$26="Der er indgået lokalaftale omkring weekendtillæg(Kræver aftale med TR/FSL). Weekendtimerne afspadseres.",I32="X",S32="X")),V32,0)</f>
        <v>0</v>
      </c>
      <c r="FC32" s="674">
        <f>IF(AND(AND(Stamoplysninger!$B$26="Der er indgået lokalaftale omkring weekendtillæg(Kræver aftale med TR/FSL). Weekendtimerne afspadseres..",I32="X",C32="ikke relevant")),K32,0)</f>
        <v>0</v>
      </c>
      <c r="FD32" s="675">
        <f>IF(AND(AND(AND(Stamoplysninger!$B$26="Der er indgået lokalaftale omkring weekendtillæg(Kræver aftale med TR/FSL). Weekendtimerne afspadseres.",I32="X",C32="ikke relevant",S32="X"))),(V32),0)</f>
        <v>0</v>
      </c>
      <c r="FE32" s="283">
        <f>IF(AND(Stamoplysninger!$B$26="Der er indgået lokalaftale omkring weekendtillæg(Kræver aftale med TR/FSL). Weekendtimerne udbetales.",I32="X"),K32,0)</f>
        <v>0</v>
      </c>
      <c r="FF32" s="251">
        <f>IF(AND(AND(Stamoplysninger!$B$26="Der er indgået lokalaftale omkring weekendtillæg(Kræver aftale med TR/FSL). Weekendtimerne udbetales.",I32="X",S32="X")),V32,0)</f>
        <v>0</v>
      </c>
      <c r="FG32" s="674">
        <f>IF(AND(AND(Stamoplysninger!$B$26="Der er indgået lokalaftale omkring weekendtillæg(Kræver aftale med TR/FSL). Weekendtimerne udbetales.",I32="X",C32="ikke relevant")),K32,0)</f>
        <v>0</v>
      </c>
      <c r="FH32" s="675">
        <f>IF(AND(AND(AND(Stamoplysninger!$B$26="Der er indgået lokalaftale omkring weekendtillæg(Kræver aftale med TR/FSL). Weekendtimerne udbetales.",I32="X",C32="ikke relevant",S32="X"))),(V32),0)</f>
        <v>0</v>
      </c>
      <c r="FI32" s="283">
        <f>IF(AND(Stamoplysninger!$B$26="Weekendtimer og weekendtillæg afspadseres.",I32="X"),K32,0)</f>
        <v>0</v>
      </c>
      <c r="FJ32" s="251">
        <f>IF(AND(Stamoplysninger!$B$26="Weekendtimer og weekendtillæg afspadseres.",Y32="X"),(AA32+AL32)/2,0)</f>
        <v>0</v>
      </c>
      <c r="FK32" s="674">
        <f>IF(AND(AND(Stamoplysninger!$B$26="Weekendtimer og weekendtillæg afspadseres.",I32="X",C32="ikke relevant")),K32,0)</f>
        <v>0</v>
      </c>
      <c r="FL32" s="675">
        <f>IF(AND(AND(Stamoplysninger!$B$26="Weekendtimer og weekendtillæg afspadseres.",Y32="X",S32="ikke relevant")),(AA32+AL32)/2,0)</f>
        <v>0</v>
      </c>
      <c r="FM32" s="283">
        <f>IF(AND(Stamoplysninger!$B$26="Der er indgået lokalaftale omkring weekendtillæg(Kræver aftale med TR/FSL). Weekendtimerne afspadseres.",I32="X"),K32,0)</f>
        <v>0</v>
      </c>
      <c r="FN32" s="674">
        <f>IF(AND(AND(Stamoplysninger!$B$26="Der er indgået lokalaftale omkring weekendtillæg(Kræver aftale med TR/FSL). Weekendtimerne afspadseres.",I32="X",C32="ikke relevant")),K32,0)</f>
        <v>0</v>
      </c>
      <c r="FO32" s="283">
        <f>IF(AND(Stamoplysninger!$B$26="Weekendtimer og weekendtillæg udbetales.",I32="X"),K32,0)</f>
        <v>0</v>
      </c>
      <c r="FP32" s="251">
        <f>IF(AND(Stamoplysninger!$B$26="Weekendtimer og weekendtillæg udbetales.",AA32="X"),(AC32+AN32)/2,0)</f>
        <v>0</v>
      </c>
      <c r="FQ32" s="674">
        <f>IF(AND(AND(Stamoplysninger!$B$26="Weekendtimer og weekendtillæg udbetales.",I32="X",C32="ikke relevant")),K32,0)</f>
        <v>0</v>
      </c>
      <c r="FR32" s="688">
        <f>IF(AND(AND(Stamoplysninger!$B$26="Weekendtimer og weekendtillæg udbetales.",AA32="X",U32="ikke relevant")),(AC32+AN32)/2,0)</f>
        <v>0</v>
      </c>
      <c r="FS32" s="283">
        <f t="shared" si="15"/>
        <v>0</v>
      </c>
      <c r="FT32" s="658">
        <f t="shared" si="16"/>
        <v>0</v>
      </c>
      <c r="FU32">
        <f t="shared" si="31"/>
        <v>0</v>
      </c>
      <c r="FV32" s="283">
        <f>IF(AND(Stamoplysninger!$B$26="Der er indgået lokalaftale omkring weekendtimer.(Kræver aftale med TR/FSL) Weekendtillæg afspadseres.",I32="X"),K32,0)</f>
        <v>0</v>
      </c>
      <c r="FW32" s="674">
        <f>IF(AND(AND(Stamoplysninger!$B$26="Der er indgået lokalaftale omkring weekendtimer.(Kræver aftale med TR/FSL) Weekendtillæg afspadseres.",I32="X",C32="ikke relevant")),K32,0)</f>
        <v>0</v>
      </c>
      <c r="FX32" s="283">
        <f>IF(AND(Stamoplysninger!$B$26="Der er indgået lokalaftale omkring weekendtimer(Kræver aftale med TR/FSL). Weekendtillæg udbetales.",I32="X"),K32,0)</f>
        <v>0</v>
      </c>
      <c r="FY32" s="674">
        <f>IF(AND(AND(Stamoplysninger!$B$26="Der er indgået lokalaftale omkring weekendtimer(Kræver aftale med TR/FSL). Weekendtillæg udbetales.",I32="X",C32="ikke relevant")),K32,0)</f>
        <v>0</v>
      </c>
      <c r="FZ32" s="283">
        <f>IF(AND(Stamoplysninger!$B$26="Der er indgået lokalaftale omkring weekendtillæg(Kræver aftale med TR/FSL). Weekendtimerne udbetales.",I32="X"),K32,0)</f>
        <v>0</v>
      </c>
      <c r="GA32" s="674">
        <f>IF(AND(AND(Stamoplysninger!$B$26="Der er indgået lokalaftale omkring weekendtillæg(Kræver aftale med TR/FSL). Weekendtimerne udbetales.",I32="X",C32="ikke relevant")),K32,0)</f>
        <v>0</v>
      </c>
      <c r="GB32" s="283">
        <f>IF(AND(Stamoplysninger!$B$26="Der er indgået lokalaftale omkring weekendtimer og weekendtillæg.(Kræver aftale med TR/FSL).",I32="X"),K32,0)</f>
        <v>0</v>
      </c>
      <c r="GC32" s="674">
        <f>IF(AND(AND(Stamoplysninger!$B$26="Der er indgået lokalaftale omkring weekendtimer og weekendtillæg.(Kræver aftale med TR/FSL).",I32="X",C32="ikke relevant")),K32,0)</f>
        <v>0</v>
      </c>
    </row>
    <row r="33" spans="1:185">
      <c r="A33" s="245">
        <f t="shared" si="18"/>
        <v>25</v>
      </c>
      <c r="B33" s="128" t="str">
        <f t="shared" si="0"/>
        <v>sø</v>
      </c>
      <c r="C33" s="129" t="s">
        <v>120</v>
      </c>
      <c r="D33" s="130" t="str">
        <f t="shared" si="1"/>
        <v/>
      </c>
      <c r="E33" s="917"/>
      <c r="F33" s="918"/>
      <c r="G33" s="919"/>
      <c r="H33" s="298"/>
      <c r="I33" s="413"/>
      <c r="J33" s="413"/>
      <c r="K33" s="380"/>
      <c r="L33" s="380"/>
      <c r="M33" s="380"/>
      <c r="N33" s="318">
        <f t="shared" si="19"/>
        <v>0</v>
      </c>
      <c r="O33" s="318">
        <f t="shared" si="20"/>
        <v>0</v>
      </c>
      <c r="P33" s="318">
        <f>IF(Stamoplysninger!$H$29="JA",Maj!DG33,CX33)</f>
        <v>0</v>
      </c>
      <c r="Q33" s="318">
        <f t="shared" si="21"/>
        <v>0</v>
      </c>
      <c r="R33" s="319"/>
      <c r="S33" s="324"/>
      <c r="T33" s="325"/>
      <c r="U33" s="325"/>
      <c r="V33" s="435"/>
      <c r="W33" s="412"/>
      <c r="X33" s="642"/>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9">
        <f t="shared" si="8"/>
        <v>0</v>
      </c>
      <c r="BC33" s="1">
        <f t="shared" si="24"/>
        <v>0</v>
      </c>
      <c r="BD33" s="1">
        <f t="shared" si="9"/>
        <v>0</v>
      </c>
      <c r="BE33" s="1">
        <f t="shared" si="10"/>
        <v>0</v>
      </c>
      <c r="BF33" s="1">
        <f t="shared" si="11"/>
        <v>0</v>
      </c>
      <c r="BG33" s="210" t="str">
        <f>IF(AND(C33="Skema 1",B33="ma"),Skemaoplysninger!$E$30,"")</f>
        <v/>
      </c>
      <c r="BH33" s="210" t="str">
        <f>IF(AND(C33="Skema 1",B33="ti"),Skemaoplysninger!$G$30,"")</f>
        <v/>
      </c>
      <c r="BI33" s="210" t="str">
        <f>IF(AND(C33="Skema 1",B33="on"),Skemaoplysninger!$I$30,"")</f>
        <v/>
      </c>
      <c r="BJ33" s="210" t="str">
        <f>IF(AND(C33="Skema 1",B33="to"),Skemaoplysninger!$K$30,"")</f>
        <v/>
      </c>
      <c r="BK33" s="210" t="str">
        <f>IF(AND(C33="Skema 1",B33="fr"),Skemaoplysninger!$M$30,"")</f>
        <v/>
      </c>
      <c r="BL33" s="210" t="str">
        <f>IF(AND(C33="Skema 2",B33="ma"),Skemaoplysninger!$S$30,"")</f>
        <v/>
      </c>
      <c r="BM33" s="210" t="str">
        <f>IF(AND(C33="Skema 2",B33="ti"),Skemaoplysninger!$U$30,"")</f>
        <v/>
      </c>
      <c r="BN33" s="210" t="str">
        <f>IF(AND(C33="Skema 2",B33="on"),Skemaoplysninger!$W$30,"")</f>
        <v/>
      </c>
      <c r="BO33" s="210" t="str">
        <f>IF(AND(C33="Skema 2",B33="to"),Skemaoplysninger!$Y$30,"")</f>
        <v/>
      </c>
      <c r="BP33" s="210" t="str">
        <f>IF(AND(C33="Skema 2",B33="fr"),Skemaoplysninger!$AA$30,"")</f>
        <v/>
      </c>
      <c r="BQ33" s="210" t="str">
        <f>IF(AND(C33="Skema 3",B33="ma"),Skemaoplysninger!$AG$30,"")</f>
        <v/>
      </c>
      <c r="BR33" s="210" t="str">
        <f>IF(AND(C33="Skema 3",B33="ti"),Skemaoplysninger!$AI$30,"")</f>
        <v/>
      </c>
      <c r="BS33" s="210" t="str">
        <f>IF(AND(C33="Skema 3",B33="on"),Skemaoplysninger!$AK$30,"")</f>
        <v/>
      </c>
      <c r="BT33" s="210" t="str">
        <f>IF(AND(C33="Skema 3",B33="to"),Skemaoplysninger!$AM$30,"")</f>
        <v/>
      </c>
      <c r="BU33" s="210" t="str">
        <f>IF(AND(C33="Skema 3",B33="fr"),Skemaoplysninger!$AO$30,"")</f>
        <v/>
      </c>
      <c r="BV33" s="210" t="str">
        <f>IF(AND(C33="Skema 4",B33="ma"),Skemaoplysninger!$AU$30,"")</f>
        <v/>
      </c>
      <c r="BW33" s="210" t="str">
        <f>IF(AND(C33="Skema 4",B33="ti"),Skemaoplysninger!$AW$30,"")</f>
        <v/>
      </c>
      <c r="BX33" s="210" t="str">
        <f>IF(AND(C33="Skema 4",B33="on"),Skemaoplysninger!$AY$30,"")</f>
        <v/>
      </c>
      <c r="BY33" s="210" t="str">
        <f>IF(AND(C33="Skema 4",B33="to"),Skemaoplysninger!$BA$30,"")</f>
        <v/>
      </c>
      <c r="BZ33" s="210" t="str">
        <f>IF(AND(C33="Skema 4",B33="fr"),Skemaoplysninger!$BC$30,"")</f>
        <v/>
      </c>
      <c r="CA33" s="1">
        <f t="shared" si="25"/>
        <v>0</v>
      </c>
      <c r="CB33" s="1">
        <f t="shared" si="12"/>
        <v>0</v>
      </c>
      <c r="CC33" s="1">
        <f t="shared" si="13"/>
        <v>0</v>
      </c>
      <c r="CD33" s="210" t="str">
        <f>IF(AND(C33="Skema 1",B33="ma"),Skemaoplysninger!$E$31,"")</f>
        <v/>
      </c>
      <c r="CE33" s="210" t="str">
        <f>IF(AND(C33="Skema 1",B33="ti"),Skemaoplysninger!$G$31,"")</f>
        <v/>
      </c>
      <c r="CF33" s="210" t="str">
        <f>IF(AND(C33="Skema 1",B33="on"),Skemaoplysninger!$I$31,"")</f>
        <v/>
      </c>
      <c r="CG33" s="210" t="str">
        <f>IF(AND(C33="Skema 1",B33="to"),Skemaoplysninger!$K$31,"")</f>
        <v/>
      </c>
      <c r="CH33" s="210" t="str">
        <f>IF(AND(C33="Skema 1",B33="fr"),Skemaoplysninger!$M$31,"")</f>
        <v/>
      </c>
      <c r="CI33" s="210" t="str">
        <f>IF(AND(C33="Skema 2",B33="ma"),Skemaoplysninger!$S$31,"")</f>
        <v/>
      </c>
      <c r="CJ33" s="210" t="str">
        <f>IF(AND(C33="Skema 2",B33="ti"),Skemaoplysninger!$U$31,"")</f>
        <v/>
      </c>
      <c r="CK33" s="210" t="str">
        <f>IF(AND(C33="Skema 2",B33="on"),Skemaoplysninger!$W$31,"")</f>
        <v/>
      </c>
      <c r="CL33" s="210" t="str">
        <f>IF(AND(C33="Skema 2",B33="to"),Skemaoplysninger!$Y$31,"")</f>
        <v/>
      </c>
      <c r="CM33" s="210" t="str">
        <f>IF(AND(C33="Skema 2",B33="fr"),Skemaoplysninger!$AA$31,"")</f>
        <v/>
      </c>
      <c r="CN33" s="210" t="str">
        <f>IF(AND(C33="Skema 3",B33="ma"),Skemaoplysninger!$AG$31,"")</f>
        <v/>
      </c>
      <c r="CO33" s="210" t="str">
        <f>IF(AND(C33="Skema 3",B33="ti"),Skemaoplysninger!$AI$31,"")</f>
        <v/>
      </c>
      <c r="CP33" s="210" t="str">
        <f>IF(AND(C33="Skema 3",B33="on"),Skemaoplysninger!$AK$31,"")</f>
        <v/>
      </c>
      <c r="CQ33" s="210" t="str">
        <f>IF(AND(C33="Skema 3",B33="to"),Skemaoplysninger!$AM$31,"")</f>
        <v/>
      </c>
      <c r="CR33" s="210" t="str">
        <f>IF(AND(C33="Skema 3",B33="fr"),Skemaoplysninger!$AO$31,"")</f>
        <v/>
      </c>
      <c r="CS33" s="210" t="str">
        <f>IF(AND(C33="Skema 4",B33="ma"),Skemaoplysninger!$AU$31,"")</f>
        <v/>
      </c>
      <c r="CT33" s="210" t="str">
        <f>IF(AND(C33="Skema 4",B33="ti"),Skemaoplysninger!$AW$31,"")</f>
        <v/>
      </c>
      <c r="CU33" s="210" t="str">
        <f>IF(AND(C33="Skema 4",B33="on"),Skemaoplysninger!$AY$31,"")</f>
        <v/>
      </c>
      <c r="CV33" s="210" t="str">
        <f>IF(AND(C33="Skema 4",B33="to"),Skemaoplysninger!$BA$31,"")</f>
        <v/>
      </c>
      <c r="CW33" s="210" t="str">
        <f>IF(AND(C33="Skema 4",B33="fr"),Skemaoplysninger!$BC$31,"")</f>
        <v/>
      </c>
      <c r="CX33" s="249">
        <f>IF(Stamoplysninger!$H$29="NEJ",SUM(CD33:CW33)*24+CB33+CC33,0)</f>
        <v>0</v>
      </c>
      <c r="CY33" s="249">
        <f>IF(C33="Skema 1",Stamoplysninger!$H$30/200,0)</f>
        <v>0</v>
      </c>
      <c r="CZ33" s="249">
        <f>IF(C33="Skema 2",Stamoplysninger!$H$30/200,0)</f>
        <v>0</v>
      </c>
      <c r="DA33" s="249">
        <f>IF(C33="Skema 3",Stamoplysninger!$H$30/200,0)</f>
        <v>0</v>
      </c>
      <c r="DB33" s="249">
        <f>IF(C33="Skema 4",Stamoplysninger!$H$30/200,0)</f>
        <v>0</v>
      </c>
      <c r="DC33" s="249">
        <f>IF(C33="fagdag",Stamoplysninger!$H$30/200,0)</f>
        <v>0</v>
      </c>
      <c r="DD33" s="249">
        <f>IF(C33="emnedag",Stamoplysninger!$H$30/200,0)</f>
        <v>0</v>
      </c>
      <c r="DE33" s="249">
        <f>IF(C33="lejrskole",Stamoplysninger!$H$30/200,0)</f>
        <v>0</v>
      </c>
      <c r="DF33" s="249">
        <f>IF(C33="ekskursion",Stamoplysninger!$H$30/200,0)</f>
        <v>0</v>
      </c>
      <c r="DG33" s="249">
        <f t="shared" si="26"/>
        <v>0</v>
      </c>
      <c r="DH33" t="str">
        <f t="shared" si="27"/>
        <v/>
      </c>
      <c r="DI33">
        <f t="shared" si="28"/>
        <v>0</v>
      </c>
      <c r="DJ33">
        <f t="shared" si="29"/>
        <v>0</v>
      </c>
      <c r="DK33" t="str">
        <f t="shared" si="14"/>
        <v/>
      </c>
      <c r="DL33" t="str">
        <f t="shared" si="14"/>
        <v/>
      </c>
      <c r="DM33" t="str">
        <f t="shared" si="14"/>
        <v/>
      </c>
      <c r="DN33" t="str">
        <f t="shared" si="30"/>
        <v/>
      </c>
      <c r="DO33" s="652">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71">
        <f>IF(AND(Stamoplysninger!$B$22="Ulempetillæg udbetales med 25% af nettotimelønnen.",C33="ikke relevant"),(R33)/4,0)</f>
        <v>0</v>
      </c>
      <c r="DT33" s="671">
        <f>IF(AND(AND(Stamoplysninger!$B$22="Ulempetillæg udbetales med 25% af nettotimelønnen.",I33="X",C33="Ikke relevant")),K33/4,0)</f>
        <v>0</v>
      </c>
      <c r="DU33" s="671">
        <f>IF(AND(AND(Stamoplysninger!$B$22="Ulempetillæg udbetales med 25% af nettotimelønnen.",C33="ikke relevant",U33="X")),(X33/4),0)</f>
        <v>0</v>
      </c>
      <c r="DV33" s="672">
        <f>IF(AND(AND(AND(Stamoplysninger!$B$22="Ulempetillæg udbetales med 25% af nettotimelønnen.",I33="X",C33="Ikke relevant",S33="X"))),V33/4,0)</f>
        <v>0</v>
      </c>
      <c r="DW33" s="652"/>
      <c r="DZ33" s="671"/>
      <c r="EA33" s="671"/>
      <c r="EB33" s="672"/>
      <c r="EC33" s="652">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71">
        <f>IF(AND(Stamoplysninger!$B$22="Ulempetillæg afspadseres med 25%(Kræver en aftale imellem ledelsen og den ansatte)",C33="ikke relevant"),(R33)/4,0)</f>
        <v>0</v>
      </c>
      <c r="EH33" s="671">
        <f>IF(AND(AND(Stamoplysninger!$B$22="Ulempetillæg afspadseres med 25%(Kræver en aftale imellem ledelsen og den ansatte)",I33="X",C33="Ikke relevant")),K33/4,0)</f>
        <v>0</v>
      </c>
      <c r="EI33" s="671">
        <f>IF(AND(AND(Stamoplysninger!$B$22="Ulempetillæg afspadseres med 25%(Kræver en aftale imellem ledelsen og den ansatte)",U33="X",C33="Ikke relevant")),X33/4,0)</f>
        <v>0</v>
      </c>
      <c r="EJ33" s="671">
        <f>IF(AND(AND(AND(Stamoplysninger!$B$22="Ulempetillæg afspadseres med 25%(Kræver en aftale imellem ledelsen og den ansatte)",I33="X",C33="Ikke relevant",S33="X"))),V33/4,0)</f>
        <v>0</v>
      </c>
      <c r="EK33" s="283">
        <f>IF(AND(Stamoplysninger!$B$26="Weekendtimer og weekendtillæg afspadseres.",I33="X"),K33*1.5,0)</f>
        <v>0</v>
      </c>
      <c r="EL33" s="251">
        <f>IF(AND(AND(Stamoplysninger!$B$26="Weekendtimer og weekendtillæg afspadseres.",I33="X",S33="X")),V33*1.5,0)</f>
        <v>0</v>
      </c>
      <c r="EM33" s="674">
        <f>IF(AND(AND(Stamoplysninger!$B$26="Weekendtimer og weekendtillæg afspadseres.",I33="X",C33="ikke relevant")),K33*1.5,0)</f>
        <v>0</v>
      </c>
      <c r="EN33" s="675">
        <f>IF(AND(AND(AND(Stamoplysninger!$B$26="Weekendtimer og weekendtillæg afspadseres.",I33="X",C33="ikke relevant",S33="X"))),(V33*1.5),0)</f>
        <v>0</v>
      </c>
      <c r="EO33" s="283">
        <f>IF(AND(Stamoplysninger!$B$26="Weekendtimer og weekendtillæg udbetales.",I33="X"),K33*1.5,0)</f>
        <v>0</v>
      </c>
      <c r="EP33" s="251">
        <f>IF(AND(AND(Stamoplysninger!$B$26="Weekendtimer og weekendtillæg udbetales.",I33="X",S33="X")),V33*1.5,0)</f>
        <v>0</v>
      </c>
      <c r="EQ33" s="674">
        <f>IF(AND(AND(Stamoplysninger!$B$26="Weekendtimer og weekendtillæg udbetales.",I33="X",C33="ikke relevant")),K33*1.5,0)</f>
        <v>0</v>
      </c>
      <c r="ER33" s="675">
        <f>IF(AND(AND(AND(Stamoplysninger!$B$26="Weekendtimer og weekendtillæg udbetales.",I33="X",C33="ikke relevant",S33="X"))),(V33*1.5),0)</f>
        <v>0</v>
      </c>
      <c r="ES33" s="283">
        <f>IF(AND(Stamoplysninger!$B$26="Der er indgået lokalaftale omkring weekendtimer.(Kræver aftale med TR/FSL) Weekendtillæg afspadseres.",I33="X"),K33*0.5,0)</f>
        <v>0</v>
      </c>
      <c r="ET33" s="251">
        <f>IF(AND(AND(Stamoplysninger!$B$26="Der er indgået lokalaftale omkring weekendtimer.(Kræver aftale med TR/FSL) Weekendtillæg afspadseres.",I33="X",S33="X")),V33*0.5,0)</f>
        <v>0</v>
      </c>
      <c r="EU33" s="674">
        <f>IF(AND(AND(Stamoplysninger!$B$26="Der er indgået lokalaftale omkring weekendtimer.(Kræver aftale med TR/FSL) Weekendtillæg afspadseres.",I33="X",C33="ikke relevant")),K33*0.5,0)</f>
        <v>0</v>
      </c>
      <c r="EV33" s="675">
        <f>IF(AND(AND(AND(Stamoplysninger!$B$26="Der er indgået lokalaftale omkring weekendtimer.(Kræver aftale med TR/FSL) Weekendtillæg afspadseres.",I33="X",C33="ikke relevant",S33="X"))),(V33*0.5),0)</f>
        <v>0</v>
      </c>
      <c r="EW33" s="283">
        <f>IF(AND(Stamoplysninger!$B$26="Der er indgået lokalaftale omkring weekendtimer(Kræver aftale med TR/FSL). Weekendtillæg udbetales.",I33="X"),K33*0.5,0)</f>
        <v>0</v>
      </c>
      <c r="EX33" s="251">
        <f>IF(AND(AND(Stamoplysninger!$B$26="Der er indgået lokalaftale omkring weekendtimer(Kræver aftale med TR/FSL). Weekendtillæg udbetales.",I33="X",S33="X")),V33*0.5,0)</f>
        <v>0</v>
      </c>
      <c r="EY33" s="674">
        <f>IF(AND(AND(Stamoplysninger!$B$26="Der er indgået lokalaftale omkring weekendtimer(Kræver aftale med TR/FSL). Weekendtillæg udbetales.",I33="X",C33="ikke relevant")),K33*0.5,0)</f>
        <v>0</v>
      </c>
      <c r="EZ33" s="675">
        <f>IF(AND(AND(AND(Stamoplysninger!$B$26="Der er indgået lokalaftale omkring weekendtimer(Kræver aftale med TR/FSL). Weekendtillæg udbetales.",I33="X",C33="ikke relevant",S33="X"))),(V33*0.5),0)</f>
        <v>0</v>
      </c>
      <c r="FA33" s="283">
        <f>IF(AND(Stamoplysninger!$B$26="Der er indgået lokalaftale omkring weekendtillæg(Kræver aftale med TR/FSL). Weekendtimerne afspadseres.",I33="X"),K33,0)</f>
        <v>0</v>
      </c>
      <c r="FB33" s="251">
        <f>IF(AND(AND(Stamoplysninger!$B$26="Der er indgået lokalaftale omkring weekendtillæg(Kræver aftale med TR/FSL). Weekendtimerne afspadseres.",I33="X",S33="X")),V33,0)</f>
        <v>0</v>
      </c>
      <c r="FC33" s="674">
        <f>IF(AND(AND(Stamoplysninger!$B$26="Der er indgået lokalaftale omkring weekendtillæg(Kræver aftale med TR/FSL). Weekendtimerne afspadseres..",I33="X",C33="ikke relevant")),K33,0)</f>
        <v>0</v>
      </c>
      <c r="FD33" s="675">
        <f>IF(AND(AND(AND(Stamoplysninger!$B$26="Der er indgået lokalaftale omkring weekendtillæg(Kræver aftale med TR/FSL). Weekendtimerne afspadseres.",I33="X",C33="ikke relevant",S33="X"))),(V33),0)</f>
        <v>0</v>
      </c>
      <c r="FE33" s="283">
        <f>IF(AND(Stamoplysninger!$B$26="Der er indgået lokalaftale omkring weekendtillæg(Kræver aftale med TR/FSL). Weekendtimerne udbetales.",I33="X"),K33,0)</f>
        <v>0</v>
      </c>
      <c r="FF33" s="251">
        <f>IF(AND(AND(Stamoplysninger!$B$26="Der er indgået lokalaftale omkring weekendtillæg(Kræver aftale med TR/FSL). Weekendtimerne udbetales.",I33="X",S33="X")),V33,0)</f>
        <v>0</v>
      </c>
      <c r="FG33" s="674">
        <f>IF(AND(AND(Stamoplysninger!$B$26="Der er indgået lokalaftale omkring weekendtillæg(Kræver aftale med TR/FSL). Weekendtimerne udbetales.",I33="X",C33="ikke relevant")),K33,0)</f>
        <v>0</v>
      </c>
      <c r="FH33" s="675">
        <f>IF(AND(AND(AND(Stamoplysninger!$B$26="Der er indgået lokalaftale omkring weekendtillæg(Kræver aftale med TR/FSL). Weekendtimerne udbetales.",I33="X",C33="ikke relevant",S33="X"))),(V33),0)</f>
        <v>0</v>
      </c>
      <c r="FI33" s="283">
        <f>IF(AND(Stamoplysninger!$B$26="Weekendtimer og weekendtillæg afspadseres.",I33="X"),K33,0)</f>
        <v>0</v>
      </c>
      <c r="FJ33" s="251">
        <f>IF(AND(Stamoplysninger!$B$26="Weekendtimer og weekendtillæg afspadseres.",Y33="X"),(AA33+AL33)/2,0)</f>
        <v>0</v>
      </c>
      <c r="FK33" s="674">
        <f>IF(AND(AND(Stamoplysninger!$B$26="Weekendtimer og weekendtillæg afspadseres.",I33="X",C33="ikke relevant")),K33,0)</f>
        <v>0</v>
      </c>
      <c r="FL33" s="675">
        <f>IF(AND(AND(Stamoplysninger!$B$26="Weekendtimer og weekendtillæg afspadseres.",Y33="X",S33="ikke relevant")),(AA33+AL33)/2,0)</f>
        <v>0</v>
      </c>
      <c r="FM33" s="283">
        <f>IF(AND(Stamoplysninger!$B$26="Der er indgået lokalaftale omkring weekendtillæg(Kræver aftale med TR/FSL). Weekendtimerne afspadseres.",I33="X"),K33,0)</f>
        <v>0</v>
      </c>
      <c r="FN33" s="674">
        <f>IF(AND(AND(Stamoplysninger!$B$26="Der er indgået lokalaftale omkring weekendtillæg(Kræver aftale med TR/FSL). Weekendtimerne afspadseres.",I33="X",C33="ikke relevant")),K33,0)</f>
        <v>0</v>
      </c>
      <c r="FO33" s="283">
        <f>IF(AND(Stamoplysninger!$B$26="Weekendtimer og weekendtillæg udbetales.",I33="X"),K33,0)</f>
        <v>0</v>
      </c>
      <c r="FP33" s="251">
        <f>IF(AND(Stamoplysninger!$B$26="Weekendtimer og weekendtillæg udbetales.",AA33="X"),(AC33+AN33)/2,0)</f>
        <v>0</v>
      </c>
      <c r="FQ33" s="674">
        <f>IF(AND(AND(Stamoplysninger!$B$26="Weekendtimer og weekendtillæg udbetales.",I33="X",C33="ikke relevant")),K33,0)</f>
        <v>0</v>
      </c>
      <c r="FR33" s="688">
        <f>IF(AND(AND(Stamoplysninger!$B$26="Weekendtimer og weekendtillæg udbetales.",AA33="X",U33="ikke relevant")),(AC33+AN33)/2,0)</f>
        <v>0</v>
      </c>
      <c r="FS33" s="283">
        <f t="shared" si="15"/>
        <v>0</v>
      </c>
      <c r="FT33" s="658">
        <f t="shared" si="16"/>
        <v>0</v>
      </c>
      <c r="FU33">
        <f t="shared" si="31"/>
        <v>0</v>
      </c>
      <c r="FV33" s="283">
        <f>IF(AND(Stamoplysninger!$B$26="Der er indgået lokalaftale omkring weekendtimer.(Kræver aftale med TR/FSL) Weekendtillæg afspadseres.",I33="X"),K33,0)</f>
        <v>0</v>
      </c>
      <c r="FW33" s="674">
        <f>IF(AND(AND(Stamoplysninger!$B$26="Der er indgået lokalaftale omkring weekendtimer.(Kræver aftale med TR/FSL) Weekendtillæg afspadseres.",I33="X",C33="ikke relevant")),K33,0)</f>
        <v>0</v>
      </c>
      <c r="FX33" s="283">
        <f>IF(AND(Stamoplysninger!$B$26="Der er indgået lokalaftale omkring weekendtimer(Kræver aftale med TR/FSL). Weekendtillæg udbetales.",I33="X"),K33,0)</f>
        <v>0</v>
      </c>
      <c r="FY33" s="674">
        <f>IF(AND(AND(Stamoplysninger!$B$26="Der er indgået lokalaftale omkring weekendtimer(Kræver aftale med TR/FSL). Weekendtillæg udbetales.",I33="X",C33="ikke relevant")),K33,0)</f>
        <v>0</v>
      </c>
      <c r="FZ33" s="283">
        <f>IF(AND(Stamoplysninger!$B$26="Der er indgået lokalaftale omkring weekendtillæg(Kræver aftale med TR/FSL). Weekendtimerne udbetales.",I33="X"),K33,0)</f>
        <v>0</v>
      </c>
      <c r="GA33" s="674">
        <f>IF(AND(AND(Stamoplysninger!$B$26="Der er indgået lokalaftale omkring weekendtillæg(Kræver aftale med TR/FSL). Weekendtimerne udbetales.",I33="X",C33="ikke relevant")),K33,0)</f>
        <v>0</v>
      </c>
      <c r="GB33" s="283">
        <f>IF(AND(Stamoplysninger!$B$26="Der er indgået lokalaftale omkring weekendtimer og weekendtillæg.(Kræver aftale med TR/FSL).",I33="X"),K33,0)</f>
        <v>0</v>
      </c>
      <c r="GC33" s="674">
        <f>IF(AND(AND(Stamoplysninger!$B$26="Der er indgået lokalaftale omkring weekendtimer og weekendtillæg.(Kræver aftale med TR/FSL).",I33="X",C33="ikke relevant")),K33,0)</f>
        <v>0</v>
      </c>
    </row>
    <row r="34" spans="1:185">
      <c r="A34" s="245">
        <f t="shared" si="18"/>
        <v>26</v>
      </c>
      <c r="B34" s="128" t="str">
        <f t="shared" si="0"/>
        <v>ma</v>
      </c>
      <c r="C34" s="129" t="s">
        <v>207</v>
      </c>
      <c r="D34" s="130">
        <f t="shared" si="1"/>
        <v>21.714285714285715</v>
      </c>
      <c r="E34" s="917"/>
      <c r="F34" s="918"/>
      <c r="G34" s="919"/>
      <c r="H34" s="298"/>
      <c r="I34" s="527"/>
      <c r="J34" s="413"/>
      <c r="K34" s="380"/>
      <c r="L34" s="380"/>
      <c r="M34" s="380"/>
      <c r="N34" s="318">
        <f t="shared" si="19"/>
        <v>7.75</v>
      </c>
      <c r="O34" s="318">
        <f t="shared" si="20"/>
        <v>3.4999999999999996</v>
      </c>
      <c r="P34" s="318">
        <f>IF(Stamoplysninger!$H$29="JA",Maj!DG34,CX34)</f>
        <v>1</v>
      </c>
      <c r="Q34" s="318">
        <f t="shared" si="21"/>
        <v>3.25</v>
      </c>
      <c r="R34" s="319"/>
      <c r="S34" s="324"/>
      <c r="T34" s="325"/>
      <c r="U34" s="325"/>
      <c r="V34" s="435"/>
      <c r="W34" s="412"/>
      <c r="X34" s="642"/>
      <c r="Y34">
        <f t="shared" si="22"/>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f>IF(AND(C34="Skema 2",B34="ma"),Arbejdstidsoversigt!$E$81,"")</f>
        <v>7.75</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7.75</v>
      </c>
      <c r="BB34" s="229">
        <f t="shared" si="8"/>
        <v>0</v>
      </c>
      <c r="BC34" s="1">
        <f t="shared" si="24"/>
        <v>0</v>
      </c>
      <c r="BD34" s="1">
        <f t="shared" si="9"/>
        <v>0</v>
      </c>
      <c r="BE34" s="1">
        <f t="shared" si="10"/>
        <v>0</v>
      </c>
      <c r="BF34" s="1">
        <f t="shared" si="11"/>
        <v>0</v>
      </c>
      <c r="BG34" s="210" t="str">
        <f>IF(AND(C34="Skema 1",B34="ma"),Skemaoplysninger!$E$30,"")</f>
        <v/>
      </c>
      <c r="BH34" s="210" t="str">
        <f>IF(AND(C34="Skema 1",B34="ti"),Skemaoplysninger!$G$30,"")</f>
        <v/>
      </c>
      <c r="BI34" s="210" t="str">
        <f>IF(AND(C34="Skema 1",B34="on"),Skemaoplysninger!$I$30,"")</f>
        <v/>
      </c>
      <c r="BJ34" s="210" t="str">
        <f>IF(AND(C34="Skema 1",B34="to"),Skemaoplysninger!$K$30,"")</f>
        <v/>
      </c>
      <c r="BK34" s="210" t="str">
        <f>IF(AND(C34="Skema 1",B34="fr"),Skemaoplysninger!$M$30,"")</f>
        <v/>
      </c>
      <c r="BL34" s="210">
        <f>IF(AND(C34="Skema 2",B34="ma"),Skemaoplysninger!$S$30,"")</f>
        <v>0.14583333333333331</v>
      </c>
      <c r="BM34" s="210" t="str">
        <f>IF(AND(C34="Skema 2",B34="ti"),Skemaoplysninger!$U$30,"")</f>
        <v/>
      </c>
      <c r="BN34" s="210" t="str">
        <f>IF(AND(C34="Skema 2",B34="on"),Skemaoplysninger!$W$30,"")</f>
        <v/>
      </c>
      <c r="BO34" s="210" t="str">
        <f>IF(AND(C34="Skema 2",B34="to"),Skemaoplysninger!$Y$30,"")</f>
        <v/>
      </c>
      <c r="BP34" s="210" t="str">
        <f>IF(AND(C34="Skema 2",B34="fr"),Skemaoplysninger!$AA$30,"")</f>
        <v/>
      </c>
      <c r="BQ34" s="210" t="str">
        <f>IF(AND(C34="Skema 3",B34="ma"),Skemaoplysninger!$AG$30,"")</f>
        <v/>
      </c>
      <c r="BR34" s="210" t="str">
        <f>IF(AND(C34="Skema 3",B34="ti"),Skemaoplysninger!$AI$30,"")</f>
        <v/>
      </c>
      <c r="BS34" s="210" t="str">
        <f>IF(AND(C34="Skema 3",B34="on"),Skemaoplysninger!$AK$30,"")</f>
        <v/>
      </c>
      <c r="BT34" s="210" t="str">
        <f>IF(AND(C34="Skema 3",B34="to"),Skemaoplysninger!$AM$30,"")</f>
        <v/>
      </c>
      <c r="BU34" s="210" t="str">
        <f>IF(AND(C34="Skema 3",B34="fr"),Skemaoplysninger!$AO$30,"")</f>
        <v/>
      </c>
      <c r="BV34" s="210" t="str">
        <f>IF(AND(C34="Skema 4",B34="ma"),Skemaoplysninger!$AU$30,"")</f>
        <v/>
      </c>
      <c r="BW34" s="210" t="str">
        <f>IF(AND(C34="Skema 4",B34="ti"),Skemaoplysninger!$AW$30,"")</f>
        <v/>
      </c>
      <c r="BX34" s="210" t="str">
        <f>IF(AND(C34="Skema 4",B34="on"),Skemaoplysninger!$AY$30,"")</f>
        <v/>
      </c>
      <c r="BY34" s="210" t="str">
        <f>IF(AND(C34="Skema 4",B34="to"),Skemaoplysninger!$BA$30,"")</f>
        <v/>
      </c>
      <c r="BZ34" s="210" t="str">
        <f>IF(AND(C34="Skema 4",B34="fr"),Skemaoplysninger!$BC$30,"")</f>
        <v/>
      </c>
      <c r="CA34" s="1">
        <f t="shared" si="25"/>
        <v>3.4999999999999996</v>
      </c>
      <c r="CB34" s="1">
        <f t="shared" si="12"/>
        <v>0</v>
      </c>
      <c r="CC34" s="1">
        <f t="shared" si="13"/>
        <v>0</v>
      </c>
      <c r="CD34" s="210" t="str">
        <f>IF(AND(C34="Skema 1",B34="ma"),Skemaoplysninger!$E$31,"")</f>
        <v/>
      </c>
      <c r="CE34" s="210" t="str">
        <f>IF(AND(C34="Skema 1",B34="ti"),Skemaoplysninger!$G$31,"")</f>
        <v/>
      </c>
      <c r="CF34" s="210" t="str">
        <f>IF(AND(C34="Skema 1",B34="on"),Skemaoplysninger!$I$31,"")</f>
        <v/>
      </c>
      <c r="CG34" s="210" t="str">
        <f>IF(AND(C34="Skema 1",B34="to"),Skemaoplysninger!$K$31,"")</f>
        <v/>
      </c>
      <c r="CH34" s="210" t="str">
        <f>IF(AND(C34="Skema 1",B34="fr"),Skemaoplysninger!$M$31,"")</f>
        <v/>
      </c>
      <c r="CI34" s="210">
        <f>IF(AND(C34="Skema 2",B34="ma"),Skemaoplysninger!$S$31,"")</f>
        <v>4.1666666666666671E-2</v>
      </c>
      <c r="CJ34" s="210" t="str">
        <f>IF(AND(C34="Skema 2",B34="ti"),Skemaoplysninger!$U$31,"")</f>
        <v/>
      </c>
      <c r="CK34" s="210" t="str">
        <f>IF(AND(C34="Skema 2",B34="on"),Skemaoplysninger!$W$31,"")</f>
        <v/>
      </c>
      <c r="CL34" s="210" t="str">
        <f>IF(AND(C34="Skema 2",B34="to"),Skemaoplysninger!$Y$31,"")</f>
        <v/>
      </c>
      <c r="CM34" s="210" t="str">
        <f>IF(AND(C34="Skema 2",B34="fr"),Skemaoplysninger!$AA$31,"")</f>
        <v/>
      </c>
      <c r="CN34" s="210" t="str">
        <f>IF(AND(C34="Skema 3",B34="ma"),Skemaoplysninger!$AG$31,"")</f>
        <v/>
      </c>
      <c r="CO34" s="210" t="str">
        <f>IF(AND(C34="Skema 3",B34="ti"),Skemaoplysninger!$AI$31,"")</f>
        <v/>
      </c>
      <c r="CP34" s="210" t="str">
        <f>IF(AND(C34="Skema 3",B34="on"),Skemaoplysninger!$AK$31,"")</f>
        <v/>
      </c>
      <c r="CQ34" s="210" t="str">
        <f>IF(AND(C34="Skema 3",B34="to"),Skemaoplysninger!$AM$31,"")</f>
        <v/>
      </c>
      <c r="CR34" s="210" t="str">
        <f>IF(AND(C34="Skema 3",B34="fr"),Skemaoplysninger!$AO$31,"")</f>
        <v/>
      </c>
      <c r="CS34" s="210" t="str">
        <f>IF(AND(C34="Skema 4",B34="ma"),Skemaoplysninger!$AU$31,"")</f>
        <v/>
      </c>
      <c r="CT34" s="210" t="str">
        <f>IF(AND(C34="Skema 4",B34="ti"),Skemaoplysninger!$AW$31,"")</f>
        <v/>
      </c>
      <c r="CU34" s="210" t="str">
        <f>IF(AND(C34="Skema 4",B34="on"),Skemaoplysninger!$AY$31,"")</f>
        <v/>
      </c>
      <c r="CV34" s="210" t="str">
        <f>IF(AND(C34="Skema 4",B34="to"),Skemaoplysninger!$BA$31,"")</f>
        <v/>
      </c>
      <c r="CW34" s="210" t="str">
        <f>IF(AND(C34="Skema 4",B34="fr"),Skemaoplysninger!$BC$31,"")</f>
        <v/>
      </c>
      <c r="CX34" s="249">
        <f>IF(Stamoplysninger!$H$29="NEJ",SUM(CD34:CW34)*24+CB34+CC34,0)</f>
        <v>1</v>
      </c>
      <c r="CY34" s="249">
        <f>IF(C34="Skema 1",Stamoplysninger!$H$30/200,0)</f>
        <v>0</v>
      </c>
      <c r="CZ34" s="249">
        <f>IF(C34="Skema 2",Stamoplysninger!$H$30/200,0)</f>
        <v>0</v>
      </c>
      <c r="DA34" s="249">
        <f>IF(C34="Skema 3",Stamoplysninger!$H$30/200,0)</f>
        <v>0</v>
      </c>
      <c r="DB34" s="249">
        <f>IF(C34="Skema 4",Stamoplysninger!$H$30/200,0)</f>
        <v>0</v>
      </c>
      <c r="DC34" s="249">
        <f>IF(C34="fagdag",Stamoplysninger!$H$30/200,0)</f>
        <v>0</v>
      </c>
      <c r="DD34" s="249">
        <f>IF(C34="emnedag",Stamoplysninger!$H$30/200,0)</f>
        <v>0</v>
      </c>
      <c r="DE34" s="249">
        <f>IF(C34="lejrskole",Stamoplysninger!$H$30/200,0)</f>
        <v>0</v>
      </c>
      <c r="DF34" s="249">
        <f>IF(C34="ekskursion",Stamoplysninger!$H$30/200,0)</f>
        <v>0</v>
      </c>
      <c r="DG34" s="249">
        <f t="shared" si="26"/>
        <v>0</v>
      </c>
      <c r="DH34" t="str">
        <f t="shared" si="27"/>
        <v/>
      </c>
      <c r="DI34">
        <f t="shared" si="28"/>
        <v>0</v>
      </c>
      <c r="DJ34">
        <f t="shared" si="29"/>
        <v>0</v>
      </c>
      <c r="DK34" t="str">
        <f t="shared" si="14"/>
        <v/>
      </c>
      <c r="DL34" t="str">
        <f t="shared" si="14"/>
        <v/>
      </c>
      <c r="DM34" t="str">
        <f t="shared" si="14"/>
        <v/>
      </c>
      <c r="DN34" t="str">
        <f t="shared" si="30"/>
        <v/>
      </c>
      <c r="DO34" s="652">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71">
        <f>IF(AND(Stamoplysninger!$B$22="Ulempetillæg udbetales med 25% af nettotimelønnen.",C34="ikke relevant"),(R34)/4,0)</f>
        <v>0</v>
      </c>
      <c r="DT34" s="671">
        <f>IF(AND(AND(Stamoplysninger!$B$22="Ulempetillæg udbetales med 25% af nettotimelønnen.",I34="X",C34="Ikke relevant")),K34/4,0)</f>
        <v>0</v>
      </c>
      <c r="DU34" s="671">
        <f>IF(AND(AND(Stamoplysninger!$B$22="Ulempetillæg udbetales med 25% af nettotimelønnen.",C34="ikke relevant",U34="X")),(X34/4),0)</f>
        <v>0</v>
      </c>
      <c r="DV34" s="672">
        <f>IF(AND(AND(AND(Stamoplysninger!$B$22="Ulempetillæg udbetales med 25% af nettotimelønnen.",I34="X",C34="Ikke relevant",S34="X"))),V34/4,0)</f>
        <v>0</v>
      </c>
      <c r="DW34" s="652"/>
      <c r="DZ34" s="671"/>
      <c r="EA34" s="671"/>
      <c r="EB34" s="672"/>
      <c r="EC34" s="652">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71">
        <f>IF(AND(Stamoplysninger!$B$22="Ulempetillæg afspadseres med 25%(Kræver en aftale imellem ledelsen og den ansatte)",C34="ikke relevant"),(R34)/4,0)</f>
        <v>0</v>
      </c>
      <c r="EH34" s="671">
        <f>IF(AND(AND(Stamoplysninger!$B$22="Ulempetillæg afspadseres med 25%(Kræver en aftale imellem ledelsen og den ansatte)",I34="X",C34="Ikke relevant")),K34/4,0)</f>
        <v>0</v>
      </c>
      <c r="EI34" s="671">
        <f>IF(AND(AND(Stamoplysninger!$B$22="Ulempetillæg afspadseres med 25%(Kræver en aftale imellem ledelsen og den ansatte)",U34="X",C34="Ikke relevant")),X34/4,0)</f>
        <v>0</v>
      </c>
      <c r="EJ34" s="671">
        <f>IF(AND(AND(AND(Stamoplysninger!$B$22="Ulempetillæg afspadseres med 25%(Kræver en aftale imellem ledelsen og den ansatte)",I34="X",C34="Ikke relevant",S34="X"))),V34/4,0)</f>
        <v>0</v>
      </c>
      <c r="EK34" s="283">
        <f>IF(AND(Stamoplysninger!$B$26="Weekendtimer og weekendtillæg afspadseres.",I34="X"),K34*1.5,0)</f>
        <v>0</v>
      </c>
      <c r="EL34" s="251">
        <f>IF(AND(AND(Stamoplysninger!$B$26="Weekendtimer og weekendtillæg afspadseres.",I34="X",S34="X")),V34*1.5,0)</f>
        <v>0</v>
      </c>
      <c r="EM34" s="674">
        <f>IF(AND(AND(Stamoplysninger!$B$26="Weekendtimer og weekendtillæg afspadseres.",I34="X",C34="ikke relevant")),K34*1.5,0)</f>
        <v>0</v>
      </c>
      <c r="EN34" s="675">
        <f>IF(AND(AND(AND(Stamoplysninger!$B$26="Weekendtimer og weekendtillæg afspadseres.",I34="X",C34="ikke relevant",S34="X"))),(V34*1.5),0)</f>
        <v>0</v>
      </c>
      <c r="EO34" s="283">
        <f>IF(AND(Stamoplysninger!$B$26="Weekendtimer og weekendtillæg udbetales.",I34="X"),K34*1.5,0)</f>
        <v>0</v>
      </c>
      <c r="EP34" s="251">
        <f>IF(AND(AND(Stamoplysninger!$B$26="Weekendtimer og weekendtillæg udbetales.",I34="X",S34="X")),V34*1.5,0)</f>
        <v>0</v>
      </c>
      <c r="EQ34" s="674">
        <f>IF(AND(AND(Stamoplysninger!$B$26="Weekendtimer og weekendtillæg udbetales.",I34="X",C34="ikke relevant")),K34*1.5,0)</f>
        <v>0</v>
      </c>
      <c r="ER34" s="675">
        <f>IF(AND(AND(AND(Stamoplysninger!$B$26="Weekendtimer og weekendtillæg udbetales.",I34="X",C34="ikke relevant",S34="X"))),(V34*1.5),0)</f>
        <v>0</v>
      </c>
      <c r="ES34" s="283">
        <f>IF(AND(Stamoplysninger!$B$26="Der er indgået lokalaftale omkring weekendtimer.(Kræver aftale med TR/FSL) Weekendtillæg afspadseres.",I34="X"),K34*0.5,0)</f>
        <v>0</v>
      </c>
      <c r="ET34" s="251">
        <f>IF(AND(AND(Stamoplysninger!$B$26="Der er indgået lokalaftale omkring weekendtimer.(Kræver aftale med TR/FSL) Weekendtillæg afspadseres.",I34="X",S34="X")),V34*0.5,0)</f>
        <v>0</v>
      </c>
      <c r="EU34" s="674">
        <f>IF(AND(AND(Stamoplysninger!$B$26="Der er indgået lokalaftale omkring weekendtimer.(Kræver aftale med TR/FSL) Weekendtillæg afspadseres.",I34="X",C34="ikke relevant")),K34*0.5,0)</f>
        <v>0</v>
      </c>
      <c r="EV34" s="675">
        <f>IF(AND(AND(AND(Stamoplysninger!$B$26="Der er indgået lokalaftale omkring weekendtimer.(Kræver aftale med TR/FSL) Weekendtillæg afspadseres.",I34="X",C34="ikke relevant",S34="X"))),(V34*0.5),0)</f>
        <v>0</v>
      </c>
      <c r="EW34" s="283">
        <f>IF(AND(Stamoplysninger!$B$26="Der er indgået lokalaftale omkring weekendtimer(Kræver aftale med TR/FSL). Weekendtillæg udbetales.",I34="X"),K34*0.5,0)</f>
        <v>0</v>
      </c>
      <c r="EX34" s="251">
        <f>IF(AND(AND(Stamoplysninger!$B$26="Der er indgået lokalaftale omkring weekendtimer(Kræver aftale med TR/FSL). Weekendtillæg udbetales.",I34="X",S34="X")),V34*0.5,0)</f>
        <v>0</v>
      </c>
      <c r="EY34" s="674">
        <f>IF(AND(AND(Stamoplysninger!$B$26="Der er indgået lokalaftale omkring weekendtimer(Kræver aftale med TR/FSL). Weekendtillæg udbetales.",I34="X",C34="ikke relevant")),K34*0.5,0)</f>
        <v>0</v>
      </c>
      <c r="EZ34" s="675">
        <f>IF(AND(AND(AND(Stamoplysninger!$B$26="Der er indgået lokalaftale omkring weekendtimer(Kræver aftale med TR/FSL). Weekendtillæg udbetales.",I34="X",C34="ikke relevant",S34="X"))),(V34*0.5),0)</f>
        <v>0</v>
      </c>
      <c r="FA34" s="283">
        <f>IF(AND(Stamoplysninger!$B$26="Der er indgået lokalaftale omkring weekendtillæg(Kræver aftale med TR/FSL). Weekendtimerne afspadseres.",I34="X"),K34,0)</f>
        <v>0</v>
      </c>
      <c r="FB34" s="251">
        <f>IF(AND(AND(Stamoplysninger!$B$26="Der er indgået lokalaftale omkring weekendtillæg(Kræver aftale med TR/FSL). Weekendtimerne afspadseres.",I34="X",S34="X")),V34,0)</f>
        <v>0</v>
      </c>
      <c r="FC34" s="674">
        <f>IF(AND(AND(Stamoplysninger!$B$26="Der er indgået lokalaftale omkring weekendtillæg(Kræver aftale med TR/FSL). Weekendtimerne afspadseres..",I34="X",C34="ikke relevant")),K34,0)</f>
        <v>0</v>
      </c>
      <c r="FD34" s="675">
        <f>IF(AND(AND(AND(Stamoplysninger!$B$26="Der er indgået lokalaftale omkring weekendtillæg(Kræver aftale med TR/FSL). Weekendtimerne afspadseres.",I34="X",C34="ikke relevant",S34="X"))),(V34),0)</f>
        <v>0</v>
      </c>
      <c r="FE34" s="283">
        <f>IF(AND(Stamoplysninger!$B$26="Der er indgået lokalaftale omkring weekendtillæg(Kræver aftale med TR/FSL). Weekendtimerne udbetales.",I34="X"),K34,0)</f>
        <v>0</v>
      </c>
      <c r="FF34" s="251">
        <f>IF(AND(AND(Stamoplysninger!$B$26="Der er indgået lokalaftale omkring weekendtillæg(Kræver aftale med TR/FSL). Weekendtimerne udbetales.",I34="X",S34="X")),V34,0)</f>
        <v>0</v>
      </c>
      <c r="FG34" s="674">
        <f>IF(AND(AND(Stamoplysninger!$B$26="Der er indgået lokalaftale omkring weekendtillæg(Kræver aftale med TR/FSL). Weekendtimerne udbetales.",I34="X",C34="ikke relevant")),K34,0)</f>
        <v>0</v>
      </c>
      <c r="FH34" s="675">
        <f>IF(AND(AND(AND(Stamoplysninger!$B$26="Der er indgået lokalaftale omkring weekendtillæg(Kræver aftale med TR/FSL). Weekendtimerne udbetales.",I34="X",C34="ikke relevant",S34="X"))),(V34),0)</f>
        <v>0</v>
      </c>
      <c r="FI34" s="283">
        <f>IF(AND(Stamoplysninger!$B$26="Weekendtimer og weekendtillæg afspadseres.",I34="X"),K34,0)</f>
        <v>0</v>
      </c>
      <c r="FJ34" s="251">
        <f>IF(AND(Stamoplysninger!$B$26="Weekendtimer og weekendtillæg afspadseres.",Y34="X"),(AA34+AL34)/2,0)</f>
        <v>0</v>
      </c>
      <c r="FK34" s="674">
        <f>IF(AND(AND(Stamoplysninger!$B$26="Weekendtimer og weekendtillæg afspadseres.",I34="X",C34="ikke relevant")),K34,0)</f>
        <v>0</v>
      </c>
      <c r="FL34" s="675">
        <f>IF(AND(AND(Stamoplysninger!$B$26="Weekendtimer og weekendtillæg afspadseres.",Y34="X",S34="ikke relevant")),(AA34+AL34)/2,0)</f>
        <v>0</v>
      </c>
      <c r="FM34" s="283">
        <f>IF(AND(Stamoplysninger!$B$26="Der er indgået lokalaftale omkring weekendtillæg(Kræver aftale med TR/FSL). Weekendtimerne afspadseres.",I34="X"),K34,0)</f>
        <v>0</v>
      </c>
      <c r="FN34" s="674">
        <f>IF(AND(AND(Stamoplysninger!$B$26="Der er indgået lokalaftale omkring weekendtillæg(Kræver aftale med TR/FSL). Weekendtimerne afspadseres.",I34="X",C34="ikke relevant")),K34,0)</f>
        <v>0</v>
      </c>
      <c r="FO34" s="283">
        <f>IF(AND(Stamoplysninger!$B$26="Weekendtimer og weekendtillæg udbetales.",I34="X"),K34,0)</f>
        <v>0</v>
      </c>
      <c r="FP34" s="251">
        <f>IF(AND(Stamoplysninger!$B$26="Weekendtimer og weekendtillæg udbetales.",AA34="X"),(AC34+AN34)/2,0)</f>
        <v>0</v>
      </c>
      <c r="FQ34" s="674">
        <f>IF(AND(AND(Stamoplysninger!$B$26="Weekendtimer og weekendtillæg udbetales.",I34="X",C34="ikke relevant")),K34,0)</f>
        <v>0</v>
      </c>
      <c r="FR34" s="688">
        <f>IF(AND(AND(Stamoplysninger!$B$26="Weekendtimer og weekendtillæg udbetales.",AA34="X",U34="ikke relevant")),(AC34+AN34)/2,0)</f>
        <v>0</v>
      </c>
      <c r="FS34" s="283">
        <f t="shared" si="15"/>
        <v>0</v>
      </c>
      <c r="FT34" s="658">
        <f t="shared" si="16"/>
        <v>0</v>
      </c>
      <c r="FU34">
        <f>IF(AND(C34="weekend",I34="X"),K34,0)</f>
        <v>0</v>
      </c>
      <c r="FV34" s="283">
        <f>IF(AND(Stamoplysninger!$B$26="Der er indgået lokalaftale omkring weekendtimer.(Kræver aftale med TR/FSL) Weekendtillæg afspadseres.",I34="X"),K34,0)</f>
        <v>0</v>
      </c>
      <c r="FW34" s="674">
        <f>IF(AND(AND(Stamoplysninger!$B$26="Der er indgået lokalaftale omkring weekendtimer.(Kræver aftale med TR/FSL) Weekendtillæg afspadseres.",I34="X",C34="ikke relevant")),K34,0)</f>
        <v>0</v>
      </c>
      <c r="FX34" s="283">
        <f>IF(AND(Stamoplysninger!$B$26="Der er indgået lokalaftale omkring weekendtimer(Kræver aftale med TR/FSL). Weekendtillæg udbetales.",I34="X"),K34,0)</f>
        <v>0</v>
      </c>
      <c r="FY34" s="674">
        <f>IF(AND(AND(Stamoplysninger!$B$26="Der er indgået lokalaftale omkring weekendtimer(Kræver aftale med TR/FSL). Weekendtillæg udbetales.",I34="X",C34="ikke relevant")),K34,0)</f>
        <v>0</v>
      </c>
      <c r="FZ34" s="283">
        <f>IF(AND(Stamoplysninger!$B$26="Der er indgået lokalaftale omkring weekendtillæg(Kræver aftale med TR/FSL). Weekendtimerne udbetales.",I34="X"),K34,0)</f>
        <v>0</v>
      </c>
      <c r="GA34" s="674">
        <f>IF(AND(AND(Stamoplysninger!$B$26="Der er indgået lokalaftale omkring weekendtillæg(Kræver aftale med TR/FSL). Weekendtimerne udbetales.",I34="X",C34="ikke relevant")),K34,0)</f>
        <v>0</v>
      </c>
      <c r="GB34" s="283">
        <f>IF(AND(Stamoplysninger!$B$26="Der er indgået lokalaftale omkring weekendtimer og weekendtillæg.(Kræver aftale med TR/FSL).",I34="X"),K34,0)</f>
        <v>0</v>
      </c>
      <c r="GC34" s="674">
        <f>IF(AND(AND(Stamoplysninger!$B$26="Der er indgået lokalaftale omkring weekendtimer og weekendtillæg.(Kræver aftale med TR/FSL).",I34="X",C34="ikke relevant")),K34,0)</f>
        <v>0</v>
      </c>
    </row>
    <row r="35" spans="1:185">
      <c r="A35" s="245">
        <f t="shared" si="18"/>
        <v>27</v>
      </c>
      <c r="B35" s="128" t="str">
        <f t="shared" si="0"/>
        <v>ti</v>
      </c>
      <c r="C35" s="129" t="s">
        <v>207</v>
      </c>
      <c r="D35" s="130" t="str">
        <f t="shared" si="1"/>
        <v/>
      </c>
      <c r="E35" s="917"/>
      <c r="F35" s="918"/>
      <c r="G35" s="919"/>
      <c r="H35" s="298"/>
      <c r="I35" s="527"/>
      <c r="J35" s="413"/>
      <c r="K35" s="380"/>
      <c r="L35" s="380"/>
      <c r="M35" s="380"/>
      <c r="N35" s="318">
        <f t="shared" si="19"/>
        <v>8.5</v>
      </c>
      <c r="O35" s="318">
        <f t="shared" si="20"/>
        <v>3.75</v>
      </c>
      <c r="P35" s="318">
        <f>IF(Stamoplysninger!$H$29="JA",Maj!DG35,CX35)</f>
        <v>1.5</v>
      </c>
      <c r="Q35" s="318">
        <f t="shared" si="21"/>
        <v>3.25</v>
      </c>
      <c r="R35" s="319"/>
      <c r="S35" s="324"/>
      <c r="T35" s="325"/>
      <c r="U35" s="325"/>
      <c r="V35" s="435"/>
      <c r="W35" s="412"/>
      <c r="X35" s="642"/>
      <c r="Y35">
        <f t="shared" si="22"/>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f>IF(AND(C35="Skema 2",B35="ti"),Arbejdstidsoversigt!$E$82,"")</f>
        <v>8.5</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8.5</v>
      </c>
      <c r="BB35" s="229">
        <f t="shared" si="8"/>
        <v>0</v>
      </c>
      <c r="BC35" s="1">
        <f t="shared" si="24"/>
        <v>0</v>
      </c>
      <c r="BD35" s="1">
        <f t="shared" si="9"/>
        <v>0</v>
      </c>
      <c r="BE35" s="1">
        <f t="shared" si="10"/>
        <v>0</v>
      </c>
      <c r="BF35" s="1">
        <f t="shared" si="11"/>
        <v>0</v>
      </c>
      <c r="BG35" s="210" t="str">
        <f>IF(AND(C35="Skema 1",B35="ma"),Skemaoplysninger!$E$30,"")</f>
        <v/>
      </c>
      <c r="BH35" s="210" t="str">
        <f>IF(AND(C35="Skema 1",B35="ti"),Skemaoplysninger!$G$30,"")</f>
        <v/>
      </c>
      <c r="BI35" s="210" t="str">
        <f>IF(AND(C35="Skema 1",B35="on"),Skemaoplysninger!$I$30,"")</f>
        <v/>
      </c>
      <c r="BJ35" s="210" t="str">
        <f>IF(AND(C35="Skema 1",B35="to"),Skemaoplysninger!$K$30,"")</f>
        <v/>
      </c>
      <c r="BK35" s="210" t="str">
        <f>IF(AND(C35="Skema 1",B35="fr"),Skemaoplysninger!$M$30,"")</f>
        <v/>
      </c>
      <c r="BL35" s="210" t="str">
        <f>IF(AND(C35="Skema 2",B35="ma"),Skemaoplysninger!$S$30,"")</f>
        <v/>
      </c>
      <c r="BM35" s="210">
        <f>IF(AND(C35="Skema 2",B35="ti"),Skemaoplysninger!$U$30,"")</f>
        <v>0.15625</v>
      </c>
      <c r="BN35" s="210" t="str">
        <f>IF(AND(C35="Skema 2",B35="on"),Skemaoplysninger!$W$30,"")</f>
        <v/>
      </c>
      <c r="BO35" s="210" t="str">
        <f>IF(AND(C35="Skema 2",B35="to"),Skemaoplysninger!$Y$30,"")</f>
        <v/>
      </c>
      <c r="BP35" s="210" t="str">
        <f>IF(AND(C35="Skema 2",B35="fr"),Skemaoplysninger!$AA$30,"")</f>
        <v/>
      </c>
      <c r="BQ35" s="210" t="str">
        <f>IF(AND(C35="Skema 3",B35="ma"),Skemaoplysninger!$AG$30,"")</f>
        <v/>
      </c>
      <c r="BR35" s="210" t="str">
        <f>IF(AND(C35="Skema 3",B35="ti"),Skemaoplysninger!$AI$30,"")</f>
        <v/>
      </c>
      <c r="BS35" s="210" t="str">
        <f>IF(AND(C35="Skema 3",B35="on"),Skemaoplysninger!$AK$30,"")</f>
        <v/>
      </c>
      <c r="BT35" s="210" t="str">
        <f>IF(AND(C35="Skema 3",B35="to"),Skemaoplysninger!$AM$30,"")</f>
        <v/>
      </c>
      <c r="BU35" s="210" t="str">
        <f>IF(AND(C35="Skema 3",B35="fr"),Skemaoplysninger!$AO$30,"")</f>
        <v/>
      </c>
      <c r="BV35" s="210" t="str">
        <f>IF(AND(C35="Skema 4",B35="ma"),Skemaoplysninger!$AU$30,"")</f>
        <v/>
      </c>
      <c r="BW35" s="210" t="str">
        <f>IF(AND(C35="Skema 4",B35="ti"),Skemaoplysninger!$AW$30,"")</f>
        <v/>
      </c>
      <c r="BX35" s="210" t="str">
        <f>IF(AND(C35="Skema 4",B35="on"),Skemaoplysninger!$AY$30,"")</f>
        <v/>
      </c>
      <c r="BY35" s="210" t="str">
        <f>IF(AND(C35="Skema 4",B35="to"),Skemaoplysninger!$BA$30,"")</f>
        <v/>
      </c>
      <c r="BZ35" s="210" t="str">
        <f>IF(AND(C35="Skema 4",B35="fr"),Skemaoplysninger!$BC$30,"")</f>
        <v/>
      </c>
      <c r="CA35" s="1">
        <f t="shared" si="25"/>
        <v>3.75</v>
      </c>
      <c r="CB35" s="1">
        <f t="shared" si="12"/>
        <v>0</v>
      </c>
      <c r="CC35" s="1">
        <f t="shared" si="13"/>
        <v>0</v>
      </c>
      <c r="CD35" s="210" t="str">
        <f>IF(AND(C35="Skema 1",B35="ma"),Skemaoplysninger!$E$31,"")</f>
        <v/>
      </c>
      <c r="CE35" s="210" t="str">
        <f>IF(AND(C35="Skema 1",B35="ti"),Skemaoplysninger!$G$31,"")</f>
        <v/>
      </c>
      <c r="CF35" s="210" t="str">
        <f>IF(AND(C35="Skema 1",B35="on"),Skemaoplysninger!$I$31,"")</f>
        <v/>
      </c>
      <c r="CG35" s="210" t="str">
        <f>IF(AND(C35="Skema 1",B35="to"),Skemaoplysninger!$K$31,"")</f>
        <v/>
      </c>
      <c r="CH35" s="210" t="str">
        <f>IF(AND(C35="Skema 1",B35="fr"),Skemaoplysninger!$M$31,"")</f>
        <v/>
      </c>
      <c r="CI35" s="210" t="str">
        <f>IF(AND(C35="Skema 2",B35="ma"),Skemaoplysninger!$S$31,"")</f>
        <v/>
      </c>
      <c r="CJ35" s="210">
        <f>IF(AND(C35="Skema 2",B35="ti"),Skemaoplysninger!$U$31,"")</f>
        <v>6.25E-2</v>
      </c>
      <c r="CK35" s="210" t="str">
        <f>IF(AND(C35="Skema 2",B35="on"),Skemaoplysninger!$W$31,"")</f>
        <v/>
      </c>
      <c r="CL35" s="210" t="str">
        <f>IF(AND(C35="Skema 2",B35="to"),Skemaoplysninger!$Y$31,"")</f>
        <v/>
      </c>
      <c r="CM35" s="210" t="str">
        <f>IF(AND(C35="Skema 2",B35="fr"),Skemaoplysninger!$AA$31,"")</f>
        <v/>
      </c>
      <c r="CN35" s="210" t="str">
        <f>IF(AND(C35="Skema 3",B35="ma"),Skemaoplysninger!$AG$31,"")</f>
        <v/>
      </c>
      <c r="CO35" s="210" t="str">
        <f>IF(AND(C35="Skema 3",B35="ti"),Skemaoplysninger!$AI$31,"")</f>
        <v/>
      </c>
      <c r="CP35" s="210" t="str">
        <f>IF(AND(C35="Skema 3",B35="on"),Skemaoplysninger!$AK$31,"")</f>
        <v/>
      </c>
      <c r="CQ35" s="210" t="str">
        <f>IF(AND(C35="Skema 3",B35="to"),Skemaoplysninger!$AM$31,"")</f>
        <v/>
      </c>
      <c r="CR35" s="210" t="str">
        <f>IF(AND(C35="Skema 3",B35="fr"),Skemaoplysninger!$AO$31,"")</f>
        <v/>
      </c>
      <c r="CS35" s="210" t="str">
        <f>IF(AND(C35="Skema 4",B35="ma"),Skemaoplysninger!$AU$31,"")</f>
        <v/>
      </c>
      <c r="CT35" s="210" t="str">
        <f>IF(AND(C35="Skema 4",B35="ti"),Skemaoplysninger!$AW$31,"")</f>
        <v/>
      </c>
      <c r="CU35" s="210" t="str">
        <f>IF(AND(C35="Skema 4",B35="on"),Skemaoplysninger!$AY$31,"")</f>
        <v/>
      </c>
      <c r="CV35" s="210" t="str">
        <f>IF(AND(C35="Skema 4",B35="to"),Skemaoplysninger!$BA$31,"")</f>
        <v/>
      </c>
      <c r="CW35" s="210" t="str">
        <f>IF(AND(C35="Skema 4",B35="fr"),Skemaoplysninger!$BC$31,"")</f>
        <v/>
      </c>
      <c r="CX35" s="249">
        <f>IF(Stamoplysninger!$H$29="NEJ",SUM(CD35:CW35)*24+CB35+CC35,0)</f>
        <v>1.5</v>
      </c>
      <c r="CY35" s="249">
        <f>IF(C35="Skema 1",Stamoplysninger!$H$30/200,0)</f>
        <v>0</v>
      </c>
      <c r="CZ35" s="249">
        <f>IF(C35="Skema 2",Stamoplysninger!$H$30/200,0)</f>
        <v>0</v>
      </c>
      <c r="DA35" s="249">
        <f>IF(C35="Skema 3",Stamoplysninger!$H$30/200,0)</f>
        <v>0</v>
      </c>
      <c r="DB35" s="249">
        <f>IF(C35="Skema 4",Stamoplysninger!$H$30/200,0)</f>
        <v>0</v>
      </c>
      <c r="DC35" s="249">
        <f>IF(C35="fagdag",Stamoplysninger!$H$30/200,0)</f>
        <v>0</v>
      </c>
      <c r="DD35" s="249">
        <f>IF(C35="emnedag",Stamoplysninger!$H$30/200,0)</f>
        <v>0</v>
      </c>
      <c r="DE35" s="249">
        <f>IF(C35="lejrskole",Stamoplysninger!$H$30/200,0)</f>
        <v>0</v>
      </c>
      <c r="DF35" s="249">
        <f>IF(C35="ekskursion",Stamoplysninger!$H$30/200,0)</f>
        <v>0</v>
      </c>
      <c r="DG35" s="249">
        <f t="shared" si="26"/>
        <v>0</v>
      </c>
      <c r="DH35" t="str">
        <f t="shared" si="27"/>
        <v/>
      </c>
      <c r="DI35">
        <f t="shared" si="28"/>
        <v>0</v>
      </c>
      <c r="DJ35">
        <f t="shared" si="29"/>
        <v>0</v>
      </c>
      <c r="DK35" t="str">
        <f t="shared" si="14"/>
        <v/>
      </c>
      <c r="DL35" t="str">
        <f t="shared" si="14"/>
        <v/>
      </c>
      <c r="DM35" t="str">
        <f t="shared" si="14"/>
        <v/>
      </c>
      <c r="DN35" t="str">
        <f t="shared" si="30"/>
        <v/>
      </c>
      <c r="DO35" s="652">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71">
        <f>IF(AND(Stamoplysninger!$B$22="Ulempetillæg udbetales med 25% af nettotimelønnen.",C35="ikke relevant"),(R35)/4,0)</f>
        <v>0</v>
      </c>
      <c r="DT35" s="671">
        <f>IF(AND(AND(Stamoplysninger!$B$22="Ulempetillæg udbetales med 25% af nettotimelønnen.",I35="X",C35="Ikke relevant")),K35/4,0)</f>
        <v>0</v>
      </c>
      <c r="DU35" s="671">
        <f>IF(AND(AND(Stamoplysninger!$B$22="Ulempetillæg udbetales med 25% af nettotimelønnen.",C35="ikke relevant",U35="X")),(X35/4),0)</f>
        <v>0</v>
      </c>
      <c r="DV35" s="672">
        <f>IF(AND(AND(AND(Stamoplysninger!$B$22="Ulempetillæg udbetales med 25% af nettotimelønnen.",I35="X",C35="Ikke relevant",S35="X"))),V35/4,0)</f>
        <v>0</v>
      </c>
      <c r="DW35" s="652"/>
      <c r="DZ35" s="671"/>
      <c r="EA35" s="671"/>
      <c r="EB35" s="672"/>
      <c r="EC35" s="652">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71">
        <f>IF(AND(Stamoplysninger!$B$22="Ulempetillæg afspadseres med 25%(Kræver en aftale imellem ledelsen og den ansatte)",C35="ikke relevant"),(R35)/4,0)</f>
        <v>0</v>
      </c>
      <c r="EH35" s="671">
        <f>IF(AND(AND(Stamoplysninger!$B$22="Ulempetillæg afspadseres med 25%(Kræver en aftale imellem ledelsen og den ansatte)",I35="X",C35="Ikke relevant")),K35/4,0)</f>
        <v>0</v>
      </c>
      <c r="EI35" s="671">
        <f>IF(AND(AND(Stamoplysninger!$B$22="Ulempetillæg afspadseres med 25%(Kræver en aftale imellem ledelsen og den ansatte)",U35="X",C35="Ikke relevant")),X35/4,0)</f>
        <v>0</v>
      </c>
      <c r="EJ35" s="671">
        <f>IF(AND(AND(AND(Stamoplysninger!$B$22="Ulempetillæg afspadseres med 25%(Kræver en aftale imellem ledelsen og den ansatte)",I35="X",C35="Ikke relevant",S35="X"))),V35/4,0)</f>
        <v>0</v>
      </c>
      <c r="EK35" s="283">
        <f>IF(AND(Stamoplysninger!$B$26="Weekendtimer og weekendtillæg afspadseres.",I35="X"),K35*1.5,0)</f>
        <v>0</v>
      </c>
      <c r="EL35" s="251">
        <f>IF(AND(AND(Stamoplysninger!$B$26="Weekendtimer og weekendtillæg afspadseres.",I35="X",S35="X")),V35*1.5,0)</f>
        <v>0</v>
      </c>
      <c r="EM35" s="674">
        <f>IF(AND(AND(Stamoplysninger!$B$26="Weekendtimer og weekendtillæg afspadseres.",I35="X",C35="ikke relevant")),K35*1.5,0)</f>
        <v>0</v>
      </c>
      <c r="EN35" s="675">
        <f>IF(AND(AND(AND(Stamoplysninger!$B$26="Weekendtimer og weekendtillæg afspadseres.",I35="X",C35="ikke relevant",S35="X"))),(V35*1.5),0)</f>
        <v>0</v>
      </c>
      <c r="EO35" s="283">
        <f>IF(AND(Stamoplysninger!$B$26="Weekendtimer og weekendtillæg udbetales.",I35="X"),K35*1.5,0)</f>
        <v>0</v>
      </c>
      <c r="EP35" s="251">
        <f>IF(AND(AND(Stamoplysninger!$B$26="Weekendtimer og weekendtillæg udbetales.",I35="X",S35="X")),V35*1.5,0)</f>
        <v>0</v>
      </c>
      <c r="EQ35" s="674">
        <f>IF(AND(AND(Stamoplysninger!$B$26="Weekendtimer og weekendtillæg udbetales.",I35="X",C35="ikke relevant")),K35*1.5,0)</f>
        <v>0</v>
      </c>
      <c r="ER35" s="675">
        <f>IF(AND(AND(AND(Stamoplysninger!$B$26="Weekendtimer og weekendtillæg udbetales.",I35="X",C35="ikke relevant",S35="X"))),(V35*1.5),0)</f>
        <v>0</v>
      </c>
      <c r="ES35" s="283">
        <f>IF(AND(Stamoplysninger!$B$26="Der er indgået lokalaftale omkring weekendtimer.(Kræver aftale med TR/FSL) Weekendtillæg afspadseres.",I35="X"),K35*0.5,0)</f>
        <v>0</v>
      </c>
      <c r="ET35" s="251">
        <f>IF(AND(AND(Stamoplysninger!$B$26="Der er indgået lokalaftale omkring weekendtimer.(Kræver aftale med TR/FSL) Weekendtillæg afspadseres.",I35="X",S35="X")),V35*0.5,0)</f>
        <v>0</v>
      </c>
      <c r="EU35" s="674">
        <f>IF(AND(AND(Stamoplysninger!$B$26="Der er indgået lokalaftale omkring weekendtimer.(Kræver aftale med TR/FSL) Weekendtillæg afspadseres.",I35="X",C35="ikke relevant")),K35*0.5,0)</f>
        <v>0</v>
      </c>
      <c r="EV35" s="675">
        <f>IF(AND(AND(AND(Stamoplysninger!$B$26="Der er indgået lokalaftale omkring weekendtimer.(Kræver aftale med TR/FSL) Weekendtillæg afspadseres.",I35="X",C35="ikke relevant",S35="X"))),(V35*0.5),0)</f>
        <v>0</v>
      </c>
      <c r="EW35" s="283">
        <f>IF(AND(Stamoplysninger!$B$26="Der er indgået lokalaftale omkring weekendtimer(Kræver aftale med TR/FSL). Weekendtillæg udbetales.",I35="X"),K35*0.5,0)</f>
        <v>0</v>
      </c>
      <c r="EX35" s="251">
        <f>IF(AND(AND(Stamoplysninger!$B$26="Der er indgået lokalaftale omkring weekendtimer(Kræver aftale med TR/FSL). Weekendtillæg udbetales.",I35="X",S35="X")),V35*0.5,0)</f>
        <v>0</v>
      </c>
      <c r="EY35" s="674">
        <f>IF(AND(AND(Stamoplysninger!$B$26="Der er indgået lokalaftale omkring weekendtimer(Kræver aftale med TR/FSL). Weekendtillæg udbetales.",I35="X",C35="ikke relevant")),K35*0.5,0)</f>
        <v>0</v>
      </c>
      <c r="EZ35" s="675">
        <f>IF(AND(AND(AND(Stamoplysninger!$B$26="Der er indgået lokalaftale omkring weekendtimer(Kræver aftale med TR/FSL). Weekendtillæg udbetales.",I35="X",C35="ikke relevant",S35="X"))),(V35*0.5),0)</f>
        <v>0</v>
      </c>
      <c r="FA35" s="283">
        <f>IF(AND(Stamoplysninger!$B$26="Der er indgået lokalaftale omkring weekendtillæg(Kræver aftale med TR/FSL). Weekendtimerne afspadseres.",I35="X"),K35,0)</f>
        <v>0</v>
      </c>
      <c r="FB35" s="251">
        <f>IF(AND(AND(Stamoplysninger!$B$26="Der er indgået lokalaftale omkring weekendtillæg(Kræver aftale med TR/FSL). Weekendtimerne afspadseres.",I35="X",S35="X")),V35,0)</f>
        <v>0</v>
      </c>
      <c r="FC35" s="674">
        <f>IF(AND(AND(Stamoplysninger!$B$26="Der er indgået lokalaftale omkring weekendtillæg(Kræver aftale med TR/FSL). Weekendtimerne afspadseres..",I35="X",C35="ikke relevant")),K35,0)</f>
        <v>0</v>
      </c>
      <c r="FD35" s="675">
        <f>IF(AND(AND(AND(Stamoplysninger!$B$26="Der er indgået lokalaftale omkring weekendtillæg(Kræver aftale med TR/FSL). Weekendtimerne afspadseres.",I35="X",C35="ikke relevant",S35="X"))),(V35),0)</f>
        <v>0</v>
      </c>
      <c r="FE35" s="283">
        <f>IF(AND(Stamoplysninger!$B$26="Der er indgået lokalaftale omkring weekendtillæg(Kræver aftale med TR/FSL). Weekendtimerne udbetales.",I35="X"),K35,0)</f>
        <v>0</v>
      </c>
      <c r="FF35" s="251">
        <f>IF(AND(AND(Stamoplysninger!$B$26="Der er indgået lokalaftale omkring weekendtillæg(Kræver aftale med TR/FSL). Weekendtimerne udbetales.",I35="X",S35="X")),V35,0)</f>
        <v>0</v>
      </c>
      <c r="FG35" s="674">
        <f>IF(AND(AND(Stamoplysninger!$B$26="Der er indgået lokalaftale omkring weekendtillæg(Kræver aftale med TR/FSL). Weekendtimerne udbetales.",I35="X",C35="ikke relevant")),K35,0)</f>
        <v>0</v>
      </c>
      <c r="FH35" s="675">
        <f>IF(AND(AND(AND(Stamoplysninger!$B$26="Der er indgået lokalaftale omkring weekendtillæg(Kræver aftale med TR/FSL). Weekendtimerne udbetales.",I35="X",C35="ikke relevant",S35="X"))),(V35),0)</f>
        <v>0</v>
      </c>
      <c r="FI35" s="283">
        <f>IF(AND(Stamoplysninger!$B$26="Weekendtimer og weekendtillæg afspadseres.",I35="X"),K35,0)</f>
        <v>0</v>
      </c>
      <c r="FJ35" s="251">
        <f>IF(AND(Stamoplysninger!$B$26="Weekendtimer og weekendtillæg afspadseres.",Y35="X"),(AA35+AL35)/2,0)</f>
        <v>0</v>
      </c>
      <c r="FK35" s="674">
        <f>IF(AND(AND(Stamoplysninger!$B$26="Weekendtimer og weekendtillæg afspadseres.",I35="X",C35="ikke relevant")),K35,0)</f>
        <v>0</v>
      </c>
      <c r="FL35" s="675">
        <f>IF(AND(AND(Stamoplysninger!$B$26="Weekendtimer og weekendtillæg afspadseres.",Y35="X",S35="ikke relevant")),(AA35+AL35)/2,0)</f>
        <v>0</v>
      </c>
      <c r="FM35" s="283">
        <f>IF(AND(Stamoplysninger!$B$26="Der er indgået lokalaftale omkring weekendtillæg(Kræver aftale med TR/FSL). Weekendtimerne afspadseres.",I35="X"),K35,0)</f>
        <v>0</v>
      </c>
      <c r="FN35" s="674">
        <f>IF(AND(AND(Stamoplysninger!$B$26="Der er indgået lokalaftale omkring weekendtillæg(Kræver aftale med TR/FSL). Weekendtimerne afspadseres.",I35="X",C35="ikke relevant")),K35,0)</f>
        <v>0</v>
      </c>
      <c r="FO35" s="283">
        <f>IF(AND(Stamoplysninger!$B$26="Weekendtimer og weekendtillæg udbetales.",I35="X"),K35,0)</f>
        <v>0</v>
      </c>
      <c r="FP35" s="251">
        <f>IF(AND(Stamoplysninger!$B$26="Weekendtimer og weekendtillæg udbetales.",AA35="X"),(AC35+AN35)/2,0)</f>
        <v>0</v>
      </c>
      <c r="FQ35" s="674">
        <f>IF(AND(AND(Stamoplysninger!$B$26="Weekendtimer og weekendtillæg udbetales.",I35="X",C35="ikke relevant")),K35,0)</f>
        <v>0</v>
      </c>
      <c r="FR35" s="688">
        <f>IF(AND(AND(Stamoplysninger!$B$26="Weekendtimer og weekendtillæg udbetales.",AA35="X",U35="ikke relevant")),(AC35+AN35)/2,0)</f>
        <v>0</v>
      </c>
      <c r="FS35" s="283">
        <f t="shared" si="15"/>
        <v>0</v>
      </c>
      <c r="FT35" s="658">
        <f t="shared" si="16"/>
        <v>0</v>
      </c>
      <c r="FU35">
        <f t="shared" si="31"/>
        <v>0</v>
      </c>
      <c r="FV35" s="283">
        <f>IF(AND(Stamoplysninger!$B$26="Der er indgået lokalaftale omkring weekendtimer.(Kræver aftale med TR/FSL) Weekendtillæg afspadseres.",I35="X"),K35,0)</f>
        <v>0</v>
      </c>
      <c r="FW35" s="674">
        <f>IF(AND(AND(Stamoplysninger!$B$26="Der er indgået lokalaftale omkring weekendtimer.(Kræver aftale med TR/FSL) Weekendtillæg afspadseres.",I35="X",C35="ikke relevant")),K35,0)</f>
        <v>0</v>
      </c>
      <c r="FX35" s="283">
        <f>IF(AND(Stamoplysninger!$B$26="Der er indgået lokalaftale omkring weekendtimer(Kræver aftale med TR/FSL). Weekendtillæg udbetales.",I35="X"),K35,0)</f>
        <v>0</v>
      </c>
      <c r="FY35" s="674">
        <f>IF(AND(AND(Stamoplysninger!$B$26="Der er indgået lokalaftale omkring weekendtimer(Kræver aftale med TR/FSL). Weekendtillæg udbetales.",I35="X",C35="ikke relevant")),K35,0)</f>
        <v>0</v>
      </c>
      <c r="FZ35" s="283">
        <f>IF(AND(Stamoplysninger!$B$26="Der er indgået lokalaftale omkring weekendtillæg(Kræver aftale med TR/FSL). Weekendtimerne udbetales.",I35="X"),K35,0)</f>
        <v>0</v>
      </c>
      <c r="GA35" s="674">
        <f>IF(AND(AND(Stamoplysninger!$B$26="Der er indgået lokalaftale omkring weekendtillæg(Kræver aftale med TR/FSL). Weekendtimerne udbetales.",I35="X",C35="ikke relevant")),K35,0)</f>
        <v>0</v>
      </c>
      <c r="GB35" s="283">
        <f>IF(AND(Stamoplysninger!$B$26="Der er indgået lokalaftale omkring weekendtimer og weekendtillæg.(Kræver aftale med TR/FSL).",I35="X"),K35,0)</f>
        <v>0</v>
      </c>
      <c r="GC35" s="674">
        <f>IF(AND(AND(Stamoplysninger!$B$26="Der er indgået lokalaftale omkring weekendtimer og weekendtillæg.(Kræver aftale med TR/FSL).",I35="X",C35="ikke relevant")),K35,0)</f>
        <v>0</v>
      </c>
    </row>
    <row r="36" spans="1:185">
      <c r="A36" s="245">
        <f t="shared" si="18"/>
        <v>28</v>
      </c>
      <c r="B36" s="128" t="str">
        <f t="shared" si="0"/>
        <v>on</v>
      </c>
      <c r="C36" s="129" t="s">
        <v>207</v>
      </c>
      <c r="D36" s="130" t="str">
        <f t="shared" si="1"/>
        <v/>
      </c>
      <c r="E36" s="917"/>
      <c r="F36" s="918"/>
      <c r="G36" s="919"/>
      <c r="H36" s="298"/>
      <c r="I36" s="527"/>
      <c r="J36" s="413"/>
      <c r="K36" s="380"/>
      <c r="L36" s="380"/>
      <c r="M36" s="380"/>
      <c r="N36" s="318">
        <f t="shared" si="19"/>
        <v>7.75</v>
      </c>
      <c r="O36" s="318">
        <f t="shared" si="20"/>
        <v>4.25</v>
      </c>
      <c r="P36" s="318">
        <f>IF(Stamoplysninger!$H$29="JA",Maj!DG36,CX36)</f>
        <v>1</v>
      </c>
      <c r="Q36" s="318">
        <f t="shared" si="21"/>
        <v>2.5</v>
      </c>
      <c r="R36" s="319"/>
      <c r="S36" s="324"/>
      <c r="T36" s="325"/>
      <c r="U36" s="325"/>
      <c r="V36" s="435"/>
      <c r="W36" s="412"/>
      <c r="X36" s="642"/>
      <c r="Y36">
        <f t="shared" si="22"/>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f>IF(AND(C36="Skema 2",B36="on"),Arbejdstidsoversigt!$E$83,"")</f>
        <v>7.75</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7.75</v>
      </c>
      <c r="BB36" s="229">
        <f t="shared" si="8"/>
        <v>0</v>
      </c>
      <c r="BC36" s="1">
        <f t="shared" si="24"/>
        <v>0</v>
      </c>
      <c r="BD36" s="1">
        <f t="shared" si="9"/>
        <v>0</v>
      </c>
      <c r="BE36" s="1">
        <f t="shared" si="10"/>
        <v>0</v>
      </c>
      <c r="BF36" s="1">
        <f t="shared" si="11"/>
        <v>0</v>
      </c>
      <c r="BG36" s="210" t="str">
        <f>IF(AND(C36="Skema 1",B36="ma"),Skemaoplysninger!$E$30,"")</f>
        <v/>
      </c>
      <c r="BH36" s="210" t="str">
        <f>IF(AND(C36="Skema 1",B36="ti"),Skemaoplysninger!$G$30,"")</f>
        <v/>
      </c>
      <c r="BI36" s="210" t="str">
        <f>IF(AND(C36="Skema 1",B36="on"),Skemaoplysninger!$I$30,"")</f>
        <v/>
      </c>
      <c r="BJ36" s="210" t="str">
        <f>IF(AND(C36="Skema 1",B36="to"),Skemaoplysninger!$K$30,"")</f>
        <v/>
      </c>
      <c r="BK36" s="210" t="str">
        <f>IF(AND(C36="Skema 1",B36="fr"),Skemaoplysninger!$M$30,"")</f>
        <v/>
      </c>
      <c r="BL36" s="210" t="str">
        <f>IF(AND(C36="Skema 2",B36="ma"),Skemaoplysninger!$S$30,"")</f>
        <v/>
      </c>
      <c r="BM36" s="210" t="str">
        <f>IF(AND(C36="Skema 2",B36="ti"),Skemaoplysninger!$U$30,"")</f>
        <v/>
      </c>
      <c r="BN36" s="210">
        <f>IF(AND(C36="Skema 2",B36="on"),Skemaoplysninger!$W$30,"")</f>
        <v>0.17708333333333331</v>
      </c>
      <c r="BO36" s="210" t="str">
        <f>IF(AND(C36="Skema 2",B36="to"),Skemaoplysninger!$Y$30,"")</f>
        <v/>
      </c>
      <c r="BP36" s="210" t="str">
        <f>IF(AND(C36="Skema 2",B36="fr"),Skemaoplysninger!$AA$30,"")</f>
        <v/>
      </c>
      <c r="BQ36" s="210" t="str">
        <f>IF(AND(C36="Skema 3",B36="ma"),Skemaoplysninger!$AG$30,"")</f>
        <v/>
      </c>
      <c r="BR36" s="210" t="str">
        <f>IF(AND(C36="Skema 3",B36="ti"),Skemaoplysninger!$AI$30,"")</f>
        <v/>
      </c>
      <c r="BS36" s="210" t="str">
        <f>IF(AND(C36="Skema 3",B36="on"),Skemaoplysninger!$AK$30,"")</f>
        <v/>
      </c>
      <c r="BT36" s="210" t="str">
        <f>IF(AND(C36="Skema 3",B36="to"),Skemaoplysninger!$AM$30,"")</f>
        <v/>
      </c>
      <c r="BU36" s="210" t="str">
        <f>IF(AND(C36="Skema 3",B36="fr"),Skemaoplysninger!$AO$30,"")</f>
        <v/>
      </c>
      <c r="BV36" s="210" t="str">
        <f>IF(AND(C36="Skema 4",B36="ma"),Skemaoplysninger!$AU$30,"")</f>
        <v/>
      </c>
      <c r="BW36" s="210" t="str">
        <f>IF(AND(C36="Skema 4",B36="ti"),Skemaoplysninger!$AW$30,"")</f>
        <v/>
      </c>
      <c r="BX36" s="210" t="str">
        <f>IF(AND(C36="Skema 4",B36="on"),Skemaoplysninger!$AY$30,"")</f>
        <v/>
      </c>
      <c r="BY36" s="210" t="str">
        <f>IF(AND(C36="Skema 4",B36="to"),Skemaoplysninger!$BA$30,"")</f>
        <v/>
      </c>
      <c r="BZ36" s="210" t="str">
        <f>IF(AND(C36="Skema 4",B36="fr"),Skemaoplysninger!$BC$30,"")</f>
        <v/>
      </c>
      <c r="CA36" s="1">
        <f t="shared" si="25"/>
        <v>4.25</v>
      </c>
      <c r="CB36" s="1">
        <f t="shared" si="12"/>
        <v>0</v>
      </c>
      <c r="CC36" s="1">
        <f t="shared" si="13"/>
        <v>0</v>
      </c>
      <c r="CD36" s="210" t="str">
        <f>IF(AND(C36="Skema 1",B36="ma"),Skemaoplysninger!$E$31,"")</f>
        <v/>
      </c>
      <c r="CE36" s="210" t="str">
        <f>IF(AND(C36="Skema 1",B36="ti"),Skemaoplysninger!$G$31,"")</f>
        <v/>
      </c>
      <c r="CF36" s="210" t="str">
        <f>IF(AND(C36="Skema 1",B36="on"),Skemaoplysninger!$I$31,"")</f>
        <v/>
      </c>
      <c r="CG36" s="210" t="str">
        <f>IF(AND(C36="Skema 1",B36="to"),Skemaoplysninger!$K$31,"")</f>
        <v/>
      </c>
      <c r="CH36" s="210" t="str">
        <f>IF(AND(C36="Skema 1",B36="fr"),Skemaoplysninger!$M$31,"")</f>
        <v/>
      </c>
      <c r="CI36" s="210" t="str">
        <f>IF(AND(C36="Skema 2",B36="ma"),Skemaoplysninger!$S$31,"")</f>
        <v/>
      </c>
      <c r="CJ36" s="210" t="str">
        <f>IF(AND(C36="Skema 2",B36="ti"),Skemaoplysninger!$U$31,"")</f>
        <v/>
      </c>
      <c r="CK36" s="210">
        <f>IF(AND(C36="Skema 2",B36="on"),Skemaoplysninger!$W$31,"")</f>
        <v>4.1666666666666664E-2</v>
      </c>
      <c r="CL36" s="210" t="str">
        <f>IF(AND(C36="Skema 2",B36="to"),Skemaoplysninger!$Y$31,"")</f>
        <v/>
      </c>
      <c r="CM36" s="210" t="str">
        <f>IF(AND(C36="Skema 2",B36="fr"),Skemaoplysninger!$AA$31,"")</f>
        <v/>
      </c>
      <c r="CN36" s="210" t="str">
        <f>IF(AND(C36="Skema 3",B36="ma"),Skemaoplysninger!$AG$31,"")</f>
        <v/>
      </c>
      <c r="CO36" s="210" t="str">
        <f>IF(AND(C36="Skema 3",B36="ti"),Skemaoplysninger!$AI$31,"")</f>
        <v/>
      </c>
      <c r="CP36" s="210" t="str">
        <f>IF(AND(C36="Skema 3",B36="on"),Skemaoplysninger!$AK$31,"")</f>
        <v/>
      </c>
      <c r="CQ36" s="210" t="str">
        <f>IF(AND(C36="Skema 3",B36="to"),Skemaoplysninger!$AM$31,"")</f>
        <v/>
      </c>
      <c r="CR36" s="210" t="str">
        <f>IF(AND(C36="Skema 3",B36="fr"),Skemaoplysninger!$AO$31,"")</f>
        <v/>
      </c>
      <c r="CS36" s="210" t="str">
        <f>IF(AND(C36="Skema 4",B36="ma"),Skemaoplysninger!$AU$31,"")</f>
        <v/>
      </c>
      <c r="CT36" s="210" t="str">
        <f>IF(AND(C36="Skema 4",B36="ti"),Skemaoplysninger!$AW$31,"")</f>
        <v/>
      </c>
      <c r="CU36" s="210" t="str">
        <f>IF(AND(C36="Skema 4",B36="on"),Skemaoplysninger!$AY$31,"")</f>
        <v/>
      </c>
      <c r="CV36" s="210" t="str">
        <f>IF(AND(C36="Skema 4",B36="to"),Skemaoplysninger!$BA$31,"")</f>
        <v/>
      </c>
      <c r="CW36" s="210" t="str">
        <f>IF(AND(C36="Skema 4",B36="fr"),Skemaoplysninger!$BC$31,"")</f>
        <v/>
      </c>
      <c r="CX36" s="249">
        <f>IF(Stamoplysninger!$H$29="NEJ",SUM(CD36:CW36)*24+CB36+CC36,0)</f>
        <v>1</v>
      </c>
      <c r="CY36" s="249">
        <f>IF(C36="Skema 1",Stamoplysninger!$H$30/200,0)</f>
        <v>0</v>
      </c>
      <c r="CZ36" s="249">
        <f>IF(C36="Skema 2",Stamoplysninger!$H$30/200,0)</f>
        <v>0</v>
      </c>
      <c r="DA36" s="249">
        <f>IF(C36="Skema 3",Stamoplysninger!$H$30/200,0)</f>
        <v>0</v>
      </c>
      <c r="DB36" s="249">
        <f>IF(C36="Skema 4",Stamoplysninger!$H$30/200,0)</f>
        <v>0</v>
      </c>
      <c r="DC36" s="249">
        <f>IF(C36="fagdag",Stamoplysninger!$H$30/200,0)</f>
        <v>0</v>
      </c>
      <c r="DD36" s="249">
        <f>IF(C36="emnedag",Stamoplysninger!$H$30/200,0)</f>
        <v>0</v>
      </c>
      <c r="DE36" s="249">
        <f>IF(C36="lejrskole",Stamoplysninger!$H$30/200,0)</f>
        <v>0</v>
      </c>
      <c r="DF36" s="249">
        <f>IF(C36="ekskursion",Stamoplysninger!$H$30/200,0)</f>
        <v>0</v>
      </c>
      <c r="DG36" s="249">
        <f t="shared" si="26"/>
        <v>0</v>
      </c>
      <c r="DH36" t="str">
        <f t="shared" si="27"/>
        <v/>
      </c>
      <c r="DI36">
        <f t="shared" si="28"/>
        <v>0</v>
      </c>
      <c r="DJ36">
        <f t="shared" si="29"/>
        <v>0</v>
      </c>
      <c r="DK36" t="str">
        <f t="shared" si="14"/>
        <v/>
      </c>
      <c r="DL36" t="str">
        <f t="shared" si="14"/>
        <v/>
      </c>
      <c r="DM36" t="str">
        <f t="shared" si="14"/>
        <v/>
      </c>
      <c r="DN36" t="str">
        <f t="shared" si="30"/>
        <v/>
      </c>
      <c r="DO36" s="652">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71">
        <f>IF(AND(Stamoplysninger!$B$22="Ulempetillæg udbetales med 25% af nettotimelønnen.",C36="ikke relevant"),(R36)/4,0)</f>
        <v>0</v>
      </c>
      <c r="DT36" s="671">
        <f>IF(AND(AND(Stamoplysninger!$B$22="Ulempetillæg udbetales med 25% af nettotimelønnen.",I36="X",C36="Ikke relevant")),K36/4,0)</f>
        <v>0</v>
      </c>
      <c r="DU36" s="671">
        <f>IF(AND(AND(Stamoplysninger!$B$22="Ulempetillæg udbetales med 25% af nettotimelønnen.",C36="ikke relevant",U36="X")),(X36/4),0)</f>
        <v>0</v>
      </c>
      <c r="DV36" s="672">
        <f>IF(AND(AND(AND(Stamoplysninger!$B$22="Ulempetillæg udbetales med 25% af nettotimelønnen.",I36="X",C36="Ikke relevant",S36="X"))),V36/4,0)</f>
        <v>0</v>
      </c>
      <c r="DW36" s="652"/>
      <c r="DZ36" s="671"/>
      <c r="EA36" s="671"/>
      <c r="EB36" s="672"/>
      <c r="EC36" s="652">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71">
        <f>IF(AND(Stamoplysninger!$B$22="Ulempetillæg afspadseres med 25%(Kræver en aftale imellem ledelsen og den ansatte)",C36="ikke relevant"),(R36)/4,0)</f>
        <v>0</v>
      </c>
      <c r="EH36" s="671">
        <f>IF(AND(AND(Stamoplysninger!$B$22="Ulempetillæg afspadseres med 25%(Kræver en aftale imellem ledelsen og den ansatte)",I36="X",C36="Ikke relevant")),K36/4,0)</f>
        <v>0</v>
      </c>
      <c r="EI36" s="671">
        <f>IF(AND(AND(Stamoplysninger!$B$22="Ulempetillæg afspadseres med 25%(Kræver en aftale imellem ledelsen og den ansatte)",U36="X",C36="Ikke relevant")),X36/4,0)</f>
        <v>0</v>
      </c>
      <c r="EJ36" s="671">
        <f>IF(AND(AND(AND(Stamoplysninger!$B$22="Ulempetillæg afspadseres med 25%(Kræver en aftale imellem ledelsen og den ansatte)",I36="X",C36="Ikke relevant",S36="X"))),V36/4,0)</f>
        <v>0</v>
      </c>
      <c r="EK36" s="283">
        <f>IF(AND(Stamoplysninger!$B$26="Weekendtimer og weekendtillæg afspadseres.",I36="X"),K36*1.5,0)</f>
        <v>0</v>
      </c>
      <c r="EL36" s="251">
        <f>IF(AND(AND(Stamoplysninger!$B$26="Weekendtimer og weekendtillæg afspadseres.",I36="X",S36="X")),V36*1.5,0)</f>
        <v>0</v>
      </c>
      <c r="EM36" s="674">
        <f>IF(AND(AND(Stamoplysninger!$B$26="Weekendtimer og weekendtillæg afspadseres.",I36="X",C36="ikke relevant")),K36*1.5,0)</f>
        <v>0</v>
      </c>
      <c r="EN36" s="675">
        <f>IF(AND(AND(AND(Stamoplysninger!$B$26="Weekendtimer og weekendtillæg afspadseres.",I36="X",C36="ikke relevant",S36="X"))),(V36*1.5),0)</f>
        <v>0</v>
      </c>
      <c r="EO36" s="283">
        <f>IF(AND(Stamoplysninger!$B$26="Weekendtimer og weekendtillæg udbetales.",I36="X"),K36*1.5,0)</f>
        <v>0</v>
      </c>
      <c r="EP36" s="251">
        <f>IF(AND(AND(Stamoplysninger!$B$26="Weekendtimer og weekendtillæg udbetales.",I36="X",S36="X")),V36*1.5,0)</f>
        <v>0</v>
      </c>
      <c r="EQ36" s="674">
        <f>IF(AND(AND(Stamoplysninger!$B$26="Weekendtimer og weekendtillæg udbetales.",I36="X",C36="ikke relevant")),K36*1.5,0)</f>
        <v>0</v>
      </c>
      <c r="ER36" s="675">
        <f>IF(AND(AND(AND(Stamoplysninger!$B$26="Weekendtimer og weekendtillæg udbetales.",I36="X",C36="ikke relevant",S36="X"))),(V36*1.5),0)</f>
        <v>0</v>
      </c>
      <c r="ES36" s="283">
        <f>IF(AND(Stamoplysninger!$B$26="Der er indgået lokalaftale omkring weekendtimer.(Kræver aftale med TR/FSL) Weekendtillæg afspadseres.",I36="X"),K36*0.5,0)</f>
        <v>0</v>
      </c>
      <c r="ET36" s="251">
        <f>IF(AND(AND(Stamoplysninger!$B$26="Der er indgået lokalaftale omkring weekendtimer.(Kræver aftale med TR/FSL) Weekendtillæg afspadseres.",I36="X",S36="X")),V36*0.5,0)</f>
        <v>0</v>
      </c>
      <c r="EU36" s="674">
        <f>IF(AND(AND(Stamoplysninger!$B$26="Der er indgået lokalaftale omkring weekendtimer.(Kræver aftale med TR/FSL) Weekendtillæg afspadseres.",I36="X",C36="ikke relevant")),K36*0.5,0)</f>
        <v>0</v>
      </c>
      <c r="EV36" s="675">
        <f>IF(AND(AND(AND(Stamoplysninger!$B$26="Der er indgået lokalaftale omkring weekendtimer.(Kræver aftale med TR/FSL) Weekendtillæg afspadseres.",I36="X",C36="ikke relevant",S36="X"))),(V36*0.5),0)</f>
        <v>0</v>
      </c>
      <c r="EW36" s="283">
        <f>IF(AND(Stamoplysninger!$B$26="Der er indgået lokalaftale omkring weekendtimer(Kræver aftale med TR/FSL). Weekendtillæg udbetales.",I36="X"),K36*0.5,0)</f>
        <v>0</v>
      </c>
      <c r="EX36" s="251">
        <f>IF(AND(AND(Stamoplysninger!$B$26="Der er indgået lokalaftale omkring weekendtimer(Kræver aftale med TR/FSL). Weekendtillæg udbetales.",I36="X",S36="X")),V36*0.5,0)</f>
        <v>0</v>
      </c>
      <c r="EY36" s="674">
        <f>IF(AND(AND(Stamoplysninger!$B$26="Der er indgået lokalaftale omkring weekendtimer(Kræver aftale med TR/FSL). Weekendtillæg udbetales.",I36="X",C36="ikke relevant")),K36*0.5,0)</f>
        <v>0</v>
      </c>
      <c r="EZ36" s="675">
        <f>IF(AND(AND(AND(Stamoplysninger!$B$26="Der er indgået lokalaftale omkring weekendtimer(Kræver aftale med TR/FSL). Weekendtillæg udbetales.",I36="X",C36="ikke relevant",S36="X"))),(V36*0.5),0)</f>
        <v>0</v>
      </c>
      <c r="FA36" s="283">
        <f>IF(AND(Stamoplysninger!$B$26="Der er indgået lokalaftale omkring weekendtillæg(Kræver aftale med TR/FSL). Weekendtimerne afspadseres.",I36="X"),K36,0)</f>
        <v>0</v>
      </c>
      <c r="FB36" s="251">
        <f>IF(AND(AND(Stamoplysninger!$B$26="Der er indgået lokalaftale omkring weekendtillæg(Kræver aftale med TR/FSL). Weekendtimerne afspadseres.",I36="X",S36="X")),V36,0)</f>
        <v>0</v>
      </c>
      <c r="FC36" s="674">
        <f>IF(AND(AND(Stamoplysninger!$B$26="Der er indgået lokalaftale omkring weekendtillæg(Kræver aftale med TR/FSL). Weekendtimerne afspadseres..",I36="X",C36="ikke relevant")),K36,0)</f>
        <v>0</v>
      </c>
      <c r="FD36" s="675">
        <f>IF(AND(AND(AND(Stamoplysninger!$B$26="Der er indgået lokalaftale omkring weekendtillæg(Kræver aftale med TR/FSL). Weekendtimerne afspadseres.",I36="X",C36="ikke relevant",S36="X"))),(V36),0)</f>
        <v>0</v>
      </c>
      <c r="FE36" s="283">
        <f>IF(AND(Stamoplysninger!$B$26="Der er indgået lokalaftale omkring weekendtillæg(Kræver aftale med TR/FSL). Weekendtimerne udbetales.",I36="X"),K36,0)</f>
        <v>0</v>
      </c>
      <c r="FF36" s="251">
        <f>IF(AND(AND(Stamoplysninger!$B$26="Der er indgået lokalaftale omkring weekendtillæg(Kræver aftale med TR/FSL). Weekendtimerne udbetales.",I36="X",S36="X")),V36,0)</f>
        <v>0</v>
      </c>
      <c r="FG36" s="674">
        <f>IF(AND(AND(Stamoplysninger!$B$26="Der er indgået lokalaftale omkring weekendtillæg(Kræver aftale med TR/FSL). Weekendtimerne udbetales.",I36="X",C36="ikke relevant")),K36,0)</f>
        <v>0</v>
      </c>
      <c r="FH36" s="675">
        <f>IF(AND(AND(AND(Stamoplysninger!$B$26="Der er indgået lokalaftale omkring weekendtillæg(Kræver aftale med TR/FSL). Weekendtimerne udbetales.",I36="X",C36="ikke relevant",S36="X"))),(V36),0)</f>
        <v>0</v>
      </c>
      <c r="FI36" s="283">
        <f>IF(AND(Stamoplysninger!$B$26="Weekendtimer og weekendtillæg afspadseres.",I36="X"),K36,0)</f>
        <v>0</v>
      </c>
      <c r="FJ36" s="251">
        <f>IF(AND(Stamoplysninger!$B$26="Weekendtimer og weekendtillæg afspadseres.",Y36="X"),(AA36+AL36)/2,0)</f>
        <v>0</v>
      </c>
      <c r="FK36" s="674">
        <f>IF(AND(AND(Stamoplysninger!$B$26="Weekendtimer og weekendtillæg afspadseres.",I36="X",C36="ikke relevant")),K36,0)</f>
        <v>0</v>
      </c>
      <c r="FL36" s="675">
        <f>IF(AND(AND(Stamoplysninger!$B$26="Weekendtimer og weekendtillæg afspadseres.",Y36="X",S36="ikke relevant")),(AA36+AL36)/2,0)</f>
        <v>0</v>
      </c>
      <c r="FM36" s="283">
        <f>IF(AND(Stamoplysninger!$B$26="Der er indgået lokalaftale omkring weekendtillæg(Kræver aftale med TR/FSL). Weekendtimerne afspadseres.",I36="X"),K36,0)</f>
        <v>0</v>
      </c>
      <c r="FN36" s="674">
        <f>IF(AND(AND(Stamoplysninger!$B$26="Der er indgået lokalaftale omkring weekendtillæg(Kræver aftale med TR/FSL). Weekendtimerne afspadseres.",I36="X",C36="ikke relevant")),K36,0)</f>
        <v>0</v>
      </c>
      <c r="FO36" s="283">
        <f>IF(AND(Stamoplysninger!$B$26="Weekendtimer og weekendtillæg udbetales.",I36="X"),K36,0)</f>
        <v>0</v>
      </c>
      <c r="FP36" s="251">
        <f>IF(AND(Stamoplysninger!$B$26="Weekendtimer og weekendtillæg udbetales.",AA36="X"),(AC36+AN36)/2,0)</f>
        <v>0</v>
      </c>
      <c r="FQ36" s="674">
        <f>IF(AND(AND(Stamoplysninger!$B$26="Weekendtimer og weekendtillæg udbetales.",I36="X",C36="ikke relevant")),K36,0)</f>
        <v>0</v>
      </c>
      <c r="FR36" s="688">
        <f>IF(AND(AND(Stamoplysninger!$B$26="Weekendtimer og weekendtillæg udbetales.",AA36="X",U36="ikke relevant")),(AC36+AN36)/2,0)</f>
        <v>0</v>
      </c>
      <c r="FS36" s="283">
        <f t="shared" si="15"/>
        <v>0</v>
      </c>
      <c r="FT36" s="658">
        <f t="shared" si="16"/>
        <v>0</v>
      </c>
      <c r="FU36">
        <f t="shared" si="31"/>
        <v>0</v>
      </c>
      <c r="FV36" s="283">
        <f>IF(AND(Stamoplysninger!$B$26="Der er indgået lokalaftale omkring weekendtimer.(Kræver aftale med TR/FSL) Weekendtillæg afspadseres.",I36="X"),K36,0)</f>
        <v>0</v>
      </c>
      <c r="FW36" s="674">
        <f>IF(AND(AND(Stamoplysninger!$B$26="Der er indgået lokalaftale omkring weekendtimer.(Kræver aftale med TR/FSL) Weekendtillæg afspadseres.",I36="X",C36="ikke relevant")),K36,0)</f>
        <v>0</v>
      </c>
      <c r="FX36" s="283">
        <f>IF(AND(Stamoplysninger!$B$26="Der er indgået lokalaftale omkring weekendtimer(Kræver aftale med TR/FSL). Weekendtillæg udbetales.",I36="X"),K36,0)</f>
        <v>0</v>
      </c>
      <c r="FY36" s="674">
        <f>IF(AND(AND(Stamoplysninger!$B$26="Der er indgået lokalaftale omkring weekendtimer(Kræver aftale med TR/FSL). Weekendtillæg udbetales.",I36="X",C36="ikke relevant")),K36,0)</f>
        <v>0</v>
      </c>
      <c r="FZ36" s="283">
        <f>IF(AND(Stamoplysninger!$B$26="Der er indgået lokalaftale omkring weekendtillæg(Kræver aftale med TR/FSL). Weekendtimerne udbetales.",I36="X"),K36,0)</f>
        <v>0</v>
      </c>
      <c r="GA36" s="674">
        <f>IF(AND(AND(Stamoplysninger!$B$26="Der er indgået lokalaftale omkring weekendtillæg(Kræver aftale med TR/FSL). Weekendtimerne udbetales.",I36="X",C36="ikke relevant")),K36,0)</f>
        <v>0</v>
      </c>
      <c r="GB36" s="283">
        <f>IF(AND(Stamoplysninger!$B$26="Der er indgået lokalaftale omkring weekendtimer og weekendtillæg.(Kræver aftale med TR/FSL).",I36="X"),K36,0)</f>
        <v>0</v>
      </c>
      <c r="GC36" s="674">
        <f>IF(AND(AND(Stamoplysninger!$B$26="Der er indgået lokalaftale omkring weekendtimer og weekendtillæg.(Kræver aftale med TR/FSL).",I36="X",C36="ikke relevant")),K36,0)</f>
        <v>0</v>
      </c>
    </row>
    <row r="37" spans="1:185">
      <c r="A37" s="245">
        <f>IF(ISNUMBER(A36),A36+1,1)</f>
        <v>29</v>
      </c>
      <c r="B37" s="128" t="str">
        <f t="shared" si="0"/>
        <v>to</v>
      </c>
      <c r="C37" s="129" t="s">
        <v>119</v>
      </c>
      <c r="D37" s="130" t="str">
        <f t="shared" si="1"/>
        <v/>
      </c>
      <c r="E37" s="917" t="s">
        <v>551</v>
      </c>
      <c r="F37" s="918"/>
      <c r="G37" s="919"/>
      <c r="H37" s="298"/>
      <c r="I37" s="413"/>
      <c r="J37" s="413"/>
      <c r="K37" s="380"/>
      <c r="L37" s="380"/>
      <c r="M37" s="380"/>
      <c r="N37" s="318">
        <f t="shared" si="19"/>
        <v>0</v>
      </c>
      <c r="O37" s="318">
        <f t="shared" si="20"/>
        <v>0</v>
      </c>
      <c r="P37" s="318">
        <f>IF(Stamoplysninger!$H$29="JA",Maj!DG37,CX37)</f>
        <v>0</v>
      </c>
      <c r="Q37" s="318">
        <f t="shared" si="21"/>
        <v>0</v>
      </c>
      <c r="R37" s="319"/>
      <c r="S37" s="324"/>
      <c r="T37" s="325"/>
      <c r="U37" s="325"/>
      <c r="V37" s="435"/>
      <c r="W37" s="412"/>
      <c r="X37" s="642"/>
      <c r="Y37">
        <f t="shared" si="22"/>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9">
        <f t="shared" si="8"/>
        <v>0</v>
      </c>
      <c r="BC37" s="1">
        <f t="shared" si="24"/>
        <v>0</v>
      </c>
      <c r="BD37" s="1">
        <f t="shared" si="9"/>
        <v>0</v>
      </c>
      <c r="BE37" s="1">
        <f t="shared" si="10"/>
        <v>0</v>
      </c>
      <c r="BF37" s="1">
        <f t="shared" si="11"/>
        <v>0</v>
      </c>
      <c r="BG37" s="210" t="str">
        <f>IF(AND(C37="Skema 1",B37="ma"),Skemaoplysninger!$E$30,"")</f>
        <v/>
      </c>
      <c r="BH37" s="210" t="str">
        <f>IF(AND(C37="Skema 1",B37="ti"),Skemaoplysninger!$G$30,"")</f>
        <v/>
      </c>
      <c r="BI37" s="210" t="str">
        <f>IF(AND(C37="Skema 1",B37="on"),Skemaoplysninger!$I$30,"")</f>
        <v/>
      </c>
      <c r="BJ37" s="210" t="str">
        <f>IF(AND(C37="Skema 1",B37="to"),Skemaoplysninger!$K$30,"")</f>
        <v/>
      </c>
      <c r="BK37" s="210" t="str">
        <f>IF(AND(C37="Skema 1",B37="fr"),Skemaoplysninger!$M$30,"")</f>
        <v/>
      </c>
      <c r="BL37" s="210" t="str">
        <f>IF(AND(C37="Skema 2",B37="ma"),Skemaoplysninger!$S$30,"")</f>
        <v/>
      </c>
      <c r="BM37" s="210" t="str">
        <f>IF(AND(C37="Skema 2",B37="ti"),Skemaoplysninger!$U$30,"")</f>
        <v/>
      </c>
      <c r="BN37" s="210" t="str">
        <f>IF(AND(C37="Skema 2",B37="on"),Skemaoplysninger!$W$30,"")</f>
        <v/>
      </c>
      <c r="BO37" s="210" t="str">
        <f>IF(AND(C37="Skema 2",B37="to"),Skemaoplysninger!$Y$30,"")</f>
        <v/>
      </c>
      <c r="BP37" s="210" t="str">
        <f>IF(AND(C37="Skema 2",B37="fr"),Skemaoplysninger!$AA$30,"")</f>
        <v/>
      </c>
      <c r="BQ37" s="210" t="str">
        <f>IF(AND(C37="Skema 3",B37="ma"),Skemaoplysninger!$AG$30,"")</f>
        <v/>
      </c>
      <c r="BR37" s="210" t="str">
        <f>IF(AND(C37="Skema 3",B37="ti"),Skemaoplysninger!$AI$30,"")</f>
        <v/>
      </c>
      <c r="BS37" s="210" t="str">
        <f>IF(AND(C37="Skema 3",B37="on"),Skemaoplysninger!$AK$30,"")</f>
        <v/>
      </c>
      <c r="BT37" s="210" t="str">
        <f>IF(AND(C37="Skema 3",B37="to"),Skemaoplysninger!$AM$30,"")</f>
        <v/>
      </c>
      <c r="BU37" s="210" t="str">
        <f>IF(AND(C37="Skema 3",B37="fr"),Skemaoplysninger!$AO$30,"")</f>
        <v/>
      </c>
      <c r="BV37" s="210" t="str">
        <f>IF(AND(C37="Skema 4",B37="ma"),Skemaoplysninger!$AU$30,"")</f>
        <v/>
      </c>
      <c r="BW37" s="210" t="str">
        <f>IF(AND(C37="Skema 4",B37="ti"),Skemaoplysninger!$AW$30,"")</f>
        <v/>
      </c>
      <c r="BX37" s="210" t="str">
        <f>IF(AND(C37="Skema 4",B37="on"),Skemaoplysninger!$AY$30,"")</f>
        <v/>
      </c>
      <c r="BY37" s="210" t="str">
        <f>IF(AND(C37="Skema 4",B37="to"),Skemaoplysninger!$BA$30,"")</f>
        <v/>
      </c>
      <c r="BZ37" s="210" t="str">
        <f>IF(AND(C37="Skema 4",B37="fr"),Skemaoplysninger!$BC$30,"")</f>
        <v/>
      </c>
      <c r="CA37" s="1">
        <f t="shared" si="25"/>
        <v>0</v>
      </c>
      <c r="CB37" s="1">
        <f t="shared" si="12"/>
        <v>0</v>
      </c>
      <c r="CC37" s="1">
        <f t="shared" si="13"/>
        <v>0</v>
      </c>
      <c r="CD37" s="210" t="str">
        <f>IF(AND(C37="Skema 1",B37="ma"),Skemaoplysninger!$E$31,"")</f>
        <v/>
      </c>
      <c r="CE37" s="210" t="str">
        <f>IF(AND(C37="Skema 1",B37="ti"),Skemaoplysninger!$G$31,"")</f>
        <v/>
      </c>
      <c r="CF37" s="210" t="str">
        <f>IF(AND(C37="Skema 1",B37="on"),Skemaoplysninger!$I$31,"")</f>
        <v/>
      </c>
      <c r="CG37" s="210" t="str">
        <f>IF(AND(C37="Skema 1",B37="to"),Skemaoplysninger!$K$31,"")</f>
        <v/>
      </c>
      <c r="CH37" s="210" t="str">
        <f>IF(AND(C37="Skema 1",B37="fr"),Skemaoplysninger!$M$31,"")</f>
        <v/>
      </c>
      <c r="CI37" s="210" t="str">
        <f>IF(AND(C37="Skema 2",B37="ma"),Skemaoplysninger!$S$31,"")</f>
        <v/>
      </c>
      <c r="CJ37" s="210" t="str">
        <f>IF(AND(C37="Skema 2",B37="ti"),Skemaoplysninger!$U$31,"")</f>
        <v/>
      </c>
      <c r="CK37" s="210" t="str">
        <f>IF(AND(C37="Skema 2",B37="on"),Skemaoplysninger!$W$31,"")</f>
        <v/>
      </c>
      <c r="CL37" s="210" t="str">
        <f>IF(AND(C37="Skema 2",B37="to"),Skemaoplysninger!$Y$31,"")</f>
        <v/>
      </c>
      <c r="CM37" s="210" t="str">
        <f>IF(AND(C37="Skema 2",B37="fr"),Skemaoplysninger!$AA$31,"")</f>
        <v/>
      </c>
      <c r="CN37" s="210" t="str">
        <f>IF(AND(C37="Skema 3",B37="ma"),Skemaoplysninger!$AG$31,"")</f>
        <v/>
      </c>
      <c r="CO37" s="210" t="str">
        <f>IF(AND(C37="Skema 3",B37="ti"),Skemaoplysninger!$AI$31,"")</f>
        <v/>
      </c>
      <c r="CP37" s="210" t="str">
        <f>IF(AND(C37="Skema 3",B37="on"),Skemaoplysninger!$AK$31,"")</f>
        <v/>
      </c>
      <c r="CQ37" s="210" t="str">
        <f>IF(AND(C37="Skema 3",B37="to"),Skemaoplysninger!$AM$31,"")</f>
        <v/>
      </c>
      <c r="CR37" s="210" t="str">
        <f>IF(AND(C37="Skema 3",B37="fr"),Skemaoplysninger!$AO$31,"")</f>
        <v/>
      </c>
      <c r="CS37" s="210" t="str">
        <f>IF(AND(C37="Skema 4",B37="ma"),Skemaoplysninger!$AU$31,"")</f>
        <v/>
      </c>
      <c r="CT37" s="210" t="str">
        <f>IF(AND(C37="Skema 4",B37="ti"),Skemaoplysninger!$AW$31,"")</f>
        <v/>
      </c>
      <c r="CU37" s="210" t="str">
        <f>IF(AND(C37="Skema 4",B37="on"),Skemaoplysninger!$AY$31,"")</f>
        <v/>
      </c>
      <c r="CV37" s="210" t="str">
        <f>IF(AND(C37="Skema 4",B37="to"),Skemaoplysninger!$BA$31,"")</f>
        <v/>
      </c>
      <c r="CW37" s="210" t="str">
        <f>IF(AND(C37="Skema 4",B37="fr"),Skemaoplysninger!$BC$31,"")</f>
        <v/>
      </c>
      <c r="CX37" s="249">
        <f>IF(Stamoplysninger!$H$29="NEJ",SUM(CD37:CW37)*24+CB37+CC37,0)</f>
        <v>0</v>
      </c>
      <c r="CY37" s="249">
        <f>IF(C37="Skema 1",Stamoplysninger!$H$30/200,0)</f>
        <v>0</v>
      </c>
      <c r="CZ37" s="249">
        <f>IF(C37="Skema 2",Stamoplysninger!$H$30/200,0)</f>
        <v>0</v>
      </c>
      <c r="DA37" s="249">
        <f>IF(C37="Skema 3",Stamoplysninger!$H$30/200,0)</f>
        <v>0</v>
      </c>
      <c r="DB37" s="249">
        <f>IF(C37="Skema 4",Stamoplysninger!$H$30/200,0)</f>
        <v>0</v>
      </c>
      <c r="DC37" s="249">
        <f>IF(C37="fagdag",Stamoplysninger!$H$30/200,0)</f>
        <v>0</v>
      </c>
      <c r="DD37" s="249">
        <f>IF(C37="emnedag",Stamoplysninger!$H$30/200,0)</f>
        <v>0</v>
      </c>
      <c r="DE37" s="249">
        <f>IF(C37="lejrskole",Stamoplysninger!$H$30/200,0)</f>
        <v>0</v>
      </c>
      <c r="DF37" s="249">
        <f>IF(C37="ekskursion",Stamoplysninger!$H$30/200,0)</f>
        <v>0</v>
      </c>
      <c r="DG37" s="249">
        <f t="shared" si="26"/>
        <v>0</v>
      </c>
      <c r="DH37" t="str">
        <f t="shared" si="27"/>
        <v/>
      </c>
      <c r="DI37" t="str">
        <f t="shared" si="28"/>
        <v>Kristi himmelfatsdag</v>
      </c>
      <c r="DJ37" t="str">
        <f t="shared" si="29"/>
        <v/>
      </c>
      <c r="DK37" t="str">
        <f t="shared" si="14"/>
        <v/>
      </c>
      <c r="DL37" t="str">
        <f t="shared" si="14"/>
        <v>Kristi himmelfatsdag</v>
      </c>
      <c r="DM37" t="str">
        <f t="shared" si="14"/>
        <v/>
      </c>
      <c r="DN37" t="str">
        <f t="shared" si="30"/>
        <v>Kristi himmelfatsdag</v>
      </c>
      <c r="DO37" s="652">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71">
        <f>IF(AND(Stamoplysninger!$B$22="Ulempetillæg udbetales med 25% af nettotimelønnen.",C37="ikke relevant"),(R37)/4,0)</f>
        <v>0</v>
      </c>
      <c r="DT37" s="671">
        <f>IF(AND(AND(Stamoplysninger!$B$22="Ulempetillæg udbetales med 25% af nettotimelønnen.",I37="X",C37="Ikke relevant")),K37/4,0)</f>
        <v>0</v>
      </c>
      <c r="DU37" s="671">
        <f>IF(AND(AND(Stamoplysninger!$B$22="Ulempetillæg udbetales med 25% af nettotimelønnen.",C37="ikke relevant",U37="X")),(X37/4),0)</f>
        <v>0</v>
      </c>
      <c r="DV37" s="672">
        <f>IF(AND(AND(AND(Stamoplysninger!$B$22="Ulempetillæg udbetales med 25% af nettotimelønnen.",I37="X",C37="Ikke relevant",U37="X"))),X37/4,0)</f>
        <v>0</v>
      </c>
      <c r="DW37" s="652"/>
      <c r="DZ37" s="671"/>
      <c r="EA37" s="671"/>
      <c r="EB37" s="672"/>
      <c r="EC37" s="652">
        <f>IF(Stamoplysninger!$B$22="Ulempetillæg afspadseres med 25%(Kræver en aftale imellem ledelsen og den ansatte)",(R37+X37)/4,0)</f>
        <v>0</v>
      </c>
      <c r="ED37">
        <f>IF(AND(Stamoplysninger!$B$22="Ulempetillæg afspadseres med 25%(Kræver en aftale imellem ledelsen og den ansatte)",I37="X"),K37/4,0)</f>
        <v>0</v>
      </c>
      <c r="EE37">
        <f>IF(AND(Stamoplysninger!$B$22="Ulempetillæg afspadseres med 25%(Kræver en aftale imellem ledelsen og den ansatte)",I37="X"),V37/4,0)</f>
        <v>0</v>
      </c>
      <c r="EF37">
        <f>IF(AND(AND(Stamoplysninger!$B$22="Ulempetillæg udbetales med 25% af nettotimelønnen.",AG37="X",W37="X")),AJ37/4,0)</f>
        <v>0</v>
      </c>
      <c r="EG37" s="671">
        <f>IF(AND(Stamoplysninger!$B$22="Ulempetillæg afspadseres med 25%(Kræver en aftale imellem ledelsen og den ansatte)",C37="ikke relevant"),(R37+X37)/4,0)</f>
        <v>0</v>
      </c>
      <c r="EH37" s="671">
        <f>IF(AND(AND(Stamoplysninger!$B$22="Ulempetillæg afspadseres med 25%(Kræver en aftale imellem ledelsen og den ansatte)",I37="X",C37="Ikke relevant")),K37/4,0)</f>
        <v>0</v>
      </c>
      <c r="EI37" s="671">
        <f>IF(AND(AND(Stamoplysninger!$B$22="Ulempetillæg afspadseres med 25%(Kræver en aftale imellem ledelsen og den ansatte)",I37="X",C37="Ikke relevant")),V37/4,0)</f>
        <v>0</v>
      </c>
      <c r="EJ37" s="671">
        <f>IF(AND(AND(Stamoplysninger!$B$22="Ulempetillæg afspadseres med 25%(Kræver en aftale imellem ledelsen og den ansatte)",J37="X",D37="Ikke relevant")),W37/4,0)</f>
        <v>0</v>
      </c>
      <c r="EK37" s="283">
        <f>IF(AND(Stamoplysninger!$B$26="Weekendtimer og weekendtillæg afspadseres.",I37="X"),K37+V37,0)</f>
        <v>0</v>
      </c>
      <c r="EL37" s="251">
        <f>IF(AND(Stamoplysninger!$B$26="Weekendtimer og weekendtillæg afspadseres.",J37="X"),(L37+W37)/2,0)</f>
        <v>0</v>
      </c>
      <c r="EM37" s="674">
        <f>IF(AND(AND(Stamoplysninger!$B$26="Weekendtimer og weekendtillæg afspadseres.",I37="X",C37="ikke relevant")),K37+V37,0)</f>
        <v>0</v>
      </c>
      <c r="EN37" s="675">
        <f>IF(AND(AND(Stamoplysninger!$B$26="Weekendtimer og weekendtillæg afspadseres.",I37="X",C37="ikke relevant")),(K37+V37)/2,0)</f>
        <v>0</v>
      </c>
      <c r="EO37" s="283">
        <f>IF(AND(Stamoplysninger!$B$26="Weekendtimer og weekendtillæg udbetales.",I37="X"),K37+V37,0)</f>
        <v>0</v>
      </c>
      <c r="EP37" s="251">
        <f>IF(AND(Stamoplysninger!$B$26="Weekendtimer og weekendtillæg udbetales.",I37="X"),(K37+V37)/2,0)</f>
        <v>0</v>
      </c>
      <c r="EQ37" s="674">
        <f>IF(AND(AND(Stamoplysninger!$B$26="Weekendtimer og weekendtillæg udbetales.",I37="X",C37="ikke relevant")),K37+V37,0)</f>
        <v>0</v>
      </c>
      <c r="ER37" s="675">
        <f>IF(AND(AND(Stamoplysninger!$B$26="Weekendtimer og weekendtillæg udbetales.",I37="X",C37="ikke relevant")),(K37+V37)/2,0)</f>
        <v>0</v>
      </c>
      <c r="ES37" s="283">
        <f>IF(AND(Stamoplysninger!$B$26="Weekendtimer og weekendtillæg udbetales.",M37="X"),O37+Z37,0)</f>
        <v>0</v>
      </c>
      <c r="ET37" s="251">
        <f>IF(AND(Stamoplysninger!$B$26="Weekendtimer og weekendtillæg udbetales.",M37="X"),(O37+Z37)/2,0)</f>
        <v>0</v>
      </c>
      <c r="EU37" s="674">
        <f>IF(AND(AND(Stamoplysninger!$B$26="Weekendtimer og weekendtillæg udbetales.",M37="X",G37="ikke relevant")),O37+Z37,0)</f>
        <v>0</v>
      </c>
      <c r="EV37" s="675">
        <f>IF(AND(AND(Stamoplysninger!$B$26="Weekendtimer og weekendtillæg udbetales.",M37="X",G37="ikke relevant")),(O37+Z37)/2,0)</f>
        <v>0</v>
      </c>
      <c r="EW37" s="283">
        <f>IF(AND(Stamoplysninger!$B$26="Der er indgået lokalaftale omkring weekendtimer(Kræver aftale med TR/FSL). Weekendtillæg udbetales.",I37="X"),K37*0.5,0)</f>
        <v>0</v>
      </c>
      <c r="EX37" s="251">
        <f>IF(AND(AND(Stamoplysninger!$B$26="Der er indgået lokalaftale omkring weekendtimer(Kræver aftale med TR/FSL). Weekendtillæg udbetales.",I37="X",S37="X")),V37*0.5,0)</f>
        <v>0</v>
      </c>
      <c r="EY37" s="674">
        <f>IF(AND(AND(Stamoplysninger!$B$26="Der er indgået lokalaftale omkring weekendtimer(Kræver aftale med TR/FSL). Weekendtillæg udbetales.",I37="X",C37="ikke relevant")),K37*0.5,0)</f>
        <v>0</v>
      </c>
      <c r="EZ37" s="675">
        <f>IF(AND(AND(AND(Stamoplysninger!$B$26="Der er indgået lokalaftale omkring weekendtimer(Kræver aftale med TR/FSL). Weekendtillæg udbetales.",I37="X",C37="ikke relevant",S37="X"))),(V37*0.5),0)</f>
        <v>0</v>
      </c>
      <c r="FA37" s="283">
        <f>IF(AND(Stamoplysninger!$B$26="Der er indgået lokalaftale omkring weekendtimer(Kræver aftale med TR/FSL). Weekendtillæg udbetales.",M37="X"),O37*0.5,0)</f>
        <v>0</v>
      </c>
      <c r="FB37" s="251">
        <f>IF(AND(AND(Stamoplysninger!$B$26="Der er indgået lokalaftale omkring weekendtimer(Kræver aftale med TR/FSL). Weekendtillæg udbetales.",M37="X",W37="X")),Z37*0.5,0)</f>
        <v>0</v>
      </c>
      <c r="FC37" s="674">
        <f>IF(AND(AND(Stamoplysninger!$B$26="Der er indgået lokalaftale omkring weekendtimer(Kræver aftale med TR/FSL). Weekendtillæg udbetales.",M37="X",G37="ikke relevant")),O37*0.5,0)</f>
        <v>0</v>
      </c>
      <c r="FD37" s="675">
        <f>IF(AND(AND(AND(Stamoplysninger!$B$26="Der er indgået lokalaftale omkring weekendtimer(Kræver aftale med TR/FSL). Weekendtillæg udbetales.",M37="X",G37="ikke relevant",W37="X"))),(Z37*0.5),0)</f>
        <v>0</v>
      </c>
      <c r="FE37" s="283">
        <f>IF(AND(Stamoplysninger!$B$26="Der er indgået lokalaftale omkring weekendtimer(Kræver aftale med TR/FSL). Weekendtillæg udbetales.",Q37="X"),S37*0.5,0)</f>
        <v>0</v>
      </c>
      <c r="FF37" s="251">
        <f>IF(AND(AND(Stamoplysninger!$B$26="Der er indgået lokalaftale omkring weekendtimer(Kræver aftale med TR/FSL). Weekendtillæg udbetales.",Q37="X",AA37="X")),AD37*0.5,0)</f>
        <v>0</v>
      </c>
      <c r="FG37" s="674">
        <f>IF(AND(AND(Stamoplysninger!$B$26="Der er indgået lokalaftale omkring weekendtimer(Kræver aftale med TR/FSL). Weekendtillæg udbetales.",Q37="X",K37="ikke relevant")),S37*0.5,0)</f>
        <v>0</v>
      </c>
      <c r="FH37" s="675">
        <f>IF(AND(AND(AND(Stamoplysninger!$B$26="Der er indgået lokalaftale omkring weekendtimer(Kræver aftale med TR/FSL). Weekendtillæg udbetales.",Q37="X",K37="ikke relevant",AA37="X"))),(AD37*0.5),0)</f>
        <v>0</v>
      </c>
      <c r="FI37" s="283">
        <f>IF(AND(Stamoplysninger!$B$26="Weekendtimer og weekendtillæg afspadseres.",I37="X"),K37,0)</f>
        <v>0</v>
      </c>
      <c r="FJ37" s="251">
        <f>IF(AND(Stamoplysninger!$B$26="Weekendtimer og weekendtillæg afspadseres.",Y37="X"),(AA37+AL37)/2,0)</f>
        <v>0</v>
      </c>
      <c r="FK37" s="674">
        <f>IF(AND(AND(Stamoplysninger!$B$26="Weekendtimer og weekendtillæg afspadseres.",I37="X",C37="ikke relevant")),K37,0)</f>
        <v>0</v>
      </c>
      <c r="FL37" s="675">
        <f>IF(AND(AND(Stamoplysninger!$B$26="Weekendtimer og weekendtillæg afspadseres.",Y37="X",S37="ikke relevant")),(AA37+AL37)/2,0)</f>
        <v>0</v>
      </c>
      <c r="FM37" s="283">
        <f>IF(AND(Stamoplysninger!$B$26="Der er indgået lokalaftale omkring weekendtillæg(Kræver aftale med TR/FSL). Weekendtimerne afspadseres.",I37="X"),K37,0)</f>
        <v>0</v>
      </c>
      <c r="FN37" s="674">
        <f>IF(AND(AND(Stamoplysninger!$B$26="Der er indgået lokalaftale omkring weekendtillæg(Kræver aftale med TR/FSL). Weekendtimerne afspadseres.",I37="X",C37="ikke relevant")),K37,0)</f>
        <v>0</v>
      </c>
      <c r="FO37" s="283">
        <f>IF(AND(Stamoplysninger!$B$26="Weekendtimer og weekendtillæg udbetales.",I37="X"),K37,0)</f>
        <v>0</v>
      </c>
      <c r="FP37" s="251">
        <f>IF(AND(Stamoplysninger!$B$26="Weekendtimer og weekendtillæg udbetales.",AA37="X"),(AC37+AN37)/2,0)</f>
        <v>0</v>
      </c>
      <c r="FQ37" s="674">
        <f>IF(AND(AND(Stamoplysninger!$B$26="Weekendtimer og weekendtillæg udbetales.",I37="X",C37="ikke relevant")),K37,0)</f>
        <v>0</v>
      </c>
      <c r="FR37" s="688">
        <f>IF(AND(AND(Stamoplysninger!$B$26="Weekendtimer og weekendtillæg udbetales.",AA37="X",U37="ikke relevant")),(AC37+AN37)/2,0)</f>
        <v>0</v>
      </c>
      <c r="FS37" s="283">
        <f t="shared" si="15"/>
        <v>0</v>
      </c>
      <c r="FT37" s="658">
        <f t="shared" si="16"/>
        <v>0</v>
      </c>
      <c r="FU37">
        <f t="shared" si="31"/>
        <v>0</v>
      </c>
      <c r="FV37" s="283">
        <f>IF(AND(Stamoplysninger!$B$26="Der er indgået lokalaftale omkring weekendtimer.(Kræver aftale med TR/FSL) Weekendtillæg afspadseres.",I37="X"),K37,0)</f>
        <v>0</v>
      </c>
      <c r="FW37" s="674">
        <f>IF(AND(AND(Stamoplysninger!$B$26="Der er indgået lokalaftale omkring weekendtimer.(Kræver aftale med TR/FSL) Weekendtillæg afspadseres.",I37="X",C37="ikke relevant")),K37,0)</f>
        <v>0</v>
      </c>
      <c r="FX37" s="283">
        <f>IF(AND(Stamoplysninger!$B$26="Der er indgået lokalaftale omkring weekendtimer(Kræver aftale med TR/FSL). Weekendtillæg udbetales.",I37="X"),K37,0)</f>
        <v>0</v>
      </c>
      <c r="FY37" s="674">
        <f>IF(AND(AND(Stamoplysninger!$B$26="Der er indgået lokalaftale omkring weekendtimer(Kræver aftale med TR/FSL). Weekendtillæg udbetales.",I37="X",C37="ikke relevant")),K37,0)</f>
        <v>0</v>
      </c>
      <c r="FZ37" s="283">
        <f>IF(AND(Stamoplysninger!$B$26="Der er indgået lokalaftale omkring weekendtillæg(Kræver aftale med TR/FSL). Weekendtimerne udbetales.",I37="X"),K37,0)</f>
        <v>0</v>
      </c>
      <c r="GA37" s="674">
        <f>IF(AND(AND(Stamoplysninger!$B$26="Der er indgået lokalaftale omkring weekendtillæg(Kræver aftale med TR/FSL). Weekendtimerne udbetales.",I37="X",C37="ikke relevant")),K37,0)</f>
        <v>0</v>
      </c>
      <c r="GB37" s="283">
        <f>IF(AND(Stamoplysninger!$B$26="Der er indgået lokalaftale omkring weekendtimer og weekendtillæg.(Kræver aftale med TR/FSL).",I37="X"),K37,0)</f>
        <v>0</v>
      </c>
      <c r="GC37" s="674">
        <f>IF(AND(AND(Stamoplysninger!$B$26="Der er indgået lokalaftale omkring weekendtimer og weekendtillæg.(Kræver aftale med TR/FSL).",I37="X",C37="ikke relevant")),K37,0)</f>
        <v>0</v>
      </c>
    </row>
    <row r="38" spans="1:185">
      <c r="A38" s="245">
        <f t="shared" si="18"/>
        <v>30</v>
      </c>
      <c r="B38" s="128" t="str">
        <f t="shared" si="0"/>
        <v>fr</v>
      </c>
      <c r="C38" s="129" t="s">
        <v>128</v>
      </c>
      <c r="D38" s="130" t="str">
        <f t="shared" si="1"/>
        <v/>
      </c>
      <c r="E38" s="917"/>
      <c r="F38" s="918"/>
      <c r="G38" s="919"/>
      <c r="H38" s="298"/>
      <c r="I38" s="527"/>
      <c r="J38" s="413"/>
      <c r="K38" s="380"/>
      <c r="L38" s="380"/>
      <c r="M38" s="380"/>
      <c r="N38" s="318">
        <f t="shared" si="19"/>
        <v>0</v>
      </c>
      <c r="O38" s="318">
        <f t="shared" si="20"/>
        <v>0</v>
      </c>
      <c r="P38" s="318">
        <f>IF(Stamoplysninger!$H$29="JA",Maj!DG38,CX38)</f>
        <v>0</v>
      </c>
      <c r="Q38" s="318">
        <f t="shared" si="21"/>
        <v>0</v>
      </c>
      <c r="R38" s="319"/>
      <c r="S38" s="324"/>
      <c r="T38" s="325"/>
      <c r="U38" s="441"/>
      <c r="V38" s="435"/>
      <c r="W38" s="412"/>
      <c r="X38" s="642"/>
      <c r="Y38">
        <f t="shared" si="22"/>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9">
        <f t="shared" si="8"/>
        <v>0</v>
      </c>
      <c r="BC38" s="1">
        <f t="shared" si="24"/>
        <v>0</v>
      </c>
      <c r="BD38" s="1">
        <f t="shared" si="9"/>
        <v>0</v>
      </c>
      <c r="BE38" s="1">
        <f t="shared" si="10"/>
        <v>0</v>
      </c>
      <c r="BF38" s="1">
        <f t="shared" si="11"/>
        <v>0</v>
      </c>
      <c r="BG38" s="210" t="str">
        <f>IF(AND(C38="Skema 1",B38="ma"),Skemaoplysninger!$E$30,"")</f>
        <v/>
      </c>
      <c r="BH38" s="210" t="str">
        <f>IF(AND(C38="Skema 1",B38="ti"),Skemaoplysninger!$G$30,"")</f>
        <v/>
      </c>
      <c r="BI38" s="210" t="str">
        <f>IF(AND(C38="Skema 1",B38="on"),Skemaoplysninger!$I$30,"")</f>
        <v/>
      </c>
      <c r="BJ38" s="210" t="str">
        <f>IF(AND(C38="Skema 1",B38="to"),Skemaoplysninger!$K$30,"")</f>
        <v/>
      </c>
      <c r="BK38" s="210" t="str">
        <f>IF(AND(C38="Skema 1",B38="fr"),Skemaoplysninger!$M$30,"")</f>
        <v/>
      </c>
      <c r="BL38" s="210" t="str">
        <f>IF(AND(C38="Skema 2",B38="ma"),Skemaoplysninger!$S$30,"")</f>
        <v/>
      </c>
      <c r="BM38" s="210" t="str">
        <f>IF(AND(C38="Skema 2",B38="ti"),Skemaoplysninger!$U$30,"")</f>
        <v/>
      </c>
      <c r="BN38" s="210" t="str">
        <f>IF(AND(C38="Skema 2",B38="on"),Skemaoplysninger!$W$30,"")</f>
        <v/>
      </c>
      <c r="BO38" s="210" t="str">
        <f>IF(AND(C38="Skema 2",B38="to"),Skemaoplysninger!$Y$30,"")</f>
        <v/>
      </c>
      <c r="BP38" s="210" t="str">
        <f>IF(AND(C38="Skema 2",B38="fr"),Skemaoplysninger!$AA$30,"")</f>
        <v/>
      </c>
      <c r="BQ38" s="210" t="str">
        <f>IF(AND(C38="Skema 3",B38="ma"),Skemaoplysninger!$AG$30,"")</f>
        <v/>
      </c>
      <c r="BR38" s="210" t="str">
        <f>IF(AND(C38="Skema 3",B38="ti"),Skemaoplysninger!$AI$30,"")</f>
        <v/>
      </c>
      <c r="BS38" s="210" t="str">
        <f>IF(AND(C38="Skema 3",B38="on"),Skemaoplysninger!$AK$30,"")</f>
        <v/>
      </c>
      <c r="BT38" s="210" t="str">
        <f>IF(AND(C38="Skema 3",B38="to"),Skemaoplysninger!$AM$30,"")</f>
        <v/>
      </c>
      <c r="BU38" s="210" t="str">
        <f>IF(AND(C38="Skema 3",B38="fr"),Skemaoplysninger!$AO$30,"")</f>
        <v/>
      </c>
      <c r="BV38" s="210" t="str">
        <f>IF(AND(C38="Skema 4",B38="ma"),Skemaoplysninger!$AU$30,"")</f>
        <v/>
      </c>
      <c r="BW38" s="210" t="str">
        <f>IF(AND(C38="Skema 4",B38="ti"),Skemaoplysninger!$AW$30,"")</f>
        <v/>
      </c>
      <c r="BX38" s="210" t="str">
        <f>IF(AND(C38="Skema 4",B38="on"),Skemaoplysninger!$AY$30,"")</f>
        <v/>
      </c>
      <c r="BY38" s="210" t="str">
        <f>IF(AND(C38="Skema 4",B38="to"),Skemaoplysninger!$BA$30,"")</f>
        <v/>
      </c>
      <c r="BZ38" s="210" t="str">
        <f>IF(AND(C38="Skema 4",B38="fr"),Skemaoplysninger!$BC$30,"")</f>
        <v/>
      </c>
      <c r="CA38" s="1">
        <f t="shared" si="25"/>
        <v>0</v>
      </c>
      <c r="CB38" s="1">
        <f t="shared" si="12"/>
        <v>0</v>
      </c>
      <c r="CC38" s="1">
        <f t="shared" si="13"/>
        <v>0</v>
      </c>
      <c r="CD38" s="210" t="str">
        <f>IF(AND(C38="Skema 1",B38="ma"),Skemaoplysninger!$E$31,"")</f>
        <v/>
      </c>
      <c r="CE38" s="210" t="str">
        <f>IF(AND(C38="Skema 1",B38="ti"),Skemaoplysninger!$G$31,"")</f>
        <v/>
      </c>
      <c r="CF38" s="210" t="str">
        <f>IF(AND(C38="Skema 1",B38="on"),Skemaoplysninger!$I$31,"")</f>
        <v/>
      </c>
      <c r="CG38" s="210" t="str">
        <f>IF(AND(C38="Skema 1",B38="to"),Skemaoplysninger!$K$31,"")</f>
        <v/>
      </c>
      <c r="CH38" s="210" t="str">
        <f>IF(AND(C38="Skema 1",B38="fr"),Skemaoplysninger!$M$31,"")</f>
        <v/>
      </c>
      <c r="CI38" s="210" t="str">
        <f>IF(AND(C38="Skema 2",B38="ma"),Skemaoplysninger!$S$31,"")</f>
        <v/>
      </c>
      <c r="CJ38" s="210" t="str">
        <f>IF(AND(C38="Skema 2",B38="ti"),Skemaoplysninger!$U$31,"")</f>
        <v/>
      </c>
      <c r="CK38" s="210" t="str">
        <f>IF(AND(C38="Skema 2",B38="on"),Skemaoplysninger!$W$31,"")</f>
        <v/>
      </c>
      <c r="CL38" s="210" t="str">
        <f>IF(AND(C38="Skema 2",B38="to"),Skemaoplysninger!$Y$31,"")</f>
        <v/>
      </c>
      <c r="CM38" s="210" t="str">
        <f>IF(AND(C38="Skema 2",B38="fr"),Skemaoplysninger!$AA$31,"")</f>
        <v/>
      </c>
      <c r="CN38" s="210" t="str">
        <f>IF(AND(C38="Skema 3",B38="ma"),Skemaoplysninger!$AG$31,"")</f>
        <v/>
      </c>
      <c r="CO38" s="210" t="str">
        <f>IF(AND(C38="Skema 3",B38="ti"),Skemaoplysninger!$AI$31,"")</f>
        <v/>
      </c>
      <c r="CP38" s="210" t="str">
        <f>IF(AND(C38="Skema 3",B38="on"),Skemaoplysninger!$AK$31,"")</f>
        <v/>
      </c>
      <c r="CQ38" s="210" t="str">
        <f>IF(AND(C38="Skema 3",B38="to"),Skemaoplysninger!$AM$31,"")</f>
        <v/>
      </c>
      <c r="CR38" s="210" t="str">
        <f>IF(AND(C38="Skema 3",B38="fr"),Skemaoplysninger!$AO$31,"")</f>
        <v/>
      </c>
      <c r="CS38" s="210" t="str">
        <f>IF(AND(C38="Skema 4",B38="ma"),Skemaoplysninger!$AU$31,"")</f>
        <v/>
      </c>
      <c r="CT38" s="210" t="str">
        <f>IF(AND(C38="Skema 4",B38="ti"),Skemaoplysninger!$AW$31,"")</f>
        <v/>
      </c>
      <c r="CU38" s="210" t="str">
        <f>IF(AND(C38="Skema 4",B38="on"),Skemaoplysninger!$AY$31,"")</f>
        <v/>
      </c>
      <c r="CV38" s="210" t="str">
        <f>IF(AND(C38="Skema 4",B38="to"),Skemaoplysninger!$BA$31,"")</f>
        <v/>
      </c>
      <c r="CW38" s="210" t="str">
        <f>IF(AND(C38="Skema 4",B38="fr"),Skemaoplysninger!$BC$31,"")</f>
        <v/>
      </c>
      <c r="CX38" s="249">
        <f>IF(Stamoplysninger!$H$29="NEJ",SUM(CD38:CW38)*24+CB38+CC38,0)</f>
        <v>0</v>
      </c>
      <c r="CY38" s="249">
        <f>IF(C38="Skema 1",Stamoplysninger!$H$30/200,0)</f>
        <v>0</v>
      </c>
      <c r="CZ38" s="249">
        <f>IF(C38="Skema 2",Stamoplysninger!$H$30/200,0)</f>
        <v>0</v>
      </c>
      <c r="DA38" s="249">
        <f>IF(C38="Skema 3",Stamoplysninger!$H$30/200,0)</f>
        <v>0</v>
      </c>
      <c r="DB38" s="249">
        <f>IF(C38="Skema 4",Stamoplysninger!$H$30/200,0)</f>
        <v>0</v>
      </c>
      <c r="DC38" s="249">
        <f>IF(C38="fagdag",Stamoplysninger!$H$30/200,0)</f>
        <v>0</v>
      </c>
      <c r="DD38" s="249">
        <f>IF(C38="emnedag",Stamoplysninger!$H$30/200,0)</f>
        <v>0</v>
      </c>
      <c r="DE38" s="249">
        <f>IF(C38="lejrskole",Stamoplysninger!$H$30/200,0)</f>
        <v>0</v>
      </c>
      <c r="DF38" s="249">
        <f>IF(C38="ekskursion",Stamoplysninger!$H$30/200,0)</f>
        <v>0</v>
      </c>
      <c r="DG38" s="249">
        <f t="shared" si="26"/>
        <v>0</v>
      </c>
      <c r="DH38" t="str">
        <f t="shared" si="27"/>
        <v/>
      </c>
      <c r="DI38">
        <f t="shared" si="28"/>
        <v>0</v>
      </c>
      <c r="DJ38">
        <f t="shared" si="29"/>
        <v>0</v>
      </c>
      <c r="DK38" t="str">
        <f t="shared" si="14"/>
        <v/>
      </c>
      <c r="DL38" t="str">
        <f t="shared" si="14"/>
        <v/>
      </c>
      <c r="DM38" t="str">
        <f t="shared" si="14"/>
        <v/>
      </c>
      <c r="DN38" t="str">
        <f t="shared" si="30"/>
        <v/>
      </c>
      <c r="DO38" s="652">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71">
        <f>IF(AND(Stamoplysninger!$B$22="Ulempetillæg udbetales med 25% af nettotimelønnen.",C38="ikke relevant"),(R38)/4,0)</f>
        <v>0</v>
      </c>
      <c r="DT38" s="671">
        <f>IF(AND(AND(Stamoplysninger!$B$22="Ulempetillæg udbetales med 25% af nettotimelønnen.",I38="X",C38="Ikke relevant")),K38/4,0)</f>
        <v>0</v>
      </c>
      <c r="DU38" s="671">
        <f>IF(AND(AND(Stamoplysninger!$B$22="Ulempetillæg udbetales med 25% af nettotimelønnen.",C38="ikke relevant",U38="X")),(X38/4),0)</f>
        <v>0</v>
      </c>
      <c r="DV38" s="672">
        <f>IF(AND(AND(AND(Stamoplysninger!$B$22="Ulempetillæg udbetales med 25% af nettotimelønnen.",I38="X",C38="Ikke relevant",U38="X"))),X38/4,0)</f>
        <v>0</v>
      </c>
      <c r="DW38" s="652"/>
      <c r="DZ38" s="671"/>
      <c r="EA38" s="671"/>
      <c r="EB38" s="672"/>
      <c r="EC38" s="652">
        <f>IF(Stamoplysninger!$B$22="Ulempetillæg afspadseres med 25%(Kræver en aftale imellem ledelsen og den ansatte)",(R38+X38)/4,0)</f>
        <v>0</v>
      </c>
      <c r="ED38">
        <f>IF(AND(Stamoplysninger!$B$22="Ulempetillæg afspadseres med 25%(Kræver en aftale imellem ledelsen og den ansatte)",I38="X"),K38/4,0)</f>
        <v>0</v>
      </c>
      <c r="EE38">
        <f>IF(AND(Stamoplysninger!$B$22="Ulempetillæg afspadseres med 25%(Kræver en aftale imellem ledelsen og den ansatte)",I38="X"),V38/4,0)</f>
        <v>0</v>
      </c>
      <c r="EF38">
        <f>IF(AND(AND(Stamoplysninger!$B$22="Ulempetillæg udbetales med 25% af nettotimelønnen.",AG38="X",W38="X")),AJ38/4,0)</f>
        <v>0</v>
      </c>
      <c r="EG38" s="671">
        <f>IF(AND(Stamoplysninger!$B$22="Ulempetillæg afspadseres med 25%(Kræver en aftale imellem ledelsen og den ansatte)",C38="ikke relevant"),(R38+X38)/4,0)</f>
        <v>0</v>
      </c>
      <c r="EH38" s="671">
        <f>IF(AND(AND(Stamoplysninger!$B$22="Ulempetillæg afspadseres med 25%(Kræver en aftale imellem ledelsen og den ansatte)",I38="X",C38="Ikke relevant")),K38/4,0)</f>
        <v>0</v>
      </c>
      <c r="EI38" s="671">
        <f>IF(AND(AND(Stamoplysninger!$B$22="Ulempetillæg afspadseres med 25%(Kræver en aftale imellem ledelsen og den ansatte)",I38="X",C38="Ikke relevant")),V38/4,0)</f>
        <v>0</v>
      </c>
      <c r="EJ38" s="671">
        <f>IF(AND(AND(Stamoplysninger!$B$22="Ulempetillæg afspadseres med 25%(Kræver en aftale imellem ledelsen og den ansatte)",J38="X",D38="Ikke relevant")),W38/4,0)</f>
        <v>0</v>
      </c>
      <c r="EK38" s="283">
        <f>IF(AND(Stamoplysninger!$B$26="Weekendtimer og weekendtillæg afspadseres.",I38="X"),K38+V38,0)</f>
        <v>0</v>
      </c>
      <c r="EL38" s="251">
        <f>IF(AND(Stamoplysninger!$B$26="Weekendtimer og weekendtillæg afspadseres.",J38="X"),(L38+W38)/2,0)</f>
        <v>0</v>
      </c>
      <c r="EM38" s="674">
        <f>IF(AND(AND(Stamoplysninger!$B$26="Weekendtimer og weekendtillæg afspadseres.",I38="X",C38="ikke relevant")),K38+V38,0)</f>
        <v>0</v>
      </c>
      <c r="EN38" s="675">
        <f>IF(AND(AND(Stamoplysninger!$B$26="Weekendtimer og weekendtillæg afspadseres.",I38="X",C38="ikke relevant")),(K38+V38)/2,0)</f>
        <v>0</v>
      </c>
      <c r="EO38" s="283">
        <f>IF(AND(Stamoplysninger!$B$26="Weekendtimer og weekendtillæg udbetales.",I38="X"),K38+V38,0)</f>
        <v>0</v>
      </c>
      <c r="EP38" s="251">
        <f>IF(AND(Stamoplysninger!$B$26="Weekendtimer og weekendtillæg udbetales.",I38="X"),(K38+V38)/2,0)</f>
        <v>0</v>
      </c>
      <c r="EQ38" s="674">
        <f>IF(AND(AND(Stamoplysninger!$B$26="Weekendtimer og weekendtillæg udbetales.",I38="X",C38="ikke relevant")),K38+V38,0)</f>
        <v>0</v>
      </c>
      <c r="ER38" s="675">
        <f>IF(AND(AND(Stamoplysninger!$B$26="Weekendtimer og weekendtillæg udbetales.",I38="X",C38="ikke relevant")),(K38+V38)/2,0)</f>
        <v>0</v>
      </c>
      <c r="ES38" s="283">
        <f>IF(AND(Stamoplysninger!$B$26="Weekendtimer og weekendtillæg udbetales.",M38="X"),O38+Z38,0)</f>
        <v>0</v>
      </c>
      <c r="ET38" s="251">
        <f>IF(AND(Stamoplysninger!$B$26="Weekendtimer og weekendtillæg udbetales.",M38="X"),(O38+Z38)/2,0)</f>
        <v>0</v>
      </c>
      <c r="EU38" s="674">
        <f>IF(AND(AND(Stamoplysninger!$B$26="Weekendtimer og weekendtillæg udbetales.",M38="X",G38="ikke relevant")),O38+Z38,0)</f>
        <v>0</v>
      </c>
      <c r="EV38" s="675">
        <f>IF(AND(AND(Stamoplysninger!$B$26="Weekendtimer og weekendtillæg udbetales.",M38="X",G38="ikke relevant")),(O38+Z38)/2,0)</f>
        <v>0</v>
      </c>
      <c r="EW38" s="283">
        <f>IF(AND(Stamoplysninger!$B$26="Der er indgået lokalaftale omkring weekendtimer(Kræver aftale med TR/FSL). Weekendtillæg udbetales.",I38="X"),K38*0.5,0)</f>
        <v>0</v>
      </c>
      <c r="EX38" s="251">
        <f>IF(AND(AND(Stamoplysninger!$B$26="Der er indgået lokalaftale omkring weekendtimer(Kræver aftale med TR/FSL). Weekendtillæg udbetales.",I38="X",S38="X")),V38*0.5,0)</f>
        <v>0</v>
      </c>
      <c r="EY38" s="674">
        <f>IF(AND(AND(Stamoplysninger!$B$26="Der er indgået lokalaftale omkring weekendtimer(Kræver aftale med TR/FSL). Weekendtillæg udbetales.",I38="X",C38="ikke relevant")),K38*0.5,0)</f>
        <v>0</v>
      </c>
      <c r="EZ38" s="675">
        <f>IF(AND(AND(AND(Stamoplysninger!$B$26="Der er indgået lokalaftale omkring weekendtimer(Kræver aftale med TR/FSL). Weekendtillæg udbetales.",I38="X",C38="ikke relevant",S38="X"))),(V38*0.5),0)</f>
        <v>0</v>
      </c>
      <c r="FA38" s="283">
        <f>IF(AND(Stamoplysninger!$B$26="Der er indgået lokalaftale omkring weekendtimer(Kræver aftale med TR/FSL). Weekendtillæg udbetales.",M38="X"),O38*0.5,0)</f>
        <v>0</v>
      </c>
      <c r="FB38" s="251">
        <f>IF(AND(AND(Stamoplysninger!$B$26="Der er indgået lokalaftale omkring weekendtimer(Kræver aftale med TR/FSL). Weekendtillæg udbetales.",M38="X",W38="X")),Z38*0.5,0)</f>
        <v>0</v>
      </c>
      <c r="FC38" s="674">
        <f>IF(AND(AND(Stamoplysninger!$B$26="Der er indgået lokalaftale omkring weekendtimer(Kræver aftale med TR/FSL). Weekendtillæg udbetales.",M38="X",G38="ikke relevant")),O38*0.5,0)</f>
        <v>0</v>
      </c>
      <c r="FD38" s="675">
        <f>IF(AND(AND(AND(Stamoplysninger!$B$26="Der er indgået lokalaftale omkring weekendtimer(Kræver aftale med TR/FSL). Weekendtillæg udbetales.",M38="X",G38="ikke relevant",W38="X"))),(Z38*0.5),0)</f>
        <v>0</v>
      </c>
      <c r="FE38" s="283">
        <f>IF(AND(Stamoplysninger!$B$26="Der er indgået lokalaftale omkring weekendtimer(Kræver aftale med TR/FSL). Weekendtillæg udbetales.",Q38="X"),S38*0.5,0)</f>
        <v>0</v>
      </c>
      <c r="FF38" s="251">
        <f>IF(AND(AND(Stamoplysninger!$B$26="Der er indgået lokalaftale omkring weekendtimer(Kræver aftale med TR/FSL). Weekendtillæg udbetales.",Q38="X",AA38="X")),AD38*0.5,0)</f>
        <v>0</v>
      </c>
      <c r="FG38" s="674">
        <f>IF(AND(AND(Stamoplysninger!$B$26="Der er indgået lokalaftale omkring weekendtimer(Kræver aftale med TR/FSL). Weekendtillæg udbetales.",Q38="X",K38="ikke relevant")),S38*0.5,0)</f>
        <v>0</v>
      </c>
      <c r="FH38" s="675">
        <f>IF(AND(AND(AND(Stamoplysninger!$B$26="Der er indgået lokalaftale omkring weekendtimer(Kræver aftale med TR/FSL). Weekendtillæg udbetales.",Q38="X",K38="ikke relevant",AA38="X"))),(AD38*0.5),0)</f>
        <v>0</v>
      </c>
      <c r="FI38" s="283">
        <f>IF(AND(Stamoplysninger!$B$26="Weekendtimer og weekendtillæg afspadseres.",I38="X"),K38,0)</f>
        <v>0</v>
      </c>
      <c r="FJ38" s="251">
        <f>IF(AND(Stamoplysninger!$B$26="Weekendtimer og weekendtillæg afspadseres.",Y38="X"),(AA38+AL38)/2,0)</f>
        <v>0</v>
      </c>
      <c r="FK38" s="674">
        <f>IF(AND(AND(Stamoplysninger!$B$26="Weekendtimer og weekendtillæg afspadseres.",I38="X",C38="ikke relevant")),K38,0)</f>
        <v>0</v>
      </c>
      <c r="FL38" s="675">
        <f>IF(AND(AND(Stamoplysninger!$B$26="Weekendtimer og weekendtillæg afspadseres.",Y38="X",S38="ikke relevant")),(AA38+AL38)/2,0)</f>
        <v>0</v>
      </c>
      <c r="FM38" s="283">
        <f>IF(AND(Stamoplysninger!$B$26="Der er indgået lokalaftale omkring weekendtillæg(Kræver aftale med TR/FSL). Weekendtimerne afspadseres.",I38="X"),K38,0)</f>
        <v>0</v>
      </c>
      <c r="FN38" s="674">
        <f>IF(AND(AND(Stamoplysninger!$B$26="Der er indgået lokalaftale omkring weekendtillæg(Kræver aftale med TR/FSL). Weekendtimerne afspadseres.",I38="X",C38="ikke relevant")),K38,0)</f>
        <v>0</v>
      </c>
      <c r="FO38" s="283">
        <f>IF(AND(Stamoplysninger!$B$26="Weekendtimer og weekendtillæg udbetales.",I38="X"),K38,0)</f>
        <v>0</v>
      </c>
      <c r="FP38" s="251">
        <f>IF(AND(Stamoplysninger!$B$26="Weekendtimer og weekendtillæg udbetales.",AA38="X"),(AC38+AN38)/2,0)</f>
        <v>0</v>
      </c>
      <c r="FQ38" s="674">
        <f>IF(AND(AND(Stamoplysninger!$B$26="Weekendtimer og weekendtillæg udbetales.",I38="X",C38="ikke relevant")),K38,0)</f>
        <v>0</v>
      </c>
      <c r="FR38" s="688">
        <f>IF(AND(AND(Stamoplysninger!$B$26="Weekendtimer og weekendtillæg udbetales.",AA38="X",U38="ikke relevant")),(AC38+AN38)/2,0)</f>
        <v>0</v>
      </c>
      <c r="FS38" s="283">
        <f>IF(AND(I38="X",S38="X"),V38,0)</f>
        <v>0</v>
      </c>
      <c r="FT38" s="658">
        <f>IF(AND(AND(C38="ikke relevant",I38="X",S38="X")),V38,0)</f>
        <v>0</v>
      </c>
      <c r="FU38">
        <f t="shared" si="31"/>
        <v>0</v>
      </c>
      <c r="FV38" s="283">
        <f>IF(AND(Stamoplysninger!$B$26="Der er indgået lokalaftale omkring weekendtimer.(Kræver aftale med TR/FSL) Weekendtillæg afspadseres.",I38="X"),K38,0)</f>
        <v>0</v>
      </c>
      <c r="FW38" s="674">
        <f>IF(AND(AND(Stamoplysninger!$B$26="Der er indgået lokalaftale omkring weekendtimer.(Kræver aftale med TR/FSL) Weekendtillæg afspadseres.",I38="X",C38="ikke relevant")),K38,0)</f>
        <v>0</v>
      </c>
      <c r="FX38" s="283">
        <f>IF(AND(Stamoplysninger!$B$26="Der er indgået lokalaftale omkring weekendtimer(Kræver aftale med TR/FSL). Weekendtillæg udbetales.",I38="X"),K38,0)</f>
        <v>0</v>
      </c>
      <c r="FY38" s="674">
        <f>IF(AND(AND(Stamoplysninger!$B$26="Der er indgået lokalaftale omkring weekendtimer(Kræver aftale med TR/FSL). Weekendtillæg udbetales.",I38="X",C38="ikke relevant")),K38,0)</f>
        <v>0</v>
      </c>
      <c r="FZ38" s="283">
        <f>IF(AND(Stamoplysninger!$B$26="Der er indgået lokalaftale omkring weekendtillæg(Kræver aftale med TR/FSL). Weekendtimerne udbetales.",I38="X"),K38,0)</f>
        <v>0</v>
      </c>
      <c r="GA38" s="674">
        <f>IF(AND(AND(Stamoplysninger!$B$26="Der er indgået lokalaftale omkring weekendtillæg(Kræver aftale med TR/FSL). Weekendtimerne udbetales.",I38="X",C38="ikke relevant")),K38,0)</f>
        <v>0</v>
      </c>
      <c r="GB38" s="283">
        <f>IF(AND(Stamoplysninger!$B$26="Der er indgået lokalaftale omkring weekendtimer og weekendtillæg.(Kræver aftale med TR/FSL).",I38="X"),K38,0)</f>
        <v>0</v>
      </c>
      <c r="GC38" s="674">
        <f>IF(AND(AND(Stamoplysninger!$B$26="Der er indgået lokalaftale omkring weekendtimer og weekendtillæg.(Kræver aftale med TR/FSL).",I38="X",C38="ikke relevant")),K38,0)</f>
        <v>0</v>
      </c>
    </row>
    <row r="39" spans="1:185" ht="17" thickBot="1">
      <c r="A39" s="245">
        <f>IF(ISNUMBER(A38),A38+1,1)</f>
        <v>31</v>
      </c>
      <c r="B39" s="128" t="str">
        <f t="shared" si="0"/>
        <v>lø</v>
      </c>
      <c r="C39" s="129" t="s">
        <v>120</v>
      </c>
      <c r="D39" s="130" t="str">
        <f t="shared" si="1"/>
        <v/>
      </c>
      <c r="E39" s="949"/>
      <c r="F39" s="950"/>
      <c r="G39" s="951"/>
      <c r="H39" s="297"/>
      <c r="I39" s="527"/>
      <c r="J39" s="413"/>
      <c r="K39" s="380"/>
      <c r="L39" s="380"/>
      <c r="M39" s="380"/>
      <c r="N39" s="318">
        <f t="shared" si="19"/>
        <v>0</v>
      </c>
      <c r="O39" s="318">
        <f t="shared" si="20"/>
        <v>0</v>
      </c>
      <c r="P39" s="318">
        <f>IF(Stamoplysninger!$H$29="JA",Maj!DG39,CX39)</f>
        <v>0</v>
      </c>
      <c r="Q39" s="318">
        <f t="shared" si="21"/>
        <v>0</v>
      </c>
      <c r="R39" s="319"/>
      <c r="S39" s="324"/>
      <c r="T39" s="325"/>
      <c r="U39" s="214"/>
      <c r="V39" s="435"/>
      <c r="W39" s="412"/>
      <c r="X39" s="643"/>
      <c r="Y39">
        <f t="shared" si="22"/>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1",B39="ma"),Arbejdstidsoversigt!$E$72,"")</f>
        <v/>
      </c>
      <c r="AH39" t="str">
        <f>IF(AND(C39="Skema 1",B39="ti"),Arbejdstidsoversigt!$E$73,"")</f>
        <v/>
      </c>
      <c r="AI39" t="str">
        <f>IF(AND(C39="Skema 1",B39="on"),Arbejdstidsoversigt!$E$74,"")</f>
        <v/>
      </c>
      <c r="AJ39" t="str">
        <f>IF(AND(C39="Skema 1",B39="to"),Arbejdstidsoversigt!$E$75,"")</f>
        <v/>
      </c>
      <c r="AK39" t="str">
        <f>IF(AND(C39="Skema 1",B39="fr"),Arbejdstidsoversigt!$E$76,"")</f>
        <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23"/>
        <v>0</v>
      </c>
      <c r="BB39" s="229">
        <f t="shared" si="8"/>
        <v>0</v>
      </c>
      <c r="BC39" s="1">
        <f t="shared" si="24"/>
        <v>0</v>
      </c>
      <c r="BD39" s="1">
        <f t="shared" si="9"/>
        <v>0</v>
      </c>
      <c r="BE39" s="1">
        <f t="shared" si="10"/>
        <v>0</v>
      </c>
      <c r="BF39" s="1">
        <f t="shared" si="11"/>
        <v>0</v>
      </c>
      <c r="BG39" s="210" t="str">
        <f>IF(AND(C39="Skema 1",B39="ma"),Skemaoplysninger!$E$30,"")</f>
        <v/>
      </c>
      <c r="BH39" s="210" t="str">
        <f>IF(AND(C39="Skema 1",B39="ti"),Skemaoplysninger!$G$30,"")</f>
        <v/>
      </c>
      <c r="BI39" s="210" t="str">
        <f>IF(AND(C39="Skema 1",B39="on"),Skemaoplysninger!$I$30,"")</f>
        <v/>
      </c>
      <c r="BJ39" s="210" t="str">
        <f>IF(AND(C39="Skema 1",B39="to"),Skemaoplysninger!$K$30,"")</f>
        <v/>
      </c>
      <c r="BK39" s="210" t="str">
        <f>IF(AND(C39="Skema 1",B39="fr"),Skemaoplysninger!$M$30,"")</f>
        <v/>
      </c>
      <c r="BL39" s="210" t="str">
        <f>IF(AND(C39="Skema 2",B39="ma"),Skemaoplysninger!$S$30,"")</f>
        <v/>
      </c>
      <c r="BM39" s="210" t="str">
        <f>IF(AND(C39="Skema 2",B39="ti"),Skemaoplysninger!$U$30,"")</f>
        <v/>
      </c>
      <c r="BN39" s="210" t="str">
        <f>IF(AND(C39="Skema 2",B39="on"),Skemaoplysninger!$W$30,"")</f>
        <v/>
      </c>
      <c r="BO39" s="210" t="str">
        <f>IF(AND(C39="Skema 2",B39="to"),Skemaoplysninger!$Y$30,"")</f>
        <v/>
      </c>
      <c r="BP39" s="210" t="str">
        <f>IF(AND(C39="Skema 2",B39="fr"),Skemaoplysninger!$AA$30,"")</f>
        <v/>
      </c>
      <c r="BQ39" s="210" t="str">
        <f>IF(AND(C39="Skema 3",B39="ma"),Skemaoplysninger!$AG$30,"")</f>
        <v/>
      </c>
      <c r="BR39" s="210" t="str">
        <f>IF(AND(C39="Skema 3",B39="ti"),Skemaoplysninger!$AI$30,"")</f>
        <v/>
      </c>
      <c r="BS39" s="210" t="str">
        <f>IF(AND(C39="Skema 3",B39="on"),Skemaoplysninger!$AK$30,"")</f>
        <v/>
      </c>
      <c r="BT39" s="210" t="str">
        <f>IF(AND(C39="Skema 3",B39="to"),Skemaoplysninger!$AM$30,"")</f>
        <v/>
      </c>
      <c r="BU39" s="210" t="str">
        <f>IF(AND(C39="Skema 3",B39="fr"),Skemaoplysninger!$AO$30,"")</f>
        <v/>
      </c>
      <c r="BV39" s="210" t="str">
        <f>IF(AND(C39="Skema 4",B39="ma"),Skemaoplysninger!$AU$30,"")</f>
        <v/>
      </c>
      <c r="BW39" s="210" t="str">
        <f>IF(AND(C39="Skema 4",B39="ti"),Skemaoplysninger!$AW$30,"")</f>
        <v/>
      </c>
      <c r="BX39" s="210" t="str">
        <f>IF(AND(C39="Skema 4",B39="on"),Skemaoplysninger!$AY$30,"")</f>
        <v/>
      </c>
      <c r="BY39" s="210" t="str">
        <f>IF(AND(C39="Skema 4",B39="to"),Skemaoplysninger!$BA$30,"")</f>
        <v/>
      </c>
      <c r="BZ39" s="210" t="str">
        <f>IF(AND(C39="Skema 4",B39="fr"),Skemaoplysninger!$BC$30,"")</f>
        <v/>
      </c>
      <c r="CA39" s="1">
        <f t="shared" si="25"/>
        <v>0</v>
      </c>
      <c r="CB39" s="1">
        <f t="shared" si="12"/>
        <v>0</v>
      </c>
      <c r="CC39" s="1">
        <f t="shared" si="13"/>
        <v>0</v>
      </c>
      <c r="CD39" s="210" t="str">
        <f>IF(AND(C39="Skema 1",B39="ma"),Skemaoplysninger!$E$31,"")</f>
        <v/>
      </c>
      <c r="CE39" s="210" t="str">
        <f>IF(AND(C39="Skema 1",B39="ti"),Skemaoplysninger!$G$31,"")</f>
        <v/>
      </c>
      <c r="CF39" s="210" t="str">
        <f>IF(AND(C39="Skema 1",B39="on"),Skemaoplysninger!$I$31,"")</f>
        <v/>
      </c>
      <c r="CG39" s="210" t="str">
        <f>IF(AND(C39="Skema 1",B39="to"),Skemaoplysninger!$K$31,"")</f>
        <v/>
      </c>
      <c r="CH39" s="210" t="str">
        <f>IF(AND(C39="Skema 1",B39="fr"),Skemaoplysninger!$M$31,"")</f>
        <v/>
      </c>
      <c r="CI39" s="210" t="str">
        <f>IF(AND(C39="Skema 2",B39="ma"),Skemaoplysninger!$S$31,"")</f>
        <v/>
      </c>
      <c r="CJ39" s="210" t="str">
        <f>IF(AND(C39="Skema 2",B39="ti"),Skemaoplysninger!$U$31,"")</f>
        <v/>
      </c>
      <c r="CK39" s="210" t="str">
        <f>IF(AND(C39="Skema 2",B39="on"),Skemaoplysninger!$W$31,"")</f>
        <v/>
      </c>
      <c r="CL39" s="210" t="str">
        <f>IF(AND(C39="Skema 2",B39="to"),Skemaoplysninger!$Y$31,"")</f>
        <v/>
      </c>
      <c r="CM39" s="210" t="str">
        <f>IF(AND(C39="Skema 2",B39="fr"),Skemaoplysninger!$AA$31,"")</f>
        <v/>
      </c>
      <c r="CN39" s="210" t="str">
        <f>IF(AND(C39="Skema 3",B39="ma"),Skemaoplysninger!$AG$31,"")</f>
        <v/>
      </c>
      <c r="CO39" s="210" t="str">
        <f>IF(AND(C39="Skema 3",B39="ti"),Skemaoplysninger!$AI$31,"")</f>
        <v/>
      </c>
      <c r="CP39" s="210" t="str">
        <f>IF(AND(C39="Skema 3",B39="on"),Skemaoplysninger!$AK$31,"")</f>
        <v/>
      </c>
      <c r="CQ39" s="210" t="str">
        <f>IF(AND(C39="Skema 3",B39="to"),Skemaoplysninger!$AM$31,"")</f>
        <v/>
      </c>
      <c r="CR39" s="210" t="str">
        <f>IF(AND(C39="Skema 3",B39="fr"),Skemaoplysninger!$AO$31,"")</f>
        <v/>
      </c>
      <c r="CS39" s="210" t="str">
        <f>IF(AND(C39="Skema 4",B39="ma"),Skemaoplysninger!$AU$31,"")</f>
        <v/>
      </c>
      <c r="CT39" s="210" t="str">
        <f>IF(AND(C39="Skema 4",B39="ti"),Skemaoplysninger!$AW$31,"")</f>
        <v/>
      </c>
      <c r="CU39" s="210" t="str">
        <f>IF(AND(C39="Skema 4",B39="on"),Skemaoplysninger!$AY$31,"")</f>
        <v/>
      </c>
      <c r="CV39" s="210" t="str">
        <f>IF(AND(C39="Skema 4",B39="to"),Skemaoplysninger!$BA$31,"")</f>
        <v/>
      </c>
      <c r="CW39" s="210" t="str">
        <f>IF(AND(C39="Skema 4",B39="fr"),Skemaoplysninger!$BC$31,"")</f>
        <v/>
      </c>
      <c r="CX39" s="249">
        <f>IF(Stamoplysninger!$H$29="NEJ",SUM(CD39:CW39)*24+CB39+CC39,0)</f>
        <v>0</v>
      </c>
      <c r="CY39" s="249">
        <f>IF(C39="Skema 1",Stamoplysninger!$H$30/200,0)</f>
        <v>0</v>
      </c>
      <c r="CZ39" s="249">
        <f>IF(C39="Skema 2",Stamoplysninger!$H$30/200,0)</f>
        <v>0</v>
      </c>
      <c r="DA39" s="249">
        <f>IF(C39="Skema 3",Stamoplysninger!$H$30/200,0)</f>
        <v>0</v>
      </c>
      <c r="DB39" s="249">
        <f>IF(C39="Skema 4",Stamoplysninger!$H$30/200,0)</f>
        <v>0</v>
      </c>
      <c r="DC39" s="249">
        <f>IF(C39="fagdag",Stamoplysninger!$H$30/200,0)</f>
        <v>0</v>
      </c>
      <c r="DD39" s="249">
        <f>IF(C39="emnedag",Stamoplysninger!$H$30/200,0)</f>
        <v>0</v>
      </c>
      <c r="DE39" s="249">
        <f>IF(C39="lejrskole",Stamoplysninger!$H$30/200,0)</f>
        <v>0</v>
      </c>
      <c r="DF39" s="249">
        <f>IF(C39="ekskursion",Stamoplysninger!$H$30/200,0)</f>
        <v>0</v>
      </c>
      <c r="DG39" s="249">
        <f t="shared" si="26"/>
        <v>0</v>
      </c>
      <c r="DH39" t="str">
        <f t="shared" si="27"/>
        <v/>
      </c>
      <c r="DI39">
        <f t="shared" si="28"/>
        <v>0</v>
      </c>
      <c r="DJ39">
        <f t="shared" si="29"/>
        <v>0</v>
      </c>
      <c r="DK39" t="str">
        <f>IF(DH39=0,"",DH39)</f>
        <v/>
      </c>
      <c r="DL39" t="str">
        <f>IF(DI39=0,"",DI39)</f>
        <v/>
      </c>
      <c r="DM39" t="str">
        <f>IF(DJ39=0,"",DJ39)</f>
        <v/>
      </c>
      <c r="DN39" t="str">
        <f t="shared" si="30"/>
        <v/>
      </c>
      <c r="DO39" s="652">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71">
        <f>IF(AND(Stamoplysninger!$B$22="Ulempetillæg udbetales med 25% af nettotimelønnen.",C39="ikke relevant"),(R39)/4,0)</f>
        <v>0</v>
      </c>
      <c r="DT39" s="671">
        <f>IF(AND(AND(Stamoplysninger!$B$22="Ulempetillæg udbetales med 25% af nettotimelønnen.",I39="X",C39="Ikke relevant")),K39/4,0)</f>
        <v>0</v>
      </c>
      <c r="DU39" s="671">
        <f>IF(AND(AND(Stamoplysninger!$B$22="Ulempetillæg udbetales med 25% af nettotimelønnen.",C39="ikke relevant",U39="X")),(X39/4),0)</f>
        <v>0</v>
      </c>
      <c r="DV39" s="672">
        <f>IF(AND(AND(AND(Stamoplysninger!$B$22="Ulempetillæg udbetales med 25% af nettotimelønnen.",I39="X",C39="Ikke relevant",U39="X"))),X39/4,0)</f>
        <v>0</v>
      </c>
      <c r="DW39" s="652"/>
      <c r="DZ39" s="671"/>
      <c r="EA39" s="671"/>
      <c r="EB39" s="672"/>
      <c r="EC39" s="652">
        <f>IF(Stamoplysninger!$B$22="Ulempetillæg afspadseres med 25%(Kræver en aftale imellem ledelsen og den ansatte)",(R39+X39)/4,0)</f>
        <v>0</v>
      </c>
      <c r="ED39">
        <f>IF(AND(Stamoplysninger!$B$22="Ulempetillæg afspadseres med 25%(Kræver en aftale imellem ledelsen og den ansatte)",I39="X"),K39/4,0)</f>
        <v>0</v>
      </c>
      <c r="EE39">
        <f>IF(AND(Stamoplysninger!$B$22="Ulempetillæg afspadseres med 25%(Kræver en aftale imellem ledelsen og den ansatte)",I39="X"),V39/4,0)</f>
        <v>0</v>
      </c>
      <c r="EF39">
        <f>IF(AND(AND(Stamoplysninger!$B$22="Ulempetillæg udbetales med 25% af nettotimelønnen.",AG39="X",W39="X")),AJ39/4,0)</f>
        <v>0</v>
      </c>
      <c r="EG39" s="671">
        <f>IF(AND(Stamoplysninger!$B$22="Ulempetillæg afspadseres med 25%(Kræver en aftale imellem ledelsen og den ansatte)",C39="ikke relevant"),(R39+X39)/4,0)</f>
        <v>0</v>
      </c>
      <c r="EH39" s="671">
        <f>IF(AND(AND(Stamoplysninger!$B$22="Ulempetillæg afspadseres med 25%(Kræver en aftale imellem ledelsen og den ansatte)",I39="X",C39="Ikke relevant")),K39/4,0)</f>
        <v>0</v>
      </c>
      <c r="EI39" s="671">
        <f>IF(AND(AND(Stamoplysninger!$B$22="Ulempetillæg afspadseres med 25%(Kræver en aftale imellem ledelsen og den ansatte)",I39="X",C39="Ikke relevant")),V39/4,0)</f>
        <v>0</v>
      </c>
      <c r="EJ39" s="671">
        <f>IF(AND(AND(Stamoplysninger!$B$22="Ulempetillæg afspadseres med 25%(Kræver en aftale imellem ledelsen og den ansatte)",J39="X",D39="Ikke relevant")),W39/4,0)</f>
        <v>0</v>
      </c>
      <c r="EK39" s="283">
        <f>IF(AND(Stamoplysninger!$B$26="Weekendtimer og weekendtillæg afspadseres.",I39="X"),K39+V39,0)</f>
        <v>0</v>
      </c>
      <c r="EL39" s="251">
        <f>IF(AND(Stamoplysninger!$B$26="Weekendtimer og weekendtillæg afspadseres.",J39="X"),(L39+W39)/2,0)</f>
        <v>0</v>
      </c>
      <c r="EM39" s="674">
        <f>IF(AND(AND(Stamoplysninger!$B$26="Weekendtimer og weekendtillæg afspadseres.",I39="X",C39="ikke relevant")),K39+V39,0)</f>
        <v>0</v>
      </c>
      <c r="EN39" s="675">
        <f>IF(AND(AND(Stamoplysninger!$B$26="Weekendtimer og weekendtillæg afspadseres.",I39="X",C39="ikke relevant")),(K39+V39)/2,0)</f>
        <v>0</v>
      </c>
      <c r="EO39" s="283">
        <f>IF(AND(Stamoplysninger!$B$26="Weekendtimer og weekendtillæg udbetales.",I39="X"),K39+V39,0)</f>
        <v>0</v>
      </c>
      <c r="EP39" s="251">
        <f>IF(AND(Stamoplysninger!$B$26="Weekendtimer og weekendtillæg udbetales.",I39="X"),(K39+V39)/2,0)</f>
        <v>0</v>
      </c>
      <c r="EQ39" s="674">
        <f>IF(AND(AND(Stamoplysninger!$B$26="Weekendtimer og weekendtillæg udbetales.",I39="X",C39="ikke relevant")),K39+V39,0)</f>
        <v>0</v>
      </c>
      <c r="ER39" s="675">
        <f>IF(AND(AND(Stamoplysninger!$B$26="Weekendtimer og weekendtillæg udbetales.",I39="X",C39="ikke relevant")),(K39+V39)/2,0)</f>
        <v>0</v>
      </c>
      <c r="ES39" s="283">
        <f>IF(AND(Stamoplysninger!$B$26="Weekendtimer og weekendtillæg udbetales.",M39="X"),O39+Z39,0)</f>
        <v>0</v>
      </c>
      <c r="ET39" s="251">
        <f>IF(AND(Stamoplysninger!$B$26="Weekendtimer og weekendtillæg udbetales.",M39="X"),(O39+Z39)/2,0)</f>
        <v>0</v>
      </c>
      <c r="EU39" s="674">
        <f>IF(AND(AND(Stamoplysninger!$B$26="Weekendtimer og weekendtillæg udbetales.",M39="X",G39="ikke relevant")),O39+Z39,0)</f>
        <v>0</v>
      </c>
      <c r="EV39" s="675">
        <f>IF(AND(AND(Stamoplysninger!$B$26="Weekendtimer og weekendtillæg udbetales.",M39="X",G39="ikke relevant")),(O39+Z39)/2,0)</f>
        <v>0</v>
      </c>
      <c r="EW39" s="283">
        <f>IF(AND(Stamoplysninger!$B$26="Der er indgået lokalaftale omkring weekendtimer(Kræver aftale med TR/FSL). Weekendtillæg udbetales.",I39="X"),K39*0.5,0)</f>
        <v>0</v>
      </c>
      <c r="EX39" s="251">
        <f>IF(AND(AND(Stamoplysninger!$B$26="Der er indgået lokalaftale omkring weekendtimer(Kræver aftale med TR/FSL). Weekendtillæg udbetales.",I39="X",S39="X")),V39*0.5,0)</f>
        <v>0</v>
      </c>
      <c r="EY39" s="674">
        <f>IF(AND(AND(Stamoplysninger!$B$26="Der er indgået lokalaftale omkring weekendtimer(Kræver aftale med TR/FSL). Weekendtillæg udbetales.",I39="X",C39="ikke relevant")),K39*0.5,0)</f>
        <v>0</v>
      </c>
      <c r="EZ39" s="675">
        <f>IF(AND(AND(AND(Stamoplysninger!$B$26="Der er indgået lokalaftale omkring weekendtimer(Kræver aftale med TR/FSL). Weekendtillæg udbetales.",I39="X",C39="ikke relevant",S39="X"))),(V39*0.5),0)</f>
        <v>0</v>
      </c>
      <c r="FA39" s="283">
        <f>IF(AND(Stamoplysninger!$B$26="Der er indgået lokalaftale omkring weekendtimer(Kræver aftale med TR/FSL). Weekendtillæg udbetales.",M39="X"),O39*0.5,0)</f>
        <v>0</v>
      </c>
      <c r="FB39" s="251">
        <f>IF(AND(AND(Stamoplysninger!$B$26="Der er indgået lokalaftale omkring weekendtimer(Kræver aftale med TR/FSL). Weekendtillæg udbetales.",M39="X",W39="X")),Z39*0.5,0)</f>
        <v>0</v>
      </c>
      <c r="FC39" s="674">
        <f>IF(AND(AND(Stamoplysninger!$B$26="Der er indgået lokalaftale omkring weekendtimer(Kræver aftale med TR/FSL). Weekendtillæg udbetales.",M39="X",G39="ikke relevant")),O39*0.5,0)</f>
        <v>0</v>
      </c>
      <c r="FD39" s="675">
        <f>IF(AND(AND(AND(Stamoplysninger!$B$26="Der er indgået lokalaftale omkring weekendtimer(Kræver aftale med TR/FSL). Weekendtillæg udbetales.",M39="X",G39="ikke relevant",W39="X"))),(Z39*0.5),0)</f>
        <v>0</v>
      </c>
      <c r="FE39" s="283">
        <f>IF(AND(Stamoplysninger!$B$26="Der er indgået lokalaftale omkring weekendtimer(Kræver aftale med TR/FSL). Weekendtillæg udbetales.",Q39="X"),S39*0.5,0)</f>
        <v>0</v>
      </c>
      <c r="FF39" s="251">
        <f>IF(AND(AND(Stamoplysninger!$B$26="Der er indgået lokalaftale omkring weekendtimer(Kræver aftale med TR/FSL). Weekendtillæg udbetales.",Q39="X",AA39="X")),AD39*0.5,0)</f>
        <v>0</v>
      </c>
      <c r="FG39" s="674">
        <f>IF(AND(AND(Stamoplysninger!$B$26="Der er indgået lokalaftale omkring weekendtimer(Kræver aftale med TR/FSL). Weekendtillæg udbetales.",Q39="X",K39="ikke relevant")),S39*0.5,0)</f>
        <v>0</v>
      </c>
      <c r="FH39" s="675">
        <f>IF(AND(AND(AND(Stamoplysninger!$B$26="Der er indgået lokalaftale omkring weekendtimer(Kræver aftale med TR/FSL). Weekendtillæg udbetales.",Q39="X",K39="ikke relevant",AA39="X"))),(AD39*0.5),0)</f>
        <v>0</v>
      </c>
      <c r="FI39" s="283">
        <f>IF(AND(Stamoplysninger!$B$26="Weekendtimer og weekendtillæg afspadseres.",I39="X"),K39,0)</f>
        <v>0</v>
      </c>
      <c r="FJ39" s="251">
        <f>IF(AND(Stamoplysninger!$B$26="Weekendtimer og weekendtillæg afspadseres.",Y39="X"),(AA39+AL39)/2,0)</f>
        <v>0</v>
      </c>
      <c r="FK39" s="674">
        <f>IF(AND(AND(Stamoplysninger!$B$26="Weekendtimer og weekendtillæg afspadseres.",I39="X",C39="ikke relevant")),K39,0)</f>
        <v>0</v>
      </c>
      <c r="FL39" s="675">
        <f>IF(AND(AND(Stamoplysninger!$B$26="Weekendtimer og weekendtillæg afspadseres.",Y39="X",S39="ikke relevant")),(AA39+AL39)/2,0)</f>
        <v>0</v>
      </c>
      <c r="FM39" s="283">
        <f>IF(AND(Stamoplysninger!$B$26="Der er indgået lokalaftale omkring weekendtillæg(Kræver aftale med TR/FSL). Weekendtimerne afspadseres.",I39="X"),K39,0)</f>
        <v>0</v>
      </c>
      <c r="FN39" s="674">
        <f>IF(AND(AND(Stamoplysninger!$B$26="Der er indgået lokalaftale omkring weekendtillæg(Kræver aftale med TR/FSL). Weekendtimerne afspadseres.",I39="X",C39="ikke relevant")),K39,0)</f>
        <v>0</v>
      </c>
      <c r="FO39" s="283">
        <f>IF(AND(Stamoplysninger!$B$26="Weekendtimer og weekendtillæg udbetales.",I39="X"),K39,0)</f>
        <v>0</v>
      </c>
      <c r="FP39" s="251">
        <f>IF(AND(Stamoplysninger!$B$26="Weekendtimer og weekendtillæg udbetales.",AA39="X"),(AC39+AN39)/2,0)</f>
        <v>0</v>
      </c>
      <c r="FQ39" s="674">
        <f>IF(AND(AND(Stamoplysninger!$B$26="Weekendtimer og weekendtillæg udbetales.",I39="X",C39="ikke relevant")),K39,0)</f>
        <v>0</v>
      </c>
      <c r="FR39" s="688">
        <f>IF(AND(AND(Stamoplysninger!$B$26="Weekendtimer og weekendtillæg udbetales.",AA39="X",U39="ikke relevant")),(AC39+AN39)/2,0)</f>
        <v>0</v>
      </c>
      <c r="FS39" s="283">
        <f>IF(AND(I39="X",S39="X"),V39,0)</f>
        <v>0</v>
      </c>
      <c r="FT39" s="658">
        <f>IF(AND(AND(C39="ikke relevant",I39="X",S39="X")),V39,0)</f>
        <v>0</v>
      </c>
      <c r="FU39">
        <f t="shared" si="31"/>
        <v>0</v>
      </c>
      <c r="FV39" s="283">
        <f>IF(AND(Stamoplysninger!$B$26="Der er indgået lokalaftale omkring weekendtimer.(Kræver aftale med TR/FSL) Weekendtillæg afspadseres.",I39="X"),K39,0)</f>
        <v>0</v>
      </c>
      <c r="FW39" s="674">
        <f>IF(AND(AND(Stamoplysninger!$B$26="Der er indgået lokalaftale omkring weekendtimer.(Kræver aftale med TR/FSL) Weekendtillæg afspadseres.",I39="X",C39="ikke relevant")),K39,0)</f>
        <v>0</v>
      </c>
      <c r="FX39" s="283">
        <f>IF(AND(Stamoplysninger!$B$26="Der er indgået lokalaftale omkring weekendtimer(Kræver aftale med TR/FSL). Weekendtillæg udbetales.",I39="X"),K39,0)</f>
        <v>0</v>
      </c>
      <c r="FY39" s="674">
        <f>IF(AND(AND(Stamoplysninger!$B$26="Der er indgået lokalaftale omkring weekendtimer(Kræver aftale med TR/FSL). Weekendtillæg udbetales.",I39="X",C39="ikke relevant")),K39,0)</f>
        <v>0</v>
      </c>
      <c r="FZ39" s="283">
        <f>IF(AND(Stamoplysninger!$B$26="Der er indgået lokalaftale omkring weekendtillæg(Kræver aftale med TR/FSL). Weekendtimerne udbetales.",I39="X"),K39,0)</f>
        <v>0</v>
      </c>
      <c r="GA39" s="674">
        <f>IF(AND(AND(Stamoplysninger!$B$26="Der er indgået lokalaftale omkring weekendtillæg(Kræver aftale med TR/FSL). Weekendtimerne udbetales.",I39="X",C39="ikke relevant")),K39,0)</f>
        <v>0</v>
      </c>
      <c r="GB39" s="283">
        <f>IF(AND(Stamoplysninger!$B$26="Der er indgået lokalaftale omkring weekendtimer og weekendtillæg.(Kræver aftale med TR/FSL).",I39="X"),K39,0)</f>
        <v>0</v>
      </c>
      <c r="GC39" s="674">
        <f>IF(AND(AND(Stamoplysninger!$B$26="Der er indgået lokalaftale omkring weekendtimer og weekendtillæg.(Kræver aftale med TR/FSL).",I39="X",C39="ikke relevant")),K39,0)</f>
        <v>0</v>
      </c>
    </row>
    <row r="40" spans="1:185" ht="17" thickBot="1">
      <c r="A40" s="972" t="s">
        <v>746</v>
      </c>
      <c r="B40" s="973"/>
      <c r="C40" s="973"/>
      <c r="D40" s="973"/>
      <c r="E40" s="973"/>
      <c r="F40" s="973"/>
      <c r="G40" s="973"/>
      <c r="H40" s="973"/>
      <c r="I40" s="974"/>
      <c r="J40" s="313"/>
      <c r="K40" s="321"/>
      <c r="L40" s="321"/>
      <c r="M40" s="321"/>
      <c r="N40" s="322">
        <f>SUM(N9:N39)</f>
        <v>177.66</v>
      </c>
      <c r="O40" s="322">
        <f>SUM(O9:O39)</f>
        <v>77</v>
      </c>
      <c r="P40" s="322">
        <f>SUM(P9:P39)</f>
        <v>17.333333333333336</v>
      </c>
      <c r="Q40" s="322">
        <f>SUM(Q9:Q39)</f>
        <v>54.666666666666664</v>
      </c>
      <c r="R40" s="32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32"/>
      <c r="T40" s="433"/>
      <c r="U40" s="433"/>
      <c r="V40" s="43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3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3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1">
        <f>SUM(Y9:Y39)</f>
        <v>0</v>
      </c>
      <c r="Z40" s="398">
        <f>Z9+Z10+Z11+Z12+Z13+Z14+Z15+Z16+Z17+Z18+Z19+Z20+Z21+Z22+Z23+Z24+Z25+Z26+Z27+Z28+Z29+Z30+Z31+Z32+Z33+Z34+Z35+Z36+Z37+Z38+Z39</f>
        <v>0</v>
      </c>
      <c r="AA40" s="235">
        <f t="shared" ref="AA40:AF40" si="32">SUM(AA9:AA39)</f>
        <v>0</v>
      </c>
      <c r="AB40" s="235">
        <f t="shared" si="32"/>
        <v>0</v>
      </c>
      <c r="AC40" s="235">
        <f t="shared" si="32"/>
        <v>0</v>
      </c>
      <c r="AD40" s="235">
        <f t="shared" si="32"/>
        <v>0</v>
      </c>
      <c r="AE40" s="235">
        <f t="shared" si="32"/>
        <v>46.66</v>
      </c>
      <c r="AF40" s="235">
        <f t="shared" si="32"/>
        <v>0</v>
      </c>
      <c r="BA40" s="1">
        <f>SUM(BA9:BA39)</f>
        <v>177.66</v>
      </c>
      <c r="BB40" s="112"/>
      <c r="BC40" s="235">
        <f>SUM(BC9:BC39)</f>
        <v>18</v>
      </c>
      <c r="BD40" s="235">
        <f>SUM(BD9:BD39)</f>
        <v>0</v>
      </c>
      <c r="BE40" s="235">
        <f>SUM(BE9:BE39)</f>
        <v>0</v>
      </c>
      <c r="BF40" s="235">
        <f>SUM(BF9:BF39)</f>
        <v>0</v>
      </c>
      <c r="BR40" s="210" t="str">
        <f>IF(AND(C40="Skema 3",B40="ti"),Skemaoplysninger!$Z$30,"")</f>
        <v/>
      </c>
      <c r="CA40" s="235">
        <f>SUM(CA9:CA39)</f>
        <v>77</v>
      </c>
      <c r="CB40" s="235">
        <f>SUM(CB9:CB39)</f>
        <v>0</v>
      </c>
      <c r="CC40" s="235">
        <f>SUM(CC9:CC39)</f>
        <v>0</v>
      </c>
      <c r="CX40" s="249"/>
      <c r="CY40" s="249">
        <f t="shared" ref="CY40:DG40" si="33">SUM(CY9:CY39)</f>
        <v>0</v>
      </c>
      <c r="CZ40" s="249">
        <f t="shared" si="33"/>
        <v>0</v>
      </c>
      <c r="DA40" s="249">
        <f t="shared" si="33"/>
        <v>0</v>
      </c>
      <c r="DB40" s="249">
        <f t="shared" si="33"/>
        <v>0</v>
      </c>
      <c r="DC40" s="249">
        <f t="shared" si="33"/>
        <v>0</v>
      </c>
      <c r="DD40" s="249">
        <f t="shared" si="33"/>
        <v>0</v>
      </c>
      <c r="DE40" s="249">
        <f t="shared" si="33"/>
        <v>0</v>
      </c>
      <c r="DF40" s="249">
        <f t="shared" si="33"/>
        <v>0</v>
      </c>
      <c r="DG40" s="249">
        <f t="shared" si="33"/>
        <v>0</v>
      </c>
      <c r="DO40" s="669">
        <f>SUM(DO9:DO39)</f>
        <v>0</v>
      </c>
      <c r="DP40" s="670">
        <f t="shared" ref="DP40:GC40" si="34">SUM(DP9:DP39)</f>
        <v>0</v>
      </c>
      <c r="DQ40" s="670">
        <f t="shared" si="34"/>
        <v>0</v>
      </c>
      <c r="DR40" s="670">
        <f t="shared" si="34"/>
        <v>0</v>
      </c>
      <c r="DS40" s="673">
        <f t="shared" si="34"/>
        <v>0</v>
      </c>
      <c r="DT40" s="673">
        <f t="shared" si="34"/>
        <v>0</v>
      </c>
      <c r="DU40" s="670">
        <f t="shared" si="34"/>
        <v>0</v>
      </c>
      <c r="DV40" s="673">
        <f t="shared" si="34"/>
        <v>0</v>
      </c>
      <c r="DW40" s="669">
        <f t="shared" ref="DW40:EB40" si="35">SUM(DW9:DW39)</f>
        <v>0</v>
      </c>
      <c r="DX40" s="670">
        <f t="shared" si="35"/>
        <v>0</v>
      </c>
      <c r="DY40" s="670">
        <f t="shared" si="35"/>
        <v>0</v>
      </c>
      <c r="DZ40" s="673">
        <f t="shared" si="35"/>
        <v>0</v>
      </c>
      <c r="EA40" s="673">
        <f t="shared" si="35"/>
        <v>0</v>
      </c>
      <c r="EB40" s="673">
        <f t="shared" si="35"/>
        <v>0</v>
      </c>
      <c r="EC40" s="670">
        <f t="shared" si="34"/>
        <v>0</v>
      </c>
      <c r="ED40" s="670">
        <f t="shared" si="34"/>
        <v>0</v>
      </c>
      <c r="EE40" s="670">
        <f t="shared" si="34"/>
        <v>0</v>
      </c>
      <c r="EF40" s="670">
        <f t="shared" si="34"/>
        <v>0</v>
      </c>
      <c r="EG40" s="673">
        <f t="shared" si="34"/>
        <v>0</v>
      </c>
      <c r="EH40" s="673">
        <f t="shared" si="34"/>
        <v>0</v>
      </c>
      <c r="EI40" s="673">
        <f t="shared" si="34"/>
        <v>0</v>
      </c>
      <c r="EJ40" s="673">
        <f t="shared" si="34"/>
        <v>0</v>
      </c>
      <c r="EK40" s="670">
        <f t="shared" si="34"/>
        <v>0</v>
      </c>
      <c r="EL40" s="670">
        <f t="shared" si="34"/>
        <v>0</v>
      </c>
      <c r="EM40" s="673">
        <f t="shared" si="34"/>
        <v>0</v>
      </c>
      <c r="EN40" s="673">
        <f t="shared" si="34"/>
        <v>0</v>
      </c>
      <c r="EO40" s="670">
        <f t="shared" si="34"/>
        <v>0</v>
      </c>
      <c r="EP40" s="670">
        <f t="shared" si="34"/>
        <v>0</v>
      </c>
      <c r="EQ40" s="673">
        <f t="shared" si="34"/>
        <v>0</v>
      </c>
      <c r="ER40" s="676">
        <f t="shared" si="34"/>
        <v>0</v>
      </c>
      <c r="ES40" s="670">
        <f t="shared" si="34"/>
        <v>0</v>
      </c>
      <c r="ET40" s="670">
        <f t="shared" si="34"/>
        <v>0</v>
      </c>
      <c r="EU40" s="673">
        <f t="shared" si="34"/>
        <v>0</v>
      </c>
      <c r="EV40" s="676">
        <f t="shared" si="34"/>
        <v>0</v>
      </c>
      <c r="EW40" s="670">
        <f t="shared" si="34"/>
        <v>0</v>
      </c>
      <c r="EX40" s="670">
        <f t="shared" si="34"/>
        <v>0</v>
      </c>
      <c r="EY40" s="673">
        <f t="shared" si="34"/>
        <v>0</v>
      </c>
      <c r="EZ40" s="676">
        <f t="shared" si="34"/>
        <v>0</v>
      </c>
      <c r="FA40" s="670">
        <f t="shared" si="34"/>
        <v>0</v>
      </c>
      <c r="FB40" s="670">
        <f t="shared" si="34"/>
        <v>0</v>
      </c>
      <c r="FC40" s="673">
        <f t="shared" si="34"/>
        <v>0</v>
      </c>
      <c r="FD40" s="676">
        <f t="shared" si="34"/>
        <v>0</v>
      </c>
      <c r="FE40" s="670">
        <f t="shared" si="34"/>
        <v>0</v>
      </c>
      <c r="FF40" s="670">
        <f t="shared" si="34"/>
        <v>0</v>
      </c>
      <c r="FG40" s="673">
        <f t="shared" si="34"/>
        <v>0</v>
      </c>
      <c r="FH40" s="676">
        <f t="shared" si="34"/>
        <v>0</v>
      </c>
      <c r="FI40" s="685">
        <f t="shared" si="34"/>
        <v>0</v>
      </c>
      <c r="FJ40" s="670">
        <f t="shared" si="34"/>
        <v>0</v>
      </c>
      <c r="FK40" s="685">
        <f t="shared" si="34"/>
        <v>0</v>
      </c>
      <c r="FL40" s="673">
        <f t="shared" si="34"/>
        <v>0</v>
      </c>
      <c r="FM40" s="685">
        <f t="shared" si="34"/>
        <v>0</v>
      </c>
      <c r="FN40" s="685">
        <f t="shared" si="34"/>
        <v>0</v>
      </c>
      <c r="FO40" s="685">
        <f t="shared" si="34"/>
        <v>0</v>
      </c>
      <c r="FP40" s="670">
        <f t="shared" si="34"/>
        <v>0</v>
      </c>
      <c r="FQ40" s="685">
        <f t="shared" si="34"/>
        <v>0</v>
      </c>
      <c r="FR40" s="676">
        <f t="shared" si="34"/>
        <v>0</v>
      </c>
      <c r="FS40" s="689">
        <f t="shared" si="34"/>
        <v>0</v>
      </c>
      <c r="FT40" s="690">
        <f t="shared" si="34"/>
        <v>0</v>
      </c>
      <c r="FU40" s="690">
        <f t="shared" si="34"/>
        <v>0</v>
      </c>
      <c r="FV40" s="689">
        <f>SUM(FV9:FV39)</f>
        <v>0</v>
      </c>
      <c r="FW40" s="690">
        <f t="shared" si="34"/>
        <v>0</v>
      </c>
      <c r="FX40" s="689">
        <f t="shared" si="34"/>
        <v>0</v>
      </c>
      <c r="FY40" s="690">
        <f t="shared" si="34"/>
        <v>0</v>
      </c>
      <c r="FZ40" s="685">
        <f t="shared" si="34"/>
        <v>0</v>
      </c>
      <c r="GA40" s="685">
        <f t="shared" si="34"/>
        <v>0</v>
      </c>
      <c r="GB40" s="685">
        <f t="shared" si="34"/>
        <v>0</v>
      </c>
      <c r="GC40" s="685">
        <f t="shared" si="34"/>
        <v>0</v>
      </c>
    </row>
    <row r="41" spans="1:185" ht="26" thickBot="1">
      <c r="A41" s="232"/>
      <c r="B41" s="232"/>
      <c r="C41" s="232"/>
      <c r="D41" s="232"/>
      <c r="E41" s="232"/>
      <c r="F41" s="232"/>
      <c r="G41" s="232"/>
      <c r="H41" s="232"/>
      <c r="I41" s="232"/>
      <c r="J41" s="232"/>
      <c r="K41" s="239"/>
      <c r="L41" s="239"/>
      <c r="M41" s="239"/>
      <c r="N41" s="239"/>
      <c r="O41" s="239"/>
      <c r="P41" s="239"/>
      <c r="Q41" s="239"/>
      <c r="R41" s="239"/>
      <c r="S41" s="446"/>
      <c r="T41" s="446"/>
      <c r="U41" s="446"/>
      <c r="V41" s="446"/>
      <c r="W41" s="446"/>
      <c r="X41" s="446"/>
      <c r="Y41" s="235"/>
      <c r="Z41" s="211"/>
      <c r="AA41" s="235"/>
      <c r="AB41" s="211"/>
      <c r="AC41" s="211"/>
      <c r="AD41" s="235"/>
      <c r="AE41" s="235"/>
      <c r="AG41" s="235"/>
      <c r="BC41" s="235"/>
      <c r="BD41" s="235"/>
      <c r="BE41" s="235"/>
      <c r="BF41" s="235"/>
      <c r="BG41" s="112"/>
      <c r="CB41" s="235"/>
      <c r="CC41" s="235"/>
      <c r="CD41" s="112"/>
      <c r="CX41" s="248"/>
      <c r="CZ41"/>
    </row>
    <row r="42" spans="1:185" ht="70" customHeight="1">
      <c r="A42" s="958" t="str">
        <f>"Arbejdstid for "&amp;A7&amp;" måned:"</f>
        <v>Arbejdstid for Maj måned:</v>
      </c>
      <c r="B42" s="959"/>
      <c r="C42" s="959"/>
      <c r="D42" s="959"/>
      <c r="E42" s="959"/>
      <c r="F42" s="959"/>
      <c r="G42" s="959"/>
      <c r="H42" s="330" t="s">
        <v>255</v>
      </c>
      <c r="I42" s="959" t="s">
        <v>221</v>
      </c>
      <c r="J42" s="960"/>
      <c r="K42" s="961"/>
      <c r="L42" s="262"/>
      <c r="M42" s="1011" t="str">
        <f>"Ulempetimer og weekendtimer i "&amp;A5&amp;""</f>
        <v>Ulempetimer og weekendtimer i Maj måneds kalender for: Beate Simonsen. Måneden vedr. normperioden: 01.08.2024 - 31.07.2025.</v>
      </c>
      <c r="N42" s="989"/>
      <c r="O42" s="989"/>
      <c r="P42" s="989"/>
      <c r="Q42" s="989"/>
      <c r="R42" s="989"/>
      <c r="S42" s="989"/>
      <c r="T42" s="989"/>
      <c r="U42" s="989"/>
      <c r="V42" s="989"/>
      <c r="W42" s="989"/>
      <c r="X42" s="990"/>
      <c r="Y42" s="239"/>
      <c r="Z42" s="239"/>
      <c r="AD42" s="90"/>
      <c r="AE42" s="90"/>
      <c r="BM42" s="1"/>
      <c r="CJ42" s="1"/>
      <c r="CU42" s="248"/>
      <c r="CV42" s="248"/>
      <c r="CY42"/>
      <c r="CZ42"/>
    </row>
    <row r="43" spans="1:185">
      <c r="A43" s="962" t="s">
        <v>534</v>
      </c>
      <c r="B43" s="963"/>
      <c r="C43" s="963"/>
      <c r="D43" s="963"/>
      <c r="E43" s="963"/>
      <c r="F43" s="963"/>
      <c r="G43" s="963"/>
      <c r="H43" s="256">
        <f>D78</f>
        <v>22</v>
      </c>
      <c r="I43" s="975">
        <f>IF(Stamoplysninger!$E$12="Ja",1924/Arbejdstidsoversigt!$K$9*Stamoplysninger!$E$15*H43,H43*7.4*Stamoplysninger!$E$15)</f>
        <v>162.17624521072798</v>
      </c>
      <c r="J43" s="976"/>
      <c r="K43" s="977"/>
      <c r="L43" s="258"/>
      <c r="M43" s="1012" t="s">
        <v>497</v>
      </c>
      <c r="N43" s="1013"/>
      <c r="O43" s="1013"/>
      <c r="P43" s="1013"/>
      <c r="Q43" s="1013"/>
      <c r="R43" s="1013"/>
      <c r="S43" s="1013"/>
      <c r="T43" s="1013"/>
      <c r="U43" s="1014"/>
      <c r="V43" s="1093">
        <f>P65+P69+P72+P74</f>
        <v>0</v>
      </c>
      <c r="W43" s="1093"/>
      <c r="X43" s="1094"/>
      <c r="Y43" s="239"/>
      <c r="Z43" s="239"/>
      <c r="AD43" s="90"/>
      <c r="AE43" s="90"/>
      <c r="BM43" s="1"/>
      <c r="CJ43" s="1"/>
      <c r="CU43" s="248"/>
      <c r="CV43" s="248"/>
      <c r="CY43"/>
      <c r="CZ43"/>
    </row>
    <row r="44" spans="1:185">
      <c r="A44" s="962" t="str">
        <f>"Ferie "&amp;A7&amp;" måned"</f>
        <v>Ferie Maj måned</v>
      </c>
      <c r="B44" s="963"/>
      <c r="C44" s="963"/>
      <c r="D44" s="963"/>
      <c r="E44" s="963"/>
      <c r="F44" s="963"/>
      <c r="G44" s="963"/>
      <c r="H44" s="257" t="str">
        <f>IF(D73&gt;0,$D$73,"0")</f>
        <v>0</v>
      </c>
      <c r="I44" s="964">
        <f>H44*7.4*Stamoplysninger!$E$15</f>
        <v>0</v>
      </c>
      <c r="J44" s="965"/>
      <c r="K44" s="966"/>
      <c r="L44" s="258"/>
      <c r="M44" s="1018" t="s">
        <v>259</v>
      </c>
      <c r="N44" s="1019"/>
      <c r="O44" s="1019"/>
      <c r="P44" s="1019"/>
      <c r="Q44" s="1019"/>
      <c r="R44" s="1019"/>
      <c r="S44" s="1019"/>
      <c r="T44" s="1019"/>
      <c r="U44" s="1020"/>
      <c r="V44" s="1095">
        <f>Q66+Q68+Q71+Q73</f>
        <v>0</v>
      </c>
      <c r="W44" s="1095"/>
      <c r="X44" s="1096"/>
      <c r="Y44" s="239"/>
      <c r="Z44" s="239"/>
      <c r="AD44" s="90"/>
      <c r="AE44" s="90"/>
      <c r="BM44" s="1"/>
      <c r="CJ44" s="1"/>
      <c r="CU44" s="248"/>
      <c r="CV44" s="248"/>
      <c r="CY44"/>
      <c r="CZ44"/>
    </row>
    <row r="45" spans="1:185">
      <c r="A45" s="962" t="str">
        <f>"Søgnehelligdage i "&amp;A7&amp;" måned"</f>
        <v>Søgnehelligdage i Maj måned</v>
      </c>
      <c r="B45" s="963"/>
      <c r="C45" s="963"/>
      <c r="D45" s="963"/>
      <c r="E45" s="963"/>
      <c r="F45" s="963"/>
      <c r="G45" s="963"/>
      <c r="H45" s="257">
        <f>IF(D72&gt;0,D72,0)</f>
        <v>1</v>
      </c>
      <c r="I45" s="964">
        <f>H45*7.4*Stamoplysninger!$E$15</f>
        <v>7.4</v>
      </c>
      <c r="J45" s="965"/>
      <c r="K45" s="966"/>
      <c r="L45" s="259"/>
      <c r="M45" s="1128" t="s">
        <v>295</v>
      </c>
      <c r="N45" s="1129"/>
      <c r="O45" s="1129"/>
      <c r="P45" s="1129"/>
      <c r="Q45" s="1129"/>
      <c r="R45" s="1129"/>
      <c r="S45" s="1129"/>
      <c r="T45" s="1129"/>
      <c r="U45" s="1130"/>
      <c r="V45" s="1133">
        <f>April!V52</f>
        <v>0</v>
      </c>
      <c r="W45" s="1134"/>
      <c r="X45" s="1137"/>
      <c r="Y45" s="239"/>
      <c r="Z45" s="239"/>
      <c r="AD45" s="90"/>
      <c r="AE45" s="90"/>
      <c r="BM45" s="1"/>
      <c r="CJ45" s="1"/>
      <c r="CU45" s="248"/>
      <c r="CV45" s="248"/>
      <c r="CY45"/>
      <c r="CZ45"/>
    </row>
    <row r="46" spans="1:185">
      <c r="A46" s="962" t="str">
        <f>"Nettoarbejdstid ialt i "&amp;A7&amp;" måned"</f>
        <v>Nettoarbejdstid ialt i Maj måned</v>
      </c>
      <c r="B46" s="963"/>
      <c r="C46" s="963"/>
      <c r="D46" s="963"/>
      <c r="E46" s="963"/>
      <c r="F46" s="963"/>
      <c r="G46" s="963"/>
      <c r="H46" s="260">
        <f>H43-H44-H45</f>
        <v>21</v>
      </c>
      <c r="I46" s="964">
        <f>I43-I44-I45</f>
        <v>154.77624521072798</v>
      </c>
      <c r="J46" s="965"/>
      <c r="K46" s="966"/>
      <c r="L46" s="259"/>
      <c r="M46" s="1026" t="s">
        <v>302</v>
      </c>
      <c r="N46" s="1027"/>
      <c r="O46" s="1027"/>
      <c r="P46" s="1027"/>
      <c r="Q46" s="1027"/>
      <c r="R46" s="1027"/>
      <c r="S46" s="1027"/>
      <c r="T46" s="1027"/>
      <c r="U46" s="1028"/>
      <c r="V46" s="1029">
        <f>SUM(V44:X45)</f>
        <v>0</v>
      </c>
      <c r="W46" s="1030"/>
      <c r="X46" s="1031"/>
      <c r="Y46" s="239"/>
      <c r="Z46" s="239"/>
      <c r="AD46" s="90"/>
      <c r="AE46" s="90"/>
      <c r="BM46" s="1"/>
      <c r="CJ46" s="1"/>
      <c r="CU46" s="248"/>
      <c r="CV46" s="248"/>
      <c r="CY46"/>
      <c r="CZ46"/>
    </row>
    <row r="47" spans="1:185">
      <c r="A47" s="978" t="str">
        <f>"Planlagt arbejdstid efter ovennstående "&amp;A7&amp;" måned kalender"</f>
        <v>Planlagt arbejdstid efter ovennstående Maj måned kalender</v>
      </c>
      <c r="B47" s="979"/>
      <c r="C47" s="979"/>
      <c r="D47" s="979"/>
      <c r="E47" s="979"/>
      <c r="F47" s="979"/>
      <c r="G47" s="979"/>
      <c r="H47" s="475">
        <f>D64+D65+D66+D67+D68+D69+D70</f>
        <v>20</v>
      </c>
      <c r="I47" s="980">
        <f>N40+R40+V106</f>
        <v>177.66</v>
      </c>
      <c r="J47" s="981"/>
      <c r="K47" s="982"/>
      <c r="L47" s="387"/>
      <c r="M47" s="1038" t="s">
        <v>293</v>
      </c>
      <c r="N47" s="1039"/>
      <c r="O47" s="1039"/>
      <c r="P47" s="1039"/>
      <c r="Q47" s="1039"/>
      <c r="R47" s="1039"/>
      <c r="S47" s="1039"/>
      <c r="T47" s="1039"/>
      <c r="U47" s="1039"/>
      <c r="V47" s="1039"/>
      <c r="W47" s="1039"/>
      <c r="X47" s="1040"/>
      <c r="Y47" s="239"/>
      <c r="Z47" s="239"/>
      <c r="AD47" s="90"/>
      <c r="AE47" s="90"/>
      <c r="BM47" s="1"/>
      <c r="CJ47" s="1"/>
      <c r="CU47" s="248"/>
      <c r="CV47" s="248"/>
      <c r="CY47"/>
      <c r="CZ47"/>
    </row>
    <row r="48" spans="1:185">
      <c r="A48" s="986" t="s">
        <v>452</v>
      </c>
      <c r="B48" s="987"/>
      <c r="C48" s="987"/>
      <c r="D48" s="987"/>
      <c r="E48" s="987"/>
      <c r="F48" s="987"/>
      <c r="G48" s="987"/>
      <c r="H48" s="988"/>
      <c r="I48" s="983">
        <f>(FI40+FM40+FO40+FV40+FX40+FZ40+GB40)*-1+FK40+FN40+FQ40+FW40+FY40+GA40+GC40+FU40</f>
        <v>0</v>
      </c>
      <c r="J48" s="984"/>
      <c r="K48" s="985"/>
      <c r="L48" s="388"/>
      <c r="M48" s="1041" t="s">
        <v>463</v>
      </c>
      <c r="N48" s="1042"/>
      <c r="O48" s="1042"/>
      <c r="P48" s="1042"/>
      <c r="Q48" s="1042"/>
      <c r="R48" s="1042"/>
      <c r="S48" s="1042"/>
      <c r="T48" s="1042"/>
      <c r="U48" s="1043"/>
      <c r="V48" s="1044" t="s">
        <v>221</v>
      </c>
      <c r="W48" s="1045"/>
      <c r="X48" s="1046"/>
      <c r="Y48" s="239"/>
      <c r="Z48" s="239"/>
      <c r="AD48" s="90"/>
      <c r="AE48" s="90"/>
      <c r="BM48" s="1"/>
      <c r="CJ48" s="1"/>
      <c r="CU48" s="248"/>
      <c r="CV48" s="248"/>
      <c r="CY48"/>
      <c r="CZ48"/>
    </row>
    <row r="49" spans="1:110">
      <c r="A49" s="1005" t="str">
        <f>"Arbejde særligt planlagt for "&amp;A7&amp;" måned efter fanen skemaoplysninger"</f>
        <v>Arbejde særligt planlagt for Maj måned efter fanen skemaoplysninger</v>
      </c>
      <c r="B49" s="1006"/>
      <c r="C49" s="1006"/>
      <c r="D49" s="1006"/>
      <c r="E49" s="1006"/>
      <c r="F49" s="1006"/>
      <c r="G49" s="1006"/>
      <c r="H49" s="1007"/>
      <c r="I49" s="981">
        <f>Skemaoplysninger!T91</f>
        <v>2</v>
      </c>
      <c r="J49" s="1003"/>
      <c r="K49" s="1004"/>
      <c r="L49" s="389"/>
      <c r="M49" s="867"/>
      <c r="N49" s="868"/>
      <c r="O49" s="868"/>
      <c r="P49" s="868"/>
      <c r="Q49" s="868"/>
      <c r="R49" s="868"/>
      <c r="S49" s="868"/>
      <c r="T49" s="868"/>
      <c r="U49" s="869"/>
      <c r="V49" s="1047"/>
      <c r="W49" s="1047"/>
      <c r="X49" s="1048"/>
      <c r="Y49"/>
      <c r="Z49" s="239"/>
      <c r="AA49" s="239"/>
      <c r="AG49" s="90"/>
      <c r="AH49" s="90"/>
      <c r="BA49" s="239"/>
      <c r="BO49" s="1"/>
      <c r="CL49" s="1"/>
      <c r="CV49" s="248"/>
      <c r="CW49" s="248"/>
      <c r="CY49"/>
      <c r="CZ49"/>
    </row>
    <row r="50" spans="1:110">
      <c r="A50" s="967" t="s">
        <v>291</v>
      </c>
      <c r="B50" s="968"/>
      <c r="C50" s="968"/>
      <c r="D50" s="968"/>
      <c r="E50" s="968"/>
      <c r="F50" s="968"/>
      <c r="G50" s="968"/>
      <c r="H50" s="968"/>
      <c r="I50" s="969">
        <f>V40+X40-FA40+R106</f>
        <v>0</v>
      </c>
      <c r="J50" s="970"/>
      <c r="K50" s="971"/>
      <c r="L50" s="241"/>
      <c r="M50" s="867"/>
      <c r="N50" s="868"/>
      <c r="O50" s="868"/>
      <c r="P50" s="868"/>
      <c r="Q50" s="868"/>
      <c r="R50" s="868"/>
      <c r="S50" s="868"/>
      <c r="T50" s="868"/>
      <c r="U50" s="869"/>
      <c r="V50" s="870"/>
      <c r="W50" s="871"/>
      <c r="X50" s="872"/>
      <c r="Y50"/>
      <c r="Z50" s="239"/>
      <c r="AA50" s="239"/>
      <c r="AE50" s="90"/>
      <c r="AF50" s="247"/>
      <c r="AG50" s="90"/>
      <c r="BN50" s="1"/>
      <c r="CK50" s="1"/>
      <c r="CV50" s="248"/>
      <c r="CW50" s="248"/>
      <c r="CY50"/>
      <c r="CZ50"/>
    </row>
    <row r="51" spans="1:110" ht="17" thickBot="1">
      <c r="A51" s="261" t="str">
        <f>"Faktisk arbejdstid ialt i "&amp;A7&amp;" måned"</f>
        <v>Faktisk arbejdstid ialt i Maj måned</v>
      </c>
      <c r="B51" s="314"/>
      <c r="C51" s="315"/>
      <c r="D51" s="315"/>
      <c r="E51" s="315"/>
      <c r="F51" s="315"/>
      <c r="G51" s="315"/>
      <c r="H51" s="316"/>
      <c r="I51" s="1008">
        <f>I47+I50+I49+I48</f>
        <v>179.66</v>
      </c>
      <c r="J51" s="1009"/>
      <c r="K51" s="1010"/>
      <c r="L51" s="335"/>
      <c r="M51" s="867"/>
      <c r="N51" s="868"/>
      <c r="O51" s="868"/>
      <c r="P51" s="868"/>
      <c r="Q51" s="868"/>
      <c r="R51" s="868"/>
      <c r="S51" s="868"/>
      <c r="T51" s="868"/>
      <c r="U51" s="869"/>
      <c r="V51" s="870"/>
      <c r="W51" s="871"/>
      <c r="X51" s="872"/>
      <c r="Y51" s="239"/>
      <c r="Z51" s="239"/>
      <c r="AA51" s="214"/>
      <c r="AB51" s="247"/>
      <c r="AC51" s="247"/>
      <c r="AD51" s="247"/>
      <c r="AE51" s="239"/>
      <c r="AF51" s="247"/>
      <c r="AH51" s="239"/>
      <c r="AI51" s="239"/>
      <c r="AM51" s="90"/>
      <c r="AN51" s="90"/>
      <c r="BU51" s="1"/>
      <c r="CR51" s="1"/>
      <c r="CY51"/>
      <c r="CZ51"/>
      <c r="DC51" s="248"/>
      <c r="DD51" s="248"/>
    </row>
    <row r="52" spans="1:110" ht="17" thickBot="1">
      <c r="A52" s="255"/>
      <c r="B52" s="255"/>
      <c r="C52" s="255"/>
      <c r="D52" s="255"/>
      <c r="E52" s="255"/>
      <c r="F52" s="255"/>
      <c r="G52" s="255"/>
      <c r="H52" s="255"/>
      <c r="I52" s="522"/>
      <c r="J52" s="522"/>
      <c r="K52" s="522"/>
      <c r="L52" s="500"/>
      <c r="M52" s="867"/>
      <c r="N52" s="868"/>
      <c r="O52" s="868"/>
      <c r="P52" s="868"/>
      <c r="Q52" s="868"/>
      <c r="R52" s="868"/>
      <c r="S52" s="868"/>
      <c r="T52" s="868"/>
      <c r="U52" s="869"/>
      <c r="V52" s="870"/>
      <c r="W52" s="871"/>
      <c r="X52" s="872"/>
      <c r="Y52" s="239"/>
      <c r="Z52" s="239"/>
      <c r="AA52" s="239"/>
      <c r="AB52" s="239"/>
      <c r="AC52" s="214"/>
      <c r="AD52" s="247"/>
      <c r="AE52" s="247"/>
      <c r="AF52" s="247"/>
      <c r="AG52" s="247"/>
      <c r="AH52" s="239"/>
      <c r="AJ52" s="239"/>
      <c r="AK52" s="239"/>
      <c r="AO52" s="90"/>
      <c r="AP52" s="90"/>
      <c r="BW52" s="1"/>
      <c r="CT52" s="1"/>
      <c r="CY52"/>
      <c r="CZ52"/>
      <c r="DE52" s="248"/>
      <c r="DF52" s="248"/>
    </row>
    <row r="53" spans="1:110" ht="26" thickBot="1">
      <c r="A53" s="1011" t="s">
        <v>484</v>
      </c>
      <c r="B53" s="989"/>
      <c r="C53" s="989"/>
      <c r="D53" s="989"/>
      <c r="E53" s="989"/>
      <c r="F53" s="989"/>
      <c r="G53" s="989"/>
      <c r="H53" s="707" t="s">
        <v>740</v>
      </c>
      <c r="I53" s="959" t="s">
        <v>478</v>
      </c>
      <c r="J53" s="959"/>
      <c r="K53" s="961"/>
      <c r="L53" s="500"/>
      <c r="M53" s="1032" t="s">
        <v>294</v>
      </c>
      <c r="N53" s="1033"/>
      <c r="O53" s="1033"/>
      <c r="P53" s="1033"/>
      <c r="Q53" s="1033"/>
      <c r="R53" s="1033"/>
      <c r="S53" s="1033"/>
      <c r="T53" s="1033"/>
      <c r="U53" s="1034"/>
      <c r="V53" s="1081">
        <f>V46-SUM(V49:X52)</f>
        <v>0</v>
      </c>
      <c r="W53" s="1082"/>
      <c r="X53" s="1083"/>
      <c r="Y53" s="239"/>
      <c r="Z53" s="239"/>
      <c r="AA53" s="239"/>
      <c r="AB53" s="239"/>
      <c r="AC53" s="214"/>
      <c r="AD53" s="247"/>
      <c r="AE53" s="247"/>
      <c r="AF53" s="247"/>
      <c r="AG53" s="247"/>
      <c r="AH53" s="239"/>
      <c r="AJ53" s="239"/>
      <c r="AK53" s="239"/>
      <c r="AO53" s="90"/>
      <c r="AP53" s="90"/>
      <c r="BW53" s="1"/>
      <c r="CT53" s="1"/>
      <c r="CY53"/>
      <c r="CZ53"/>
      <c r="DE53" s="248"/>
      <c r="DF53" s="248"/>
    </row>
    <row r="54" spans="1:110" ht="16" customHeight="1">
      <c r="A54" s="1138"/>
      <c r="B54" s="1139"/>
      <c r="C54" s="1139"/>
      <c r="D54" s="1139"/>
      <c r="E54" s="1139"/>
      <c r="F54" s="1139"/>
      <c r="G54" s="1139"/>
      <c r="H54" s="605">
        <f>April!H61</f>
        <v>0</v>
      </c>
      <c r="I54" s="991"/>
      <c r="J54" s="991"/>
      <c r="K54" s="992"/>
      <c r="L54" s="500"/>
      <c r="M54" s="523"/>
      <c r="N54" s="523"/>
      <c r="O54" s="523"/>
      <c r="P54" s="523"/>
      <c r="Q54" s="524"/>
      <c r="R54" s="525"/>
      <c r="S54" s="525"/>
      <c r="T54" s="525"/>
      <c r="U54" s="525"/>
      <c r="V54" s="523"/>
      <c r="W54" s="526"/>
      <c r="X54" s="523"/>
      <c r="Y54" s="239"/>
      <c r="Z54" s="239"/>
      <c r="AA54" s="239"/>
      <c r="AB54" s="239"/>
      <c r="AC54" s="214"/>
      <c r="AD54" s="247"/>
      <c r="AE54" s="247"/>
      <c r="AF54" s="247"/>
      <c r="AG54" s="247"/>
      <c r="AH54" s="239"/>
      <c r="AJ54" s="239"/>
      <c r="AK54" s="239"/>
      <c r="AO54" s="90"/>
      <c r="AP54" s="90"/>
      <c r="BW54" s="1"/>
      <c r="CT54" s="1"/>
      <c r="CY54"/>
      <c r="CZ54"/>
      <c r="DE54" s="248"/>
      <c r="DF54" s="248"/>
    </row>
    <row r="55" spans="1:110" ht="32" customHeight="1">
      <c r="A55" s="864" t="s">
        <v>533</v>
      </c>
      <c r="B55" s="865"/>
      <c r="C55" s="865"/>
      <c r="D55" s="865"/>
      <c r="E55" s="865"/>
      <c r="F55" s="865"/>
      <c r="G55" s="901"/>
      <c r="H55" s="603"/>
      <c r="I55" s="1072"/>
      <c r="J55" s="1073"/>
      <c r="K55" s="1074"/>
      <c r="L55" s="500"/>
      <c r="M55" s="523"/>
      <c r="N55" s="523"/>
      <c r="O55" s="523"/>
      <c r="P55" s="523"/>
      <c r="Q55" s="524"/>
      <c r="R55" s="525"/>
      <c r="S55" s="525"/>
      <c r="T55" s="525"/>
      <c r="U55" s="525"/>
      <c r="V55" s="523"/>
      <c r="W55" s="526"/>
      <c r="X55" s="523"/>
      <c r="Y55" s="239"/>
      <c r="Z55" s="239"/>
      <c r="AA55" s="239"/>
      <c r="AB55" s="239"/>
      <c r="AC55" s="214"/>
      <c r="AD55" s="247"/>
      <c r="AE55" s="247"/>
      <c r="AF55" s="247"/>
      <c r="AG55" s="247"/>
      <c r="AH55" s="239"/>
      <c r="AJ55" s="239"/>
      <c r="AK55" s="239"/>
      <c r="AO55" s="90"/>
      <c r="AP55" s="90"/>
      <c r="BW55" s="1"/>
      <c r="CT55" s="1"/>
      <c r="CY55"/>
      <c r="CZ55"/>
      <c r="DE55" s="248"/>
      <c r="DF55" s="248"/>
    </row>
    <row r="56" spans="1:110" ht="37" customHeight="1">
      <c r="A56" s="864" t="s">
        <v>741</v>
      </c>
      <c r="B56" s="865"/>
      <c r="C56" s="865"/>
      <c r="D56" s="865"/>
      <c r="E56" s="865"/>
      <c r="F56" s="865"/>
      <c r="G56" s="865"/>
      <c r="H56" s="865"/>
      <c r="I56" s="865"/>
      <c r="J56" s="865"/>
      <c r="K56" s="866"/>
      <c r="L56" s="500"/>
      <c r="M56" s="523"/>
      <c r="N56" s="523"/>
      <c r="O56" s="523"/>
      <c r="P56" s="523"/>
      <c r="Q56" s="524"/>
      <c r="R56" s="525"/>
      <c r="S56" s="525"/>
      <c r="T56" s="525"/>
      <c r="U56" s="525"/>
      <c r="V56" s="523"/>
      <c r="W56" s="526"/>
      <c r="X56" s="523"/>
      <c r="Y56" s="239"/>
      <c r="Z56" s="239"/>
      <c r="AA56" s="239"/>
      <c r="AB56" s="239"/>
      <c r="AC56" s="214"/>
      <c r="AD56" s="247"/>
      <c r="AE56" s="247"/>
      <c r="AF56" s="247"/>
      <c r="AG56" s="247"/>
      <c r="AH56" s="239"/>
      <c r="AJ56" s="239"/>
      <c r="AK56" s="239"/>
      <c r="AO56" s="90"/>
      <c r="AP56" s="90"/>
      <c r="BW56" s="1"/>
      <c r="CT56" s="1"/>
      <c r="CY56"/>
      <c r="CZ56"/>
      <c r="DE56" s="248"/>
      <c r="DF56" s="248"/>
    </row>
    <row r="57" spans="1:110" ht="35" customHeight="1">
      <c r="A57" s="995" t="s">
        <v>742</v>
      </c>
      <c r="B57" s="996"/>
      <c r="C57" s="898" t="s">
        <v>510</v>
      </c>
      <c r="D57" s="899"/>
      <c r="E57" s="900" t="s">
        <v>511</v>
      </c>
      <c r="F57" s="865"/>
      <c r="G57" s="901"/>
      <c r="H57" s="910" t="s">
        <v>480</v>
      </c>
      <c r="I57" s="910"/>
      <c r="J57" s="910"/>
      <c r="K57" s="911"/>
      <c r="L57" s="500"/>
      <c r="M57" s="523"/>
      <c r="N57" s="523"/>
      <c r="O57" s="523"/>
      <c r="P57" s="523"/>
      <c r="Q57" s="524"/>
      <c r="R57" s="525"/>
      <c r="S57" s="525"/>
      <c r="T57" s="525"/>
      <c r="U57" s="525"/>
      <c r="V57" s="523"/>
      <c r="W57" s="526"/>
      <c r="X57" s="523"/>
      <c r="Y57" s="239"/>
      <c r="Z57" s="239"/>
      <c r="AA57" s="239"/>
      <c r="AB57" s="239"/>
      <c r="AC57" s="214"/>
      <c r="AD57" s="247"/>
      <c r="AE57" s="247"/>
      <c r="AF57" s="247"/>
      <c r="AG57" s="247"/>
      <c r="AH57" s="239"/>
      <c r="AJ57" s="239"/>
      <c r="AK57" s="239"/>
      <c r="AO57" s="90"/>
      <c r="AP57" s="90"/>
      <c r="BW57" s="1"/>
      <c r="CT57" s="1"/>
      <c r="CY57"/>
      <c r="CZ57"/>
      <c r="DE57" s="248"/>
      <c r="DF57" s="248"/>
    </row>
    <row r="58" spans="1:110">
      <c r="A58" s="902"/>
      <c r="B58" s="903"/>
      <c r="C58" s="906"/>
      <c r="D58" s="905"/>
      <c r="E58" s="907"/>
      <c r="F58" s="908"/>
      <c r="G58" s="909"/>
      <c r="H58" s="604"/>
      <c r="I58" s="896"/>
      <c r="J58" s="896"/>
      <c r="K58" s="897"/>
      <c r="L58" s="500"/>
      <c r="M58" s="523"/>
      <c r="N58" s="523"/>
      <c r="O58" s="523"/>
      <c r="P58" s="523"/>
      <c r="Q58" s="524"/>
      <c r="R58" s="525"/>
      <c r="S58" s="525"/>
      <c r="T58" s="525"/>
      <c r="U58" s="525"/>
      <c r="V58" s="523"/>
      <c r="W58" s="526"/>
      <c r="X58" s="523"/>
      <c r="Y58" s="239"/>
      <c r="Z58" s="239"/>
      <c r="AA58" s="239"/>
      <c r="AB58" s="239"/>
      <c r="AC58" s="214"/>
      <c r="AD58" s="247"/>
      <c r="AE58" s="247"/>
      <c r="AF58" s="247"/>
      <c r="AG58" s="247"/>
      <c r="AH58" s="239"/>
      <c r="AJ58" s="239"/>
      <c r="AK58" s="239"/>
      <c r="AO58" s="90"/>
      <c r="AP58" s="90"/>
      <c r="BW58" s="1"/>
      <c r="CT58" s="1"/>
      <c r="CY58"/>
      <c r="CZ58"/>
      <c r="DE58" s="248"/>
      <c r="DF58" s="248"/>
    </row>
    <row r="59" spans="1:110">
      <c r="A59" s="904"/>
      <c r="B59" s="905"/>
      <c r="C59" s="906"/>
      <c r="D59" s="905"/>
      <c r="E59" s="907"/>
      <c r="F59" s="908"/>
      <c r="G59" s="909"/>
      <c r="H59" s="604"/>
      <c r="I59" s="896"/>
      <c r="J59" s="896"/>
      <c r="K59" s="897"/>
      <c r="L59" s="500"/>
      <c r="M59" s="523"/>
      <c r="N59" s="523"/>
      <c r="O59" s="523"/>
      <c r="P59" s="523"/>
      <c r="Q59" s="524"/>
      <c r="R59" s="525"/>
      <c r="S59" s="525"/>
      <c r="T59" s="525"/>
      <c r="U59" s="525"/>
      <c r="V59" s="523"/>
      <c r="W59" s="526"/>
      <c r="X59" s="523"/>
      <c r="Y59" s="239"/>
      <c r="Z59" s="239"/>
      <c r="AA59" s="239"/>
      <c r="AB59" s="239"/>
      <c r="AC59" s="214"/>
      <c r="AD59" s="247"/>
      <c r="AE59" s="247"/>
      <c r="AF59" s="247"/>
      <c r="AG59" s="247"/>
      <c r="AH59" s="239"/>
      <c r="AJ59" s="239"/>
      <c r="AK59" s="239"/>
      <c r="AO59" s="90"/>
      <c r="AP59" s="90"/>
      <c r="BW59" s="1"/>
      <c r="CT59" s="1"/>
      <c r="CY59"/>
      <c r="CZ59"/>
      <c r="DE59" s="248"/>
      <c r="DF59" s="248"/>
    </row>
    <row r="60" spans="1:110">
      <c r="A60" s="904"/>
      <c r="B60" s="905"/>
      <c r="C60" s="906"/>
      <c r="D60" s="905"/>
      <c r="E60" s="907"/>
      <c r="F60" s="908"/>
      <c r="G60" s="909"/>
      <c r="H60" s="604"/>
      <c r="I60" s="896"/>
      <c r="J60" s="896"/>
      <c r="K60" s="897"/>
      <c r="L60" s="500"/>
      <c r="M60" s="523"/>
      <c r="N60" s="523"/>
      <c r="O60" s="523"/>
      <c r="P60" s="523"/>
      <c r="Q60" s="524"/>
      <c r="R60" s="525"/>
      <c r="S60" s="525"/>
      <c r="T60" s="525"/>
      <c r="U60" s="525"/>
      <c r="V60" s="523"/>
      <c r="W60" s="526"/>
      <c r="X60" s="523"/>
      <c r="Y60" s="239"/>
      <c r="Z60" s="239"/>
      <c r="AA60" s="239"/>
      <c r="AB60" s="239"/>
      <c r="AC60" s="214"/>
      <c r="AD60" s="247"/>
      <c r="AE60" s="247"/>
      <c r="AF60" s="247"/>
      <c r="AG60" s="247"/>
      <c r="AH60" s="239"/>
      <c r="AJ60" s="239"/>
      <c r="AK60" s="239"/>
      <c r="AO60" s="90"/>
      <c r="AP60" s="90"/>
      <c r="BW60" s="1"/>
      <c r="CT60" s="1"/>
      <c r="CY60"/>
      <c r="CZ60"/>
      <c r="DE60" s="248"/>
      <c r="DF60" s="248"/>
    </row>
    <row r="61" spans="1:110">
      <c r="A61" s="904"/>
      <c r="B61" s="905"/>
      <c r="C61" s="906"/>
      <c r="D61" s="905"/>
      <c r="E61" s="907"/>
      <c r="F61" s="908"/>
      <c r="G61" s="909"/>
      <c r="H61" s="604"/>
      <c r="I61" s="896"/>
      <c r="J61" s="896"/>
      <c r="K61" s="897"/>
      <c r="L61" s="500"/>
      <c r="M61" s="523"/>
      <c r="N61" s="523"/>
      <c r="O61" s="523"/>
      <c r="P61" s="523"/>
      <c r="Q61" s="524"/>
      <c r="R61" s="525"/>
      <c r="S61" s="525"/>
      <c r="T61" s="525"/>
      <c r="U61" s="525"/>
      <c r="V61" s="523"/>
      <c r="W61" s="526"/>
      <c r="X61" s="523"/>
      <c r="Y61" s="239"/>
      <c r="Z61" s="239"/>
      <c r="AA61" s="239"/>
      <c r="AB61" s="239"/>
      <c r="AC61" s="214"/>
      <c r="AD61" s="247"/>
      <c r="AE61" s="247"/>
      <c r="AF61" s="247"/>
      <c r="AG61" s="247"/>
      <c r="AH61" s="239"/>
      <c r="AJ61" s="239"/>
      <c r="AK61" s="239"/>
      <c r="AO61" s="90"/>
      <c r="AP61" s="90"/>
      <c r="BW61" s="1"/>
      <c r="CT61" s="1"/>
      <c r="CY61"/>
      <c r="CZ61"/>
      <c r="DE61" s="248"/>
      <c r="DF61" s="248"/>
    </row>
    <row r="62" spans="1:110" ht="17" thickBot="1">
      <c r="A62" s="893" t="s">
        <v>481</v>
      </c>
      <c r="B62" s="894"/>
      <c r="C62" s="895"/>
      <c r="D62" s="895"/>
      <c r="E62" s="895"/>
      <c r="F62" s="895"/>
      <c r="G62" s="895"/>
      <c r="H62" s="606">
        <f>H55+H54-SUM(H58:H61)</f>
        <v>0</v>
      </c>
      <c r="I62" s="912">
        <f>I54+I55-SUM(I58:K61)</f>
        <v>0</v>
      </c>
      <c r="J62" s="913"/>
      <c r="K62" s="914"/>
      <c r="L62" s="500"/>
      <c r="M62" s="523"/>
      <c r="N62" s="523"/>
      <c r="O62" s="523"/>
      <c r="P62" s="523"/>
      <c r="Q62" s="524"/>
      <c r="R62" s="525"/>
      <c r="S62" s="525"/>
      <c r="T62" s="525"/>
      <c r="U62" s="525"/>
      <c r="V62" s="523"/>
      <c r="W62" s="526"/>
      <c r="X62" s="523"/>
      <c r="Y62" s="239"/>
      <c r="Z62" s="239"/>
      <c r="AA62" s="239"/>
      <c r="AB62" s="239"/>
      <c r="AC62" s="214"/>
      <c r="AD62" s="247"/>
      <c r="AE62" s="247"/>
      <c r="AF62" s="247"/>
      <c r="AG62" s="247"/>
      <c r="AH62" s="239"/>
      <c r="AJ62" s="239"/>
      <c r="AK62" s="239"/>
      <c r="AO62" s="90"/>
      <c r="AP62" s="90"/>
      <c r="BW62" s="1"/>
      <c r="CT62" s="1"/>
      <c r="CY62"/>
      <c r="CZ62"/>
      <c r="DE62" s="248"/>
      <c r="DF62" s="248"/>
    </row>
    <row r="63" spans="1:110" ht="18" hidden="1" customHeight="1">
      <c r="A63" s="440"/>
      <c r="B63" s="440"/>
      <c r="C63" s="440"/>
      <c r="D63" s="440"/>
      <c r="E63" s="440"/>
      <c r="F63" s="440"/>
      <c r="G63" s="440"/>
      <c r="H63" s="450"/>
      <c r="I63" s="506"/>
      <c r="J63" s="506"/>
      <c r="K63" s="496"/>
      <c r="L63" s="659"/>
      <c r="M63" s="659"/>
      <c r="N63" s="659"/>
      <c r="O63" s="659"/>
      <c r="P63" s="659"/>
      <c r="Q63" s="524"/>
      <c r="R63" s="525"/>
      <c r="S63" s="525"/>
      <c r="T63" s="525"/>
      <c r="U63" s="525"/>
      <c r="V63" s="523" t="s">
        <v>583</v>
      </c>
      <c r="W63" s="526"/>
      <c r="X63" s="523"/>
      <c r="Y63"/>
      <c r="Z63"/>
      <c r="AA63" s="90"/>
      <c r="AB63" s="90"/>
      <c r="BI63" s="1"/>
      <c r="CF63" s="1"/>
      <c r="CQ63" s="248"/>
      <c r="CR63" s="248"/>
      <c r="CY63"/>
      <c r="CZ63"/>
    </row>
    <row r="64" spans="1:110" hidden="1">
      <c r="A64" s="123" t="s">
        <v>206</v>
      </c>
      <c r="B64" s="123"/>
      <c r="C64" s="123"/>
      <c r="D64" s="123">
        <f>COUNTIF([0]!Maj,"Skema 1")</f>
        <v>0</v>
      </c>
      <c r="E64" s="395"/>
      <c r="F64" s="123" t="s">
        <v>186</v>
      </c>
      <c r="G64" s="123">
        <f>COUNTIFS($B$9:$B$39,"ma",[0]!Maj,"Skema 1")</f>
        <v>0</v>
      </c>
      <c r="H64" s="123"/>
      <c r="I64" s="511"/>
      <c r="J64" s="659"/>
      <c r="K64" s="659"/>
      <c r="L64" s="511"/>
      <c r="M64" s="660"/>
      <c r="N64" s="659"/>
      <c r="O64" s="660"/>
      <c r="P64" s="678" t="s">
        <v>601</v>
      </c>
      <c r="Q64" s="680" t="s">
        <v>612</v>
      </c>
      <c r="R64" s="230"/>
      <c r="S64" s="230"/>
      <c r="T64" s="230"/>
      <c r="U64" s="230"/>
      <c r="V64" s="230"/>
      <c r="W64" s="118"/>
      <c r="X64" s="118"/>
      <c r="Y64"/>
      <c r="Z64"/>
      <c r="AA64" s="90"/>
      <c r="AB64" s="90"/>
      <c r="BI64" s="1"/>
      <c r="CF64" s="1"/>
      <c r="CQ64" s="248"/>
      <c r="CR64" s="248"/>
      <c r="CY64"/>
      <c r="CZ64"/>
    </row>
    <row r="65" spans="1:109" hidden="1">
      <c r="A65" s="1113" t="s">
        <v>207</v>
      </c>
      <c r="B65" s="1113"/>
      <c r="C65" s="1113"/>
      <c r="D65" s="498">
        <f>COUNTIF([0]!Maj,"Skema 2")</f>
        <v>17</v>
      </c>
      <c r="E65" s="499"/>
      <c r="F65" s="498" t="s">
        <v>187</v>
      </c>
      <c r="G65" s="498">
        <f>COUNTIFS($B$9:$B$39,"ti",[0]!Maj,"Skema 1")</f>
        <v>0</v>
      </c>
      <c r="H65" s="123"/>
      <c r="I65" s="511" t="s">
        <v>602</v>
      </c>
      <c r="J65" s="659"/>
      <c r="K65" s="511"/>
      <c r="L65" s="662"/>
      <c r="M65" s="660"/>
      <c r="N65" s="660"/>
      <c r="O65" s="663"/>
      <c r="P65" s="678">
        <f>IF(Stamoplysninger!$B$22="Ulempetillæg udbetales med 25% af nettotimelønnen.",SUM(DO40:DR40)-SUM(DS40:DV40),0)</f>
        <v>0</v>
      </c>
      <c r="Q65" s="680"/>
      <c r="R65" s="230"/>
      <c r="S65" s="230"/>
      <c r="T65" s="230"/>
      <c r="U65" s="230"/>
      <c r="V65" s="230"/>
      <c r="W65" s="118"/>
      <c r="X65" s="118"/>
      <c r="Y65"/>
      <c r="Z65"/>
      <c r="AA65" s="90"/>
      <c r="AB65" s="90"/>
      <c r="BI65" s="1"/>
      <c r="CF65" s="1"/>
      <c r="CQ65" s="248"/>
      <c r="CR65" s="248"/>
      <c r="CY65"/>
      <c r="CZ65"/>
    </row>
    <row r="66" spans="1:109" hidden="1">
      <c r="A66" s="1113" t="s">
        <v>208</v>
      </c>
      <c r="B66" s="1113"/>
      <c r="C66" s="1113"/>
      <c r="D66" s="498">
        <f>COUNTIF([0]!Maj,"Skema 3")</f>
        <v>0</v>
      </c>
      <c r="E66" s="499"/>
      <c r="F66" s="498" t="s">
        <v>188</v>
      </c>
      <c r="G66" s="498">
        <f>COUNTIFS($B$9:$B$39,"on",[0]!Maj,"Skema 1")</f>
        <v>0</v>
      </c>
      <c r="H66" s="498"/>
      <c r="I66" s="677" t="s">
        <v>603</v>
      </c>
      <c r="J66" s="659"/>
      <c r="K66" s="511"/>
      <c r="L66" s="662"/>
      <c r="M66" s="660"/>
      <c r="N66" s="660"/>
      <c r="O66" s="660"/>
      <c r="P66" s="678"/>
      <c r="Q66" s="680">
        <f>IF(Stamoplysninger!$B$22="Ulempetillæg afspadseres med 25%(Kræver en aftale imellem ledelsen og den ansatte)",EC40+ED40+EE40+EF40-EG40-EH40-EI40-EJ40,0)</f>
        <v>0</v>
      </c>
      <c r="R66" s="230"/>
      <c r="S66" s="230"/>
      <c r="T66" s="230"/>
      <c r="U66" s="230"/>
      <c r="V66" s="230"/>
      <c r="W66" s="118"/>
      <c r="X66" s="118"/>
      <c r="Y66"/>
      <c r="Z66"/>
      <c r="AA66" s="90"/>
      <c r="AB66" s="90"/>
      <c r="BI66" s="1"/>
      <c r="CF66" s="1"/>
      <c r="CQ66" s="248"/>
      <c r="CR66" s="248"/>
      <c r="CY66"/>
      <c r="CZ66"/>
    </row>
    <row r="67" spans="1:109" hidden="1">
      <c r="A67" s="1113" t="s">
        <v>209</v>
      </c>
      <c r="B67" s="1113"/>
      <c r="C67" s="1113"/>
      <c r="D67" s="498">
        <f>COUNTIF([0]!Maj,"Skema 4")</f>
        <v>0</v>
      </c>
      <c r="E67" s="499"/>
      <c r="F67" s="498" t="s">
        <v>190</v>
      </c>
      <c r="G67" s="498">
        <f>COUNTIFS($B$9:$B$39,"to",[0]!Maj,"Skema 1")</f>
        <v>0</v>
      </c>
      <c r="H67" s="498"/>
      <c r="I67" s="677" t="s">
        <v>604</v>
      </c>
      <c r="J67" s="659"/>
      <c r="K67" s="511"/>
      <c r="L67" s="662"/>
      <c r="M67" s="665"/>
      <c r="N67" s="665"/>
      <c r="O67" s="4"/>
      <c r="P67" s="678"/>
      <c r="Q67" s="680"/>
      <c r="R67" s="230"/>
      <c r="S67" s="230"/>
      <c r="T67" s="230"/>
      <c r="U67" s="230"/>
      <c r="V67" s="230"/>
      <c r="W67" s="118"/>
      <c r="X67" s="118"/>
      <c r="Y67" s="239"/>
      <c r="Z67" s="239"/>
      <c r="AA67" s="239"/>
      <c r="AB67" s="214"/>
      <c r="AC67" s="247"/>
      <c r="AD67" s="247"/>
      <c r="AE67" s="247"/>
      <c r="AF67" s="214"/>
      <c r="AG67" s="239"/>
      <c r="AI67" s="239"/>
      <c r="AJ67" s="239"/>
      <c r="AN67" s="90"/>
      <c r="AO67" s="90"/>
      <c r="BV67" s="1"/>
      <c r="CS67" s="1"/>
      <c r="CY67"/>
      <c r="CZ67"/>
      <c r="DD67" s="248"/>
      <c r="DE67" s="248"/>
    </row>
    <row r="68" spans="1:109" hidden="1">
      <c r="A68" s="498" t="s">
        <v>112</v>
      </c>
      <c r="B68" s="498"/>
      <c r="C68" s="498"/>
      <c r="D68" s="498">
        <f>COUNTIF([0]!Maj,"Fagdag")+COUNTIF([0]!Maj,"emnedag")</f>
        <v>0</v>
      </c>
      <c r="E68" s="499"/>
      <c r="F68" s="498" t="s">
        <v>189</v>
      </c>
      <c r="G68" s="498">
        <f>COUNTIFS($B$9:$B$39,"fr",[0]!Maj,"Skema 1")</f>
        <v>0</v>
      </c>
      <c r="H68" s="498"/>
      <c r="I68" s="662" t="s">
        <v>605</v>
      </c>
      <c r="J68" s="659"/>
      <c r="K68" s="511"/>
      <c r="L68" s="662"/>
      <c r="M68" s="665"/>
      <c r="N68" s="665"/>
      <c r="O68" s="4"/>
      <c r="P68" s="678"/>
      <c r="Q68" s="680">
        <f>IF(Stamoplysninger!$B$26="Weekendtimer og weekendtillæg afspadseres.",EK40+EL40-EM40-EN40,0)</f>
        <v>0</v>
      </c>
      <c r="R68" s="230"/>
      <c r="S68" s="230"/>
      <c r="T68" s="230"/>
      <c r="U68" s="230"/>
      <c r="V68" s="230"/>
      <c r="W68" s="118"/>
      <c r="X68" s="118"/>
      <c r="Y68" s="239"/>
      <c r="Z68" s="239"/>
      <c r="AA68" s="239"/>
      <c r="AB68" s="214"/>
      <c r="AC68" s="247"/>
      <c r="AD68" s="247"/>
      <c r="AE68" s="247"/>
      <c r="AF68" s="214"/>
      <c r="AG68" s="239"/>
      <c r="AI68" s="239"/>
      <c r="AJ68" s="239"/>
      <c r="AN68" s="90"/>
      <c r="AO68" s="90"/>
      <c r="BV68" s="1"/>
      <c r="CS68" s="1"/>
      <c r="CY68"/>
      <c r="CZ68"/>
      <c r="DD68" s="248"/>
      <c r="DE68" s="248"/>
    </row>
    <row r="69" spans="1:109" hidden="1">
      <c r="A69" s="502" t="s">
        <v>111</v>
      </c>
      <c r="B69" s="498"/>
      <c r="C69" s="498"/>
      <c r="D69" s="498">
        <f>COUNTIF([0]!Maj,"Lejrskole")+COUNTIF([0]!Maj,"Ekskursion")</f>
        <v>3</v>
      </c>
      <c r="E69" s="499"/>
      <c r="F69" s="498"/>
      <c r="G69" s="498"/>
      <c r="H69" s="498"/>
      <c r="I69" s="662" t="s">
        <v>606</v>
      </c>
      <c r="J69" s="662"/>
      <c r="K69" s="662"/>
      <c r="L69" s="662"/>
      <c r="M69" s="666"/>
      <c r="N69" s="666"/>
      <c r="O69" s="4"/>
      <c r="P69" s="679">
        <f>IF(Stamoplysninger!$B$26="Weekendtimer og weekendtillæg udbetales.",EO40+EP40-EQ40-ER40,0)</f>
        <v>0</v>
      </c>
      <c r="Q69" s="680"/>
      <c r="R69" s="230"/>
      <c r="S69" s="230"/>
      <c r="T69" s="230"/>
      <c r="U69" s="230"/>
      <c r="V69" s="230"/>
      <c r="W69" s="118"/>
      <c r="X69" s="118"/>
      <c r="Y69" s="239"/>
      <c r="Z69" s="239"/>
      <c r="AA69" s="239"/>
      <c r="AB69" s="214"/>
      <c r="AC69" s="247"/>
      <c r="AD69" s="247"/>
      <c r="AE69" s="247"/>
      <c r="AF69" s="214"/>
      <c r="AG69" s="239"/>
      <c r="AI69" s="239"/>
      <c r="AJ69" s="239"/>
      <c r="AN69" s="90"/>
      <c r="AO69" s="90"/>
      <c r="BV69" s="1"/>
      <c r="CS69" s="1"/>
      <c r="CY69"/>
      <c r="CZ69"/>
      <c r="DD69" s="248"/>
      <c r="DE69" s="248"/>
    </row>
    <row r="70" spans="1:109" hidden="1">
      <c r="A70" s="498" t="s">
        <v>110</v>
      </c>
      <c r="B70" s="498"/>
      <c r="C70" s="498"/>
      <c r="D70" s="498">
        <f>COUNTIF([0]!Maj,"Pæd.dag")</f>
        <v>0</v>
      </c>
      <c r="E70" s="499"/>
      <c r="F70" s="498" t="s">
        <v>191</v>
      </c>
      <c r="G70" s="498">
        <f>COUNTIFS($B$9:$B$39,"ma",[0]!Maj,"Skema 2")</f>
        <v>4</v>
      </c>
      <c r="H70" s="498"/>
      <c r="I70" s="662" t="s">
        <v>607</v>
      </c>
      <c r="J70" s="662"/>
      <c r="K70" s="662"/>
      <c r="L70" s="662"/>
      <c r="M70" s="666"/>
      <c r="N70" s="666"/>
      <c r="O70" s="4"/>
      <c r="P70" s="678"/>
      <c r="Q70" s="680"/>
      <c r="R70" s="230"/>
      <c r="S70" s="230"/>
      <c r="T70" s="230"/>
      <c r="U70" s="230"/>
      <c r="V70" s="230"/>
      <c r="W70" s="118"/>
      <c r="X70" s="118"/>
      <c r="Y70" s="239"/>
      <c r="Z70" s="239"/>
      <c r="AA70" s="239"/>
      <c r="AB70" s="214"/>
      <c r="AC70" s="247"/>
      <c r="AD70" s="247"/>
      <c r="AE70" s="247"/>
      <c r="AG70" s="239"/>
      <c r="AI70" s="239"/>
      <c r="AJ70" s="239"/>
      <c r="AN70" s="90"/>
      <c r="AO70" s="90"/>
      <c r="BV70" s="1"/>
      <c r="CS70" s="1"/>
      <c r="CY70"/>
      <c r="CZ70"/>
      <c r="DD70" s="248"/>
      <c r="DE70" s="248"/>
    </row>
    <row r="71" spans="1:109" hidden="1">
      <c r="A71" s="498" t="s">
        <v>120</v>
      </c>
      <c r="B71" s="498"/>
      <c r="C71" s="498"/>
      <c r="D71" s="498">
        <f>COUNTIF([0]!Maj,"Weekend")</f>
        <v>9</v>
      </c>
      <c r="E71" s="499"/>
      <c r="F71" s="498" t="s">
        <v>192</v>
      </c>
      <c r="G71" s="498">
        <f>COUNTIFS($B$9:$B$39,"ti",[0]!Maj,"Skema 2")</f>
        <v>3</v>
      </c>
      <c r="H71" s="498"/>
      <c r="I71" s="662" t="s">
        <v>608</v>
      </c>
      <c r="J71" s="662"/>
      <c r="K71" s="662"/>
      <c r="L71" s="662"/>
      <c r="M71" s="667"/>
      <c r="N71" s="667"/>
      <c r="O71" s="4"/>
      <c r="P71" s="678"/>
      <c r="Q71" s="681">
        <f>IF(Stamoplysninger!$B$26="Der er indgået lokalaftale omkring weekendtimer.(Kræver aftale med TR/FSL) Weekendtillæg afspadseres.",ES40+ET40-EU40-EV40,0)</f>
        <v>0</v>
      </c>
      <c r="R71" s="230"/>
      <c r="S71" s="230"/>
      <c r="T71" s="230"/>
      <c r="U71" s="230"/>
      <c r="V71" s="230"/>
      <c r="W71" s="118"/>
      <c r="X71" s="118"/>
      <c r="Y71"/>
      <c r="Z71"/>
      <c r="AM71" s="1"/>
      <c r="BJ71" s="1"/>
      <c r="BU71" s="248"/>
      <c r="BV71" s="248"/>
      <c r="CY71"/>
      <c r="CZ71"/>
    </row>
    <row r="72" spans="1:109" hidden="1">
      <c r="A72" s="498" t="s">
        <v>127</v>
      </c>
      <c r="B72" s="498"/>
      <c r="C72" s="498"/>
      <c r="D72" s="498">
        <f>COUNTIF([0]!Maj,"SH-dag")</f>
        <v>1</v>
      </c>
      <c r="E72" s="499"/>
      <c r="F72" s="498" t="s">
        <v>193</v>
      </c>
      <c r="G72" s="498">
        <f>COUNTIFS($B$9:$B$39,"on",[0]!Maj,"Skema 2")</f>
        <v>3</v>
      </c>
      <c r="H72" s="498"/>
      <c r="I72" s="662" t="s">
        <v>609</v>
      </c>
      <c r="J72" s="662"/>
      <c r="K72" s="662"/>
      <c r="L72" s="662"/>
      <c r="M72" s="667"/>
      <c r="N72" s="667"/>
      <c r="O72" s="4"/>
      <c r="P72" s="678">
        <f>IF(Stamoplysninger!$B$26="Der er indgået lokalaftale omkring weekendtimer(Kræver aftale med TR/FSL). Weekendtillæg udbetales.",EW40+EX40-EY40-EZ40,0)</f>
        <v>0</v>
      </c>
      <c r="Q72" s="680"/>
      <c r="R72" s="230"/>
      <c r="S72" s="230"/>
      <c r="T72" s="230"/>
      <c r="U72" s="230"/>
      <c r="V72" s="230"/>
      <c r="W72" s="118"/>
      <c r="X72" s="118"/>
      <c r="Y72"/>
      <c r="Z72"/>
      <c r="AM72" s="1"/>
      <c r="BJ72" s="1"/>
      <c r="BU72" s="248"/>
      <c r="BV72" s="248"/>
      <c r="CY72"/>
      <c r="CZ72"/>
    </row>
    <row r="73" spans="1:109" hidden="1">
      <c r="A73" s="498" t="s">
        <v>109</v>
      </c>
      <c r="B73" s="498"/>
      <c r="C73" s="498"/>
      <c r="D73" s="498">
        <f>COUNTIF([0]!Maj,"Feriedag")</f>
        <v>0</v>
      </c>
      <c r="E73" s="499"/>
      <c r="F73" s="498" t="s">
        <v>194</v>
      </c>
      <c r="G73" s="498">
        <f>COUNTIFS($B$9:$B$39,"to",[0]!Maj,"Skema 2")</f>
        <v>3</v>
      </c>
      <c r="H73" s="498"/>
      <c r="I73" s="662" t="s">
        <v>610</v>
      </c>
      <c r="J73" s="662"/>
      <c r="K73" s="662"/>
      <c r="L73" s="662"/>
      <c r="M73" s="667"/>
      <c r="N73" s="667"/>
      <c r="O73" s="4"/>
      <c r="P73" s="678"/>
      <c r="Q73" s="629">
        <f>IF(Stamoplysninger!$B$26="Der er indgået lokalaftale omkring weekendtillæg(Kræver aftale med TR/FSL). Weekendtimerne afspadseres.",FA40+FB40-FC40-FD40,0)</f>
        <v>0</v>
      </c>
      <c r="R73" s="41"/>
      <c r="S73" s="41"/>
      <c r="T73" s="41"/>
      <c r="Y73"/>
      <c r="Z73"/>
      <c r="AM73" s="1"/>
      <c r="BJ73" s="1"/>
      <c r="BU73" s="248"/>
      <c r="BV73" s="248"/>
      <c r="CY73"/>
      <c r="CZ73"/>
    </row>
    <row r="74" spans="1:109" hidden="1">
      <c r="A74" s="498" t="s">
        <v>178</v>
      </c>
      <c r="B74" s="498"/>
      <c r="C74" s="498"/>
      <c r="D74" s="498">
        <f>COUNTIF([0]!Maj,"Nul-dag")</f>
        <v>1</v>
      </c>
      <c r="E74" s="499"/>
      <c r="F74" s="498" t="s">
        <v>195</v>
      </c>
      <c r="G74" s="498">
        <f>COUNTIFS($B$9:$B$39,"fr",[0]!Maj,"Skema 2")</f>
        <v>4</v>
      </c>
      <c r="H74" s="498"/>
      <c r="I74" s="662" t="s">
        <v>611</v>
      </c>
      <c r="J74" s="662"/>
      <c r="K74" s="662"/>
      <c r="L74" s="662"/>
      <c r="M74" s="667"/>
      <c r="N74" s="667"/>
      <c r="O74" s="4"/>
      <c r="P74" s="678">
        <f>IF(Stamoplysninger!$B$26="Der er indgået lokalaftale omkring weekendtillæg(Kræver aftale med TR/FSL). Weekendtimerne udbetales.",FE40+FF40-FG40-FH40,0)</f>
        <v>0</v>
      </c>
      <c r="Q74" s="629"/>
      <c r="V74" t="s">
        <v>618</v>
      </c>
      <c r="Y74"/>
      <c r="Z74"/>
      <c r="AM74" s="1"/>
      <c r="BJ74" s="1"/>
      <c r="BU74" s="248"/>
      <c r="BV74" s="248"/>
      <c r="CY74"/>
      <c r="CZ74"/>
    </row>
    <row r="75" spans="1:109" hidden="1">
      <c r="A75" s="498" t="s">
        <v>416</v>
      </c>
      <c r="B75" s="498"/>
      <c r="C75" s="498"/>
      <c r="D75" s="498">
        <f>COUNTIF([0]!Maj,"Orlov")</f>
        <v>0</v>
      </c>
      <c r="E75" s="499"/>
      <c r="F75" s="504"/>
      <c r="G75" s="504"/>
      <c r="H75" s="504"/>
      <c r="I75" s="662" t="s">
        <v>617</v>
      </c>
      <c r="J75" s="662"/>
      <c r="K75" s="662"/>
      <c r="L75" s="662"/>
      <c r="M75" s="668"/>
      <c r="N75" s="668"/>
      <c r="O75" s="4"/>
      <c r="P75" s="661"/>
      <c r="R75">
        <f>IF(C10="ikke relevant",V10*-1+X10*-1,0)</f>
        <v>0</v>
      </c>
      <c r="S75" t="s">
        <v>623</v>
      </c>
      <c r="V75">
        <f>IF(C10="ikke relevant",R10*-1,0)</f>
        <v>0</v>
      </c>
      <c r="Y75"/>
      <c r="Z75"/>
      <c r="AM75" s="1"/>
      <c r="BJ75" s="1"/>
      <c r="BU75" s="248"/>
      <c r="BV75" s="248"/>
      <c r="CY75"/>
      <c r="CZ75"/>
    </row>
    <row r="76" spans="1:109" hidden="1">
      <c r="A76" s="498" t="s">
        <v>160</v>
      </c>
      <c r="B76" s="498"/>
      <c r="C76" s="498"/>
      <c r="D76" s="498">
        <f>COUNTIF([0]!Maj,"Ikke relevant")</f>
        <v>0</v>
      </c>
      <c r="E76" s="499"/>
      <c r="F76" s="498" t="s">
        <v>196</v>
      </c>
      <c r="G76" s="498">
        <f>COUNTIFS($B$9:$B$39,"ma",[0]!Maj,"Skema 3")</f>
        <v>0</v>
      </c>
      <c r="H76" s="498"/>
      <c r="I76" s="662"/>
      <c r="J76" s="662"/>
      <c r="K76" s="662"/>
      <c r="L76" s="511"/>
      <c r="M76" s="668"/>
      <c r="N76" s="668"/>
      <c r="O76" s="4"/>
      <c r="P76" s="661"/>
      <c r="R76">
        <f>IF(C11="ikke relevant",V11*-1+X11*-1,0)</f>
        <v>0</v>
      </c>
      <c r="V76">
        <f>IF(C11="ikke relevant",R11*-1,0)</f>
        <v>0</v>
      </c>
      <c r="Y76"/>
      <c r="Z76"/>
      <c r="AM76" s="1"/>
      <c r="BJ76" s="1"/>
      <c r="BU76" s="248"/>
      <c r="BV76" s="248"/>
      <c r="CY76"/>
      <c r="CZ76"/>
    </row>
    <row r="77" spans="1:109" hidden="1">
      <c r="A77" s="498" t="s">
        <v>108</v>
      </c>
      <c r="B77" s="498"/>
      <c r="C77" s="498"/>
      <c r="D77" s="498">
        <f>SUM(D64:D76)</f>
        <v>31</v>
      </c>
      <c r="E77" s="498"/>
      <c r="F77" s="498" t="s">
        <v>197</v>
      </c>
      <c r="G77" s="498">
        <f>COUNTIFS($B$9:$B$39,"ti",[0]!Maj,"Skema 3")</f>
        <v>0</v>
      </c>
      <c r="H77" s="498"/>
      <c r="I77" s="662"/>
      <c r="J77" s="662"/>
      <c r="K77" s="662"/>
      <c r="L77" s="511"/>
      <c r="M77" s="668"/>
      <c r="N77" s="668"/>
      <c r="O77" s="4"/>
      <c r="P77" s="661"/>
      <c r="R77">
        <f t="shared" ref="R77:R105" si="36">IF(C12="ikke relevant",V12*-1+X12*-1,0)</f>
        <v>0</v>
      </c>
      <c r="V77">
        <f t="shared" ref="V77:V105" si="37">IF(C12="ikke relevant",R12*-1,0)</f>
        <v>0</v>
      </c>
      <c r="Y77"/>
      <c r="Z77" s="1"/>
      <c r="AX77" s="1"/>
      <c r="BI77" s="248"/>
      <c r="BJ77" s="248"/>
      <c r="CY77"/>
      <c r="CZ77"/>
    </row>
    <row r="78" spans="1:109" hidden="1">
      <c r="A78" s="498" t="s">
        <v>239</v>
      </c>
      <c r="B78" s="498"/>
      <c r="C78" s="498"/>
      <c r="D78" s="498">
        <f>D77-D71-A88-D76</f>
        <v>22</v>
      </c>
      <c r="E78" s="505"/>
      <c r="F78" s="498" t="s">
        <v>198</v>
      </c>
      <c r="G78" s="498">
        <f>COUNTIFS($B$9:$B$39,"on",[0]!Maj,"Skema 3")</f>
        <v>0</v>
      </c>
      <c r="H78" s="498"/>
      <c r="I78" s="662"/>
      <c r="J78" s="662"/>
      <c r="K78" s="662"/>
      <c r="L78" s="511"/>
      <c r="M78" s="668"/>
      <c r="N78" s="668"/>
      <c r="O78" s="4"/>
      <c r="P78" s="661"/>
      <c r="R78">
        <f t="shared" si="36"/>
        <v>0</v>
      </c>
      <c r="V78">
        <f t="shared" si="37"/>
        <v>0</v>
      </c>
      <c r="Y78"/>
      <c r="Z78" s="1"/>
      <c r="AX78" s="1"/>
      <c r="BI78" s="248"/>
      <c r="BJ78" s="248"/>
      <c r="CY78"/>
      <c r="CZ78"/>
    </row>
    <row r="79" spans="1:109" hidden="1">
      <c r="A79" s="498"/>
      <c r="B79" s="498"/>
      <c r="C79" s="498"/>
      <c r="D79" s="498"/>
      <c r="E79" s="498"/>
      <c r="F79" s="498" t="s">
        <v>199</v>
      </c>
      <c r="G79" s="498">
        <f>COUNTIFS($B$9:$B$39,"to",[0]!Maj,"Skema 3")</f>
        <v>0</v>
      </c>
      <c r="H79" s="498"/>
      <c r="I79" s="664"/>
      <c r="J79" s="662"/>
      <c r="K79" s="662"/>
      <c r="L79" s="511"/>
      <c r="M79" s="660"/>
      <c r="N79" s="660"/>
      <c r="O79" s="4"/>
      <c r="P79" s="661"/>
      <c r="R79">
        <f t="shared" si="36"/>
        <v>0</v>
      </c>
      <c r="V79">
        <f t="shared" si="37"/>
        <v>0</v>
      </c>
      <c r="Y79"/>
      <c r="Z79" s="1"/>
      <c r="AO79" s="1"/>
      <c r="BL79" s="1"/>
      <c r="BW79" s="248"/>
      <c r="BX79" s="248"/>
      <c r="CY79"/>
      <c r="CZ79"/>
    </row>
    <row r="80" spans="1:109" hidden="1">
      <c r="A80" s="498"/>
      <c r="B80" s="498"/>
      <c r="C80" s="498"/>
      <c r="D80" s="498"/>
      <c r="E80" s="498"/>
      <c r="F80" s="498" t="s">
        <v>200</v>
      </c>
      <c r="G80" s="498">
        <f>COUNTIFS($B$9:$B$39,"fr",[0]!Maj,"Skema 3")</f>
        <v>0</v>
      </c>
      <c r="H80" s="498"/>
      <c r="I80" s="506"/>
      <c r="J80" s="511"/>
      <c r="K80" s="511"/>
      <c r="L80" s="511"/>
      <c r="M80" s="4"/>
      <c r="N80" s="4"/>
      <c r="O80" s="4"/>
      <c r="P80" s="4"/>
      <c r="R80">
        <f t="shared" si="36"/>
        <v>0</v>
      </c>
      <c r="V80">
        <f t="shared" si="37"/>
        <v>0</v>
      </c>
      <c r="Y80"/>
      <c r="Z80" s="1"/>
      <c r="AO80" s="1"/>
      <c r="BL80" s="1"/>
      <c r="BW80" s="248"/>
      <c r="BX80" s="248"/>
      <c r="CY80"/>
      <c r="CZ80"/>
    </row>
    <row r="81" spans="1:111" hidden="1">
      <c r="A81" s="498" t="s">
        <v>292</v>
      </c>
      <c r="B81" s="498"/>
      <c r="C81" s="498"/>
      <c r="D81" s="498"/>
      <c r="E81" s="498"/>
      <c r="F81" s="498"/>
      <c r="G81" s="498"/>
      <c r="H81" s="498"/>
      <c r="I81" s="506"/>
      <c r="J81" s="511"/>
      <c r="K81" s="511"/>
      <c r="L81" s="511"/>
      <c r="M81" s="4"/>
      <c r="N81" s="4"/>
      <c r="O81" s="4"/>
      <c r="P81" s="4"/>
      <c r="R81">
        <f t="shared" si="36"/>
        <v>0</v>
      </c>
      <c r="V81">
        <f t="shared" si="37"/>
        <v>0</v>
      </c>
      <c r="Y81"/>
      <c r="Z81" s="1"/>
      <c r="AO81" s="1"/>
      <c r="BL81" s="1"/>
      <c r="BW81" s="248"/>
      <c r="BX81" s="248"/>
      <c r="CY81"/>
      <c r="CZ81"/>
    </row>
    <row r="82" spans="1:111" hidden="1">
      <c r="A82" s="498"/>
      <c r="B82" s="498"/>
      <c r="C82" s="498"/>
      <c r="D82" s="498"/>
      <c r="E82" s="498"/>
      <c r="F82" s="498" t="s">
        <v>201</v>
      </c>
      <c r="G82" s="498">
        <f>COUNTIFS($B$9:$B$39,"ma",[0]!Maj,"Skema 4")</f>
        <v>0</v>
      </c>
      <c r="H82" s="498"/>
      <c r="I82" s="506"/>
      <c r="J82" s="511"/>
      <c r="K82" s="511"/>
      <c r="L82" s="511"/>
      <c r="M82" s="4"/>
      <c r="N82" s="4"/>
      <c r="O82" s="4"/>
      <c r="P82" s="4"/>
      <c r="R82">
        <f t="shared" si="36"/>
        <v>0</v>
      </c>
      <c r="V82">
        <f t="shared" si="37"/>
        <v>0</v>
      </c>
      <c r="Y82"/>
      <c r="Z82" s="1"/>
      <c r="AO82" s="1"/>
      <c r="BL82" s="1"/>
      <c r="BW82" s="248"/>
      <c r="BX82" s="248"/>
      <c r="CY82"/>
      <c r="CZ82"/>
    </row>
    <row r="83" spans="1:111" hidden="1">
      <c r="A83" s="498">
        <f>COUNTIF(C11:C12,"Skema 1")+COUNTIF(C11:C12,"Skema 2")+COUNTIF(C11:C12,"Skema 3")+COUNTIF(C11:C12,"Skema 4")+COUNTIF(C11:C12,"Fagdag")+COUNTIF(C11:C12,"Emnedag")+COUNTIF(C11:C12,"Lejrskole")+COUNTIF(C11:C12,"Ekskursion")+COUNTIF(C11:C12,"Pæd.dag")</f>
        <v>0</v>
      </c>
      <c r="B83" s="498"/>
      <c r="C83" s="498"/>
      <c r="D83" s="498"/>
      <c r="E83" s="498"/>
      <c r="F83" s="498" t="s">
        <v>202</v>
      </c>
      <c r="G83" s="498">
        <f>COUNTIFS($B$9:$B$39,"ti",[0]!Maj,"Skema 4")</f>
        <v>0</v>
      </c>
      <c r="H83" s="498"/>
      <c r="I83" s="506"/>
      <c r="J83" s="511"/>
      <c r="K83" s="511"/>
      <c r="L83" s="511"/>
      <c r="M83" s="4"/>
      <c r="N83" s="4"/>
      <c r="O83" s="4"/>
      <c r="P83" s="4"/>
      <c r="R83">
        <f t="shared" si="36"/>
        <v>0</v>
      </c>
      <c r="V83">
        <f t="shared" si="37"/>
        <v>0</v>
      </c>
      <c r="Y83"/>
      <c r="Z83" s="1"/>
      <c r="AO83" s="1"/>
      <c r="BL83" s="1"/>
      <c r="BW83" s="248"/>
      <c r="BX83" s="248"/>
      <c r="CY83"/>
      <c r="CZ83"/>
    </row>
    <row r="84" spans="1:111" hidden="1">
      <c r="A84" s="498">
        <f>COUNTIF(C18:C19,"Skema 1")+COUNTIF(C18:C19,"Skema 2")+COUNTIF(C18:C19,"Skema 3")+COUNTIF(C18:C19,"Skema 4")+COUNTIF(C18:C19,"Fagdag")+COUNTIF(C18:C19,"Emnedag")+COUNTIF(C18:C19,"Lejrskole")+COUNTIF(C18:C19,"Ekskursion")+COUNTIF(C18:C19,"Pæd.dag")</f>
        <v>0</v>
      </c>
      <c r="B84" s="498"/>
      <c r="C84" s="498"/>
      <c r="D84" s="498"/>
      <c r="E84" s="498"/>
      <c r="F84" s="498" t="s">
        <v>203</v>
      </c>
      <c r="G84" s="498">
        <f>COUNTIFS($B$9:$B$39,"on",[0]!Maj,"Skema 4")</f>
        <v>0</v>
      </c>
      <c r="H84" s="498"/>
      <c r="I84" s="506"/>
      <c r="J84" s="511"/>
      <c r="K84" s="511"/>
      <c r="L84" s="511"/>
      <c r="M84" s="4"/>
      <c r="N84" s="4"/>
      <c r="O84" s="4"/>
      <c r="P84" s="4"/>
      <c r="R84">
        <f t="shared" si="36"/>
        <v>0</v>
      </c>
      <c r="V84">
        <f t="shared" si="37"/>
        <v>0</v>
      </c>
      <c r="Y84"/>
      <c r="Z84" s="1"/>
      <c r="AO84" s="1"/>
      <c r="BL84" s="1"/>
      <c r="BW84" s="248"/>
      <c r="BX84" s="248"/>
      <c r="CY84"/>
      <c r="CZ84"/>
    </row>
    <row r="85" spans="1:111" hidden="1">
      <c r="A85" s="498">
        <f>COUNTIF(C25:C26,"Skema 1")+COUNTIF(C25:C26,"Skema 2")+COUNTIF(C25:C26,"Skema 3")+COUNTIF(C25:C26,"Skema 4")+COUNTIF(C25:C26,"Fagdag")+COUNTIF(C25:C26,"Emnedag")+COUNTIF(C25:C26,"Lejrskole")+COUNTIF(C25:C26,"Ekskursion")+COUNTIF(C25:C26,"Pæd.dag")</f>
        <v>0</v>
      </c>
      <c r="B85" s="498"/>
      <c r="C85" s="498"/>
      <c r="D85" s="498"/>
      <c r="E85" s="498"/>
      <c r="F85" s="498" t="s">
        <v>204</v>
      </c>
      <c r="G85" s="498">
        <f>COUNTIFS($B$9:$B$39,"to",[0]!Maj,"Skema 4")</f>
        <v>0</v>
      </c>
      <c r="H85" s="498"/>
      <c r="I85" s="506"/>
      <c r="J85" s="511"/>
      <c r="K85" s="511"/>
      <c r="L85" s="511"/>
      <c r="M85" s="4"/>
      <c r="N85" s="4"/>
      <c r="O85" s="4"/>
      <c r="P85" s="4"/>
      <c r="R85">
        <f t="shared" si="36"/>
        <v>0</v>
      </c>
      <c r="V85">
        <f t="shared" si="37"/>
        <v>0</v>
      </c>
      <c r="Y85"/>
      <c r="Z85"/>
      <c r="AO85" s="1">
        <f>SUM(N85:AN85)</f>
        <v>0</v>
      </c>
      <c r="BL85" s="1">
        <f>SUM(AI85:BK85)</f>
        <v>0</v>
      </c>
      <c r="BW85" s="248"/>
      <c r="BX85" s="248"/>
      <c r="CY85"/>
      <c r="CZ85"/>
    </row>
    <row r="86" spans="1:111" hidden="1">
      <c r="A86" s="498">
        <f>COUNTIF(C32:C33,"Skema 1")+COUNTIF(C32:C33,"Skema 2")+COUNTIF(C32:C33,"Skema 3")+COUNTIF(C32:C33,"Skema 4")+COUNTIF(C32:C33,"Fagdag")+COUNTIF(C32:C33,"Emnedag")+COUNTIF(C32:C33,"Lejrskole")+COUNTIF(C32:C33,"Ekskursion")+COUNTIF(C32:C33,"Pæd.dag")</f>
        <v>0</v>
      </c>
      <c r="B86" s="498"/>
      <c r="C86" s="498"/>
      <c r="D86" s="498"/>
      <c r="E86" s="498"/>
      <c r="F86" s="498" t="s">
        <v>205</v>
      </c>
      <c r="G86" s="498">
        <f>COUNTIFS($B$9:$B$39,"fr",[0]!Maj,"Skema 4")</f>
        <v>0</v>
      </c>
      <c r="H86" s="498"/>
      <c r="I86" s="498"/>
      <c r="J86" s="501"/>
      <c r="K86" s="501"/>
      <c r="L86" s="41"/>
      <c r="R86">
        <f t="shared" si="36"/>
        <v>0</v>
      </c>
      <c r="V86">
        <f t="shared" si="37"/>
        <v>0</v>
      </c>
      <c r="Y86"/>
      <c r="Z86"/>
      <c r="AO86" s="1">
        <f>SUM(N86:AN86)</f>
        <v>0</v>
      </c>
      <c r="BL86" s="1">
        <f>SUM(AI86:BK86)</f>
        <v>0</v>
      </c>
      <c r="BW86" s="248"/>
      <c r="BX86" s="248"/>
      <c r="CY86"/>
      <c r="CZ86"/>
    </row>
    <row r="87" spans="1:111" hidden="1">
      <c r="A87" s="498">
        <f>COUNTIF(C39,"Skema 1")+COUNTIF(C39,"Skema 2")+COUNTIF(C39,"Skema 3")+COUNTIF(C39,"Skema 4")+COUNTIF(C39,"Fagdag")+COUNTIF(C39,"Emnedag")+COUNTIF(C39,"Lejrskole")+COUNTIF(C39,"Ekskursion")+COUNTIF(C39,"Pæd.dag")</f>
        <v>0</v>
      </c>
      <c r="B87" s="498"/>
      <c r="C87" s="498"/>
      <c r="D87" s="498"/>
      <c r="E87" s="498"/>
      <c r="F87" s="498"/>
      <c r="G87" s="503">
        <f>SUM(G64:G86)</f>
        <v>17</v>
      </c>
      <c r="H87" s="501"/>
      <c r="I87" s="498"/>
      <c r="J87" s="501"/>
      <c r="K87" s="501"/>
      <c r="L87" s="41"/>
      <c r="R87">
        <f t="shared" si="36"/>
        <v>0</v>
      </c>
      <c r="V87">
        <f t="shared" si="37"/>
        <v>0</v>
      </c>
      <c r="Y87"/>
      <c r="Z87"/>
      <c r="AO87" s="1">
        <f>SUM(N87:AN87)</f>
        <v>0</v>
      </c>
      <c r="BL87" s="1">
        <f>SUM(AI87:BK87)</f>
        <v>0</v>
      </c>
      <c r="BW87" s="248"/>
      <c r="BX87" s="248"/>
      <c r="CY87"/>
      <c r="CZ87"/>
    </row>
    <row r="88" spans="1:111" hidden="1">
      <c r="A88" s="498">
        <f>SUM(A83:A87)</f>
        <v>0</v>
      </c>
      <c r="B88" s="501"/>
      <c r="C88" s="501"/>
      <c r="D88" s="501"/>
      <c r="E88" s="498"/>
      <c r="F88" s="498"/>
      <c r="G88" s="498"/>
      <c r="H88" s="41"/>
      <c r="I88" s="501"/>
      <c r="J88" s="501"/>
      <c r="K88" s="501"/>
      <c r="L88" s="41"/>
      <c r="R88">
        <f t="shared" si="36"/>
        <v>0</v>
      </c>
      <c r="V88">
        <f t="shared" si="37"/>
        <v>0</v>
      </c>
      <c r="Y88"/>
      <c r="Z88"/>
      <c r="AO88" s="1">
        <f>SUM(N88:AN88)</f>
        <v>0</v>
      </c>
      <c r="BL88" s="1">
        <f>SUM(AI88:BK88)</f>
        <v>0</v>
      </c>
      <c r="BW88" s="248"/>
      <c r="BX88" s="248"/>
      <c r="CY88"/>
      <c r="CZ88"/>
    </row>
    <row r="89" spans="1:111" hidden="1">
      <c r="A89" s="501"/>
      <c r="B89" s="501"/>
      <c r="C89" s="501"/>
      <c r="D89" s="501"/>
      <c r="E89" s="498"/>
      <c r="F89" s="498"/>
      <c r="G89" s="498"/>
      <c r="H89" s="41"/>
      <c r="I89" s="41"/>
      <c r="J89" s="501"/>
      <c r="K89" s="501"/>
      <c r="L89" s="41"/>
      <c r="R89">
        <f t="shared" si="36"/>
        <v>0</v>
      </c>
      <c r="V89">
        <f t="shared" si="37"/>
        <v>0</v>
      </c>
      <c r="Y89"/>
      <c r="Z89"/>
      <c r="BW89" s="248"/>
      <c r="BX89" s="248"/>
      <c r="CY89"/>
      <c r="CZ89"/>
    </row>
    <row r="90" spans="1:111" hidden="1">
      <c r="A90" s="501"/>
      <c r="B90" s="501"/>
      <c r="C90" s="501"/>
      <c r="D90" s="501"/>
      <c r="E90" s="498"/>
      <c r="F90" s="498"/>
      <c r="G90" s="498"/>
      <c r="H90" s="41"/>
      <c r="I90" s="41"/>
      <c r="J90" s="41"/>
      <c r="K90" s="41"/>
      <c r="L90" s="41"/>
      <c r="R90">
        <f t="shared" si="36"/>
        <v>0</v>
      </c>
      <c r="V90">
        <f t="shared" si="37"/>
        <v>0</v>
      </c>
      <c r="Y90"/>
      <c r="Z90"/>
      <c r="BW90" s="248"/>
      <c r="BX90" s="248"/>
      <c r="CY90"/>
      <c r="CZ90"/>
    </row>
    <row r="91" spans="1:111" hidden="1">
      <c r="A91" s="501"/>
      <c r="B91" s="501"/>
      <c r="C91" s="501"/>
      <c r="D91" s="501"/>
      <c r="E91" s="498"/>
      <c r="F91" s="498"/>
      <c r="G91" s="498"/>
      <c r="H91" s="41"/>
      <c r="I91" s="41"/>
      <c r="J91" s="41"/>
      <c r="K91" s="41"/>
      <c r="L91" s="41"/>
      <c r="R91">
        <f t="shared" si="36"/>
        <v>0</v>
      </c>
      <c r="V91">
        <f t="shared" si="37"/>
        <v>0</v>
      </c>
      <c r="Y91"/>
      <c r="Z91"/>
      <c r="BW91" s="248"/>
      <c r="BX91" s="248"/>
      <c r="CY91"/>
      <c r="CZ91"/>
    </row>
    <row r="92" spans="1:111" hidden="1">
      <c r="A92" s="501"/>
      <c r="B92" s="501"/>
      <c r="C92" s="501"/>
      <c r="D92" s="501"/>
      <c r="E92" s="498"/>
      <c r="F92" s="498"/>
      <c r="G92" s="498"/>
      <c r="I92" s="41"/>
      <c r="J92" s="41"/>
      <c r="K92" s="41"/>
      <c r="L92" s="41"/>
      <c r="R92">
        <f t="shared" si="36"/>
        <v>0</v>
      </c>
      <c r="V92">
        <f t="shared" si="37"/>
        <v>0</v>
      </c>
      <c r="Y92"/>
      <c r="Z92"/>
      <c r="BW92" s="248"/>
      <c r="BX92" s="248"/>
      <c r="CY92"/>
      <c r="CZ92"/>
    </row>
    <row r="93" spans="1:111" hidden="1">
      <c r="A93" s="501"/>
      <c r="B93" s="501"/>
      <c r="C93" s="501"/>
      <c r="D93" s="501"/>
      <c r="E93" s="498"/>
      <c r="F93" s="498"/>
      <c r="G93" s="498"/>
      <c r="I93" s="41"/>
      <c r="J93" s="41"/>
      <c r="K93" s="41"/>
      <c r="L93" s="41"/>
      <c r="R93">
        <f t="shared" si="36"/>
        <v>0</v>
      </c>
      <c r="V93">
        <f t="shared" si="37"/>
        <v>0</v>
      </c>
      <c r="Y93"/>
      <c r="Z93"/>
      <c r="AF93" s="231"/>
      <c r="BW93" s="248"/>
      <c r="BX93" s="248"/>
      <c r="CY93"/>
      <c r="CZ93"/>
    </row>
    <row r="94" spans="1:111" hidden="1">
      <c r="A94" s="501"/>
      <c r="B94" s="501"/>
      <c r="C94" s="501"/>
      <c r="D94" s="501"/>
      <c r="E94" s="498"/>
      <c r="F94" s="498"/>
      <c r="G94" s="498"/>
      <c r="I94" s="41"/>
      <c r="J94" s="41"/>
      <c r="K94" s="41"/>
      <c r="L94" s="41"/>
      <c r="R94">
        <f t="shared" si="36"/>
        <v>0</v>
      </c>
      <c r="V94">
        <f t="shared" si="37"/>
        <v>0</v>
      </c>
      <c r="Y94"/>
      <c r="Z94"/>
      <c r="AD94" s="4"/>
      <c r="AE94" s="231"/>
      <c r="AF94" s="231"/>
      <c r="AG94" s="231"/>
      <c r="AH94" s="231"/>
      <c r="CY94"/>
      <c r="CZ94"/>
      <c r="DF94" s="248"/>
      <c r="DG94" s="248"/>
    </row>
    <row r="95" spans="1:111" hidden="1">
      <c r="A95" s="501"/>
      <c r="B95" s="501"/>
      <c r="C95" s="501"/>
      <c r="D95" s="501"/>
      <c r="E95" s="498"/>
      <c r="F95" s="498"/>
      <c r="G95" s="498"/>
      <c r="I95" s="41"/>
      <c r="J95" s="41"/>
      <c r="K95" s="41"/>
      <c r="L95" s="41"/>
      <c r="R95">
        <f t="shared" si="36"/>
        <v>0</v>
      </c>
      <c r="V95">
        <f t="shared" si="37"/>
        <v>0</v>
      </c>
      <c r="Y95"/>
      <c r="Z95"/>
      <c r="AD95" s="4"/>
      <c r="AE95" s="231"/>
      <c r="AG95" s="231"/>
      <c r="AH95" s="231"/>
      <c r="CY95"/>
      <c r="CZ95"/>
      <c r="DF95" s="248"/>
      <c r="DG95" s="248"/>
    </row>
    <row r="96" spans="1:111" hidden="1">
      <c r="A96" s="501"/>
      <c r="B96" s="501"/>
      <c r="C96" s="501"/>
      <c r="D96" s="501"/>
      <c r="E96" s="498"/>
      <c r="F96" s="498"/>
      <c r="G96" s="498"/>
      <c r="I96" s="41"/>
      <c r="J96" s="41"/>
      <c r="K96" s="41"/>
      <c r="L96" s="41"/>
      <c r="R96">
        <f t="shared" si="36"/>
        <v>0</v>
      </c>
      <c r="V96">
        <f t="shared" si="37"/>
        <v>0</v>
      </c>
    </row>
    <row r="97" spans="1:22" hidden="1">
      <c r="A97" s="501"/>
      <c r="B97" s="501"/>
      <c r="C97" s="501"/>
      <c r="D97" s="501"/>
      <c r="E97" s="498"/>
      <c r="F97" s="498"/>
      <c r="G97" s="498"/>
      <c r="I97" s="41"/>
      <c r="J97" s="41"/>
      <c r="K97" s="41"/>
      <c r="L97" s="41"/>
      <c r="R97">
        <f t="shared" si="36"/>
        <v>0</v>
      </c>
      <c r="V97">
        <f t="shared" si="37"/>
        <v>0</v>
      </c>
    </row>
    <row r="98" spans="1:22" hidden="1">
      <c r="A98" s="501"/>
      <c r="B98" s="501"/>
      <c r="C98" s="501"/>
      <c r="D98" s="501"/>
      <c r="E98" s="501"/>
      <c r="F98" s="501"/>
      <c r="G98" s="501"/>
      <c r="I98" s="41"/>
      <c r="J98" s="41"/>
      <c r="K98" s="41"/>
      <c r="L98" s="41"/>
      <c r="R98">
        <f t="shared" si="36"/>
        <v>0</v>
      </c>
      <c r="V98">
        <f t="shared" si="37"/>
        <v>0</v>
      </c>
    </row>
    <row r="99" spans="1:22" hidden="1">
      <c r="A99" s="501"/>
      <c r="I99" s="41"/>
      <c r="J99" s="41"/>
      <c r="K99" s="41"/>
      <c r="L99" s="41"/>
      <c r="R99">
        <f t="shared" si="36"/>
        <v>0</v>
      </c>
      <c r="V99">
        <f t="shared" si="37"/>
        <v>0</v>
      </c>
    </row>
    <row r="100" spans="1:22" hidden="1">
      <c r="I100" s="41"/>
      <c r="J100" s="41"/>
      <c r="K100" s="41"/>
      <c r="L100" s="445"/>
      <c r="R100">
        <f t="shared" si="36"/>
        <v>0</v>
      </c>
      <c r="V100">
        <f t="shared" si="37"/>
        <v>0</v>
      </c>
    </row>
    <row r="101" spans="1:22" hidden="1">
      <c r="I101" s="41"/>
      <c r="J101" s="41"/>
      <c r="K101" s="41"/>
      <c r="L101" s="445"/>
      <c r="R101">
        <f t="shared" si="36"/>
        <v>0</v>
      </c>
      <c r="V101">
        <f t="shared" si="37"/>
        <v>0</v>
      </c>
    </row>
    <row r="102" spans="1:22" hidden="1">
      <c r="I102" s="41"/>
      <c r="J102" s="41"/>
      <c r="K102" s="41"/>
      <c r="L102" s="445"/>
      <c r="R102">
        <f t="shared" si="36"/>
        <v>0</v>
      </c>
      <c r="V102">
        <f t="shared" si="37"/>
        <v>0</v>
      </c>
    </row>
    <row r="103" spans="1:22" hidden="1">
      <c r="I103" s="445"/>
      <c r="J103" s="41"/>
      <c r="K103" s="41"/>
      <c r="L103" s="445"/>
      <c r="R103">
        <f t="shared" si="36"/>
        <v>0</v>
      </c>
      <c r="V103">
        <f t="shared" si="37"/>
        <v>0</v>
      </c>
    </row>
    <row r="104" spans="1:22" hidden="1">
      <c r="I104" s="445"/>
      <c r="J104" s="445"/>
      <c r="K104" s="445"/>
      <c r="L104" s="445"/>
      <c r="R104">
        <f t="shared" si="36"/>
        <v>0</v>
      </c>
      <c r="V104">
        <f t="shared" si="37"/>
        <v>0</v>
      </c>
    </row>
    <row r="105" spans="1:22" ht="17" hidden="1" thickBot="1">
      <c r="I105" s="445"/>
      <c r="J105" s="445"/>
      <c r="K105" s="445"/>
      <c r="L105" s="445"/>
      <c r="R105">
        <f t="shared" si="36"/>
        <v>0</v>
      </c>
      <c r="V105">
        <f t="shared" si="37"/>
        <v>0</v>
      </c>
    </row>
    <row r="106" spans="1:22" ht="17" hidden="1" thickBot="1">
      <c r="I106" s="445"/>
      <c r="J106" s="445"/>
      <c r="K106" s="445"/>
      <c r="L106" s="445"/>
      <c r="R106" s="693">
        <f>SUM(R75:R105)+FB40</f>
        <v>0</v>
      </c>
      <c r="V106">
        <f>SUM(V75:V105)</f>
        <v>0</v>
      </c>
    </row>
    <row r="107" spans="1:22" hidden="1">
      <c r="I107" s="445"/>
      <c r="J107" s="445"/>
      <c r="K107" s="445"/>
      <c r="L107" s="445"/>
    </row>
    <row r="108" spans="1:22" hidden="1"/>
  </sheetData>
  <sheetProtection sheet="1" objects="1" scenarios="1"/>
  <mergeCells count="174">
    <mergeCell ref="FQ8:FR8"/>
    <mergeCell ref="DS8:DV8"/>
    <mergeCell ref="DZ8:EB8"/>
    <mergeCell ref="EG8:EI8"/>
    <mergeCell ref="EM8:EN8"/>
    <mergeCell ref="EQ8:ER8"/>
    <mergeCell ref="EU8:EV8"/>
    <mergeCell ref="FC8:FD8"/>
    <mergeCell ref="FG8:FH8"/>
    <mergeCell ref="FK8:FL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E30:G30"/>
    <mergeCell ref="E31:G31"/>
    <mergeCell ref="E33:G33"/>
    <mergeCell ref="E34:G34"/>
    <mergeCell ref="E35:G35"/>
    <mergeCell ref="E29:G29"/>
    <mergeCell ref="E26:G26"/>
    <mergeCell ref="I6:I7"/>
    <mergeCell ref="J6:J7"/>
    <mergeCell ref="E17:G17"/>
    <mergeCell ref="E18:G18"/>
    <mergeCell ref="E19:G19"/>
    <mergeCell ref="E20:G20"/>
    <mergeCell ref="E21:G21"/>
    <mergeCell ref="E22:G22"/>
    <mergeCell ref="BG6:BK6"/>
    <mergeCell ref="BL6:BP6"/>
    <mergeCell ref="AG6:AK6"/>
    <mergeCell ref="E6:G8"/>
    <mergeCell ref="K6:L6"/>
    <mergeCell ref="N6:N7"/>
    <mergeCell ref="O6:O7"/>
    <mergeCell ref="E25:G25"/>
    <mergeCell ref="I8:J8"/>
    <mergeCell ref="AA6:AE6"/>
    <mergeCell ref="S6:X6"/>
    <mergeCell ref="S8:U8"/>
    <mergeCell ref="V8:X8"/>
    <mergeCell ref="E15:G15"/>
    <mergeCell ref="E16:G16"/>
    <mergeCell ref="E23:G23"/>
    <mergeCell ref="E24:G24"/>
    <mergeCell ref="E11:G11"/>
    <mergeCell ref="K8:R8"/>
    <mergeCell ref="B2:E2"/>
    <mergeCell ref="E4:G4"/>
    <mergeCell ref="K4:L4"/>
    <mergeCell ref="A5:R5"/>
    <mergeCell ref="P6:P7"/>
    <mergeCell ref="Q6:Q7"/>
    <mergeCell ref="R6:R7"/>
    <mergeCell ref="A4:D4"/>
    <mergeCell ref="S5:X5"/>
    <mergeCell ref="A3:X3"/>
    <mergeCell ref="A7:D8"/>
    <mergeCell ref="H7:H8"/>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 ref="I53:K53"/>
    <mergeCell ref="M53:U53"/>
    <mergeCell ref="V53:X53"/>
    <mergeCell ref="I54:K54"/>
    <mergeCell ref="E12:G12"/>
    <mergeCell ref="E13:G13"/>
    <mergeCell ref="E14:G14"/>
    <mergeCell ref="EY8:EZ8"/>
    <mergeCell ref="EW6:EZ6"/>
    <mergeCell ref="M52:U52"/>
    <mergeCell ref="V52:X52"/>
    <mergeCell ref="DA6:DE6"/>
    <mergeCell ref="E9:G9"/>
    <mergeCell ref="E10:G10"/>
    <mergeCell ref="BQ6:BU6"/>
    <mergeCell ref="BV6:BZ6"/>
    <mergeCell ref="CD6:CH6"/>
    <mergeCell ref="CI6:CM6"/>
    <mergeCell ref="CN6:CR6"/>
    <mergeCell ref="CS6:CW6"/>
    <mergeCell ref="AL6:AP6"/>
    <mergeCell ref="AQ6:AU6"/>
    <mergeCell ref="AV6:AZ6"/>
    <mergeCell ref="BC6:BF6"/>
  </mergeCells>
  <phoneticPr fontId="5" type="noConversion"/>
  <conditionalFormatting sqref="A9:H9 D10:H31 A10:C39 D32:E32 H32 D33:H39">
    <cfRule type="expression" dxfId="517" priority="56">
      <formula>OR($C9="ekskursion")</formula>
    </cfRule>
    <cfRule type="expression" dxfId="516" priority="62" stopIfTrue="1">
      <formula>OR($C9="Orlov")</formula>
    </cfRule>
    <cfRule type="expression" dxfId="515" priority="61">
      <formula>OR($C9="weekend")</formula>
    </cfRule>
    <cfRule type="expression" dxfId="514" priority="60">
      <formula>OR($C9="feriedag")</formula>
    </cfRule>
    <cfRule type="expression" dxfId="513" priority="59">
      <formula>OR($C9="fagdag")</formula>
    </cfRule>
    <cfRule type="expression" dxfId="512" priority="58">
      <formula>OR($C9="emnedag")</formula>
    </cfRule>
    <cfRule type="expression" dxfId="511" priority="57">
      <formula>OR($C9="lejrskole")</formula>
    </cfRule>
    <cfRule type="expression" dxfId="510" priority="55">
      <formula>OR($C9="SH-dag")</formula>
    </cfRule>
    <cfRule type="expression" dxfId="509" priority="54">
      <formula>OR($C9="nul-dag")</formula>
    </cfRule>
    <cfRule type="expression" dxfId="508" priority="53">
      <formula>OR($C9="pæd.dag")</formula>
    </cfRule>
    <cfRule type="expression" dxfId="507" priority="52">
      <formula>OR($C9="Ikke relevant")</formula>
    </cfRule>
    <cfRule type="expression" dxfId="506" priority="48">
      <formula>OR($C9="Skema 1")</formula>
    </cfRule>
    <cfRule type="expression" dxfId="505" priority="49">
      <formula>OR($C9="skema 2")</formula>
    </cfRule>
    <cfRule type="expression" dxfId="504" priority="50">
      <formula>OR($C9="Skema 3")</formula>
    </cfRule>
    <cfRule type="expression" dxfId="503" priority="51">
      <formula>OR($C9="Skema 4")</formula>
    </cfRule>
  </conditionalFormatting>
  <conditionalFormatting sqref="E20">
    <cfRule type="expression" dxfId="502" priority="64">
      <formula>OR($D19="nul-dag")</formula>
    </cfRule>
    <cfRule type="expression" dxfId="501" priority="65">
      <formula>OR($D19="SH-dag")</formula>
    </cfRule>
    <cfRule type="expression" dxfId="500" priority="66">
      <formula>OR($D19="ekskursion")</formula>
    </cfRule>
    <cfRule type="expression" dxfId="499" priority="67">
      <formula>OR($D19="lejrskole")</formula>
    </cfRule>
    <cfRule type="expression" dxfId="498" priority="63">
      <formula>OR($D19="pæd.dag")</formula>
    </cfRule>
    <cfRule type="expression" dxfId="497" priority="68">
      <formula>OR($D19="emnedag")</formula>
    </cfRule>
    <cfRule type="expression" dxfId="496" priority="69">
      <formula>OR($D19="fagdag")</formula>
    </cfRule>
    <cfRule type="expression" dxfId="495" priority="70">
      <formula>OR($D19="feriedag")</formula>
    </cfRule>
    <cfRule type="expression" dxfId="494" priority="71">
      <formula>OR($D19="weekend")</formula>
    </cfRule>
    <cfRule type="expression" dxfId="493" priority="72" stopIfTrue="1">
      <formula>OR($D19="skoledag")</formula>
    </cfRule>
    <cfRule type="expression" dxfId="492" priority="73">
      <formula>OR($D19="Ikke relevant")</formula>
    </cfRule>
  </conditionalFormatting>
  <conditionalFormatting sqref="H58:H61">
    <cfRule type="expression" dxfId="491" priority="1">
      <formula>OR($A58&gt;0,)</formula>
    </cfRule>
  </conditionalFormatting>
  <conditionalFormatting sqref="I58:I61">
    <cfRule type="expression" dxfId="490" priority="2">
      <formula>OR($C58&gt;0,)</formula>
    </cfRule>
  </conditionalFormatting>
  <conditionalFormatting sqref="K9:K39">
    <cfRule type="expression" dxfId="489" priority="45">
      <formula>OR($C9="Pæd.dag",)</formula>
    </cfRule>
  </conditionalFormatting>
  <conditionalFormatting sqref="K9:L39">
    <cfRule type="expression" dxfId="488" priority="47">
      <formula>OR($C9="Ekskursion",)</formula>
    </cfRule>
    <cfRule type="expression" dxfId="487" priority="46">
      <formula>OR($C9="Lejrskole",)</formula>
    </cfRule>
  </conditionalFormatting>
  <conditionalFormatting sqref="K9:M39">
    <cfRule type="expression" dxfId="486" priority="44">
      <formula>OR($C9="emnedag",)</formula>
    </cfRule>
    <cfRule type="expression" dxfId="485" priority="43">
      <formula>OR($C9="fagdag",)</formula>
    </cfRule>
  </conditionalFormatting>
  <conditionalFormatting sqref="R9:R39">
    <cfRule type="expression" dxfId="484" priority="74">
      <formula>OR($H9&gt;"0",)</formula>
    </cfRule>
  </conditionalFormatting>
  <conditionalFormatting sqref="V9:V39">
    <cfRule type="expression" dxfId="483" priority="10">
      <formula>OR($S9="X",)</formula>
    </cfRule>
  </conditionalFormatting>
  <conditionalFormatting sqref="V49:X52">
    <cfRule type="expression" dxfId="482" priority="3">
      <formula>OR($M49&gt;0,)</formula>
    </cfRule>
  </conditionalFormatting>
  <conditionalFormatting sqref="W9:W39">
    <cfRule type="expression" dxfId="481" priority="9">
      <formula>OR($T9="X",)</formula>
    </cfRule>
  </conditionalFormatting>
  <conditionalFormatting sqref="X9:X39">
    <cfRule type="expression" dxfId="480" priority="8">
      <formula>OR($U9="X",)</formula>
    </cfRule>
  </conditionalFormatting>
  <dataValidations count="3">
    <dataValidation type="list" allowBlank="1" showInputMessage="1" showErrorMessage="1" sqref="S9:T39 U9:U37 A58:D61" xr:uid="{9B78C96F-D852-524A-9D46-9E93C2474DE4}">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5:I26 I32:I33 I11:I12 I37 I18:I19" xr:uid="{51382E11-A09A-A742-87B3-F3A2F17558A4}">
      <formula1>$W$1:$W$2</formula1>
    </dataValidation>
    <dataValidation type="list" allowBlank="1" showInputMessage="1" showErrorMessage="1" promptTitle="OBS:" prompt="Ved arrangementer med overnatning ydes istedet for ulempe- og weekendgodtgørelse på hhv. 25% og 50% faste tillæg pr. påbegyndt dag. " sqref="J9:J39" xr:uid="{DE3CEED3-B62E-0F4F-83C7-8CE305409852}">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5C3FBC07-9BA5-1C47-B52A-8D8F8A56FABD}">
          <x14:formula1>
            <xm:f>August!$A$89:$A$103</xm:f>
          </x14:formula1>
          <xm:sqref>C9:C39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35AF-DC64-A244-9A15-7CD8ED0948AA}">
  <sheetPr>
    <tabColor theme="4" tint="-0.249977111117893"/>
    <pageSetUpPr fitToPage="1"/>
  </sheetPr>
  <dimension ref="A1:GC106"/>
  <sheetViews>
    <sheetView topLeftCell="A7" zoomScale="90" workbookViewId="0">
      <selection activeCell="J25" sqref="J25"/>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1" hidden="1" customWidth="1"/>
    <col min="26" max="26" width="7" style="231"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8" hidden="1" customWidth="1"/>
    <col min="105" max="118" width="10.83203125" hidden="1" customWidth="1"/>
    <col min="119" max="126" width="0" hidden="1" customWidth="1"/>
    <col min="127" max="132" width="10.83203125" hidden="1" customWidth="1"/>
    <col min="133" max="190" width="0" hidden="1" customWidth="1"/>
  </cols>
  <sheetData>
    <row r="1" spans="1:185" ht="16" customHeight="1">
      <c r="A1" s="93"/>
      <c r="B1" s="90"/>
      <c r="C1" s="90"/>
      <c r="D1" s="90"/>
      <c r="E1" s="90"/>
      <c r="F1" s="90"/>
      <c r="G1" s="90"/>
      <c r="H1" s="279"/>
      <c r="I1" s="278"/>
      <c r="J1" s="90"/>
      <c r="K1" s="230"/>
      <c r="L1" s="230"/>
      <c r="M1" s="230"/>
      <c r="N1" s="230"/>
      <c r="O1" s="230"/>
      <c r="P1" s="90"/>
      <c r="Q1" s="90"/>
      <c r="R1" s="90"/>
      <c r="S1" s="90"/>
      <c r="T1" s="90"/>
      <c r="U1" s="90"/>
      <c r="V1" s="90"/>
      <c r="W1" s="90"/>
      <c r="X1" s="90"/>
      <c r="Y1"/>
      <c r="Z1" s="90"/>
      <c r="AB1" s="90"/>
      <c r="AC1" s="90"/>
      <c r="AH1" s="90"/>
      <c r="AI1" s="90"/>
      <c r="CX1" s="248"/>
      <c r="CZ1"/>
    </row>
    <row r="2" spans="1:185" ht="21" thickBot="1">
      <c r="A2" s="92">
        <v>6</v>
      </c>
      <c r="B2" s="1086"/>
      <c r="C2" s="1086"/>
      <c r="D2" s="1086"/>
      <c r="E2" s="1086"/>
      <c r="F2" s="90"/>
      <c r="G2" s="90"/>
      <c r="H2" s="279"/>
      <c r="I2" s="278"/>
      <c r="J2" s="230"/>
      <c r="K2" s="230"/>
      <c r="L2" s="230"/>
      <c r="M2" s="230"/>
      <c r="N2" s="230"/>
      <c r="O2" s="230"/>
      <c r="P2" s="90"/>
      <c r="Q2" s="90"/>
      <c r="R2" s="90"/>
      <c r="S2" s="90"/>
      <c r="T2" s="90"/>
      <c r="U2" s="90"/>
      <c r="V2" s="90"/>
      <c r="W2" s="123" t="s">
        <v>31</v>
      </c>
      <c r="X2" s="123" t="s">
        <v>31</v>
      </c>
      <c r="Y2"/>
      <c r="Z2" s="90"/>
      <c r="AA2" s="90"/>
      <c r="AE2" s="90"/>
      <c r="AG2" s="90"/>
      <c r="CV2" s="248"/>
      <c r="CW2" s="248"/>
      <c r="CY2"/>
      <c r="CZ2"/>
    </row>
    <row r="3" spans="1:185" ht="17" thickBot="1">
      <c r="A3" s="1115" t="s">
        <v>310</v>
      </c>
      <c r="B3" s="1116"/>
      <c r="C3" s="1116"/>
      <c r="D3" s="1116"/>
      <c r="E3" s="1116"/>
      <c r="F3" s="1116"/>
      <c r="G3" s="1116"/>
      <c r="H3" s="1116"/>
      <c r="I3" s="1116"/>
      <c r="J3" s="1116"/>
      <c r="K3" s="1116"/>
      <c r="L3" s="1116"/>
      <c r="M3" s="1116"/>
      <c r="N3" s="1116"/>
      <c r="O3" s="1116"/>
      <c r="P3" s="1116"/>
      <c r="Q3" s="1116"/>
      <c r="R3" s="1116"/>
      <c r="S3" s="1116"/>
      <c r="T3" s="1116"/>
      <c r="U3" s="1116"/>
      <c r="V3" s="1116"/>
      <c r="W3" s="1116"/>
      <c r="X3" s="1117"/>
      <c r="Y3" s="90"/>
      <c r="Z3"/>
      <c r="AC3" s="90"/>
      <c r="AD3" s="90"/>
      <c r="AF3" s="90"/>
      <c r="CT3" s="248"/>
      <c r="CU3" s="248"/>
      <c r="CY3"/>
      <c r="CZ3"/>
      <c r="FI3" s="878" t="s">
        <v>636</v>
      </c>
      <c r="FJ3" s="879"/>
      <c r="FK3" s="879"/>
      <c r="FL3" s="879"/>
      <c r="FM3" s="879"/>
      <c r="FN3" s="879"/>
      <c r="FO3" s="879"/>
      <c r="FP3" s="879"/>
      <c r="FQ3" s="879"/>
      <c r="FR3" s="879"/>
      <c r="FS3" s="879"/>
      <c r="FT3" s="879"/>
      <c r="FU3" s="879"/>
      <c r="FV3" s="879"/>
      <c r="FW3" s="879"/>
      <c r="FX3" s="879"/>
      <c r="FY3" s="879"/>
      <c r="FZ3" s="879"/>
      <c r="GA3" s="879"/>
      <c r="GB3" s="879"/>
      <c r="GC3" s="880"/>
    </row>
    <row r="4" spans="1:185" ht="254" customHeight="1" thickBot="1">
      <c r="A4" s="915" t="s">
        <v>432</v>
      </c>
      <c r="B4" s="916"/>
      <c r="C4" s="916"/>
      <c r="D4" s="916"/>
      <c r="E4" s="920" t="s">
        <v>311</v>
      </c>
      <c r="F4" s="920"/>
      <c r="G4" s="920"/>
      <c r="H4" s="280" t="s">
        <v>414</v>
      </c>
      <c r="I4" s="438" t="s">
        <v>467</v>
      </c>
      <c r="J4" s="438" t="s">
        <v>468</v>
      </c>
      <c r="K4" s="931" t="s">
        <v>515</v>
      </c>
      <c r="L4" s="931"/>
      <c r="M4" s="486" t="s">
        <v>457</v>
      </c>
      <c r="N4" s="486" t="s">
        <v>433</v>
      </c>
      <c r="O4" s="486" t="s">
        <v>434</v>
      </c>
      <c r="P4" s="487" t="s">
        <v>458</v>
      </c>
      <c r="Q4" s="487" t="s">
        <v>309</v>
      </c>
      <c r="R4" s="487" t="s">
        <v>435</v>
      </c>
      <c r="S4" s="488" t="s">
        <v>465</v>
      </c>
      <c r="T4" s="488" t="s">
        <v>436</v>
      </c>
      <c r="U4" s="488" t="s">
        <v>437</v>
      </c>
      <c r="V4" s="489" t="s">
        <v>459</v>
      </c>
      <c r="W4" s="489" t="s">
        <v>400</v>
      </c>
      <c r="X4" s="490" t="s">
        <v>399</v>
      </c>
      <c r="Y4" s="246"/>
      <c r="Z4" s="90"/>
      <c r="AB4" s="90"/>
      <c r="AC4" s="90"/>
      <c r="AH4" s="90"/>
      <c r="AI4" s="90"/>
      <c r="CX4" s="248"/>
      <c r="CZ4"/>
      <c r="FI4" s="730" t="s">
        <v>634</v>
      </c>
      <c r="FJ4" s="730"/>
      <c r="FK4" s="730"/>
      <c r="FL4" s="730"/>
      <c r="FM4" t="s">
        <v>627</v>
      </c>
      <c r="FO4" s="730" t="s">
        <v>633</v>
      </c>
      <c r="FP4" s="730"/>
      <c r="FQ4" s="730"/>
      <c r="FR4" s="730"/>
    </row>
    <row r="5" spans="1:185" ht="26" customHeight="1" thickBot="1">
      <c r="A5" s="932" t="str">
        <f>""&amp;A7&amp;" måneds kalender for: "&amp;Stamoplysninger!E8&amp;". Måneden vedr. normperioden: "&amp;Stamoplysninger!E11&amp;" - "&amp;Stamoplysninger!G11&amp;"."</f>
        <v>Juni måneds kalender for: Beate Simonsen. Måneden vedr. normperioden: 01.08.2024 - 31.07.2025.</v>
      </c>
      <c r="B5" s="933"/>
      <c r="C5" s="933"/>
      <c r="D5" s="933"/>
      <c r="E5" s="933"/>
      <c r="F5" s="933"/>
      <c r="G5" s="933"/>
      <c r="H5" s="933"/>
      <c r="I5" s="933"/>
      <c r="J5" s="933"/>
      <c r="K5" s="933"/>
      <c r="L5" s="933"/>
      <c r="M5" s="933"/>
      <c r="N5" s="933"/>
      <c r="O5" s="933"/>
      <c r="P5" s="933"/>
      <c r="Q5" s="933"/>
      <c r="R5" s="933"/>
      <c r="S5" s="925" t="s">
        <v>397</v>
      </c>
      <c r="T5" s="926"/>
      <c r="U5" s="926"/>
      <c r="V5" s="926"/>
      <c r="W5" s="926"/>
      <c r="X5" s="927"/>
      <c r="Y5" s="246"/>
      <c r="Z5" s="90"/>
      <c r="AB5" s="90"/>
      <c r="AC5" s="90"/>
      <c r="AH5" s="90"/>
      <c r="AI5" s="90"/>
      <c r="CX5" s="248"/>
      <c r="CZ5"/>
      <c r="FI5" s="881" t="s">
        <v>620</v>
      </c>
      <c r="FJ5" s="881"/>
      <c r="FK5" s="881"/>
      <c r="FL5" s="881"/>
      <c r="FM5" s="881"/>
      <c r="FN5" s="881"/>
      <c r="FO5" s="881"/>
      <c r="FP5" s="881"/>
      <c r="FQ5" s="881"/>
      <c r="FR5" s="881"/>
      <c r="FU5" t="s">
        <v>635</v>
      </c>
      <c r="FV5" t="s">
        <v>628</v>
      </c>
      <c r="FX5" t="s">
        <v>629</v>
      </c>
      <c r="FZ5" t="s">
        <v>630</v>
      </c>
      <c r="GB5" s="526" t="s">
        <v>631</v>
      </c>
    </row>
    <row r="6" spans="1:185" ht="47" customHeight="1">
      <c r="A6" s="329">
        <f>Januar!A6</f>
        <v>2025</v>
      </c>
      <c r="B6" s="242"/>
      <c r="C6" s="243"/>
      <c r="D6" s="244"/>
      <c r="E6" s="940" t="s">
        <v>471</v>
      </c>
      <c r="F6" s="941"/>
      <c r="G6" s="942"/>
      <c r="H6" s="326" t="s">
        <v>324</v>
      </c>
      <c r="I6" s="888" t="s">
        <v>466</v>
      </c>
      <c r="J6" s="938" t="s">
        <v>487</v>
      </c>
      <c r="K6" s="934" t="s">
        <v>303</v>
      </c>
      <c r="L6" s="935"/>
      <c r="M6" s="327" t="s">
        <v>304</v>
      </c>
      <c r="N6" s="888" t="s">
        <v>447</v>
      </c>
      <c r="O6" s="888" t="s">
        <v>308</v>
      </c>
      <c r="P6" s="888" t="s">
        <v>456</v>
      </c>
      <c r="Q6" s="888" t="s">
        <v>387</v>
      </c>
      <c r="R6" s="891" t="s">
        <v>516</v>
      </c>
      <c r="S6" s="953" t="s">
        <v>305</v>
      </c>
      <c r="T6" s="954"/>
      <c r="U6" s="954"/>
      <c r="V6" s="954"/>
      <c r="W6" s="954"/>
      <c r="X6" s="955"/>
      <c r="Y6" s="212"/>
      <c r="Z6" s="212"/>
      <c r="AA6" s="890" t="s">
        <v>261</v>
      </c>
      <c r="AB6" s="890"/>
      <c r="AC6" s="890"/>
      <c r="AD6" s="890"/>
      <c r="AE6" s="890"/>
      <c r="AF6" s="209"/>
      <c r="AG6" s="890" t="s">
        <v>222</v>
      </c>
      <c r="AH6" s="890"/>
      <c r="AI6" s="890"/>
      <c r="AJ6" s="890"/>
      <c r="AK6" s="890"/>
      <c r="AL6" s="890" t="s">
        <v>223</v>
      </c>
      <c r="AM6" s="890"/>
      <c r="AN6" s="890"/>
      <c r="AO6" s="890"/>
      <c r="AP6" s="890"/>
      <c r="AQ6" s="890" t="s">
        <v>224</v>
      </c>
      <c r="AR6" s="890"/>
      <c r="AS6" s="890"/>
      <c r="AT6" s="890"/>
      <c r="AU6" s="890"/>
      <c r="AV6" s="890" t="s">
        <v>225</v>
      </c>
      <c r="AW6" s="890"/>
      <c r="AX6" s="890"/>
      <c r="AY6" s="890"/>
      <c r="AZ6" s="890"/>
      <c r="BA6" s="299"/>
      <c r="BB6" s="209"/>
      <c r="BC6" s="890" t="s">
        <v>264</v>
      </c>
      <c r="BD6" s="890"/>
      <c r="BE6" s="890"/>
      <c r="BF6" s="890"/>
      <c r="BG6" s="890" t="s">
        <v>227</v>
      </c>
      <c r="BH6" s="890"/>
      <c r="BI6" s="890"/>
      <c r="BJ6" s="890"/>
      <c r="BK6" s="890"/>
      <c r="BL6" s="890" t="s">
        <v>228</v>
      </c>
      <c r="BM6" s="890"/>
      <c r="BN6" s="890"/>
      <c r="BO6" s="890"/>
      <c r="BP6" s="890"/>
      <c r="BQ6" s="890" t="s">
        <v>229</v>
      </c>
      <c r="BR6" s="890"/>
      <c r="BS6" s="890"/>
      <c r="BT6" s="890"/>
      <c r="BU6" s="890"/>
      <c r="BV6" s="890" t="s">
        <v>230</v>
      </c>
      <c r="BW6" s="890"/>
      <c r="BX6" s="890"/>
      <c r="BY6" s="890"/>
      <c r="BZ6" s="890"/>
      <c r="CD6" s="890" t="s">
        <v>265</v>
      </c>
      <c r="CE6" s="890"/>
      <c r="CF6" s="890"/>
      <c r="CG6" s="890"/>
      <c r="CH6" s="890"/>
      <c r="CI6" s="890" t="s">
        <v>267</v>
      </c>
      <c r="CJ6" s="890"/>
      <c r="CK6" s="890"/>
      <c r="CL6" s="890"/>
      <c r="CM6" s="890"/>
      <c r="CN6" s="890" t="s">
        <v>266</v>
      </c>
      <c r="CO6" s="890"/>
      <c r="CP6" s="890"/>
      <c r="CQ6" s="890"/>
      <c r="CR6" s="890"/>
      <c r="CS6" s="890" t="s">
        <v>268</v>
      </c>
      <c r="CT6" s="890"/>
      <c r="CU6" s="890"/>
      <c r="CV6" s="890"/>
      <c r="CW6" s="890"/>
      <c r="CX6" s="248"/>
      <c r="CZ6"/>
      <c r="DA6" s="730" t="s">
        <v>212</v>
      </c>
      <c r="DB6" s="730"/>
      <c r="DC6" s="730"/>
      <c r="DD6" s="730"/>
      <c r="DE6" s="730"/>
      <c r="DO6" s="1049" t="s">
        <v>320</v>
      </c>
      <c r="DP6" s="1050"/>
      <c r="DQ6" s="1050"/>
      <c r="DR6" s="1050"/>
      <c r="DS6" s="1050"/>
      <c r="DT6" s="1050"/>
      <c r="DU6" s="1050"/>
      <c r="DV6" s="1051"/>
      <c r="DW6" s="1052" t="s">
        <v>320</v>
      </c>
      <c r="DX6" s="1053"/>
      <c r="DY6" s="1053"/>
      <c r="DZ6" s="1053"/>
      <c r="EA6" s="1053"/>
      <c r="EB6" s="1054"/>
      <c r="EC6" s="1055" t="s">
        <v>376</v>
      </c>
      <c r="ED6" s="1056"/>
      <c r="EE6" s="1056"/>
      <c r="EF6" s="1056"/>
      <c r="EG6" s="1056"/>
      <c r="EH6" s="1056"/>
      <c r="EI6" s="1056"/>
      <c r="EJ6" s="1057"/>
      <c r="EK6" s="1058" t="s">
        <v>321</v>
      </c>
      <c r="EL6" s="1059"/>
      <c r="EM6" s="1059"/>
      <c r="EN6" s="1060"/>
      <c r="EO6" s="1058" t="s">
        <v>325</v>
      </c>
      <c r="EP6" s="1059"/>
      <c r="EQ6" s="1059"/>
      <c r="ER6" s="1060"/>
      <c r="ES6" s="873" t="s">
        <v>379</v>
      </c>
      <c r="ET6" s="874"/>
      <c r="EU6" s="874"/>
      <c r="EV6" s="875"/>
      <c r="EW6" s="873" t="s">
        <v>380</v>
      </c>
      <c r="EX6" s="874"/>
      <c r="EY6" s="874"/>
      <c r="EZ6" s="875"/>
      <c r="FA6" s="873" t="s">
        <v>381</v>
      </c>
      <c r="FB6" s="874"/>
      <c r="FC6" s="874"/>
      <c r="FD6" s="875"/>
      <c r="FE6" s="873" t="s">
        <v>382</v>
      </c>
      <c r="FF6" s="874"/>
      <c r="FG6" s="874"/>
      <c r="FH6" s="875"/>
      <c r="FI6" s="883" t="s">
        <v>605</v>
      </c>
      <c r="FJ6" s="884"/>
      <c r="FK6" s="884"/>
      <c r="FL6" s="1061"/>
      <c r="FM6" s="882" t="s">
        <v>381</v>
      </c>
      <c r="FN6" s="882"/>
      <c r="FO6" s="883" t="s">
        <v>632</v>
      </c>
      <c r="FP6" s="884"/>
      <c r="FQ6" s="884"/>
      <c r="FR6" s="885"/>
      <c r="FS6" s="886" t="s">
        <v>622</v>
      </c>
      <c r="FT6" s="887"/>
      <c r="FU6" t="s">
        <v>625</v>
      </c>
      <c r="FV6" s="882" t="s">
        <v>379</v>
      </c>
      <c r="FW6" s="882"/>
      <c r="FX6" s="882" t="s">
        <v>380</v>
      </c>
      <c r="FY6" s="882"/>
      <c r="FZ6" s="882" t="s">
        <v>382</v>
      </c>
      <c r="GA6" s="882"/>
      <c r="GB6" s="882" t="s">
        <v>378</v>
      </c>
      <c r="GC6" s="882"/>
    </row>
    <row r="7" spans="1:185" ht="196" customHeight="1">
      <c r="A7" s="997" t="s">
        <v>288</v>
      </c>
      <c r="B7" s="998"/>
      <c r="C7" s="998"/>
      <c r="D7" s="999"/>
      <c r="E7" s="943"/>
      <c r="F7" s="944"/>
      <c r="G7" s="945"/>
      <c r="H7" s="952" t="s">
        <v>486</v>
      </c>
      <c r="I7" s="937"/>
      <c r="J7" s="939"/>
      <c r="K7" s="328" t="s">
        <v>517</v>
      </c>
      <c r="L7" s="328" t="s">
        <v>518</v>
      </c>
      <c r="M7" s="328" t="s">
        <v>519</v>
      </c>
      <c r="N7" s="889"/>
      <c r="O7" s="889"/>
      <c r="P7" s="889"/>
      <c r="Q7" s="889"/>
      <c r="R7" s="892"/>
      <c r="S7" s="492" t="s">
        <v>738</v>
      </c>
      <c r="T7" s="327" t="s">
        <v>307</v>
      </c>
      <c r="U7" s="327" t="s">
        <v>401</v>
      </c>
      <c r="V7" s="443" t="s">
        <v>439</v>
      </c>
      <c r="W7" s="443" t="s">
        <v>438</v>
      </c>
      <c r="X7" s="444" t="s">
        <v>398</v>
      </c>
      <c r="Y7" s="212" t="s">
        <v>279</v>
      </c>
      <c r="Z7" s="436" t="s">
        <v>280</v>
      </c>
      <c r="AA7" s="300" t="s">
        <v>211</v>
      </c>
      <c r="AB7" t="s">
        <v>136</v>
      </c>
      <c r="AC7" t="s">
        <v>139</v>
      </c>
      <c r="AD7" t="s">
        <v>138</v>
      </c>
      <c r="AE7" t="s">
        <v>137</v>
      </c>
      <c r="AF7" t="s">
        <v>416</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8"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2" t="s">
        <v>231</v>
      </c>
      <c r="CB7" s="234" t="s">
        <v>251</v>
      </c>
      <c r="CC7" s="300"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8" t="s">
        <v>277</v>
      </c>
      <c r="CY7" s="248" t="s">
        <v>269</v>
      </c>
      <c r="CZ7" s="248" t="s">
        <v>270</v>
      </c>
      <c r="DA7" s="248" t="s">
        <v>271</v>
      </c>
      <c r="DB7" s="248" t="s">
        <v>272</v>
      </c>
      <c r="DC7" s="248" t="s">
        <v>273</v>
      </c>
      <c r="DD7" s="248" t="s">
        <v>274</v>
      </c>
      <c r="DE7" s="248" t="s">
        <v>275</v>
      </c>
      <c r="DF7" s="248" t="s">
        <v>276</v>
      </c>
      <c r="DG7" s="248"/>
      <c r="DO7" s="649" t="s">
        <v>720</v>
      </c>
      <c r="DP7" s="300" t="s">
        <v>721</v>
      </c>
      <c r="DQ7" s="703" t="s">
        <v>725</v>
      </c>
      <c r="DR7" s="703" t="s">
        <v>722</v>
      </c>
      <c r="DS7" s="650" t="s">
        <v>727</v>
      </c>
      <c r="DT7" s="650" t="str">
        <f>DP7</f>
        <v>Ulempetillæg på weekenddage - kræver der er sat kryds i weekendarbejde. KOLONNE I</v>
      </c>
      <c r="DU7" s="705" t="s">
        <v>728</v>
      </c>
      <c r="DV7" s="704" t="str">
        <f>DR7</f>
        <v>Ulempetillæg ændringer på weekenddage. Kræver der er sat kryds i ændring i timetal og at det er en weekeend. KOLONNE I OG S</v>
      </c>
      <c r="DW7" s="649" t="s">
        <v>598</v>
      </c>
      <c r="DX7" s="300" t="s">
        <v>596</v>
      </c>
      <c r="DY7" s="300" t="s">
        <v>597</v>
      </c>
      <c r="DZ7" s="650" t="str">
        <f>DW7</f>
        <v>17-06 timer til udbetaling inkl. ændringer 17-06</v>
      </c>
      <c r="EA7" s="650" t="str">
        <f>DX7</f>
        <v>Ulempetillæg på weekenddage</v>
      </c>
      <c r="EB7" s="651" t="str">
        <f>DY7</f>
        <v>Ulempetillæg ændringer på weekenddage</v>
      </c>
      <c r="EC7" s="706" t="s">
        <v>723</v>
      </c>
      <c r="ED7" s="703" t="s">
        <v>724</v>
      </c>
      <c r="EE7" s="703" t="s">
        <v>726</v>
      </c>
      <c r="EF7" s="703" t="s">
        <v>722</v>
      </c>
      <c r="EG7" s="650" t="s">
        <v>727</v>
      </c>
      <c r="EH7" s="705" t="str">
        <f>ED7</f>
        <v>Ulempetillæg på weekenddage til afspadsering. Kræver der er sat kryds i weekendarb. KOLONNE I</v>
      </c>
      <c r="EI7" s="705" t="s">
        <v>728</v>
      </c>
      <c r="EJ7" s="704" t="str">
        <f>EF7</f>
        <v>Ulempetillæg ændringer på weekenddage. Kræver der er sat kryds i ændring i timetal og at det er en weekeend. KOLONNE I OG S</v>
      </c>
      <c r="EK7" s="656" t="s">
        <v>730</v>
      </c>
      <c r="EL7" s="654" t="s">
        <v>729</v>
      </c>
      <c r="EM7" s="655" t="s">
        <v>733</v>
      </c>
      <c r="EN7" s="657" t="s">
        <v>732</v>
      </c>
      <c r="EO7" s="656" t="s">
        <v>730</v>
      </c>
      <c r="EP7" s="654" t="s">
        <v>729</v>
      </c>
      <c r="EQ7" s="655" t="s">
        <v>733</v>
      </c>
      <c r="ER7" s="657" t="s">
        <v>732</v>
      </c>
      <c r="ES7" s="656" t="s">
        <v>734</v>
      </c>
      <c r="ET7" s="654" t="s">
        <v>735</v>
      </c>
      <c r="EU7" s="655" t="s">
        <v>731</v>
      </c>
      <c r="EV7" s="657" t="s">
        <v>736</v>
      </c>
      <c r="EW7" s="656" t="s">
        <v>734</v>
      </c>
      <c r="EX7" s="654" t="s">
        <v>735</v>
      </c>
      <c r="EY7" s="655" t="s">
        <v>731</v>
      </c>
      <c r="EZ7" s="657" t="s">
        <v>736</v>
      </c>
      <c r="FA7" s="656" t="s">
        <v>737</v>
      </c>
      <c r="FB7" s="654" t="s">
        <v>735</v>
      </c>
      <c r="FC7" s="655" t="s">
        <v>731</v>
      </c>
      <c r="FD7" s="657" t="s">
        <v>736</v>
      </c>
      <c r="FE7" s="656" t="str">
        <f>FA7</f>
        <v>Weekendtimer på weekenddage</v>
      </c>
      <c r="FF7" s="654" t="s">
        <v>735</v>
      </c>
      <c r="FG7" s="655" t="s">
        <v>731</v>
      </c>
      <c r="FH7" s="657" t="s">
        <v>736</v>
      </c>
      <c r="FI7" s="682" t="s">
        <v>619</v>
      </c>
      <c r="FJ7" s="654" t="s">
        <v>600</v>
      </c>
      <c r="FK7" s="682" t="s">
        <v>619</v>
      </c>
      <c r="FL7" s="657" t="s">
        <v>600</v>
      </c>
      <c r="FM7" s="683" t="s">
        <v>613</v>
      </c>
      <c r="FN7" s="684" t="s">
        <v>614</v>
      </c>
      <c r="FO7" s="682" t="s">
        <v>599</v>
      </c>
      <c r="FP7" s="654" t="s">
        <v>600</v>
      </c>
      <c r="FQ7" s="686" t="s">
        <v>599</v>
      </c>
      <c r="FR7" s="687" t="s">
        <v>600</v>
      </c>
      <c r="FS7" s="691" t="s">
        <v>621</v>
      </c>
      <c r="FT7" s="684" t="s">
        <v>621</v>
      </c>
      <c r="FU7" s="300" t="s">
        <v>624</v>
      </c>
      <c r="FV7" s="683" t="s">
        <v>626</v>
      </c>
      <c r="FW7" s="683" t="s">
        <v>626</v>
      </c>
      <c r="FX7" s="683" t="s">
        <v>626</v>
      </c>
      <c r="FY7" s="683" t="s">
        <v>626</v>
      </c>
      <c r="FZ7" s="683" t="s">
        <v>615</v>
      </c>
      <c r="GA7" s="684" t="s">
        <v>616</v>
      </c>
      <c r="GB7" s="683" t="s">
        <v>615</v>
      </c>
      <c r="GC7" s="684" t="s">
        <v>616</v>
      </c>
    </row>
    <row r="8" spans="1:185" ht="20" customHeight="1">
      <c r="A8" s="1000"/>
      <c r="B8" s="1001"/>
      <c r="C8" s="1001"/>
      <c r="D8" s="1002"/>
      <c r="E8" s="946"/>
      <c r="F8" s="947"/>
      <c r="G8" s="948"/>
      <c r="H8" s="889"/>
      <c r="I8" s="928" t="s">
        <v>383</v>
      </c>
      <c r="J8" s="936"/>
      <c r="K8" s="928" t="s">
        <v>326</v>
      </c>
      <c r="L8" s="929"/>
      <c r="M8" s="929"/>
      <c r="N8" s="929"/>
      <c r="O8" s="929"/>
      <c r="P8" s="929"/>
      <c r="Q8" s="929"/>
      <c r="R8" s="929"/>
      <c r="S8" s="956" t="s">
        <v>383</v>
      </c>
      <c r="T8" s="929"/>
      <c r="U8" s="936"/>
      <c r="V8" s="1090" t="s">
        <v>384</v>
      </c>
      <c r="W8" s="1091"/>
      <c r="X8" s="1092"/>
      <c r="Y8" s="212"/>
      <c r="Z8" s="436"/>
      <c r="AA8" s="300"/>
      <c r="BB8" s="228"/>
      <c r="CA8" s="112"/>
      <c r="CB8" s="234"/>
      <c r="CC8" s="300"/>
      <c r="CX8" s="248"/>
      <c r="DA8" s="248"/>
      <c r="DB8" s="248"/>
      <c r="DC8" s="248"/>
      <c r="DD8" s="248"/>
      <c r="DE8" s="248"/>
      <c r="DF8" s="248"/>
      <c r="DG8" s="248"/>
      <c r="DH8" t="s">
        <v>493</v>
      </c>
      <c r="DI8" t="s">
        <v>494</v>
      </c>
      <c r="DJ8" t="s">
        <v>495</v>
      </c>
      <c r="DO8" s="652"/>
      <c r="DS8" s="1063" t="s">
        <v>162</v>
      </c>
      <c r="DT8" s="1063"/>
      <c r="DU8" s="1063"/>
      <c r="DV8" s="1064"/>
      <c r="DW8" s="652"/>
      <c r="DZ8" s="1065" t="s">
        <v>162</v>
      </c>
      <c r="EA8" s="1065"/>
      <c r="EB8" s="1066"/>
      <c r="EG8" s="1065" t="s">
        <v>162</v>
      </c>
      <c r="EH8" s="1065"/>
      <c r="EI8" s="1065"/>
      <c r="EJ8" s="653"/>
      <c r="EK8" s="283"/>
      <c r="EL8" s="251"/>
      <c r="EM8" s="876" t="s">
        <v>162</v>
      </c>
      <c r="EN8" s="877"/>
      <c r="EO8" s="283"/>
      <c r="EP8" s="251"/>
      <c r="EQ8" s="876" t="s">
        <v>162</v>
      </c>
      <c r="ER8" s="877"/>
      <c r="ES8" s="283"/>
      <c r="ET8" s="251"/>
      <c r="EU8" s="876" t="s">
        <v>162</v>
      </c>
      <c r="EV8" s="877"/>
      <c r="EW8" s="283"/>
      <c r="EX8" s="251"/>
      <c r="EY8" s="876" t="s">
        <v>162</v>
      </c>
      <c r="EZ8" s="877"/>
      <c r="FA8" s="283"/>
      <c r="FB8" s="251"/>
      <c r="FC8" s="876" t="s">
        <v>162</v>
      </c>
      <c r="FD8" s="877"/>
      <c r="FE8" s="283"/>
      <c r="FF8" s="251"/>
      <c r="FG8" s="876" t="s">
        <v>162</v>
      </c>
      <c r="FH8" s="877"/>
      <c r="FI8" s="283"/>
      <c r="FJ8" s="251"/>
      <c r="FK8" s="876" t="s">
        <v>162</v>
      </c>
      <c r="FL8" s="877"/>
      <c r="FN8" s="645" t="s">
        <v>160</v>
      </c>
      <c r="FO8" s="283"/>
      <c r="FP8" s="251"/>
      <c r="FQ8" s="876" t="s">
        <v>162</v>
      </c>
      <c r="FR8" s="1062"/>
      <c r="FS8" s="283"/>
      <c r="FT8" s="692" t="s">
        <v>160</v>
      </c>
      <c r="FW8" s="645" t="s">
        <v>160</v>
      </c>
      <c r="FY8" s="645" t="s">
        <v>160</v>
      </c>
      <c r="GA8" s="645" t="s">
        <v>160</v>
      </c>
      <c r="GC8" s="645" t="s">
        <v>160</v>
      </c>
    </row>
    <row r="9" spans="1:185">
      <c r="A9" s="245">
        <f>IF(ISNUMBER(A7),A7+1,1)</f>
        <v>1</v>
      </c>
      <c r="B9" s="128" t="str">
        <f t="shared" ref="B9:B38" si="0">CHOOSE(MOD(WEEKDAY(DATE(A$6,A$2,A9)),7)+1,"lø","sø","ma","ti","on","to","fr",)</f>
        <v>sø</v>
      </c>
      <c r="C9" s="129" t="s">
        <v>120</v>
      </c>
      <c r="D9" s="130" t="str">
        <f t="shared" ref="D9:D38" si="1">IF(B9="ma",(DATE(A$6,A$2,A9)-DATE(A$6,1,1)+7)/7,"")</f>
        <v/>
      </c>
      <c r="E9" s="917"/>
      <c r="F9" s="918"/>
      <c r="G9" s="919"/>
      <c r="H9" s="298"/>
      <c r="I9" s="413"/>
      <c r="J9" s="413"/>
      <c r="K9" s="380"/>
      <c r="L9" s="380"/>
      <c r="M9" s="380"/>
      <c r="N9" s="318">
        <f>BA9</f>
        <v>0</v>
      </c>
      <c r="O9" s="318">
        <f>CA9</f>
        <v>0</v>
      </c>
      <c r="P9" s="318">
        <f>IF(Stamoplysninger!$H$29="JA",Juni!DG9,CX9)</f>
        <v>0</v>
      </c>
      <c r="Q9" s="318">
        <f>IF(OR(C9="Lejrskole",C9="Ekskursion"),0,N9-O9-P9)</f>
        <v>0</v>
      </c>
      <c r="R9" s="319"/>
      <c r="S9" s="324"/>
      <c r="T9" s="325"/>
      <c r="U9" s="325"/>
      <c r="V9" s="435"/>
      <c r="W9" s="435"/>
      <c r="X9" s="644"/>
      <c r="Y9">
        <f>IF($S$9="x",V9-N9,0)</f>
        <v>0</v>
      </c>
      <c r="Z9" s="437">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9">
        <f t="shared" ref="BB9:BB38" si="7">SUM(AG9:AK9)*24</f>
        <v>0</v>
      </c>
      <c r="BC9" s="1">
        <f>IF($C$9="Lejrskole",$L$9,0)</f>
        <v>0</v>
      </c>
      <c r="BD9" s="1">
        <f t="shared" ref="BD9:BD38" si="8">IF(C9="Ekskursion",L9,0)</f>
        <v>0</v>
      </c>
      <c r="BE9" s="1">
        <f t="shared" ref="BE9:BE38" si="9">IF(C9="fagdag",L9,0)</f>
        <v>0</v>
      </c>
      <c r="BF9" s="1">
        <f t="shared" ref="BF9:BF38" si="10">IF(C9="emnedag",L9,0)</f>
        <v>0</v>
      </c>
      <c r="BG9" s="210" t="str">
        <f>IF(AND(C9="Skema 1",B9="ma"),Skemaoplysninger!$E$30,"")</f>
        <v/>
      </c>
      <c r="BH9" s="210" t="str">
        <f>IF(AND(C9="Skema 1",B9="ti"),Skemaoplysninger!$G$30,"")</f>
        <v/>
      </c>
      <c r="BI9" s="210" t="str">
        <f>IF(AND(C9="Skema 1",B9="on"),Skemaoplysninger!$I$30,"")</f>
        <v/>
      </c>
      <c r="BJ9" s="210" t="str">
        <f>IF(AND(C9="Skema 1",B9="to"),Skemaoplysninger!$K$30,"")</f>
        <v/>
      </c>
      <c r="BK9" s="210" t="str">
        <f>IF(AND(C9="Skema 1",B9="fr"),Skemaoplysninger!$M$30,"")</f>
        <v/>
      </c>
      <c r="BL9" s="210" t="str">
        <f>IF(AND(C9="Skema 2",B9="ma"),Skemaoplysninger!$S$30,"")</f>
        <v/>
      </c>
      <c r="BM9" s="210" t="str">
        <f>IF(AND(C9="Skema 2",B9="ti"),Skemaoplysninger!$U$30,"")</f>
        <v/>
      </c>
      <c r="BN9" s="210" t="str">
        <f>IF(AND(C9="Skema 2",B9="on"),Skemaoplysninger!$W$30,"")</f>
        <v/>
      </c>
      <c r="BO9" s="210" t="str">
        <f>IF(AND(C9="Skema 2",B9="to"),Skemaoplysninger!$Y$30,"")</f>
        <v/>
      </c>
      <c r="BP9" s="210" t="str">
        <f>IF(AND(C9="Skema 2",B9="fr"),Skemaoplysninger!$AA$30,"")</f>
        <v/>
      </c>
      <c r="BQ9" s="210" t="str">
        <f>IF(AND(C9="Skema 3",B9="ma"),Skemaoplysninger!$AG$30,"")</f>
        <v/>
      </c>
      <c r="BR9" s="210" t="str">
        <f>IF(AND(C9="Skema 3",B9="ti"),Skemaoplysninger!$AI$30,"")</f>
        <v/>
      </c>
      <c r="BS9" s="210" t="str">
        <f>IF(AND(C9="Skema 3",B9="on"),Skemaoplysninger!$AK$30,"")</f>
        <v/>
      </c>
      <c r="BT9" s="210" t="str">
        <f>IF(AND(C9="Skema 3",B9="to"),Skemaoplysninger!$AM$30,"")</f>
        <v/>
      </c>
      <c r="BU9" s="210" t="str">
        <f>IF(AND(C9="Skema 3",B9="fr"),Skemaoplysninger!$AO$30,"")</f>
        <v/>
      </c>
      <c r="BV9" s="210" t="str">
        <f>IF(AND(C9="Skema 4",B9="ma"),Skemaoplysninger!$AU$30,"")</f>
        <v/>
      </c>
      <c r="BW9" s="210" t="str">
        <f>IF(AND(C9="Skema 4",B9="ti"),Skemaoplysninger!$AW$30,"")</f>
        <v/>
      </c>
      <c r="BX9" s="210" t="str">
        <f>IF(AND(C9="Skema 4",B9="on"),Skemaoplysninger!$AY$30,"")</f>
        <v/>
      </c>
      <c r="BY9" s="210" t="str">
        <f>IF(AND(C9="Skema 4",B9="to"),Skemaoplysninger!$BA$30,"")</f>
        <v/>
      </c>
      <c r="BZ9" s="210" t="str">
        <f>IF(AND(C9="Skema 4",B9="fr"),Skemaoplysninger!$BC$30,"")</f>
        <v/>
      </c>
      <c r="CA9" s="1">
        <f>SUM(BG9:BZ9)*24+SUM(BC9:BF9)</f>
        <v>0</v>
      </c>
      <c r="CB9" s="1">
        <f t="shared" ref="CB9:CB38" si="11">IF(C9="fagdag",M9,0)</f>
        <v>0</v>
      </c>
      <c r="CC9" s="1">
        <f t="shared" ref="CC9:CC38" si="12">IF(C9="emnedag",M9,0)</f>
        <v>0</v>
      </c>
      <c r="CD9" s="210" t="str">
        <f>IF(AND(C9="Skema 1",B9="ma"),Skemaoplysninger!$E$31,"")</f>
        <v/>
      </c>
      <c r="CE9" s="210" t="str">
        <f>IF(AND(C9="Skema 1",B9="ti"),Skemaoplysninger!$G$31,"")</f>
        <v/>
      </c>
      <c r="CF9" s="210" t="str">
        <f>IF(AND(C9="Skema 1",B9="on"),Skemaoplysninger!$I$31,"")</f>
        <v/>
      </c>
      <c r="CG9" s="210" t="str">
        <f>IF(AND(C9="Skema 1",B9="to"),Skemaoplysninger!$K$31,"")</f>
        <v/>
      </c>
      <c r="CH9" s="210" t="str">
        <f>IF(AND(C9="Skema 1",B9="fr"),Skemaoplysninger!$M$31,"")</f>
        <v/>
      </c>
      <c r="CI9" s="210" t="str">
        <f>IF(AND(C9="Skema 2",B9="ma"),Skemaoplysninger!$S$31,"")</f>
        <v/>
      </c>
      <c r="CJ9" s="210" t="str">
        <f>IF(AND(C9="Skema 2",B9="ti"),Skemaoplysninger!$U$31,"")</f>
        <v/>
      </c>
      <c r="CK9" s="210" t="str">
        <f>IF(AND(C9="Skema 2",B9="on"),Skemaoplysninger!$W$31,"")</f>
        <v/>
      </c>
      <c r="CL9" s="210" t="str">
        <f>IF(AND(C9="Skema 2",B9="to"),Skemaoplysninger!$Y$31,"")</f>
        <v/>
      </c>
      <c r="CM9" s="210" t="str">
        <f>IF(AND(C9="Skema 2",B9="fr"),Skemaoplysninger!$AA$31,"")</f>
        <v/>
      </c>
      <c r="CN9" s="210" t="str">
        <f>IF(AND(C9="Skema 3",B9="ma"),Skemaoplysninger!$AG$31,"")</f>
        <v/>
      </c>
      <c r="CO9" s="210" t="str">
        <f>IF(AND(C9="Skema 3",B9="ti"),Skemaoplysninger!$AI$31,"")</f>
        <v/>
      </c>
      <c r="CP9" s="210" t="str">
        <f>IF(AND(C9="Skema 3",B9="on"),Skemaoplysninger!$AK$31,"")</f>
        <v/>
      </c>
      <c r="CQ9" s="210" t="str">
        <f>IF(AND(C9="Skema 3",B9="to"),Skemaoplysninger!$AM$31,"")</f>
        <v/>
      </c>
      <c r="CR9" s="210" t="str">
        <f>IF(AND(C9="Skema 3",B9="fr"),Skemaoplysninger!$AO$31,"")</f>
        <v/>
      </c>
      <c r="CS9" s="210" t="str">
        <f>IF(AND(C9="Skema 4",B9="ma"),Skemaoplysninger!$AU$31,"")</f>
        <v/>
      </c>
      <c r="CT9" s="210" t="str">
        <f>IF(AND(C9="Skema 4",B9="ti"),Skemaoplysninger!$AW$31,"")</f>
        <v/>
      </c>
      <c r="CU9" s="210" t="str">
        <f>IF(AND(C9="Skema 4",B9="on"),Skemaoplysninger!$AY$31,"")</f>
        <v/>
      </c>
      <c r="CV9" s="210" t="str">
        <f>IF(AND(C9="Skema 4",B9="to"),Skemaoplysninger!$BA$31,"")</f>
        <v/>
      </c>
      <c r="CW9" s="210" t="str">
        <f>IF(AND(C9="Skema 4",B9="fr"),Skemaoplysninger!$BC$31,"")</f>
        <v/>
      </c>
      <c r="CX9" s="249">
        <f>IF(Stamoplysninger!$H$29="NEJ",SUM(CD9:CW9)*24+CB9+CC9,0)</f>
        <v>0</v>
      </c>
      <c r="CY9" s="249">
        <f>IF(C9="Skema 1",Stamoplysninger!$H$30/200,0)</f>
        <v>0</v>
      </c>
      <c r="CZ9" s="249">
        <f>IF(C9="Skema 2",Stamoplysninger!$H$30/200,0)</f>
        <v>0</v>
      </c>
      <c r="DA9" s="249">
        <f>IF(C9="Skema 3",Stamoplysninger!$H$30/200,0)</f>
        <v>0</v>
      </c>
      <c r="DB9" s="249">
        <f>IF(C9="Skema 4",Stamoplysninger!$H$30/200,0)</f>
        <v>0</v>
      </c>
      <c r="DC9" s="249">
        <f>IF(C9="fagdag",Stamoplysninger!$H$30/200,0)</f>
        <v>0</v>
      </c>
      <c r="DD9" s="249">
        <f>IF(C9="emnedag",Stamoplysninger!$H$30/200,0)</f>
        <v>0</v>
      </c>
      <c r="DE9" s="249">
        <f>IF(C9="lejrskole",Stamoplysninger!$H$30/200,0)</f>
        <v>0</v>
      </c>
      <c r="DF9" s="249">
        <f>IF(C9="ekskursion",Stamoplysninger!$H$30/200,0)</f>
        <v>0</v>
      </c>
      <c r="DG9" s="249">
        <f>SUM(CY9:DF9)</f>
        <v>0</v>
      </c>
      <c r="DH9" t="str">
        <f>IF(AND(E9&gt;0,H9&gt;0),""&amp;E9&amp;" og "&amp;H9&amp;"","")</f>
        <v/>
      </c>
      <c r="DI9">
        <f>IF(H9="",E9,"")</f>
        <v>0</v>
      </c>
      <c r="DJ9">
        <f>IF(E9="",H9,"")</f>
        <v>0</v>
      </c>
      <c r="DK9" t="str">
        <f t="shared" ref="DK9:DM38" si="13">IF(DH9=0,"",DH9)</f>
        <v/>
      </c>
      <c r="DL9" t="str">
        <f>IF(DI9=0,"",DI9)</f>
        <v/>
      </c>
      <c r="DM9" t="str">
        <f>IF(DJ9=0,"",DJ9)</f>
        <v/>
      </c>
      <c r="DN9" t="str">
        <f>DK9&amp;""&amp;DL9&amp;""&amp;DM9</f>
        <v/>
      </c>
      <c r="DO9" s="652">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71">
        <f>IF(AND(Stamoplysninger!$B$22="Ulempetillæg udbetales med 25% af nettotimelønnen.",C9="ikke relevant"),(R9)/4,0)</f>
        <v>0</v>
      </c>
      <c r="DT9" s="671">
        <f>IF(AND(AND(Stamoplysninger!$B$22="Ulempetillæg udbetales med 25% af nettotimelønnen.",I9="X",C9="Ikke relevant")),K9/4,0)</f>
        <v>0</v>
      </c>
      <c r="DU9" s="671">
        <f>IF(AND(AND(Stamoplysninger!$B$22="Ulempetillæg udbetales med 25% af nettotimelønnen.",C9="ikke relevant",U9="X")),(X9/4),0)</f>
        <v>0</v>
      </c>
      <c r="DV9" s="672">
        <f>IF(AND(AND(AND(Stamoplysninger!$B$22="Ulempetillæg udbetales med 25% af nettotimelønnen.",I9="X",C9="Ikke relevant",S9="X"))),V9/4,0)</f>
        <v>0</v>
      </c>
      <c r="DW9" s="652"/>
      <c r="DZ9" s="671"/>
      <c r="EA9" s="671"/>
      <c r="EB9" s="672"/>
      <c r="EC9" s="652">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71">
        <f>IF(AND(Stamoplysninger!$B$22="Ulempetillæg afspadseres med 25%(Kræver en aftale imellem ledelsen og den ansatte)",C9="ikke relevant"),(R9)/4,0)</f>
        <v>0</v>
      </c>
      <c r="EH9" s="671">
        <f>IF(AND(AND(Stamoplysninger!$B$22="Ulempetillæg afspadseres med 25%(Kræver en aftale imellem ledelsen og den ansatte)",I9="X",C9="Ikke relevant")),K9/4,0)</f>
        <v>0</v>
      </c>
      <c r="EI9" s="671">
        <f>IF(AND(AND(Stamoplysninger!$B$22="Ulempetillæg afspadseres med 25%(Kræver en aftale imellem ledelsen og den ansatte)",U9="X",C9="Ikke relevant")),X9/4,0)</f>
        <v>0</v>
      </c>
      <c r="EJ9" s="671">
        <f>IF(AND(AND(AND(Stamoplysninger!$B$22="Ulempetillæg afspadseres med 25%(Kræver en aftale imellem ledelsen og den ansatte)",I9="X",C9="Ikke relevant",S9="X"))),V9/4,0)</f>
        <v>0</v>
      </c>
      <c r="EK9" s="283">
        <f>IF(AND(Stamoplysninger!$B$26="Weekendtimer og weekendtillæg afspadseres.",$I$9="X"),$K$9*1.5,0)</f>
        <v>0</v>
      </c>
      <c r="EL9" s="251">
        <f>IF(AND(AND(Stamoplysninger!$B$26="Weekendtimer og weekendtillæg afspadseres.",$I$9="X",$S$9="X")),$V$9*1.5,0)</f>
        <v>0</v>
      </c>
      <c r="EM9" s="674">
        <f>IF(AND(AND(Stamoplysninger!$B$26="Weekendtimer og weekendtillæg afspadseres.",$I$9="X",$C$9="ikke relevant")),$K$9*1.5,0)</f>
        <v>0</v>
      </c>
      <c r="EN9" s="675">
        <f>IF(AND(AND(AND(Stamoplysninger!$B$26="Weekendtimer og weekendtillæg afspadseres.",$I$9="X",$C$9="ikke relevant",$S$9="X"))),($V$9*1.5),0)</f>
        <v>0</v>
      </c>
      <c r="EO9" s="283">
        <f>IF(AND(Stamoplysninger!$B$26="Weekendtimer og weekendtillæg udbetales.",$I$9="X"),$K$9*1.5,0)</f>
        <v>0</v>
      </c>
      <c r="EP9" s="251">
        <f>IF(AND(AND(Stamoplysninger!$B$26="Weekendtimer og weekendtillæg udbetales.",$I$9="X",$S$9="X")),$V$9*1.5,0)</f>
        <v>0</v>
      </c>
      <c r="EQ9" s="674">
        <f>IF(AND(AND(Stamoplysninger!$B$26="Weekendtimer og weekendtillæg udbetales.",$I$9="X",$C$9="ikke relevant")),$K$9*1.5,0)</f>
        <v>0</v>
      </c>
      <c r="ER9" s="675">
        <f>IF(AND(AND(AND(Stamoplysninger!$B$26="Weekendtimer og weekendtillæg udbetales.",$I$9="X",$C$9="ikke relevant",$S$9="X"))),($V$9*1.5),0)</f>
        <v>0</v>
      </c>
      <c r="ES9" s="283">
        <f>IF(AND(Stamoplysninger!$B$26="Der er indgået lokalaftale omkring weekendtimer.(Kræver aftale med TR/FSL) Weekendtillæg afspadseres.",$I$9="X"),$K$9*0.5,0)</f>
        <v>0</v>
      </c>
      <c r="ET9" s="251">
        <f>IF(AND(AND(Stamoplysninger!$B$26="Der er indgået lokalaftale omkring weekendtimer.(Kræver aftale med TR/FSL) Weekendtillæg afspadseres.",$I$9="X",$S$9="X")),$V$9*0.5,0)</f>
        <v>0</v>
      </c>
      <c r="EU9" s="674">
        <f>IF(AND(AND(Stamoplysninger!$B$26="Der er indgået lokalaftale omkring weekendtimer.(Kræver aftale med TR/FSL) Weekendtillæg afspadseres.",$I$9="X",$C$9="ikke relevant")),$K$9*0.5,0)</f>
        <v>0</v>
      </c>
      <c r="EV9" s="675">
        <f>IF(AND(AND(AND(Stamoplysninger!$B$26="Der er indgået lokalaftale omkring weekendtimer.(Kræver aftale med TR/FSL) Weekendtillæg afspadseres.",$I$9="X",$C$9="ikke relevant",$S$9="X"))),($V$9*0.5),0)</f>
        <v>0</v>
      </c>
      <c r="EW9" s="283">
        <f>IF(AND(Stamoplysninger!$B$26="Der er indgået lokalaftale omkring weekendtimer(Kræver aftale med TR/FSL). Weekendtillæg udbetales.",$I$9="X"),$K$9*0.5,0)</f>
        <v>0</v>
      </c>
      <c r="EX9" s="251">
        <f>IF(AND(AND(Stamoplysninger!$B$26="Der er indgået lokalaftale omkring weekendtimer(Kræver aftale med TR/FSL). Weekendtillæg udbetales.",$I$9="X",$S$9="X")),$V$9*0.5,0)</f>
        <v>0</v>
      </c>
      <c r="EY9" s="674">
        <f>IF(AND(AND(Stamoplysninger!$B$26="Der er indgået lokalaftale omkring weekendtimer(Kræver aftale med TR/FSL). Weekendtillæg udbetales.",$I$9="X",$C$9="ikke relevant")),$K$9*0.5,0)</f>
        <v>0</v>
      </c>
      <c r="EZ9" s="675">
        <f>IF(AND(AND(AND(Stamoplysninger!$B$26="Der er indgået lokalaftale omkring weekendtimer(Kræver aftale med TR/FSL). Weekendtillæg udbetales.",$I$9="X",$C$9="ikke relevant",$S$9="X"))),($V$9*0.5),0)</f>
        <v>0</v>
      </c>
      <c r="FA9" s="283">
        <f>IF(AND(Stamoplysninger!$B$26="Der er indgået lokalaftale omkring weekendtillæg(Kræver aftale med TR/FSL). Weekendtimerne afspadseres.",I9="X"),K9,0)</f>
        <v>0</v>
      </c>
      <c r="FB9" s="251">
        <f>IF(AND(AND(Stamoplysninger!$B$26="Der er indgået lokalaftale omkring weekendtillæg(Kræver aftale med TR/FSL). Weekendtimerne afspadseres.",I9="X",S9="X")),V9,0)</f>
        <v>0</v>
      </c>
      <c r="FC9" s="674">
        <f>IF(AND(AND(Stamoplysninger!$B$26="Der er indgået lokalaftale omkring weekendtillæg(Kræver aftale med TR/FSL). Weekendtimerne afspadseres..",I9="X",C9="ikke relevant")),K9,0)</f>
        <v>0</v>
      </c>
      <c r="FD9" s="675">
        <f>IF(AND(AND(AND(Stamoplysninger!$B$26="Der er indgået lokalaftale omkring weekendtillæg(Kræver aftale med TR/FSL). Weekendtimerne afspadseres.",I9="X",C9="ikke relevant",S9="X"))),(V9),0)</f>
        <v>0</v>
      </c>
      <c r="FE9" s="283">
        <f>IF(AND(Stamoplysninger!$B$26="Der er indgået lokalaftale omkring weekendtillæg(Kræver aftale med TR/FSL). Weekendtimerne udbetales.",I9="X"),K9,0)</f>
        <v>0</v>
      </c>
      <c r="FF9" s="251">
        <f>IF(AND(AND(Stamoplysninger!$B$26="Der er indgået lokalaftale omkring weekendtillæg(Kræver aftale med TR/FSL). Weekendtimerne udbetales.",I9="X",S9="X")),V9,0)</f>
        <v>0</v>
      </c>
      <c r="FG9" s="674">
        <f>IF(AND(AND(Stamoplysninger!$B$26="Der er indgået lokalaftale omkring weekendtillæg(Kræver aftale med TR/FSL). Weekendtimerne udbetales.",I9="X",C9="ikke relevant")),K9,0)</f>
        <v>0</v>
      </c>
      <c r="FH9" s="675">
        <f>IF(AND(AND(AND(Stamoplysninger!$B$26="Der er indgået lokalaftale omkring weekendtillæg(Kræver aftale med TR/FSL). Weekendtimerne udbetales.",I9="X",C9="ikke relevant",S9="X"))),(V9),0)</f>
        <v>0</v>
      </c>
      <c r="FI9" s="283">
        <f>IF(AND(Stamoplysninger!$B$26="Weekendtimer og weekendtillæg afspadseres.",I9="X"),K9,0)</f>
        <v>0</v>
      </c>
      <c r="FJ9" s="251">
        <f>IF(AND(Stamoplysninger!$B$26="Weekendtimer og weekendtillæg afspadseres.",I9="X"),(K9+V9)/2,0)</f>
        <v>0</v>
      </c>
      <c r="FK9" s="674">
        <f>IF(AND(AND(Stamoplysninger!$B$26="Weekendtimer og weekendtillæg afspadseres.",I9="X",C9="ikke relevant")),K9,0)</f>
        <v>0</v>
      </c>
      <c r="FL9" s="675">
        <f>IF(AND(AND(Stamoplysninger!$B$26="Weekendtimer og weekendtillæg afspadseres.",I9="X",C9="ikke relevant")),(K9+V9)/2,0)</f>
        <v>0</v>
      </c>
      <c r="FM9" s="283">
        <f>IF(AND(Stamoplysninger!$B$26="Der er indgået lokalaftale omkring weekendtillæg(Kræver aftale med TR/FSL). Weekendtimerne afspadseres.",I9="X"),K9,0)</f>
        <v>0</v>
      </c>
      <c r="FN9" s="674">
        <f>IF(AND(AND(Stamoplysninger!$B$26="Der er indgået lokalaftale omkring weekendtillæg(Kræver aftale med TR/FSL). Weekendtimerne afspadseres.",I9="X",C9="ikke relevant")),K9,0)</f>
        <v>0</v>
      </c>
      <c r="FO9" s="283">
        <f>IF(AND(Stamoplysninger!$B$26="Weekendtimer og weekendtillæg udbetales.",I9="X"),K9,0)</f>
        <v>0</v>
      </c>
      <c r="FP9" s="251">
        <f>IF(AND(Stamoplysninger!$B$26="Weekendtimer og weekendtillæg udbetales.",AA9="X"),(AC9+AN9)/2,0)</f>
        <v>0</v>
      </c>
      <c r="FQ9" s="674">
        <f>IF(AND(AND(Stamoplysninger!$B$26="Weekendtimer og weekendtillæg udbetales.",I9="X",C9="ikke relevant")),K9,0)</f>
        <v>0</v>
      </c>
      <c r="FR9" s="688">
        <f>IF(AND(AND(Stamoplysninger!$B$26="Weekendtimer og weekendtillæg udbetales.",AA9="X",U9="ikke relevant")),(AC9+AN9)/2,0)</f>
        <v>0</v>
      </c>
      <c r="FS9" s="283">
        <f t="shared" ref="FS9:FS37" si="14">IF(AND(I9="X",S9="X"),V9,0)</f>
        <v>0</v>
      </c>
      <c r="FT9" s="658">
        <f t="shared" ref="FT9:FT37" si="15">IF(AND(AND(C9="ikke relevant",I9="X",S9="X")),V9,0)</f>
        <v>0</v>
      </c>
      <c r="FU9">
        <f t="shared" ref="FU9:FU28" si="16">IF(AND(C9="weekend",I9="X"),K9,0)</f>
        <v>0</v>
      </c>
      <c r="FV9" s="283">
        <f>IF(AND(Stamoplysninger!$B$26="Der er indgået lokalaftale omkring weekendtimer.(Kræver aftale med TR/FSL) Weekendtillæg afspadseres.",I9="X"),K9,0)</f>
        <v>0</v>
      </c>
      <c r="FW9" s="674">
        <f>IF(AND(AND(Stamoplysninger!$B$26="Der er indgået lokalaftale omkring weekendtimer.(Kræver aftale med TR/FSL) Weekendtillæg afspadseres.",I9="X",C9="ikke relevant")),K9,0)</f>
        <v>0</v>
      </c>
      <c r="FX9" s="283">
        <f>IF(AND(Stamoplysninger!$B$26="Der er indgået lokalaftale omkring weekendtimer(Kræver aftale med TR/FSL). Weekendtillæg udbetales.",I9="X"),K9,0)</f>
        <v>0</v>
      </c>
      <c r="FY9" s="674">
        <f>IF(AND(AND(Stamoplysninger!$B$26="Der er indgået lokalaftale omkring weekendtimer(Kræver aftale med TR/FSL). Weekendtillæg udbetales.",I9="X",C9="ikke relevant")),K9,0)</f>
        <v>0</v>
      </c>
      <c r="FZ9" s="283">
        <f>IF(AND(Stamoplysninger!$B$26="Der er indgået lokalaftale omkring weekendtillæg(Kræver aftale med TR/FSL). Weekendtimerne udbetales.",I9="X"),K9,0)</f>
        <v>0</v>
      </c>
      <c r="GA9" s="674">
        <f>IF(AND(AND(Stamoplysninger!$B$26="Der er indgået lokalaftale omkring weekendtillæg(Kræver aftale med TR/FSL). Weekendtimerne udbetales.",I9="X",C9="ikke relevant")),K9,0)</f>
        <v>0</v>
      </c>
      <c r="GB9" s="283">
        <f>IF(AND(Stamoplysninger!$B$26="Der er indgået lokalaftale omkring weekendtimer og weekendtillæg.(Kræver aftale med TR/FSL).",I9="X"),K9,0)</f>
        <v>0</v>
      </c>
      <c r="GC9" s="674">
        <f>IF(AND(AND(Stamoplysninger!$B$26="Der er indgået lokalaftale omkring weekendtimer og weekendtillæg.(Kræver aftale med TR/FSL).",I9="X",C9="ikke relevant")),K9,0)</f>
        <v>0</v>
      </c>
    </row>
    <row r="10" spans="1:185">
      <c r="A10" s="245">
        <f t="shared" ref="A10:A38" si="17">IF(ISNUMBER(A9),A9+1,1)</f>
        <v>2</v>
      </c>
      <c r="B10" s="128" t="str">
        <f t="shared" si="0"/>
        <v>ma</v>
      </c>
      <c r="C10" s="129" t="s">
        <v>207</v>
      </c>
      <c r="D10" s="130">
        <f t="shared" si="1"/>
        <v>22.714285714285715</v>
      </c>
      <c r="E10" s="917"/>
      <c r="F10" s="918"/>
      <c r="G10" s="919"/>
      <c r="H10" s="298"/>
      <c r="I10" s="527"/>
      <c r="J10" s="413"/>
      <c r="K10" s="380"/>
      <c r="L10" s="380"/>
      <c r="M10" s="380"/>
      <c r="N10" s="318">
        <f t="shared" ref="N10:N38" si="18">BA10</f>
        <v>7.75</v>
      </c>
      <c r="O10" s="318">
        <f t="shared" ref="O10:O38" si="19">CA10</f>
        <v>3.4999999999999996</v>
      </c>
      <c r="P10" s="318">
        <f>IF(Stamoplysninger!$H$29="JA",Juni!DG10,CX10)</f>
        <v>1</v>
      </c>
      <c r="Q10" s="318">
        <f t="shared" ref="Q10:Q38" si="20">IF(OR(C10="Lejrskole",C10="Ekskursion"),0,N10-O10-P10)</f>
        <v>3.25</v>
      </c>
      <c r="R10" s="319"/>
      <c r="S10" s="324"/>
      <c r="T10" s="325"/>
      <c r="U10" s="325"/>
      <c r="V10" s="435"/>
      <c r="W10" s="435"/>
      <c r="X10" s="644"/>
      <c r="Y10">
        <f t="shared" ref="Y10:Y38" si="21">IF(S10="x",V10-N10,0)</f>
        <v>0</v>
      </c>
      <c r="Z10" s="437">
        <f t="shared" ref="Z10:Z38" si="22">W10</f>
        <v>0</v>
      </c>
      <c r="AA10" s="1">
        <f t="shared" si="2"/>
        <v>0</v>
      </c>
      <c r="AB10" s="1">
        <f t="shared" si="3"/>
        <v>0</v>
      </c>
      <c r="AC10" s="1">
        <f t="shared" si="4"/>
        <v>0</v>
      </c>
      <c r="AD10" s="1">
        <f t="shared" si="5"/>
        <v>0</v>
      </c>
      <c r="AE10" s="1">
        <f t="shared" si="6"/>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f>IF(AND(C10="Skema 2",B10="ma"),Arbejdstidsoversigt!$E$81,"")</f>
        <v>7.75</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8" si="23">SUM(AA10:AZ10)</f>
        <v>7.75</v>
      </c>
      <c r="BB10" s="229">
        <f t="shared" si="7"/>
        <v>0</v>
      </c>
      <c r="BC10" s="1">
        <f t="shared" ref="BC10:BC38" si="24">IF(C10="Lejrskole",L10,0)</f>
        <v>0</v>
      </c>
      <c r="BD10" s="1">
        <f t="shared" si="8"/>
        <v>0</v>
      </c>
      <c r="BE10" s="1">
        <f t="shared" si="9"/>
        <v>0</v>
      </c>
      <c r="BF10" s="1">
        <f t="shared" si="10"/>
        <v>0</v>
      </c>
      <c r="BG10" s="210" t="str">
        <f>IF(AND(C10="Skema 1",B10="ma"),Skemaoplysninger!$E$30,"")</f>
        <v/>
      </c>
      <c r="BH10" s="210" t="str">
        <f>IF(AND(C10="Skema 1",B10="ti"),Skemaoplysninger!$G$30,"")</f>
        <v/>
      </c>
      <c r="BI10" s="210" t="str">
        <f>IF(AND(C10="Skema 1",B10="on"),Skemaoplysninger!$I$30,"")</f>
        <v/>
      </c>
      <c r="BJ10" s="210" t="str">
        <f>IF(AND(C10="Skema 1",B10="to"),Skemaoplysninger!$K$30,"")</f>
        <v/>
      </c>
      <c r="BK10" s="210" t="str">
        <f>IF(AND(C10="Skema 1",B10="fr"),Skemaoplysninger!$M$30,"")</f>
        <v/>
      </c>
      <c r="BL10" s="210">
        <f>IF(AND(C10="Skema 2",B10="ma"),Skemaoplysninger!$S$30,"")</f>
        <v>0.14583333333333331</v>
      </c>
      <c r="BM10" s="210" t="str">
        <f>IF(AND(C10="Skema 2",B10="ti"),Skemaoplysninger!$U$30,"")</f>
        <v/>
      </c>
      <c r="BN10" s="210" t="str">
        <f>IF(AND(C10="Skema 2",B10="on"),Skemaoplysninger!$W$30,"")</f>
        <v/>
      </c>
      <c r="BO10" s="210" t="str">
        <f>IF(AND(C10="Skema 2",B10="to"),Skemaoplysninger!$Y$30,"")</f>
        <v/>
      </c>
      <c r="BP10" s="210" t="str">
        <f>IF(AND(C10="Skema 2",B10="fr"),Skemaoplysninger!$AA$30,"")</f>
        <v/>
      </c>
      <c r="BQ10" s="210" t="str">
        <f>IF(AND(C10="Skema 3",B10="ma"),Skemaoplysninger!$AG$30,"")</f>
        <v/>
      </c>
      <c r="BR10" s="210" t="str">
        <f>IF(AND(C10="Skema 3",B10="ti"),Skemaoplysninger!$AI$30,"")</f>
        <v/>
      </c>
      <c r="BS10" s="210" t="str">
        <f>IF(AND(C10="Skema 3",B10="on"),Skemaoplysninger!$AK$30,"")</f>
        <v/>
      </c>
      <c r="BT10" s="210" t="str">
        <f>IF(AND(C10="Skema 3",B10="to"),Skemaoplysninger!$AM$30,"")</f>
        <v/>
      </c>
      <c r="BU10" s="210" t="str">
        <f>IF(AND(C10="Skema 3",B10="fr"),Skemaoplysninger!$AO$30,"")</f>
        <v/>
      </c>
      <c r="BV10" s="210" t="str">
        <f>IF(AND(C10="Skema 4",B10="ma"),Skemaoplysninger!$AU$30,"")</f>
        <v/>
      </c>
      <c r="BW10" s="210" t="str">
        <f>IF(AND(C10="Skema 4",B10="ti"),Skemaoplysninger!$AW$30,"")</f>
        <v/>
      </c>
      <c r="BX10" s="210" t="str">
        <f>IF(AND(C10="Skema 4",B10="on"),Skemaoplysninger!$AY$30,"")</f>
        <v/>
      </c>
      <c r="BY10" s="210" t="str">
        <f>IF(AND(C10="Skema 4",B10="to"),Skemaoplysninger!$BA$30,"")</f>
        <v/>
      </c>
      <c r="BZ10" s="210" t="str">
        <f>IF(AND(C10="Skema 4",B10="fr"),Skemaoplysninger!$BC$30,"")</f>
        <v/>
      </c>
      <c r="CA10" s="1">
        <f t="shared" ref="CA10:CA38" si="25">SUM(BG10:BZ10)*24+SUM(BC10:BF10)</f>
        <v>3.4999999999999996</v>
      </c>
      <c r="CB10" s="1">
        <f t="shared" si="11"/>
        <v>0</v>
      </c>
      <c r="CC10" s="1">
        <f t="shared" si="12"/>
        <v>0</v>
      </c>
      <c r="CD10" s="210" t="str">
        <f>IF(AND(C10="Skema 1",B10="ma"),Skemaoplysninger!$E$31,"")</f>
        <v/>
      </c>
      <c r="CE10" s="210" t="str">
        <f>IF(AND(C10="Skema 1",B10="ti"),Skemaoplysninger!$G$31,"")</f>
        <v/>
      </c>
      <c r="CF10" s="210" t="str">
        <f>IF(AND(C10="Skema 1",B10="on"),Skemaoplysninger!$I$31,"")</f>
        <v/>
      </c>
      <c r="CG10" s="210" t="str">
        <f>IF(AND(C10="Skema 1",B10="to"),Skemaoplysninger!$K$31,"")</f>
        <v/>
      </c>
      <c r="CH10" s="210" t="str">
        <f>IF(AND(C10="Skema 1",B10="fr"),Skemaoplysninger!$M$31,"")</f>
        <v/>
      </c>
      <c r="CI10" s="210">
        <f>IF(AND(C10="Skema 2",B10="ma"),Skemaoplysninger!$S$31,"")</f>
        <v>4.1666666666666671E-2</v>
      </c>
      <c r="CJ10" s="210" t="str">
        <f>IF(AND(C10="Skema 2",B10="ti"),Skemaoplysninger!$U$31,"")</f>
        <v/>
      </c>
      <c r="CK10" s="210" t="str">
        <f>IF(AND(C10="Skema 2",B10="on"),Skemaoplysninger!$W$31,"")</f>
        <v/>
      </c>
      <c r="CL10" s="210" t="str">
        <f>IF(AND(C10="Skema 2",B10="to"),Skemaoplysninger!$Y$31,"")</f>
        <v/>
      </c>
      <c r="CM10" s="210" t="str">
        <f>IF(AND(C10="Skema 2",B10="fr"),Skemaoplysninger!$AA$31,"")</f>
        <v/>
      </c>
      <c r="CN10" s="210" t="str">
        <f>IF(AND(C10="Skema 3",B10="ma"),Skemaoplysninger!$AG$31,"")</f>
        <v/>
      </c>
      <c r="CO10" s="210" t="str">
        <f>IF(AND(C10="Skema 3",B10="ti"),Skemaoplysninger!$AI$31,"")</f>
        <v/>
      </c>
      <c r="CP10" s="210" t="str">
        <f>IF(AND(C10="Skema 3",B10="on"),Skemaoplysninger!$AK$31,"")</f>
        <v/>
      </c>
      <c r="CQ10" s="210" t="str">
        <f>IF(AND(C10="Skema 3",B10="to"),Skemaoplysninger!$AM$31,"")</f>
        <v/>
      </c>
      <c r="CR10" s="210" t="str">
        <f>IF(AND(C10="Skema 3",B10="fr"),Skemaoplysninger!$AO$31,"")</f>
        <v/>
      </c>
      <c r="CS10" s="210" t="str">
        <f>IF(AND(C10="Skema 4",B10="ma"),Skemaoplysninger!$AU$31,"")</f>
        <v/>
      </c>
      <c r="CT10" s="210" t="str">
        <f>IF(AND(C10="Skema 4",B10="ti"),Skemaoplysninger!$AW$31,"")</f>
        <v/>
      </c>
      <c r="CU10" s="210" t="str">
        <f>IF(AND(C10="Skema 4",B10="on"),Skemaoplysninger!$AY$31,"")</f>
        <v/>
      </c>
      <c r="CV10" s="210" t="str">
        <f>IF(AND(C10="Skema 4",B10="to"),Skemaoplysninger!$BA$31,"")</f>
        <v/>
      </c>
      <c r="CW10" s="210" t="str">
        <f>IF(AND(C10="Skema 4",B10="fr"),Skemaoplysninger!$BC$31,"")</f>
        <v/>
      </c>
      <c r="CX10" s="249">
        <f>IF(Stamoplysninger!$H$29="NEJ",SUM(CD10:CW10)*24+CB10+CC10,0)</f>
        <v>1</v>
      </c>
      <c r="CY10" s="249">
        <f>IF(C10="Skema 1",Stamoplysninger!$H$30/200,0)</f>
        <v>0</v>
      </c>
      <c r="CZ10" s="249">
        <f>IF(C10="Skema 2",Stamoplysninger!$H$30/200,0)</f>
        <v>0</v>
      </c>
      <c r="DA10" s="249">
        <f>IF(C10="Skema 3",Stamoplysninger!$H$30/200,0)</f>
        <v>0</v>
      </c>
      <c r="DB10" s="249">
        <f>IF(C10="Skema 4",Stamoplysninger!$H$30/200,0)</f>
        <v>0</v>
      </c>
      <c r="DC10" s="249">
        <f>IF(C10="fagdag",Stamoplysninger!$H$30/200,0)</f>
        <v>0</v>
      </c>
      <c r="DD10" s="249">
        <f>IF(C10="emnedag",Stamoplysninger!$H$30/200,0)</f>
        <v>0</v>
      </c>
      <c r="DE10" s="249">
        <f>IF(C10="lejrskole",Stamoplysninger!$H$30/200,0)</f>
        <v>0</v>
      </c>
      <c r="DF10" s="249">
        <f>IF(C10="ekskursion",Stamoplysninger!$H$30/200,0)</f>
        <v>0</v>
      </c>
      <c r="DG10" s="249">
        <f t="shared" ref="DG10:DG38" si="26">SUM(CY10:DF10)</f>
        <v>0</v>
      </c>
      <c r="DH10" t="str">
        <f t="shared" ref="DH10:DH38" si="27">IF(AND(E10&gt;0,H10&gt;0),""&amp;E10&amp;" og "&amp;H10&amp;"","")</f>
        <v/>
      </c>
      <c r="DI10">
        <f t="shared" ref="DI10:DI38" si="28">IF(H10="",E10,"")</f>
        <v>0</v>
      </c>
      <c r="DJ10">
        <f t="shared" ref="DJ10:DJ38" si="29">IF(E10="",H10,"")</f>
        <v>0</v>
      </c>
      <c r="DK10" t="str">
        <f t="shared" si="13"/>
        <v/>
      </c>
      <c r="DL10" t="str">
        <f t="shared" si="13"/>
        <v/>
      </c>
      <c r="DM10" t="str">
        <f t="shared" si="13"/>
        <v/>
      </c>
      <c r="DN10" t="str">
        <f t="shared" ref="DN10:DN38" si="30">DK10&amp;""&amp;DL10&amp;""&amp;DM10</f>
        <v/>
      </c>
      <c r="DO10" s="652">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71">
        <f>IF(AND(Stamoplysninger!$B$22="Ulempetillæg udbetales med 25% af nettotimelønnen.",C10="ikke relevant"),(R10)/4,0)</f>
        <v>0</v>
      </c>
      <c r="DT10" s="671">
        <f>IF(AND(AND(Stamoplysninger!$B$22="Ulempetillæg udbetales med 25% af nettotimelønnen.",I10="X",C10="Ikke relevant")),K10/4,0)</f>
        <v>0</v>
      </c>
      <c r="DU10" s="671">
        <f>IF(AND(AND(Stamoplysninger!$B$22="Ulempetillæg udbetales med 25% af nettotimelønnen.",C10="ikke relevant",U10="X")),(X10/4),0)</f>
        <v>0</v>
      </c>
      <c r="DV10" s="672">
        <f>IF(AND(AND(AND(Stamoplysninger!$B$22="Ulempetillæg udbetales med 25% af nettotimelønnen.",I10="X",C10="Ikke relevant",S10="X"))),V10/4,0)</f>
        <v>0</v>
      </c>
      <c r="DW10" s="652"/>
      <c r="DZ10" s="671"/>
      <c r="EA10" s="671"/>
      <c r="EB10" s="672"/>
      <c r="EC10" s="652">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71">
        <f>IF(AND(Stamoplysninger!$B$22="Ulempetillæg afspadseres med 25%(Kræver en aftale imellem ledelsen og den ansatte)",C10="ikke relevant"),(R10)/4,0)</f>
        <v>0</v>
      </c>
      <c r="EH10" s="671">
        <f>IF(AND(AND(Stamoplysninger!$B$22="Ulempetillæg afspadseres med 25%(Kræver en aftale imellem ledelsen og den ansatte)",I10="X",C10="Ikke relevant")),K10/4,0)</f>
        <v>0</v>
      </c>
      <c r="EI10" s="671">
        <f>IF(AND(AND(Stamoplysninger!$B$22="Ulempetillæg afspadseres med 25%(Kræver en aftale imellem ledelsen og den ansatte)",U10="X",C10="Ikke relevant")),X10/4,0)</f>
        <v>0</v>
      </c>
      <c r="EJ10" s="671">
        <f>IF(AND(AND(AND(Stamoplysninger!$B$22="Ulempetillæg afspadseres med 25%(Kræver en aftale imellem ledelsen og den ansatte)",I10="X",C10="Ikke relevant",S10="X"))),V10/4,0)</f>
        <v>0</v>
      </c>
      <c r="EK10" s="283">
        <f>IF(AND(Stamoplysninger!$B$26="Weekendtimer og weekendtillæg afspadseres.",I10="X"),K10*1.5,0)</f>
        <v>0</v>
      </c>
      <c r="EL10" s="251">
        <f>IF(AND(AND(Stamoplysninger!$B$26="Weekendtimer og weekendtillæg afspadseres.",I10="X",S10="X")),V10*1.5,0)</f>
        <v>0</v>
      </c>
      <c r="EM10" s="674">
        <f>IF(AND(AND(Stamoplysninger!$B$26="Weekendtimer og weekendtillæg afspadseres.",I10="X",C10="ikke relevant")),K10*1.5,0)</f>
        <v>0</v>
      </c>
      <c r="EN10" s="675">
        <f>IF(AND(AND(AND(Stamoplysninger!$B$26="Weekendtimer og weekendtillæg afspadseres.",I10="X",C10="ikke relevant",S10="X"))),(V10*1.5),0)</f>
        <v>0</v>
      </c>
      <c r="EO10" s="283">
        <f>IF(AND(Stamoplysninger!$B$26="Weekendtimer og weekendtillæg udbetales.",I10="X"),K10*1.5,0)</f>
        <v>0</v>
      </c>
      <c r="EP10" s="251">
        <f>IF(AND(AND(Stamoplysninger!$B$26="Weekendtimer og weekendtillæg udbetales.",I10="X",S10="X")),V10*1.5,0)</f>
        <v>0</v>
      </c>
      <c r="EQ10" s="674">
        <f>IF(AND(AND(Stamoplysninger!$B$26="Weekendtimer og weekendtillæg udbetales.",I10="X",C10="ikke relevant")),K10*1.5,0)</f>
        <v>0</v>
      </c>
      <c r="ER10" s="675">
        <f>IF(AND(AND(AND(Stamoplysninger!$B$26="Weekendtimer og weekendtillæg udbetales.",I10="X",C10="ikke relevant",S10="X"))),(V10*1.5),0)</f>
        <v>0</v>
      </c>
      <c r="ES10" s="283">
        <f>IF(AND(Stamoplysninger!$B$26="Der er indgået lokalaftale omkring weekendtimer.(Kræver aftale med TR/FSL) Weekendtillæg afspadseres.",I10="X"),K10*0.5,0)</f>
        <v>0</v>
      </c>
      <c r="ET10" s="251">
        <f>IF(AND(AND(Stamoplysninger!$B$26="Der er indgået lokalaftale omkring weekendtimer.(Kræver aftale med TR/FSL) Weekendtillæg afspadseres.",I10="X",S10="X")),V10*0.5,0)</f>
        <v>0</v>
      </c>
      <c r="EU10" s="674">
        <f>IF(AND(AND(Stamoplysninger!$B$26="Der er indgået lokalaftale omkring weekendtimer.(Kræver aftale med TR/FSL) Weekendtillæg afspadseres.",I10="X",C10="ikke relevant")),K10*0.5,0)</f>
        <v>0</v>
      </c>
      <c r="EV10" s="675">
        <f>IF(AND(AND(AND(Stamoplysninger!$B$26="Der er indgået lokalaftale omkring weekendtimer.(Kræver aftale med TR/FSL) Weekendtillæg afspadseres.",I10="X",C10="ikke relevant",S10="X"))),(V10*0.5),0)</f>
        <v>0</v>
      </c>
      <c r="EW10" s="283">
        <f>IF(AND(Stamoplysninger!$B$26="Der er indgået lokalaftale omkring weekendtimer(Kræver aftale med TR/FSL). Weekendtillæg udbetales.",I10="X"),K10*0.5,0)</f>
        <v>0</v>
      </c>
      <c r="EX10" s="251">
        <f>IF(AND(AND(Stamoplysninger!$B$26="Der er indgået lokalaftale omkring weekendtimer(Kræver aftale med TR/FSL). Weekendtillæg udbetales.",I10="X",S10="X")),V10*0.5,0)</f>
        <v>0</v>
      </c>
      <c r="EY10" s="674">
        <f>IF(AND(AND(Stamoplysninger!$B$26="Der er indgået lokalaftale omkring weekendtimer(Kræver aftale med TR/FSL). Weekendtillæg udbetales.",I10="X",C10="ikke relevant")),K10*0.5,0)</f>
        <v>0</v>
      </c>
      <c r="EZ10" s="675">
        <f>IF(AND(AND(AND(Stamoplysninger!$B$26="Der er indgået lokalaftale omkring weekendtimer(Kræver aftale med TR/FSL). Weekendtillæg udbetales.",I10="X",C10="ikke relevant",S10="X"))),(V10*0.5),0)</f>
        <v>0</v>
      </c>
      <c r="FA10" s="283">
        <f>IF(AND(Stamoplysninger!$B$26="Der er indgået lokalaftale omkring weekendtillæg(Kræver aftale med TR/FSL). Weekendtimerne afspadseres.",I10="X"),K10,0)</f>
        <v>0</v>
      </c>
      <c r="FB10" s="251">
        <f>IF(AND(AND(Stamoplysninger!$B$26="Der er indgået lokalaftale omkring weekendtillæg(Kræver aftale med TR/FSL). Weekendtimerne afspadseres.",I10="X",S10="X")),V10,0)</f>
        <v>0</v>
      </c>
      <c r="FC10" s="674">
        <f>IF(AND(AND(Stamoplysninger!$B$26="Der er indgået lokalaftale omkring weekendtillæg(Kræver aftale med TR/FSL). Weekendtimerne afspadseres..",I10="X",C10="ikke relevant")),K10,0)</f>
        <v>0</v>
      </c>
      <c r="FD10" s="675">
        <f>IF(AND(AND(AND(Stamoplysninger!$B$26="Der er indgået lokalaftale omkring weekendtillæg(Kræver aftale med TR/FSL). Weekendtimerne afspadseres.",I10="X",C10="ikke relevant",S10="X"))),(V10),0)</f>
        <v>0</v>
      </c>
      <c r="FE10" s="283">
        <f>IF(AND(Stamoplysninger!$B$26="Der er indgået lokalaftale omkring weekendtillæg(Kræver aftale med TR/FSL). Weekendtimerne udbetales.",I10="X"),K10,0)</f>
        <v>0</v>
      </c>
      <c r="FF10" s="251">
        <f>IF(AND(AND(Stamoplysninger!$B$26="Der er indgået lokalaftale omkring weekendtillæg(Kræver aftale med TR/FSL). Weekendtimerne udbetales.",I10="X",S10="X")),V10,0)</f>
        <v>0</v>
      </c>
      <c r="FG10" s="674">
        <f>IF(AND(AND(Stamoplysninger!$B$26="Der er indgået lokalaftale omkring weekendtillæg(Kræver aftale med TR/FSL). Weekendtimerne udbetales.",I10="X",C10="ikke relevant")),K10,0)</f>
        <v>0</v>
      </c>
      <c r="FH10" s="675">
        <f>IF(AND(AND(AND(Stamoplysninger!$B$26="Der er indgået lokalaftale omkring weekendtillæg(Kræver aftale med TR/FSL). Weekendtimerne udbetales.",I10="X",C10="ikke relevant",S10="X"))),(V10),0)</f>
        <v>0</v>
      </c>
      <c r="FI10" s="283">
        <f>IF(AND(Stamoplysninger!$B$26="Weekendtimer og weekendtillæg afspadseres.",I10="X"),K10,0)</f>
        <v>0</v>
      </c>
      <c r="FJ10" s="251">
        <f>IF(AND(Stamoplysninger!$B$26="Weekendtimer og weekendtillæg afspadseres.",Y10="X"),(AA10+AL10)/2,0)</f>
        <v>0</v>
      </c>
      <c r="FK10" s="674">
        <f>IF(AND(AND(Stamoplysninger!$B$26="Weekendtimer og weekendtillæg afspadseres.",I10="X",C10="ikke relevant")),K10,0)</f>
        <v>0</v>
      </c>
      <c r="FL10" s="675">
        <f>IF(AND(AND(Stamoplysninger!$B$26="Weekendtimer og weekendtillæg afspadseres.",Y10="X",S10="ikke relevant")),(AA10+AL10)/2,0)</f>
        <v>0</v>
      </c>
      <c r="FM10" s="283">
        <f>IF(AND(Stamoplysninger!$B$26="Der er indgået lokalaftale omkring weekendtillæg(Kræver aftale med TR/FSL). Weekendtimerne afspadseres.",I10="X"),K10,0)</f>
        <v>0</v>
      </c>
      <c r="FN10" s="674">
        <f>IF(AND(AND(Stamoplysninger!$B$26="Der er indgået lokalaftale omkring weekendtillæg(Kræver aftale med TR/FSL). Weekendtimerne afspadseres.",I10="X",C10="ikke relevant")),K10,0)</f>
        <v>0</v>
      </c>
      <c r="FO10" s="283">
        <f>IF(AND(Stamoplysninger!$B$26="Weekendtimer og weekendtillæg udbetales.",I10="X"),K10,0)</f>
        <v>0</v>
      </c>
      <c r="FP10" s="251">
        <f>IF(AND(Stamoplysninger!$B$26="Weekendtimer og weekendtillæg udbetales.",AA10="X"),(AC10+AN10)/2,0)</f>
        <v>0</v>
      </c>
      <c r="FQ10" s="674">
        <f>IF(AND(AND(Stamoplysninger!$B$26="Weekendtimer og weekendtillæg udbetales.",I10="X",C10="ikke relevant")),K10,0)</f>
        <v>0</v>
      </c>
      <c r="FR10" s="688">
        <f>IF(AND(AND(Stamoplysninger!$B$26="Weekendtimer og weekendtillæg udbetales.",AA10="X",U10="ikke relevant")),(AC10+AN10)/2,0)</f>
        <v>0</v>
      </c>
      <c r="FS10" s="283">
        <f t="shared" si="14"/>
        <v>0</v>
      </c>
      <c r="FT10" s="658">
        <f t="shared" si="15"/>
        <v>0</v>
      </c>
      <c r="FU10">
        <f t="shared" si="16"/>
        <v>0</v>
      </c>
      <c r="FV10" s="283">
        <f>IF(AND(Stamoplysninger!$B$26="Der er indgået lokalaftale omkring weekendtimer.(Kræver aftale med TR/FSL) Weekendtillæg afspadseres.",I10="X"),K10,0)</f>
        <v>0</v>
      </c>
      <c r="FW10" s="674">
        <f>IF(AND(AND(Stamoplysninger!$B$26="Der er indgået lokalaftale omkring weekendtimer.(Kræver aftale med TR/FSL) Weekendtillæg afspadseres.",I10="X",C10="ikke relevant")),K10,0)</f>
        <v>0</v>
      </c>
      <c r="FX10" s="283">
        <f>IF(AND(Stamoplysninger!$B$26="Der er indgået lokalaftale omkring weekendtimer(Kræver aftale med TR/FSL). Weekendtillæg udbetales.",I10="X"),K10,0)</f>
        <v>0</v>
      </c>
      <c r="FY10" s="674">
        <f>IF(AND(AND(Stamoplysninger!$B$26="Der er indgået lokalaftale omkring weekendtimer(Kræver aftale med TR/FSL). Weekendtillæg udbetales.",I10="X",C10="ikke relevant")),K10,0)</f>
        <v>0</v>
      </c>
      <c r="FZ10" s="283">
        <f>IF(AND(Stamoplysninger!$B$26="Der er indgået lokalaftale omkring weekendtillæg(Kræver aftale med TR/FSL). Weekendtimerne udbetales.",I10="X"),K10,0)</f>
        <v>0</v>
      </c>
      <c r="GA10" s="674">
        <f>IF(AND(AND(Stamoplysninger!$B$26="Der er indgået lokalaftale omkring weekendtillæg(Kræver aftale med TR/FSL). Weekendtimerne udbetales.",I10="X",C10="ikke relevant")),K10,0)</f>
        <v>0</v>
      </c>
      <c r="GB10" s="283">
        <f>IF(AND(Stamoplysninger!$B$26="Der er indgået lokalaftale omkring weekendtimer og weekendtillæg.(Kræver aftale med TR/FSL).",I10="X"),K10,0)</f>
        <v>0</v>
      </c>
      <c r="GC10" s="674">
        <f>IF(AND(AND(Stamoplysninger!$B$26="Der er indgået lokalaftale omkring weekendtimer og weekendtillæg.(Kræver aftale med TR/FSL).",I10="X",C10="ikke relevant")),K10,0)</f>
        <v>0</v>
      </c>
    </row>
    <row r="11" spans="1:185">
      <c r="A11" s="245">
        <f t="shared" si="17"/>
        <v>3</v>
      </c>
      <c r="B11" s="128" t="str">
        <f t="shared" si="0"/>
        <v>ti</v>
      </c>
      <c r="C11" s="129" t="s">
        <v>207</v>
      </c>
      <c r="D11" s="130" t="str">
        <f t="shared" si="1"/>
        <v/>
      </c>
      <c r="E11" s="917"/>
      <c r="F11" s="918"/>
      <c r="G11" s="919"/>
      <c r="H11" s="298"/>
      <c r="I11" s="527"/>
      <c r="J11" s="413"/>
      <c r="K11" s="380"/>
      <c r="L11" s="380"/>
      <c r="M11" s="380"/>
      <c r="N11" s="318">
        <f t="shared" si="18"/>
        <v>8.5</v>
      </c>
      <c r="O11" s="318">
        <f t="shared" si="19"/>
        <v>3.75</v>
      </c>
      <c r="P11" s="318">
        <f>IF(Stamoplysninger!$H$29="JA",Juni!DG11,CX11)</f>
        <v>1.5</v>
      </c>
      <c r="Q11" s="318">
        <f t="shared" si="20"/>
        <v>3.25</v>
      </c>
      <c r="R11" s="319"/>
      <c r="S11" s="324"/>
      <c r="T11" s="325"/>
      <c r="U11" s="325"/>
      <c r="V11" s="435"/>
      <c r="W11" s="435"/>
      <c r="X11" s="644"/>
      <c r="Y11">
        <f t="shared" si="21"/>
        <v>0</v>
      </c>
      <c r="Z11" s="437">
        <f t="shared" si="22"/>
        <v>0</v>
      </c>
      <c r="AA11" s="1">
        <f t="shared" si="2"/>
        <v>0</v>
      </c>
      <c r="AB11" s="1">
        <f t="shared" si="3"/>
        <v>0</v>
      </c>
      <c r="AC11" s="1">
        <f t="shared" si="4"/>
        <v>0</v>
      </c>
      <c r="AD11" s="1">
        <f t="shared" si="5"/>
        <v>0</v>
      </c>
      <c r="AE11" s="1">
        <f t="shared" si="6"/>
        <v>0</v>
      </c>
      <c r="AF11" s="1">
        <f>IF(C11="Orlov",7.4*Stamoplysninger!$E$15,0)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f>IF(AND(C11="Skema 2",B11="ti"),Arbejdstidsoversigt!$E$82,"")</f>
        <v>8.5</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8.5</v>
      </c>
      <c r="BB11" s="229">
        <f t="shared" si="7"/>
        <v>0</v>
      </c>
      <c r="BC11" s="1">
        <f t="shared" si="24"/>
        <v>0</v>
      </c>
      <c r="BD11" s="1">
        <f t="shared" si="8"/>
        <v>0</v>
      </c>
      <c r="BE11" s="1">
        <f t="shared" si="9"/>
        <v>0</v>
      </c>
      <c r="BF11" s="1">
        <f t="shared" si="10"/>
        <v>0</v>
      </c>
      <c r="BG11" s="210" t="str">
        <f>IF(AND(C11="Skema 1",B11="ma"),Skemaoplysninger!$E$30,"")</f>
        <v/>
      </c>
      <c r="BH11" s="210" t="str">
        <f>IF(AND(C11="Skema 1",B11="ti"),Skemaoplysninger!$G$30,"")</f>
        <v/>
      </c>
      <c r="BI11" s="210" t="str">
        <f>IF(AND(C11="Skema 1",B11="on"),Skemaoplysninger!$I$30,"")</f>
        <v/>
      </c>
      <c r="BJ11" s="210" t="str">
        <f>IF(AND(C11="Skema 1",B11="to"),Skemaoplysninger!$K$30,"")</f>
        <v/>
      </c>
      <c r="BK11" s="210" t="str">
        <f>IF(AND(C11="Skema 1",B11="fr"),Skemaoplysninger!$M$30,"")</f>
        <v/>
      </c>
      <c r="BL11" s="210" t="str">
        <f>IF(AND(C11="Skema 2",B11="ma"),Skemaoplysninger!$S$30,"")</f>
        <v/>
      </c>
      <c r="BM11" s="210">
        <f>IF(AND(C11="Skema 2",B11="ti"),Skemaoplysninger!$U$30,"")</f>
        <v>0.15625</v>
      </c>
      <c r="BN11" s="210" t="str">
        <f>IF(AND(C11="Skema 2",B11="on"),Skemaoplysninger!$W$30,"")</f>
        <v/>
      </c>
      <c r="BO11" s="210" t="str">
        <f>IF(AND(C11="Skema 2",B11="to"),Skemaoplysninger!$Y$30,"")</f>
        <v/>
      </c>
      <c r="BP11" s="210" t="str">
        <f>IF(AND(C11="Skema 2",B11="fr"),Skemaoplysninger!$AA$30,"")</f>
        <v/>
      </c>
      <c r="BQ11" s="210" t="str">
        <f>IF(AND(C11="Skema 3",B11="ma"),Skemaoplysninger!$AG$30,"")</f>
        <v/>
      </c>
      <c r="BR11" s="210" t="str">
        <f>IF(AND(C11="Skema 3",B11="ti"),Skemaoplysninger!$AI$30,"")</f>
        <v/>
      </c>
      <c r="BS11" s="210" t="str">
        <f>IF(AND(C11="Skema 3",B11="on"),Skemaoplysninger!$AK$30,"")</f>
        <v/>
      </c>
      <c r="BT11" s="210" t="str">
        <f>IF(AND(C11="Skema 3",B11="to"),Skemaoplysninger!$AM$30,"")</f>
        <v/>
      </c>
      <c r="BU11" s="210" t="str">
        <f>IF(AND(C11="Skema 3",B11="fr"),Skemaoplysninger!$AO$30,"")</f>
        <v/>
      </c>
      <c r="BV11" s="210" t="str">
        <f>IF(AND(C11="Skema 4",B11="ma"),Skemaoplysninger!$AU$30,"")</f>
        <v/>
      </c>
      <c r="BW11" s="210" t="str">
        <f>IF(AND(C11="Skema 4",B11="ti"),Skemaoplysninger!$AW$30,"")</f>
        <v/>
      </c>
      <c r="BX11" s="210" t="str">
        <f>IF(AND(C11="Skema 4",B11="on"),Skemaoplysninger!$AY$30,"")</f>
        <v/>
      </c>
      <c r="BY11" s="210" t="str">
        <f>IF(AND(C11="Skema 4",B11="to"),Skemaoplysninger!$BA$30,"")</f>
        <v/>
      </c>
      <c r="BZ11" s="210" t="str">
        <f>IF(AND(C11="Skema 4",B11="fr"),Skemaoplysninger!$BC$30,"")</f>
        <v/>
      </c>
      <c r="CA11" s="1">
        <f t="shared" si="25"/>
        <v>3.75</v>
      </c>
      <c r="CB11" s="1">
        <f t="shared" si="11"/>
        <v>0</v>
      </c>
      <c r="CC11" s="1">
        <f t="shared" si="12"/>
        <v>0</v>
      </c>
      <c r="CD11" s="210" t="str">
        <f>IF(AND(C11="Skema 1",B11="ma"),Skemaoplysninger!$E$31,"")</f>
        <v/>
      </c>
      <c r="CE11" s="210" t="str">
        <f>IF(AND(C11="Skema 1",B11="ti"),Skemaoplysninger!$G$31,"")</f>
        <v/>
      </c>
      <c r="CF11" s="210" t="str">
        <f>IF(AND(C11="Skema 1",B11="on"),Skemaoplysninger!$I$31,"")</f>
        <v/>
      </c>
      <c r="CG11" s="210" t="str">
        <f>IF(AND(C11="Skema 1",B11="to"),Skemaoplysninger!$K$31,"")</f>
        <v/>
      </c>
      <c r="CH11" s="210" t="str">
        <f>IF(AND(C11="Skema 1",B11="fr"),Skemaoplysninger!$M$31,"")</f>
        <v/>
      </c>
      <c r="CI11" s="210" t="str">
        <f>IF(AND(C11="Skema 2",B11="ma"),Skemaoplysninger!$S$31,"")</f>
        <v/>
      </c>
      <c r="CJ11" s="210">
        <f>IF(AND(C11="Skema 2",B11="ti"),Skemaoplysninger!$U$31,"")</f>
        <v>6.25E-2</v>
      </c>
      <c r="CK11" s="210" t="str">
        <f>IF(AND(C11="Skema 2",B11="on"),Skemaoplysninger!$W$31,"")</f>
        <v/>
      </c>
      <c r="CL11" s="210" t="str">
        <f>IF(AND(C11="Skema 2",B11="to"),Skemaoplysninger!$Y$31,"")</f>
        <v/>
      </c>
      <c r="CM11" s="210" t="str">
        <f>IF(AND(C11="Skema 2",B11="fr"),Skemaoplysninger!$AA$31,"")</f>
        <v/>
      </c>
      <c r="CN11" s="210" t="str">
        <f>IF(AND(C11="Skema 3",B11="ma"),Skemaoplysninger!$AG$31,"")</f>
        <v/>
      </c>
      <c r="CO11" s="210" t="str">
        <f>IF(AND(C11="Skema 3",B11="ti"),Skemaoplysninger!$AI$31,"")</f>
        <v/>
      </c>
      <c r="CP11" s="210" t="str">
        <f>IF(AND(C11="Skema 3",B11="on"),Skemaoplysninger!$AK$31,"")</f>
        <v/>
      </c>
      <c r="CQ11" s="210" t="str">
        <f>IF(AND(C11="Skema 3",B11="to"),Skemaoplysninger!$AM$31,"")</f>
        <v/>
      </c>
      <c r="CR11" s="210" t="str">
        <f>IF(AND(C11="Skema 3",B11="fr"),Skemaoplysninger!$AO$31,"")</f>
        <v/>
      </c>
      <c r="CS11" s="210" t="str">
        <f>IF(AND(C11="Skema 4",B11="ma"),Skemaoplysninger!$AU$31,"")</f>
        <v/>
      </c>
      <c r="CT11" s="210" t="str">
        <f>IF(AND(C11="Skema 4",B11="ti"),Skemaoplysninger!$AW$31,"")</f>
        <v/>
      </c>
      <c r="CU11" s="210" t="str">
        <f>IF(AND(C11="Skema 4",B11="on"),Skemaoplysninger!$AY$31,"")</f>
        <v/>
      </c>
      <c r="CV11" s="210" t="str">
        <f>IF(AND(C11="Skema 4",B11="to"),Skemaoplysninger!$BA$31,"")</f>
        <v/>
      </c>
      <c r="CW11" s="210" t="str">
        <f>IF(AND(C11="Skema 4",B11="fr"),Skemaoplysninger!$BC$31,"")</f>
        <v/>
      </c>
      <c r="CX11" s="249">
        <f>IF(Stamoplysninger!$H$29="NEJ",SUM(CD11:CW11)*24+CB11+CC11,0)</f>
        <v>1.5</v>
      </c>
      <c r="CY11" s="249">
        <f>IF(C11="Skema 1",Stamoplysninger!$H$30/200,0)</f>
        <v>0</v>
      </c>
      <c r="CZ11" s="249">
        <f>IF(C11="Skema 2",Stamoplysninger!$H$30/200,0)</f>
        <v>0</v>
      </c>
      <c r="DA11" s="249">
        <f>IF(C11="Skema 3",Stamoplysninger!$H$30/200,0)</f>
        <v>0</v>
      </c>
      <c r="DB11" s="249">
        <f>IF(C11="Skema 4",Stamoplysninger!$H$30/200,0)</f>
        <v>0</v>
      </c>
      <c r="DC11" s="249">
        <f>IF(C11="fagdag",Stamoplysninger!$H$30/200,0)</f>
        <v>0</v>
      </c>
      <c r="DD11" s="249">
        <f>IF(C11="emnedag",Stamoplysninger!$H$30/200,0)</f>
        <v>0</v>
      </c>
      <c r="DE11" s="249">
        <f>IF(C11="lejrskole",Stamoplysninger!$H$30/200,0)</f>
        <v>0</v>
      </c>
      <c r="DF11" s="249">
        <f>IF(C11="ekskursion",Stamoplysninger!$H$30/200,0)</f>
        <v>0</v>
      </c>
      <c r="DG11" s="249">
        <f t="shared" si="26"/>
        <v>0</v>
      </c>
      <c r="DH11" t="str">
        <f t="shared" si="27"/>
        <v/>
      </c>
      <c r="DI11">
        <f t="shared" si="28"/>
        <v>0</v>
      </c>
      <c r="DJ11">
        <f t="shared" si="29"/>
        <v>0</v>
      </c>
      <c r="DK11" t="str">
        <f t="shared" si="13"/>
        <v/>
      </c>
      <c r="DL11" t="str">
        <f t="shared" si="13"/>
        <v/>
      </c>
      <c r="DM11" t="str">
        <f t="shared" si="13"/>
        <v/>
      </c>
      <c r="DN11" t="str">
        <f t="shared" si="30"/>
        <v/>
      </c>
      <c r="DO11" s="652">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71">
        <f>IF(AND(Stamoplysninger!$B$22="Ulempetillæg udbetales med 25% af nettotimelønnen.",C11="ikke relevant"),(R11)/4,0)</f>
        <v>0</v>
      </c>
      <c r="DT11" s="671">
        <f>IF(AND(AND(Stamoplysninger!$B$22="Ulempetillæg udbetales med 25% af nettotimelønnen.",I11="X",C11="Ikke relevant")),K11/4,0)</f>
        <v>0</v>
      </c>
      <c r="DU11" s="671">
        <f>IF(AND(AND(Stamoplysninger!$B$22="Ulempetillæg udbetales med 25% af nettotimelønnen.",C11="ikke relevant",U11="X")),(X11/4),0)</f>
        <v>0</v>
      </c>
      <c r="DV11" s="672">
        <f>IF(AND(AND(AND(Stamoplysninger!$B$22="Ulempetillæg udbetales med 25% af nettotimelønnen.",I11="X",C11="Ikke relevant",S11="X"))),V11/4,0)</f>
        <v>0</v>
      </c>
      <c r="DW11" s="652"/>
      <c r="DZ11" s="671"/>
      <c r="EA11" s="671"/>
      <c r="EB11" s="672"/>
      <c r="EC11" s="652">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71">
        <f>IF(AND(Stamoplysninger!$B$22="Ulempetillæg afspadseres med 25%(Kræver en aftale imellem ledelsen og den ansatte)",C11="ikke relevant"),(R11)/4,0)</f>
        <v>0</v>
      </c>
      <c r="EH11" s="671">
        <f>IF(AND(AND(Stamoplysninger!$B$22="Ulempetillæg afspadseres med 25%(Kræver en aftale imellem ledelsen og den ansatte)",I11="X",C11="Ikke relevant")),K11/4,0)</f>
        <v>0</v>
      </c>
      <c r="EI11" s="671">
        <f>IF(AND(AND(Stamoplysninger!$B$22="Ulempetillæg afspadseres med 25%(Kræver en aftale imellem ledelsen og den ansatte)",U11="X",C11="Ikke relevant")),X11/4,0)</f>
        <v>0</v>
      </c>
      <c r="EJ11" s="671">
        <f>IF(AND(AND(AND(Stamoplysninger!$B$22="Ulempetillæg afspadseres med 25%(Kræver en aftale imellem ledelsen og den ansatte)",I11="X",C11="Ikke relevant",S11="X"))),V11/4,0)</f>
        <v>0</v>
      </c>
      <c r="EK11" s="283">
        <f>IF(AND(Stamoplysninger!$B$26="Weekendtimer og weekendtillæg afspadseres.",I11="X"),K11*1.5,0)</f>
        <v>0</v>
      </c>
      <c r="EL11" s="251">
        <f>IF(AND(AND(Stamoplysninger!$B$26="Weekendtimer og weekendtillæg afspadseres.",I11="X",S11="X")),V11*1.5,0)</f>
        <v>0</v>
      </c>
      <c r="EM11" s="674">
        <f>IF(AND(AND(Stamoplysninger!$B$26="Weekendtimer og weekendtillæg afspadseres.",I11="X",C11="ikke relevant")),K11*1.5,0)</f>
        <v>0</v>
      </c>
      <c r="EN11" s="675">
        <f>IF(AND(AND(AND(Stamoplysninger!$B$26="Weekendtimer og weekendtillæg afspadseres.",I11="X",C11="ikke relevant",S11="X"))),(V11*1.5),0)</f>
        <v>0</v>
      </c>
      <c r="EO11" s="283">
        <f>IF(AND(Stamoplysninger!$B$26="Weekendtimer og weekendtillæg udbetales.",I11="X"),K11*1.5,0)</f>
        <v>0</v>
      </c>
      <c r="EP11" s="251">
        <f>IF(AND(AND(Stamoplysninger!$B$26="Weekendtimer og weekendtillæg udbetales.",I11="X",S11="X")),V11*1.5,0)</f>
        <v>0</v>
      </c>
      <c r="EQ11" s="674">
        <f>IF(AND(AND(Stamoplysninger!$B$26="Weekendtimer og weekendtillæg udbetales.",I11="X",C11="ikke relevant")),K11*1.5,0)</f>
        <v>0</v>
      </c>
      <c r="ER11" s="675">
        <f>IF(AND(AND(AND(Stamoplysninger!$B$26="Weekendtimer og weekendtillæg udbetales.",I11="X",C11="ikke relevant",S11="X"))),(V11*1.5),0)</f>
        <v>0</v>
      </c>
      <c r="ES11" s="283">
        <f>IF(AND(Stamoplysninger!$B$26="Der er indgået lokalaftale omkring weekendtimer.(Kræver aftale med TR/FSL) Weekendtillæg afspadseres.",I11="X"),K11*0.5,0)</f>
        <v>0</v>
      </c>
      <c r="ET11" s="251">
        <f>IF(AND(AND(Stamoplysninger!$B$26="Der er indgået lokalaftale omkring weekendtimer.(Kræver aftale med TR/FSL) Weekendtillæg afspadseres.",I11="X",S11="X")),V11*0.5,0)</f>
        <v>0</v>
      </c>
      <c r="EU11" s="674">
        <f>IF(AND(AND(Stamoplysninger!$B$26="Der er indgået lokalaftale omkring weekendtimer.(Kræver aftale med TR/FSL) Weekendtillæg afspadseres.",I11="X",C11="ikke relevant")),K11*0.5,0)</f>
        <v>0</v>
      </c>
      <c r="EV11" s="675">
        <f>IF(AND(AND(AND(Stamoplysninger!$B$26="Der er indgået lokalaftale omkring weekendtimer.(Kræver aftale med TR/FSL) Weekendtillæg afspadseres.",I11="X",C11="ikke relevant",S11="X"))),(V11*0.5),0)</f>
        <v>0</v>
      </c>
      <c r="EW11" s="283">
        <f>IF(AND(Stamoplysninger!$B$26="Der er indgået lokalaftale omkring weekendtimer(Kræver aftale med TR/FSL). Weekendtillæg udbetales.",I11="X"),K11*0.5,0)</f>
        <v>0</v>
      </c>
      <c r="EX11" s="251">
        <f>IF(AND(AND(Stamoplysninger!$B$26="Der er indgået lokalaftale omkring weekendtimer(Kræver aftale med TR/FSL). Weekendtillæg udbetales.",I11="X",S11="X")),V11*0.5,0)</f>
        <v>0</v>
      </c>
      <c r="EY11" s="674">
        <f>IF(AND(AND(Stamoplysninger!$B$26="Der er indgået lokalaftale omkring weekendtimer(Kræver aftale med TR/FSL). Weekendtillæg udbetales.",I11="X",C11="ikke relevant")),K11*0.5,0)</f>
        <v>0</v>
      </c>
      <c r="EZ11" s="675">
        <f>IF(AND(AND(AND(Stamoplysninger!$B$26="Der er indgået lokalaftale omkring weekendtimer(Kræver aftale med TR/FSL). Weekendtillæg udbetales.",I11="X",C11="ikke relevant",S11="X"))),(V11*0.5),0)</f>
        <v>0</v>
      </c>
      <c r="FA11" s="283">
        <f>IF(AND(Stamoplysninger!$B$26="Der er indgået lokalaftale omkring weekendtillæg(Kræver aftale med TR/FSL). Weekendtimerne afspadseres.",I11="X"),K11,0)</f>
        <v>0</v>
      </c>
      <c r="FB11" s="251">
        <f>IF(AND(AND(Stamoplysninger!$B$26="Der er indgået lokalaftale omkring weekendtillæg(Kræver aftale med TR/FSL). Weekendtimerne afspadseres.",I11="X",S11="X")),V11,0)</f>
        <v>0</v>
      </c>
      <c r="FC11" s="674">
        <f>IF(AND(AND(Stamoplysninger!$B$26="Der er indgået lokalaftale omkring weekendtillæg(Kræver aftale med TR/FSL). Weekendtimerne afspadseres..",I11="X",C11="ikke relevant")),K11,0)</f>
        <v>0</v>
      </c>
      <c r="FD11" s="675">
        <f>IF(AND(AND(AND(Stamoplysninger!$B$26="Der er indgået lokalaftale omkring weekendtillæg(Kræver aftale med TR/FSL). Weekendtimerne afspadseres.",I11="X",C11="ikke relevant",S11="X"))),(V11),0)</f>
        <v>0</v>
      </c>
      <c r="FE11" s="283">
        <f>IF(AND(Stamoplysninger!$B$26="Der er indgået lokalaftale omkring weekendtillæg(Kræver aftale med TR/FSL). Weekendtimerne udbetales.",I11="X"),K11,0)</f>
        <v>0</v>
      </c>
      <c r="FF11" s="251">
        <f>IF(AND(AND(Stamoplysninger!$B$26="Der er indgået lokalaftale omkring weekendtillæg(Kræver aftale med TR/FSL). Weekendtimerne udbetales.",I11="X",S11="X")),V11,0)</f>
        <v>0</v>
      </c>
      <c r="FG11" s="674">
        <f>IF(AND(AND(Stamoplysninger!$B$26="Der er indgået lokalaftale omkring weekendtillæg(Kræver aftale med TR/FSL). Weekendtimerne udbetales.",I11="X",C11="ikke relevant")),K11,0)</f>
        <v>0</v>
      </c>
      <c r="FH11" s="675">
        <f>IF(AND(AND(AND(Stamoplysninger!$B$26="Der er indgået lokalaftale omkring weekendtillæg(Kræver aftale med TR/FSL). Weekendtimerne udbetales.",I11="X",C11="ikke relevant",S11="X"))),(V11),0)</f>
        <v>0</v>
      </c>
      <c r="FI11" s="283">
        <f>IF(AND(Stamoplysninger!$B$26="Weekendtimer og weekendtillæg afspadseres.",I11="X"),K11,0)</f>
        <v>0</v>
      </c>
      <c r="FJ11" s="251">
        <f>IF(AND(Stamoplysninger!$B$26="Weekendtimer og weekendtillæg afspadseres.",Y11="X"),(AA11+AL11)/2,0)</f>
        <v>0</v>
      </c>
      <c r="FK11" s="674">
        <f>IF(AND(AND(Stamoplysninger!$B$26="Weekendtimer og weekendtillæg afspadseres.",I11="X",C11="ikke relevant")),K11,0)</f>
        <v>0</v>
      </c>
      <c r="FL11" s="675">
        <f>IF(AND(AND(Stamoplysninger!$B$26="Weekendtimer og weekendtillæg afspadseres.",Y11="X",S11="ikke relevant")),(AA11+AL11)/2,0)</f>
        <v>0</v>
      </c>
      <c r="FM11" s="283">
        <f>IF(AND(Stamoplysninger!$B$26="Der er indgået lokalaftale omkring weekendtillæg(Kræver aftale med TR/FSL). Weekendtimerne afspadseres.",I11="X"),K11,0)</f>
        <v>0</v>
      </c>
      <c r="FN11" s="674">
        <f>IF(AND(AND(Stamoplysninger!$B$26="Der er indgået lokalaftale omkring weekendtillæg(Kræver aftale med TR/FSL). Weekendtimerne afspadseres.",I11="X",C11="ikke relevant")),K11,0)</f>
        <v>0</v>
      </c>
      <c r="FO11" s="283">
        <f>IF(AND(Stamoplysninger!$B$26="Weekendtimer og weekendtillæg udbetales.",I11="X"),K11,0)</f>
        <v>0</v>
      </c>
      <c r="FP11" s="251">
        <f>IF(AND(Stamoplysninger!$B$26="Weekendtimer og weekendtillæg udbetales.",AA11="X"),(AC11+AN11)/2,0)</f>
        <v>0</v>
      </c>
      <c r="FQ11" s="674">
        <f>IF(AND(AND(Stamoplysninger!$B$26="Weekendtimer og weekendtillæg udbetales.",I11="X",C11="ikke relevant")),K11,0)</f>
        <v>0</v>
      </c>
      <c r="FR11" s="688">
        <f>IF(AND(AND(Stamoplysninger!$B$26="Weekendtimer og weekendtillæg udbetales.",AA11="X",U11="ikke relevant")),(AC11+AN11)/2,0)</f>
        <v>0</v>
      </c>
      <c r="FS11" s="283">
        <f t="shared" si="14"/>
        <v>0</v>
      </c>
      <c r="FT11" s="658">
        <f t="shared" si="15"/>
        <v>0</v>
      </c>
      <c r="FU11">
        <f t="shared" si="16"/>
        <v>0</v>
      </c>
      <c r="FV11" s="283">
        <f>IF(AND(Stamoplysninger!$B$26="Der er indgået lokalaftale omkring weekendtimer.(Kræver aftale med TR/FSL) Weekendtillæg afspadseres.",I11="X"),K11,0)</f>
        <v>0</v>
      </c>
      <c r="FW11" s="674">
        <f>IF(AND(AND(Stamoplysninger!$B$26="Der er indgået lokalaftale omkring weekendtimer.(Kræver aftale med TR/FSL) Weekendtillæg afspadseres.",I11="X",C11="ikke relevant")),K11,0)</f>
        <v>0</v>
      </c>
      <c r="FX11" s="283">
        <f>IF(AND(Stamoplysninger!$B$26="Der er indgået lokalaftale omkring weekendtimer(Kræver aftale med TR/FSL). Weekendtillæg udbetales.",I11="X"),K11,0)</f>
        <v>0</v>
      </c>
      <c r="FY11" s="674">
        <f>IF(AND(AND(Stamoplysninger!$B$26="Der er indgået lokalaftale omkring weekendtimer(Kræver aftale med TR/FSL). Weekendtillæg udbetales.",I11="X",C11="ikke relevant")),K11,0)</f>
        <v>0</v>
      </c>
      <c r="FZ11" s="283">
        <f>IF(AND(Stamoplysninger!$B$26="Der er indgået lokalaftale omkring weekendtillæg(Kræver aftale med TR/FSL). Weekendtimerne udbetales.",I11="X"),K11,0)</f>
        <v>0</v>
      </c>
      <c r="GA11" s="674">
        <f>IF(AND(AND(Stamoplysninger!$B$26="Der er indgået lokalaftale omkring weekendtillæg(Kræver aftale med TR/FSL). Weekendtimerne udbetales.",I11="X",C11="ikke relevant")),K11,0)</f>
        <v>0</v>
      </c>
      <c r="GB11" s="283">
        <f>IF(AND(Stamoplysninger!$B$26="Der er indgået lokalaftale omkring weekendtimer og weekendtillæg.(Kræver aftale med TR/FSL).",I11="X"),K11,0)</f>
        <v>0</v>
      </c>
      <c r="GC11" s="674">
        <f>IF(AND(AND(Stamoplysninger!$B$26="Der er indgået lokalaftale omkring weekendtimer og weekendtillæg.(Kræver aftale med TR/FSL).",I11="X",C11="ikke relevant")),K11,0)</f>
        <v>0</v>
      </c>
    </row>
    <row r="12" spans="1:185">
      <c r="A12" s="245">
        <f t="shared" si="17"/>
        <v>4</v>
      </c>
      <c r="B12" s="128" t="str">
        <f t="shared" si="0"/>
        <v>on</v>
      </c>
      <c r="C12" s="129" t="s">
        <v>207</v>
      </c>
      <c r="D12" s="130" t="str">
        <f t="shared" si="1"/>
        <v/>
      </c>
      <c r="E12" s="917"/>
      <c r="F12" s="918"/>
      <c r="G12" s="919"/>
      <c r="H12" s="298"/>
      <c r="I12" s="527"/>
      <c r="J12" s="413"/>
      <c r="K12" s="380"/>
      <c r="L12" s="380"/>
      <c r="M12" s="380"/>
      <c r="N12" s="318">
        <f t="shared" si="18"/>
        <v>7.75</v>
      </c>
      <c r="O12" s="318">
        <f t="shared" si="19"/>
        <v>4.25</v>
      </c>
      <c r="P12" s="318">
        <f>IF(Stamoplysninger!$H$29="JA",Juni!DG12,CX12)</f>
        <v>1</v>
      </c>
      <c r="Q12" s="318">
        <f t="shared" si="20"/>
        <v>2.5</v>
      </c>
      <c r="R12" s="319"/>
      <c r="S12" s="324"/>
      <c r="T12" s="325"/>
      <c r="U12" s="325"/>
      <c r="V12" s="435"/>
      <c r="W12" s="435"/>
      <c r="X12" s="644"/>
      <c r="Y12">
        <f t="shared" si="21"/>
        <v>0</v>
      </c>
      <c r="Z12" s="437">
        <f t="shared" si="22"/>
        <v>0</v>
      </c>
      <c r="AA12" s="1">
        <f t="shared" si="2"/>
        <v>0</v>
      </c>
      <c r="AB12" s="1">
        <f t="shared" si="3"/>
        <v>0</v>
      </c>
      <c r="AC12" s="1">
        <f t="shared" si="4"/>
        <v>0</v>
      </c>
      <c r="AD12" s="1">
        <f t="shared" si="5"/>
        <v>0</v>
      </c>
      <c r="AE12" s="1">
        <f t="shared" si="6"/>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f>IF(AND(C12="Skema 2",B12="on"),Arbejdstidsoversigt!$E$83,"")</f>
        <v>7.75</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7.75</v>
      </c>
      <c r="BB12" s="229">
        <f t="shared" si="7"/>
        <v>0</v>
      </c>
      <c r="BC12" s="1">
        <f t="shared" si="24"/>
        <v>0</v>
      </c>
      <c r="BD12" s="1">
        <f t="shared" si="8"/>
        <v>0</v>
      </c>
      <c r="BE12" s="1">
        <f t="shared" si="9"/>
        <v>0</v>
      </c>
      <c r="BF12" s="1">
        <f t="shared" si="10"/>
        <v>0</v>
      </c>
      <c r="BG12" s="210" t="str">
        <f>IF(AND(C12="Skema 1",B12="ma"),Skemaoplysninger!$E$30,"")</f>
        <v/>
      </c>
      <c r="BH12" s="210" t="str">
        <f>IF(AND(C12="Skema 1",B12="ti"),Skemaoplysninger!$G$30,"")</f>
        <v/>
      </c>
      <c r="BI12" s="210" t="str">
        <f>IF(AND(C12="Skema 1",B12="on"),Skemaoplysninger!$I$30,"")</f>
        <v/>
      </c>
      <c r="BJ12" s="210" t="str">
        <f>IF(AND(C12="Skema 1",B12="to"),Skemaoplysninger!$K$30,"")</f>
        <v/>
      </c>
      <c r="BK12" s="210" t="str">
        <f>IF(AND(C12="Skema 1",B12="fr"),Skemaoplysninger!$M$30,"")</f>
        <v/>
      </c>
      <c r="BL12" s="210" t="str">
        <f>IF(AND(C12="Skema 2",B12="ma"),Skemaoplysninger!$S$30,"")</f>
        <v/>
      </c>
      <c r="BM12" s="210" t="str">
        <f>IF(AND(C12="Skema 2",B12="ti"),Skemaoplysninger!$U$30,"")</f>
        <v/>
      </c>
      <c r="BN12" s="210">
        <f>IF(AND(C12="Skema 2",B12="on"),Skemaoplysninger!$W$30,"")</f>
        <v>0.17708333333333331</v>
      </c>
      <c r="BO12" s="210" t="str">
        <f>IF(AND(C12="Skema 2",B12="to"),Skemaoplysninger!$Y$30,"")</f>
        <v/>
      </c>
      <c r="BP12" s="210" t="str">
        <f>IF(AND(C12="Skema 2",B12="fr"),Skemaoplysninger!$AA$30,"")</f>
        <v/>
      </c>
      <c r="BQ12" s="210" t="str">
        <f>IF(AND(C12="Skema 3",B12="ma"),Skemaoplysninger!$AG$30,"")</f>
        <v/>
      </c>
      <c r="BR12" s="210" t="str">
        <f>IF(AND(C12="Skema 3",B12="ti"),Skemaoplysninger!$AI$30,"")</f>
        <v/>
      </c>
      <c r="BS12" s="210" t="str">
        <f>IF(AND(C12="Skema 3",B12="on"),Skemaoplysninger!$AK$30,"")</f>
        <v/>
      </c>
      <c r="BT12" s="210" t="str">
        <f>IF(AND(C12="Skema 3",B12="to"),Skemaoplysninger!$AM$30,"")</f>
        <v/>
      </c>
      <c r="BU12" s="210" t="str">
        <f>IF(AND(C12="Skema 3",B12="fr"),Skemaoplysninger!$AO$30,"")</f>
        <v/>
      </c>
      <c r="BV12" s="210" t="str">
        <f>IF(AND(C12="Skema 4",B12="ma"),Skemaoplysninger!$AU$30,"")</f>
        <v/>
      </c>
      <c r="BW12" s="210" t="str">
        <f>IF(AND(C12="Skema 4",B12="ti"),Skemaoplysninger!$AW$30,"")</f>
        <v/>
      </c>
      <c r="BX12" s="210" t="str">
        <f>IF(AND(C12="Skema 4",B12="on"),Skemaoplysninger!$AY$30,"")</f>
        <v/>
      </c>
      <c r="BY12" s="210" t="str">
        <f>IF(AND(C12="Skema 4",B12="to"),Skemaoplysninger!$BA$30,"")</f>
        <v/>
      </c>
      <c r="BZ12" s="210" t="str">
        <f>IF(AND(C12="Skema 4",B12="fr"),Skemaoplysninger!$BC$30,"")</f>
        <v/>
      </c>
      <c r="CA12" s="1">
        <f t="shared" si="25"/>
        <v>4.25</v>
      </c>
      <c r="CB12" s="1">
        <f t="shared" si="11"/>
        <v>0</v>
      </c>
      <c r="CC12" s="1">
        <f t="shared" si="12"/>
        <v>0</v>
      </c>
      <c r="CD12" s="210" t="str">
        <f>IF(AND(C12="Skema 1",B12="ma"),Skemaoplysninger!$E$31,"")</f>
        <v/>
      </c>
      <c r="CE12" s="210" t="str">
        <f>IF(AND(C12="Skema 1",B12="ti"),Skemaoplysninger!$G$31,"")</f>
        <v/>
      </c>
      <c r="CF12" s="210" t="str">
        <f>IF(AND(C12="Skema 1",B12="on"),Skemaoplysninger!$I$31,"")</f>
        <v/>
      </c>
      <c r="CG12" s="210" t="str">
        <f>IF(AND(C12="Skema 1",B12="to"),Skemaoplysninger!$K$31,"")</f>
        <v/>
      </c>
      <c r="CH12" s="210" t="str">
        <f>IF(AND(C12="Skema 1",B12="fr"),Skemaoplysninger!$M$31,"")</f>
        <v/>
      </c>
      <c r="CI12" s="210" t="str">
        <f>IF(AND(C12="Skema 2",B12="ma"),Skemaoplysninger!$S$31,"")</f>
        <v/>
      </c>
      <c r="CJ12" s="210" t="str">
        <f>IF(AND(C12="Skema 2",B12="ti"),Skemaoplysninger!$U$31,"")</f>
        <v/>
      </c>
      <c r="CK12" s="210">
        <f>IF(AND(C12="Skema 2",B12="on"),Skemaoplysninger!$W$31,"")</f>
        <v>4.1666666666666664E-2</v>
      </c>
      <c r="CL12" s="210" t="str">
        <f>IF(AND(C12="Skema 2",B12="to"),Skemaoplysninger!$Y$31,"")</f>
        <v/>
      </c>
      <c r="CM12" s="210" t="str">
        <f>IF(AND(C12="Skema 2",B12="fr"),Skemaoplysninger!$AA$31,"")</f>
        <v/>
      </c>
      <c r="CN12" s="210" t="str">
        <f>IF(AND(C12="Skema 3",B12="ma"),Skemaoplysninger!$AG$31,"")</f>
        <v/>
      </c>
      <c r="CO12" s="210" t="str">
        <f>IF(AND(C12="Skema 3",B12="ti"),Skemaoplysninger!$AI$31,"")</f>
        <v/>
      </c>
      <c r="CP12" s="210" t="str">
        <f>IF(AND(C12="Skema 3",B12="on"),Skemaoplysninger!$AK$31,"")</f>
        <v/>
      </c>
      <c r="CQ12" s="210" t="str">
        <f>IF(AND(C12="Skema 3",B12="to"),Skemaoplysninger!$AM$31,"")</f>
        <v/>
      </c>
      <c r="CR12" s="210" t="str">
        <f>IF(AND(C12="Skema 3",B12="fr"),Skemaoplysninger!$AO$31,"")</f>
        <v/>
      </c>
      <c r="CS12" s="210" t="str">
        <f>IF(AND(C12="Skema 4",B12="ma"),Skemaoplysninger!$AU$31,"")</f>
        <v/>
      </c>
      <c r="CT12" s="210" t="str">
        <f>IF(AND(C12="Skema 4",B12="ti"),Skemaoplysninger!$AW$31,"")</f>
        <v/>
      </c>
      <c r="CU12" s="210" t="str">
        <f>IF(AND(C12="Skema 4",B12="on"),Skemaoplysninger!$AY$31,"")</f>
        <v/>
      </c>
      <c r="CV12" s="210" t="str">
        <f>IF(AND(C12="Skema 4",B12="to"),Skemaoplysninger!$BA$31,"")</f>
        <v/>
      </c>
      <c r="CW12" s="210" t="str">
        <f>IF(AND(C12="Skema 4",B12="fr"),Skemaoplysninger!$BC$31,"")</f>
        <v/>
      </c>
      <c r="CX12" s="249">
        <f>IF(Stamoplysninger!$H$29="NEJ",SUM(CD12:CW12)*24+CB12+CC12,0)</f>
        <v>1</v>
      </c>
      <c r="CY12" s="249">
        <f>IF(C12="Skema 1",Stamoplysninger!$H$30/200,0)</f>
        <v>0</v>
      </c>
      <c r="CZ12" s="249">
        <f>IF(C12="Skema 2",Stamoplysninger!$H$30/200,0)</f>
        <v>0</v>
      </c>
      <c r="DA12" s="249">
        <f>IF(C12="Skema 3",Stamoplysninger!$H$30/200,0)</f>
        <v>0</v>
      </c>
      <c r="DB12" s="249">
        <f>IF(C12="Skema 4",Stamoplysninger!$H$30/200,0)</f>
        <v>0</v>
      </c>
      <c r="DC12" s="249">
        <f>IF(C12="fagdag",Stamoplysninger!$H$30/200,0)</f>
        <v>0</v>
      </c>
      <c r="DD12" s="249">
        <f>IF(C12="emnedag",Stamoplysninger!$H$30/200,0)</f>
        <v>0</v>
      </c>
      <c r="DE12" s="249">
        <f>IF(C12="lejrskole",Stamoplysninger!$H$30/200,0)</f>
        <v>0</v>
      </c>
      <c r="DF12" s="249">
        <f>IF(C12="ekskursion",Stamoplysninger!$H$30/200,0)</f>
        <v>0</v>
      </c>
      <c r="DG12" s="249">
        <f t="shared" si="26"/>
        <v>0</v>
      </c>
      <c r="DH12" t="str">
        <f t="shared" si="27"/>
        <v/>
      </c>
      <c r="DI12">
        <f t="shared" si="28"/>
        <v>0</v>
      </c>
      <c r="DJ12">
        <f>IF(E12="",H12,"")</f>
        <v>0</v>
      </c>
      <c r="DK12" t="str">
        <f t="shared" si="13"/>
        <v/>
      </c>
      <c r="DL12" t="str">
        <f t="shared" si="13"/>
        <v/>
      </c>
      <c r="DM12" t="str">
        <f t="shared" si="13"/>
        <v/>
      </c>
      <c r="DN12" t="str">
        <f t="shared" si="30"/>
        <v/>
      </c>
      <c r="DO12" s="652">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71">
        <f>IF(AND(Stamoplysninger!$B$22="Ulempetillæg udbetales med 25% af nettotimelønnen.",C12="ikke relevant"),(R12)/4,0)</f>
        <v>0</v>
      </c>
      <c r="DT12" s="671">
        <f>IF(AND(AND(Stamoplysninger!$B$22="Ulempetillæg udbetales med 25% af nettotimelønnen.",I12="X",C12="Ikke relevant")),K12/4,0)</f>
        <v>0</v>
      </c>
      <c r="DU12" s="671">
        <f>IF(AND(AND(Stamoplysninger!$B$22="Ulempetillæg udbetales med 25% af nettotimelønnen.",C12="ikke relevant",U12="X")),(X12/4),0)</f>
        <v>0</v>
      </c>
      <c r="DV12" s="672">
        <f>IF(AND(AND(AND(Stamoplysninger!$B$22="Ulempetillæg udbetales med 25% af nettotimelønnen.",I12="X",C12="Ikke relevant",S12="X"))),V12/4,0)</f>
        <v>0</v>
      </c>
      <c r="DW12" s="652"/>
      <c r="DZ12" s="671"/>
      <c r="EA12" s="671"/>
      <c r="EB12" s="672"/>
      <c r="EC12" s="652">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71">
        <f>IF(AND(Stamoplysninger!$B$22="Ulempetillæg afspadseres med 25%(Kræver en aftale imellem ledelsen og den ansatte)",C12="ikke relevant"),(R12)/4,0)</f>
        <v>0</v>
      </c>
      <c r="EH12" s="671">
        <f>IF(AND(AND(Stamoplysninger!$B$22="Ulempetillæg afspadseres med 25%(Kræver en aftale imellem ledelsen og den ansatte)",I12="X",C12="Ikke relevant")),K12/4,0)</f>
        <v>0</v>
      </c>
      <c r="EI12" s="671">
        <f>IF(AND(AND(Stamoplysninger!$B$22="Ulempetillæg afspadseres med 25%(Kræver en aftale imellem ledelsen og den ansatte)",U12="X",C12="Ikke relevant")),X12/4,0)</f>
        <v>0</v>
      </c>
      <c r="EJ12" s="671">
        <f>IF(AND(AND(AND(Stamoplysninger!$B$22="Ulempetillæg afspadseres med 25%(Kræver en aftale imellem ledelsen og den ansatte)",I12="X",C12="Ikke relevant",S12="X"))),V12/4,0)</f>
        <v>0</v>
      </c>
      <c r="EK12" s="283">
        <f>IF(AND(Stamoplysninger!$B$26="Weekendtimer og weekendtillæg afspadseres.",I12="X"),K12*1.5,0)</f>
        <v>0</v>
      </c>
      <c r="EL12" s="251">
        <f>IF(AND(AND(Stamoplysninger!$B$26="Weekendtimer og weekendtillæg afspadseres.",I12="X",S12="X")),V12*1.5,0)</f>
        <v>0</v>
      </c>
      <c r="EM12" s="674">
        <f>IF(AND(AND(Stamoplysninger!$B$26="Weekendtimer og weekendtillæg afspadseres.",I12="X",C12="ikke relevant")),K12*1.5,0)</f>
        <v>0</v>
      </c>
      <c r="EN12" s="675">
        <f>IF(AND(AND(AND(Stamoplysninger!$B$26="Weekendtimer og weekendtillæg afspadseres.",I12="X",C12="ikke relevant",S12="X"))),(V12*1.5),0)</f>
        <v>0</v>
      </c>
      <c r="EO12" s="283">
        <f>IF(AND(Stamoplysninger!$B$26="Weekendtimer og weekendtillæg udbetales.",I12="X"),K12*1.5,0)</f>
        <v>0</v>
      </c>
      <c r="EP12" s="251">
        <f>IF(AND(AND(Stamoplysninger!$B$26="Weekendtimer og weekendtillæg udbetales.",I12="X",S12="X")),V12*1.5,0)</f>
        <v>0</v>
      </c>
      <c r="EQ12" s="674">
        <f>IF(AND(AND(Stamoplysninger!$B$26="Weekendtimer og weekendtillæg udbetales.",I12="X",C12="ikke relevant")),K12*1.5,0)</f>
        <v>0</v>
      </c>
      <c r="ER12" s="675">
        <f>IF(AND(AND(AND(Stamoplysninger!$B$26="Weekendtimer og weekendtillæg udbetales.",I12="X",C12="ikke relevant",S12="X"))),(V12*1.5),0)</f>
        <v>0</v>
      </c>
      <c r="ES12" s="283">
        <f>IF(AND(Stamoplysninger!$B$26="Der er indgået lokalaftale omkring weekendtimer.(Kræver aftale med TR/FSL) Weekendtillæg afspadseres.",I12="X"),K12*0.5,0)</f>
        <v>0</v>
      </c>
      <c r="ET12" s="251">
        <f>IF(AND(AND(Stamoplysninger!$B$26="Der er indgået lokalaftale omkring weekendtimer.(Kræver aftale med TR/FSL) Weekendtillæg afspadseres.",I12="X",S12="X")),V12*0.5,0)</f>
        <v>0</v>
      </c>
      <c r="EU12" s="674">
        <f>IF(AND(AND(Stamoplysninger!$B$26="Der er indgået lokalaftale omkring weekendtimer.(Kræver aftale med TR/FSL) Weekendtillæg afspadseres.",I12="X",C12="ikke relevant")),K12*0.5,0)</f>
        <v>0</v>
      </c>
      <c r="EV12" s="675">
        <f>IF(AND(AND(AND(Stamoplysninger!$B$26="Der er indgået lokalaftale omkring weekendtimer.(Kræver aftale med TR/FSL) Weekendtillæg afspadseres.",I12="X",C12="ikke relevant",S12="X"))),(V12*0.5),0)</f>
        <v>0</v>
      </c>
      <c r="EW12" s="283">
        <f>IF(AND(Stamoplysninger!$B$26="Der er indgået lokalaftale omkring weekendtimer(Kræver aftale med TR/FSL). Weekendtillæg udbetales.",I12="X"),K12*0.5,0)</f>
        <v>0</v>
      </c>
      <c r="EX12" s="251">
        <f>IF(AND(AND(Stamoplysninger!$B$26="Der er indgået lokalaftale omkring weekendtimer(Kræver aftale med TR/FSL). Weekendtillæg udbetales.",I12="X",S12="X")),V12*0.5,0)</f>
        <v>0</v>
      </c>
      <c r="EY12" s="674">
        <f>IF(AND(AND(Stamoplysninger!$B$26="Der er indgået lokalaftale omkring weekendtimer(Kræver aftale med TR/FSL). Weekendtillæg udbetales.",I12="X",C12="ikke relevant")),K12*0.5,0)</f>
        <v>0</v>
      </c>
      <c r="EZ12" s="675">
        <f>IF(AND(AND(AND(Stamoplysninger!$B$26="Der er indgået lokalaftale omkring weekendtimer(Kræver aftale med TR/FSL). Weekendtillæg udbetales.",I12="X",C12="ikke relevant",S12="X"))),(V12*0.5),0)</f>
        <v>0</v>
      </c>
      <c r="FA12" s="283">
        <f>IF(AND(Stamoplysninger!$B$26="Der er indgået lokalaftale omkring weekendtillæg(Kræver aftale med TR/FSL). Weekendtimerne afspadseres.",I12="X"),K12,0)</f>
        <v>0</v>
      </c>
      <c r="FB12" s="251">
        <f>IF(AND(AND(Stamoplysninger!$B$26="Der er indgået lokalaftale omkring weekendtillæg(Kræver aftale med TR/FSL). Weekendtimerne afspadseres.",I12="X",S12="X")),V12,0)</f>
        <v>0</v>
      </c>
      <c r="FC12" s="674">
        <f>IF(AND(AND(Stamoplysninger!$B$26="Der er indgået lokalaftale omkring weekendtillæg(Kræver aftale med TR/FSL). Weekendtimerne afspadseres..",I12="X",C12="ikke relevant")),K12,0)</f>
        <v>0</v>
      </c>
      <c r="FD12" s="675">
        <f>IF(AND(AND(AND(Stamoplysninger!$B$26="Der er indgået lokalaftale omkring weekendtillæg(Kræver aftale med TR/FSL). Weekendtimerne afspadseres.",I12="X",C12="ikke relevant",S12="X"))),(V12),0)</f>
        <v>0</v>
      </c>
      <c r="FE12" s="283">
        <f>IF(AND(Stamoplysninger!$B$26="Der er indgået lokalaftale omkring weekendtillæg(Kræver aftale med TR/FSL). Weekendtimerne udbetales.",I12="X"),K12,0)</f>
        <v>0</v>
      </c>
      <c r="FF12" s="251">
        <f>IF(AND(AND(Stamoplysninger!$B$26="Der er indgået lokalaftale omkring weekendtillæg(Kræver aftale med TR/FSL). Weekendtimerne udbetales.",I12="X",S12="X")),V12,0)</f>
        <v>0</v>
      </c>
      <c r="FG12" s="674">
        <f>IF(AND(AND(Stamoplysninger!$B$26="Der er indgået lokalaftale omkring weekendtillæg(Kræver aftale med TR/FSL). Weekendtimerne udbetales.",I12="X",C12="ikke relevant")),K12,0)</f>
        <v>0</v>
      </c>
      <c r="FH12" s="675">
        <f>IF(AND(AND(AND(Stamoplysninger!$B$26="Der er indgået lokalaftale omkring weekendtillæg(Kræver aftale med TR/FSL). Weekendtimerne udbetales.",I12="X",C12="ikke relevant",S12="X"))),(V12),0)</f>
        <v>0</v>
      </c>
      <c r="FI12" s="283">
        <f>IF(AND(Stamoplysninger!$B$26="Weekendtimer og weekendtillæg afspadseres.",I12="X"),K12,0)</f>
        <v>0</v>
      </c>
      <c r="FJ12" s="251">
        <f>IF(AND(Stamoplysninger!$B$26="Weekendtimer og weekendtillæg afspadseres.",Y12="X"),(AA12+AL12)/2,0)</f>
        <v>0</v>
      </c>
      <c r="FK12" s="674">
        <f>IF(AND(AND(Stamoplysninger!$B$26="Weekendtimer og weekendtillæg afspadseres.",I12="X",C12="ikke relevant")),K12,0)</f>
        <v>0</v>
      </c>
      <c r="FL12" s="675">
        <f>IF(AND(AND(Stamoplysninger!$B$26="Weekendtimer og weekendtillæg afspadseres.",Y12="X",S12="ikke relevant")),(AA12+AL12)/2,0)</f>
        <v>0</v>
      </c>
      <c r="FM12" s="283">
        <f>IF(AND(Stamoplysninger!$B$26="Der er indgået lokalaftale omkring weekendtillæg(Kræver aftale med TR/FSL). Weekendtimerne afspadseres.",I12="X"),K12,0)</f>
        <v>0</v>
      </c>
      <c r="FN12" s="674">
        <f>IF(AND(AND(Stamoplysninger!$B$26="Der er indgået lokalaftale omkring weekendtillæg(Kræver aftale med TR/FSL). Weekendtimerne afspadseres.",I12="X",C12="ikke relevant")),K12,0)</f>
        <v>0</v>
      </c>
      <c r="FO12" s="283">
        <f>IF(AND(Stamoplysninger!$B$26="Weekendtimer og weekendtillæg udbetales.",I12="X"),K12,0)</f>
        <v>0</v>
      </c>
      <c r="FP12" s="251">
        <f>IF(AND(Stamoplysninger!$B$26="Weekendtimer og weekendtillæg udbetales.",AA12="X"),(AC12+AN12)/2,0)</f>
        <v>0</v>
      </c>
      <c r="FQ12" s="674">
        <f>IF(AND(AND(Stamoplysninger!$B$26="Weekendtimer og weekendtillæg udbetales.",I12="X",C12="ikke relevant")),K12,0)</f>
        <v>0</v>
      </c>
      <c r="FR12" s="688">
        <f>IF(AND(AND(Stamoplysninger!$B$26="Weekendtimer og weekendtillæg udbetales.",AA12="X",U12="ikke relevant")),(AC12+AN12)/2,0)</f>
        <v>0</v>
      </c>
      <c r="FS12" s="283">
        <f t="shared" si="14"/>
        <v>0</v>
      </c>
      <c r="FT12" s="658">
        <f t="shared" si="15"/>
        <v>0</v>
      </c>
      <c r="FU12">
        <f t="shared" si="16"/>
        <v>0</v>
      </c>
      <c r="FV12" s="283">
        <f>IF(AND(Stamoplysninger!$B$26="Der er indgået lokalaftale omkring weekendtimer.(Kræver aftale med TR/FSL) Weekendtillæg afspadseres.",I12="X"),K12,0)</f>
        <v>0</v>
      </c>
      <c r="FW12" s="674">
        <f>IF(AND(AND(Stamoplysninger!$B$26="Der er indgået lokalaftale omkring weekendtimer.(Kræver aftale med TR/FSL) Weekendtillæg afspadseres.",I12="X",C12="ikke relevant")),K12,0)</f>
        <v>0</v>
      </c>
      <c r="FX12" s="283">
        <f>IF(AND(Stamoplysninger!$B$26="Der er indgået lokalaftale omkring weekendtimer(Kræver aftale med TR/FSL). Weekendtillæg udbetales.",I12="X"),K12,0)</f>
        <v>0</v>
      </c>
      <c r="FY12" s="674">
        <f>IF(AND(AND(Stamoplysninger!$B$26="Der er indgået lokalaftale omkring weekendtimer(Kræver aftale med TR/FSL). Weekendtillæg udbetales.",I12="X",C12="ikke relevant")),K12,0)</f>
        <v>0</v>
      </c>
      <c r="FZ12" s="283">
        <f>IF(AND(Stamoplysninger!$B$26="Der er indgået lokalaftale omkring weekendtillæg(Kræver aftale med TR/FSL). Weekendtimerne udbetales.",I12="X"),K12,0)</f>
        <v>0</v>
      </c>
      <c r="GA12" s="674">
        <f>IF(AND(AND(Stamoplysninger!$B$26="Der er indgået lokalaftale omkring weekendtillæg(Kræver aftale med TR/FSL). Weekendtimerne udbetales.",I12="X",C12="ikke relevant")),K12,0)</f>
        <v>0</v>
      </c>
      <c r="GB12" s="283">
        <f>IF(AND(Stamoplysninger!$B$26="Der er indgået lokalaftale omkring weekendtimer og weekendtillæg.(Kræver aftale med TR/FSL).",I12="X"),K12,0)</f>
        <v>0</v>
      </c>
      <c r="GC12" s="674">
        <f>IF(AND(AND(Stamoplysninger!$B$26="Der er indgået lokalaftale omkring weekendtimer og weekendtillæg.(Kræver aftale med TR/FSL).",I12="X",C12="ikke relevant")),K12,0)</f>
        <v>0</v>
      </c>
    </row>
    <row r="13" spans="1:185">
      <c r="A13" s="245">
        <f t="shared" si="17"/>
        <v>5</v>
      </c>
      <c r="B13" s="128" t="str">
        <f t="shared" si="0"/>
        <v>to</v>
      </c>
      <c r="C13" s="129" t="s">
        <v>128</v>
      </c>
      <c r="D13" s="130" t="str">
        <f t="shared" si="1"/>
        <v/>
      </c>
      <c r="E13" s="917" t="s">
        <v>218</v>
      </c>
      <c r="F13" s="918"/>
      <c r="G13" s="919"/>
      <c r="H13" s="298"/>
      <c r="I13" s="527"/>
      <c r="J13" s="413"/>
      <c r="K13" s="380"/>
      <c r="L13" s="380"/>
      <c r="M13" s="380"/>
      <c r="N13" s="318">
        <f t="shared" si="18"/>
        <v>0</v>
      </c>
      <c r="O13" s="318">
        <f t="shared" si="19"/>
        <v>0</v>
      </c>
      <c r="P13" s="318">
        <f>IF(Stamoplysninger!$H$29="JA",Juni!DG13,CX13)</f>
        <v>0</v>
      </c>
      <c r="Q13" s="318">
        <f t="shared" si="20"/>
        <v>0</v>
      </c>
      <c r="R13" s="319"/>
      <c r="S13" s="324"/>
      <c r="T13" s="325"/>
      <c r="U13" s="325"/>
      <c r="V13" s="435"/>
      <c r="W13" s="435"/>
      <c r="X13" s="644"/>
      <c r="Y13">
        <f t="shared" si="21"/>
        <v>0</v>
      </c>
      <c r="Z13" s="437">
        <f t="shared" si="22"/>
        <v>0</v>
      </c>
      <c r="AA13" s="1">
        <f t="shared" si="2"/>
        <v>0</v>
      </c>
      <c r="AB13" s="1">
        <f t="shared" si="3"/>
        <v>0</v>
      </c>
      <c r="AC13" s="1">
        <f t="shared" si="4"/>
        <v>0</v>
      </c>
      <c r="AD13" s="1">
        <f t="shared" si="5"/>
        <v>0</v>
      </c>
      <c r="AE13" s="1">
        <f t="shared" si="6"/>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9">
        <f t="shared" si="7"/>
        <v>0</v>
      </c>
      <c r="BC13" s="1">
        <f t="shared" si="24"/>
        <v>0</v>
      </c>
      <c r="BD13" s="1">
        <f t="shared" si="8"/>
        <v>0</v>
      </c>
      <c r="BE13" s="1">
        <f t="shared" si="9"/>
        <v>0</v>
      </c>
      <c r="BF13" s="1">
        <f t="shared" si="10"/>
        <v>0</v>
      </c>
      <c r="BG13" s="210" t="str">
        <f>IF(AND(C13="Skema 1",B13="ma"),Skemaoplysninger!$E$30,"")</f>
        <v/>
      </c>
      <c r="BH13" s="210" t="str">
        <f>IF(AND(C13="Skema 1",B13="ti"),Skemaoplysninger!$G$30,"")</f>
        <v/>
      </c>
      <c r="BI13" s="210" t="str">
        <f>IF(AND(C13="Skema 1",B13="on"),Skemaoplysninger!$I$30,"")</f>
        <v/>
      </c>
      <c r="BJ13" s="210" t="str">
        <f>IF(AND(C13="Skema 1",B13="to"),Skemaoplysninger!$K$30,"")</f>
        <v/>
      </c>
      <c r="BK13" s="210" t="str">
        <f>IF(AND(C13="Skema 1",B13="fr"),Skemaoplysninger!$M$30,"")</f>
        <v/>
      </c>
      <c r="BL13" s="210" t="str">
        <f>IF(AND(C13="Skema 2",B13="ma"),Skemaoplysninger!$S$30,"")</f>
        <v/>
      </c>
      <c r="BM13" s="210" t="str">
        <f>IF(AND(C13="Skema 2",B13="ti"),Skemaoplysninger!$U$30,"")</f>
        <v/>
      </c>
      <c r="BN13" s="210" t="str">
        <f>IF(AND(C13="Skema 2",B13="on"),Skemaoplysninger!$W$30,"")</f>
        <v/>
      </c>
      <c r="BO13" s="210" t="str">
        <f>IF(AND(C13="Skema 2",B13="to"),Skemaoplysninger!$Y$30,"")</f>
        <v/>
      </c>
      <c r="BP13" s="210" t="str">
        <f>IF(AND(C13="Skema 2",B13="fr"),Skemaoplysninger!$AA$30,"")</f>
        <v/>
      </c>
      <c r="BQ13" s="210" t="str">
        <f>IF(AND(C13="Skema 3",B13="ma"),Skemaoplysninger!$AG$30,"")</f>
        <v/>
      </c>
      <c r="BR13" s="210" t="str">
        <f>IF(AND(C13="Skema 3",B13="ti"),Skemaoplysninger!$AI$30,"")</f>
        <v/>
      </c>
      <c r="BS13" s="210" t="str">
        <f>IF(AND(C13="Skema 3",B13="on"),Skemaoplysninger!$AK$30,"")</f>
        <v/>
      </c>
      <c r="BT13" s="210" t="str">
        <f>IF(AND(C13="Skema 3",B13="to"),Skemaoplysninger!$AM$30,"")</f>
        <v/>
      </c>
      <c r="BU13" s="210" t="str">
        <f>IF(AND(C13="Skema 3",B13="fr"),Skemaoplysninger!$AO$30,"")</f>
        <v/>
      </c>
      <c r="BV13" s="210" t="str">
        <f>IF(AND(C13="Skema 4",B13="ma"),Skemaoplysninger!$AU$30,"")</f>
        <v/>
      </c>
      <c r="BW13" s="210" t="str">
        <f>IF(AND(C13="Skema 4",B13="ti"),Skemaoplysninger!$AW$30,"")</f>
        <v/>
      </c>
      <c r="BX13" s="210" t="str">
        <f>IF(AND(C13="Skema 4",B13="on"),Skemaoplysninger!$AY$30,"")</f>
        <v/>
      </c>
      <c r="BY13" s="210" t="str">
        <f>IF(AND(C13="Skema 4",B13="to"),Skemaoplysninger!$BA$30,"")</f>
        <v/>
      </c>
      <c r="BZ13" s="210" t="str">
        <f>IF(AND(C13="Skema 4",B13="fr"),Skemaoplysninger!$BC$30,"")</f>
        <v/>
      </c>
      <c r="CA13" s="1">
        <f t="shared" si="25"/>
        <v>0</v>
      </c>
      <c r="CB13" s="1">
        <f t="shared" si="11"/>
        <v>0</v>
      </c>
      <c r="CC13" s="1">
        <f t="shared" si="12"/>
        <v>0</v>
      </c>
      <c r="CD13" s="210" t="str">
        <f>IF(AND(C13="Skema 1",B13="ma"),Skemaoplysninger!$E$31,"")</f>
        <v/>
      </c>
      <c r="CE13" s="210" t="str">
        <f>IF(AND(C13="Skema 1",B13="ti"),Skemaoplysninger!$G$31,"")</f>
        <v/>
      </c>
      <c r="CF13" s="210" t="str">
        <f>IF(AND(C13="Skema 1",B13="on"),Skemaoplysninger!$I$31,"")</f>
        <v/>
      </c>
      <c r="CG13" s="210" t="str">
        <f>IF(AND(C13="Skema 1",B13="to"),Skemaoplysninger!$K$31,"")</f>
        <v/>
      </c>
      <c r="CH13" s="210" t="str">
        <f>IF(AND(C13="Skema 1",B13="fr"),Skemaoplysninger!$M$31,"")</f>
        <v/>
      </c>
      <c r="CI13" s="210" t="str">
        <f>IF(AND(C13="Skema 2",B13="ma"),Skemaoplysninger!$S$31,"")</f>
        <v/>
      </c>
      <c r="CJ13" s="210" t="str">
        <f>IF(AND(C13="Skema 2",B13="ti"),Skemaoplysninger!$U$31,"")</f>
        <v/>
      </c>
      <c r="CK13" s="210" t="str">
        <f>IF(AND(C13="Skema 2",B13="on"),Skemaoplysninger!$W$31,"")</f>
        <v/>
      </c>
      <c r="CL13" s="210" t="str">
        <f>IF(AND(C13="Skema 2",B13="to"),Skemaoplysninger!$Y$31,"")</f>
        <v/>
      </c>
      <c r="CM13" s="210" t="str">
        <f>IF(AND(C13="Skema 2",B13="fr"),Skemaoplysninger!$AA$31,"")</f>
        <v/>
      </c>
      <c r="CN13" s="210" t="str">
        <f>IF(AND(C13="Skema 3",B13="ma"),Skemaoplysninger!$AG$31,"")</f>
        <v/>
      </c>
      <c r="CO13" s="210" t="str">
        <f>IF(AND(C13="Skema 3",B13="ti"),Skemaoplysninger!$AI$31,"")</f>
        <v/>
      </c>
      <c r="CP13" s="210" t="str">
        <f>IF(AND(C13="Skema 3",B13="on"),Skemaoplysninger!$AK$31,"")</f>
        <v/>
      </c>
      <c r="CQ13" s="210" t="str">
        <f>IF(AND(C13="Skema 3",B13="to"),Skemaoplysninger!$AM$31,"")</f>
        <v/>
      </c>
      <c r="CR13" s="210" t="str">
        <f>IF(AND(C13="Skema 3",B13="fr"),Skemaoplysninger!$AO$31,"")</f>
        <v/>
      </c>
      <c r="CS13" s="210" t="str">
        <f>IF(AND(C13="Skema 4",B13="ma"),Skemaoplysninger!$AU$31,"")</f>
        <v/>
      </c>
      <c r="CT13" s="210" t="str">
        <f>IF(AND(C13="Skema 4",B13="ti"),Skemaoplysninger!$AW$31,"")</f>
        <v/>
      </c>
      <c r="CU13" s="210" t="str">
        <f>IF(AND(C13="Skema 4",B13="on"),Skemaoplysninger!$AY$31,"")</f>
        <v/>
      </c>
      <c r="CV13" s="210" t="str">
        <f>IF(AND(C13="Skema 4",B13="to"),Skemaoplysninger!$BA$31,"")</f>
        <v/>
      </c>
      <c r="CW13" s="210" t="str">
        <f>IF(AND(C13="Skema 4",B13="fr"),Skemaoplysninger!$BC$31,"")</f>
        <v/>
      </c>
      <c r="CX13" s="249">
        <f>IF(Stamoplysninger!$H$29="NEJ",SUM(CD13:CW13)*24+CB13+CC13,0)</f>
        <v>0</v>
      </c>
      <c r="CY13" s="249">
        <f>IF(C13="Skema 1",Stamoplysninger!$H$30/200,0)</f>
        <v>0</v>
      </c>
      <c r="CZ13" s="249">
        <f>IF(C13="Skema 2",Stamoplysninger!$H$30/200,0)</f>
        <v>0</v>
      </c>
      <c r="DA13" s="249">
        <f>IF(C13="Skema 3",Stamoplysninger!$H$30/200,0)</f>
        <v>0</v>
      </c>
      <c r="DB13" s="249">
        <f>IF(C13="Skema 4",Stamoplysninger!$H$30/200,0)</f>
        <v>0</v>
      </c>
      <c r="DC13" s="249">
        <f>IF(C13="fagdag",Stamoplysninger!$H$30/200,0)</f>
        <v>0</v>
      </c>
      <c r="DD13" s="249">
        <f>IF(C13="emnedag",Stamoplysninger!$H$30/200,0)</f>
        <v>0</v>
      </c>
      <c r="DE13" s="249">
        <f>IF(C13="lejrskole",Stamoplysninger!$H$30/200,0)</f>
        <v>0</v>
      </c>
      <c r="DF13" s="249">
        <f>IF(C13="ekskursion",Stamoplysninger!$H$30/200,0)</f>
        <v>0</v>
      </c>
      <c r="DG13" s="249">
        <f t="shared" si="26"/>
        <v>0</v>
      </c>
      <c r="DH13" t="str">
        <f t="shared" si="27"/>
        <v/>
      </c>
      <c r="DI13" t="str">
        <f t="shared" si="28"/>
        <v>Grundlovsdag</v>
      </c>
      <c r="DJ13" t="str">
        <f t="shared" si="29"/>
        <v/>
      </c>
      <c r="DK13" t="str">
        <f t="shared" si="13"/>
        <v/>
      </c>
      <c r="DL13" t="str">
        <f t="shared" si="13"/>
        <v>Grundlovsdag</v>
      </c>
      <c r="DM13" t="str">
        <f t="shared" si="13"/>
        <v/>
      </c>
      <c r="DN13" t="str">
        <f t="shared" si="30"/>
        <v>Grundlovsdag</v>
      </c>
      <c r="DO13" s="652">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71">
        <f>IF(AND(Stamoplysninger!$B$22="Ulempetillæg udbetales med 25% af nettotimelønnen.",C13="ikke relevant"),(R13)/4,0)</f>
        <v>0</v>
      </c>
      <c r="DT13" s="671">
        <f>IF(AND(AND(Stamoplysninger!$B$22="Ulempetillæg udbetales med 25% af nettotimelønnen.",I13="X",C13="Ikke relevant")),K13/4,0)</f>
        <v>0</v>
      </c>
      <c r="DU13" s="671">
        <f>IF(AND(AND(Stamoplysninger!$B$22="Ulempetillæg udbetales med 25% af nettotimelønnen.",C13="ikke relevant",U13="X")),(X13/4),0)</f>
        <v>0</v>
      </c>
      <c r="DV13" s="672">
        <f>IF(AND(AND(AND(Stamoplysninger!$B$22="Ulempetillæg udbetales med 25% af nettotimelønnen.",I13="X",C13="Ikke relevant",S13="X"))),V13/4,0)</f>
        <v>0</v>
      </c>
      <c r="DW13" s="652"/>
      <c r="DZ13" s="671"/>
      <c r="EA13" s="671"/>
      <c r="EB13" s="672"/>
      <c r="EC13" s="652">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71">
        <f>IF(AND(Stamoplysninger!$B$22="Ulempetillæg afspadseres med 25%(Kræver en aftale imellem ledelsen og den ansatte)",C13="ikke relevant"),(R13)/4,0)</f>
        <v>0</v>
      </c>
      <c r="EH13" s="671">
        <f>IF(AND(AND(Stamoplysninger!$B$22="Ulempetillæg afspadseres med 25%(Kræver en aftale imellem ledelsen og den ansatte)",I13="X",C13="Ikke relevant")),K13/4,0)</f>
        <v>0</v>
      </c>
      <c r="EI13" s="671">
        <f>IF(AND(AND(Stamoplysninger!$B$22="Ulempetillæg afspadseres med 25%(Kræver en aftale imellem ledelsen og den ansatte)",U13="X",C13="Ikke relevant")),X13/4,0)</f>
        <v>0</v>
      </c>
      <c r="EJ13" s="671">
        <f>IF(AND(AND(AND(Stamoplysninger!$B$22="Ulempetillæg afspadseres med 25%(Kræver en aftale imellem ledelsen og den ansatte)",I13="X",C13="Ikke relevant",S13="X"))),V13/4,0)</f>
        <v>0</v>
      </c>
      <c r="EK13" s="283">
        <f>IF(AND(Stamoplysninger!$B$26="Weekendtimer og weekendtillæg afspadseres.",I13="X"),K13*1.5,0)</f>
        <v>0</v>
      </c>
      <c r="EL13" s="251">
        <f>IF(AND(AND(Stamoplysninger!$B$26="Weekendtimer og weekendtillæg afspadseres.",I13="X",S13="X")),V13*1.5,0)</f>
        <v>0</v>
      </c>
      <c r="EM13" s="674">
        <f>IF(AND(AND(Stamoplysninger!$B$26="Weekendtimer og weekendtillæg afspadseres.",I13="X",C13="ikke relevant")),K13*1.5,0)</f>
        <v>0</v>
      </c>
      <c r="EN13" s="675">
        <f>IF(AND(AND(AND(Stamoplysninger!$B$26="Weekendtimer og weekendtillæg afspadseres.",I13="X",C13="ikke relevant",S13="X"))),(V13*1.5),0)</f>
        <v>0</v>
      </c>
      <c r="EO13" s="283">
        <f>IF(AND(Stamoplysninger!$B$26="Weekendtimer og weekendtillæg udbetales.",I13="X"),K13*1.5,0)</f>
        <v>0</v>
      </c>
      <c r="EP13" s="251">
        <f>IF(AND(AND(Stamoplysninger!$B$26="Weekendtimer og weekendtillæg udbetales.",I13="X",S13="X")),V13*1.5,0)</f>
        <v>0</v>
      </c>
      <c r="EQ13" s="674">
        <f>IF(AND(AND(Stamoplysninger!$B$26="Weekendtimer og weekendtillæg udbetales.",I13="X",C13="ikke relevant")),K13*1.5,0)</f>
        <v>0</v>
      </c>
      <c r="ER13" s="675">
        <f>IF(AND(AND(AND(Stamoplysninger!$B$26="Weekendtimer og weekendtillæg udbetales.",I13="X",C13="ikke relevant",S13="X"))),(V13*1.5),0)</f>
        <v>0</v>
      </c>
      <c r="ES13" s="283">
        <f>IF(AND(Stamoplysninger!$B$26="Der er indgået lokalaftale omkring weekendtimer.(Kræver aftale med TR/FSL) Weekendtillæg afspadseres.",I13="X"),K13*0.5,0)</f>
        <v>0</v>
      </c>
      <c r="ET13" s="251">
        <f>IF(AND(AND(Stamoplysninger!$B$26="Der er indgået lokalaftale omkring weekendtimer.(Kræver aftale med TR/FSL) Weekendtillæg afspadseres.",I13="X",S13="X")),V13*0.5,0)</f>
        <v>0</v>
      </c>
      <c r="EU13" s="674">
        <f>IF(AND(AND(Stamoplysninger!$B$26="Der er indgået lokalaftale omkring weekendtimer.(Kræver aftale med TR/FSL) Weekendtillæg afspadseres.",I13="X",C13="ikke relevant")),K13*0.5,0)</f>
        <v>0</v>
      </c>
      <c r="EV13" s="675">
        <f>IF(AND(AND(AND(Stamoplysninger!$B$26="Der er indgået lokalaftale omkring weekendtimer.(Kræver aftale med TR/FSL) Weekendtillæg afspadseres.",I13="X",C13="ikke relevant",S13="X"))),(V13*0.5),0)</f>
        <v>0</v>
      </c>
      <c r="EW13" s="283">
        <f>IF(AND(Stamoplysninger!$B$26="Der er indgået lokalaftale omkring weekendtimer(Kræver aftale med TR/FSL). Weekendtillæg udbetales.",I13="X"),K13*0.5,0)</f>
        <v>0</v>
      </c>
      <c r="EX13" s="251">
        <f>IF(AND(AND(Stamoplysninger!$B$26="Der er indgået lokalaftale omkring weekendtimer(Kræver aftale med TR/FSL). Weekendtillæg udbetales.",I13="X",S13="X")),V13*0.5,0)</f>
        <v>0</v>
      </c>
      <c r="EY13" s="674">
        <f>IF(AND(AND(Stamoplysninger!$B$26="Der er indgået lokalaftale omkring weekendtimer(Kræver aftale med TR/FSL). Weekendtillæg udbetales.",I13="X",C13="ikke relevant")),K13*0.5,0)</f>
        <v>0</v>
      </c>
      <c r="EZ13" s="675">
        <f>IF(AND(AND(AND(Stamoplysninger!$B$26="Der er indgået lokalaftale omkring weekendtimer(Kræver aftale med TR/FSL). Weekendtillæg udbetales.",I13="X",C13="ikke relevant",S13="X"))),(V13*0.5),0)</f>
        <v>0</v>
      </c>
      <c r="FA13" s="283">
        <f>IF(AND(Stamoplysninger!$B$26="Der er indgået lokalaftale omkring weekendtillæg(Kræver aftale med TR/FSL). Weekendtimerne afspadseres.",I13="X"),K13,0)</f>
        <v>0</v>
      </c>
      <c r="FB13" s="251">
        <f>IF(AND(AND(Stamoplysninger!$B$26="Der er indgået lokalaftale omkring weekendtillæg(Kræver aftale med TR/FSL). Weekendtimerne afspadseres.",I13="X",S13="X")),V13,0)</f>
        <v>0</v>
      </c>
      <c r="FC13" s="674">
        <f>IF(AND(AND(Stamoplysninger!$B$26="Der er indgået lokalaftale omkring weekendtillæg(Kræver aftale med TR/FSL). Weekendtimerne afspadseres..",I13="X",C13="ikke relevant")),K13,0)</f>
        <v>0</v>
      </c>
      <c r="FD13" s="675">
        <f>IF(AND(AND(AND(Stamoplysninger!$B$26="Der er indgået lokalaftale omkring weekendtillæg(Kræver aftale med TR/FSL). Weekendtimerne afspadseres.",I13="X",C13="ikke relevant",S13="X"))),(V13),0)</f>
        <v>0</v>
      </c>
      <c r="FE13" s="283">
        <f>IF(AND(Stamoplysninger!$B$26="Der er indgået lokalaftale omkring weekendtillæg(Kræver aftale med TR/FSL). Weekendtimerne udbetales.",I13="X"),K13,0)</f>
        <v>0</v>
      </c>
      <c r="FF13" s="251">
        <f>IF(AND(AND(Stamoplysninger!$B$26="Der er indgået lokalaftale omkring weekendtillæg(Kræver aftale med TR/FSL). Weekendtimerne udbetales.",I13="X",S13="X")),V13,0)</f>
        <v>0</v>
      </c>
      <c r="FG13" s="674">
        <f>IF(AND(AND(Stamoplysninger!$B$26="Der er indgået lokalaftale omkring weekendtillæg(Kræver aftale med TR/FSL). Weekendtimerne udbetales.",I13="X",C13="ikke relevant")),K13,0)</f>
        <v>0</v>
      </c>
      <c r="FH13" s="675">
        <f>IF(AND(AND(AND(Stamoplysninger!$B$26="Der er indgået lokalaftale omkring weekendtillæg(Kræver aftale med TR/FSL). Weekendtimerne udbetales.",I13="X",C13="ikke relevant",S13="X"))),(V13),0)</f>
        <v>0</v>
      </c>
      <c r="FI13" s="283">
        <f>IF(AND(Stamoplysninger!$B$26="Weekendtimer og weekendtillæg afspadseres.",I13="X"),K13,0)</f>
        <v>0</v>
      </c>
      <c r="FJ13" s="251">
        <f>IF(AND(Stamoplysninger!$B$26="Weekendtimer og weekendtillæg afspadseres.",Y13="X"),(AA13+AL13)/2,0)</f>
        <v>0</v>
      </c>
      <c r="FK13" s="674">
        <f>IF(AND(AND(Stamoplysninger!$B$26="Weekendtimer og weekendtillæg afspadseres.",I13="X",C13="ikke relevant")),K13,0)</f>
        <v>0</v>
      </c>
      <c r="FL13" s="675">
        <f>IF(AND(AND(Stamoplysninger!$B$26="Weekendtimer og weekendtillæg afspadseres.",Y13="X",S13="ikke relevant")),(AA13+AL13)/2,0)</f>
        <v>0</v>
      </c>
      <c r="FM13" s="283">
        <f>IF(AND(Stamoplysninger!$B$26="Der er indgået lokalaftale omkring weekendtillæg(Kræver aftale med TR/FSL). Weekendtimerne afspadseres.",I13="X"),K13,0)</f>
        <v>0</v>
      </c>
      <c r="FN13" s="674">
        <f>IF(AND(AND(Stamoplysninger!$B$26="Der er indgået lokalaftale omkring weekendtillæg(Kræver aftale med TR/FSL). Weekendtimerne afspadseres.",I13="X",C13="ikke relevant")),K13,0)</f>
        <v>0</v>
      </c>
      <c r="FO13" s="283">
        <f>IF(AND(Stamoplysninger!$B$26="Weekendtimer og weekendtillæg udbetales.",I13="X"),K13,0)</f>
        <v>0</v>
      </c>
      <c r="FP13" s="251">
        <f>IF(AND(Stamoplysninger!$B$26="Weekendtimer og weekendtillæg udbetales.",AA13="X"),(AC13+AN13)/2,0)</f>
        <v>0</v>
      </c>
      <c r="FQ13" s="674">
        <f>IF(AND(AND(Stamoplysninger!$B$26="Weekendtimer og weekendtillæg udbetales.",I13="X",C13="ikke relevant")),K13,0)</f>
        <v>0</v>
      </c>
      <c r="FR13" s="688">
        <f>IF(AND(AND(Stamoplysninger!$B$26="Weekendtimer og weekendtillæg udbetales.",AA13="X",U13="ikke relevant")),(AC13+AN13)/2,0)</f>
        <v>0</v>
      </c>
      <c r="FS13" s="283">
        <f t="shared" si="14"/>
        <v>0</v>
      </c>
      <c r="FT13" s="658">
        <f t="shared" si="15"/>
        <v>0</v>
      </c>
      <c r="FU13">
        <f t="shared" si="16"/>
        <v>0</v>
      </c>
      <c r="FV13" s="283">
        <f>IF(AND(Stamoplysninger!$B$26="Der er indgået lokalaftale omkring weekendtimer.(Kræver aftale med TR/FSL) Weekendtillæg afspadseres.",I13="X"),K13,0)</f>
        <v>0</v>
      </c>
      <c r="FW13" s="674">
        <f>IF(AND(AND(Stamoplysninger!$B$26="Der er indgået lokalaftale omkring weekendtimer.(Kræver aftale med TR/FSL) Weekendtillæg afspadseres.",I13="X",C13="ikke relevant")),K13,0)</f>
        <v>0</v>
      </c>
      <c r="FX13" s="283">
        <f>IF(AND(Stamoplysninger!$B$26="Der er indgået lokalaftale omkring weekendtimer(Kræver aftale med TR/FSL). Weekendtillæg udbetales.",I13="X"),K13,0)</f>
        <v>0</v>
      </c>
      <c r="FY13" s="674">
        <f>IF(AND(AND(Stamoplysninger!$B$26="Der er indgået lokalaftale omkring weekendtimer(Kræver aftale med TR/FSL). Weekendtillæg udbetales.",I13="X",C13="ikke relevant")),K13,0)</f>
        <v>0</v>
      </c>
      <c r="FZ13" s="283">
        <f>IF(AND(Stamoplysninger!$B$26="Der er indgået lokalaftale omkring weekendtillæg(Kræver aftale med TR/FSL). Weekendtimerne udbetales.",I13="X"),K13,0)</f>
        <v>0</v>
      </c>
      <c r="GA13" s="674">
        <f>IF(AND(AND(Stamoplysninger!$B$26="Der er indgået lokalaftale omkring weekendtillæg(Kræver aftale med TR/FSL). Weekendtimerne udbetales.",I13="X",C13="ikke relevant")),K13,0)</f>
        <v>0</v>
      </c>
      <c r="GB13" s="283">
        <f>IF(AND(Stamoplysninger!$B$26="Der er indgået lokalaftale omkring weekendtimer og weekendtillæg.(Kræver aftale med TR/FSL).",I13="X"),K13,0)</f>
        <v>0</v>
      </c>
      <c r="GC13" s="674">
        <f>IF(AND(AND(Stamoplysninger!$B$26="Der er indgået lokalaftale omkring weekendtimer og weekendtillæg.(Kræver aftale med TR/FSL).",I13="X",C13="ikke relevant")),K13,0)</f>
        <v>0</v>
      </c>
    </row>
    <row r="14" spans="1:185" ht="16" customHeight="1">
      <c r="A14" s="245">
        <f t="shared" si="17"/>
        <v>6</v>
      </c>
      <c r="B14" s="128" t="str">
        <f t="shared" si="0"/>
        <v>fr</v>
      </c>
      <c r="C14" s="129" t="s">
        <v>207</v>
      </c>
      <c r="D14" s="130" t="str">
        <f t="shared" si="1"/>
        <v/>
      </c>
      <c r="E14" s="917"/>
      <c r="F14" s="918"/>
      <c r="G14" s="919"/>
      <c r="H14" s="298"/>
      <c r="I14" s="527"/>
      <c r="J14" s="413"/>
      <c r="K14" s="380"/>
      <c r="L14" s="380"/>
      <c r="M14" s="380"/>
      <c r="N14" s="318">
        <f t="shared" si="18"/>
        <v>7</v>
      </c>
      <c r="O14" s="318">
        <f t="shared" si="19"/>
        <v>3</v>
      </c>
      <c r="P14" s="318">
        <f>IF(Stamoplysninger!$H$29="JA",Juni!DG14,CX14)</f>
        <v>0.83333333333333337</v>
      </c>
      <c r="Q14" s="318">
        <f t="shared" si="20"/>
        <v>3.1666666666666665</v>
      </c>
      <c r="R14" s="319"/>
      <c r="S14" s="324"/>
      <c r="T14" s="325"/>
      <c r="U14" s="325"/>
      <c r="V14" s="435"/>
      <c r="W14" s="435"/>
      <c r="X14" s="644"/>
      <c r="Y14">
        <f t="shared" si="21"/>
        <v>0</v>
      </c>
      <c r="Z14" s="437">
        <f t="shared" si="22"/>
        <v>0</v>
      </c>
      <c r="AA14" s="1">
        <f t="shared" si="2"/>
        <v>0</v>
      </c>
      <c r="AB14" s="1">
        <f t="shared" si="3"/>
        <v>0</v>
      </c>
      <c r="AC14" s="1">
        <f t="shared" si="4"/>
        <v>0</v>
      </c>
      <c r="AD14" s="1">
        <f t="shared" si="5"/>
        <v>0</v>
      </c>
      <c r="AE14" s="1">
        <f t="shared" si="6"/>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f>IF(AND(C14="Skema 2",B14="fr"),Arbejdstidsoversigt!$E$85,"")</f>
        <v>7</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7</v>
      </c>
      <c r="BB14" s="229">
        <f t="shared" si="7"/>
        <v>0</v>
      </c>
      <c r="BC14" s="1">
        <f t="shared" si="24"/>
        <v>0</v>
      </c>
      <c r="BD14" s="1">
        <f t="shared" si="8"/>
        <v>0</v>
      </c>
      <c r="BE14" s="1">
        <f t="shared" si="9"/>
        <v>0</v>
      </c>
      <c r="BF14" s="1">
        <f t="shared" si="10"/>
        <v>0</v>
      </c>
      <c r="BG14" s="210" t="str">
        <f>IF(AND(C14="Skema 1",B14="ma"),Skemaoplysninger!$E$30,"")</f>
        <v/>
      </c>
      <c r="BH14" s="210" t="str">
        <f>IF(AND(C14="Skema 1",B14="ti"),Skemaoplysninger!$G$30,"")</f>
        <v/>
      </c>
      <c r="BI14" s="210" t="str">
        <f>IF(AND(C14="Skema 1",B14="on"),Skemaoplysninger!$I$30,"")</f>
        <v/>
      </c>
      <c r="BJ14" s="210" t="str">
        <f>IF(AND(C14="Skema 1",B14="to"),Skemaoplysninger!$K$30,"")</f>
        <v/>
      </c>
      <c r="BK14" s="210" t="str">
        <f>IF(AND(C14="Skema 1",B14="fr"),Skemaoplysninger!$M$30,"")</f>
        <v/>
      </c>
      <c r="BL14" s="210" t="str">
        <f>IF(AND(C14="Skema 2",B14="ma"),Skemaoplysninger!$S$30,"")</f>
        <v/>
      </c>
      <c r="BM14" s="210" t="str">
        <f>IF(AND(C14="Skema 2",B14="ti"),Skemaoplysninger!$U$30,"")</f>
        <v/>
      </c>
      <c r="BN14" s="210" t="str">
        <f>IF(AND(C14="Skema 2",B14="on"),Skemaoplysninger!$W$30,"")</f>
        <v/>
      </c>
      <c r="BO14" s="210" t="str">
        <f>IF(AND(C14="Skema 2",B14="to"),Skemaoplysninger!$Y$30,"")</f>
        <v/>
      </c>
      <c r="BP14" s="210">
        <f>IF(AND(C14="Skema 2",B14="fr"),Skemaoplysninger!$AA$30,"")</f>
        <v>0.125</v>
      </c>
      <c r="BQ14" s="210" t="str">
        <f>IF(AND(C14="Skema 3",B14="ma"),Skemaoplysninger!$AG$30,"")</f>
        <v/>
      </c>
      <c r="BR14" s="210" t="str">
        <f>IF(AND(C14="Skema 3",B14="ti"),Skemaoplysninger!$AI$30,"")</f>
        <v/>
      </c>
      <c r="BS14" s="210" t="str">
        <f>IF(AND(C14="Skema 3",B14="on"),Skemaoplysninger!$AK$30,"")</f>
        <v/>
      </c>
      <c r="BT14" s="210" t="str">
        <f>IF(AND(C14="Skema 3",B14="to"),Skemaoplysninger!$AM$30,"")</f>
        <v/>
      </c>
      <c r="BU14" s="210" t="str">
        <f>IF(AND(C14="Skema 3",B14="fr"),Skemaoplysninger!$AO$30,"")</f>
        <v/>
      </c>
      <c r="BV14" s="210" t="str">
        <f>IF(AND(C14="Skema 4",B14="ma"),Skemaoplysninger!$AU$30,"")</f>
        <v/>
      </c>
      <c r="BW14" s="210" t="str">
        <f>IF(AND(C14="Skema 4",B14="ti"),Skemaoplysninger!$AW$30,"")</f>
        <v/>
      </c>
      <c r="BX14" s="210" t="str">
        <f>IF(AND(C14="Skema 4",B14="on"),Skemaoplysninger!$AY$30,"")</f>
        <v/>
      </c>
      <c r="BY14" s="210" t="str">
        <f>IF(AND(C14="Skema 4",B14="to"),Skemaoplysninger!$BA$30,"")</f>
        <v/>
      </c>
      <c r="BZ14" s="210" t="str">
        <f>IF(AND(C14="Skema 4",B14="fr"),Skemaoplysninger!$BC$30,"")</f>
        <v/>
      </c>
      <c r="CA14" s="1">
        <f t="shared" si="25"/>
        <v>3</v>
      </c>
      <c r="CB14" s="1">
        <f t="shared" si="11"/>
        <v>0</v>
      </c>
      <c r="CC14" s="1">
        <f t="shared" si="12"/>
        <v>0</v>
      </c>
      <c r="CD14" s="210" t="str">
        <f>IF(AND(C14="Skema 1",B14="ma"),Skemaoplysninger!$E$31,"")</f>
        <v/>
      </c>
      <c r="CE14" s="210" t="str">
        <f>IF(AND(C14="Skema 1",B14="ti"),Skemaoplysninger!$G$31,"")</f>
        <v/>
      </c>
      <c r="CF14" s="210" t="str">
        <f>IF(AND(C14="Skema 1",B14="on"),Skemaoplysninger!$I$31,"")</f>
        <v/>
      </c>
      <c r="CG14" s="210" t="str">
        <f>IF(AND(C14="Skema 1",B14="to"),Skemaoplysninger!$K$31,"")</f>
        <v/>
      </c>
      <c r="CH14" s="210" t="str">
        <f>IF(AND(C14="Skema 1",B14="fr"),Skemaoplysninger!$M$31,"")</f>
        <v/>
      </c>
      <c r="CI14" s="210" t="str">
        <f>IF(AND(C14="Skema 2",B14="ma"),Skemaoplysninger!$S$31,"")</f>
        <v/>
      </c>
      <c r="CJ14" s="210" t="str">
        <f>IF(AND(C14="Skema 2",B14="ti"),Skemaoplysninger!$U$31,"")</f>
        <v/>
      </c>
      <c r="CK14" s="210" t="str">
        <f>IF(AND(C14="Skema 2",B14="on"),Skemaoplysninger!$W$31,"")</f>
        <v/>
      </c>
      <c r="CL14" s="210" t="str">
        <f>IF(AND(C14="Skema 2",B14="to"),Skemaoplysninger!$Y$31,"")</f>
        <v/>
      </c>
      <c r="CM14" s="210">
        <f>IF(AND(C14="Skema 2",B14="fr"),Skemaoplysninger!$AA$31,"")</f>
        <v>3.4722222222222224E-2</v>
      </c>
      <c r="CN14" s="210" t="str">
        <f>IF(AND(C14="Skema 3",B14="ma"),Skemaoplysninger!$AG$31,"")</f>
        <v/>
      </c>
      <c r="CO14" s="210" t="str">
        <f>IF(AND(C14="Skema 3",B14="ti"),Skemaoplysninger!$AI$31,"")</f>
        <v/>
      </c>
      <c r="CP14" s="210" t="str">
        <f>IF(AND(C14="Skema 3",B14="on"),Skemaoplysninger!$AK$31,"")</f>
        <v/>
      </c>
      <c r="CQ14" s="210" t="str">
        <f>IF(AND(C14="Skema 3",B14="to"),Skemaoplysninger!$AM$31,"")</f>
        <v/>
      </c>
      <c r="CR14" s="210" t="str">
        <f>IF(AND(C14="Skema 3",B14="fr"),Skemaoplysninger!$AO$31,"")</f>
        <v/>
      </c>
      <c r="CS14" s="210" t="str">
        <f>IF(AND(C14="Skema 4",B14="ma"),Skemaoplysninger!$AU$31,"")</f>
        <v/>
      </c>
      <c r="CT14" s="210" t="str">
        <f>IF(AND(C14="Skema 4",B14="ti"),Skemaoplysninger!$AW$31,"")</f>
        <v/>
      </c>
      <c r="CU14" s="210" t="str">
        <f>IF(AND(C14="Skema 4",B14="on"),Skemaoplysninger!$AY$31,"")</f>
        <v/>
      </c>
      <c r="CV14" s="210" t="str">
        <f>IF(AND(C14="Skema 4",B14="to"),Skemaoplysninger!$BA$31,"")</f>
        <v/>
      </c>
      <c r="CW14" s="210" t="str">
        <f>IF(AND(C14="Skema 4",B14="fr"),Skemaoplysninger!$BC$31,"")</f>
        <v/>
      </c>
      <c r="CX14" s="249">
        <f>IF(Stamoplysninger!$H$29="NEJ",SUM(CD14:CW14)*24+CB14+CC14,0)</f>
        <v>0.83333333333333337</v>
      </c>
      <c r="CY14" s="249">
        <f>IF(C14="Skema 1",Stamoplysninger!$H$30/200,0)</f>
        <v>0</v>
      </c>
      <c r="CZ14" s="249">
        <f>IF(C14="Skema 2",Stamoplysninger!$H$30/200,0)</f>
        <v>0</v>
      </c>
      <c r="DA14" s="249">
        <f>IF(C14="Skema 3",Stamoplysninger!$H$30/200,0)</f>
        <v>0</v>
      </c>
      <c r="DB14" s="249">
        <f>IF(C14="Skema 4",Stamoplysninger!$H$30/200,0)</f>
        <v>0</v>
      </c>
      <c r="DC14" s="249">
        <f>IF(C14="fagdag",Stamoplysninger!$H$30/200,0)</f>
        <v>0</v>
      </c>
      <c r="DD14" s="249">
        <f>IF(C14="emnedag",Stamoplysninger!$H$30/200,0)</f>
        <v>0</v>
      </c>
      <c r="DE14" s="249">
        <f>IF(C14="lejrskole",Stamoplysninger!$H$30/200,0)</f>
        <v>0</v>
      </c>
      <c r="DF14" s="249">
        <f>IF(C14="ekskursion",Stamoplysninger!$H$30/200,0)</f>
        <v>0</v>
      </c>
      <c r="DG14" s="249">
        <f t="shared" si="26"/>
        <v>0</v>
      </c>
      <c r="DH14" t="str">
        <f t="shared" si="27"/>
        <v/>
      </c>
      <c r="DI14">
        <f t="shared" si="28"/>
        <v>0</v>
      </c>
      <c r="DJ14">
        <f t="shared" si="29"/>
        <v>0</v>
      </c>
      <c r="DK14" t="str">
        <f t="shared" si="13"/>
        <v/>
      </c>
      <c r="DL14" t="str">
        <f t="shared" si="13"/>
        <v/>
      </c>
      <c r="DM14" t="str">
        <f t="shared" si="13"/>
        <v/>
      </c>
      <c r="DN14" t="str">
        <f t="shared" si="30"/>
        <v/>
      </c>
      <c r="DO14" s="652">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71">
        <f>IF(AND(Stamoplysninger!$B$22="Ulempetillæg udbetales med 25% af nettotimelønnen.",C14="ikke relevant"),(R14)/4,0)</f>
        <v>0</v>
      </c>
      <c r="DT14" s="671">
        <f>IF(AND(AND(Stamoplysninger!$B$22="Ulempetillæg udbetales med 25% af nettotimelønnen.",I14="X",C14="Ikke relevant")),K14/4,0)</f>
        <v>0</v>
      </c>
      <c r="DU14" s="671">
        <f>IF(AND(AND(Stamoplysninger!$B$22="Ulempetillæg udbetales med 25% af nettotimelønnen.",C14="ikke relevant",U14="X")),(X14/4),0)</f>
        <v>0</v>
      </c>
      <c r="DV14" s="672">
        <f>IF(AND(AND(AND(Stamoplysninger!$B$22="Ulempetillæg udbetales med 25% af nettotimelønnen.",I14="X",C14="Ikke relevant",S14="X"))),V14/4,0)</f>
        <v>0</v>
      </c>
      <c r="DW14" s="652"/>
      <c r="DZ14" s="671"/>
      <c r="EA14" s="671"/>
      <c r="EB14" s="672"/>
      <c r="EC14" s="652">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71">
        <f>IF(AND(Stamoplysninger!$B$22="Ulempetillæg afspadseres med 25%(Kræver en aftale imellem ledelsen og den ansatte)",C14="ikke relevant"),(R14)/4,0)</f>
        <v>0</v>
      </c>
      <c r="EH14" s="671">
        <f>IF(AND(AND(Stamoplysninger!$B$22="Ulempetillæg afspadseres med 25%(Kræver en aftale imellem ledelsen og den ansatte)",I14="X",C14="Ikke relevant")),K14/4,0)</f>
        <v>0</v>
      </c>
      <c r="EI14" s="671">
        <f>IF(AND(AND(Stamoplysninger!$B$22="Ulempetillæg afspadseres med 25%(Kræver en aftale imellem ledelsen og den ansatte)",U14="X",C14="Ikke relevant")),X14/4,0)</f>
        <v>0</v>
      </c>
      <c r="EJ14" s="671">
        <f>IF(AND(AND(AND(Stamoplysninger!$B$22="Ulempetillæg afspadseres med 25%(Kræver en aftale imellem ledelsen og den ansatte)",I14="X",C14="Ikke relevant",S14="X"))),V14/4,0)</f>
        <v>0</v>
      </c>
      <c r="EK14" s="283">
        <f>IF(AND(Stamoplysninger!$B$26="Weekendtimer og weekendtillæg afspadseres.",I14="X"),K14*1.5,0)</f>
        <v>0</v>
      </c>
      <c r="EL14" s="251">
        <f>IF(AND(AND(Stamoplysninger!$B$26="Weekendtimer og weekendtillæg afspadseres.",I14="X",S14="X")),V14*1.5,0)</f>
        <v>0</v>
      </c>
      <c r="EM14" s="674">
        <f>IF(AND(AND(Stamoplysninger!$B$26="Weekendtimer og weekendtillæg afspadseres.",I14="X",C14="ikke relevant")),K14*1.5,0)</f>
        <v>0</v>
      </c>
      <c r="EN14" s="675">
        <f>IF(AND(AND(AND(Stamoplysninger!$B$26="Weekendtimer og weekendtillæg afspadseres.",I14="X",C14="ikke relevant",S14="X"))),(V14*1.5),0)</f>
        <v>0</v>
      </c>
      <c r="EO14" s="283">
        <f>IF(AND(Stamoplysninger!$B$26="Weekendtimer og weekendtillæg udbetales.",I14="X"),K14*1.5,0)</f>
        <v>0</v>
      </c>
      <c r="EP14" s="251">
        <f>IF(AND(AND(Stamoplysninger!$B$26="Weekendtimer og weekendtillæg udbetales.",I14="X",S14="X")),V14*1.5,0)</f>
        <v>0</v>
      </c>
      <c r="EQ14" s="674">
        <f>IF(AND(AND(Stamoplysninger!$B$26="Weekendtimer og weekendtillæg udbetales.",I14="X",C14="ikke relevant")),K14*1.5,0)</f>
        <v>0</v>
      </c>
      <c r="ER14" s="675">
        <f>IF(AND(AND(AND(Stamoplysninger!$B$26="Weekendtimer og weekendtillæg udbetales.",I14="X",C14="ikke relevant",S14="X"))),(V14*1.5),0)</f>
        <v>0</v>
      </c>
      <c r="ES14" s="283">
        <f>IF(AND(Stamoplysninger!$B$26="Der er indgået lokalaftale omkring weekendtimer.(Kræver aftale med TR/FSL) Weekendtillæg afspadseres.",I14="X"),K14*0.5,0)</f>
        <v>0</v>
      </c>
      <c r="ET14" s="251">
        <f>IF(AND(AND(Stamoplysninger!$B$26="Der er indgået lokalaftale omkring weekendtimer.(Kræver aftale med TR/FSL) Weekendtillæg afspadseres.",I14="X",S14="X")),V14*0.5,0)</f>
        <v>0</v>
      </c>
      <c r="EU14" s="674">
        <f>IF(AND(AND(Stamoplysninger!$B$26="Der er indgået lokalaftale omkring weekendtimer.(Kræver aftale med TR/FSL) Weekendtillæg afspadseres.",I14="X",C14="ikke relevant")),K14*0.5,0)</f>
        <v>0</v>
      </c>
      <c r="EV14" s="675">
        <f>IF(AND(AND(AND(Stamoplysninger!$B$26="Der er indgået lokalaftale omkring weekendtimer.(Kræver aftale med TR/FSL) Weekendtillæg afspadseres.",I14="X",C14="ikke relevant",S14="X"))),(V14*0.5),0)</f>
        <v>0</v>
      </c>
      <c r="EW14" s="283">
        <f>IF(AND(Stamoplysninger!$B$26="Der er indgået lokalaftale omkring weekendtimer(Kræver aftale med TR/FSL). Weekendtillæg udbetales.",I14="X"),K14*0.5,0)</f>
        <v>0</v>
      </c>
      <c r="EX14" s="251">
        <f>IF(AND(AND(Stamoplysninger!$B$26="Der er indgået lokalaftale omkring weekendtimer(Kræver aftale med TR/FSL). Weekendtillæg udbetales.",I14="X",S14="X")),V14*0.5,0)</f>
        <v>0</v>
      </c>
      <c r="EY14" s="674">
        <f>IF(AND(AND(Stamoplysninger!$B$26="Der er indgået lokalaftale omkring weekendtimer(Kræver aftale med TR/FSL). Weekendtillæg udbetales.",I14="X",C14="ikke relevant")),K14*0.5,0)</f>
        <v>0</v>
      </c>
      <c r="EZ14" s="675">
        <f>IF(AND(AND(AND(Stamoplysninger!$B$26="Der er indgået lokalaftale omkring weekendtimer(Kræver aftale med TR/FSL). Weekendtillæg udbetales.",I14="X",C14="ikke relevant",S14="X"))),(V14*0.5),0)</f>
        <v>0</v>
      </c>
      <c r="FA14" s="283">
        <f>IF(AND(Stamoplysninger!$B$26="Der er indgået lokalaftale omkring weekendtillæg(Kræver aftale med TR/FSL). Weekendtimerne afspadseres.",I14="X"),K14,0)</f>
        <v>0</v>
      </c>
      <c r="FB14" s="251">
        <f>IF(AND(AND(Stamoplysninger!$B$26="Der er indgået lokalaftale omkring weekendtillæg(Kræver aftale med TR/FSL). Weekendtimerne afspadseres.",I14="X",S14="X")),V14,0)</f>
        <v>0</v>
      </c>
      <c r="FC14" s="674">
        <f>IF(AND(AND(Stamoplysninger!$B$26="Der er indgået lokalaftale omkring weekendtillæg(Kræver aftale med TR/FSL). Weekendtimerne afspadseres..",I14="X",C14="ikke relevant")),K14,0)</f>
        <v>0</v>
      </c>
      <c r="FD14" s="675">
        <f>IF(AND(AND(AND(Stamoplysninger!$B$26="Der er indgået lokalaftale omkring weekendtillæg(Kræver aftale med TR/FSL). Weekendtimerne afspadseres.",I14="X",C14="ikke relevant",S14="X"))),(V14),0)</f>
        <v>0</v>
      </c>
      <c r="FE14" s="283">
        <f>IF(AND(Stamoplysninger!$B$26="Der er indgået lokalaftale omkring weekendtillæg(Kræver aftale med TR/FSL). Weekendtimerne udbetales.",I14="X"),K14,0)</f>
        <v>0</v>
      </c>
      <c r="FF14" s="251">
        <f>IF(AND(AND(Stamoplysninger!$B$26="Der er indgået lokalaftale omkring weekendtillæg(Kræver aftale med TR/FSL). Weekendtimerne udbetales.",I14="X",S14="X")),V14,0)</f>
        <v>0</v>
      </c>
      <c r="FG14" s="674">
        <f>IF(AND(AND(Stamoplysninger!$B$26="Der er indgået lokalaftale omkring weekendtillæg(Kræver aftale med TR/FSL). Weekendtimerne udbetales.",I14="X",C14="ikke relevant")),K14,0)</f>
        <v>0</v>
      </c>
      <c r="FH14" s="675">
        <f>IF(AND(AND(AND(Stamoplysninger!$B$26="Der er indgået lokalaftale omkring weekendtillæg(Kræver aftale med TR/FSL). Weekendtimerne udbetales.",I14="X",C14="ikke relevant",S14="X"))),(V14),0)</f>
        <v>0</v>
      </c>
      <c r="FI14" s="283">
        <f>IF(AND(Stamoplysninger!$B$26="Weekendtimer og weekendtillæg afspadseres.",I14="X"),K14,0)</f>
        <v>0</v>
      </c>
      <c r="FJ14" s="251">
        <f>IF(AND(Stamoplysninger!$B$26="Weekendtimer og weekendtillæg afspadseres.",Y14="X"),(AA14+AL14)/2,0)</f>
        <v>0</v>
      </c>
      <c r="FK14" s="674">
        <f>IF(AND(AND(Stamoplysninger!$B$26="Weekendtimer og weekendtillæg afspadseres.",I14="X",C14="ikke relevant")),K14,0)</f>
        <v>0</v>
      </c>
      <c r="FL14" s="675">
        <f>IF(AND(AND(Stamoplysninger!$B$26="Weekendtimer og weekendtillæg afspadseres.",Y14="X",S14="ikke relevant")),(AA14+AL14)/2,0)</f>
        <v>0</v>
      </c>
      <c r="FM14" s="283">
        <f>IF(AND(Stamoplysninger!$B$26="Der er indgået lokalaftale omkring weekendtillæg(Kræver aftale med TR/FSL). Weekendtimerne afspadseres.",I14="X"),K14,0)</f>
        <v>0</v>
      </c>
      <c r="FN14" s="674">
        <f>IF(AND(AND(Stamoplysninger!$B$26="Der er indgået lokalaftale omkring weekendtillæg(Kræver aftale med TR/FSL). Weekendtimerne afspadseres.",I14="X",C14="ikke relevant")),K14,0)</f>
        <v>0</v>
      </c>
      <c r="FO14" s="283">
        <f>IF(AND(Stamoplysninger!$B$26="Weekendtimer og weekendtillæg udbetales.",I14="X"),K14,0)</f>
        <v>0</v>
      </c>
      <c r="FP14" s="251">
        <f>IF(AND(Stamoplysninger!$B$26="Weekendtimer og weekendtillæg udbetales.",AA14="X"),(AC14+AN14)/2,0)</f>
        <v>0</v>
      </c>
      <c r="FQ14" s="674">
        <f>IF(AND(AND(Stamoplysninger!$B$26="Weekendtimer og weekendtillæg udbetales.",I14="X",C14="ikke relevant")),K14,0)</f>
        <v>0</v>
      </c>
      <c r="FR14" s="688">
        <f>IF(AND(AND(Stamoplysninger!$B$26="Weekendtimer og weekendtillæg udbetales.",AA14="X",U14="ikke relevant")),(AC14+AN14)/2,0)</f>
        <v>0</v>
      </c>
      <c r="FS14" s="283">
        <f t="shared" si="14"/>
        <v>0</v>
      </c>
      <c r="FT14" s="658">
        <f t="shared" si="15"/>
        <v>0</v>
      </c>
      <c r="FU14">
        <f t="shared" si="16"/>
        <v>0</v>
      </c>
      <c r="FV14" s="283">
        <f>IF(AND(Stamoplysninger!$B$26="Der er indgået lokalaftale omkring weekendtimer.(Kræver aftale med TR/FSL) Weekendtillæg afspadseres.",I14="X"),K14,0)</f>
        <v>0</v>
      </c>
      <c r="FW14" s="674">
        <f>IF(AND(AND(Stamoplysninger!$B$26="Der er indgået lokalaftale omkring weekendtimer.(Kræver aftale med TR/FSL) Weekendtillæg afspadseres.",I14="X",C14="ikke relevant")),K14,0)</f>
        <v>0</v>
      </c>
      <c r="FX14" s="283">
        <f>IF(AND(Stamoplysninger!$B$26="Der er indgået lokalaftale omkring weekendtimer(Kræver aftale med TR/FSL). Weekendtillæg udbetales.",I14="X"),K14,0)</f>
        <v>0</v>
      </c>
      <c r="FY14" s="674">
        <f>IF(AND(AND(Stamoplysninger!$B$26="Der er indgået lokalaftale omkring weekendtimer(Kræver aftale med TR/FSL). Weekendtillæg udbetales.",I14="X",C14="ikke relevant")),K14,0)</f>
        <v>0</v>
      </c>
      <c r="FZ14" s="283">
        <f>IF(AND(Stamoplysninger!$B$26="Der er indgået lokalaftale omkring weekendtillæg(Kræver aftale med TR/FSL). Weekendtimerne udbetales.",I14="X"),K14,0)</f>
        <v>0</v>
      </c>
      <c r="GA14" s="674">
        <f>IF(AND(AND(Stamoplysninger!$B$26="Der er indgået lokalaftale omkring weekendtillæg(Kræver aftale med TR/FSL). Weekendtimerne udbetales.",I14="X",C14="ikke relevant")),K14,0)</f>
        <v>0</v>
      </c>
      <c r="GB14" s="283">
        <f>IF(AND(Stamoplysninger!$B$26="Der er indgået lokalaftale omkring weekendtimer og weekendtillæg.(Kræver aftale med TR/FSL).",I14="X"),K14,0)</f>
        <v>0</v>
      </c>
      <c r="GC14" s="674">
        <f>IF(AND(AND(Stamoplysninger!$B$26="Der er indgået lokalaftale omkring weekendtimer og weekendtillæg.(Kræver aftale med TR/FSL).",I14="X",C14="ikke relevant")),K14,0)</f>
        <v>0</v>
      </c>
    </row>
    <row r="15" spans="1:185" ht="16" customHeight="1">
      <c r="A15" s="245">
        <f t="shared" si="17"/>
        <v>7</v>
      </c>
      <c r="B15" s="128" t="str">
        <f t="shared" si="0"/>
        <v>lø</v>
      </c>
      <c r="C15" s="129" t="s">
        <v>120</v>
      </c>
      <c r="D15" s="130" t="str">
        <f t="shared" si="1"/>
        <v/>
      </c>
      <c r="E15" s="917"/>
      <c r="F15" s="918"/>
      <c r="G15" s="919"/>
      <c r="H15" s="298"/>
      <c r="I15" s="413"/>
      <c r="J15" s="413"/>
      <c r="K15" s="380"/>
      <c r="L15" s="380"/>
      <c r="M15" s="380"/>
      <c r="N15" s="318">
        <f t="shared" si="18"/>
        <v>0</v>
      </c>
      <c r="O15" s="318">
        <f t="shared" si="19"/>
        <v>0</v>
      </c>
      <c r="P15" s="318">
        <f>IF(Stamoplysninger!$H$29="JA",Juni!DG15,CX15)</f>
        <v>0</v>
      </c>
      <c r="Q15" s="318">
        <f t="shared" si="20"/>
        <v>0</v>
      </c>
      <c r="R15" s="319"/>
      <c r="S15" s="324"/>
      <c r="T15" s="325"/>
      <c r="U15" s="325"/>
      <c r="V15" s="435"/>
      <c r="W15" s="435"/>
      <c r="X15" s="644"/>
      <c r="Y15">
        <f t="shared" si="21"/>
        <v>0</v>
      </c>
      <c r="Z15" s="437">
        <f t="shared" si="22"/>
        <v>0</v>
      </c>
      <c r="AA15" s="1">
        <f t="shared" si="2"/>
        <v>0</v>
      </c>
      <c r="AB15" s="1">
        <f t="shared" si="3"/>
        <v>0</v>
      </c>
      <c r="AC15" s="1">
        <f t="shared" si="4"/>
        <v>0</v>
      </c>
      <c r="AD15" s="1">
        <f t="shared" si="5"/>
        <v>0</v>
      </c>
      <c r="AE15" s="1">
        <f t="shared" si="6"/>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9">
        <f t="shared" si="7"/>
        <v>0</v>
      </c>
      <c r="BC15" s="1">
        <f t="shared" si="24"/>
        <v>0</v>
      </c>
      <c r="BD15" s="1">
        <f t="shared" si="8"/>
        <v>0</v>
      </c>
      <c r="BE15" s="1">
        <f t="shared" si="9"/>
        <v>0</v>
      </c>
      <c r="BF15" s="1">
        <f t="shared" si="10"/>
        <v>0</v>
      </c>
      <c r="BG15" s="210" t="str">
        <f>IF(AND(C15="Skema 1",B15="ma"),Skemaoplysninger!$E$30,"")</f>
        <v/>
      </c>
      <c r="BH15" s="210" t="str">
        <f>IF(AND(C15="Skema 1",B15="ti"),Skemaoplysninger!$G$30,"")</f>
        <v/>
      </c>
      <c r="BI15" s="210" t="str">
        <f>IF(AND(C15="Skema 1",B15="on"),Skemaoplysninger!$I$30,"")</f>
        <v/>
      </c>
      <c r="BJ15" s="210" t="str">
        <f>IF(AND(C15="Skema 1",B15="to"),Skemaoplysninger!$K$30,"")</f>
        <v/>
      </c>
      <c r="BK15" s="210" t="str">
        <f>IF(AND(C15="Skema 1",B15="fr"),Skemaoplysninger!$M$30,"")</f>
        <v/>
      </c>
      <c r="BL15" s="210" t="str">
        <f>IF(AND(C15="Skema 2",B15="ma"),Skemaoplysninger!$S$30,"")</f>
        <v/>
      </c>
      <c r="BM15" s="210" t="str">
        <f>IF(AND(C15="Skema 2",B15="ti"),Skemaoplysninger!$U$30,"")</f>
        <v/>
      </c>
      <c r="BN15" s="210" t="str">
        <f>IF(AND(C15="Skema 2",B15="on"),Skemaoplysninger!$W$30,"")</f>
        <v/>
      </c>
      <c r="BO15" s="210" t="str">
        <f>IF(AND(C15="Skema 2",B15="to"),Skemaoplysninger!$Y$30,"")</f>
        <v/>
      </c>
      <c r="BP15" s="210" t="str">
        <f>IF(AND(C15="Skema 2",B15="fr"),Skemaoplysninger!$AA$30,"")</f>
        <v/>
      </c>
      <c r="BQ15" s="210" t="str">
        <f>IF(AND(C15="Skema 3",B15="ma"),Skemaoplysninger!$AG$30,"")</f>
        <v/>
      </c>
      <c r="BR15" s="210" t="str">
        <f>IF(AND(C15="Skema 3",B15="ti"),Skemaoplysninger!$AI$30,"")</f>
        <v/>
      </c>
      <c r="BS15" s="210" t="str">
        <f>IF(AND(C15="Skema 3",B15="on"),Skemaoplysninger!$AK$30,"")</f>
        <v/>
      </c>
      <c r="BT15" s="210" t="str">
        <f>IF(AND(C15="Skema 3",B15="to"),Skemaoplysninger!$AM$30,"")</f>
        <v/>
      </c>
      <c r="BU15" s="210" t="str">
        <f>IF(AND(C15="Skema 3",B15="fr"),Skemaoplysninger!$AO$30,"")</f>
        <v/>
      </c>
      <c r="BV15" s="210" t="str">
        <f>IF(AND(C15="Skema 4",B15="ma"),Skemaoplysninger!$AU$30,"")</f>
        <v/>
      </c>
      <c r="BW15" s="210" t="str">
        <f>IF(AND(C15="Skema 4",B15="ti"),Skemaoplysninger!$AW$30,"")</f>
        <v/>
      </c>
      <c r="BX15" s="210" t="str">
        <f>IF(AND(C15="Skema 4",B15="on"),Skemaoplysninger!$AY$30,"")</f>
        <v/>
      </c>
      <c r="BY15" s="210" t="str">
        <f>IF(AND(C15="Skema 4",B15="to"),Skemaoplysninger!$BA$30,"")</f>
        <v/>
      </c>
      <c r="BZ15" s="210" t="str">
        <f>IF(AND(C15="Skema 4",B15="fr"),Skemaoplysninger!$BC$30,"")</f>
        <v/>
      </c>
      <c r="CA15" s="1">
        <f t="shared" si="25"/>
        <v>0</v>
      </c>
      <c r="CB15" s="1">
        <f t="shared" si="11"/>
        <v>0</v>
      </c>
      <c r="CC15" s="1">
        <f t="shared" si="12"/>
        <v>0</v>
      </c>
      <c r="CD15" s="210" t="str">
        <f>IF(AND(C15="Skema 1",B15="ma"),Skemaoplysninger!$E$31,"")</f>
        <v/>
      </c>
      <c r="CE15" s="210" t="str">
        <f>IF(AND(C15="Skema 1",B15="ti"),Skemaoplysninger!$G$31,"")</f>
        <v/>
      </c>
      <c r="CF15" s="210" t="str">
        <f>IF(AND(C15="Skema 1",B15="on"),Skemaoplysninger!$I$31,"")</f>
        <v/>
      </c>
      <c r="CG15" s="210" t="str">
        <f>IF(AND(C15="Skema 1",B15="to"),Skemaoplysninger!$K$31,"")</f>
        <v/>
      </c>
      <c r="CH15" s="210" t="str">
        <f>IF(AND(C15="Skema 1",B15="fr"),Skemaoplysninger!$M$31,"")</f>
        <v/>
      </c>
      <c r="CI15" s="210" t="str">
        <f>IF(AND(C15="Skema 2",B15="ma"),Skemaoplysninger!$S$31,"")</f>
        <v/>
      </c>
      <c r="CJ15" s="210" t="str">
        <f>IF(AND(C15="Skema 2",B15="ti"),Skemaoplysninger!$U$31,"")</f>
        <v/>
      </c>
      <c r="CK15" s="210" t="str">
        <f>IF(AND(C15="Skema 2",B15="on"),Skemaoplysninger!$W$31,"")</f>
        <v/>
      </c>
      <c r="CL15" s="210" t="str">
        <f>IF(AND(C15="Skema 2",B15="to"),Skemaoplysninger!$Y$31,"")</f>
        <v/>
      </c>
      <c r="CM15" s="210" t="str">
        <f>IF(AND(C15="Skema 2",B15="fr"),Skemaoplysninger!$AA$31,"")</f>
        <v/>
      </c>
      <c r="CN15" s="210" t="str">
        <f>IF(AND(C15="Skema 3",B15="ma"),Skemaoplysninger!$AG$31,"")</f>
        <v/>
      </c>
      <c r="CO15" s="210" t="str">
        <f>IF(AND(C15="Skema 3",B15="ti"),Skemaoplysninger!$AI$31,"")</f>
        <v/>
      </c>
      <c r="CP15" s="210" t="str">
        <f>IF(AND(C15="Skema 3",B15="on"),Skemaoplysninger!$AK$31,"")</f>
        <v/>
      </c>
      <c r="CQ15" s="210" t="str">
        <f>IF(AND(C15="Skema 3",B15="to"),Skemaoplysninger!$AM$31,"")</f>
        <v/>
      </c>
      <c r="CR15" s="210" t="str">
        <f>IF(AND(C15="Skema 3",B15="fr"),Skemaoplysninger!$AO$31,"")</f>
        <v/>
      </c>
      <c r="CS15" s="210" t="str">
        <f>IF(AND(C15="Skema 4",B15="ma"),Skemaoplysninger!$AU$31,"")</f>
        <v/>
      </c>
      <c r="CT15" s="210" t="str">
        <f>IF(AND(C15="Skema 4",B15="ti"),Skemaoplysninger!$AW$31,"")</f>
        <v/>
      </c>
      <c r="CU15" s="210" t="str">
        <f>IF(AND(C15="Skema 4",B15="on"),Skemaoplysninger!$AY$31,"")</f>
        <v/>
      </c>
      <c r="CV15" s="210" t="str">
        <f>IF(AND(C15="Skema 4",B15="to"),Skemaoplysninger!$BA$31,"")</f>
        <v/>
      </c>
      <c r="CW15" s="210" t="str">
        <f>IF(AND(C15="Skema 4",B15="fr"),Skemaoplysninger!$BC$31,"")</f>
        <v/>
      </c>
      <c r="CX15" s="249">
        <f>IF(Stamoplysninger!$H$29="NEJ",SUM(CD15:CW15)*24+CB15+CC15,0)</f>
        <v>0</v>
      </c>
      <c r="CY15" s="249">
        <f>IF(C15="Skema 1",Stamoplysninger!$H$30/200,0)</f>
        <v>0</v>
      </c>
      <c r="CZ15" s="249">
        <f>IF(C15="Skema 2",Stamoplysninger!$H$30/200,0)</f>
        <v>0</v>
      </c>
      <c r="DA15" s="249">
        <f>IF(C15="Skema 3",Stamoplysninger!$H$30/200,0)</f>
        <v>0</v>
      </c>
      <c r="DB15" s="249">
        <f>IF(C15="Skema 4",Stamoplysninger!$H$30/200,0)</f>
        <v>0</v>
      </c>
      <c r="DC15" s="249">
        <f>IF(C15="fagdag",Stamoplysninger!$H$30/200,0)</f>
        <v>0</v>
      </c>
      <c r="DD15" s="249">
        <f>IF(C15="emnedag",Stamoplysninger!$H$30/200,0)</f>
        <v>0</v>
      </c>
      <c r="DE15" s="249">
        <f>IF(C15="lejrskole",Stamoplysninger!$H$30/200,0)</f>
        <v>0</v>
      </c>
      <c r="DF15" s="249">
        <f>IF(C15="ekskursion",Stamoplysninger!$H$30/200,0)</f>
        <v>0</v>
      </c>
      <c r="DG15" s="249">
        <f t="shared" si="26"/>
        <v>0</v>
      </c>
      <c r="DH15" t="str">
        <f t="shared" si="27"/>
        <v/>
      </c>
      <c r="DI15">
        <f t="shared" si="28"/>
        <v>0</v>
      </c>
      <c r="DJ15">
        <f t="shared" si="29"/>
        <v>0</v>
      </c>
      <c r="DK15" t="str">
        <f t="shared" si="13"/>
        <v/>
      </c>
      <c r="DL15" t="str">
        <f t="shared" si="13"/>
        <v/>
      </c>
      <c r="DM15" t="str">
        <f t="shared" si="13"/>
        <v/>
      </c>
      <c r="DN15" t="str">
        <f t="shared" si="30"/>
        <v/>
      </c>
      <c r="DO15" s="652">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71">
        <f>IF(AND(Stamoplysninger!$B$22="Ulempetillæg udbetales med 25% af nettotimelønnen.",C15="ikke relevant"),(R15)/4,0)</f>
        <v>0</v>
      </c>
      <c r="DT15" s="671">
        <f>IF(AND(AND(Stamoplysninger!$B$22="Ulempetillæg udbetales med 25% af nettotimelønnen.",I15="X",C15="Ikke relevant")),K15/4,0)</f>
        <v>0</v>
      </c>
      <c r="DU15" s="671">
        <f>IF(AND(AND(Stamoplysninger!$B$22="Ulempetillæg udbetales med 25% af nettotimelønnen.",C15="ikke relevant",U15="X")),(X15/4),0)</f>
        <v>0</v>
      </c>
      <c r="DV15" s="672">
        <f>IF(AND(AND(AND(Stamoplysninger!$B$22="Ulempetillæg udbetales med 25% af nettotimelønnen.",I15="X",C15="Ikke relevant",S15="X"))),V15/4,0)</f>
        <v>0</v>
      </c>
      <c r="DW15" s="652"/>
      <c r="DZ15" s="671"/>
      <c r="EA15" s="671"/>
      <c r="EB15" s="672"/>
      <c r="EC15" s="652">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71">
        <f>IF(AND(Stamoplysninger!$B$22="Ulempetillæg afspadseres med 25%(Kræver en aftale imellem ledelsen og den ansatte)",C15="ikke relevant"),(R15)/4,0)</f>
        <v>0</v>
      </c>
      <c r="EH15" s="671">
        <f>IF(AND(AND(Stamoplysninger!$B$22="Ulempetillæg afspadseres med 25%(Kræver en aftale imellem ledelsen og den ansatte)",I15="X",C15="Ikke relevant")),K15/4,0)</f>
        <v>0</v>
      </c>
      <c r="EI15" s="671">
        <f>IF(AND(AND(Stamoplysninger!$B$22="Ulempetillæg afspadseres med 25%(Kræver en aftale imellem ledelsen og den ansatte)",U15="X",C15="Ikke relevant")),X15/4,0)</f>
        <v>0</v>
      </c>
      <c r="EJ15" s="671">
        <f>IF(AND(AND(AND(Stamoplysninger!$B$22="Ulempetillæg afspadseres med 25%(Kræver en aftale imellem ledelsen og den ansatte)",I15="X",C15="Ikke relevant",S15="X"))),V15/4,0)</f>
        <v>0</v>
      </c>
      <c r="EK15" s="283">
        <f>IF(AND(Stamoplysninger!$B$26="Weekendtimer og weekendtillæg afspadseres.",I15="X"),K15*1.5,0)</f>
        <v>0</v>
      </c>
      <c r="EL15" s="251">
        <f>IF(AND(AND(Stamoplysninger!$B$26="Weekendtimer og weekendtillæg afspadseres.",I15="X",S15="X")),V15*1.5,0)</f>
        <v>0</v>
      </c>
      <c r="EM15" s="674">
        <f>IF(AND(AND(Stamoplysninger!$B$26="Weekendtimer og weekendtillæg afspadseres.",I15="X",C15="ikke relevant")),K15*1.5,0)</f>
        <v>0</v>
      </c>
      <c r="EN15" s="675">
        <f>IF(AND(AND(AND(Stamoplysninger!$B$26="Weekendtimer og weekendtillæg afspadseres.",I15="X",C15="ikke relevant",S15="X"))),(V15*1.5),0)</f>
        <v>0</v>
      </c>
      <c r="EO15" s="283">
        <f>IF(AND(Stamoplysninger!$B$26="Weekendtimer og weekendtillæg udbetales.",I15="X"),K15*1.5,0)</f>
        <v>0</v>
      </c>
      <c r="EP15" s="251">
        <f>IF(AND(AND(Stamoplysninger!$B$26="Weekendtimer og weekendtillæg udbetales.",I15="X",S15="X")),V15*1.5,0)</f>
        <v>0</v>
      </c>
      <c r="EQ15" s="674">
        <f>IF(AND(AND(Stamoplysninger!$B$26="Weekendtimer og weekendtillæg udbetales.",I15="X",C15="ikke relevant")),K15*1.5,0)</f>
        <v>0</v>
      </c>
      <c r="ER15" s="675">
        <f>IF(AND(AND(AND(Stamoplysninger!$B$26="Weekendtimer og weekendtillæg udbetales.",I15="X",C15="ikke relevant",S15="X"))),(V15*1.5),0)</f>
        <v>0</v>
      </c>
      <c r="ES15" s="283">
        <f>IF(AND(Stamoplysninger!$B$26="Der er indgået lokalaftale omkring weekendtimer.(Kræver aftale med TR/FSL) Weekendtillæg afspadseres.",I15="X"),K15*0.5,0)</f>
        <v>0</v>
      </c>
      <c r="ET15" s="251">
        <f>IF(AND(AND(Stamoplysninger!$B$26="Der er indgået lokalaftale omkring weekendtimer.(Kræver aftale med TR/FSL) Weekendtillæg afspadseres.",I15="X",S15="X")),V15*0.5,0)</f>
        <v>0</v>
      </c>
      <c r="EU15" s="674">
        <f>IF(AND(AND(Stamoplysninger!$B$26="Der er indgået lokalaftale omkring weekendtimer.(Kræver aftale med TR/FSL) Weekendtillæg afspadseres.",I15="X",C15="ikke relevant")),K15*0.5,0)</f>
        <v>0</v>
      </c>
      <c r="EV15" s="675">
        <f>IF(AND(AND(AND(Stamoplysninger!$B$26="Der er indgået lokalaftale omkring weekendtimer.(Kræver aftale med TR/FSL) Weekendtillæg afspadseres.",I15="X",C15="ikke relevant",S15="X"))),(V15*0.5),0)</f>
        <v>0</v>
      </c>
      <c r="EW15" s="283">
        <f>IF(AND(Stamoplysninger!$B$26="Der er indgået lokalaftale omkring weekendtimer(Kræver aftale med TR/FSL). Weekendtillæg udbetales.",I15="X"),K15*0.5,0)</f>
        <v>0</v>
      </c>
      <c r="EX15" s="251">
        <f>IF(AND(AND(Stamoplysninger!$B$26="Der er indgået lokalaftale omkring weekendtimer(Kræver aftale med TR/FSL). Weekendtillæg udbetales.",I15="X",S15="X")),V15*0.5,0)</f>
        <v>0</v>
      </c>
      <c r="EY15" s="674">
        <f>IF(AND(AND(Stamoplysninger!$B$26="Der er indgået lokalaftale omkring weekendtimer(Kræver aftale med TR/FSL). Weekendtillæg udbetales.",I15="X",C15="ikke relevant")),K15*0.5,0)</f>
        <v>0</v>
      </c>
      <c r="EZ15" s="675">
        <f>IF(AND(AND(AND(Stamoplysninger!$B$26="Der er indgået lokalaftale omkring weekendtimer(Kræver aftale med TR/FSL). Weekendtillæg udbetales.",I15="X",C15="ikke relevant",S15="X"))),(V15*0.5),0)</f>
        <v>0</v>
      </c>
      <c r="FA15" s="283">
        <f>IF(AND(Stamoplysninger!$B$26="Der er indgået lokalaftale omkring weekendtillæg(Kræver aftale med TR/FSL). Weekendtimerne afspadseres.",I15="X"),K15,0)</f>
        <v>0</v>
      </c>
      <c r="FB15" s="251">
        <f>IF(AND(AND(Stamoplysninger!$B$26="Der er indgået lokalaftale omkring weekendtillæg(Kræver aftale med TR/FSL). Weekendtimerne afspadseres.",I15="X",S15="X")),V15,0)</f>
        <v>0</v>
      </c>
      <c r="FC15" s="674">
        <f>IF(AND(AND(Stamoplysninger!$B$26="Der er indgået lokalaftale omkring weekendtillæg(Kræver aftale med TR/FSL). Weekendtimerne afspadseres..",I15="X",C15="ikke relevant")),K15,0)</f>
        <v>0</v>
      </c>
      <c r="FD15" s="675">
        <f>IF(AND(AND(AND(Stamoplysninger!$B$26="Der er indgået lokalaftale omkring weekendtillæg(Kræver aftale med TR/FSL). Weekendtimerne afspadseres.",I15="X",C15="ikke relevant",S15="X"))),(V15),0)</f>
        <v>0</v>
      </c>
      <c r="FE15" s="283">
        <f>IF(AND(Stamoplysninger!$B$26="Der er indgået lokalaftale omkring weekendtillæg(Kræver aftale med TR/FSL). Weekendtimerne udbetales.",I15="X"),K15,0)</f>
        <v>0</v>
      </c>
      <c r="FF15" s="251">
        <f>IF(AND(AND(Stamoplysninger!$B$26="Der er indgået lokalaftale omkring weekendtillæg(Kræver aftale med TR/FSL). Weekendtimerne udbetales.",I15="X",S15="X")),V15,0)</f>
        <v>0</v>
      </c>
      <c r="FG15" s="674">
        <f>IF(AND(AND(Stamoplysninger!$B$26="Der er indgået lokalaftale omkring weekendtillæg(Kræver aftale med TR/FSL). Weekendtimerne udbetales.",I15="X",C15="ikke relevant")),K15,0)</f>
        <v>0</v>
      </c>
      <c r="FH15" s="675">
        <f>IF(AND(AND(AND(Stamoplysninger!$B$26="Der er indgået lokalaftale omkring weekendtillæg(Kræver aftale med TR/FSL). Weekendtimerne udbetales.",I15="X",C15="ikke relevant",S15="X"))),(V15),0)</f>
        <v>0</v>
      </c>
      <c r="FI15" s="283">
        <f>IF(AND(Stamoplysninger!$B$26="Weekendtimer og weekendtillæg afspadseres.",I15="X"),K15,0)</f>
        <v>0</v>
      </c>
      <c r="FJ15" s="251">
        <f>IF(AND(Stamoplysninger!$B$26="Weekendtimer og weekendtillæg afspadseres.",Y15="X"),(AA15+AL15)/2,0)</f>
        <v>0</v>
      </c>
      <c r="FK15" s="674">
        <f>IF(AND(AND(Stamoplysninger!$B$26="Weekendtimer og weekendtillæg afspadseres.",I15="X",C15="ikke relevant")),K15,0)</f>
        <v>0</v>
      </c>
      <c r="FL15" s="675">
        <f>IF(AND(AND(Stamoplysninger!$B$26="Weekendtimer og weekendtillæg afspadseres.",Y15="X",S15="ikke relevant")),(AA15+AL15)/2,0)</f>
        <v>0</v>
      </c>
      <c r="FM15" s="283">
        <f>IF(AND(Stamoplysninger!$B$26="Der er indgået lokalaftale omkring weekendtillæg(Kræver aftale med TR/FSL). Weekendtimerne afspadseres.",I15="X"),K15,0)</f>
        <v>0</v>
      </c>
      <c r="FN15" s="674">
        <f>IF(AND(AND(Stamoplysninger!$B$26="Der er indgået lokalaftale omkring weekendtillæg(Kræver aftale med TR/FSL). Weekendtimerne afspadseres.",I15="X",C15="ikke relevant")),K15,0)</f>
        <v>0</v>
      </c>
      <c r="FO15" s="283">
        <f>IF(AND(Stamoplysninger!$B$26="Weekendtimer og weekendtillæg udbetales.",I15="X"),K15,0)</f>
        <v>0</v>
      </c>
      <c r="FP15" s="251">
        <f>IF(AND(Stamoplysninger!$B$26="Weekendtimer og weekendtillæg udbetales.",AA15="X"),(AC15+AN15)/2,0)</f>
        <v>0</v>
      </c>
      <c r="FQ15" s="674">
        <f>IF(AND(AND(Stamoplysninger!$B$26="Weekendtimer og weekendtillæg udbetales.",I15="X",C15="ikke relevant")),K15,0)</f>
        <v>0</v>
      </c>
      <c r="FR15" s="688">
        <f>IF(AND(AND(Stamoplysninger!$B$26="Weekendtimer og weekendtillæg udbetales.",AA15="X",U15="ikke relevant")),(AC15+AN15)/2,0)</f>
        <v>0</v>
      </c>
      <c r="FS15" s="283">
        <f t="shared" si="14"/>
        <v>0</v>
      </c>
      <c r="FT15" s="658">
        <f t="shared" si="15"/>
        <v>0</v>
      </c>
      <c r="FU15">
        <f t="shared" si="16"/>
        <v>0</v>
      </c>
      <c r="FV15" s="283">
        <f>IF(AND(Stamoplysninger!$B$26="Der er indgået lokalaftale omkring weekendtimer.(Kræver aftale med TR/FSL) Weekendtillæg afspadseres.",I15="X"),K15,0)</f>
        <v>0</v>
      </c>
      <c r="FW15" s="674">
        <f>IF(AND(AND(Stamoplysninger!$B$26="Der er indgået lokalaftale omkring weekendtimer.(Kræver aftale med TR/FSL) Weekendtillæg afspadseres.",I15="X",C15="ikke relevant")),K15,0)</f>
        <v>0</v>
      </c>
      <c r="FX15" s="283">
        <f>IF(AND(Stamoplysninger!$B$26="Der er indgået lokalaftale omkring weekendtimer(Kræver aftale med TR/FSL). Weekendtillæg udbetales.",I15="X"),K15,0)</f>
        <v>0</v>
      </c>
      <c r="FY15" s="674">
        <f>IF(AND(AND(Stamoplysninger!$B$26="Der er indgået lokalaftale omkring weekendtimer(Kræver aftale med TR/FSL). Weekendtillæg udbetales.",I15="X",C15="ikke relevant")),K15,0)</f>
        <v>0</v>
      </c>
      <c r="FZ15" s="283">
        <f>IF(AND(Stamoplysninger!$B$26="Der er indgået lokalaftale omkring weekendtillæg(Kræver aftale med TR/FSL). Weekendtimerne udbetales.",I15="X"),K15,0)</f>
        <v>0</v>
      </c>
      <c r="GA15" s="674">
        <f>IF(AND(AND(Stamoplysninger!$B$26="Der er indgået lokalaftale omkring weekendtillæg(Kræver aftale med TR/FSL). Weekendtimerne udbetales.",I15="X",C15="ikke relevant")),K15,0)</f>
        <v>0</v>
      </c>
      <c r="GB15" s="283">
        <f>IF(AND(Stamoplysninger!$B$26="Der er indgået lokalaftale omkring weekendtimer og weekendtillæg.(Kræver aftale med TR/FSL).",I15="X"),K15,0)</f>
        <v>0</v>
      </c>
      <c r="GC15" s="674">
        <f>IF(AND(AND(Stamoplysninger!$B$26="Der er indgået lokalaftale omkring weekendtimer og weekendtillæg.(Kræver aftale med TR/FSL).",I15="X",C15="ikke relevant")),K15,0)</f>
        <v>0</v>
      </c>
    </row>
    <row r="16" spans="1:185">
      <c r="A16" s="245">
        <f t="shared" si="17"/>
        <v>8</v>
      </c>
      <c r="B16" s="128" t="str">
        <f t="shared" si="0"/>
        <v>sø</v>
      </c>
      <c r="C16" s="129" t="s">
        <v>120</v>
      </c>
      <c r="D16" s="130" t="str">
        <f t="shared" si="1"/>
        <v/>
      </c>
      <c r="E16" s="917" t="s">
        <v>177</v>
      </c>
      <c r="F16" s="918"/>
      <c r="G16" s="919"/>
      <c r="H16" s="298"/>
      <c r="I16" s="413"/>
      <c r="J16" s="413"/>
      <c r="K16" s="380"/>
      <c r="L16" s="380"/>
      <c r="M16" s="380"/>
      <c r="N16" s="318">
        <f t="shared" si="18"/>
        <v>0</v>
      </c>
      <c r="O16" s="318">
        <f t="shared" si="19"/>
        <v>0</v>
      </c>
      <c r="P16" s="318">
        <f>IF(Stamoplysninger!$H$29="JA",Juni!DG16,CX16)</f>
        <v>0</v>
      </c>
      <c r="Q16" s="318">
        <f t="shared" si="20"/>
        <v>0</v>
      </c>
      <c r="R16" s="319"/>
      <c r="S16" s="324"/>
      <c r="T16" s="325"/>
      <c r="U16" s="325"/>
      <c r="V16" s="435"/>
      <c r="W16" s="435"/>
      <c r="X16" s="644"/>
      <c r="Y16">
        <f t="shared" si="21"/>
        <v>0</v>
      </c>
      <c r="Z16" s="437">
        <f t="shared" si="22"/>
        <v>0</v>
      </c>
      <c r="AA16" s="1">
        <f t="shared" si="2"/>
        <v>0</v>
      </c>
      <c r="AB16" s="1">
        <f t="shared" si="3"/>
        <v>0</v>
      </c>
      <c r="AC16" s="1">
        <f t="shared" si="4"/>
        <v>0</v>
      </c>
      <c r="AD16" s="1">
        <f t="shared" si="5"/>
        <v>0</v>
      </c>
      <c r="AE16" s="1">
        <f t="shared" si="6"/>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9">
        <f t="shared" si="7"/>
        <v>0</v>
      </c>
      <c r="BC16" s="1">
        <f t="shared" si="24"/>
        <v>0</v>
      </c>
      <c r="BD16" s="1">
        <f t="shared" si="8"/>
        <v>0</v>
      </c>
      <c r="BE16" s="1">
        <f t="shared" si="9"/>
        <v>0</v>
      </c>
      <c r="BF16" s="1">
        <f t="shared" si="10"/>
        <v>0</v>
      </c>
      <c r="BG16" s="210" t="str">
        <f>IF(AND(C16="Skema 1",B16="ma"),Skemaoplysninger!$E$30,"")</f>
        <v/>
      </c>
      <c r="BH16" s="210" t="str">
        <f>IF(AND(C16="Skema 1",B16="ti"),Skemaoplysninger!$G$30,"")</f>
        <v/>
      </c>
      <c r="BI16" s="210" t="str">
        <f>IF(AND(C16="Skema 1",B16="on"),Skemaoplysninger!$I$30,"")</f>
        <v/>
      </c>
      <c r="BJ16" s="210" t="str">
        <f>IF(AND(C16="Skema 1",B16="to"),Skemaoplysninger!$K$30,"")</f>
        <v/>
      </c>
      <c r="BK16" s="210" t="str">
        <f>IF(AND(C16="Skema 1",B16="fr"),Skemaoplysninger!$M$30,"")</f>
        <v/>
      </c>
      <c r="BL16" s="210" t="str">
        <f>IF(AND(C16="Skema 2",B16="ma"),Skemaoplysninger!$S$30,"")</f>
        <v/>
      </c>
      <c r="BM16" s="210" t="str">
        <f>IF(AND(C16="Skema 2",B16="ti"),Skemaoplysninger!$U$30,"")</f>
        <v/>
      </c>
      <c r="BN16" s="210" t="str">
        <f>IF(AND(C16="Skema 2",B16="on"),Skemaoplysninger!$W$30,"")</f>
        <v/>
      </c>
      <c r="BO16" s="210" t="str">
        <f>IF(AND(C16="Skema 2",B16="to"),Skemaoplysninger!$Y$30,"")</f>
        <v/>
      </c>
      <c r="BP16" s="210" t="str">
        <f>IF(AND(C16="Skema 2",B16="fr"),Skemaoplysninger!$AA$30,"")</f>
        <v/>
      </c>
      <c r="BQ16" s="210" t="str">
        <f>IF(AND(C16="Skema 3",B16="ma"),Skemaoplysninger!$AG$30,"")</f>
        <v/>
      </c>
      <c r="BR16" s="210" t="str">
        <f>IF(AND(C16="Skema 3",B16="ti"),Skemaoplysninger!$AI$30,"")</f>
        <v/>
      </c>
      <c r="BS16" s="210" t="str">
        <f>IF(AND(C16="Skema 3",B16="on"),Skemaoplysninger!$AK$30,"")</f>
        <v/>
      </c>
      <c r="BT16" s="210" t="str">
        <f>IF(AND(C16="Skema 3",B16="to"),Skemaoplysninger!$AM$30,"")</f>
        <v/>
      </c>
      <c r="BU16" s="210" t="str">
        <f>IF(AND(C16="Skema 3",B16="fr"),Skemaoplysninger!$AO$30,"")</f>
        <v/>
      </c>
      <c r="BV16" s="210" t="str">
        <f>IF(AND(C16="Skema 4",B16="ma"),Skemaoplysninger!$AU$30,"")</f>
        <v/>
      </c>
      <c r="BW16" s="210" t="str">
        <f>IF(AND(C16="Skema 4",B16="ti"),Skemaoplysninger!$AW$30,"")</f>
        <v/>
      </c>
      <c r="BX16" s="210" t="str">
        <f>IF(AND(C16="Skema 4",B16="on"),Skemaoplysninger!$AY$30,"")</f>
        <v/>
      </c>
      <c r="BY16" s="210" t="str">
        <f>IF(AND(C16="Skema 4",B16="to"),Skemaoplysninger!$BA$30,"")</f>
        <v/>
      </c>
      <c r="BZ16" s="210" t="str">
        <f>IF(AND(C16="Skema 4",B16="fr"),Skemaoplysninger!$BC$30,"")</f>
        <v/>
      </c>
      <c r="CA16" s="1">
        <f t="shared" si="25"/>
        <v>0</v>
      </c>
      <c r="CB16" s="1">
        <f t="shared" si="11"/>
        <v>0</v>
      </c>
      <c r="CC16" s="1">
        <f t="shared" si="12"/>
        <v>0</v>
      </c>
      <c r="CD16" s="210" t="str">
        <f>IF(AND(C16="Skema 1",B16="ma"),Skemaoplysninger!$E$31,"")</f>
        <v/>
      </c>
      <c r="CE16" s="210" t="str">
        <f>IF(AND(C16="Skema 1",B16="ti"),Skemaoplysninger!$G$31,"")</f>
        <v/>
      </c>
      <c r="CF16" s="210" t="str">
        <f>IF(AND(C16="Skema 1",B16="on"),Skemaoplysninger!$I$31,"")</f>
        <v/>
      </c>
      <c r="CG16" s="210" t="str">
        <f>IF(AND(C16="Skema 1",B16="to"),Skemaoplysninger!$K$31,"")</f>
        <v/>
      </c>
      <c r="CH16" s="210" t="str">
        <f>IF(AND(C16="Skema 1",B16="fr"),Skemaoplysninger!$M$31,"")</f>
        <v/>
      </c>
      <c r="CI16" s="210" t="str">
        <f>IF(AND(C16="Skema 2",B16="ma"),Skemaoplysninger!$S$31,"")</f>
        <v/>
      </c>
      <c r="CJ16" s="210" t="str">
        <f>IF(AND(C16="Skema 2",B16="ti"),Skemaoplysninger!$U$31,"")</f>
        <v/>
      </c>
      <c r="CK16" s="210" t="str">
        <f>IF(AND(C16="Skema 2",B16="on"),Skemaoplysninger!$W$31,"")</f>
        <v/>
      </c>
      <c r="CL16" s="210" t="str">
        <f>IF(AND(C16="Skema 2",B16="to"),Skemaoplysninger!$Y$31,"")</f>
        <v/>
      </c>
      <c r="CM16" s="210" t="str">
        <f>IF(AND(C16="Skema 2",B16="fr"),Skemaoplysninger!$AA$31,"")</f>
        <v/>
      </c>
      <c r="CN16" s="210" t="str">
        <f>IF(AND(C16="Skema 3",B16="ma"),Skemaoplysninger!$AG$31,"")</f>
        <v/>
      </c>
      <c r="CO16" s="210" t="str">
        <f>IF(AND(C16="Skema 3",B16="ti"),Skemaoplysninger!$AI$31,"")</f>
        <v/>
      </c>
      <c r="CP16" s="210" t="str">
        <f>IF(AND(C16="Skema 3",B16="on"),Skemaoplysninger!$AK$31,"")</f>
        <v/>
      </c>
      <c r="CQ16" s="210" t="str">
        <f>IF(AND(C16="Skema 3",B16="to"),Skemaoplysninger!$AM$31,"")</f>
        <v/>
      </c>
      <c r="CR16" s="210" t="str">
        <f>IF(AND(C16="Skema 3",B16="fr"),Skemaoplysninger!$AO$31,"")</f>
        <v/>
      </c>
      <c r="CS16" s="210" t="str">
        <f>IF(AND(C16="Skema 4",B16="ma"),Skemaoplysninger!$AU$31,"")</f>
        <v/>
      </c>
      <c r="CT16" s="210" t="str">
        <f>IF(AND(C16="Skema 4",B16="ti"),Skemaoplysninger!$AW$31,"")</f>
        <v/>
      </c>
      <c r="CU16" s="210" t="str">
        <f>IF(AND(C16="Skema 4",B16="on"),Skemaoplysninger!$AY$31,"")</f>
        <v/>
      </c>
      <c r="CV16" s="210" t="str">
        <f>IF(AND(C16="Skema 4",B16="to"),Skemaoplysninger!$BA$31,"")</f>
        <v/>
      </c>
      <c r="CW16" s="210" t="str">
        <f>IF(AND(C16="Skema 4",B16="fr"),Skemaoplysninger!$BC$31,"")</f>
        <v/>
      </c>
      <c r="CX16" s="249">
        <f>IF(Stamoplysninger!$H$29="NEJ",SUM(CD16:CW16)*24+CB16+CC16,0)</f>
        <v>0</v>
      </c>
      <c r="CY16" s="249">
        <f>IF(C16="Skema 1",Stamoplysninger!$H$30/200,0)</f>
        <v>0</v>
      </c>
      <c r="CZ16" s="249">
        <f>IF(C16="Skema 2",Stamoplysninger!$H$30/200,0)</f>
        <v>0</v>
      </c>
      <c r="DA16" s="249">
        <f>IF(C16="Skema 3",Stamoplysninger!$H$30/200,0)</f>
        <v>0</v>
      </c>
      <c r="DB16" s="249">
        <f>IF(C16="Skema 4",Stamoplysninger!$H$30/200,0)</f>
        <v>0</v>
      </c>
      <c r="DC16" s="249">
        <f>IF(C16="fagdag",Stamoplysninger!$H$30/200,0)</f>
        <v>0</v>
      </c>
      <c r="DD16" s="249">
        <f>IF(C16="emnedag",Stamoplysninger!$H$30/200,0)</f>
        <v>0</v>
      </c>
      <c r="DE16" s="249">
        <f>IF(C16="lejrskole",Stamoplysninger!$H$30/200,0)</f>
        <v>0</v>
      </c>
      <c r="DF16" s="249">
        <f>IF(C16="ekskursion",Stamoplysninger!$H$30/200,0)</f>
        <v>0</v>
      </c>
      <c r="DG16" s="249">
        <f t="shared" si="26"/>
        <v>0</v>
      </c>
      <c r="DH16" t="str">
        <f t="shared" si="27"/>
        <v/>
      </c>
      <c r="DI16" t="str">
        <f t="shared" si="28"/>
        <v>Pinsedag</v>
      </c>
      <c r="DJ16" t="str">
        <f t="shared" si="29"/>
        <v/>
      </c>
      <c r="DK16" t="str">
        <f t="shared" si="13"/>
        <v/>
      </c>
      <c r="DL16" t="str">
        <f t="shared" si="13"/>
        <v>Pinsedag</v>
      </c>
      <c r="DM16" t="str">
        <f t="shared" si="13"/>
        <v/>
      </c>
      <c r="DN16" t="str">
        <f t="shared" si="30"/>
        <v>Pinsedag</v>
      </c>
      <c r="DO16" s="652">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71">
        <f>IF(AND(Stamoplysninger!$B$22="Ulempetillæg udbetales med 25% af nettotimelønnen.",C16="ikke relevant"),(R16)/4,0)</f>
        <v>0</v>
      </c>
      <c r="DT16" s="671">
        <f>IF(AND(AND(Stamoplysninger!$B$22="Ulempetillæg udbetales med 25% af nettotimelønnen.",I16="X",C16="Ikke relevant")),K16/4,0)</f>
        <v>0</v>
      </c>
      <c r="DU16" s="671">
        <f>IF(AND(AND(Stamoplysninger!$B$22="Ulempetillæg udbetales med 25% af nettotimelønnen.",C16="ikke relevant",U16="X")),(X16/4),0)</f>
        <v>0</v>
      </c>
      <c r="DV16" s="672">
        <f>IF(AND(AND(AND(Stamoplysninger!$B$22="Ulempetillæg udbetales med 25% af nettotimelønnen.",I16="X",C16="Ikke relevant",S16="X"))),V16/4,0)</f>
        <v>0</v>
      </c>
      <c r="DW16" s="652"/>
      <c r="DZ16" s="671"/>
      <c r="EA16" s="671"/>
      <c r="EB16" s="672"/>
      <c r="EC16" s="652">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71">
        <f>IF(AND(Stamoplysninger!$B$22="Ulempetillæg afspadseres med 25%(Kræver en aftale imellem ledelsen og den ansatte)",C16="ikke relevant"),(R16)/4,0)</f>
        <v>0</v>
      </c>
      <c r="EH16" s="671">
        <f>IF(AND(AND(Stamoplysninger!$B$22="Ulempetillæg afspadseres med 25%(Kræver en aftale imellem ledelsen og den ansatte)",I16="X",C16="Ikke relevant")),K16/4,0)</f>
        <v>0</v>
      </c>
      <c r="EI16" s="671">
        <f>IF(AND(AND(Stamoplysninger!$B$22="Ulempetillæg afspadseres med 25%(Kræver en aftale imellem ledelsen og den ansatte)",U16="X",C16="Ikke relevant")),X16/4,0)</f>
        <v>0</v>
      </c>
      <c r="EJ16" s="671">
        <f>IF(AND(AND(AND(Stamoplysninger!$B$22="Ulempetillæg afspadseres med 25%(Kræver en aftale imellem ledelsen og den ansatte)",I16="X",C16="Ikke relevant",S16="X"))),V16/4,0)</f>
        <v>0</v>
      </c>
      <c r="EK16" s="283">
        <f>IF(AND(Stamoplysninger!$B$26="Weekendtimer og weekendtillæg afspadseres.",I16="X"),K16*1.5,0)</f>
        <v>0</v>
      </c>
      <c r="EL16" s="251">
        <f>IF(AND(AND(Stamoplysninger!$B$26="Weekendtimer og weekendtillæg afspadseres.",I16="X",S16="X")),V16*1.5,0)</f>
        <v>0</v>
      </c>
      <c r="EM16" s="674">
        <f>IF(AND(AND(Stamoplysninger!$B$26="Weekendtimer og weekendtillæg afspadseres.",I16="X",C16="ikke relevant")),K16*1.5,0)</f>
        <v>0</v>
      </c>
      <c r="EN16" s="675">
        <f>IF(AND(AND(AND(Stamoplysninger!$B$26="Weekendtimer og weekendtillæg afspadseres.",I16="X",C16="ikke relevant",S16="X"))),(V16*1.5),0)</f>
        <v>0</v>
      </c>
      <c r="EO16" s="283">
        <f>IF(AND(Stamoplysninger!$B$26="Weekendtimer og weekendtillæg udbetales.",I16="X"),K16*1.5,0)</f>
        <v>0</v>
      </c>
      <c r="EP16" s="251">
        <f>IF(AND(AND(Stamoplysninger!$B$26="Weekendtimer og weekendtillæg udbetales.",I16="X",S16="X")),V16*1.5,0)</f>
        <v>0</v>
      </c>
      <c r="EQ16" s="674">
        <f>IF(AND(AND(Stamoplysninger!$B$26="Weekendtimer og weekendtillæg udbetales.",I16="X",C16="ikke relevant")),K16*1.5,0)</f>
        <v>0</v>
      </c>
      <c r="ER16" s="675">
        <f>IF(AND(AND(AND(Stamoplysninger!$B$26="Weekendtimer og weekendtillæg udbetales.",I16="X",C16="ikke relevant",S16="X"))),(V16*1.5),0)</f>
        <v>0</v>
      </c>
      <c r="ES16" s="283">
        <f>IF(AND(Stamoplysninger!$B$26="Der er indgået lokalaftale omkring weekendtimer.(Kræver aftale med TR/FSL) Weekendtillæg afspadseres.",I16="X"),K16*0.5,0)</f>
        <v>0</v>
      </c>
      <c r="ET16" s="251">
        <f>IF(AND(AND(Stamoplysninger!$B$26="Der er indgået lokalaftale omkring weekendtimer.(Kræver aftale med TR/FSL) Weekendtillæg afspadseres.",I16="X",S16="X")),V16*0.5,0)</f>
        <v>0</v>
      </c>
      <c r="EU16" s="674">
        <f>IF(AND(AND(Stamoplysninger!$B$26="Der er indgået lokalaftale omkring weekendtimer.(Kræver aftale med TR/FSL) Weekendtillæg afspadseres.",I16="X",C16="ikke relevant")),K16*0.5,0)</f>
        <v>0</v>
      </c>
      <c r="EV16" s="675">
        <f>IF(AND(AND(AND(Stamoplysninger!$B$26="Der er indgået lokalaftale omkring weekendtimer.(Kræver aftale med TR/FSL) Weekendtillæg afspadseres.",I16="X",C16="ikke relevant",S16="X"))),(V16*0.5),0)</f>
        <v>0</v>
      </c>
      <c r="EW16" s="283">
        <f>IF(AND(Stamoplysninger!$B$26="Der er indgået lokalaftale omkring weekendtimer(Kræver aftale med TR/FSL). Weekendtillæg udbetales.",I16="X"),K16*0.5,0)</f>
        <v>0</v>
      </c>
      <c r="EX16" s="251">
        <f>IF(AND(AND(Stamoplysninger!$B$26="Der er indgået lokalaftale omkring weekendtimer(Kræver aftale med TR/FSL). Weekendtillæg udbetales.",I16="X",S16="X")),V16*0.5,0)</f>
        <v>0</v>
      </c>
      <c r="EY16" s="674">
        <f>IF(AND(AND(Stamoplysninger!$B$26="Der er indgået lokalaftale omkring weekendtimer(Kræver aftale med TR/FSL). Weekendtillæg udbetales.",I16="X",C16="ikke relevant")),K16*0.5,0)</f>
        <v>0</v>
      </c>
      <c r="EZ16" s="675">
        <f>IF(AND(AND(AND(Stamoplysninger!$B$26="Der er indgået lokalaftale omkring weekendtimer(Kræver aftale med TR/FSL). Weekendtillæg udbetales.",I16="X",C16="ikke relevant",S16="X"))),(V16*0.5),0)</f>
        <v>0</v>
      </c>
      <c r="FA16" s="283">
        <f>IF(AND(Stamoplysninger!$B$26="Der er indgået lokalaftale omkring weekendtillæg(Kræver aftale med TR/FSL). Weekendtimerne afspadseres.",I16="X"),K16,0)</f>
        <v>0</v>
      </c>
      <c r="FB16" s="251">
        <f>IF(AND(AND(Stamoplysninger!$B$26="Der er indgået lokalaftale omkring weekendtillæg(Kræver aftale med TR/FSL). Weekendtimerne afspadseres.",I16="X",S16="X")),V16,0)</f>
        <v>0</v>
      </c>
      <c r="FC16" s="674">
        <f>IF(AND(AND(Stamoplysninger!$B$26="Der er indgået lokalaftale omkring weekendtillæg(Kræver aftale med TR/FSL). Weekendtimerne afspadseres..",I16="X",C16="ikke relevant")),K16,0)</f>
        <v>0</v>
      </c>
      <c r="FD16" s="675">
        <f>IF(AND(AND(AND(Stamoplysninger!$B$26="Der er indgået lokalaftale omkring weekendtillæg(Kræver aftale med TR/FSL). Weekendtimerne afspadseres.",I16="X",C16="ikke relevant",S16="X"))),(V16),0)</f>
        <v>0</v>
      </c>
      <c r="FE16" s="283">
        <f>IF(AND(Stamoplysninger!$B$26="Der er indgået lokalaftale omkring weekendtillæg(Kræver aftale med TR/FSL). Weekendtimerne udbetales.",I16="X"),K16,0)</f>
        <v>0</v>
      </c>
      <c r="FF16" s="251">
        <f>IF(AND(AND(Stamoplysninger!$B$26="Der er indgået lokalaftale omkring weekendtillæg(Kræver aftale med TR/FSL). Weekendtimerne udbetales.",I16="X",S16="X")),V16,0)</f>
        <v>0</v>
      </c>
      <c r="FG16" s="674">
        <f>IF(AND(AND(Stamoplysninger!$B$26="Der er indgået lokalaftale omkring weekendtillæg(Kræver aftale med TR/FSL). Weekendtimerne udbetales.",I16="X",C16="ikke relevant")),K16,0)</f>
        <v>0</v>
      </c>
      <c r="FH16" s="675">
        <f>IF(AND(AND(AND(Stamoplysninger!$B$26="Der er indgået lokalaftale omkring weekendtillæg(Kræver aftale med TR/FSL). Weekendtimerne udbetales.",I16="X",C16="ikke relevant",S16="X"))),(V16),0)</f>
        <v>0</v>
      </c>
      <c r="FI16" s="283">
        <f>IF(AND(Stamoplysninger!$B$26="Weekendtimer og weekendtillæg afspadseres.",I16="X"),K16,0)</f>
        <v>0</v>
      </c>
      <c r="FJ16" s="251">
        <f>IF(AND(Stamoplysninger!$B$26="Weekendtimer og weekendtillæg afspadseres.",Y16="X"),(AA16+AL16)/2,0)</f>
        <v>0</v>
      </c>
      <c r="FK16" s="674">
        <f>IF(AND(AND(Stamoplysninger!$B$26="Weekendtimer og weekendtillæg afspadseres.",I16="X",C16="ikke relevant")),K16,0)</f>
        <v>0</v>
      </c>
      <c r="FL16" s="675">
        <f>IF(AND(AND(Stamoplysninger!$B$26="Weekendtimer og weekendtillæg afspadseres.",Y16="X",S16="ikke relevant")),(AA16+AL16)/2,0)</f>
        <v>0</v>
      </c>
      <c r="FM16" s="283">
        <f>IF(AND(Stamoplysninger!$B$26="Der er indgået lokalaftale omkring weekendtillæg(Kræver aftale med TR/FSL). Weekendtimerne afspadseres.",I16="X"),K16,0)</f>
        <v>0</v>
      </c>
      <c r="FN16" s="674">
        <f>IF(AND(AND(Stamoplysninger!$B$26="Der er indgået lokalaftale omkring weekendtillæg(Kræver aftale med TR/FSL). Weekendtimerne afspadseres.",I16="X",C16="ikke relevant")),K16,0)</f>
        <v>0</v>
      </c>
      <c r="FO16" s="283">
        <f>IF(AND(Stamoplysninger!$B$26="Weekendtimer og weekendtillæg udbetales.",I16="X"),K16,0)</f>
        <v>0</v>
      </c>
      <c r="FP16" s="251">
        <f>IF(AND(Stamoplysninger!$B$26="Weekendtimer og weekendtillæg udbetales.",AA16="X"),(AC16+AN16)/2,0)</f>
        <v>0</v>
      </c>
      <c r="FQ16" s="674">
        <f>IF(AND(AND(Stamoplysninger!$B$26="Weekendtimer og weekendtillæg udbetales.",I16="X",C16="ikke relevant")),K16,0)</f>
        <v>0</v>
      </c>
      <c r="FR16" s="688">
        <f>IF(AND(AND(Stamoplysninger!$B$26="Weekendtimer og weekendtillæg udbetales.",AA16="X",U16="ikke relevant")),(AC16+AN16)/2,0)</f>
        <v>0</v>
      </c>
      <c r="FS16" s="283">
        <f t="shared" si="14"/>
        <v>0</v>
      </c>
      <c r="FT16" s="658">
        <f t="shared" si="15"/>
        <v>0</v>
      </c>
      <c r="FU16">
        <f t="shared" si="16"/>
        <v>0</v>
      </c>
      <c r="FV16" s="283">
        <f>IF(AND(Stamoplysninger!$B$26="Der er indgået lokalaftale omkring weekendtimer.(Kræver aftale med TR/FSL) Weekendtillæg afspadseres.",I16="X"),K16,0)</f>
        <v>0</v>
      </c>
      <c r="FW16" s="674">
        <f>IF(AND(AND(Stamoplysninger!$B$26="Der er indgået lokalaftale omkring weekendtimer.(Kræver aftale med TR/FSL) Weekendtillæg afspadseres.",I16="X",C16="ikke relevant")),K16,0)</f>
        <v>0</v>
      </c>
      <c r="FX16" s="283">
        <f>IF(AND(Stamoplysninger!$B$26="Der er indgået lokalaftale omkring weekendtimer(Kræver aftale med TR/FSL). Weekendtillæg udbetales.",I16="X"),K16,0)</f>
        <v>0</v>
      </c>
      <c r="FY16" s="674">
        <f>IF(AND(AND(Stamoplysninger!$B$26="Der er indgået lokalaftale omkring weekendtimer(Kræver aftale med TR/FSL). Weekendtillæg udbetales.",I16="X",C16="ikke relevant")),K16,0)</f>
        <v>0</v>
      </c>
      <c r="FZ16" s="283">
        <f>IF(AND(Stamoplysninger!$B$26="Der er indgået lokalaftale omkring weekendtillæg(Kræver aftale med TR/FSL). Weekendtimerne udbetales.",I16="X"),K16,0)</f>
        <v>0</v>
      </c>
      <c r="GA16" s="674">
        <f>IF(AND(AND(Stamoplysninger!$B$26="Der er indgået lokalaftale omkring weekendtillæg(Kræver aftale med TR/FSL). Weekendtimerne udbetales.",I16="X",C16="ikke relevant")),K16,0)</f>
        <v>0</v>
      </c>
      <c r="GB16" s="283">
        <f>IF(AND(Stamoplysninger!$B$26="Der er indgået lokalaftale omkring weekendtimer og weekendtillæg.(Kræver aftale med TR/FSL).",I16="X"),K16,0)</f>
        <v>0</v>
      </c>
      <c r="GC16" s="674">
        <f>IF(AND(AND(Stamoplysninger!$B$26="Der er indgået lokalaftale omkring weekendtimer og weekendtillæg.(Kræver aftale med TR/FSL).",I16="X",C16="ikke relevant")),K16,0)</f>
        <v>0</v>
      </c>
    </row>
    <row r="17" spans="1:185">
      <c r="A17" s="245">
        <f t="shared" si="17"/>
        <v>9</v>
      </c>
      <c r="B17" s="128" t="str">
        <f t="shared" si="0"/>
        <v>ma</v>
      </c>
      <c r="C17" s="129" t="s">
        <v>119</v>
      </c>
      <c r="D17" s="130">
        <f t="shared" si="1"/>
        <v>23.714285714285715</v>
      </c>
      <c r="E17" s="917" t="s">
        <v>319</v>
      </c>
      <c r="F17" s="918"/>
      <c r="G17" s="919"/>
      <c r="H17" s="298"/>
      <c r="I17" s="413"/>
      <c r="J17" s="413"/>
      <c r="K17" s="380"/>
      <c r="L17" s="380"/>
      <c r="M17" s="380"/>
      <c r="N17" s="318">
        <f t="shared" si="18"/>
        <v>0</v>
      </c>
      <c r="O17" s="318">
        <f t="shared" si="19"/>
        <v>0</v>
      </c>
      <c r="P17" s="318">
        <f>IF(Stamoplysninger!$H$29="JA",Juni!DG17,CX17)</f>
        <v>0</v>
      </c>
      <c r="Q17" s="318">
        <f t="shared" si="20"/>
        <v>0</v>
      </c>
      <c r="R17" s="319"/>
      <c r="S17" s="324"/>
      <c r="T17" s="325"/>
      <c r="U17" s="325"/>
      <c r="V17" s="435"/>
      <c r="W17" s="435"/>
      <c r="X17" s="644"/>
      <c r="Y17">
        <f t="shared" si="21"/>
        <v>0</v>
      </c>
      <c r="Z17" s="437">
        <f t="shared" si="22"/>
        <v>0</v>
      </c>
      <c r="AA17" s="1">
        <f t="shared" si="2"/>
        <v>0</v>
      </c>
      <c r="AB17" s="1">
        <f t="shared" si="3"/>
        <v>0</v>
      </c>
      <c r="AC17" s="1">
        <f t="shared" si="4"/>
        <v>0</v>
      </c>
      <c r="AD17" s="1">
        <f t="shared" si="5"/>
        <v>0</v>
      </c>
      <c r="AE17" s="1">
        <f t="shared" si="6"/>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9">
        <f t="shared" si="7"/>
        <v>0</v>
      </c>
      <c r="BC17" s="1">
        <f t="shared" si="24"/>
        <v>0</v>
      </c>
      <c r="BD17" s="1">
        <f t="shared" si="8"/>
        <v>0</v>
      </c>
      <c r="BE17" s="1">
        <f t="shared" si="9"/>
        <v>0</v>
      </c>
      <c r="BF17" s="1">
        <f t="shared" si="10"/>
        <v>0</v>
      </c>
      <c r="BG17" s="210" t="str">
        <f>IF(AND(C17="Skema 1",B17="ma"),Skemaoplysninger!$E$30,"")</f>
        <v/>
      </c>
      <c r="BH17" s="210" t="str">
        <f>IF(AND(C17="Skema 1",B17="ti"),Skemaoplysninger!$G$30,"")</f>
        <v/>
      </c>
      <c r="BI17" s="210" t="str">
        <f>IF(AND(C17="Skema 1",B17="on"),Skemaoplysninger!$I$30,"")</f>
        <v/>
      </c>
      <c r="BJ17" s="210" t="str">
        <f>IF(AND(C17="Skema 1",B17="to"),Skemaoplysninger!$K$30,"")</f>
        <v/>
      </c>
      <c r="BK17" s="210" t="str">
        <f>IF(AND(C17="Skema 1",B17="fr"),Skemaoplysninger!$M$30,"")</f>
        <v/>
      </c>
      <c r="BL17" s="210" t="str">
        <f>IF(AND(C17="Skema 2",B17="ma"),Skemaoplysninger!$S$30,"")</f>
        <v/>
      </c>
      <c r="BM17" s="210" t="str">
        <f>IF(AND(C17="Skema 2",B17="ti"),Skemaoplysninger!$U$30,"")</f>
        <v/>
      </c>
      <c r="BN17" s="210" t="str">
        <f>IF(AND(C17="Skema 2",B17="on"),Skemaoplysninger!$W$30,"")</f>
        <v/>
      </c>
      <c r="BO17" s="210" t="str">
        <f>IF(AND(C17="Skema 2",B17="to"),Skemaoplysninger!$Y$30,"")</f>
        <v/>
      </c>
      <c r="BP17" s="210" t="str">
        <f>IF(AND(C17="Skema 2",B17="fr"),Skemaoplysninger!$AA$30,"")</f>
        <v/>
      </c>
      <c r="BQ17" s="210" t="str">
        <f>IF(AND(C17="Skema 3",B17="ma"),Skemaoplysninger!$AG$30,"")</f>
        <v/>
      </c>
      <c r="BR17" s="210" t="str">
        <f>IF(AND(C17="Skema 3",B17="ti"),Skemaoplysninger!$AI$30,"")</f>
        <v/>
      </c>
      <c r="BS17" s="210" t="str">
        <f>IF(AND(C17="Skema 3",B17="on"),Skemaoplysninger!$AK$30,"")</f>
        <v/>
      </c>
      <c r="BT17" s="210" t="str">
        <f>IF(AND(C17="Skema 3",B17="to"),Skemaoplysninger!$AM$30,"")</f>
        <v/>
      </c>
      <c r="BU17" s="210" t="str">
        <f>IF(AND(C17="Skema 3",B17="fr"),Skemaoplysninger!$AO$30,"")</f>
        <v/>
      </c>
      <c r="BV17" s="210" t="str">
        <f>IF(AND(C17="Skema 4",B17="ma"),Skemaoplysninger!$AU$30,"")</f>
        <v/>
      </c>
      <c r="BW17" s="210" t="str">
        <f>IF(AND(C17="Skema 4",B17="ti"),Skemaoplysninger!$AW$30,"")</f>
        <v/>
      </c>
      <c r="BX17" s="210" t="str">
        <f>IF(AND(C17="Skema 4",B17="on"),Skemaoplysninger!$AY$30,"")</f>
        <v/>
      </c>
      <c r="BY17" s="210" t="str">
        <f>IF(AND(C17="Skema 4",B17="to"),Skemaoplysninger!$BA$30,"")</f>
        <v/>
      </c>
      <c r="BZ17" s="210" t="str">
        <f>IF(AND(C17="Skema 4",B17="fr"),Skemaoplysninger!$BC$30,"")</f>
        <v/>
      </c>
      <c r="CA17" s="1">
        <f t="shared" si="25"/>
        <v>0</v>
      </c>
      <c r="CB17" s="1">
        <f t="shared" si="11"/>
        <v>0</v>
      </c>
      <c r="CC17" s="1">
        <f t="shared" si="12"/>
        <v>0</v>
      </c>
      <c r="CD17" s="210" t="str">
        <f>IF(AND(C17="Skema 1",B17="ma"),Skemaoplysninger!$E$31,"")</f>
        <v/>
      </c>
      <c r="CE17" s="210" t="str">
        <f>IF(AND(C17="Skema 1",B17="ti"),Skemaoplysninger!$G$31,"")</f>
        <v/>
      </c>
      <c r="CF17" s="210" t="str">
        <f>IF(AND(C17="Skema 1",B17="on"),Skemaoplysninger!$I$31,"")</f>
        <v/>
      </c>
      <c r="CG17" s="210" t="str">
        <f>IF(AND(C17="Skema 1",B17="to"),Skemaoplysninger!$K$31,"")</f>
        <v/>
      </c>
      <c r="CH17" s="210" t="str">
        <f>IF(AND(C17="Skema 1",B17="fr"),Skemaoplysninger!$M$31,"")</f>
        <v/>
      </c>
      <c r="CI17" s="210" t="str">
        <f>IF(AND(C17="Skema 2",B17="ma"),Skemaoplysninger!$S$31,"")</f>
        <v/>
      </c>
      <c r="CJ17" s="210" t="str">
        <f>IF(AND(C17="Skema 2",B17="ti"),Skemaoplysninger!$U$31,"")</f>
        <v/>
      </c>
      <c r="CK17" s="210" t="str">
        <f>IF(AND(C17="Skema 2",B17="on"),Skemaoplysninger!$W$31,"")</f>
        <v/>
      </c>
      <c r="CL17" s="210" t="str">
        <f>IF(AND(C17="Skema 2",B17="to"),Skemaoplysninger!$Y$31,"")</f>
        <v/>
      </c>
      <c r="CM17" s="210" t="str">
        <f>IF(AND(C17="Skema 2",B17="fr"),Skemaoplysninger!$AA$31,"")</f>
        <v/>
      </c>
      <c r="CN17" s="210" t="str">
        <f>IF(AND(C17="Skema 3",B17="ma"),Skemaoplysninger!$AG$31,"")</f>
        <v/>
      </c>
      <c r="CO17" s="210" t="str">
        <f>IF(AND(C17="Skema 3",B17="ti"),Skemaoplysninger!$AI$31,"")</f>
        <v/>
      </c>
      <c r="CP17" s="210" t="str">
        <f>IF(AND(C17="Skema 3",B17="on"),Skemaoplysninger!$AK$31,"")</f>
        <v/>
      </c>
      <c r="CQ17" s="210" t="str">
        <f>IF(AND(C17="Skema 3",B17="to"),Skemaoplysninger!$AM$31,"")</f>
        <v/>
      </c>
      <c r="CR17" s="210" t="str">
        <f>IF(AND(C17="Skema 3",B17="fr"),Skemaoplysninger!$AO$31,"")</f>
        <v/>
      </c>
      <c r="CS17" s="210" t="str">
        <f>IF(AND(C17="Skema 4",B17="ma"),Skemaoplysninger!$AU$31,"")</f>
        <v/>
      </c>
      <c r="CT17" s="210" t="str">
        <f>IF(AND(C17="Skema 4",B17="ti"),Skemaoplysninger!$AW$31,"")</f>
        <v/>
      </c>
      <c r="CU17" s="210" t="str">
        <f>IF(AND(C17="Skema 4",B17="on"),Skemaoplysninger!$AY$31,"")</f>
        <v/>
      </c>
      <c r="CV17" s="210" t="str">
        <f>IF(AND(C17="Skema 4",B17="to"),Skemaoplysninger!$BA$31,"")</f>
        <v/>
      </c>
      <c r="CW17" s="210" t="str">
        <f>IF(AND(C17="Skema 4",B17="fr"),Skemaoplysninger!$BC$31,"")</f>
        <v/>
      </c>
      <c r="CX17" s="249">
        <f>IF(Stamoplysninger!$H$29="NEJ",SUM(CD17:CW17)*24+CB17+CC17,0)</f>
        <v>0</v>
      </c>
      <c r="CY17" s="249">
        <f>IF(C17="Skema 1",Stamoplysninger!$H$30/200,0)</f>
        <v>0</v>
      </c>
      <c r="CZ17" s="249">
        <f>IF(C17="Skema 2",Stamoplysninger!$H$30/200,0)</f>
        <v>0</v>
      </c>
      <c r="DA17" s="249">
        <f>IF(C17="Skema 3",Stamoplysninger!$H$30/200,0)</f>
        <v>0</v>
      </c>
      <c r="DB17" s="249">
        <f>IF(C17="Skema 4",Stamoplysninger!$H$30/200,0)</f>
        <v>0</v>
      </c>
      <c r="DC17" s="249">
        <f>IF(C17="fagdag",Stamoplysninger!$H$30/200,0)</f>
        <v>0</v>
      </c>
      <c r="DD17" s="249">
        <f>IF(C17="emnedag",Stamoplysninger!$H$30/200,0)</f>
        <v>0</v>
      </c>
      <c r="DE17" s="249">
        <f>IF(C17="lejrskole",Stamoplysninger!$H$30/200,0)</f>
        <v>0</v>
      </c>
      <c r="DF17" s="249">
        <f>IF(C17="ekskursion",Stamoplysninger!$H$30/200,0)</f>
        <v>0</v>
      </c>
      <c r="DG17" s="249">
        <f t="shared" si="26"/>
        <v>0</v>
      </c>
      <c r="DH17" t="str">
        <f t="shared" si="27"/>
        <v/>
      </c>
      <c r="DI17" t="str">
        <f t="shared" si="28"/>
        <v>2. pinsedag</v>
      </c>
      <c r="DJ17" t="str">
        <f t="shared" si="29"/>
        <v/>
      </c>
      <c r="DK17" t="str">
        <f t="shared" si="13"/>
        <v/>
      </c>
      <c r="DL17" t="str">
        <f t="shared" si="13"/>
        <v>2. pinsedag</v>
      </c>
      <c r="DM17" t="str">
        <f t="shared" si="13"/>
        <v/>
      </c>
      <c r="DN17" t="str">
        <f t="shared" si="30"/>
        <v>2. pinsedag</v>
      </c>
      <c r="DO17" s="652">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71">
        <f>IF(AND(Stamoplysninger!$B$22="Ulempetillæg udbetales med 25% af nettotimelønnen.",C17="ikke relevant"),(R17)/4,0)</f>
        <v>0</v>
      </c>
      <c r="DT17" s="671">
        <f>IF(AND(AND(Stamoplysninger!$B$22="Ulempetillæg udbetales med 25% af nettotimelønnen.",I17="X",C17="Ikke relevant")),K17/4,0)</f>
        <v>0</v>
      </c>
      <c r="DU17" s="671">
        <f>IF(AND(AND(Stamoplysninger!$B$22="Ulempetillæg udbetales med 25% af nettotimelønnen.",C17="ikke relevant",U17="X")),(X17/4),0)</f>
        <v>0</v>
      </c>
      <c r="DV17" s="672">
        <f>IF(AND(AND(AND(Stamoplysninger!$B$22="Ulempetillæg udbetales med 25% af nettotimelønnen.",I17="X",C17="Ikke relevant",S17="X"))),V17/4,0)</f>
        <v>0</v>
      </c>
      <c r="DW17" s="652"/>
      <c r="DZ17" s="671"/>
      <c r="EA17" s="671"/>
      <c r="EB17" s="672"/>
      <c r="EC17" s="652">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71">
        <f>IF(AND(Stamoplysninger!$B$22="Ulempetillæg afspadseres med 25%(Kræver en aftale imellem ledelsen og den ansatte)",C17="ikke relevant"),(R17)/4,0)</f>
        <v>0</v>
      </c>
      <c r="EH17" s="671">
        <f>IF(AND(AND(Stamoplysninger!$B$22="Ulempetillæg afspadseres med 25%(Kræver en aftale imellem ledelsen og den ansatte)",I17="X",C17="Ikke relevant")),K17/4,0)</f>
        <v>0</v>
      </c>
      <c r="EI17" s="671">
        <f>IF(AND(AND(Stamoplysninger!$B$22="Ulempetillæg afspadseres med 25%(Kræver en aftale imellem ledelsen og den ansatte)",U17="X",C17="Ikke relevant")),X17/4,0)</f>
        <v>0</v>
      </c>
      <c r="EJ17" s="671">
        <f>IF(AND(AND(AND(Stamoplysninger!$B$22="Ulempetillæg afspadseres med 25%(Kræver en aftale imellem ledelsen og den ansatte)",I17="X",C17="Ikke relevant",S17="X"))),V17/4,0)</f>
        <v>0</v>
      </c>
      <c r="EK17" s="283">
        <f>IF(AND(Stamoplysninger!$B$26="Weekendtimer og weekendtillæg afspadseres.",I17="X"),K17*1.5,0)</f>
        <v>0</v>
      </c>
      <c r="EL17" s="251">
        <f>IF(AND(AND(Stamoplysninger!$B$26="Weekendtimer og weekendtillæg afspadseres.",I17="X",S17="X")),V17*1.5,0)</f>
        <v>0</v>
      </c>
      <c r="EM17" s="674">
        <f>IF(AND(AND(Stamoplysninger!$B$26="Weekendtimer og weekendtillæg afspadseres.",I17="X",C17="ikke relevant")),K17*1.5,0)</f>
        <v>0</v>
      </c>
      <c r="EN17" s="675">
        <f>IF(AND(AND(AND(Stamoplysninger!$B$26="Weekendtimer og weekendtillæg afspadseres.",I17="X",C17="ikke relevant",S17="X"))),(V17*1.5),0)</f>
        <v>0</v>
      </c>
      <c r="EO17" s="283">
        <f>IF(AND(Stamoplysninger!$B$26="Weekendtimer og weekendtillæg udbetales.",I17="X"),K17*1.5,0)</f>
        <v>0</v>
      </c>
      <c r="EP17" s="251">
        <f>IF(AND(AND(Stamoplysninger!$B$26="Weekendtimer og weekendtillæg udbetales.",I17="X",S17="X")),V17*1.5,0)</f>
        <v>0</v>
      </c>
      <c r="EQ17" s="674">
        <f>IF(AND(AND(Stamoplysninger!$B$26="Weekendtimer og weekendtillæg udbetales.",I17="X",C17="ikke relevant")),K17*1.5,0)</f>
        <v>0</v>
      </c>
      <c r="ER17" s="675">
        <f>IF(AND(AND(AND(Stamoplysninger!$B$26="Weekendtimer og weekendtillæg udbetales.",I17="X",C17="ikke relevant",S17="X"))),(V17*1.5),0)</f>
        <v>0</v>
      </c>
      <c r="ES17" s="283">
        <f>IF(AND(Stamoplysninger!$B$26="Der er indgået lokalaftale omkring weekendtimer.(Kræver aftale med TR/FSL) Weekendtillæg afspadseres.",I17="X"),K17*0.5,0)</f>
        <v>0</v>
      </c>
      <c r="ET17" s="251">
        <f>IF(AND(AND(Stamoplysninger!$B$26="Der er indgået lokalaftale omkring weekendtimer.(Kræver aftale med TR/FSL) Weekendtillæg afspadseres.",I17="X",S17="X")),V17*0.5,0)</f>
        <v>0</v>
      </c>
      <c r="EU17" s="674">
        <f>IF(AND(AND(Stamoplysninger!$B$26="Der er indgået lokalaftale omkring weekendtimer.(Kræver aftale med TR/FSL) Weekendtillæg afspadseres.",I17="X",C17="ikke relevant")),K17*0.5,0)</f>
        <v>0</v>
      </c>
      <c r="EV17" s="675">
        <f>IF(AND(AND(AND(Stamoplysninger!$B$26="Der er indgået lokalaftale omkring weekendtimer.(Kræver aftale med TR/FSL) Weekendtillæg afspadseres.",I17="X",C17="ikke relevant",S17="X"))),(V17*0.5),0)</f>
        <v>0</v>
      </c>
      <c r="EW17" s="283">
        <f>IF(AND(Stamoplysninger!$B$26="Der er indgået lokalaftale omkring weekendtimer(Kræver aftale med TR/FSL). Weekendtillæg udbetales.",I17="X"),K17*0.5,0)</f>
        <v>0</v>
      </c>
      <c r="EX17" s="251">
        <f>IF(AND(AND(Stamoplysninger!$B$26="Der er indgået lokalaftale omkring weekendtimer(Kræver aftale med TR/FSL). Weekendtillæg udbetales.",I17="X",S17="X")),V17*0.5,0)</f>
        <v>0</v>
      </c>
      <c r="EY17" s="674">
        <f>IF(AND(AND(Stamoplysninger!$B$26="Der er indgået lokalaftale omkring weekendtimer(Kræver aftale med TR/FSL). Weekendtillæg udbetales.",I17="X",C17="ikke relevant")),K17*0.5,0)</f>
        <v>0</v>
      </c>
      <c r="EZ17" s="675">
        <f>IF(AND(AND(AND(Stamoplysninger!$B$26="Der er indgået lokalaftale omkring weekendtimer(Kræver aftale med TR/FSL). Weekendtillæg udbetales.",I17="X",C17="ikke relevant",S17="X"))),(V17*0.5),0)</f>
        <v>0</v>
      </c>
      <c r="FA17" s="283">
        <f>IF(AND(Stamoplysninger!$B$26="Der er indgået lokalaftale omkring weekendtillæg(Kræver aftale med TR/FSL). Weekendtimerne afspadseres.",I17="X"),K17,0)</f>
        <v>0</v>
      </c>
      <c r="FB17" s="251">
        <f>IF(AND(AND(Stamoplysninger!$B$26="Der er indgået lokalaftale omkring weekendtillæg(Kræver aftale med TR/FSL). Weekendtimerne afspadseres.",I17="X",S17="X")),V17,0)</f>
        <v>0</v>
      </c>
      <c r="FC17" s="674">
        <f>IF(AND(AND(Stamoplysninger!$B$26="Der er indgået lokalaftale omkring weekendtillæg(Kræver aftale med TR/FSL). Weekendtimerne afspadseres..",I17="X",C17="ikke relevant")),K17,0)</f>
        <v>0</v>
      </c>
      <c r="FD17" s="675">
        <f>IF(AND(AND(AND(Stamoplysninger!$B$26="Der er indgået lokalaftale omkring weekendtillæg(Kræver aftale med TR/FSL). Weekendtimerne afspadseres.",I17="X",C17="ikke relevant",S17="X"))),(V17),0)</f>
        <v>0</v>
      </c>
      <c r="FE17" s="283">
        <f>IF(AND(Stamoplysninger!$B$26="Der er indgået lokalaftale omkring weekendtillæg(Kræver aftale med TR/FSL). Weekendtimerne udbetales.",I17="X"),K17,0)</f>
        <v>0</v>
      </c>
      <c r="FF17" s="251">
        <f>IF(AND(AND(Stamoplysninger!$B$26="Der er indgået lokalaftale omkring weekendtillæg(Kræver aftale med TR/FSL). Weekendtimerne udbetales.",I17="X",S17="X")),V17,0)</f>
        <v>0</v>
      </c>
      <c r="FG17" s="674">
        <f>IF(AND(AND(Stamoplysninger!$B$26="Der er indgået lokalaftale omkring weekendtillæg(Kræver aftale med TR/FSL). Weekendtimerne udbetales.",I17="X",C17="ikke relevant")),K17,0)</f>
        <v>0</v>
      </c>
      <c r="FH17" s="675">
        <f>IF(AND(AND(AND(Stamoplysninger!$B$26="Der er indgået lokalaftale omkring weekendtillæg(Kræver aftale med TR/FSL). Weekendtimerne udbetales.",I17="X",C17="ikke relevant",S17="X"))),(V17),0)</f>
        <v>0</v>
      </c>
      <c r="FI17" s="283">
        <f>IF(AND(Stamoplysninger!$B$26="Weekendtimer og weekendtillæg afspadseres.",I17="X"),K17,0)</f>
        <v>0</v>
      </c>
      <c r="FJ17" s="251">
        <f>IF(AND(Stamoplysninger!$B$26="Weekendtimer og weekendtillæg afspadseres.",Y17="X"),(AA17+AL17)/2,0)</f>
        <v>0</v>
      </c>
      <c r="FK17" s="674">
        <f>IF(AND(AND(Stamoplysninger!$B$26="Weekendtimer og weekendtillæg afspadseres.",I17="X",C17="ikke relevant")),K17,0)</f>
        <v>0</v>
      </c>
      <c r="FL17" s="675">
        <f>IF(AND(AND(Stamoplysninger!$B$26="Weekendtimer og weekendtillæg afspadseres.",Y17="X",S17="ikke relevant")),(AA17+AL17)/2,0)</f>
        <v>0</v>
      </c>
      <c r="FM17" s="283">
        <f>IF(AND(Stamoplysninger!$B$26="Der er indgået lokalaftale omkring weekendtillæg(Kræver aftale med TR/FSL). Weekendtimerne afspadseres.",I17="X"),K17,0)</f>
        <v>0</v>
      </c>
      <c r="FN17" s="674">
        <f>IF(AND(AND(Stamoplysninger!$B$26="Der er indgået lokalaftale omkring weekendtillæg(Kræver aftale med TR/FSL). Weekendtimerne afspadseres.",I17="X",C17="ikke relevant")),K17,0)</f>
        <v>0</v>
      </c>
      <c r="FO17" s="283">
        <f>IF(AND(Stamoplysninger!$B$26="Weekendtimer og weekendtillæg udbetales.",I17="X"),K17,0)</f>
        <v>0</v>
      </c>
      <c r="FP17" s="251">
        <f>IF(AND(Stamoplysninger!$B$26="Weekendtimer og weekendtillæg udbetales.",AA17="X"),(AC17+AN17)/2,0)</f>
        <v>0</v>
      </c>
      <c r="FQ17" s="674">
        <f>IF(AND(AND(Stamoplysninger!$B$26="Weekendtimer og weekendtillæg udbetales.",I17="X",C17="ikke relevant")),K17,0)</f>
        <v>0</v>
      </c>
      <c r="FR17" s="688">
        <f>IF(AND(AND(Stamoplysninger!$B$26="Weekendtimer og weekendtillæg udbetales.",AA17="X",U17="ikke relevant")),(AC17+AN17)/2,0)</f>
        <v>0</v>
      </c>
      <c r="FS17" s="283">
        <f t="shared" si="14"/>
        <v>0</v>
      </c>
      <c r="FT17" s="658">
        <f t="shared" si="15"/>
        <v>0</v>
      </c>
      <c r="FU17">
        <f t="shared" si="16"/>
        <v>0</v>
      </c>
      <c r="FV17" s="283">
        <f>IF(AND(Stamoplysninger!$B$26="Der er indgået lokalaftale omkring weekendtimer.(Kræver aftale med TR/FSL) Weekendtillæg afspadseres.",I17="X"),K17,0)</f>
        <v>0</v>
      </c>
      <c r="FW17" s="674">
        <f>IF(AND(AND(Stamoplysninger!$B$26="Der er indgået lokalaftale omkring weekendtimer.(Kræver aftale med TR/FSL) Weekendtillæg afspadseres.",I17="X",C17="ikke relevant")),K17,0)</f>
        <v>0</v>
      </c>
      <c r="FX17" s="283">
        <f>IF(AND(Stamoplysninger!$B$26="Der er indgået lokalaftale omkring weekendtimer(Kræver aftale med TR/FSL). Weekendtillæg udbetales.",I17="X"),K17,0)</f>
        <v>0</v>
      </c>
      <c r="FY17" s="674">
        <f>IF(AND(AND(Stamoplysninger!$B$26="Der er indgået lokalaftale omkring weekendtimer(Kræver aftale med TR/FSL). Weekendtillæg udbetales.",I17="X",C17="ikke relevant")),K17,0)</f>
        <v>0</v>
      </c>
      <c r="FZ17" s="283">
        <f>IF(AND(Stamoplysninger!$B$26="Der er indgået lokalaftale omkring weekendtillæg(Kræver aftale med TR/FSL). Weekendtimerne udbetales.",I17="X"),K17,0)</f>
        <v>0</v>
      </c>
      <c r="GA17" s="674">
        <f>IF(AND(AND(Stamoplysninger!$B$26="Der er indgået lokalaftale omkring weekendtillæg(Kræver aftale med TR/FSL). Weekendtimerne udbetales.",I17="X",C17="ikke relevant")),K17,0)</f>
        <v>0</v>
      </c>
      <c r="GB17" s="283">
        <f>IF(AND(Stamoplysninger!$B$26="Der er indgået lokalaftale omkring weekendtimer og weekendtillæg.(Kræver aftale med TR/FSL).",I17="X"),K17,0)</f>
        <v>0</v>
      </c>
      <c r="GC17" s="674">
        <f>IF(AND(AND(Stamoplysninger!$B$26="Der er indgået lokalaftale omkring weekendtimer og weekendtillæg.(Kræver aftale med TR/FSL).",I17="X",C17="ikke relevant")),K17,0)</f>
        <v>0</v>
      </c>
    </row>
    <row r="18" spans="1:185">
      <c r="A18" s="245">
        <f t="shared" si="17"/>
        <v>10</v>
      </c>
      <c r="B18" s="128" t="str">
        <f t="shared" si="0"/>
        <v>ti</v>
      </c>
      <c r="C18" s="129" t="s">
        <v>207</v>
      </c>
      <c r="D18" s="130" t="str">
        <f t="shared" si="1"/>
        <v/>
      </c>
      <c r="E18" s="917"/>
      <c r="F18" s="918"/>
      <c r="G18" s="919"/>
      <c r="H18" s="298"/>
      <c r="I18" s="527"/>
      <c r="J18" s="413"/>
      <c r="K18" s="380"/>
      <c r="L18" s="380"/>
      <c r="M18" s="380"/>
      <c r="N18" s="318">
        <f t="shared" si="18"/>
        <v>8.5</v>
      </c>
      <c r="O18" s="318">
        <f t="shared" si="19"/>
        <v>3.75</v>
      </c>
      <c r="P18" s="318">
        <f>IF(Stamoplysninger!$H$29="JA",Juni!DG18,CX18)</f>
        <v>1.5</v>
      </c>
      <c r="Q18" s="318">
        <f t="shared" si="20"/>
        <v>3.25</v>
      </c>
      <c r="R18" s="319"/>
      <c r="S18" s="324"/>
      <c r="T18" s="325"/>
      <c r="U18" s="325"/>
      <c r="V18" s="435"/>
      <c r="W18" s="435"/>
      <c r="X18" s="644"/>
      <c r="Y18">
        <f t="shared" si="21"/>
        <v>0</v>
      </c>
      <c r="Z18" s="437">
        <f t="shared" si="22"/>
        <v>0</v>
      </c>
      <c r="AA18" s="1">
        <f t="shared" si="2"/>
        <v>0</v>
      </c>
      <c r="AB18" s="1">
        <f t="shared" si="3"/>
        <v>0</v>
      </c>
      <c r="AC18" s="1">
        <f t="shared" si="4"/>
        <v>0</v>
      </c>
      <c r="AD18" s="1">
        <f t="shared" si="5"/>
        <v>0</v>
      </c>
      <c r="AE18" s="1">
        <f t="shared" si="6"/>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f>IF(AND(C18="Skema 2",B18="ti"),Arbejdstidsoversigt!$E$82,"")</f>
        <v>8.5</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8.5</v>
      </c>
      <c r="BB18" s="229">
        <f t="shared" si="7"/>
        <v>0</v>
      </c>
      <c r="BC18" s="1">
        <f t="shared" si="24"/>
        <v>0</v>
      </c>
      <c r="BD18" s="1">
        <f t="shared" si="8"/>
        <v>0</v>
      </c>
      <c r="BE18" s="1">
        <f t="shared" si="9"/>
        <v>0</v>
      </c>
      <c r="BF18" s="1">
        <f t="shared" si="10"/>
        <v>0</v>
      </c>
      <c r="BG18" s="210" t="str">
        <f>IF(AND(C18="Skema 1",B18="ma"),Skemaoplysninger!$E$30,"")</f>
        <v/>
      </c>
      <c r="BH18" s="210" t="str">
        <f>IF(AND(C18="Skema 1",B18="ti"),Skemaoplysninger!$G$30,"")</f>
        <v/>
      </c>
      <c r="BI18" s="210" t="str">
        <f>IF(AND(C18="Skema 1",B18="on"),Skemaoplysninger!$I$30,"")</f>
        <v/>
      </c>
      <c r="BJ18" s="210" t="str">
        <f>IF(AND(C18="Skema 1",B18="to"),Skemaoplysninger!$K$30,"")</f>
        <v/>
      </c>
      <c r="BK18" s="210" t="str">
        <f>IF(AND(C18="Skema 1",B18="fr"),Skemaoplysninger!$M$30,"")</f>
        <v/>
      </c>
      <c r="BL18" s="210" t="str">
        <f>IF(AND(C18="Skema 2",B18="ma"),Skemaoplysninger!$S$30,"")</f>
        <v/>
      </c>
      <c r="BM18" s="210">
        <f>IF(AND(C18="Skema 2",B18="ti"),Skemaoplysninger!$U$30,"")</f>
        <v>0.15625</v>
      </c>
      <c r="BN18" s="210" t="str">
        <f>IF(AND(C18="Skema 2",B18="on"),Skemaoplysninger!$W$30,"")</f>
        <v/>
      </c>
      <c r="BO18" s="210" t="str">
        <f>IF(AND(C18="Skema 2",B18="to"),Skemaoplysninger!$Y$30,"")</f>
        <v/>
      </c>
      <c r="BP18" s="210" t="str">
        <f>IF(AND(C18="Skema 2",B18="fr"),Skemaoplysninger!$AA$30,"")</f>
        <v/>
      </c>
      <c r="BQ18" s="210" t="str">
        <f>IF(AND(C18="Skema 3",B18="ma"),Skemaoplysninger!$AG$30,"")</f>
        <v/>
      </c>
      <c r="BR18" s="210" t="str">
        <f>IF(AND(C18="Skema 3",B18="ti"),Skemaoplysninger!$AI$30,"")</f>
        <v/>
      </c>
      <c r="BS18" s="210" t="str">
        <f>IF(AND(C18="Skema 3",B18="on"),Skemaoplysninger!$AK$30,"")</f>
        <v/>
      </c>
      <c r="BT18" s="210" t="str">
        <f>IF(AND(C18="Skema 3",B18="to"),Skemaoplysninger!$AM$30,"")</f>
        <v/>
      </c>
      <c r="BU18" s="210" t="str">
        <f>IF(AND(C18="Skema 3",B18="fr"),Skemaoplysninger!$AO$30,"")</f>
        <v/>
      </c>
      <c r="BV18" s="210" t="str">
        <f>IF(AND(C18="Skema 4",B18="ma"),Skemaoplysninger!$AU$30,"")</f>
        <v/>
      </c>
      <c r="BW18" s="210" t="str">
        <f>IF(AND(C18="Skema 4",B18="ti"),Skemaoplysninger!$AW$30,"")</f>
        <v/>
      </c>
      <c r="BX18" s="210" t="str">
        <f>IF(AND(C18="Skema 4",B18="on"),Skemaoplysninger!$AY$30,"")</f>
        <v/>
      </c>
      <c r="BY18" s="210" t="str">
        <f>IF(AND(C18="Skema 4",B18="to"),Skemaoplysninger!$BA$30,"")</f>
        <v/>
      </c>
      <c r="BZ18" s="210" t="str">
        <f>IF(AND(C18="Skema 4",B18="fr"),Skemaoplysninger!$BC$30,"")</f>
        <v/>
      </c>
      <c r="CA18" s="1">
        <f t="shared" si="25"/>
        <v>3.75</v>
      </c>
      <c r="CB18" s="1">
        <f t="shared" si="11"/>
        <v>0</v>
      </c>
      <c r="CC18" s="1">
        <f t="shared" si="12"/>
        <v>0</v>
      </c>
      <c r="CD18" s="210" t="str">
        <f>IF(AND(C18="Skema 1",B18="ma"),Skemaoplysninger!$E$31,"")</f>
        <v/>
      </c>
      <c r="CE18" s="210" t="str">
        <f>IF(AND(C18="Skema 1",B18="ti"),Skemaoplysninger!$G$31,"")</f>
        <v/>
      </c>
      <c r="CF18" s="210" t="str">
        <f>IF(AND(C18="Skema 1",B18="on"),Skemaoplysninger!$I$31,"")</f>
        <v/>
      </c>
      <c r="CG18" s="210" t="str">
        <f>IF(AND(C18="Skema 1",B18="to"),Skemaoplysninger!$K$31,"")</f>
        <v/>
      </c>
      <c r="CH18" s="210" t="str">
        <f>IF(AND(C18="Skema 1",B18="fr"),Skemaoplysninger!$M$31,"")</f>
        <v/>
      </c>
      <c r="CI18" s="210" t="str">
        <f>IF(AND(C18="Skema 2",B18="ma"),Skemaoplysninger!$S$31,"")</f>
        <v/>
      </c>
      <c r="CJ18" s="210">
        <f>IF(AND(C18="Skema 2",B18="ti"),Skemaoplysninger!$U$31,"")</f>
        <v>6.25E-2</v>
      </c>
      <c r="CK18" s="210" t="str">
        <f>IF(AND(C18="Skema 2",B18="on"),Skemaoplysninger!$W$31,"")</f>
        <v/>
      </c>
      <c r="CL18" s="210" t="str">
        <f>IF(AND(C18="Skema 2",B18="to"),Skemaoplysninger!$Y$31,"")</f>
        <v/>
      </c>
      <c r="CM18" s="210" t="str">
        <f>IF(AND(C18="Skema 2",B18="fr"),Skemaoplysninger!$AA$31,"")</f>
        <v/>
      </c>
      <c r="CN18" s="210" t="str">
        <f>IF(AND(C18="Skema 3",B18="ma"),Skemaoplysninger!$AG$31,"")</f>
        <v/>
      </c>
      <c r="CO18" s="210" t="str">
        <f>IF(AND(C18="Skema 3",B18="ti"),Skemaoplysninger!$AI$31,"")</f>
        <v/>
      </c>
      <c r="CP18" s="210" t="str">
        <f>IF(AND(C18="Skema 3",B18="on"),Skemaoplysninger!$AK$31,"")</f>
        <v/>
      </c>
      <c r="CQ18" s="210" t="str">
        <f>IF(AND(C18="Skema 3",B18="to"),Skemaoplysninger!$AM$31,"")</f>
        <v/>
      </c>
      <c r="CR18" s="210" t="str">
        <f>IF(AND(C18="Skema 3",B18="fr"),Skemaoplysninger!$AO$31,"")</f>
        <v/>
      </c>
      <c r="CS18" s="210" t="str">
        <f>IF(AND(C18="Skema 4",B18="ma"),Skemaoplysninger!$AU$31,"")</f>
        <v/>
      </c>
      <c r="CT18" s="210" t="str">
        <f>IF(AND(C18="Skema 4",B18="ti"),Skemaoplysninger!$AW$31,"")</f>
        <v/>
      </c>
      <c r="CU18" s="210" t="str">
        <f>IF(AND(C18="Skema 4",B18="on"),Skemaoplysninger!$AY$31,"")</f>
        <v/>
      </c>
      <c r="CV18" s="210" t="str">
        <f>IF(AND(C18="Skema 4",B18="to"),Skemaoplysninger!$BA$31,"")</f>
        <v/>
      </c>
      <c r="CW18" s="210" t="str">
        <f>IF(AND(C18="Skema 4",B18="fr"),Skemaoplysninger!$BC$31,"")</f>
        <v/>
      </c>
      <c r="CX18" s="249">
        <f>IF(Stamoplysninger!$H$29="NEJ",SUM(CD18:CW18)*24+CB18+CC18,0)</f>
        <v>1.5</v>
      </c>
      <c r="CY18" s="249">
        <f>IF(C18="Skema 1",Stamoplysninger!$H$30/200,0)</f>
        <v>0</v>
      </c>
      <c r="CZ18" s="249">
        <f>IF(C18="Skema 2",Stamoplysninger!$H$30/200,0)</f>
        <v>0</v>
      </c>
      <c r="DA18" s="249">
        <f>IF(C18="Skema 3",Stamoplysninger!$H$30/200,0)</f>
        <v>0</v>
      </c>
      <c r="DB18" s="249">
        <f>IF(C18="Skema 4",Stamoplysninger!$H$30/200,0)</f>
        <v>0</v>
      </c>
      <c r="DC18" s="249">
        <f>IF(C18="fagdag",Stamoplysninger!$H$30/200,0)</f>
        <v>0</v>
      </c>
      <c r="DD18" s="249">
        <f>IF(C18="emnedag",Stamoplysninger!$H$30/200,0)</f>
        <v>0</v>
      </c>
      <c r="DE18" s="249">
        <f>IF(C18="lejrskole",Stamoplysninger!$H$30/200,0)</f>
        <v>0</v>
      </c>
      <c r="DF18" s="249">
        <f>IF(C18="ekskursion",Stamoplysninger!$H$30/200,0)</f>
        <v>0</v>
      </c>
      <c r="DG18" s="249">
        <f t="shared" si="26"/>
        <v>0</v>
      </c>
      <c r="DH18" t="str">
        <f t="shared" si="27"/>
        <v/>
      </c>
      <c r="DI18">
        <f t="shared" si="28"/>
        <v>0</v>
      </c>
      <c r="DJ18">
        <f t="shared" si="29"/>
        <v>0</v>
      </c>
      <c r="DK18" t="str">
        <f t="shared" si="13"/>
        <v/>
      </c>
      <c r="DL18" t="str">
        <f t="shared" si="13"/>
        <v/>
      </c>
      <c r="DM18" t="str">
        <f t="shared" si="13"/>
        <v/>
      </c>
      <c r="DN18" t="str">
        <f t="shared" si="30"/>
        <v/>
      </c>
      <c r="DO18" s="652">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71">
        <f>IF(AND(Stamoplysninger!$B$22="Ulempetillæg udbetales med 25% af nettotimelønnen.",C18="ikke relevant"),(R18)/4,0)</f>
        <v>0</v>
      </c>
      <c r="DT18" s="671">
        <f>IF(AND(AND(Stamoplysninger!$B$22="Ulempetillæg udbetales med 25% af nettotimelønnen.",I18="X",C18="Ikke relevant")),K18/4,0)</f>
        <v>0</v>
      </c>
      <c r="DU18" s="671">
        <f>IF(AND(AND(Stamoplysninger!$B$22="Ulempetillæg udbetales med 25% af nettotimelønnen.",C18="ikke relevant",U18="X")),(X18/4),0)</f>
        <v>0</v>
      </c>
      <c r="DV18" s="672">
        <f>IF(AND(AND(AND(Stamoplysninger!$B$22="Ulempetillæg udbetales med 25% af nettotimelønnen.",I18="X",C18="Ikke relevant",S18="X"))),V18/4,0)</f>
        <v>0</v>
      </c>
      <c r="DW18" s="652"/>
      <c r="DZ18" s="671"/>
      <c r="EA18" s="671"/>
      <c r="EB18" s="672"/>
      <c r="EC18" s="652">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71">
        <f>IF(AND(Stamoplysninger!$B$22="Ulempetillæg afspadseres med 25%(Kræver en aftale imellem ledelsen og den ansatte)",C18="ikke relevant"),(R18)/4,0)</f>
        <v>0</v>
      </c>
      <c r="EH18" s="671">
        <f>IF(AND(AND(Stamoplysninger!$B$22="Ulempetillæg afspadseres med 25%(Kræver en aftale imellem ledelsen og den ansatte)",I18="X",C18="Ikke relevant")),K18/4,0)</f>
        <v>0</v>
      </c>
      <c r="EI18" s="671">
        <f>IF(AND(AND(Stamoplysninger!$B$22="Ulempetillæg afspadseres med 25%(Kræver en aftale imellem ledelsen og den ansatte)",U18="X",C18="Ikke relevant")),X18/4,0)</f>
        <v>0</v>
      </c>
      <c r="EJ18" s="671">
        <f>IF(AND(AND(AND(Stamoplysninger!$B$22="Ulempetillæg afspadseres med 25%(Kræver en aftale imellem ledelsen og den ansatte)",I18="X",C18="Ikke relevant",S18="X"))),V18/4,0)</f>
        <v>0</v>
      </c>
      <c r="EK18" s="283">
        <f>IF(AND(Stamoplysninger!$B$26="Weekendtimer og weekendtillæg afspadseres.",I18="X"),K18*1.5,0)</f>
        <v>0</v>
      </c>
      <c r="EL18" s="251">
        <f>IF(AND(AND(Stamoplysninger!$B$26="Weekendtimer og weekendtillæg afspadseres.",I18="X",S18="X")),V18*1.5,0)</f>
        <v>0</v>
      </c>
      <c r="EM18" s="674">
        <f>IF(AND(AND(Stamoplysninger!$B$26="Weekendtimer og weekendtillæg afspadseres.",I18="X",C18="ikke relevant")),K18*1.5,0)</f>
        <v>0</v>
      </c>
      <c r="EN18" s="675">
        <f>IF(AND(AND(AND(Stamoplysninger!$B$26="Weekendtimer og weekendtillæg afspadseres.",I18="X",C18="ikke relevant",S18="X"))),(V18*1.5),0)</f>
        <v>0</v>
      </c>
      <c r="EO18" s="283">
        <f>IF(AND(Stamoplysninger!$B$26="Weekendtimer og weekendtillæg udbetales.",I18="X"),K18*1.5,0)</f>
        <v>0</v>
      </c>
      <c r="EP18" s="251">
        <f>IF(AND(AND(Stamoplysninger!$B$26="Weekendtimer og weekendtillæg udbetales.",I18="X",S18="X")),V18*1.5,0)</f>
        <v>0</v>
      </c>
      <c r="EQ18" s="674">
        <f>IF(AND(AND(Stamoplysninger!$B$26="Weekendtimer og weekendtillæg udbetales.",I18="X",C18="ikke relevant")),K18*1.5,0)</f>
        <v>0</v>
      </c>
      <c r="ER18" s="675">
        <f>IF(AND(AND(AND(Stamoplysninger!$B$26="Weekendtimer og weekendtillæg udbetales.",I18="X",C18="ikke relevant",S18="X"))),(V18*1.5),0)</f>
        <v>0</v>
      </c>
      <c r="ES18" s="283">
        <f>IF(AND(Stamoplysninger!$B$26="Der er indgået lokalaftale omkring weekendtimer.(Kræver aftale med TR/FSL) Weekendtillæg afspadseres.",I18="X"),K18*0.5,0)</f>
        <v>0</v>
      </c>
      <c r="ET18" s="251">
        <f>IF(AND(AND(Stamoplysninger!$B$26="Der er indgået lokalaftale omkring weekendtimer.(Kræver aftale med TR/FSL) Weekendtillæg afspadseres.",I18="X",S18="X")),V18*0.5,0)</f>
        <v>0</v>
      </c>
      <c r="EU18" s="674">
        <f>IF(AND(AND(Stamoplysninger!$B$26="Der er indgået lokalaftale omkring weekendtimer.(Kræver aftale med TR/FSL) Weekendtillæg afspadseres.",I18="X",C18="ikke relevant")),K18*0.5,0)</f>
        <v>0</v>
      </c>
      <c r="EV18" s="675">
        <f>IF(AND(AND(AND(Stamoplysninger!$B$26="Der er indgået lokalaftale omkring weekendtimer.(Kræver aftale med TR/FSL) Weekendtillæg afspadseres.",I18="X",C18="ikke relevant",S18="X"))),(V18*0.5),0)</f>
        <v>0</v>
      </c>
      <c r="EW18" s="283">
        <f>IF(AND(Stamoplysninger!$B$26="Der er indgået lokalaftale omkring weekendtimer(Kræver aftale med TR/FSL). Weekendtillæg udbetales.",I18="X"),K18*0.5,0)</f>
        <v>0</v>
      </c>
      <c r="EX18" s="251">
        <f>IF(AND(AND(Stamoplysninger!$B$26="Der er indgået lokalaftale omkring weekendtimer(Kræver aftale med TR/FSL). Weekendtillæg udbetales.",I18="X",S18="X")),V18*0.5,0)</f>
        <v>0</v>
      </c>
      <c r="EY18" s="674">
        <f>IF(AND(AND(Stamoplysninger!$B$26="Der er indgået lokalaftale omkring weekendtimer(Kræver aftale med TR/FSL). Weekendtillæg udbetales.",I18="X",C18="ikke relevant")),K18*0.5,0)</f>
        <v>0</v>
      </c>
      <c r="EZ18" s="675">
        <f>IF(AND(AND(AND(Stamoplysninger!$B$26="Der er indgået lokalaftale omkring weekendtimer(Kræver aftale med TR/FSL). Weekendtillæg udbetales.",I18="X",C18="ikke relevant",S18="X"))),(V18*0.5),0)</f>
        <v>0</v>
      </c>
      <c r="FA18" s="283">
        <f>IF(AND(Stamoplysninger!$B$26="Der er indgået lokalaftale omkring weekendtillæg(Kræver aftale med TR/FSL). Weekendtimerne afspadseres.",I18="X"),K18,0)</f>
        <v>0</v>
      </c>
      <c r="FB18" s="251">
        <f>IF(AND(AND(Stamoplysninger!$B$26="Der er indgået lokalaftale omkring weekendtillæg(Kræver aftale med TR/FSL). Weekendtimerne afspadseres.",I18="X",S18="X")),V18,0)</f>
        <v>0</v>
      </c>
      <c r="FC18" s="674">
        <f>IF(AND(AND(Stamoplysninger!$B$26="Der er indgået lokalaftale omkring weekendtillæg(Kræver aftale med TR/FSL). Weekendtimerne afspadseres..",I18="X",C18="ikke relevant")),K18,0)</f>
        <v>0</v>
      </c>
      <c r="FD18" s="675">
        <f>IF(AND(AND(AND(Stamoplysninger!$B$26="Der er indgået lokalaftale omkring weekendtillæg(Kræver aftale med TR/FSL). Weekendtimerne afspadseres.",I18="X",C18="ikke relevant",S18="X"))),(V18),0)</f>
        <v>0</v>
      </c>
      <c r="FE18" s="283">
        <f>IF(AND(Stamoplysninger!$B$26="Der er indgået lokalaftale omkring weekendtillæg(Kræver aftale med TR/FSL). Weekendtimerne udbetales.",I18="X"),K18,0)</f>
        <v>0</v>
      </c>
      <c r="FF18" s="251">
        <f>IF(AND(AND(Stamoplysninger!$B$26="Der er indgået lokalaftale omkring weekendtillæg(Kræver aftale med TR/FSL). Weekendtimerne udbetales.",I18="X",S18="X")),V18,0)</f>
        <v>0</v>
      </c>
      <c r="FG18" s="674">
        <f>IF(AND(AND(Stamoplysninger!$B$26="Der er indgået lokalaftale omkring weekendtillæg(Kræver aftale med TR/FSL). Weekendtimerne udbetales.",I18="X",C18="ikke relevant")),K18,0)</f>
        <v>0</v>
      </c>
      <c r="FH18" s="675">
        <f>IF(AND(AND(AND(Stamoplysninger!$B$26="Der er indgået lokalaftale omkring weekendtillæg(Kræver aftale med TR/FSL). Weekendtimerne udbetales.",I18="X",C18="ikke relevant",S18="X"))),(V18),0)</f>
        <v>0</v>
      </c>
      <c r="FI18" s="283">
        <f>IF(AND(Stamoplysninger!$B$26="Weekendtimer og weekendtillæg afspadseres.",I18="X"),K18,0)</f>
        <v>0</v>
      </c>
      <c r="FJ18" s="251">
        <f>IF(AND(Stamoplysninger!$B$26="Weekendtimer og weekendtillæg afspadseres.",Y18="X"),(AA18+AL18)/2,0)</f>
        <v>0</v>
      </c>
      <c r="FK18" s="674">
        <f>IF(AND(AND(Stamoplysninger!$B$26="Weekendtimer og weekendtillæg afspadseres.",I18="X",C18="ikke relevant")),K18,0)</f>
        <v>0</v>
      </c>
      <c r="FL18" s="675">
        <f>IF(AND(AND(Stamoplysninger!$B$26="Weekendtimer og weekendtillæg afspadseres.",Y18="X",S18="ikke relevant")),(AA18+AL18)/2,0)</f>
        <v>0</v>
      </c>
      <c r="FM18" s="283">
        <f>IF(AND(Stamoplysninger!$B$26="Der er indgået lokalaftale omkring weekendtillæg(Kræver aftale med TR/FSL). Weekendtimerne afspadseres.",I18="X"),K18,0)</f>
        <v>0</v>
      </c>
      <c r="FN18" s="674">
        <f>IF(AND(AND(Stamoplysninger!$B$26="Der er indgået lokalaftale omkring weekendtillæg(Kræver aftale med TR/FSL). Weekendtimerne afspadseres.",I18="X",C18="ikke relevant")),K18,0)</f>
        <v>0</v>
      </c>
      <c r="FO18" s="283">
        <f>IF(AND(Stamoplysninger!$B$26="Weekendtimer og weekendtillæg udbetales.",I18="X"),K18,0)</f>
        <v>0</v>
      </c>
      <c r="FP18" s="251">
        <f>IF(AND(Stamoplysninger!$B$26="Weekendtimer og weekendtillæg udbetales.",AA18="X"),(AC18+AN18)/2,0)</f>
        <v>0</v>
      </c>
      <c r="FQ18" s="674">
        <f>IF(AND(AND(Stamoplysninger!$B$26="Weekendtimer og weekendtillæg udbetales.",I18="X",C18="ikke relevant")),K18,0)</f>
        <v>0</v>
      </c>
      <c r="FR18" s="688">
        <f>IF(AND(AND(Stamoplysninger!$B$26="Weekendtimer og weekendtillæg udbetales.",AA18="X",U18="ikke relevant")),(AC18+AN18)/2,0)</f>
        <v>0</v>
      </c>
      <c r="FS18" s="283">
        <f t="shared" si="14"/>
        <v>0</v>
      </c>
      <c r="FT18" s="658">
        <f t="shared" si="15"/>
        <v>0</v>
      </c>
      <c r="FU18">
        <f t="shared" si="16"/>
        <v>0</v>
      </c>
      <c r="FV18" s="283">
        <f>IF(AND(Stamoplysninger!$B$26="Der er indgået lokalaftale omkring weekendtimer.(Kræver aftale med TR/FSL) Weekendtillæg afspadseres.",I18="X"),K18,0)</f>
        <v>0</v>
      </c>
      <c r="FW18" s="674">
        <f>IF(AND(AND(Stamoplysninger!$B$26="Der er indgået lokalaftale omkring weekendtimer.(Kræver aftale med TR/FSL) Weekendtillæg afspadseres.",I18="X",C18="ikke relevant")),K18,0)</f>
        <v>0</v>
      </c>
      <c r="FX18" s="283">
        <f>IF(AND(Stamoplysninger!$B$26="Der er indgået lokalaftale omkring weekendtimer(Kræver aftale med TR/FSL). Weekendtillæg udbetales.",I18="X"),K18,0)</f>
        <v>0</v>
      </c>
      <c r="FY18" s="674">
        <f>IF(AND(AND(Stamoplysninger!$B$26="Der er indgået lokalaftale omkring weekendtimer(Kræver aftale med TR/FSL). Weekendtillæg udbetales.",I18="X",C18="ikke relevant")),K18,0)</f>
        <v>0</v>
      </c>
      <c r="FZ18" s="283">
        <f>IF(AND(Stamoplysninger!$B$26="Der er indgået lokalaftale omkring weekendtillæg(Kræver aftale med TR/FSL). Weekendtimerne udbetales.",I18="X"),K18,0)</f>
        <v>0</v>
      </c>
      <c r="GA18" s="674">
        <f>IF(AND(AND(Stamoplysninger!$B$26="Der er indgået lokalaftale omkring weekendtillæg(Kræver aftale med TR/FSL). Weekendtimerne udbetales.",I18="X",C18="ikke relevant")),K18,0)</f>
        <v>0</v>
      </c>
      <c r="GB18" s="283">
        <f>IF(AND(Stamoplysninger!$B$26="Der er indgået lokalaftale omkring weekendtimer og weekendtillæg.(Kræver aftale med TR/FSL).",I18="X"),K18,0)</f>
        <v>0</v>
      </c>
      <c r="GC18" s="674">
        <f>IF(AND(AND(Stamoplysninger!$B$26="Der er indgået lokalaftale omkring weekendtimer og weekendtillæg.(Kræver aftale med TR/FSL).",I18="X",C18="ikke relevant")),K18,0)</f>
        <v>0</v>
      </c>
    </row>
    <row r="19" spans="1:185">
      <c r="A19" s="245">
        <f t="shared" si="17"/>
        <v>11</v>
      </c>
      <c r="B19" s="128" t="str">
        <f t="shared" si="0"/>
        <v>on</v>
      </c>
      <c r="C19" s="129" t="s">
        <v>207</v>
      </c>
      <c r="D19" s="130" t="str">
        <f t="shared" si="1"/>
        <v/>
      </c>
      <c r="E19" s="917"/>
      <c r="F19" s="918"/>
      <c r="G19" s="919"/>
      <c r="H19" s="298"/>
      <c r="I19" s="527"/>
      <c r="J19" s="413"/>
      <c r="K19" s="380"/>
      <c r="L19" s="380"/>
      <c r="M19" s="380"/>
      <c r="N19" s="318">
        <f t="shared" si="18"/>
        <v>7.75</v>
      </c>
      <c r="O19" s="318">
        <f t="shared" si="19"/>
        <v>4.25</v>
      </c>
      <c r="P19" s="318">
        <f>IF(Stamoplysninger!$H$29="JA",Juni!DG19,CX19)</f>
        <v>1</v>
      </c>
      <c r="Q19" s="318">
        <f t="shared" si="20"/>
        <v>2.5</v>
      </c>
      <c r="R19" s="319"/>
      <c r="S19" s="324"/>
      <c r="T19" s="325"/>
      <c r="U19" s="325"/>
      <c r="V19" s="435"/>
      <c r="W19" s="435"/>
      <c r="X19" s="644"/>
      <c r="Y19">
        <f t="shared" si="21"/>
        <v>0</v>
      </c>
      <c r="Z19" s="437">
        <f t="shared" si="22"/>
        <v>0</v>
      </c>
      <c r="AA19" s="1">
        <f t="shared" si="2"/>
        <v>0</v>
      </c>
      <c r="AB19" s="1">
        <f t="shared" si="3"/>
        <v>0</v>
      </c>
      <c r="AC19" s="1">
        <f t="shared" si="4"/>
        <v>0</v>
      </c>
      <c r="AD19" s="1">
        <f t="shared" si="5"/>
        <v>0</v>
      </c>
      <c r="AE19" s="1">
        <f t="shared" si="6"/>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f>IF(AND(C19="Skema 2",B19="on"),Arbejdstidsoversigt!$E$83,"")</f>
        <v>7.75</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7.75</v>
      </c>
      <c r="BB19" s="229">
        <f t="shared" si="7"/>
        <v>0</v>
      </c>
      <c r="BC19" s="1">
        <f t="shared" si="24"/>
        <v>0</v>
      </c>
      <c r="BD19" s="1">
        <f t="shared" si="8"/>
        <v>0</v>
      </c>
      <c r="BE19" s="1">
        <f t="shared" si="9"/>
        <v>0</v>
      </c>
      <c r="BF19" s="1">
        <f t="shared" si="10"/>
        <v>0</v>
      </c>
      <c r="BG19" s="210" t="str">
        <f>IF(AND(C19="Skema 1",B19="ma"),Skemaoplysninger!$E$30,"")</f>
        <v/>
      </c>
      <c r="BH19" s="210" t="str">
        <f>IF(AND(C19="Skema 1",B19="ti"),Skemaoplysninger!$G$30,"")</f>
        <v/>
      </c>
      <c r="BI19" s="210" t="str">
        <f>IF(AND(C19="Skema 1",B19="on"),Skemaoplysninger!$I$30,"")</f>
        <v/>
      </c>
      <c r="BJ19" s="210" t="str">
        <f>IF(AND(C19="Skema 1",B19="to"),Skemaoplysninger!$K$30,"")</f>
        <v/>
      </c>
      <c r="BK19" s="210" t="str">
        <f>IF(AND(C19="Skema 1",B19="fr"),Skemaoplysninger!$M$30,"")</f>
        <v/>
      </c>
      <c r="BL19" s="210" t="str">
        <f>IF(AND(C19="Skema 2",B19="ma"),Skemaoplysninger!$S$30,"")</f>
        <v/>
      </c>
      <c r="BM19" s="210" t="str">
        <f>IF(AND(C19="Skema 2",B19="ti"),Skemaoplysninger!$U$30,"")</f>
        <v/>
      </c>
      <c r="BN19" s="210">
        <f>IF(AND(C19="Skema 2",B19="on"),Skemaoplysninger!$W$30,"")</f>
        <v>0.17708333333333331</v>
      </c>
      <c r="BO19" s="210" t="str">
        <f>IF(AND(C19="Skema 2",B19="to"),Skemaoplysninger!$Y$30,"")</f>
        <v/>
      </c>
      <c r="BP19" s="210" t="str">
        <f>IF(AND(C19="Skema 2",B19="fr"),Skemaoplysninger!$AA$30,"")</f>
        <v/>
      </c>
      <c r="BQ19" s="210" t="str">
        <f>IF(AND(C19="Skema 3",B19="ma"),Skemaoplysninger!$AG$30,"")</f>
        <v/>
      </c>
      <c r="BR19" s="210" t="str">
        <f>IF(AND(C19="Skema 3",B19="ti"),Skemaoplysninger!$AI$30,"")</f>
        <v/>
      </c>
      <c r="BS19" s="210" t="str">
        <f>IF(AND(C19="Skema 3",B19="on"),Skemaoplysninger!$AK$30,"")</f>
        <v/>
      </c>
      <c r="BT19" s="210" t="str">
        <f>IF(AND(C19="Skema 3",B19="to"),Skemaoplysninger!$AM$30,"")</f>
        <v/>
      </c>
      <c r="BU19" s="210" t="str">
        <f>IF(AND(C19="Skema 3",B19="fr"),Skemaoplysninger!$AO$30,"")</f>
        <v/>
      </c>
      <c r="BV19" s="210" t="str">
        <f>IF(AND(C19="Skema 4",B19="ma"),Skemaoplysninger!$AU$30,"")</f>
        <v/>
      </c>
      <c r="BW19" s="210" t="str">
        <f>IF(AND(C19="Skema 4",B19="ti"),Skemaoplysninger!$AW$30,"")</f>
        <v/>
      </c>
      <c r="BX19" s="210" t="str">
        <f>IF(AND(C19="Skema 4",B19="on"),Skemaoplysninger!$AY$30,"")</f>
        <v/>
      </c>
      <c r="BY19" s="210" t="str">
        <f>IF(AND(C19="Skema 4",B19="to"),Skemaoplysninger!$BA$30,"")</f>
        <v/>
      </c>
      <c r="BZ19" s="210" t="str">
        <f>IF(AND(C19="Skema 4",B19="fr"),Skemaoplysninger!$BC$30,"")</f>
        <v/>
      </c>
      <c r="CA19" s="1">
        <f t="shared" si="25"/>
        <v>4.25</v>
      </c>
      <c r="CB19" s="1">
        <f t="shared" si="11"/>
        <v>0</v>
      </c>
      <c r="CC19" s="1">
        <f t="shared" si="12"/>
        <v>0</v>
      </c>
      <c r="CD19" s="210" t="str">
        <f>IF(AND(C19="Skema 1",B19="ma"),Skemaoplysninger!$E$31,"")</f>
        <v/>
      </c>
      <c r="CE19" s="210" t="str">
        <f>IF(AND(C19="Skema 1",B19="ti"),Skemaoplysninger!$G$31,"")</f>
        <v/>
      </c>
      <c r="CF19" s="210" t="str">
        <f>IF(AND(C19="Skema 1",B19="on"),Skemaoplysninger!$I$31,"")</f>
        <v/>
      </c>
      <c r="CG19" s="210" t="str">
        <f>IF(AND(C19="Skema 1",B19="to"),Skemaoplysninger!$K$31,"")</f>
        <v/>
      </c>
      <c r="CH19" s="210" t="str">
        <f>IF(AND(C19="Skema 1",B19="fr"),Skemaoplysninger!$M$31,"")</f>
        <v/>
      </c>
      <c r="CI19" s="210" t="str">
        <f>IF(AND(C19="Skema 2",B19="ma"),Skemaoplysninger!$S$31,"")</f>
        <v/>
      </c>
      <c r="CJ19" s="210" t="str">
        <f>IF(AND(C19="Skema 2",B19="ti"),Skemaoplysninger!$U$31,"")</f>
        <v/>
      </c>
      <c r="CK19" s="210">
        <f>IF(AND(C19="Skema 2",B19="on"),Skemaoplysninger!$W$31,"")</f>
        <v>4.1666666666666664E-2</v>
      </c>
      <c r="CL19" s="210" t="str">
        <f>IF(AND(C19="Skema 2",B19="to"),Skemaoplysninger!$Y$31,"")</f>
        <v/>
      </c>
      <c r="CM19" s="210" t="str">
        <f>IF(AND(C19="Skema 2",B19="fr"),Skemaoplysninger!$AA$31,"")</f>
        <v/>
      </c>
      <c r="CN19" s="210" t="str">
        <f>IF(AND(C19="Skema 3",B19="ma"),Skemaoplysninger!$AG$31,"")</f>
        <v/>
      </c>
      <c r="CO19" s="210" t="str">
        <f>IF(AND(C19="Skema 3",B19="ti"),Skemaoplysninger!$AI$31,"")</f>
        <v/>
      </c>
      <c r="CP19" s="210" t="str">
        <f>IF(AND(C19="Skema 3",B19="on"),Skemaoplysninger!$AK$31,"")</f>
        <v/>
      </c>
      <c r="CQ19" s="210" t="str">
        <f>IF(AND(C19="Skema 3",B19="to"),Skemaoplysninger!$AM$31,"")</f>
        <v/>
      </c>
      <c r="CR19" s="210" t="str">
        <f>IF(AND(C19="Skema 3",B19="fr"),Skemaoplysninger!$AO$31,"")</f>
        <v/>
      </c>
      <c r="CS19" s="210" t="str">
        <f>IF(AND(C19="Skema 4",B19="ma"),Skemaoplysninger!$AU$31,"")</f>
        <v/>
      </c>
      <c r="CT19" s="210" t="str">
        <f>IF(AND(C19="Skema 4",B19="ti"),Skemaoplysninger!$AW$31,"")</f>
        <v/>
      </c>
      <c r="CU19" s="210" t="str">
        <f>IF(AND(C19="Skema 4",B19="on"),Skemaoplysninger!$AY$31,"")</f>
        <v/>
      </c>
      <c r="CV19" s="210" t="str">
        <f>IF(AND(C19="Skema 4",B19="to"),Skemaoplysninger!$BA$31,"")</f>
        <v/>
      </c>
      <c r="CW19" s="210" t="str">
        <f>IF(AND(C19="Skema 4",B19="fr"),Skemaoplysninger!$BC$31,"")</f>
        <v/>
      </c>
      <c r="CX19" s="249">
        <f>IF(Stamoplysninger!$H$29="NEJ",SUM(CD19:CW19)*24+CB19+CC19,0)</f>
        <v>1</v>
      </c>
      <c r="CY19" s="249">
        <f>IF(C19="Skema 1",Stamoplysninger!$H$30/200,0)</f>
        <v>0</v>
      </c>
      <c r="CZ19" s="249">
        <f>IF(C19="Skema 2",Stamoplysninger!$H$30/200,0)</f>
        <v>0</v>
      </c>
      <c r="DA19" s="249">
        <f>IF(C19="Skema 3",Stamoplysninger!$H$30/200,0)</f>
        <v>0</v>
      </c>
      <c r="DB19" s="249">
        <f>IF(C19="Skema 4",Stamoplysninger!$H$30/200,0)</f>
        <v>0</v>
      </c>
      <c r="DC19" s="249">
        <f>IF(C19="fagdag",Stamoplysninger!$H$30/200,0)</f>
        <v>0</v>
      </c>
      <c r="DD19" s="249">
        <f>IF(C19="emnedag",Stamoplysninger!$H$30/200,0)</f>
        <v>0</v>
      </c>
      <c r="DE19" s="249">
        <f>IF(C19="lejrskole",Stamoplysninger!$H$30/200,0)</f>
        <v>0</v>
      </c>
      <c r="DF19" s="249">
        <f>IF(C19="ekskursion",Stamoplysninger!$H$30/200,0)</f>
        <v>0</v>
      </c>
      <c r="DG19" s="249">
        <f t="shared" si="26"/>
        <v>0</v>
      </c>
      <c r="DH19" t="str">
        <f t="shared" si="27"/>
        <v/>
      </c>
      <c r="DI19">
        <f t="shared" si="28"/>
        <v>0</v>
      </c>
      <c r="DJ19">
        <f t="shared" si="29"/>
        <v>0</v>
      </c>
      <c r="DK19" t="str">
        <f t="shared" si="13"/>
        <v/>
      </c>
      <c r="DL19" t="str">
        <f t="shared" si="13"/>
        <v/>
      </c>
      <c r="DM19" t="str">
        <f t="shared" si="13"/>
        <v/>
      </c>
      <c r="DN19" t="str">
        <f t="shared" si="30"/>
        <v/>
      </c>
      <c r="DO19" s="652">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71">
        <f>IF(AND(Stamoplysninger!$B$22="Ulempetillæg udbetales med 25% af nettotimelønnen.",C19="ikke relevant"),(R19)/4,0)</f>
        <v>0</v>
      </c>
      <c r="DT19" s="671">
        <f>IF(AND(AND(Stamoplysninger!$B$22="Ulempetillæg udbetales med 25% af nettotimelønnen.",I19="X",C19="Ikke relevant")),K19/4,0)</f>
        <v>0</v>
      </c>
      <c r="DU19" s="671">
        <f>IF(AND(AND(Stamoplysninger!$B$22="Ulempetillæg udbetales med 25% af nettotimelønnen.",C19="ikke relevant",U19="X")),(X19/4),0)</f>
        <v>0</v>
      </c>
      <c r="DV19" s="672">
        <f>IF(AND(AND(AND(Stamoplysninger!$B$22="Ulempetillæg udbetales med 25% af nettotimelønnen.",I19="X",C19="Ikke relevant",S19="X"))),V19/4,0)</f>
        <v>0</v>
      </c>
      <c r="DW19" s="652"/>
      <c r="DZ19" s="671"/>
      <c r="EA19" s="671"/>
      <c r="EB19" s="672"/>
      <c r="EC19" s="652">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71">
        <f>IF(AND(Stamoplysninger!$B$22="Ulempetillæg afspadseres med 25%(Kræver en aftale imellem ledelsen og den ansatte)",C19="ikke relevant"),(R19)/4,0)</f>
        <v>0</v>
      </c>
      <c r="EH19" s="671">
        <f>IF(AND(AND(Stamoplysninger!$B$22="Ulempetillæg afspadseres med 25%(Kræver en aftale imellem ledelsen og den ansatte)",I19="X",C19="Ikke relevant")),K19/4,0)</f>
        <v>0</v>
      </c>
      <c r="EI19" s="671">
        <f>IF(AND(AND(Stamoplysninger!$B$22="Ulempetillæg afspadseres med 25%(Kræver en aftale imellem ledelsen og den ansatte)",U19="X",C19="Ikke relevant")),X19/4,0)</f>
        <v>0</v>
      </c>
      <c r="EJ19" s="671">
        <f>IF(AND(AND(AND(Stamoplysninger!$B$22="Ulempetillæg afspadseres med 25%(Kræver en aftale imellem ledelsen og den ansatte)",I19="X",C19="Ikke relevant",S19="X"))),V19/4,0)</f>
        <v>0</v>
      </c>
      <c r="EK19" s="283">
        <f>IF(AND(Stamoplysninger!$B$26="Weekendtimer og weekendtillæg afspadseres.",I19="X"),K19*1.5,0)</f>
        <v>0</v>
      </c>
      <c r="EL19" s="251">
        <f>IF(AND(AND(Stamoplysninger!$B$26="Weekendtimer og weekendtillæg afspadseres.",I19="X",S19="X")),V19*1.5,0)</f>
        <v>0</v>
      </c>
      <c r="EM19" s="674">
        <f>IF(AND(AND(Stamoplysninger!$B$26="Weekendtimer og weekendtillæg afspadseres.",I19="X",C19="ikke relevant")),K19*1.5,0)</f>
        <v>0</v>
      </c>
      <c r="EN19" s="675">
        <f>IF(AND(AND(AND(Stamoplysninger!$B$26="Weekendtimer og weekendtillæg afspadseres.",I19="X",C19="ikke relevant",S19="X"))),(V19*1.5),0)</f>
        <v>0</v>
      </c>
      <c r="EO19" s="283">
        <f>IF(AND(Stamoplysninger!$B$26="Weekendtimer og weekendtillæg udbetales.",I19="X"),K19*1.5,0)</f>
        <v>0</v>
      </c>
      <c r="EP19" s="251">
        <f>IF(AND(AND(Stamoplysninger!$B$26="Weekendtimer og weekendtillæg udbetales.",I19="X",S19="X")),V19*1.5,0)</f>
        <v>0</v>
      </c>
      <c r="EQ19" s="674">
        <f>IF(AND(AND(Stamoplysninger!$B$26="Weekendtimer og weekendtillæg udbetales.",I19="X",C19="ikke relevant")),K19*1.5,0)</f>
        <v>0</v>
      </c>
      <c r="ER19" s="675">
        <f>IF(AND(AND(AND(Stamoplysninger!$B$26="Weekendtimer og weekendtillæg udbetales.",I19="X",C19="ikke relevant",S19="X"))),(V19*1.5),0)</f>
        <v>0</v>
      </c>
      <c r="ES19" s="283">
        <f>IF(AND(Stamoplysninger!$B$26="Der er indgået lokalaftale omkring weekendtimer.(Kræver aftale med TR/FSL) Weekendtillæg afspadseres.",I19="X"),K19*0.5,0)</f>
        <v>0</v>
      </c>
      <c r="ET19" s="251">
        <f>IF(AND(AND(Stamoplysninger!$B$26="Der er indgået lokalaftale omkring weekendtimer.(Kræver aftale med TR/FSL) Weekendtillæg afspadseres.",I19="X",S19="X")),V19*0.5,0)</f>
        <v>0</v>
      </c>
      <c r="EU19" s="674">
        <f>IF(AND(AND(Stamoplysninger!$B$26="Der er indgået lokalaftale omkring weekendtimer.(Kræver aftale med TR/FSL) Weekendtillæg afspadseres.",I19="X",C19="ikke relevant")),K19*0.5,0)</f>
        <v>0</v>
      </c>
      <c r="EV19" s="675">
        <f>IF(AND(AND(AND(Stamoplysninger!$B$26="Der er indgået lokalaftale omkring weekendtimer.(Kræver aftale med TR/FSL) Weekendtillæg afspadseres.",I19="X",C19="ikke relevant",S19="X"))),(V19*0.5),0)</f>
        <v>0</v>
      </c>
      <c r="EW19" s="283">
        <f>IF(AND(Stamoplysninger!$B$26="Der er indgået lokalaftale omkring weekendtimer(Kræver aftale med TR/FSL). Weekendtillæg udbetales.",I19="X"),K19*0.5,0)</f>
        <v>0</v>
      </c>
      <c r="EX19" s="251">
        <f>IF(AND(AND(Stamoplysninger!$B$26="Der er indgået lokalaftale omkring weekendtimer(Kræver aftale med TR/FSL). Weekendtillæg udbetales.",I19="X",S19="X")),V19*0.5,0)</f>
        <v>0</v>
      </c>
      <c r="EY19" s="674">
        <f>IF(AND(AND(Stamoplysninger!$B$26="Der er indgået lokalaftale omkring weekendtimer(Kræver aftale med TR/FSL). Weekendtillæg udbetales.",I19="X",C19="ikke relevant")),K19*0.5,0)</f>
        <v>0</v>
      </c>
      <c r="EZ19" s="675">
        <f>IF(AND(AND(AND(Stamoplysninger!$B$26="Der er indgået lokalaftale omkring weekendtimer(Kræver aftale med TR/FSL). Weekendtillæg udbetales.",I19="X",C19="ikke relevant",S19="X"))),(V19*0.5),0)</f>
        <v>0</v>
      </c>
      <c r="FA19" s="283">
        <f>IF(AND(Stamoplysninger!$B$26="Der er indgået lokalaftale omkring weekendtillæg(Kræver aftale med TR/FSL). Weekendtimerne afspadseres.",I19="X"),K19,0)</f>
        <v>0</v>
      </c>
      <c r="FB19" s="251">
        <f>IF(AND(AND(Stamoplysninger!$B$26="Der er indgået lokalaftale omkring weekendtillæg(Kræver aftale med TR/FSL). Weekendtimerne afspadseres.",I19="X",S19="X")),V19,0)</f>
        <v>0</v>
      </c>
      <c r="FC19" s="674">
        <f>IF(AND(AND(Stamoplysninger!$B$26="Der er indgået lokalaftale omkring weekendtillæg(Kræver aftale med TR/FSL). Weekendtimerne afspadseres..",I19="X",C19="ikke relevant")),K19,0)</f>
        <v>0</v>
      </c>
      <c r="FD19" s="675">
        <f>IF(AND(AND(AND(Stamoplysninger!$B$26="Der er indgået lokalaftale omkring weekendtillæg(Kræver aftale med TR/FSL). Weekendtimerne afspadseres.",I19="X",C19="ikke relevant",S19="X"))),(V19),0)</f>
        <v>0</v>
      </c>
      <c r="FE19" s="283">
        <f>IF(AND(Stamoplysninger!$B$26="Der er indgået lokalaftale omkring weekendtillæg(Kræver aftale med TR/FSL). Weekendtimerne udbetales.",I19="X"),K19,0)</f>
        <v>0</v>
      </c>
      <c r="FF19" s="251">
        <f>IF(AND(AND(Stamoplysninger!$B$26="Der er indgået lokalaftale omkring weekendtillæg(Kræver aftale med TR/FSL). Weekendtimerne udbetales.",I19="X",S19="X")),V19,0)</f>
        <v>0</v>
      </c>
      <c r="FG19" s="674">
        <f>IF(AND(AND(Stamoplysninger!$B$26="Der er indgået lokalaftale omkring weekendtillæg(Kræver aftale med TR/FSL). Weekendtimerne udbetales.",I19="X",C19="ikke relevant")),K19,0)</f>
        <v>0</v>
      </c>
      <c r="FH19" s="675">
        <f>IF(AND(AND(AND(Stamoplysninger!$B$26="Der er indgået lokalaftale omkring weekendtillæg(Kræver aftale med TR/FSL). Weekendtimerne udbetales.",I19="X",C19="ikke relevant",S19="X"))),(V19),0)</f>
        <v>0</v>
      </c>
      <c r="FI19" s="283">
        <f>IF(AND(Stamoplysninger!$B$26="Weekendtimer og weekendtillæg afspadseres.",I19="X"),K19,0)</f>
        <v>0</v>
      </c>
      <c r="FJ19" s="251">
        <f>IF(AND(Stamoplysninger!$B$26="Weekendtimer og weekendtillæg afspadseres.",Y19="X"),(AA19+AL19)/2,0)</f>
        <v>0</v>
      </c>
      <c r="FK19" s="674">
        <f>IF(AND(AND(Stamoplysninger!$B$26="Weekendtimer og weekendtillæg afspadseres.",I19="X",C19="ikke relevant")),K19,0)</f>
        <v>0</v>
      </c>
      <c r="FL19" s="675">
        <f>IF(AND(AND(Stamoplysninger!$B$26="Weekendtimer og weekendtillæg afspadseres.",Y19="X",S19="ikke relevant")),(AA19+AL19)/2,0)</f>
        <v>0</v>
      </c>
      <c r="FM19" s="283">
        <f>IF(AND(Stamoplysninger!$B$26="Der er indgået lokalaftale omkring weekendtillæg(Kræver aftale med TR/FSL). Weekendtimerne afspadseres.",I19="X"),K19,0)</f>
        <v>0</v>
      </c>
      <c r="FN19" s="674">
        <f>IF(AND(AND(Stamoplysninger!$B$26="Der er indgået lokalaftale omkring weekendtillæg(Kræver aftale med TR/FSL). Weekendtimerne afspadseres.",I19="X",C19="ikke relevant")),K19,0)</f>
        <v>0</v>
      </c>
      <c r="FO19" s="283">
        <f>IF(AND(Stamoplysninger!$B$26="Weekendtimer og weekendtillæg udbetales.",I19="X"),K19,0)</f>
        <v>0</v>
      </c>
      <c r="FP19" s="251">
        <f>IF(AND(Stamoplysninger!$B$26="Weekendtimer og weekendtillæg udbetales.",AA19="X"),(AC19+AN19)/2,0)</f>
        <v>0</v>
      </c>
      <c r="FQ19" s="674">
        <f>IF(AND(AND(Stamoplysninger!$B$26="Weekendtimer og weekendtillæg udbetales.",I19="X",C19="ikke relevant")),K19,0)</f>
        <v>0</v>
      </c>
      <c r="FR19" s="688">
        <f>IF(AND(AND(Stamoplysninger!$B$26="Weekendtimer og weekendtillæg udbetales.",AA19="X",U19="ikke relevant")),(AC19+AN19)/2,0)</f>
        <v>0</v>
      </c>
      <c r="FS19" s="283">
        <f t="shared" si="14"/>
        <v>0</v>
      </c>
      <c r="FT19" s="658">
        <f t="shared" si="15"/>
        <v>0</v>
      </c>
      <c r="FU19">
        <f t="shared" si="16"/>
        <v>0</v>
      </c>
      <c r="FV19" s="283">
        <f>IF(AND(Stamoplysninger!$B$26="Der er indgået lokalaftale omkring weekendtimer.(Kræver aftale med TR/FSL) Weekendtillæg afspadseres.",I19="X"),K19,0)</f>
        <v>0</v>
      </c>
      <c r="FW19" s="674">
        <f>IF(AND(AND(Stamoplysninger!$B$26="Der er indgået lokalaftale omkring weekendtimer.(Kræver aftale med TR/FSL) Weekendtillæg afspadseres.",I19="X",C19="ikke relevant")),K19,0)</f>
        <v>0</v>
      </c>
      <c r="FX19" s="283">
        <f>IF(AND(Stamoplysninger!$B$26="Der er indgået lokalaftale omkring weekendtimer(Kræver aftale med TR/FSL). Weekendtillæg udbetales.",I19="X"),K19,0)</f>
        <v>0</v>
      </c>
      <c r="FY19" s="674">
        <f>IF(AND(AND(Stamoplysninger!$B$26="Der er indgået lokalaftale omkring weekendtimer(Kræver aftale med TR/FSL). Weekendtillæg udbetales.",I19="X",C19="ikke relevant")),K19,0)</f>
        <v>0</v>
      </c>
      <c r="FZ19" s="283">
        <f>IF(AND(Stamoplysninger!$B$26="Der er indgået lokalaftale omkring weekendtillæg(Kræver aftale med TR/FSL). Weekendtimerne udbetales.",I19="X"),K19,0)</f>
        <v>0</v>
      </c>
      <c r="GA19" s="674">
        <f>IF(AND(AND(Stamoplysninger!$B$26="Der er indgået lokalaftale omkring weekendtillæg(Kræver aftale med TR/FSL). Weekendtimerne udbetales.",I19="X",C19="ikke relevant")),K19,0)</f>
        <v>0</v>
      </c>
      <c r="GB19" s="283">
        <f>IF(AND(Stamoplysninger!$B$26="Der er indgået lokalaftale omkring weekendtimer og weekendtillæg.(Kræver aftale med TR/FSL).",I19="X"),K19,0)</f>
        <v>0</v>
      </c>
      <c r="GC19" s="674">
        <f>IF(AND(AND(Stamoplysninger!$B$26="Der er indgået lokalaftale omkring weekendtimer og weekendtillæg.(Kræver aftale med TR/FSL).",I19="X",C19="ikke relevant")),K19,0)</f>
        <v>0</v>
      </c>
    </row>
    <row r="20" spans="1:185">
      <c r="A20" s="245">
        <f>IF(ISNUMBER(A19),A19+1,1)</f>
        <v>12</v>
      </c>
      <c r="B20" s="128" t="str">
        <f t="shared" si="0"/>
        <v>to</v>
      </c>
      <c r="C20" s="129" t="s">
        <v>207</v>
      </c>
      <c r="D20" s="130" t="str">
        <f t="shared" si="1"/>
        <v/>
      </c>
      <c r="E20" s="917"/>
      <c r="F20" s="918"/>
      <c r="G20" s="919"/>
      <c r="H20" s="298"/>
      <c r="I20" s="527"/>
      <c r="J20" s="413"/>
      <c r="K20" s="380"/>
      <c r="L20" s="380"/>
      <c r="M20" s="380"/>
      <c r="N20" s="318">
        <f t="shared" si="18"/>
        <v>7.75</v>
      </c>
      <c r="O20" s="318">
        <f t="shared" si="19"/>
        <v>3</v>
      </c>
      <c r="P20" s="318">
        <f>IF(Stamoplysninger!$H$29="JA",Juni!DG20,CX20)</f>
        <v>0.83333333333333337</v>
      </c>
      <c r="Q20" s="318">
        <f t="shared" si="20"/>
        <v>3.9166666666666665</v>
      </c>
      <c r="R20" s="319"/>
      <c r="S20" s="324"/>
      <c r="T20" s="325"/>
      <c r="U20" s="325"/>
      <c r="V20" s="435"/>
      <c r="W20" s="435"/>
      <c r="X20" s="644"/>
      <c r="Y20">
        <f t="shared" si="21"/>
        <v>0</v>
      </c>
      <c r="Z20" s="437">
        <f t="shared" si="22"/>
        <v>0</v>
      </c>
      <c r="AA20" s="1">
        <f t="shared" si="2"/>
        <v>0</v>
      </c>
      <c r="AB20" s="1">
        <f t="shared" si="3"/>
        <v>0</v>
      </c>
      <c r="AC20" s="1">
        <f t="shared" si="4"/>
        <v>0</v>
      </c>
      <c r="AD20" s="1">
        <f t="shared" si="5"/>
        <v>0</v>
      </c>
      <c r="AE20" s="1">
        <f t="shared" si="6"/>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f>IF(AND(C20="Skema 2",B20="to"),Arbejdstidsoversigt!$E$84,"")</f>
        <v>7.75</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7.75</v>
      </c>
      <c r="BB20" s="229">
        <f t="shared" si="7"/>
        <v>0</v>
      </c>
      <c r="BC20" s="1">
        <f t="shared" si="24"/>
        <v>0</v>
      </c>
      <c r="BD20" s="1">
        <f t="shared" si="8"/>
        <v>0</v>
      </c>
      <c r="BE20" s="1">
        <f t="shared" si="9"/>
        <v>0</v>
      </c>
      <c r="BF20" s="1">
        <f t="shared" si="10"/>
        <v>0</v>
      </c>
      <c r="BG20" s="210" t="str">
        <f>IF(AND(C20="Skema 1",B20="ma"),Skemaoplysninger!$E$30,"")</f>
        <v/>
      </c>
      <c r="BH20" s="210" t="str">
        <f>IF(AND(C20="Skema 1",B20="ti"),Skemaoplysninger!$G$30,"")</f>
        <v/>
      </c>
      <c r="BI20" s="210" t="str">
        <f>IF(AND(C20="Skema 1",B20="on"),Skemaoplysninger!$I$30,"")</f>
        <v/>
      </c>
      <c r="BJ20" s="210" t="str">
        <f>IF(AND(C20="Skema 1",B20="to"),Skemaoplysninger!$K$30,"")</f>
        <v/>
      </c>
      <c r="BK20" s="210" t="str">
        <f>IF(AND(C20="Skema 1",B20="fr"),Skemaoplysninger!$M$30,"")</f>
        <v/>
      </c>
      <c r="BL20" s="210" t="str">
        <f>IF(AND(C20="Skema 2",B20="ma"),Skemaoplysninger!$S$30,"")</f>
        <v/>
      </c>
      <c r="BM20" s="210" t="str">
        <f>IF(AND(C20="Skema 2",B20="ti"),Skemaoplysninger!$U$30,"")</f>
        <v/>
      </c>
      <c r="BN20" s="210" t="str">
        <f>IF(AND(C20="Skema 2",B20="on"),Skemaoplysninger!$W$30,"")</f>
        <v/>
      </c>
      <c r="BO20" s="210">
        <f>IF(AND(C20="Skema 2",B20="to"),Skemaoplysninger!$Y$30,"")</f>
        <v>0.125</v>
      </c>
      <c r="BP20" s="210" t="str">
        <f>IF(AND(C20="Skema 2",B20="fr"),Skemaoplysninger!$AA$30,"")</f>
        <v/>
      </c>
      <c r="BQ20" s="210" t="str">
        <f>IF(AND(C20="Skema 3",B20="ma"),Skemaoplysninger!$AG$30,"")</f>
        <v/>
      </c>
      <c r="BR20" s="210" t="str">
        <f>IF(AND(C20="Skema 3",B20="ti"),Skemaoplysninger!$AI$30,"")</f>
        <v/>
      </c>
      <c r="BS20" s="210" t="str">
        <f>IF(AND(C20="Skema 3",B20="on"),Skemaoplysninger!$AK$30,"")</f>
        <v/>
      </c>
      <c r="BT20" s="210" t="str">
        <f>IF(AND(C20="Skema 3",B20="to"),Skemaoplysninger!$AM$30,"")</f>
        <v/>
      </c>
      <c r="BU20" s="210" t="str">
        <f>IF(AND(C20="Skema 3",B20="fr"),Skemaoplysninger!$AO$30,"")</f>
        <v/>
      </c>
      <c r="BV20" s="210" t="str">
        <f>IF(AND(C20="Skema 4",B20="ma"),Skemaoplysninger!$AU$30,"")</f>
        <v/>
      </c>
      <c r="BW20" s="210" t="str">
        <f>IF(AND(C20="Skema 4",B20="ti"),Skemaoplysninger!$AW$30,"")</f>
        <v/>
      </c>
      <c r="BX20" s="210" t="str">
        <f>IF(AND(C20="Skema 4",B20="on"),Skemaoplysninger!$AY$30,"")</f>
        <v/>
      </c>
      <c r="BY20" s="210" t="str">
        <f>IF(AND(C20="Skema 4",B20="to"),Skemaoplysninger!$BA$30,"")</f>
        <v/>
      </c>
      <c r="BZ20" s="210" t="str">
        <f>IF(AND(C20="Skema 4",B20="fr"),Skemaoplysninger!$BC$30,"")</f>
        <v/>
      </c>
      <c r="CA20" s="1">
        <f t="shared" si="25"/>
        <v>3</v>
      </c>
      <c r="CB20" s="1">
        <f t="shared" si="11"/>
        <v>0</v>
      </c>
      <c r="CC20" s="1">
        <f t="shared" si="12"/>
        <v>0</v>
      </c>
      <c r="CD20" s="210" t="str">
        <f>IF(AND(C20="Skema 1",B20="ma"),Skemaoplysninger!$E$31,"")</f>
        <v/>
      </c>
      <c r="CE20" s="210" t="str">
        <f>IF(AND(C20="Skema 1",B20="ti"),Skemaoplysninger!$G$31,"")</f>
        <v/>
      </c>
      <c r="CF20" s="210" t="str">
        <f>IF(AND(C20="Skema 1",B20="on"),Skemaoplysninger!$I$31,"")</f>
        <v/>
      </c>
      <c r="CG20" s="210" t="str">
        <f>IF(AND(C20="Skema 1",B20="to"),Skemaoplysninger!$K$31,"")</f>
        <v/>
      </c>
      <c r="CH20" s="210" t="str">
        <f>IF(AND(C20="Skema 1",B20="fr"),Skemaoplysninger!$M$31,"")</f>
        <v/>
      </c>
      <c r="CI20" s="210" t="str">
        <f>IF(AND(C20="Skema 2",B20="ma"),Skemaoplysninger!$S$31,"")</f>
        <v/>
      </c>
      <c r="CJ20" s="210" t="str">
        <f>IF(AND(C20="Skema 2",B20="ti"),Skemaoplysninger!$U$31,"")</f>
        <v/>
      </c>
      <c r="CK20" s="210" t="str">
        <f>IF(AND(C20="Skema 2",B20="on"),Skemaoplysninger!$W$31,"")</f>
        <v/>
      </c>
      <c r="CL20" s="210">
        <f>IF(AND(C20="Skema 2",B20="to"),Skemaoplysninger!$Y$31,"")</f>
        <v>3.4722222222222224E-2</v>
      </c>
      <c r="CM20" s="210" t="str">
        <f>IF(AND(C20="Skema 2",B20="fr"),Skemaoplysninger!$AA$31,"")</f>
        <v/>
      </c>
      <c r="CN20" s="210" t="str">
        <f>IF(AND(C20="Skema 3",B20="ma"),Skemaoplysninger!$AG$31,"")</f>
        <v/>
      </c>
      <c r="CO20" s="210" t="str">
        <f>IF(AND(C20="Skema 3",B20="ti"),Skemaoplysninger!$AI$31,"")</f>
        <v/>
      </c>
      <c r="CP20" s="210" t="str">
        <f>IF(AND(C20="Skema 3",B20="on"),Skemaoplysninger!$AK$31,"")</f>
        <v/>
      </c>
      <c r="CQ20" s="210" t="str">
        <f>IF(AND(C20="Skema 3",B20="to"),Skemaoplysninger!$AM$31,"")</f>
        <v/>
      </c>
      <c r="CR20" s="210" t="str">
        <f>IF(AND(C20="Skema 3",B20="fr"),Skemaoplysninger!$AO$31,"")</f>
        <v/>
      </c>
      <c r="CS20" s="210" t="str">
        <f>IF(AND(C20="Skema 4",B20="ma"),Skemaoplysninger!$AU$31,"")</f>
        <v/>
      </c>
      <c r="CT20" s="210" t="str">
        <f>IF(AND(C20="Skema 4",B20="ti"),Skemaoplysninger!$AW$31,"")</f>
        <v/>
      </c>
      <c r="CU20" s="210" t="str">
        <f>IF(AND(C20="Skema 4",B20="on"),Skemaoplysninger!$AY$31,"")</f>
        <v/>
      </c>
      <c r="CV20" s="210" t="str">
        <f>IF(AND(C20="Skema 4",B20="to"),Skemaoplysninger!$BA$31,"")</f>
        <v/>
      </c>
      <c r="CW20" s="210" t="str">
        <f>IF(AND(C20="Skema 4",B20="fr"),Skemaoplysninger!$BC$31,"")</f>
        <v/>
      </c>
      <c r="CX20" s="249">
        <f>IF(Stamoplysninger!$H$29="NEJ",SUM(CD20:CW20)*24+CB20+CC20,0)</f>
        <v>0.83333333333333337</v>
      </c>
      <c r="CY20" s="249">
        <f>IF(C20="Skema 1",Stamoplysninger!$H$30/200,0)</f>
        <v>0</v>
      </c>
      <c r="CZ20" s="249">
        <f>IF(C20="Skema 2",Stamoplysninger!$H$30/200,0)</f>
        <v>0</v>
      </c>
      <c r="DA20" s="249">
        <f>IF(C20="Skema 3",Stamoplysninger!$H$30/200,0)</f>
        <v>0</v>
      </c>
      <c r="DB20" s="249">
        <f>IF(C20="Skema 4",Stamoplysninger!$H$30/200,0)</f>
        <v>0</v>
      </c>
      <c r="DC20" s="249">
        <f>IF(C20="fagdag",Stamoplysninger!$H$30/200,0)</f>
        <v>0</v>
      </c>
      <c r="DD20" s="249">
        <f>IF(C20="emnedag",Stamoplysninger!$H$30/200,0)</f>
        <v>0</v>
      </c>
      <c r="DE20" s="249">
        <f>IF(C20="lejrskole",Stamoplysninger!$H$30/200,0)</f>
        <v>0</v>
      </c>
      <c r="DF20" s="249">
        <f>IF(C20="ekskursion",Stamoplysninger!$H$30/200,0)</f>
        <v>0</v>
      </c>
      <c r="DG20" s="249">
        <f t="shared" si="26"/>
        <v>0</v>
      </c>
      <c r="DH20" t="str">
        <f t="shared" si="27"/>
        <v/>
      </c>
      <c r="DI20">
        <f t="shared" si="28"/>
        <v>0</v>
      </c>
      <c r="DJ20">
        <f t="shared" si="29"/>
        <v>0</v>
      </c>
      <c r="DK20" t="str">
        <f t="shared" si="13"/>
        <v/>
      </c>
      <c r="DL20" t="str">
        <f t="shared" si="13"/>
        <v/>
      </c>
      <c r="DM20" t="str">
        <f t="shared" si="13"/>
        <v/>
      </c>
      <c r="DN20" t="str">
        <f t="shared" si="30"/>
        <v/>
      </c>
      <c r="DO20" s="652">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71">
        <f>IF(AND(Stamoplysninger!$B$22="Ulempetillæg udbetales med 25% af nettotimelønnen.",C20="ikke relevant"),(R20)/4,0)</f>
        <v>0</v>
      </c>
      <c r="DT20" s="671">
        <f>IF(AND(AND(Stamoplysninger!$B$22="Ulempetillæg udbetales med 25% af nettotimelønnen.",I20="X",C20="Ikke relevant")),K20/4,0)</f>
        <v>0</v>
      </c>
      <c r="DU20" s="671">
        <f>IF(AND(AND(Stamoplysninger!$B$22="Ulempetillæg udbetales med 25% af nettotimelønnen.",C20="ikke relevant",U20="X")),(X20/4),0)</f>
        <v>0</v>
      </c>
      <c r="DV20" s="672">
        <f>IF(AND(AND(AND(Stamoplysninger!$B$22="Ulempetillæg udbetales med 25% af nettotimelønnen.",I20="X",C20="Ikke relevant",S20="X"))),V20/4,0)</f>
        <v>0</v>
      </c>
      <c r="DW20" s="652"/>
      <c r="DZ20" s="671"/>
      <c r="EA20" s="671"/>
      <c r="EB20" s="672"/>
      <c r="EC20" s="652">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71">
        <f>IF(AND(Stamoplysninger!$B$22="Ulempetillæg afspadseres med 25%(Kræver en aftale imellem ledelsen og den ansatte)",C20="ikke relevant"),(R20)/4,0)</f>
        <v>0</v>
      </c>
      <c r="EH20" s="671">
        <f>IF(AND(AND(Stamoplysninger!$B$22="Ulempetillæg afspadseres med 25%(Kræver en aftale imellem ledelsen og den ansatte)",I20="X",C20="Ikke relevant")),K20/4,0)</f>
        <v>0</v>
      </c>
      <c r="EI20" s="671">
        <f>IF(AND(AND(Stamoplysninger!$B$22="Ulempetillæg afspadseres med 25%(Kræver en aftale imellem ledelsen og den ansatte)",U20="X",C20="Ikke relevant")),X20/4,0)</f>
        <v>0</v>
      </c>
      <c r="EJ20" s="671">
        <f>IF(AND(AND(AND(Stamoplysninger!$B$22="Ulempetillæg afspadseres med 25%(Kræver en aftale imellem ledelsen og den ansatte)",I20="X",C20="Ikke relevant",S20="X"))),V20/4,0)</f>
        <v>0</v>
      </c>
      <c r="EK20" s="283">
        <f>IF(AND(Stamoplysninger!$B$26="Weekendtimer og weekendtillæg afspadseres.",I20="X"),K20*1.5,0)</f>
        <v>0</v>
      </c>
      <c r="EL20" s="251">
        <f>IF(AND(AND(Stamoplysninger!$B$26="Weekendtimer og weekendtillæg afspadseres.",I20="X",S20="X")),V20*1.5,0)</f>
        <v>0</v>
      </c>
      <c r="EM20" s="674">
        <f>IF(AND(AND(Stamoplysninger!$B$26="Weekendtimer og weekendtillæg afspadseres.",I20="X",C20="ikke relevant")),K20*1.5,0)</f>
        <v>0</v>
      </c>
      <c r="EN20" s="675">
        <f>IF(AND(AND(AND(Stamoplysninger!$B$26="Weekendtimer og weekendtillæg afspadseres.",I20="X",C20="ikke relevant",S20="X"))),(V20*1.5),0)</f>
        <v>0</v>
      </c>
      <c r="EO20" s="283">
        <f>IF(AND(Stamoplysninger!$B$26="Weekendtimer og weekendtillæg udbetales.",I20="X"),K20*1.5,0)</f>
        <v>0</v>
      </c>
      <c r="EP20" s="251">
        <f>IF(AND(AND(Stamoplysninger!$B$26="Weekendtimer og weekendtillæg udbetales.",I20="X",S20="X")),V20*1.5,0)</f>
        <v>0</v>
      </c>
      <c r="EQ20" s="674">
        <f>IF(AND(AND(Stamoplysninger!$B$26="Weekendtimer og weekendtillæg udbetales.",I20="X",C20="ikke relevant")),K20*1.5,0)</f>
        <v>0</v>
      </c>
      <c r="ER20" s="675">
        <f>IF(AND(AND(AND(Stamoplysninger!$B$26="Weekendtimer og weekendtillæg udbetales.",I20="X",C20="ikke relevant",S20="X"))),(V20*1.5),0)</f>
        <v>0</v>
      </c>
      <c r="ES20" s="283">
        <f>IF(AND(Stamoplysninger!$B$26="Der er indgået lokalaftale omkring weekendtimer.(Kræver aftale med TR/FSL) Weekendtillæg afspadseres.",I20="X"),K20*0.5,0)</f>
        <v>0</v>
      </c>
      <c r="ET20" s="251">
        <f>IF(AND(AND(Stamoplysninger!$B$26="Der er indgået lokalaftale omkring weekendtimer.(Kræver aftale med TR/FSL) Weekendtillæg afspadseres.",I20="X",S20="X")),V20*0.5,0)</f>
        <v>0</v>
      </c>
      <c r="EU20" s="674">
        <f>IF(AND(AND(Stamoplysninger!$B$26="Der er indgået lokalaftale omkring weekendtimer.(Kræver aftale med TR/FSL) Weekendtillæg afspadseres.",I20="X",C20="ikke relevant")),K20*0.5,0)</f>
        <v>0</v>
      </c>
      <c r="EV20" s="675">
        <f>IF(AND(AND(AND(Stamoplysninger!$B$26="Der er indgået lokalaftale omkring weekendtimer.(Kræver aftale med TR/FSL) Weekendtillæg afspadseres.",I20="X",C20="ikke relevant",S20="X"))),(V20*0.5),0)</f>
        <v>0</v>
      </c>
      <c r="EW20" s="283">
        <f>IF(AND(Stamoplysninger!$B$26="Der er indgået lokalaftale omkring weekendtimer(Kræver aftale med TR/FSL). Weekendtillæg udbetales.",I20="X"),K20*0.5,0)</f>
        <v>0</v>
      </c>
      <c r="EX20" s="251">
        <f>IF(AND(AND(Stamoplysninger!$B$26="Der er indgået lokalaftale omkring weekendtimer(Kræver aftale med TR/FSL). Weekendtillæg udbetales.",I20="X",S20="X")),V20*0.5,0)</f>
        <v>0</v>
      </c>
      <c r="EY20" s="674">
        <f>IF(AND(AND(Stamoplysninger!$B$26="Der er indgået lokalaftale omkring weekendtimer(Kræver aftale med TR/FSL). Weekendtillæg udbetales.",I20="X",C20="ikke relevant")),K20*0.5,0)</f>
        <v>0</v>
      </c>
      <c r="EZ20" s="675">
        <f>IF(AND(AND(AND(Stamoplysninger!$B$26="Der er indgået lokalaftale omkring weekendtimer(Kræver aftale med TR/FSL). Weekendtillæg udbetales.",I20="X",C20="ikke relevant",S20="X"))),(V20*0.5),0)</f>
        <v>0</v>
      </c>
      <c r="FA20" s="283">
        <f>IF(AND(Stamoplysninger!$B$26="Der er indgået lokalaftale omkring weekendtillæg(Kræver aftale med TR/FSL). Weekendtimerne afspadseres.",I20="X"),K20,0)</f>
        <v>0</v>
      </c>
      <c r="FB20" s="251">
        <f>IF(AND(AND(Stamoplysninger!$B$26="Der er indgået lokalaftale omkring weekendtillæg(Kræver aftale med TR/FSL). Weekendtimerne afspadseres.",I20="X",S20="X")),V20,0)</f>
        <v>0</v>
      </c>
      <c r="FC20" s="674">
        <f>IF(AND(AND(Stamoplysninger!$B$26="Der er indgået lokalaftale omkring weekendtillæg(Kræver aftale med TR/FSL). Weekendtimerne afspadseres..",I20="X",C20="ikke relevant")),K20,0)</f>
        <v>0</v>
      </c>
      <c r="FD20" s="675">
        <f>IF(AND(AND(AND(Stamoplysninger!$B$26="Der er indgået lokalaftale omkring weekendtillæg(Kræver aftale med TR/FSL). Weekendtimerne afspadseres.",I20="X",C20="ikke relevant",S20="X"))),(V20),0)</f>
        <v>0</v>
      </c>
      <c r="FE20" s="283">
        <f>IF(AND(Stamoplysninger!$B$26="Der er indgået lokalaftale omkring weekendtillæg(Kræver aftale med TR/FSL). Weekendtimerne udbetales.",I20="X"),K20,0)</f>
        <v>0</v>
      </c>
      <c r="FF20" s="251">
        <f>IF(AND(AND(Stamoplysninger!$B$26="Der er indgået lokalaftale omkring weekendtillæg(Kræver aftale med TR/FSL). Weekendtimerne udbetales.",I20="X",S20="X")),V20,0)</f>
        <v>0</v>
      </c>
      <c r="FG20" s="674">
        <f>IF(AND(AND(Stamoplysninger!$B$26="Der er indgået lokalaftale omkring weekendtillæg(Kræver aftale med TR/FSL). Weekendtimerne udbetales.",I20="X",C20="ikke relevant")),K20,0)</f>
        <v>0</v>
      </c>
      <c r="FH20" s="675">
        <f>IF(AND(AND(AND(Stamoplysninger!$B$26="Der er indgået lokalaftale omkring weekendtillæg(Kræver aftale med TR/FSL). Weekendtimerne udbetales.",I20="X",C20="ikke relevant",S20="X"))),(V20),0)</f>
        <v>0</v>
      </c>
      <c r="FI20" s="283">
        <f>IF(AND(Stamoplysninger!$B$26="Weekendtimer og weekendtillæg afspadseres.",I20="X"),K20,0)</f>
        <v>0</v>
      </c>
      <c r="FJ20" s="251">
        <f>IF(AND(Stamoplysninger!$B$26="Weekendtimer og weekendtillæg afspadseres.",Y20="X"),(AA20+AL20)/2,0)</f>
        <v>0</v>
      </c>
      <c r="FK20" s="674">
        <f>IF(AND(AND(Stamoplysninger!$B$26="Weekendtimer og weekendtillæg afspadseres.",I20="X",C20="ikke relevant")),K20,0)</f>
        <v>0</v>
      </c>
      <c r="FL20" s="675">
        <f>IF(AND(AND(Stamoplysninger!$B$26="Weekendtimer og weekendtillæg afspadseres.",Y20="X",S20="ikke relevant")),(AA20+AL20)/2,0)</f>
        <v>0</v>
      </c>
      <c r="FM20" s="283">
        <f>IF(AND(Stamoplysninger!$B$26="Der er indgået lokalaftale omkring weekendtillæg(Kræver aftale med TR/FSL). Weekendtimerne afspadseres.",I20="X"),K20,0)</f>
        <v>0</v>
      </c>
      <c r="FN20" s="674">
        <f>IF(AND(AND(Stamoplysninger!$B$26="Der er indgået lokalaftale omkring weekendtillæg(Kræver aftale med TR/FSL). Weekendtimerne afspadseres.",I20="X",C20="ikke relevant")),K20,0)</f>
        <v>0</v>
      </c>
      <c r="FO20" s="283">
        <f>IF(AND(Stamoplysninger!$B$26="Weekendtimer og weekendtillæg udbetales.",I20="X"),K20,0)</f>
        <v>0</v>
      </c>
      <c r="FP20" s="251">
        <f>IF(AND(Stamoplysninger!$B$26="Weekendtimer og weekendtillæg udbetales.",AA20="X"),(AC20+AN20)/2,0)</f>
        <v>0</v>
      </c>
      <c r="FQ20" s="674">
        <f>IF(AND(AND(Stamoplysninger!$B$26="Weekendtimer og weekendtillæg udbetales.",I20="X",C20="ikke relevant")),K20,0)</f>
        <v>0</v>
      </c>
      <c r="FR20" s="688">
        <f>IF(AND(AND(Stamoplysninger!$B$26="Weekendtimer og weekendtillæg udbetales.",AA20="X",U20="ikke relevant")),(AC20+AN20)/2,0)</f>
        <v>0</v>
      </c>
      <c r="FS20" s="283">
        <f t="shared" si="14"/>
        <v>0</v>
      </c>
      <c r="FT20" s="658">
        <f t="shared" si="15"/>
        <v>0</v>
      </c>
      <c r="FU20">
        <f t="shared" si="16"/>
        <v>0</v>
      </c>
      <c r="FV20" s="283">
        <f>IF(AND(Stamoplysninger!$B$26="Der er indgået lokalaftale omkring weekendtimer.(Kræver aftale med TR/FSL) Weekendtillæg afspadseres.",I20="X"),K20,0)</f>
        <v>0</v>
      </c>
      <c r="FW20" s="674">
        <f>IF(AND(AND(Stamoplysninger!$B$26="Der er indgået lokalaftale omkring weekendtimer.(Kræver aftale med TR/FSL) Weekendtillæg afspadseres.",I20="X",C20="ikke relevant")),K20,0)</f>
        <v>0</v>
      </c>
      <c r="FX20" s="283">
        <f>IF(AND(Stamoplysninger!$B$26="Der er indgået lokalaftale omkring weekendtimer(Kræver aftale med TR/FSL). Weekendtillæg udbetales.",I20="X"),K20,0)</f>
        <v>0</v>
      </c>
      <c r="FY20" s="674">
        <f>IF(AND(AND(Stamoplysninger!$B$26="Der er indgået lokalaftale omkring weekendtimer(Kræver aftale med TR/FSL). Weekendtillæg udbetales.",I20="X",C20="ikke relevant")),K20,0)</f>
        <v>0</v>
      </c>
      <c r="FZ20" s="283">
        <f>IF(AND(Stamoplysninger!$B$26="Der er indgået lokalaftale omkring weekendtillæg(Kræver aftale med TR/FSL). Weekendtimerne udbetales.",I20="X"),K20,0)</f>
        <v>0</v>
      </c>
      <c r="GA20" s="674">
        <f>IF(AND(AND(Stamoplysninger!$B$26="Der er indgået lokalaftale omkring weekendtillæg(Kræver aftale med TR/FSL). Weekendtimerne udbetales.",I20="X",C20="ikke relevant")),K20,0)</f>
        <v>0</v>
      </c>
      <c r="GB20" s="283">
        <f>IF(AND(Stamoplysninger!$B$26="Der er indgået lokalaftale omkring weekendtimer og weekendtillæg.(Kræver aftale med TR/FSL).",I20="X"),K20,0)</f>
        <v>0</v>
      </c>
      <c r="GC20" s="674">
        <f>IF(AND(AND(Stamoplysninger!$B$26="Der er indgået lokalaftale omkring weekendtimer og weekendtillæg.(Kræver aftale med TR/FSL).",I20="X",C20="ikke relevant")),K20,0)</f>
        <v>0</v>
      </c>
    </row>
    <row r="21" spans="1:185">
      <c r="A21" s="245">
        <f>IF(ISNUMBER(A20),A20+1,1)</f>
        <v>13</v>
      </c>
      <c r="B21" s="128" t="str">
        <f t="shared" si="0"/>
        <v>fr</v>
      </c>
      <c r="C21" s="129" t="s">
        <v>207</v>
      </c>
      <c r="D21" s="130" t="str">
        <f t="shared" si="1"/>
        <v/>
      </c>
      <c r="E21" s="949"/>
      <c r="F21" s="950"/>
      <c r="G21" s="951"/>
      <c r="H21" s="297"/>
      <c r="I21" s="527"/>
      <c r="J21" s="413"/>
      <c r="K21" s="380"/>
      <c r="L21" s="380"/>
      <c r="M21" s="380"/>
      <c r="N21" s="318">
        <f t="shared" si="18"/>
        <v>7</v>
      </c>
      <c r="O21" s="318">
        <f t="shared" si="19"/>
        <v>3</v>
      </c>
      <c r="P21" s="318">
        <f>IF(Stamoplysninger!$H$29="JA",Juni!DG21,CX21)</f>
        <v>0.83333333333333337</v>
      </c>
      <c r="Q21" s="318">
        <f t="shared" si="20"/>
        <v>3.1666666666666665</v>
      </c>
      <c r="R21" s="319"/>
      <c r="S21" s="324"/>
      <c r="T21" s="325"/>
      <c r="U21" s="325"/>
      <c r="V21" s="435"/>
      <c r="W21" s="435"/>
      <c r="X21" s="644"/>
      <c r="Y21">
        <f t="shared" si="21"/>
        <v>0</v>
      </c>
      <c r="Z21" s="437">
        <f t="shared" si="22"/>
        <v>0</v>
      </c>
      <c r="AA21" s="1">
        <f t="shared" si="2"/>
        <v>0</v>
      </c>
      <c r="AB21" s="1">
        <f t="shared" si="3"/>
        <v>0</v>
      </c>
      <c r="AC21" s="1">
        <f t="shared" si="4"/>
        <v>0</v>
      </c>
      <c r="AD21" s="1">
        <f t="shared" si="5"/>
        <v>0</v>
      </c>
      <c r="AE21" s="1">
        <f t="shared" si="6"/>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f>IF(AND(C21="Skema 2",B21="fr"),Arbejdstidsoversigt!$E$85,"")</f>
        <v>7</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7</v>
      </c>
      <c r="BB21" s="229">
        <f t="shared" si="7"/>
        <v>0</v>
      </c>
      <c r="BC21" s="1">
        <f t="shared" si="24"/>
        <v>0</v>
      </c>
      <c r="BD21" s="1">
        <f t="shared" si="8"/>
        <v>0</v>
      </c>
      <c r="BE21" s="1">
        <f t="shared" si="9"/>
        <v>0</v>
      </c>
      <c r="BF21" s="1">
        <f t="shared" si="10"/>
        <v>0</v>
      </c>
      <c r="BG21" s="210" t="str">
        <f>IF(AND(C21="Skema 1",B21="ma"),Skemaoplysninger!$E$30,"")</f>
        <v/>
      </c>
      <c r="BH21" s="210" t="str">
        <f>IF(AND(C21="Skema 1",B21="ti"),Skemaoplysninger!$G$30,"")</f>
        <v/>
      </c>
      <c r="BI21" s="210" t="str">
        <f>IF(AND(C21="Skema 1",B21="on"),Skemaoplysninger!$I$30,"")</f>
        <v/>
      </c>
      <c r="BJ21" s="210" t="str">
        <f>IF(AND(C21="Skema 1",B21="to"),Skemaoplysninger!$K$30,"")</f>
        <v/>
      </c>
      <c r="BK21" s="210" t="str">
        <f>IF(AND(C21="Skema 1",B21="fr"),Skemaoplysninger!$M$30,"")</f>
        <v/>
      </c>
      <c r="BL21" s="210" t="str">
        <f>IF(AND(C21="Skema 2",B21="ma"),Skemaoplysninger!$S$30,"")</f>
        <v/>
      </c>
      <c r="BM21" s="210" t="str">
        <f>IF(AND(C21="Skema 2",B21="ti"),Skemaoplysninger!$U$30,"")</f>
        <v/>
      </c>
      <c r="BN21" s="210" t="str">
        <f>IF(AND(C21="Skema 2",B21="on"),Skemaoplysninger!$W$30,"")</f>
        <v/>
      </c>
      <c r="BO21" s="210" t="str">
        <f>IF(AND(C21="Skema 2",B21="to"),Skemaoplysninger!$Y$30,"")</f>
        <v/>
      </c>
      <c r="BP21" s="210">
        <f>IF(AND(C21="Skema 2",B21="fr"),Skemaoplysninger!$AA$30,"")</f>
        <v>0.125</v>
      </c>
      <c r="BQ21" s="210" t="str">
        <f>IF(AND(C21="Skema 3",B21="ma"),Skemaoplysninger!$AG$30,"")</f>
        <v/>
      </c>
      <c r="BR21" s="210" t="str">
        <f>IF(AND(C21="Skema 3",B21="ti"),Skemaoplysninger!$AI$30,"")</f>
        <v/>
      </c>
      <c r="BS21" s="210" t="str">
        <f>IF(AND(C21="Skema 3",B21="on"),Skemaoplysninger!$AK$30,"")</f>
        <v/>
      </c>
      <c r="BT21" s="210" t="str">
        <f>IF(AND(C21="Skema 3",B21="to"),Skemaoplysninger!$AM$30,"")</f>
        <v/>
      </c>
      <c r="BU21" s="210" t="str">
        <f>IF(AND(C21="Skema 3",B21="fr"),Skemaoplysninger!$AO$30,"")</f>
        <v/>
      </c>
      <c r="BV21" s="210" t="str">
        <f>IF(AND(C21="Skema 4",B21="ma"),Skemaoplysninger!$AU$30,"")</f>
        <v/>
      </c>
      <c r="BW21" s="210" t="str">
        <f>IF(AND(C21="Skema 4",B21="ti"),Skemaoplysninger!$AW$30,"")</f>
        <v/>
      </c>
      <c r="BX21" s="210" t="str">
        <f>IF(AND(C21="Skema 4",B21="on"),Skemaoplysninger!$AY$30,"")</f>
        <v/>
      </c>
      <c r="BY21" s="210" t="str">
        <f>IF(AND(C21="Skema 4",B21="to"),Skemaoplysninger!$BA$30,"")</f>
        <v/>
      </c>
      <c r="BZ21" s="210" t="str">
        <f>IF(AND(C21="Skema 4",B21="fr"),Skemaoplysninger!$BC$30,"")</f>
        <v/>
      </c>
      <c r="CA21" s="1">
        <f t="shared" si="25"/>
        <v>3</v>
      </c>
      <c r="CB21" s="1">
        <f t="shared" si="11"/>
        <v>0</v>
      </c>
      <c r="CC21" s="1">
        <f t="shared" si="12"/>
        <v>0</v>
      </c>
      <c r="CD21" s="210" t="str">
        <f>IF(AND(C21="Skema 1",B21="ma"),Skemaoplysninger!$E$31,"")</f>
        <v/>
      </c>
      <c r="CE21" s="210" t="str">
        <f>IF(AND(C21="Skema 1",B21="ti"),Skemaoplysninger!$G$31,"")</f>
        <v/>
      </c>
      <c r="CF21" s="210" t="str">
        <f>IF(AND(C21="Skema 1",B21="on"),Skemaoplysninger!$I$31,"")</f>
        <v/>
      </c>
      <c r="CG21" s="210" t="str">
        <f>IF(AND(C21="Skema 1",B21="to"),Skemaoplysninger!$K$31,"")</f>
        <v/>
      </c>
      <c r="CH21" s="210" t="str">
        <f>IF(AND(C21="Skema 1",B21="fr"),Skemaoplysninger!$M$31,"")</f>
        <v/>
      </c>
      <c r="CI21" s="210" t="str">
        <f>IF(AND(C21="Skema 2",B21="ma"),Skemaoplysninger!$S$31,"")</f>
        <v/>
      </c>
      <c r="CJ21" s="210" t="str">
        <f>IF(AND(C21="Skema 2",B21="ti"),Skemaoplysninger!$U$31,"")</f>
        <v/>
      </c>
      <c r="CK21" s="210" t="str">
        <f>IF(AND(C21="Skema 2",B21="on"),Skemaoplysninger!$W$31,"")</f>
        <v/>
      </c>
      <c r="CL21" s="210" t="str">
        <f>IF(AND(C21="Skema 2",B21="to"),Skemaoplysninger!$Y$31,"")</f>
        <v/>
      </c>
      <c r="CM21" s="210">
        <f>IF(AND(C21="Skema 2",B21="fr"),Skemaoplysninger!$AA$31,"")</f>
        <v>3.4722222222222224E-2</v>
      </c>
      <c r="CN21" s="210" t="str">
        <f>IF(AND(C21="Skema 3",B21="ma"),Skemaoplysninger!$AG$31,"")</f>
        <v/>
      </c>
      <c r="CO21" s="210" t="str">
        <f>IF(AND(C21="Skema 3",B21="ti"),Skemaoplysninger!$AI$31,"")</f>
        <v/>
      </c>
      <c r="CP21" s="210" t="str">
        <f>IF(AND(C21="Skema 3",B21="on"),Skemaoplysninger!$AK$31,"")</f>
        <v/>
      </c>
      <c r="CQ21" s="210" t="str">
        <f>IF(AND(C21="Skema 3",B21="to"),Skemaoplysninger!$AM$31,"")</f>
        <v/>
      </c>
      <c r="CR21" s="210" t="str">
        <f>IF(AND(C21="Skema 3",B21="fr"),Skemaoplysninger!$AO$31,"")</f>
        <v/>
      </c>
      <c r="CS21" s="210" t="str">
        <f>IF(AND(C21="Skema 4",B21="ma"),Skemaoplysninger!$AU$31,"")</f>
        <v/>
      </c>
      <c r="CT21" s="210" t="str">
        <f>IF(AND(C21="Skema 4",B21="ti"),Skemaoplysninger!$AW$31,"")</f>
        <v/>
      </c>
      <c r="CU21" s="210" t="str">
        <f>IF(AND(C21="Skema 4",B21="on"),Skemaoplysninger!$AY$31,"")</f>
        <v/>
      </c>
      <c r="CV21" s="210" t="str">
        <f>IF(AND(C21="Skema 4",B21="to"),Skemaoplysninger!$BA$31,"")</f>
        <v/>
      </c>
      <c r="CW21" s="210" t="str">
        <f>IF(AND(C21="Skema 4",B21="fr"),Skemaoplysninger!$BC$31,"")</f>
        <v/>
      </c>
      <c r="CX21" s="249">
        <f>IF(Stamoplysninger!$H$29="NEJ",SUM(CD21:CW21)*24+CB21+CC21,0)</f>
        <v>0.83333333333333337</v>
      </c>
      <c r="CY21" s="249">
        <f>IF(C21="Skema 1",Stamoplysninger!$H$30/200,0)</f>
        <v>0</v>
      </c>
      <c r="CZ21" s="249">
        <f>IF(C21="Skema 2",Stamoplysninger!$H$30/200,0)</f>
        <v>0</v>
      </c>
      <c r="DA21" s="249">
        <f>IF(C21="Skema 3",Stamoplysninger!$H$30/200,0)</f>
        <v>0</v>
      </c>
      <c r="DB21" s="249">
        <f>IF(C21="Skema 4",Stamoplysninger!$H$30/200,0)</f>
        <v>0</v>
      </c>
      <c r="DC21" s="249">
        <f>IF(C21="fagdag",Stamoplysninger!$H$30/200,0)</f>
        <v>0</v>
      </c>
      <c r="DD21" s="249">
        <f>IF(C21="emnedag",Stamoplysninger!$H$30/200,0)</f>
        <v>0</v>
      </c>
      <c r="DE21" s="249">
        <f>IF(C21="lejrskole",Stamoplysninger!$H$30/200,0)</f>
        <v>0</v>
      </c>
      <c r="DF21" s="249">
        <f>IF(C21="ekskursion",Stamoplysninger!$H$30/200,0)</f>
        <v>0</v>
      </c>
      <c r="DG21" s="249">
        <f t="shared" si="26"/>
        <v>0</v>
      </c>
      <c r="DH21" t="str">
        <f t="shared" si="27"/>
        <v/>
      </c>
      <c r="DI21">
        <f t="shared" si="28"/>
        <v>0</v>
      </c>
      <c r="DJ21">
        <f t="shared" si="29"/>
        <v>0</v>
      </c>
      <c r="DK21" t="str">
        <f t="shared" si="13"/>
        <v/>
      </c>
      <c r="DL21" t="str">
        <f t="shared" si="13"/>
        <v/>
      </c>
      <c r="DM21" t="str">
        <f t="shared" si="13"/>
        <v/>
      </c>
      <c r="DN21" t="str">
        <f t="shared" si="30"/>
        <v/>
      </c>
      <c r="DO21" s="652">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71">
        <f>IF(AND(Stamoplysninger!$B$22="Ulempetillæg udbetales med 25% af nettotimelønnen.",C21="ikke relevant"),(R21)/4,0)</f>
        <v>0</v>
      </c>
      <c r="DT21" s="671">
        <f>IF(AND(AND(Stamoplysninger!$B$22="Ulempetillæg udbetales med 25% af nettotimelønnen.",I21="X",C21="Ikke relevant")),K21/4,0)</f>
        <v>0</v>
      </c>
      <c r="DU21" s="671">
        <f>IF(AND(AND(Stamoplysninger!$B$22="Ulempetillæg udbetales med 25% af nettotimelønnen.",C21="ikke relevant",U21="X")),(X21/4),0)</f>
        <v>0</v>
      </c>
      <c r="DV21" s="672">
        <f>IF(AND(AND(AND(Stamoplysninger!$B$22="Ulempetillæg udbetales med 25% af nettotimelønnen.",I21="X",C21="Ikke relevant",S21="X"))),V21/4,0)</f>
        <v>0</v>
      </c>
      <c r="DW21" s="652"/>
      <c r="DZ21" s="671"/>
      <c r="EA21" s="671"/>
      <c r="EB21" s="672"/>
      <c r="EC21" s="652">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71">
        <f>IF(AND(Stamoplysninger!$B$22="Ulempetillæg afspadseres med 25%(Kræver en aftale imellem ledelsen og den ansatte)",C21="ikke relevant"),(R21)/4,0)</f>
        <v>0</v>
      </c>
      <c r="EH21" s="671">
        <f>IF(AND(AND(Stamoplysninger!$B$22="Ulempetillæg afspadseres med 25%(Kræver en aftale imellem ledelsen og den ansatte)",I21="X",C21="Ikke relevant")),K21/4,0)</f>
        <v>0</v>
      </c>
      <c r="EI21" s="671">
        <f>IF(AND(AND(Stamoplysninger!$B$22="Ulempetillæg afspadseres med 25%(Kræver en aftale imellem ledelsen og den ansatte)",U21="X",C21="Ikke relevant")),X21/4,0)</f>
        <v>0</v>
      </c>
      <c r="EJ21" s="671">
        <f>IF(AND(AND(AND(Stamoplysninger!$B$22="Ulempetillæg afspadseres med 25%(Kræver en aftale imellem ledelsen og den ansatte)",I21="X",C21="Ikke relevant",S21="X"))),V21/4,0)</f>
        <v>0</v>
      </c>
      <c r="EK21" s="283">
        <f>IF(AND(Stamoplysninger!$B$26="Weekendtimer og weekendtillæg afspadseres.",I21="X"),K21*1.5,0)</f>
        <v>0</v>
      </c>
      <c r="EL21" s="251">
        <f>IF(AND(AND(Stamoplysninger!$B$26="Weekendtimer og weekendtillæg afspadseres.",I21="X",S21="X")),V21*1.5,0)</f>
        <v>0</v>
      </c>
      <c r="EM21" s="674">
        <f>IF(AND(AND(Stamoplysninger!$B$26="Weekendtimer og weekendtillæg afspadseres.",I21="X",C21="ikke relevant")),K21*1.5,0)</f>
        <v>0</v>
      </c>
      <c r="EN21" s="675">
        <f>IF(AND(AND(AND(Stamoplysninger!$B$26="Weekendtimer og weekendtillæg afspadseres.",I21="X",C21="ikke relevant",S21="X"))),(V21*1.5),0)</f>
        <v>0</v>
      </c>
      <c r="EO21" s="283">
        <f>IF(AND(Stamoplysninger!$B$26="Weekendtimer og weekendtillæg udbetales.",I21="X"),K21*1.5,0)</f>
        <v>0</v>
      </c>
      <c r="EP21" s="251">
        <f>IF(AND(AND(Stamoplysninger!$B$26="Weekendtimer og weekendtillæg udbetales.",I21="X",S21="X")),V21*1.5,0)</f>
        <v>0</v>
      </c>
      <c r="EQ21" s="674">
        <f>IF(AND(AND(Stamoplysninger!$B$26="Weekendtimer og weekendtillæg udbetales.",I21="X",C21="ikke relevant")),K21*1.5,0)</f>
        <v>0</v>
      </c>
      <c r="ER21" s="675">
        <f>IF(AND(AND(AND(Stamoplysninger!$B$26="Weekendtimer og weekendtillæg udbetales.",I21="X",C21="ikke relevant",S21="X"))),(V21*1.5),0)</f>
        <v>0</v>
      </c>
      <c r="ES21" s="283">
        <f>IF(AND(Stamoplysninger!$B$26="Der er indgået lokalaftale omkring weekendtimer.(Kræver aftale med TR/FSL) Weekendtillæg afspadseres.",I21="X"),K21*0.5,0)</f>
        <v>0</v>
      </c>
      <c r="ET21" s="251">
        <f>IF(AND(AND(Stamoplysninger!$B$26="Der er indgået lokalaftale omkring weekendtimer.(Kræver aftale med TR/FSL) Weekendtillæg afspadseres.",I21="X",S21="X")),V21*0.5,0)</f>
        <v>0</v>
      </c>
      <c r="EU21" s="674">
        <f>IF(AND(AND(Stamoplysninger!$B$26="Der er indgået lokalaftale omkring weekendtimer.(Kræver aftale med TR/FSL) Weekendtillæg afspadseres.",I21="X",C21="ikke relevant")),K21*0.5,0)</f>
        <v>0</v>
      </c>
      <c r="EV21" s="675">
        <f>IF(AND(AND(AND(Stamoplysninger!$B$26="Der er indgået lokalaftale omkring weekendtimer.(Kræver aftale med TR/FSL) Weekendtillæg afspadseres.",I21="X",C21="ikke relevant",S21="X"))),(V21*0.5),0)</f>
        <v>0</v>
      </c>
      <c r="EW21" s="283">
        <f>IF(AND(Stamoplysninger!$B$26="Der er indgået lokalaftale omkring weekendtimer(Kræver aftale med TR/FSL). Weekendtillæg udbetales.",I21="X"),K21*0.5,0)</f>
        <v>0</v>
      </c>
      <c r="EX21" s="251">
        <f>IF(AND(AND(Stamoplysninger!$B$26="Der er indgået lokalaftale omkring weekendtimer(Kræver aftale med TR/FSL). Weekendtillæg udbetales.",I21="X",S21="X")),V21*0.5,0)</f>
        <v>0</v>
      </c>
      <c r="EY21" s="674">
        <f>IF(AND(AND(Stamoplysninger!$B$26="Der er indgået lokalaftale omkring weekendtimer(Kræver aftale med TR/FSL). Weekendtillæg udbetales.",I21="X",C21="ikke relevant")),K21*0.5,0)</f>
        <v>0</v>
      </c>
      <c r="EZ21" s="675">
        <f>IF(AND(AND(AND(Stamoplysninger!$B$26="Der er indgået lokalaftale omkring weekendtimer(Kræver aftale med TR/FSL). Weekendtillæg udbetales.",I21="X",C21="ikke relevant",S21="X"))),(V21*0.5),0)</f>
        <v>0</v>
      </c>
      <c r="FA21" s="283">
        <f>IF(AND(Stamoplysninger!$B$26="Der er indgået lokalaftale omkring weekendtillæg(Kræver aftale med TR/FSL). Weekendtimerne afspadseres.",I21="X"),K21,0)</f>
        <v>0</v>
      </c>
      <c r="FB21" s="251">
        <f>IF(AND(AND(Stamoplysninger!$B$26="Der er indgået lokalaftale omkring weekendtillæg(Kræver aftale med TR/FSL). Weekendtimerne afspadseres.",I21="X",S21="X")),V21,0)</f>
        <v>0</v>
      </c>
      <c r="FC21" s="674">
        <f>IF(AND(AND(Stamoplysninger!$B$26="Der er indgået lokalaftale omkring weekendtillæg(Kræver aftale med TR/FSL). Weekendtimerne afspadseres..",I21="X",C21="ikke relevant")),K21,0)</f>
        <v>0</v>
      </c>
      <c r="FD21" s="675">
        <f>IF(AND(AND(AND(Stamoplysninger!$B$26="Der er indgået lokalaftale omkring weekendtillæg(Kræver aftale med TR/FSL). Weekendtimerne afspadseres.",I21="X",C21="ikke relevant",S21="X"))),(V21),0)</f>
        <v>0</v>
      </c>
      <c r="FE21" s="283">
        <f>IF(AND(Stamoplysninger!$B$26="Der er indgået lokalaftale omkring weekendtillæg(Kræver aftale med TR/FSL). Weekendtimerne udbetales.",I21="X"),K21,0)</f>
        <v>0</v>
      </c>
      <c r="FF21" s="251">
        <f>IF(AND(AND(Stamoplysninger!$B$26="Der er indgået lokalaftale omkring weekendtillæg(Kræver aftale med TR/FSL). Weekendtimerne udbetales.",I21="X",S21="X")),V21,0)</f>
        <v>0</v>
      </c>
      <c r="FG21" s="674">
        <f>IF(AND(AND(Stamoplysninger!$B$26="Der er indgået lokalaftale omkring weekendtillæg(Kræver aftale med TR/FSL). Weekendtimerne udbetales.",I21="X",C21="ikke relevant")),K21,0)</f>
        <v>0</v>
      </c>
      <c r="FH21" s="675">
        <f>IF(AND(AND(AND(Stamoplysninger!$B$26="Der er indgået lokalaftale omkring weekendtillæg(Kræver aftale med TR/FSL). Weekendtimerne udbetales.",I21="X",C21="ikke relevant",S21="X"))),(V21),0)</f>
        <v>0</v>
      </c>
      <c r="FI21" s="283">
        <f>IF(AND(Stamoplysninger!$B$26="Weekendtimer og weekendtillæg afspadseres.",I21="X"),K21,0)</f>
        <v>0</v>
      </c>
      <c r="FJ21" s="251">
        <f>IF(AND(Stamoplysninger!$B$26="Weekendtimer og weekendtillæg afspadseres.",Y21="X"),(AA21+AL21)/2,0)</f>
        <v>0</v>
      </c>
      <c r="FK21" s="674">
        <f>IF(AND(AND(Stamoplysninger!$B$26="Weekendtimer og weekendtillæg afspadseres.",I21="X",C21="ikke relevant")),K21,0)</f>
        <v>0</v>
      </c>
      <c r="FL21" s="675">
        <f>IF(AND(AND(Stamoplysninger!$B$26="Weekendtimer og weekendtillæg afspadseres.",Y21="X",S21="ikke relevant")),(AA21+AL21)/2,0)</f>
        <v>0</v>
      </c>
      <c r="FM21" s="283">
        <f>IF(AND(Stamoplysninger!$B$26="Der er indgået lokalaftale omkring weekendtillæg(Kræver aftale med TR/FSL). Weekendtimerne afspadseres.",I21="X"),K21,0)</f>
        <v>0</v>
      </c>
      <c r="FN21" s="674">
        <f>IF(AND(AND(Stamoplysninger!$B$26="Der er indgået lokalaftale omkring weekendtillæg(Kræver aftale med TR/FSL). Weekendtimerne afspadseres.",I21="X",C21="ikke relevant")),K21,0)</f>
        <v>0</v>
      </c>
      <c r="FO21" s="283">
        <f>IF(AND(Stamoplysninger!$B$26="Weekendtimer og weekendtillæg udbetales.",I21="X"),K21,0)</f>
        <v>0</v>
      </c>
      <c r="FP21" s="251">
        <f>IF(AND(Stamoplysninger!$B$26="Weekendtimer og weekendtillæg udbetales.",AA21="X"),(AC21+AN21)/2,0)</f>
        <v>0</v>
      </c>
      <c r="FQ21" s="674">
        <f>IF(AND(AND(Stamoplysninger!$B$26="Weekendtimer og weekendtillæg udbetales.",I21="X",C21="ikke relevant")),K21,0)</f>
        <v>0</v>
      </c>
      <c r="FR21" s="688">
        <f>IF(AND(AND(Stamoplysninger!$B$26="Weekendtimer og weekendtillæg udbetales.",AA21="X",U21="ikke relevant")),(AC21+AN21)/2,0)</f>
        <v>0</v>
      </c>
      <c r="FS21" s="283">
        <f t="shared" si="14"/>
        <v>0</v>
      </c>
      <c r="FT21" s="658">
        <f t="shared" si="15"/>
        <v>0</v>
      </c>
      <c r="FU21">
        <f t="shared" si="16"/>
        <v>0</v>
      </c>
      <c r="FV21" s="283">
        <f>IF(AND(Stamoplysninger!$B$26="Der er indgået lokalaftale omkring weekendtimer.(Kræver aftale med TR/FSL) Weekendtillæg afspadseres.",I21="X"),K21,0)</f>
        <v>0</v>
      </c>
      <c r="FW21" s="674">
        <f>IF(AND(AND(Stamoplysninger!$B$26="Der er indgået lokalaftale omkring weekendtimer.(Kræver aftale med TR/FSL) Weekendtillæg afspadseres.",I21="X",C21="ikke relevant")),K21,0)</f>
        <v>0</v>
      </c>
      <c r="FX21" s="283">
        <f>IF(AND(Stamoplysninger!$B$26="Der er indgået lokalaftale omkring weekendtimer(Kræver aftale med TR/FSL). Weekendtillæg udbetales.",I21="X"),K21,0)</f>
        <v>0</v>
      </c>
      <c r="FY21" s="674">
        <f>IF(AND(AND(Stamoplysninger!$B$26="Der er indgået lokalaftale omkring weekendtimer(Kræver aftale med TR/FSL). Weekendtillæg udbetales.",I21="X",C21="ikke relevant")),K21,0)</f>
        <v>0</v>
      </c>
      <c r="FZ21" s="283">
        <f>IF(AND(Stamoplysninger!$B$26="Der er indgået lokalaftale omkring weekendtillæg(Kræver aftale med TR/FSL). Weekendtimerne udbetales.",I21="X"),K21,0)</f>
        <v>0</v>
      </c>
      <c r="GA21" s="674">
        <f>IF(AND(AND(Stamoplysninger!$B$26="Der er indgået lokalaftale omkring weekendtillæg(Kræver aftale med TR/FSL). Weekendtimerne udbetales.",I21="X",C21="ikke relevant")),K21,0)</f>
        <v>0</v>
      </c>
      <c r="GB21" s="283">
        <f>IF(AND(Stamoplysninger!$B$26="Der er indgået lokalaftale omkring weekendtimer og weekendtillæg.(Kræver aftale med TR/FSL).",I21="X"),K21,0)</f>
        <v>0</v>
      </c>
      <c r="GC21" s="674">
        <f>IF(AND(AND(Stamoplysninger!$B$26="Der er indgået lokalaftale omkring weekendtimer og weekendtillæg.(Kræver aftale med TR/FSL).",I21="X",C21="ikke relevant")),K21,0)</f>
        <v>0</v>
      </c>
    </row>
    <row r="22" spans="1:185">
      <c r="A22" s="245">
        <f t="shared" si="17"/>
        <v>14</v>
      </c>
      <c r="B22" s="128" t="str">
        <f t="shared" si="0"/>
        <v>lø</v>
      </c>
      <c r="C22" s="129" t="s">
        <v>120</v>
      </c>
      <c r="D22" s="130" t="str">
        <f t="shared" si="1"/>
        <v/>
      </c>
      <c r="E22" s="949"/>
      <c r="F22" s="950"/>
      <c r="G22" s="951"/>
      <c r="H22" s="297"/>
      <c r="I22" s="413"/>
      <c r="J22" s="413"/>
      <c r="K22" s="380"/>
      <c r="L22" s="380"/>
      <c r="M22" s="380"/>
      <c r="N22" s="318">
        <f t="shared" si="18"/>
        <v>0</v>
      </c>
      <c r="O22" s="318">
        <f t="shared" si="19"/>
        <v>0</v>
      </c>
      <c r="P22" s="318">
        <f>IF(Stamoplysninger!$H$29="JA",Juni!DG22,CX22)</f>
        <v>0</v>
      </c>
      <c r="Q22" s="318">
        <f t="shared" si="20"/>
        <v>0</v>
      </c>
      <c r="R22" s="319"/>
      <c r="S22" s="324"/>
      <c r="T22" s="325"/>
      <c r="U22" s="325"/>
      <c r="V22" s="435"/>
      <c r="W22" s="435"/>
      <c r="X22" s="644"/>
      <c r="Y22">
        <f t="shared" si="21"/>
        <v>0</v>
      </c>
      <c r="Z22" s="437">
        <f t="shared" si="22"/>
        <v>0</v>
      </c>
      <c r="AA22" s="1">
        <f t="shared" si="2"/>
        <v>0</v>
      </c>
      <c r="AB22" s="1">
        <f t="shared" si="3"/>
        <v>0</v>
      </c>
      <c r="AC22" s="1">
        <f t="shared" si="4"/>
        <v>0</v>
      </c>
      <c r="AD22" s="1">
        <f t="shared" si="5"/>
        <v>0</v>
      </c>
      <c r="AE22" s="1">
        <f t="shared" si="6"/>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9">
        <f t="shared" si="7"/>
        <v>0</v>
      </c>
      <c r="BC22" s="1">
        <f t="shared" si="24"/>
        <v>0</v>
      </c>
      <c r="BD22" s="1">
        <f t="shared" si="8"/>
        <v>0</v>
      </c>
      <c r="BE22" s="1">
        <f t="shared" si="9"/>
        <v>0</v>
      </c>
      <c r="BF22" s="1">
        <f t="shared" si="10"/>
        <v>0</v>
      </c>
      <c r="BG22" s="210" t="str">
        <f>IF(AND(C22="Skema 1",B22="ma"),Skemaoplysninger!$E$30,"")</f>
        <v/>
      </c>
      <c r="BH22" s="210" t="str">
        <f>IF(AND(C22="Skema 1",B22="ti"),Skemaoplysninger!$G$30,"")</f>
        <v/>
      </c>
      <c r="BI22" s="210" t="str">
        <f>IF(AND(C22="Skema 1",B22="on"),Skemaoplysninger!$I$30,"")</f>
        <v/>
      </c>
      <c r="BJ22" s="210" t="str">
        <f>IF(AND(C22="Skema 1",B22="to"),Skemaoplysninger!$K$30,"")</f>
        <v/>
      </c>
      <c r="BK22" s="210" t="str">
        <f>IF(AND(C22="Skema 1",B22="fr"),Skemaoplysninger!$M$30,"")</f>
        <v/>
      </c>
      <c r="BL22" s="210" t="str">
        <f>IF(AND(C22="Skema 2",B22="ma"),Skemaoplysninger!$S$30,"")</f>
        <v/>
      </c>
      <c r="BM22" s="210" t="str">
        <f>IF(AND(C22="Skema 2",B22="ti"),Skemaoplysninger!$U$30,"")</f>
        <v/>
      </c>
      <c r="BN22" s="210" t="str">
        <f>IF(AND(C22="Skema 2",B22="on"),Skemaoplysninger!$W$30,"")</f>
        <v/>
      </c>
      <c r="BO22" s="210" t="str">
        <f>IF(AND(C22="Skema 2",B22="to"),Skemaoplysninger!$Y$30,"")</f>
        <v/>
      </c>
      <c r="BP22" s="210" t="str">
        <f>IF(AND(C22="Skema 2",B22="fr"),Skemaoplysninger!$AA$30,"")</f>
        <v/>
      </c>
      <c r="BQ22" s="210" t="str">
        <f>IF(AND(C22="Skema 3",B22="ma"),Skemaoplysninger!$AG$30,"")</f>
        <v/>
      </c>
      <c r="BR22" s="210" t="str">
        <f>IF(AND(C22="Skema 3",B22="ti"),Skemaoplysninger!$AI$30,"")</f>
        <v/>
      </c>
      <c r="BS22" s="210" t="str">
        <f>IF(AND(C22="Skema 3",B22="on"),Skemaoplysninger!$AK$30,"")</f>
        <v/>
      </c>
      <c r="BT22" s="210" t="str">
        <f>IF(AND(C22="Skema 3",B22="to"),Skemaoplysninger!$AM$30,"")</f>
        <v/>
      </c>
      <c r="BU22" s="210" t="str">
        <f>IF(AND(C22="Skema 3",B22="fr"),Skemaoplysninger!$AO$30,"")</f>
        <v/>
      </c>
      <c r="BV22" s="210" t="str">
        <f>IF(AND(C22="Skema 4",B22="ma"),Skemaoplysninger!$AU$30,"")</f>
        <v/>
      </c>
      <c r="BW22" s="210" t="str">
        <f>IF(AND(C22="Skema 4",B22="ti"),Skemaoplysninger!$AW$30,"")</f>
        <v/>
      </c>
      <c r="BX22" s="210" t="str">
        <f>IF(AND(C22="Skema 4",B22="on"),Skemaoplysninger!$AY$30,"")</f>
        <v/>
      </c>
      <c r="BY22" s="210" t="str">
        <f>IF(AND(C22="Skema 4",B22="to"),Skemaoplysninger!$BA$30,"")</f>
        <v/>
      </c>
      <c r="BZ22" s="210" t="str">
        <f>IF(AND(C22="Skema 4",B22="fr"),Skemaoplysninger!$BC$30,"")</f>
        <v/>
      </c>
      <c r="CA22" s="1">
        <f t="shared" si="25"/>
        <v>0</v>
      </c>
      <c r="CB22" s="1">
        <f t="shared" si="11"/>
        <v>0</v>
      </c>
      <c r="CC22" s="1">
        <f t="shared" si="12"/>
        <v>0</v>
      </c>
      <c r="CD22" s="210" t="str">
        <f>IF(AND(C22="Skema 1",B22="ma"),Skemaoplysninger!$E$31,"")</f>
        <v/>
      </c>
      <c r="CE22" s="210" t="str">
        <f>IF(AND(C22="Skema 1",B22="ti"),Skemaoplysninger!$G$31,"")</f>
        <v/>
      </c>
      <c r="CF22" s="210" t="str">
        <f>IF(AND(C22="Skema 1",B22="on"),Skemaoplysninger!$I$31,"")</f>
        <v/>
      </c>
      <c r="CG22" s="210" t="str">
        <f>IF(AND(C22="Skema 1",B22="to"),Skemaoplysninger!$K$31,"")</f>
        <v/>
      </c>
      <c r="CH22" s="210" t="str">
        <f>IF(AND(C22="Skema 1",B22="fr"),Skemaoplysninger!$M$31,"")</f>
        <v/>
      </c>
      <c r="CI22" s="210" t="str">
        <f>IF(AND(C22="Skema 2",B22="ma"),Skemaoplysninger!$S$31,"")</f>
        <v/>
      </c>
      <c r="CJ22" s="210" t="str">
        <f>IF(AND(C22="Skema 2",B22="ti"),Skemaoplysninger!$U$31,"")</f>
        <v/>
      </c>
      <c r="CK22" s="210" t="str">
        <f>IF(AND(C22="Skema 2",B22="on"),Skemaoplysninger!$W$31,"")</f>
        <v/>
      </c>
      <c r="CL22" s="210" t="str">
        <f>IF(AND(C22="Skema 2",B22="to"),Skemaoplysninger!$Y$31,"")</f>
        <v/>
      </c>
      <c r="CM22" s="210" t="str">
        <f>IF(AND(C22="Skema 2",B22="fr"),Skemaoplysninger!$AA$31,"")</f>
        <v/>
      </c>
      <c r="CN22" s="210" t="str">
        <f>IF(AND(C22="Skema 3",B22="ma"),Skemaoplysninger!$AG$31,"")</f>
        <v/>
      </c>
      <c r="CO22" s="210" t="str">
        <f>IF(AND(C22="Skema 3",B22="ti"),Skemaoplysninger!$AI$31,"")</f>
        <v/>
      </c>
      <c r="CP22" s="210" t="str">
        <f>IF(AND(C22="Skema 3",B22="on"),Skemaoplysninger!$AK$31,"")</f>
        <v/>
      </c>
      <c r="CQ22" s="210" t="str">
        <f>IF(AND(C22="Skema 3",B22="to"),Skemaoplysninger!$AM$31,"")</f>
        <v/>
      </c>
      <c r="CR22" s="210" t="str">
        <f>IF(AND(C22="Skema 3",B22="fr"),Skemaoplysninger!$AO$31,"")</f>
        <v/>
      </c>
      <c r="CS22" s="210" t="str">
        <f>IF(AND(C22="Skema 4",B22="ma"),Skemaoplysninger!$AU$31,"")</f>
        <v/>
      </c>
      <c r="CT22" s="210" t="str">
        <f>IF(AND(C22="Skema 4",B22="ti"),Skemaoplysninger!$AW$31,"")</f>
        <v/>
      </c>
      <c r="CU22" s="210" t="str">
        <f>IF(AND(C22="Skema 4",B22="on"),Skemaoplysninger!$AY$31,"")</f>
        <v/>
      </c>
      <c r="CV22" s="210" t="str">
        <f>IF(AND(C22="Skema 4",B22="to"),Skemaoplysninger!$BA$31,"")</f>
        <v/>
      </c>
      <c r="CW22" s="210" t="str">
        <f>IF(AND(C22="Skema 4",B22="fr"),Skemaoplysninger!$BC$31,"")</f>
        <v/>
      </c>
      <c r="CX22" s="249">
        <f>IF(Stamoplysninger!$H$29="NEJ",SUM(CD22:CW22)*24+CB22+CC22,0)</f>
        <v>0</v>
      </c>
      <c r="CY22" s="249">
        <f>IF(C22="Skema 1",Stamoplysninger!$H$30/200,0)</f>
        <v>0</v>
      </c>
      <c r="CZ22" s="249">
        <f>IF(C22="Skema 2",Stamoplysninger!$H$30/200,0)</f>
        <v>0</v>
      </c>
      <c r="DA22" s="249">
        <f>IF(C22="Skema 3",Stamoplysninger!$H$30/200,0)</f>
        <v>0</v>
      </c>
      <c r="DB22" s="249">
        <f>IF(C22="Skema 4",Stamoplysninger!$H$30/200,0)</f>
        <v>0</v>
      </c>
      <c r="DC22" s="249">
        <f>IF(C22="fagdag",Stamoplysninger!$H$30/200,0)</f>
        <v>0</v>
      </c>
      <c r="DD22" s="249">
        <f>IF(C22="emnedag",Stamoplysninger!$H$30/200,0)</f>
        <v>0</v>
      </c>
      <c r="DE22" s="249">
        <f>IF(C22="lejrskole",Stamoplysninger!$H$30/200,0)</f>
        <v>0</v>
      </c>
      <c r="DF22" s="249">
        <f>IF(C22="ekskursion",Stamoplysninger!$H$30/200,0)</f>
        <v>0</v>
      </c>
      <c r="DG22" s="249">
        <f t="shared" si="26"/>
        <v>0</v>
      </c>
      <c r="DH22" t="str">
        <f t="shared" si="27"/>
        <v/>
      </c>
      <c r="DI22">
        <f t="shared" si="28"/>
        <v>0</v>
      </c>
      <c r="DJ22">
        <f t="shared" si="29"/>
        <v>0</v>
      </c>
      <c r="DK22" t="str">
        <f t="shared" si="13"/>
        <v/>
      </c>
      <c r="DL22" t="str">
        <f t="shared" si="13"/>
        <v/>
      </c>
      <c r="DM22" t="str">
        <f t="shared" si="13"/>
        <v/>
      </c>
      <c r="DN22" t="str">
        <f t="shared" si="30"/>
        <v/>
      </c>
      <c r="DO22" s="652">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71">
        <f>IF(AND(Stamoplysninger!$B$22="Ulempetillæg udbetales med 25% af nettotimelønnen.",C22="ikke relevant"),(R22)/4,0)</f>
        <v>0</v>
      </c>
      <c r="DT22" s="671">
        <f>IF(AND(AND(Stamoplysninger!$B$22="Ulempetillæg udbetales med 25% af nettotimelønnen.",I22="X",C22="Ikke relevant")),K22/4,0)</f>
        <v>0</v>
      </c>
      <c r="DU22" s="671">
        <f>IF(AND(AND(Stamoplysninger!$B$22="Ulempetillæg udbetales med 25% af nettotimelønnen.",C22="ikke relevant",U22="X")),(X22/4),0)</f>
        <v>0</v>
      </c>
      <c r="DV22" s="672">
        <f>IF(AND(AND(AND(Stamoplysninger!$B$22="Ulempetillæg udbetales med 25% af nettotimelønnen.",I22="X",C22="Ikke relevant",S22="X"))),V22/4,0)</f>
        <v>0</v>
      </c>
      <c r="DW22" s="652"/>
      <c r="DZ22" s="671"/>
      <c r="EA22" s="671"/>
      <c r="EB22" s="672"/>
      <c r="EC22" s="652">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71">
        <f>IF(AND(Stamoplysninger!$B$22="Ulempetillæg afspadseres med 25%(Kræver en aftale imellem ledelsen og den ansatte)",C22="ikke relevant"),(R22)/4,0)</f>
        <v>0</v>
      </c>
      <c r="EH22" s="671">
        <f>IF(AND(AND(Stamoplysninger!$B$22="Ulempetillæg afspadseres med 25%(Kræver en aftale imellem ledelsen og den ansatte)",I22="X",C22="Ikke relevant")),K22/4,0)</f>
        <v>0</v>
      </c>
      <c r="EI22" s="671">
        <f>IF(AND(AND(Stamoplysninger!$B$22="Ulempetillæg afspadseres med 25%(Kræver en aftale imellem ledelsen og den ansatte)",U22="X",C22="Ikke relevant")),X22/4,0)</f>
        <v>0</v>
      </c>
      <c r="EJ22" s="671">
        <f>IF(AND(AND(AND(Stamoplysninger!$B$22="Ulempetillæg afspadseres med 25%(Kræver en aftale imellem ledelsen og den ansatte)",I22="X",C22="Ikke relevant",S22="X"))),V22/4,0)</f>
        <v>0</v>
      </c>
      <c r="EK22" s="283">
        <f>IF(AND(Stamoplysninger!$B$26="Weekendtimer og weekendtillæg afspadseres.",I22="X"),K22*1.5,0)</f>
        <v>0</v>
      </c>
      <c r="EL22" s="251">
        <f>IF(AND(AND(Stamoplysninger!$B$26="Weekendtimer og weekendtillæg afspadseres.",I22="X",S22="X")),V22*1.5,0)</f>
        <v>0</v>
      </c>
      <c r="EM22" s="674">
        <f>IF(AND(AND(Stamoplysninger!$B$26="Weekendtimer og weekendtillæg afspadseres.",I22="X",C22="ikke relevant")),K22*1.5,0)</f>
        <v>0</v>
      </c>
      <c r="EN22" s="675">
        <f>IF(AND(AND(AND(Stamoplysninger!$B$26="Weekendtimer og weekendtillæg afspadseres.",I22="X",C22="ikke relevant",S22="X"))),(V22*1.5),0)</f>
        <v>0</v>
      </c>
      <c r="EO22" s="283">
        <f>IF(AND(Stamoplysninger!$B$26="Weekendtimer og weekendtillæg udbetales.",I22="X"),K22*1.5,0)</f>
        <v>0</v>
      </c>
      <c r="EP22" s="251">
        <f>IF(AND(AND(Stamoplysninger!$B$26="Weekendtimer og weekendtillæg udbetales.",I22="X",S22="X")),V22*1.5,0)</f>
        <v>0</v>
      </c>
      <c r="EQ22" s="674">
        <f>IF(AND(AND(Stamoplysninger!$B$26="Weekendtimer og weekendtillæg udbetales.",I22="X",C22="ikke relevant")),K22*1.5,0)</f>
        <v>0</v>
      </c>
      <c r="ER22" s="675">
        <f>IF(AND(AND(AND(Stamoplysninger!$B$26="Weekendtimer og weekendtillæg udbetales.",I22="X",C22="ikke relevant",S22="X"))),(V22*1.5),0)</f>
        <v>0</v>
      </c>
      <c r="ES22" s="283">
        <f>IF(AND(Stamoplysninger!$B$26="Der er indgået lokalaftale omkring weekendtimer.(Kræver aftale med TR/FSL) Weekendtillæg afspadseres.",I22="X"),K22*0.5,0)</f>
        <v>0</v>
      </c>
      <c r="ET22" s="251">
        <f>IF(AND(AND(Stamoplysninger!$B$26="Der er indgået lokalaftale omkring weekendtimer.(Kræver aftale med TR/FSL) Weekendtillæg afspadseres.",I22="X",S22="X")),V22*0.5,0)</f>
        <v>0</v>
      </c>
      <c r="EU22" s="674">
        <f>IF(AND(AND(Stamoplysninger!$B$26="Der er indgået lokalaftale omkring weekendtimer.(Kræver aftale med TR/FSL) Weekendtillæg afspadseres.",I22="X",C22="ikke relevant")),K22*0.5,0)</f>
        <v>0</v>
      </c>
      <c r="EV22" s="675">
        <f>IF(AND(AND(AND(Stamoplysninger!$B$26="Der er indgået lokalaftale omkring weekendtimer.(Kræver aftale med TR/FSL) Weekendtillæg afspadseres.",I22="X",C22="ikke relevant",S22="X"))),(V22*0.5),0)</f>
        <v>0</v>
      </c>
      <c r="EW22" s="283">
        <f>IF(AND(Stamoplysninger!$B$26="Der er indgået lokalaftale omkring weekendtimer(Kræver aftale med TR/FSL). Weekendtillæg udbetales.",I22="X"),K22*0.5,0)</f>
        <v>0</v>
      </c>
      <c r="EX22" s="251">
        <f>IF(AND(AND(Stamoplysninger!$B$26="Der er indgået lokalaftale omkring weekendtimer(Kræver aftale med TR/FSL). Weekendtillæg udbetales.",I22="X",S22="X")),V22*0.5,0)</f>
        <v>0</v>
      </c>
      <c r="EY22" s="674">
        <f>IF(AND(AND(Stamoplysninger!$B$26="Der er indgået lokalaftale omkring weekendtimer(Kræver aftale med TR/FSL). Weekendtillæg udbetales.",I22="X",C22="ikke relevant")),K22*0.5,0)</f>
        <v>0</v>
      </c>
      <c r="EZ22" s="675">
        <f>IF(AND(AND(AND(Stamoplysninger!$B$26="Der er indgået lokalaftale omkring weekendtimer(Kræver aftale med TR/FSL). Weekendtillæg udbetales.",I22="X",C22="ikke relevant",S22="X"))),(V22*0.5),0)</f>
        <v>0</v>
      </c>
      <c r="FA22" s="283">
        <f>IF(AND(Stamoplysninger!$B$26="Der er indgået lokalaftale omkring weekendtillæg(Kræver aftale med TR/FSL). Weekendtimerne afspadseres.",I22="X"),K22,0)</f>
        <v>0</v>
      </c>
      <c r="FB22" s="251">
        <f>IF(AND(AND(Stamoplysninger!$B$26="Der er indgået lokalaftale omkring weekendtillæg(Kræver aftale med TR/FSL). Weekendtimerne afspadseres.",I22="X",S22="X")),V22,0)</f>
        <v>0</v>
      </c>
      <c r="FC22" s="674">
        <f>IF(AND(AND(Stamoplysninger!$B$26="Der er indgået lokalaftale omkring weekendtillæg(Kræver aftale med TR/FSL). Weekendtimerne afspadseres..",I22="X",C22="ikke relevant")),K22,0)</f>
        <v>0</v>
      </c>
      <c r="FD22" s="675">
        <f>IF(AND(AND(AND(Stamoplysninger!$B$26="Der er indgået lokalaftale omkring weekendtillæg(Kræver aftale med TR/FSL). Weekendtimerne afspadseres.",I22="X",C22="ikke relevant",S22="X"))),(V22),0)</f>
        <v>0</v>
      </c>
      <c r="FE22" s="283">
        <f>IF(AND(Stamoplysninger!$B$26="Der er indgået lokalaftale omkring weekendtillæg(Kræver aftale med TR/FSL). Weekendtimerne udbetales.",I22="X"),K22,0)</f>
        <v>0</v>
      </c>
      <c r="FF22" s="251">
        <f>IF(AND(AND(Stamoplysninger!$B$26="Der er indgået lokalaftale omkring weekendtillæg(Kræver aftale med TR/FSL). Weekendtimerne udbetales.",I22="X",S22="X")),V22,0)</f>
        <v>0</v>
      </c>
      <c r="FG22" s="674">
        <f>IF(AND(AND(Stamoplysninger!$B$26="Der er indgået lokalaftale omkring weekendtillæg(Kræver aftale med TR/FSL). Weekendtimerne udbetales.",I22="X",C22="ikke relevant")),K22,0)</f>
        <v>0</v>
      </c>
      <c r="FH22" s="675">
        <f>IF(AND(AND(AND(Stamoplysninger!$B$26="Der er indgået lokalaftale omkring weekendtillæg(Kræver aftale med TR/FSL). Weekendtimerne udbetales.",I22="X",C22="ikke relevant",S22="X"))),(V22),0)</f>
        <v>0</v>
      </c>
      <c r="FI22" s="283">
        <f>IF(AND(Stamoplysninger!$B$26="Weekendtimer og weekendtillæg afspadseres.",I22="X"),K22,0)</f>
        <v>0</v>
      </c>
      <c r="FJ22" s="251">
        <f>IF(AND(Stamoplysninger!$B$26="Weekendtimer og weekendtillæg afspadseres.",Y22="X"),(AA22+AL22)/2,0)</f>
        <v>0</v>
      </c>
      <c r="FK22" s="674">
        <f>IF(AND(AND(Stamoplysninger!$B$26="Weekendtimer og weekendtillæg afspadseres.",I22="X",C22="ikke relevant")),K22,0)</f>
        <v>0</v>
      </c>
      <c r="FL22" s="675">
        <f>IF(AND(AND(Stamoplysninger!$B$26="Weekendtimer og weekendtillæg afspadseres.",Y22="X",S22="ikke relevant")),(AA22+AL22)/2,0)</f>
        <v>0</v>
      </c>
      <c r="FM22" s="283">
        <f>IF(AND(Stamoplysninger!$B$26="Der er indgået lokalaftale omkring weekendtillæg(Kræver aftale med TR/FSL). Weekendtimerne afspadseres.",I22="X"),K22,0)</f>
        <v>0</v>
      </c>
      <c r="FN22" s="674">
        <f>IF(AND(AND(Stamoplysninger!$B$26="Der er indgået lokalaftale omkring weekendtillæg(Kræver aftale med TR/FSL). Weekendtimerne afspadseres.",I22="X",C22="ikke relevant")),K22,0)</f>
        <v>0</v>
      </c>
      <c r="FO22" s="283">
        <f>IF(AND(Stamoplysninger!$B$26="Weekendtimer og weekendtillæg udbetales.",I22="X"),K22,0)</f>
        <v>0</v>
      </c>
      <c r="FP22" s="251">
        <f>IF(AND(Stamoplysninger!$B$26="Weekendtimer og weekendtillæg udbetales.",AA22="X"),(AC22+AN22)/2,0)</f>
        <v>0</v>
      </c>
      <c r="FQ22" s="674">
        <f>IF(AND(AND(Stamoplysninger!$B$26="Weekendtimer og weekendtillæg udbetales.",I22="X",C22="ikke relevant")),K22,0)</f>
        <v>0</v>
      </c>
      <c r="FR22" s="688">
        <f>IF(AND(AND(Stamoplysninger!$B$26="Weekendtimer og weekendtillæg udbetales.",AA22="X",U22="ikke relevant")),(AC22+AN22)/2,0)</f>
        <v>0</v>
      </c>
      <c r="FS22" s="283">
        <f t="shared" si="14"/>
        <v>0</v>
      </c>
      <c r="FT22" s="658">
        <f t="shared" si="15"/>
        <v>0</v>
      </c>
      <c r="FU22">
        <f t="shared" si="16"/>
        <v>0</v>
      </c>
      <c r="FV22" s="283">
        <f>IF(AND(Stamoplysninger!$B$26="Der er indgået lokalaftale omkring weekendtimer.(Kræver aftale med TR/FSL) Weekendtillæg afspadseres.",I22="X"),K22,0)</f>
        <v>0</v>
      </c>
      <c r="FW22" s="674">
        <f>IF(AND(AND(Stamoplysninger!$B$26="Der er indgået lokalaftale omkring weekendtimer.(Kræver aftale med TR/FSL) Weekendtillæg afspadseres.",I22="X",C22="ikke relevant")),K22,0)</f>
        <v>0</v>
      </c>
      <c r="FX22" s="283">
        <f>IF(AND(Stamoplysninger!$B$26="Der er indgået lokalaftale omkring weekendtimer(Kræver aftale med TR/FSL). Weekendtillæg udbetales.",I22="X"),K22,0)</f>
        <v>0</v>
      </c>
      <c r="FY22" s="674">
        <f>IF(AND(AND(Stamoplysninger!$B$26="Der er indgået lokalaftale omkring weekendtimer(Kræver aftale med TR/FSL). Weekendtillæg udbetales.",I22="X",C22="ikke relevant")),K22,0)</f>
        <v>0</v>
      </c>
      <c r="FZ22" s="283">
        <f>IF(AND(Stamoplysninger!$B$26="Der er indgået lokalaftale omkring weekendtillæg(Kræver aftale med TR/FSL). Weekendtimerne udbetales.",I22="X"),K22,0)</f>
        <v>0</v>
      </c>
      <c r="GA22" s="674">
        <f>IF(AND(AND(Stamoplysninger!$B$26="Der er indgået lokalaftale omkring weekendtillæg(Kræver aftale med TR/FSL). Weekendtimerne udbetales.",I22="X",C22="ikke relevant")),K22,0)</f>
        <v>0</v>
      </c>
      <c r="GB22" s="283">
        <f>IF(AND(Stamoplysninger!$B$26="Der er indgået lokalaftale omkring weekendtimer og weekendtillæg.(Kræver aftale med TR/FSL).",I22="X"),K22,0)</f>
        <v>0</v>
      </c>
      <c r="GC22" s="674">
        <f>IF(AND(AND(Stamoplysninger!$B$26="Der er indgået lokalaftale omkring weekendtimer og weekendtillæg.(Kræver aftale med TR/FSL).",I22="X",C22="ikke relevant")),K22,0)</f>
        <v>0</v>
      </c>
    </row>
    <row r="23" spans="1:185">
      <c r="A23" s="245">
        <f t="shared" si="17"/>
        <v>15</v>
      </c>
      <c r="B23" s="128" t="str">
        <f t="shared" si="0"/>
        <v>sø</v>
      </c>
      <c r="C23" s="129" t="s">
        <v>120</v>
      </c>
      <c r="D23" s="130" t="str">
        <f t="shared" si="1"/>
        <v/>
      </c>
      <c r="E23" s="949"/>
      <c r="F23" s="950"/>
      <c r="G23" s="951"/>
      <c r="H23" s="297"/>
      <c r="I23" s="413"/>
      <c r="J23" s="413"/>
      <c r="K23" s="380"/>
      <c r="L23" s="380"/>
      <c r="M23" s="380"/>
      <c r="N23" s="318">
        <f t="shared" si="18"/>
        <v>0</v>
      </c>
      <c r="O23" s="318">
        <f t="shared" si="19"/>
        <v>0</v>
      </c>
      <c r="P23" s="318">
        <f>IF(Stamoplysninger!$H$29="JA",Juni!DG23,CX23)</f>
        <v>0</v>
      </c>
      <c r="Q23" s="318">
        <f t="shared" si="20"/>
        <v>0</v>
      </c>
      <c r="R23" s="319"/>
      <c r="S23" s="324"/>
      <c r="T23" s="325"/>
      <c r="U23" s="325"/>
      <c r="V23" s="435"/>
      <c r="W23" s="435"/>
      <c r="X23" s="644"/>
      <c r="Y23">
        <f t="shared" si="21"/>
        <v>0</v>
      </c>
      <c r="Z23" s="437">
        <f t="shared" si="22"/>
        <v>0</v>
      </c>
      <c r="AA23" s="1">
        <f t="shared" si="2"/>
        <v>0</v>
      </c>
      <c r="AB23" s="1">
        <f t="shared" si="3"/>
        <v>0</v>
      </c>
      <c r="AC23" s="1">
        <f t="shared" si="4"/>
        <v>0</v>
      </c>
      <c r="AD23" s="1">
        <f t="shared" si="5"/>
        <v>0</v>
      </c>
      <c r="AE23" s="1">
        <f t="shared" si="6"/>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9">
        <f t="shared" si="7"/>
        <v>0</v>
      </c>
      <c r="BC23" s="1">
        <f t="shared" si="24"/>
        <v>0</v>
      </c>
      <c r="BD23" s="1">
        <f t="shared" si="8"/>
        <v>0</v>
      </c>
      <c r="BE23" s="1">
        <f t="shared" si="9"/>
        <v>0</v>
      </c>
      <c r="BF23" s="1">
        <f t="shared" si="10"/>
        <v>0</v>
      </c>
      <c r="BG23" s="210" t="str">
        <f>IF(AND(C23="Skema 1",B23="ma"),Skemaoplysninger!$E$30,"")</f>
        <v/>
      </c>
      <c r="BH23" s="210" t="str">
        <f>IF(AND(C23="Skema 1",B23="ti"),Skemaoplysninger!$G$30,"")</f>
        <v/>
      </c>
      <c r="BI23" s="210" t="str">
        <f>IF(AND(C23="Skema 1",B23="on"),Skemaoplysninger!$I$30,"")</f>
        <v/>
      </c>
      <c r="BJ23" s="210" t="str">
        <f>IF(AND(C23="Skema 1",B23="to"),Skemaoplysninger!$K$30,"")</f>
        <v/>
      </c>
      <c r="BK23" s="210" t="str">
        <f>IF(AND(C23="Skema 1",B23="fr"),Skemaoplysninger!$M$30,"")</f>
        <v/>
      </c>
      <c r="BL23" s="210" t="str">
        <f>IF(AND(C23="Skema 2",B23="ma"),Skemaoplysninger!$S$30,"")</f>
        <v/>
      </c>
      <c r="BM23" s="210" t="str">
        <f>IF(AND(C23="Skema 2",B23="ti"),Skemaoplysninger!$U$30,"")</f>
        <v/>
      </c>
      <c r="BN23" s="210" t="str">
        <f>IF(AND(C23="Skema 2",B23="on"),Skemaoplysninger!$W$30,"")</f>
        <v/>
      </c>
      <c r="BO23" s="210" t="str">
        <f>IF(AND(C23="Skema 2",B23="to"),Skemaoplysninger!$Y$30,"")</f>
        <v/>
      </c>
      <c r="BP23" s="210" t="str">
        <f>IF(AND(C23="Skema 2",B23="fr"),Skemaoplysninger!$AA$30,"")</f>
        <v/>
      </c>
      <c r="BQ23" s="210" t="str">
        <f>IF(AND(C23="Skema 3",B23="ma"),Skemaoplysninger!$AG$30,"")</f>
        <v/>
      </c>
      <c r="BR23" s="210" t="str">
        <f>IF(AND(C23="Skema 3",B23="ti"),Skemaoplysninger!$AI$30,"")</f>
        <v/>
      </c>
      <c r="BS23" s="210" t="str">
        <f>IF(AND(C23="Skema 3",B23="on"),Skemaoplysninger!$AK$30,"")</f>
        <v/>
      </c>
      <c r="BT23" s="210" t="str">
        <f>IF(AND(C23="Skema 3",B23="to"),Skemaoplysninger!$AM$30,"")</f>
        <v/>
      </c>
      <c r="BU23" s="210" t="str">
        <f>IF(AND(C23="Skema 3",B23="fr"),Skemaoplysninger!$AO$30,"")</f>
        <v/>
      </c>
      <c r="BV23" s="210" t="str">
        <f>IF(AND(C23="Skema 4",B23="ma"),Skemaoplysninger!$AU$30,"")</f>
        <v/>
      </c>
      <c r="BW23" s="210" t="str">
        <f>IF(AND(C23="Skema 4",B23="ti"),Skemaoplysninger!$AW$30,"")</f>
        <v/>
      </c>
      <c r="BX23" s="210" t="str">
        <f>IF(AND(C23="Skema 4",B23="on"),Skemaoplysninger!$AY$30,"")</f>
        <v/>
      </c>
      <c r="BY23" s="210" t="str">
        <f>IF(AND(C23="Skema 4",B23="to"),Skemaoplysninger!$BA$30,"")</f>
        <v/>
      </c>
      <c r="BZ23" s="210" t="str">
        <f>IF(AND(C23="Skema 4",B23="fr"),Skemaoplysninger!$BC$30,"")</f>
        <v/>
      </c>
      <c r="CA23" s="1">
        <f t="shared" si="25"/>
        <v>0</v>
      </c>
      <c r="CB23" s="1">
        <f t="shared" si="11"/>
        <v>0</v>
      </c>
      <c r="CC23" s="1">
        <f t="shared" si="12"/>
        <v>0</v>
      </c>
      <c r="CD23" s="210" t="str">
        <f>IF(AND(C23="Skema 1",B23="ma"),Skemaoplysninger!$E$31,"")</f>
        <v/>
      </c>
      <c r="CE23" s="210" t="str">
        <f>IF(AND(C23="Skema 1",B23="ti"),Skemaoplysninger!$G$31,"")</f>
        <v/>
      </c>
      <c r="CF23" s="210" t="str">
        <f>IF(AND(C23="Skema 1",B23="on"),Skemaoplysninger!$I$31,"")</f>
        <v/>
      </c>
      <c r="CG23" s="210" t="str">
        <f>IF(AND(C23="Skema 1",B23="to"),Skemaoplysninger!$K$31,"")</f>
        <v/>
      </c>
      <c r="CH23" s="210" t="str">
        <f>IF(AND(C23="Skema 1",B23="fr"),Skemaoplysninger!$M$31,"")</f>
        <v/>
      </c>
      <c r="CI23" s="210" t="str">
        <f>IF(AND(C23="Skema 2",B23="ma"),Skemaoplysninger!$S$31,"")</f>
        <v/>
      </c>
      <c r="CJ23" s="210" t="str">
        <f>IF(AND(C23="Skema 2",B23="ti"),Skemaoplysninger!$U$31,"")</f>
        <v/>
      </c>
      <c r="CK23" s="210" t="str">
        <f>IF(AND(C23="Skema 2",B23="on"),Skemaoplysninger!$W$31,"")</f>
        <v/>
      </c>
      <c r="CL23" s="210" t="str">
        <f>IF(AND(C23="Skema 2",B23="to"),Skemaoplysninger!$Y$31,"")</f>
        <v/>
      </c>
      <c r="CM23" s="210" t="str">
        <f>IF(AND(C23="Skema 2",B23="fr"),Skemaoplysninger!$AA$31,"")</f>
        <v/>
      </c>
      <c r="CN23" s="210" t="str">
        <f>IF(AND(C23="Skema 3",B23="ma"),Skemaoplysninger!$AG$31,"")</f>
        <v/>
      </c>
      <c r="CO23" s="210" t="str">
        <f>IF(AND(C23="Skema 3",B23="ti"),Skemaoplysninger!$AI$31,"")</f>
        <v/>
      </c>
      <c r="CP23" s="210" t="str">
        <f>IF(AND(C23="Skema 3",B23="on"),Skemaoplysninger!$AK$31,"")</f>
        <v/>
      </c>
      <c r="CQ23" s="210" t="str">
        <f>IF(AND(C23="Skema 3",B23="to"),Skemaoplysninger!$AM$31,"")</f>
        <v/>
      </c>
      <c r="CR23" s="210" t="str">
        <f>IF(AND(C23="Skema 3",B23="fr"),Skemaoplysninger!$AO$31,"")</f>
        <v/>
      </c>
      <c r="CS23" s="210" t="str">
        <f>IF(AND(C23="Skema 4",B23="ma"),Skemaoplysninger!$AU$31,"")</f>
        <v/>
      </c>
      <c r="CT23" s="210" t="str">
        <f>IF(AND(C23="Skema 4",B23="ti"),Skemaoplysninger!$AW$31,"")</f>
        <v/>
      </c>
      <c r="CU23" s="210" t="str">
        <f>IF(AND(C23="Skema 4",B23="on"),Skemaoplysninger!$AY$31,"")</f>
        <v/>
      </c>
      <c r="CV23" s="210" t="str">
        <f>IF(AND(C23="Skema 4",B23="to"),Skemaoplysninger!$BA$31,"")</f>
        <v/>
      </c>
      <c r="CW23" s="210" t="str">
        <f>IF(AND(C23="Skema 4",B23="fr"),Skemaoplysninger!$BC$31,"")</f>
        <v/>
      </c>
      <c r="CX23" s="249">
        <f>IF(Stamoplysninger!$H$29="NEJ",SUM(CD23:CW23)*24+CB23+CC23,0)</f>
        <v>0</v>
      </c>
      <c r="CY23" s="249">
        <f>IF(C23="Skema 1",Stamoplysninger!$H$30/200,0)</f>
        <v>0</v>
      </c>
      <c r="CZ23" s="249">
        <f>IF(C23="Skema 2",Stamoplysninger!$H$30/200,0)</f>
        <v>0</v>
      </c>
      <c r="DA23" s="249">
        <f>IF(C23="Skema 3",Stamoplysninger!$H$30/200,0)</f>
        <v>0</v>
      </c>
      <c r="DB23" s="249">
        <f>IF(C23="Skema 4",Stamoplysninger!$H$30/200,0)</f>
        <v>0</v>
      </c>
      <c r="DC23" s="249">
        <f>IF(C23="fagdag",Stamoplysninger!$H$30/200,0)</f>
        <v>0</v>
      </c>
      <c r="DD23" s="249">
        <f>IF(C23="emnedag",Stamoplysninger!$H$30/200,0)</f>
        <v>0</v>
      </c>
      <c r="DE23" s="249">
        <f>IF(C23="lejrskole",Stamoplysninger!$H$30/200,0)</f>
        <v>0</v>
      </c>
      <c r="DF23" s="249">
        <f>IF(C23="ekskursion",Stamoplysninger!$H$30/200,0)</f>
        <v>0</v>
      </c>
      <c r="DG23" s="249">
        <f t="shared" si="26"/>
        <v>0</v>
      </c>
      <c r="DH23" t="str">
        <f t="shared" si="27"/>
        <v/>
      </c>
      <c r="DI23">
        <f t="shared" si="28"/>
        <v>0</v>
      </c>
      <c r="DJ23">
        <f t="shared" si="29"/>
        <v>0</v>
      </c>
      <c r="DK23" t="str">
        <f t="shared" si="13"/>
        <v/>
      </c>
      <c r="DL23" t="str">
        <f t="shared" si="13"/>
        <v/>
      </c>
      <c r="DM23" t="str">
        <f t="shared" si="13"/>
        <v/>
      </c>
      <c r="DN23" t="str">
        <f t="shared" si="30"/>
        <v/>
      </c>
      <c r="DO23" s="652">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71">
        <f>IF(AND(Stamoplysninger!$B$22="Ulempetillæg udbetales med 25% af nettotimelønnen.",C23="ikke relevant"),(R23)/4,0)</f>
        <v>0</v>
      </c>
      <c r="DT23" s="671">
        <f>IF(AND(AND(Stamoplysninger!$B$22="Ulempetillæg udbetales med 25% af nettotimelønnen.",I23="X",C23="Ikke relevant")),K23/4,0)</f>
        <v>0</v>
      </c>
      <c r="DU23" s="671">
        <f>IF(AND(AND(Stamoplysninger!$B$22="Ulempetillæg udbetales med 25% af nettotimelønnen.",C23="ikke relevant",U23="X")),(X23/4),0)</f>
        <v>0</v>
      </c>
      <c r="DV23" s="672">
        <f>IF(AND(AND(AND(Stamoplysninger!$B$22="Ulempetillæg udbetales med 25% af nettotimelønnen.",I23="X",C23="Ikke relevant",S23="X"))),V23/4,0)</f>
        <v>0</v>
      </c>
      <c r="DW23" s="652"/>
      <c r="DZ23" s="671"/>
      <c r="EA23" s="671"/>
      <c r="EB23" s="672"/>
      <c r="EC23" s="652">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71">
        <f>IF(AND(Stamoplysninger!$B$22="Ulempetillæg afspadseres med 25%(Kræver en aftale imellem ledelsen og den ansatte)",C23="ikke relevant"),(R23)/4,0)</f>
        <v>0</v>
      </c>
      <c r="EH23" s="671">
        <f>IF(AND(AND(Stamoplysninger!$B$22="Ulempetillæg afspadseres med 25%(Kræver en aftale imellem ledelsen og den ansatte)",I23="X",C23="Ikke relevant")),K23/4,0)</f>
        <v>0</v>
      </c>
      <c r="EI23" s="671">
        <f>IF(AND(AND(Stamoplysninger!$B$22="Ulempetillæg afspadseres med 25%(Kræver en aftale imellem ledelsen og den ansatte)",U23="X",C23="Ikke relevant")),X23/4,0)</f>
        <v>0</v>
      </c>
      <c r="EJ23" s="671">
        <f>IF(AND(AND(AND(Stamoplysninger!$B$22="Ulempetillæg afspadseres med 25%(Kræver en aftale imellem ledelsen og den ansatte)",I23="X",C23="Ikke relevant",S23="X"))),V23/4,0)</f>
        <v>0</v>
      </c>
      <c r="EK23" s="283">
        <f>IF(AND(Stamoplysninger!$B$26="Weekendtimer og weekendtillæg afspadseres.",I23="X"),K23*1.5,0)</f>
        <v>0</v>
      </c>
      <c r="EL23" s="251">
        <f>IF(AND(AND(Stamoplysninger!$B$26="Weekendtimer og weekendtillæg afspadseres.",I23="X",S23="X")),V23*1.5,0)</f>
        <v>0</v>
      </c>
      <c r="EM23" s="674">
        <f>IF(AND(AND(Stamoplysninger!$B$26="Weekendtimer og weekendtillæg afspadseres.",I23="X",C23="ikke relevant")),K23*1.5,0)</f>
        <v>0</v>
      </c>
      <c r="EN23" s="675">
        <f>IF(AND(AND(AND(Stamoplysninger!$B$26="Weekendtimer og weekendtillæg afspadseres.",I23="X",C23="ikke relevant",S23="X"))),(V23*1.5),0)</f>
        <v>0</v>
      </c>
      <c r="EO23" s="283">
        <f>IF(AND(Stamoplysninger!$B$26="Weekendtimer og weekendtillæg udbetales.",I23="X"),K23*1.5,0)</f>
        <v>0</v>
      </c>
      <c r="EP23" s="251">
        <f>IF(AND(AND(Stamoplysninger!$B$26="Weekendtimer og weekendtillæg udbetales.",I23="X",S23="X")),V23*1.5,0)</f>
        <v>0</v>
      </c>
      <c r="EQ23" s="674">
        <f>IF(AND(AND(Stamoplysninger!$B$26="Weekendtimer og weekendtillæg udbetales.",I23="X",C23="ikke relevant")),K23*1.5,0)</f>
        <v>0</v>
      </c>
      <c r="ER23" s="675">
        <f>IF(AND(AND(AND(Stamoplysninger!$B$26="Weekendtimer og weekendtillæg udbetales.",I23="X",C23="ikke relevant",S23="X"))),(V23*1.5),0)</f>
        <v>0</v>
      </c>
      <c r="ES23" s="283">
        <f>IF(AND(Stamoplysninger!$B$26="Der er indgået lokalaftale omkring weekendtimer.(Kræver aftale med TR/FSL) Weekendtillæg afspadseres.",I23="X"),K23*0.5,0)</f>
        <v>0</v>
      </c>
      <c r="ET23" s="251">
        <f>IF(AND(AND(Stamoplysninger!$B$26="Der er indgået lokalaftale omkring weekendtimer.(Kræver aftale med TR/FSL) Weekendtillæg afspadseres.",I23="X",S23="X")),V23*0.5,0)</f>
        <v>0</v>
      </c>
      <c r="EU23" s="674">
        <f>IF(AND(AND(Stamoplysninger!$B$26="Der er indgået lokalaftale omkring weekendtimer.(Kræver aftale med TR/FSL) Weekendtillæg afspadseres.",I23="X",C23="ikke relevant")),K23*0.5,0)</f>
        <v>0</v>
      </c>
      <c r="EV23" s="675">
        <f>IF(AND(AND(AND(Stamoplysninger!$B$26="Der er indgået lokalaftale omkring weekendtimer.(Kræver aftale med TR/FSL) Weekendtillæg afspadseres.",I23="X",C23="ikke relevant",S23="X"))),(V23*0.5),0)</f>
        <v>0</v>
      </c>
      <c r="EW23" s="283">
        <f>IF(AND(Stamoplysninger!$B$26="Der er indgået lokalaftale omkring weekendtimer(Kræver aftale med TR/FSL). Weekendtillæg udbetales.",I23="X"),K23*0.5,0)</f>
        <v>0</v>
      </c>
      <c r="EX23" s="251">
        <f>IF(AND(AND(Stamoplysninger!$B$26="Der er indgået lokalaftale omkring weekendtimer(Kræver aftale med TR/FSL). Weekendtillæg udbetales.",I23="X",S23="X")),V23*0.5,0)</f>
        <v>0</v>
      </c>
      <c r="EY23" s="674">
        <f>IF(AND(AND(Stamoplysninger!$B$26="Der er indgået lokalaftale omkring weekendtimer(Kræver aftale med TR/FSL). Weekendtillæg udbetales.",I23="X",C23="ikke relevant")),K23*0.5,0)</f>
        <v>0</v>
      </c>
      <c r="EZ23" s="675">
        <f>IF(AND(AND(AND(Stamoplysninger!$B$26="Der er indgået lokalaftale omkring weekendtimer(Kræver aftale med TR/FSL). Weekendtillæg udbetales.",I23="X",C23="ikke relevant",S23="X"))),(V23*0.5),0)</f>
        <v>0</v>
      </c>
      <c r="FA23" s="283">
        <f>IF(AND(Stamoplysninger!$B$26="Der er indgået lokalaftale omkring weekendtillæg(Kræver aftale med TR/FSL). Weekendtimerne afspadseres.",I23="X"),K23,0)</f>
        <v>0</v>
      </c>
      <c r="FB23" s="251">
        <f>IF(AND(AND(Stamoplysninger!$B$26="Der er indgået lokalaftale omkring weekendtillæg(Kræver aftale med TR/FSL). Weekendtimerne afspadseres.",I23="X",S23="X")),V23,0)</f>
        <v>0</v>
      </c>
      <c r="FC23" s="674">
        <f>IF(AND(AND(Stamoplysninger!$B$26="Der er indgået lokalaftale omkring weekendtillæg(Kræver aftale med TR/FSL). Weekendtimerne afspadseres..",I23="X",C23="ikke relevant")),K23,0)</f>
        <v>0</v>
      </c>
      <c r="FD23" s="675">
        <f>IF(AND(AND(AND(Stamoplysninger!$B$26="Der er indgået lokalaftale omkring weekendtillæg(Kræver aftale med TR/FSL). Weekendtimerne afspadseres.",I23="X",C23="ikke relevant",S23="X"))),(V23),0)</f>
        <v>0</v>
      </c>
      <c r="FE23" s="283">
        <f>IF(AND(Stamoplysninger!$B$26="Der er indgået lokalaftale omkring weekendtillæg(Kræver aftale med TR/FSL). Weekendtimerne udbetales.",I23="X"),K23,0)</f>
        <v>0</v>
      </c>
      <c r="FF23" s="251">
        <f>IF(AND(AND(Stamoplysninger!$B$26="Der er indgået lokalaftale omkring weekendtillæg(Kræver aftale med TR/FSL). Weekendtimerne udbetales.",I23="X",S23="X")),V23,0)</f>
        <v>0</v>
      </c>
      <c r="FG23" s="674">
        <f>IF(AND(AND(Stamoplysninger!$B$26="Der er indgået lokalaftale omkring weekendtillæg(Kræver aftale med TR/FSL). Weekendtimerne udbetales.",I23="X",C23="ikke relevant")),K23,0)</f>
        <v>0</v>
      </c>
      <c r="FH23" s="675">
        <f>IF(AND(AND(AND(Stamoplysninger!$B$26="Der er indgået lokalaftale omkring weekendtillæg(Kræver aftale med TR/FSL). Weekendtimerne udbetales.",I23="X",C23="ikke relevant",S23="X"))),(V23),0)</f>
        <v>0</v>
      </c>
      <c r="FI23" s="283">
        <f>IF(AND(Stamoplysninger!$B$26="Weekendtimer og weekendtillæg afspadseres.",I23="X"),K23,0)</f>
        <v>0</v>
      </c>
      <c r="FJ23" s="251">
        <f>IF(AND(Stamoplysninger!$B$26="Weekendtimer og weekendtillæg afspadseres.",Y23="X"),(AA23+AL23)/2,0)</f>
        <v>0</v>
      </c>
      <c r="FK23" s="674">
        <f>IF(AND(AND(Stamoplysninger!$B$26="Weekendtimer og weekendtillæg afspadseres.",I23="X",C23="ikke relevant")),K23,0)</f>
        <v>0</v>
      </c>
      <c r="FL23" s="675">
        <f>IF(AND(AND(Stamoplysninger!$B$26="Weekendtimer og weekendtillæg afspadseres.",Y23="X",S23="ikke relevant")),(AA23+AL23)/2,0)</f>
        <v>0</v>
      </c>
      <c r="FM23" s="283">
        <f>IF(AND(Stamoplysninger!$B$26="Der er indgået lokalaftale omkring weekendtillæg(Kræver aftale med TR/FSL). Weekendtimerne afspadseres.",I23="X"),K23,0)</f>
        <v>0</v>
      </c>
      <c r="FN23" s="674">
        <f>IF(AND(AND(Stamoplysninger!$B$26="Der er indgået lokalaftale omkring weekendtillæg(Kræver aftale med TR/FSL). Weekendtimerne afspadseres.",I23="X",C23="ikke relevant")),K23,0)</f>
        <v>0</v>
      </c>
      <c r="FO23" s="283">
        <f>IF(AND(Stamoplysninger!$B$26="Weekendtimer og weekendtillæg udbetales.",I23="X"),K23,0)</f>
        <v>0</v>
      </c>
      <c r="FP23" s="251">
        <f>IF(AND(Stamoplysninger!$B$26="Weekendtimer og weekendtillæg udbetales.",AA23="X"),(AC23+AN23)/2,0)</f>
        <v>0</v>
      </c>
      <c r="FQ23" s="674">
        <f>IF(AND(AND(Stamoplysninger!$B$26="Weekendtimer og weekendtillæg udbetales.",I23="X",C23="ikke relevant")),K23,0)</f>
        <v>0</v>
      </c>
      <c r="FR23" s="688">
        <f>IF(AND(AND(Stamoplysninger!$B$26="Weekendtimer og weekendtillæg udbetales.",AA23="X",U23="ikke relevant")),(AC23+AN23)/2,0)</f>
        <v>0</v>
      </c>
      <c r="FS23" s="283">
        <f t="shared" si="14"/>
        <v>0</v>
      </c>
      <c r="FT23" s="658">
        <f t="shared" si="15"/>
        <v>0</v>
      </c>
      <c r="FU23">
        <f t="shared" si="16"/>
        <v>0</v>
      </c>
      <c r="FV23" s="283">
        <f>IF(AND(Stamoplysninger!$B$26="Der er indgået lokalaftale omkring weekendtimer.(Kræver aftale med TR/FSL) Weekendtillæg afspadseres.",I23="X"),K23,0)</f>
        <v>0</v>
      </c>
      <c r="FW23" s="674">
        <f>IF(AND(AND(Stamoplysninger!$B$26="Der er indgået lokalaftale omkring weekendtimer.(Kræver aftale med TR/FSL) Weekendtillæg afspadseres.",I23="X",C23="ikke relevant")),K23,0)</f>
        <v>0</v>
      </c>
      <c r="FX23" s="283">
        <f>IF(AND(Stamoplysninger!$B$26="Der er indgået lokalaftale omkring weekendtimer(Kræver aftale med TR/FSL). Weekendtillæg udbetales.",I23="X"),K23,0)</f>
        <v>0</v>
      </c>
      <c r="FY23" s="674">
        <f>IF(AND(AND(Stamoplysninger!$B$26="Der er indgået lokalaftale omkring weekendtimer(Kræver aftale med TR/FSL). Weekendtillæg udbetales.",I23="X",C23="ikke relevant")),K23,0)</f>
        <v>0</v>
      </c>
      <c r="FZ23" s="283">
        <f>IF(AND(Stamoplysninger!$B$26="Der er indgået lokalaftale omkring weekendtillæg(Kræver aftale med TR/FSL). Weekendtimerne udbetales.",I23="X"),K23,0)</f>
        <v>0</v>
      </c>
      <c r="GA23" s="674">
        <f>IF(AND(AND(Stamoplysninger!$B$26="Der er indgået lokalaftale omkring weekendtillæg(Kræver aftale med TR/FSL). Weekendtimerne udbetales.",I23="X",C23="ikke relevant")),K23,0)</f>
        <v>0</v>
      </c>
      <c r="GB23" s="283">
        <f>IF(AND(Stamoplysninger!$B$26="Der er indgået lokalaftale omkring weekendtimer og weekendtillæg.(Kræver aftale med TR/FSL).",I23="X"),K23,0)</f>
        <v>0</v>
      </c>
      <c r="GC23" s="674">
        <f>IF(AND(AND(Stamoplysninger!$B$26="Der er indgået lokalaftale omkring weekendtimer og weekendtillæg.(Kræver aftale med TR/FSL).",I23="X",C23="ikke relevant")),K23,0)</f>
        <v>0</v>
      </c>
    </row>
    <row r="24" spans="1:185">
      <c r="A24" s="245">
        <f>IF(ISNUMBER(A23),A23+1,1)</f>
        <v>16</v>
      </c>
      <c r="B24" s="128" t="str">
        <f t="shared" si="0"/>
        <v>ma</v>
      </c>
      <c r="C24" s="129" t="s">
        <v>207</v>
      </c>
      <c r="D24" s="130">
        <f t="shared" si="1"/>
        <v>24.714285714285715</v>
      </c>
      <c r="E24" s="917"/>
      <c r="F24" s="918"/>
      <c r="G24" s="919"/>
      <c r="H24" s="298"/>
      <c r="I24" s="527"/>
      <c r="J24" s="413"/>
      <c r="K24" s="380"/>
      <c r="L24" s="380"/>
      <c r="M24" s="380"/>
      <c r="N24" s="318">
        <f t="shared" si="18"/>
        <v>7.75</v>
      </c>
      <c r="O24" s="318">
        <f t="shared" si="19"/>
        <v>3.4999999999999996</v>
      </c>
      <c r="P24" s="318">
        <f>IF(Stamoplysninger!$H$29="JA",Juni!DG24,CX24)</f>
        <v>1</v>
      </c>
      <c r="Q24" s="318">
        <f t="shared" si="20"/>
        <v>3.25</v>
      </c>
      <c r="R24" s="319"/>
      <c r="S24" s="324"/>
      <c r="T24" s="325"/>
      <c r="U24" s="325"/>
      <c r="V24" s="435"/>
      <c r="W24" s="435"/>
      <c r="X24" s="644"/>
      <c r="Y24">
        <f t="shared" si="21"/>
        <v>0</v>
      </c>
      <c r="Z24" s="437">
        <f t="shared" si="22"/>
        <v>0</v>
      </c>
      <c r="AA24" s="1">
        <f t="shared" si="2"/>
        <v>0</v>
      </c>
      <c r="AB24" s="1">
        <f t="shared" si="3"/>
        <v>0</v>
      </c>
      <c r="AC24" s="1">
        <f t="shared" si="4"/>
        <v>0</v>
      </c>
      <c r="AD24" s="1">
        <f t="shared" si="5"/>
        <v>0</v>
      </c>
      <c r="AE24" s="1">
        <f t="shared" si="6"/>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f>IF(AND(C24="Skema 2",B24="ma"),Arbejdstidsoversigt!$E$81,"")</f>
        <v>7.75</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7.75</v>
      </c>
      <c r="BB24" s="229">
        <f t="shared" si="7"/>
        <v>0</v>
      </c>
      <c r="BC24" s="1">
        <f t="shared" si="24"/>
        <v>0</v>
      </c>
      <c r="BD24" s="1">
        <f t="shared" si="8"/>
        <v>0</v>
      </c>
      <c r="BE24" s="1">
        <f t="shared" si="9"/>
        <v>0</v>
      </c>
      <c r="BF24" s="1">
        <f t="shared" si="10"/>
        <v>0</v>
      </c>
      <c r="BG24" s="210" t="str">
        <f>IF(AND(C24="Skema 1",B24="ma"),Skemaoplysninger!$E$30,"")</f>
        <v/>
      </c>
      <c r="BH24" s="210" t="str">
        <f>IF(AND(C24="Skema 1",B24="ti"),Skemaoplysninger!$G$30,"")</f>
        <v/>
      </c>
      <c r="BI24" s="210" t="str">
        <f>IF(AND(C24="Skema 1",B24="on"),Skemaoplysninger!$I$30,"")</f>
        <v/>
      </c>
      <c r="BJ24" s="210" t="str">
        <f>IF(AND(C24="Skema 1",B24="to"),Skemaoplysninger!$K$30,"")</f>
        <v/>
      </c>
      <c r="BK24" s="210" t="str">
        <f>IF(AND(C24="Skema 1",B24="fr"),Skemaoplysninger!$M$30,"")</f>
        <v/>
      </c>
      <c r="BL24" s="210">
        <f>IF(AND(C24="Skema 2",B24="ma"),Skemaoplysninger!$S$30,"")</f>
        <v>0.14583333333333331</v>
      </c>
      <c r="BM24" s="210" t="str">
        <f>IF(AND(C24="Skema 2",B24="ti"),Skemaoplysninger!$U$30,"")</f>
        <v/>
      </c>
      <c r="BN24" s="210" t="str">
        <f>IF(AND(C24="Skema 2",B24="on"),Skemaoplysninger!$W$30,"")</f>
        <v/>
      </c>
      <c r="BO24" s="210" t="str">
        <f>IF(AND(C24="Skema 2",B24="to"),Skemaoplysninger!$Y$30,"")</f>
        <v/>
      </c>
      <c r="BP24" s="210" t="str">
        <f>IF(AND(C24="Skema 2",B24="fr"),Skemaoplysninger!$AA$30,"")</f>
        <v/>
      </c>
      <c r="BQ24" s="210" t="str">
        <f>IF(AND(C24="Skema 3",B24="ma"),Skemaoplysninger!$AG$30,"")</f>
        <v/>
      </c>
      <c r="BR24" s="210" t="str">
        <f>IF(AND(C24="Skema 3",B24="ti"),Skemaoplysninger!$AI$30,"")</f>
        <v/>
      </c>
      <c r="BS24" s="210" t="str">
        <f>IF(AND(C24="Skema 3",B24="on"),Skemaoplysninger!$AK$30,"")</f>
        <v/>
      </c>
      <c r="BT24" s="210" t="str">
        <f>IF(AND(C24="Skema 3",B24="to"),Skemaoplysninger!$AM$30,"")</f>
        <v/>
      </c>
      <c r="BU24" s="210" t="str">
        <f>IF(AND(C24="Skema 3",B24="fr"),Skemaoplysninger!$AO$30,"")</f>
        <v/>
      </c>
      <c r="BV24" s="210" t="str">
        <f>IF(AND(C24="Skema 4",B24="ma"),Skemaoplysninger!$AU$30,"")</f>
        <v/>
      </c>
      <c r="BW24" s="210" t="str">
        <f>IF(AND(C24="Skema 4",B24="ti"),Skemaoplysninger!$AW$30,"")</f>
        <v/>
      </c>
      <c r="BX24" s="210" t="str">
        <f>IF(AND(C24="Skema 4",B24="on"),Skemaoplysninger!$AY$30,"")</f>
        <v/>
      </c>
      <c r="BY24" s="210" t="str">
        <f>IF(AND(C24="Skema 4",B24="to"),Skemaoplysninger!$BA$30,"")</f>
        <v/>
      </c>
      <c r="BZ24" s="210" t="str">
        <f>IF(AND(C24="Skema 4",B24="fr"),Skemaoplysninger!$BC$30,"")</f>
        <v/>
      </c>
      <c r="CA24" s="1">
        <f t="shared" si="25"/>
        <v>3.4999999999999996</v>
      </c>
      <c r="CB24" s="1">
        <f t="shared" si="11"/>
        <v>0</v>
      </c>
      <c r="CC24" s="1">
        <f t="shared" si="12"/>
        <v>0</v>
      </c>
      <c r="CD24" s="210" t="str">
        <f>IF(AND(C24="Skema 1",B24="ma"),Skemaoplysninger!$E$31,"")</f>
        <v/>
      </c>
      <c r="CE24" s="210" t="str">
        <f>IF(AND(C24="Skema 1",B24="ti"),Skemaoplysninger!$G$31,"")</f>
        <v/>
      </c>
      <c r="CF24" s="210" t="str">
        <f>IF(AND(C24="Skema 1",B24="on"),Skemaoplysninger!$I$31,"")</f>
        <v/>
      </c>
      <c r="CG24" s="210" t="str">
        <f>IF(AND(C24="Skema 1",B24="to"),Skemaoplysninger!$K$31,"")</f>
        <v/>
      </c>
      <c r="CH24" s="210" t="str">
        <f>IF(AND(C24="Skema 1",B24="fr"),Skemaoplysninger!$M$31,"")</f>
        <v/>
      </c>
      <c r="CI24" s="210">
        <f>IF(AND(C24="Skema 2",B24="ma"),Skemaoplysninger!$S$31,"")</f>
        <v>4.1666666666666671E-2</v>
      </c>
      <c r="CJ24" s="210" t="str">
        <f>IF(AND(C24="Skema 2",B24="ti"),Skemaoplysninger!$U$31,"")</f>
        <v/>
      </c>
      <c r="CK24" s="210" t="str">
        <f>IF(AND(C24="Skema 2",B24="on"),Skemaoplysninger!$W$31,"")</f>
        <v/>
      </c>
      <c r="CL24" s="210" t="str">
        <f>IF(AND(C24="Skema 2",B24="to"),Skemaoplysninger!$Y$31,"")</f>
        <v/>
      </c>
      <c r="CM24" s="210" t="str">
        <f>IF(AND(C24="Skema 2",B24="fr"),Skemaoplysninger!$AA$31,"")</f>
        <v/>
      </c>
      <c r="CN24" s="210" t="str">
        <f>IF(AND(C24="Skema 3",B24="ma"),Skemaoplysninger!$AG$31,"")</f>
        <v/>
      </c>
      <c r="CO24" s="210" t="str">
        <f>IF(AND(C24="Skema 3",B24="ti"),Skemaoplysninger!$AI$31,"")</f>
        <v/>
      </c>
      <c r="CP24" s="210" t="str">
        <f>IF(AND(C24="Skema 3",B24="on"),Skemaoplysninger!$AK$31,"")</f>
        <v/>
      </c>
      <c r="CQ24" s="210" t="str">
        <f>IF(AND(C24="Skema 3",B24="to"),Skemaoplysninger!$AM$31,"")</f>
        <v/>
      </c>
      <c r="CR24" s="210" t="str">
        <f>IF(AND(C24="Skema 3",B24="fr"),Skemaoplysninger!$AO$31,"")</f>
        <v/>
      </c>
      <c r="CS24" s="210" t="str">
        <f>IF(AND(C24="Skema 4",B24="ma"),Skemaoplysninger!$AU$31,"")</f>
        <v/>
      </c>
      <c r="CT24" s="210" t="str">
        <f>IF(AND(C24="Skema 4",B24="ti"),Skemaoplysninger!$AW$31,"")</f>
        <v/>
      </c>
      <c r="CU24" s="210" t="str">
        <f>IF(AND(C24="Skema 4",B24="on"),Skemaoplysninger!$AY$31,"")</f>
        <v/>
      </c>
      <c r="CV24" s="210" t="str">
        <f>IF(AND(C24="Skema 4",B24="to"),Skemaoplysninger!$BA$31,"")</f>
        <v/>
      </c>
      <c r="CW24" s="210" t="str">
        <f>IF(AND(C24="Skema 4",B24="fr"),Skemaoplysninger!$BC$31,"")</f>
        <v/>
      </c>
      <c r="CX24" s="249">
        <f>IF(Stamoplysninger!$H$29="NEJ",SUM(CD24:CW24)*24+CB24+CC24,0)</f>
        <v>1</v>
      </c>
      <c r="CY24" s="249">
        <f>IF(C24="Skema 1",Stamoplysninger!$H$30/200,0)</f>
        <v>0</v>
      </c>
      <c r="CZ24" s="249">
        <f>IF(C24="Skema 2",Stamoplysninger!$H$30/200,0)</f>
        <v>0</v>
      </c>
      <c r="DA24" s="249">
        <f>IF(C24="Skema 3",Stamoplysninger!$H$30/200,0)</f>
        <v>0</v>
      </c>
      <c r="DB24" s="249">
        <f>IF(C24="Skema 4",Stamoplysninger!$H$30/200,0)</f>
        <v>0</v>
      </c>
      <c r="DC24" s="249">
        <f>IF(C24="fagdag",Stamoplysninger!$H$30/200,0)</f>
        <v>0</v>
      </c>
      <c r="DD24" s="249">
        <f>IF(C24="emnedag",Stamoplysninger!$H$30/200,0)</f>
        <v>0</v>
      </c>
      <c r="DE24" s="249">
        <f>IF(C24="lejrskole",Stamoplysninger!$H$30/200,0)</f>
        <v>0</v>
      </c>
      <c r="DF24" s="249">
        <f>IF(C24="ekskursion",Stamoplysninger!$H$30/200,0)</f>
        <v>0</v>
      </c>
      <c r="DG24" s="249">
        <f t="shared" si="26"/>
        <v>0</v>
      </c>
      <c r="DH24" t="str">
        <f t="shared" si="27"/>
        <v/>
      </c>
      <c r="DI24">
        <f t="shared" si="28"/>
        <v>0</v>
      </c>
      <c r="DJ24">
        <f t="shared" si="29"/>
        <v>0</v>
      </c>
      <c r="DK24" t="str">
        <f t="shared" si="13"/>
        <v/>
      </c>
      <c r="DL24" t="str">
        <f t="shared" si="13"/>
        <v/>
      </c>
      <c r="DM24" t="str">
        <f t="shared" si="13"/>
        <v/>
      </c>
      <c r="DN24" t="str">
        <f t="shared" si="30"/>
        <v/>
      </c>
      <c r="DO24" s="652">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71">
        <f>IF(AND(Stamoplysninger!$B$22="Ulempetillæg udbetales med 25% af nettotimelønnen.",C24="ikke relevant"),(R24)/4,0)</f>
        <v>0</v>
      </c>
      <c r="DT24" s="671">
        <f>IF(AND(AND(Stamoplysninger!$B$22="Ulempetillæg udbetales med 25% af nettotimelønnen.",I24="X",C24="Ikke relevant")),K24/4,0)</f>
        <v>0</v>
      </c>
      <c r="DU24" s="671">
        <f>IF(AND(AND(Stamoplysninger!$B$22="Ulempetillæg udbetales med 25% af nettotimelønnen.",C24="ikke relevant",U24="X")),(X24/4),0)</f>
        <v>0</v>
      </c>
      <c r="DV24" s="672">
        <f>IF(AND(AND(AND(Stamoplysninger!$B$22="Ulempetillæg udbetales med 25% af nettotimelønnen.",I24="X",C24="Ikke relevant",S24="X"))),V24/4,0)</f>
        <v>0</v>
      </c>
      <c r="DW24" s="652"/>
      <c r="DZ24" s="671"/>
      <c r="EA24" s="671"/>
      <c r="EB24" s="672"/>
      <c r="EC24" s="652">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71">
        <f>IF(AND(Stamoplysninger!$B$22="Ulempetillæg afspadseres med 25%(Kræver en aftale imellem ledelsen og den ansatte)",C24="ikke relevant"),(R24)/4,0)</f>
        <v>0</v>
      </c>
      <c r="EH24" s="671">
        <f>IF(AND(AND(Stamoplysninger!$B$22="Ulempetillæg afspadseres med 25%(Kræver en aftale imellem ledelsen og den ansatte)",I24="X",C24="Ikke relevant")),K24/4,0)</f>
        <v>0</v>
      </c>
      <c r="EI24" s="671">
        <f>IF(AND(AND(Stamoplysninger!$B$22="Ulempetillæg afspadseres med 25%(Kræver en aftale imellem ledelsen og den ansatte)",U24="X",C24="Ikke relevant")),X24/4,0)</f>
        <v>0</v>
      </c>
      <c r="EJ24" s="671">
        <f>IF(AND(AND(AND(Stamoplysninger!$B$22="Ulempetillæg afspadseres med 25%(Kræver en aftale imellem ledelsen og den ansatte)",I24="X",C24="Ikke relevant",S24="X"))),V24/4,0)</f>
        <v>0</v>
      </c>
      <c r="EK24" s="283">
        <f>IF(AND(Stamoplysninger!$B$26="Weekendtimer og weekendtillæg afspadseres.",I24="X"),K24*1.5,0)</f>
        <v>0</v>
      </c>
      <c r="EL24" s="251">
        <f>IF(AND(AND(Stamoplysninger!$B$26="Weekendtimer og weekendtillæg afspadseres.",I24="X",S24="X")),V24*1.5,0)</f>
        <v>0</v>
      </c>
      <c r="EM24" s="674">
        <f>IF(AND(AND(Stamoplysninger!$B$26="Weekendtimer og weekendtillæg afspadseres.",I24="X",C24="ikke relevant")),K24*1.5,0)</f>
        <v>0</v>
      </c>
      <c r="EN24" s="675">
        <f>IF(AND(AND(AND(Stamoplysninger!$B$26="Weekendtimer og weekendtillæg afspadseres.",I24="X",C24="ikke relevant",S24="X"))),(V24*1.5),0)</f>
        <v>0</v>
      </c>
      <c r="EO24" s="283">
        <f>IF(AND(Stamoplysninger!$B$26="Weekendtimer og weekendtillæg udbetales.",I24="X"),K24*1.5,0)</f>
        <v>0</v>
      </c>
      <c r="EP24" s="251">
        <f>IF(AND(AND(Stamoplysninger!$B$26="Weekendtimer og weekendtillæg udbetales.",I24="X",S24="X")),V24*1.5,0)</f>
        <v>0</v>
      </c>
      <c r="EQ24" s="674">
        <f>IF(AND(AND(Stamoplysninger!$B$26="Weekendtimer og weekendtillæg udbetales.",I24="X",C24="ikke relevant")),K24*1.5,0)</f>
        <v>0</v>
      </c>
      <c r="ER24" s="675">
        <f>IF(AND(AND(AND(Stamoplysninger!$B$26="Weekendtimer og weekendtillæg udbetales.",I24="X",C24="ikke relevant",S24="X"))),(V24*1.5),0)</f>
        <v>0</v>
      </c>
      <c r="ES24" s="283">
        <f>IF(AND(Stamoplysninger!$B$26="Der er indgået lokalaftale omkring weekendtimer.(Kræver aftale med TR/FSL) Weekendtillæg afspadseres.",I24="X"),K24*0.5,0)</f>
        <v>0</v>
      </c>
      <c r="ET24" s="251">
        <f>IF(AND(AND(Stamoplysninger!$B$26="Der er indgået lokalaftale omkring weekendtimer.(Kræver aftale med TR/FSL) Weekendtillæg afspadseres.",I24="X",S24="X")),V24*0.5,0)</f>
        <v>0</v>
      </c>
      <c r="EU24" s="674">
        <f>IF(AND(AND(Stamoplysninger!$B$26="Der er indgået lokalaftale omkring weekendtimer.(Kræver aftale med TR/FSL) Weekendtillæg afspadseres.",I24="X",C24="ikke relevant")),K24*0.5,0)</f>
        <v>0</v>
      </c>
      <c r="EV24" s="675">
        <f>IF(AND(AND(AND(Stamoplysninger!$B$26="Der er indgået lokalaftale omkring weekendtimer.(Kræver aftale med TR/FSL) Weekendtillæg afspadseres.",I24="X",C24="ikke relevant",S24="X"))),(V24*0.5),0)</f>
        <v>0</v>
      </c>
      <c r="EW24" s="283">
        <f>IF(AND(Stamoplysninger!$B$26="Der er indgået lokalaftale omkring weekendtimer(Kræver aftale med TR/FSL). Weekendtillæg udbetales.",I24="X"),K24*0.5,0)</f>
        <v>0</v>
      </c>
      <c r="EX24" s="251">
        <f>IF(AND(AND(Stamoplysninger!$B$26="Der er indgået lokalaftale omkring weekendtimer(Kræver aftale med TR/FSL). Weekendtillæg udbetales.",I24="X",S24="X")),V24*0.5,0)</f>
        <v>0</v>
      </c>
      <c r="EY24" s="674">
        <f>IF(AND(AND(Stamoplysninger!$B$26="Der er indgået lokalaftale omkring weekendtimer(Kræver aftale med TR/FSL). Weekendtillæg udbetales.",I24="X",C24="ikke relevant")),K24*0.5,0)</f>
        <v>0</v>
      </c>
      <c r="EZ24" s="675">
        <f>IF(AND(AND(AND(Stamoplysninger!$B$26="Der er indgået lokalaftale omkring weekendtimer(Kræver aftale med TR/FSL). Weekendtillæg udbetales.",I24="X",C24="ikke relevant",S24="X"))),(V24*0.5),0)</f>
        <v>0</v>
      </c>
      <c r="FA24" s="283">
        <f>IF(AND(Stamoplysninger!$B$26="Der er indgået lokalaftale omkring weekendtillæg(Kræver aftale med TR/FSL). Weekendtimerne afspadseres.",I24="X"),K24,0)</f>
        <v>0</v>
      </c>
      <c r="FB24" s="251">
        <f>IF(AND(AND(Stamoplysninger!$B$26="Der er indgået lokalaftale omkring weekendtillæg(Kræver aftale med TR/FSL). Weekendtimerne afspadseres.",I24="X",S24="X")),V24,0)</f>
        <v>0</v>
      </c>
      <c r="FC24" s="674">
        <f>IF(AND(AND(Stamoplysninger!$B$26="Der er indgået lokalaftale omkring weekendtillæg(Kræver aftale med TR/FSL). Weekendtimerne afspadseres..",I24="X",C24="ikke relevant")),K24,0)</f>
        <v>0</v>
      </c>
      <c r="FD24" s="675">
        <f>IF(AND(AND(AND(Stamoplysninger!$B$26="Der er indgået lokalaftale omkring weekendtillæg(Kræver aftale med TR/FSL). Weekendtimerne afspadseres.",I24="X",C24="ikke relevant",S24="X"))),(V24),0)</f>
        <v>0</v>
      </c>
      <c r="FE24" s="283">
        <f>IF(AND(Stamoplysninger!$B$26="Der er indgået lokalaftale omkring weekendtillæg(Kræver aftale med TR/FSL). Weekendtimerne udbetales.",I24="X"),K24,0)</f>
        <v>0</v>
      </c>
      <c r="FF24" s="251">
        <f>IF(AND(AND(Stamoplysninger!$B$26="Der er indgået lokalaftale omkring weekendtillæg(Kræver aftale med TR/FSL). Weekendtimerne udbetales.",I24="X",S24="X")),V24,0)</f>
        <v>0</v>
      </c>
      <c r="FG24" s="674">
        <f>IF(AND(AND(Stamoplysninger!$B$26="Der er indgået lokalaftale omkring weekendtillæg(Kræver aftale med TR/FSL). Weekendtimerne udbetales.",I24="X",C24="ikke relevant")),K24,0)</f>
        <v>0</v>
      </c>
      <c r="FH24" s="675">
        <f>IF(AND(AND(AND(Stamoplysninger!$B$26="Der er indgået lokalaftale omkring weekendtillæg(Kræver aftale med TR/FSL). Weekendtimerne udbetales.",I24="X",C24="ikke relevant",S24="X"))),(V24),0)</f>
        <v>0</v>
      </c>
      <c r="FI24" s="283">
        <f>IF(AND(Stamoplysninger!$B$26="Weekendtimer og weekendtillæg afspadseres.",I24="X"),K24,0)</f>
        <v>0</v>
      </c>
      <c r="FJ24" s="251">
        <f>IF(AND(Stamoplysninger!$B$26="Weekendtimer og weekendtillæg afspadseres.",Y24="X"),(AA24+AL24)/2,0)</f>
        <v>0</v>
      </c>
      <c r="FK24" s="674">
        <f>IF(AND(AND(Stamoplysninger!$B$26="Weekendtimer og weekendtillæg afspadseres.",I24="X",C24="ikke relevant")),K24,0)</f>
        <v>0</v>
      </c>
      <c r="FL24" s="675">
        <f>IF(AND(AND(Stamoplysninger!$B$26="Weekendtimer og weekendtillæg afspadseres.",Y24="X",S24="ikke relevant")),(AA24+AL24)/2,0)</f>
        <v>0</v>
      </c>
      <c r="FM24" s="283">
        <f>IF(AND(Stamoplysninger!$B$26="Der er indgået lokalaftale omkring weekendtillæg(Kræver aftale med TR/FSL). Weekendtimerne afspadseres.",I24="X"),K24,0)</f>
        <v>0</v>
      </c>
      <c r="FN24" s="674">
        <f>IF(AND(AND(Stamoplysninger!$B$26="Der er indgået lokalaftale omkring weekendtillæg(Kræver aftale med TR/FSL). Weekendtimerne afspadseres.",I24="X",C24="ikke relevant")),K24,0)</f>
        <v>0</v>
      </c>
      <c r="FO24" s="283">
        <f>IF(AND(Stamoplysninger!$B$26="Weekendtimer og weekendtillæg udbetales.",I24="X"),K24,0)</f>
        <v>0</v>
      </c>
      <c r="FP24" s="251">
        <f>IF(AND(Stamoplysninger!$B$26="Weekendtimer og weekendtillæg udbetales.",AA24="X"),(AC24+AN24)/2,0)</f>
        <v>0</v>
      </c>
      <c r="FQ24" s="674">
        <f>IF(AND(AND(Stamoplysninger!$B$26="Weekendtimer og weekendtillæg udbetales.",I24="X",C24="ikke relevant")),K24,0)</f>
        <v>0</v>
      </c>
      <c r="FR24" s="688">
        <f>IF(AND(AND(Stamoplysninger!$B$26="Weekendtimer og weekendtillæg udbetales.",AA24="X",U24="ikke relevant")),(AC24+AN24)/2,0)</f>
        <v>0</v>
      </c>
      <c r="FS24" s="283">
        <f t="shared" si="14"/>
        <v>0</v>
      </c>
      <c r="FT24" s="658">
        <f t="shared" si="15"/>
        <v>0</v>
      </c>
      <c r="FU24">
        <f t="shared" si="16"/>
        <v>0</v>
      </c>
      <c r="FV24" s="283">
        <f>IF(AND(Stamoplysninger!$B$26="Der er indgået lokalaftale omkring weekendtimer.(Kræver aftale med TR/FSL) Weekendtillæg afspadseres.",I24="X"),K24,0)</f>
        <v>0</v>
      </c>
      <c r="FW24" s="674">
        <f>IF(AND(AND(Stamoplysninger!$B$26="Der er indgået lokalaftale omkring weekendtimer.(Kræver aftale med TR/FSL) Weekendtillæg afspadseres.",I24="X",C24="ikke relevant")),K24,0)</f>
        <v>0</v>
      </c>
      <c r="FX24" s="283">
        <f>IF(AND(Stamoplysninger!$B$26="Der er indgået lokalaftale omkring weekendtimer(Kræver aftale med TR/FSL). Weekendtillæg udbetales.",I24="X"),K24,0)</f>
        <v>0</v>
      </c>
      <c r="FY24" s="674">
        <f>IF(AND(AND(Stamoplysninger!$B$26="Der er indgået lokalaftale omkring weekendtimer(Kræver aftale med TR/FSL). Weekendtillæg udbetales.",I24="X",C24="ikke relevant")),K24,0)</f>
        <v>0</v>
      </c>
      <c r="FZ24" s="283">
        <f>IF(AND(Stamoplysninger!$B$26="Der er indgået lokalaftale omkring weekendtillæg(Kræver aftale med TR/FSL). Weekendtimerne udbetales.",I24="X"),K24,0)</f>
        <v>0</v>
      </c>
      <c r="GA24" s="674">
        <f>IF(AND(AND(Stamoplysninger!$B$26="Der er indgået lokalaftale omkring weekendtillæg(Kræver aftale med TR/FSL). Weekendtimerne udbetales.",I24="X",C24="ikke relevant")),K24,0)</f>
        <v>0</v>
      </c>
      <c r="GB24" s="283">
        <f>IF(AND(Stamoplysninger!$B$26="Der er indgået lokalaftale omkring weekendtimer og weekendtillæg.(Kræver aftale med TR/FSL).",I24="X"),K24,0)</f>
        <v>0</v>
      </c>
      <c r="GC24" s="674">
        <f>IF(AND(AND(Stamoplysninger!$B$26="Der er indgået lokalaftale omkring weekendtimer og weekendtillæg.(Kræver aftale med TR/FSL).",I24="X",C24="ikke relevant")),K24,0)</f>
        <v>0</v>
      </c>
    </row>
    <row r="25" spans="1:185">
      <c r="A25" s="245">
        <f t="shared" si="17"/>
        <v>17</v>
      </c>
      <c r="B25" s="128" t="str">
        <f t="shared" si="0"/>
        <v>ti</v>
      </c>
      <c r="C25" s="129" t="s">
        <v>207</v>
      </c>
      <c r="D25" s="130" t="str">
        <f t="shared" si="1"/>
        <v/>
      </c>
      <c r="E25" s="917"/>
      <c r="F25" s="918"/>
      <c r="G25" s="919"/>
      <c r="H25" s="298"/>
      <c r="I25" s="527"/>
      <c r="J25" s="413"/>
      <c r="K25" s="380"/>
      <c r="L25" s="380"/>
      <c r="M25" s="380"/>
      <c r="N25" s="318">
        <f t="shared" si="18"/>
        <v>8.5</v>
      </c>
      <c r="O25" s="318">
        <f t="shared" si="19"/>
        <v>3.75</v>
      </c>
      <c r="P25" s="318">
        <f>IF(Stamoplysninger!$H$29="JA",Juni!DG25,CX25)</f>
        <v>1.5</v>
      </c>
      <c r="Q25" s="318">
        <f t="shared" si="20"/>
        <v>3.25</v>
      </c>
      <c r="R25" s="319"/>
      <c r="S25" s="324"/>
      <c r="T25" s="325"/>
      <c r="U25" s="325"/>
      <c r="V25" s="435"/>
      <c r="W25" s="435"/>
      <c r="X25" s="644"/>
      <c r="Y25">
        <f t="shared" si="21"/>
        <v>0</v>
      </c>
      <c r="Z25" s="437">
        <f t="shared" si="22"/>
        <v>0</v>
      </c>
      <c r="AA25" s="1">
        <f t="shared" si="2"/>
        <v>0</v>
      </c>
      <c r="AB25" s="1">
        <f t="shared" si="3"/>
        <v>0</v>
      </c>
      <c r="AC25" s="1">
        <f t="shared" si="4"/>
        <v>0</v>
      </c>
      <c r="AD25" s="1">
        <f t="shared" si="5"/>
        <v>0</v>
      </c>
      <c r="AE25" s="1">
        <f t="shared" si="6"/>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f>IF(AND(C25="Skema 2",B25="ti"),Arbejdstidsoversigt!$E$82,"")</f>
        <v>8.5</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8.5</v>
      </c>
      <c r="BB25" s="229">
        <f t="shared" si="7"/>
        <v>0</v>
      </c>
      <c r="BC25" s="1">
        <f t="shared" si="24"/>
        <v>0</v>
      </c>
      <c r="BD25" s="1">
        <f t="shared" si="8"/>
        <v>0</v>
      </c>
      <c r="BE25" s="1">
        <f t="shared" si="9"/>
        <v>0</v>
      </c>
      <c r="BF25" s="1">
        <f t="shared" si="10"/>
        <v>0</v>
      </c>
      <c r="BG25" s="210" t="str">
        <f>IF(AND(C25="Skema 1",B25="ma"),Skemaoplysninger!$E$30,"")</f>
        <v/>
      </c>
      <c r="BH25" s="210" t="str">
        <f>IF(AND(C25="Skema 1",B25="ti"),Skemaoplysninger!$G$30,"")</f>
        <v/>
      </c>
      <c r="BI25" s="210" t="str">
        <f>IF(AND(C25="Skema 1",B25="on"),Skemaoplysninger!$I$30,"")</f>
        <v/>
      </c>
      <c r="BJ25" s="210" t="str">
        <f>IF(AND(C25="Skema 1",B25="to"),Skemaoplysninger!$K$30,"")</f>
        <v/>
      </c>
      <c r="BK25" s="210" t="str">
        <f>IF(AND(C25="Skema 1",B25="fr"),Skemaoplysninger!$M$30,"")</f>
        <v/>
      </c>
      <c r="BL25" s="210" t="str">
        <f>IF(AND(C25="Skema 2",B25="ma"),Skemaoplysninger!$S$30,"")</f>
        <v/>
      </c>
      <c r="BM25" s="210">
        <f>IF(AND(C25="Skema 2",B25="ti"),Skemaoplysninger!$U$30,"")</f>
        <v>0.15625</v>
      </c>
      <c r="BN25" s="210" t="str">
        <f>IF(AND(C25="Skema 2",B25="on"),Skemaoplysninger!$W$30,"")</f>
        <v/>
      </c>
      <c r="BO25" s="210" t="str">
        <f>IF(AND(C25="Skema 2",B25="to"),Skemaoplysninger!$Y$30,"")</f>
        <v/>
      </c>
      <c r="BP25" s="210" t="str">
        <f>IF(AND(C25="Skema 2",B25="fr"),Skemaoplysninger!$AA$30,"")</f>
        <v/>
      </c>
      <c r="BQ25" s="210" t="str">
        <f>IF(AND(C25="Skema 3",B25="ma"),Skemaoplysninger!$AG$30,"")</f>
        <v/>
      </c>
      <c r="BR25" s="210" t="str">
        <f>IF(AND(C25="Skema 3",B25="ti"),Skemaoplysninger!$AI$30,"")</f>
        <v/>
      </c>
      <c r="BS25" s="210" t="str">
        <f>IF(AND(C25="Skema 3",B25="on"),Skemaoplysninger!$AK$30,"")</f>
        <v/>
      </c>
      <c r="BT25" s="210" t="str">
        <f>IF(AND(C25="Skema 3",B25="to"),Skemaoplysninger!$AM$30,"")</f>
        <v/>
      </c>
      <c r="BU25" s="210" t="str">
        <f>IF(AND(C25="Skema 3",B25="fr"),Skemaoplysninger!$AO$30,"")</f>
        <v/>
      </c>
      <c r="BV25" s="210" t="str">
        <f>IF(AND(C25="Skema 4",B25="ma"),Skemaoplysninger!$AU$30,"")</f>
        <v/>
      </c>
      <c r="BW25" s="210" t="str">
        <f>IF(AND(C25="Skema 4",B25="ti"),Skemaoplysninger!$AW$30,"")</f>
        <v/>
      </c>
      <c r="BX25" s="210" t="str">
        <f>IF(AND(C25="Skema 4",B25="on"),Skemaoplysninger!$AY$30,"")</f>
        <v/>
      </c>
      <c r="BY25" s="210" t="str">
        <f>IF(AND(C25="Skema 4",B25="to"),Skemaoplysninger!$BA$30,"")</f>
        <v/>
      </c>
      <c r="BZ25" s="210" t="str">
        <f>IF(AND(C25="Skema 4",B25="fr"),Skemaoplysninger!$BC$30,"")</f>
        <v/>
      </c>
      <c r="CA25" s="1">
        <f t="shared" si="25"/>
        <v>3.75</v>
      </c>
      <c r="CB25" s="1">
        <f t="shared" si="11"/>
        <v>0</v>
      </c>
      <c r="CC25" s="1">
        <f t="shared" si="12"/>
        <v>0</v>
      </c>
      <c r="CD25" s="210" t="str">
        <f>IF(AND(C25="Skema 1",B25="ma"),Skemaoplysninger!$E$31,"")</f>
        <v/>
      </c>
      <c r="CE25" s="210" t="str">
        <f>IF(AND(C25="Skema 1",B25="ti"),Skemaoplysninger!$G$31,"")</f>
        <v/>
      </c>
      <c r="CF25" s="210" t="str">
        <f>IF(AND(C25="Skema 1",B25="on"),Skemaoplysninger!$I$31,"")</f>
        <v/>
      </c>
      <c r="CG25" s="210" t="str">
        <f>IF(AND(C25="Skema 1",B25="to"),Skemaoplysninger!$K$31,"")</f>
        <v/>
      </c>
      <c r="CH25" s="210" t="str">
        <f>IF(AND(C25="Skema 1",B25="fr"),Skemaoplysninger!$M$31,"")</f>
        <v/>
      </c>
      <c r="CI25" s="210" t="str">
        <f>IF(AND(C25="Skema 2",B25="ma"),Skemaoplysninger!$S$31,"")</f>
        <v/>
      </c>
      <c r="CJ25" s="210">
        <f>IF(AND(C25="Skema 2",B25="ti"),Skemaoplysninger!$U$31,"")</f>
        <v>6.25E-2</v>
      </c>
      <c r="CK25" s="210" t="str">
        <f>IF(AND(C25="Skema 2",B25="on"),Skemaoplysninger!$W$31,"")</f>
        <v/>
      </c>
      <c r="CL25" s="210" t="str">
        <f>IF(AND(C25="Skema 2",B25="to"),Skemaoplysninger!$Y$31,"")</f>
        <v/>
      </c>
      <c r="CM25" s="210" t="str">
        <f>IF(AND(C25="Skema 2",B25="fr"),Skemaoplysninger!$AA$31,"")</f>
        <v/>
      </c>
      <c r="CN25" s="210" t="str">
        <f>IF(AND(C25="Skema 3",B25="ma"),Skemaoplysninger!$AG$31,"")</f>
        <v/>
      </c>
      <c r="CO25" s="210" t="str">
        <f>IF(AND(C25="Skema 3",B25="ti"),Skemaoplysninger!$AI$31,"")</f>
        <v/>
      </c>
      <c r="CP25" s="210" t="str">
        <f>IF(AND(C25="Skema 3",B25="on"),Skemaoplysninger!$AK$31,"")</f>
        <v/>
      </c>
      <c r="CQ25" s="210" t="str">
        <f>IF(AND(C25="Skema 3",B25="to"),Skemaoplysninger!$AM$31,"")</f>
        <v/>
      </c>
      <c r="CR25" s="210" t="str">
        <f>IF(AND(C25="Skema 3",B25="fr"),Skemaoplysninger!$AO$31,"")</f>
        <v/>
      </c>
      <c r="CS25" s="210" t="str">
        <f>IF(AND(C25="Skema 4",B25="ma"),Skemaoplysninger!$AU$31,"")</f>
        <v/>
      </c>
      <c r="CT25" s="210" t="str">
        <f>IF(AND(C25="Skema 4",B25="ti"),Skemaoplysninger!$AW$31,"")</f>
        <v/>
      </c>
      <c r="CU25" s="210" t="str">
        <f>IF(AND(C25="Skema 4",B25="on"),Skemaoplysninger!$AY$31,"")</f>
        <v/>
      </c>
      <c r="CV25" s="210" t="str">
        <f>IF(AND(C25="Skema 4",B25="to"),Skemaoplysninger!$BA$31,"")</f>
        <v/>
      </c>
      <c r="CW25" s="210" t="str">
        <f>IF(AND(C25="Skema 4",B25="fr"),Skemaoplysninger!$BC$31,"")</f>
        <v/>
      </c>
      <c r="CX25" s="249">
        <f>IF(Stamoplysninger!$H$29="NEJ",SUM(CD25:CW25)*24+CB25+CC25,0)</f>
        <v>1.5</v>
      </c>
      <c r="CY25" s="249">
        <f>IF(C25="Skema 1",Stamoplysninger!$H$30/200,0)</f>
        <v>0</v>
      </c>
      <c r="CZ25" s="249">
        <f>IF(C25="Skema 2",Stamoplysninger!$H$30/200,0)</f>
        <v>0</v>
      </c>
      <c r="DA25" s="249">
        <f>IF(C25="Skema 3",Stamoplysninger!$H$30/200,0)</f>
        <v>0</v>
      </c>
      <c r="DB25" s="249">
        <f>IF(C25="Skema 4",Stamoplysninger!$H$30/200,0)</f>
        <v>0</v>
      </c>
      <c r="DC25" s="249">
        <f>IF(C25="fagdag",Stamoplysninger!$H$30/200,0)</f>
        <v>0</v>
      </c>
      <c r="DD25" s="249">
        <f>IF(C25="emnedag",Stamoplysninger!$H$30/200,0)</f>
        <v>0</v>
      </c>
      <c r="DE25" s="249">
        <f>IF(C25="lejrskole",Stamoplysninger!$H$30/200,0)</f>
        <v>0</v>
      </c>
      <c r="DF25" s="249">
        <f>IF(C25="ekskursion",Stamoplysninger!$H$30/200,0)</f>
        <v>0</v>
      </c>
      <c r="DG25" s="249">
        <f t="shared" si="26"/>
        <v>0</v>
      </c>
      <c r="DH25" t="str">
        <f t="shared" si="27"/>
        <v/>
      </c>
      <c r="DI25">
        <f t="shared" si="28"/>
        <v>0</v>
      </c>
      <c r="DJ25">
        <f t="shared" si="29"/>
        <v>0</v>
      </c>
      <c r="DK25" t="str">
        <f t="shared" si="13"/>
        <v/>
      </c>
      <c r="DL25" t="str">
        <f t="shared" si="13"/>
        <v/>
      </c>
      <c r="DM25" t="str">
        <f t="shared" si="13"/>
        <v/>
      </c>
      <c r="DN25" t="str">
        <f t="shared" si="30"/>
        <v/>
      </c>
      <c r="DO25" s="652">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71">
        <f>IF(AND(Stamoplysninger!$B$22="Ulempetillæg udbetales med 25% af nettotimelønnen.",C25="ikke relevant"),(R25)/4,0)</f>
        <v>0</v>
      </c>
      <c r="DT25" s="671">
        <f>IF(AND(AND(Stamoplysninger!$B$22="Ulempetillæg udbetales med 25% af nettotimelønnen.",I25="X",C25="Ikke relevant")),K25/4,0)</f>
        <v>0</v>
      </c>
      <c r="DU25" s="671">
        <f>IF(AND(AND(Stamoplysninger!$B$22="Ulempetillæg udbetales med 25% af nettotimelønnen.",C25="ikke relevant",U25="X")),(X25/4),0)</f>
        <v>0</v>
      </c>
      <c r="DV25" s="672">
        <f>IF(AND(AND(AND(Stamoplysninger!$B$22="Ulempetillæg udbetales med 25% af nettotimelønnen.",I25="X",C25="Ikke relevant",S25="X"))),V25/4,0)</f>
        <v>0</v>
      </c>
      <c r="DW25" s="652"/>
      <c r="DZ25" s="671"/>
      <c r="EA25" s="671"/>
      <c r="EB25" s="672"/>
      <c r="EC25" s="652">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71">
        <f>IF(AND(Stamoplysninger!$B$22="Ulempetillæg afspadseres med 25%(Kræver en aftale imellem ledelsen og den ansatte)",C25="ikke relevant"),(R25)/4,0)</f>
        <v>0</v>
      </c>
      <c r="EH25" s="671">
        <f>IF(AND(AND(Stamoplysninger!$B$22="Ulempetillæg afspadseres med 25%(Kræver en aftale imellem ledelsen og den ansatte)",I25="X",C25="Ikke relevant")),K25/4,0)</f>
        <v>0</v>
      </c>
      <c r="EI25" s="671">
        <f>IF(AND(AND(Stamoplysninger!$B$22="Ulempetillæg afspadseres med 25%(Kræver en aftale imellem ledelsen og den ansatte)",U25="X",C25="Ikke relevant")),X25/4,0)</f>
        <v>0</v>
      </c>
      <c r="EJ25" s="671">
        <f>IF(AND(AND(AND(Stamoplysninger!$B$22="Ulempetillæg afspadseres med 25%(Kræver en aftale imellem ledelsen og den ansatte)",I25="X",C25="Ikke relevant",S25="X"))),V25/4,0)</f>
        <v>0</v>
      </c>
      <c r="EK25" s="283">
        <f>IF(AND(Stamoplysninger!$B$26="Weekendtimer og weekendtillæg afspadseres.",I25="X"),K25*1.5,0)</f>
        <v>0</v>
      </c>
      <c r="EL25" s="251">
        <f>IF(AND(AND(Stamoplysninger!$B$26="Weekendtimer og weekendtillæg afspadseres.",I25="X",S25="X")),V25*1.5,0)</f>
        <v>0</v>
      </c>
      <c r="EM25" s="674">
        <f>IF(AND(AND(Stamoplysninger!$B$26="Weekendtimer og weekendtillæg afspadseres.",I25="X",C25="ikke relevant")),K25*1.5,0)</f>
        <v>0</v>
      </c>
      <c r="EN25" s="675">
        <f>IF(AND(AND(AND(Stamoplysninger!$B$26="Weekendtimer og weekendtillæg afspadseres.",I25="X",C25="ikke relevant",S25="X"))),(V25*1.5),0)</f>
        <v>0</v>
      </c>
      <c r="EO25" s="283">
        <f>IF(AND(Stamoplysninger!$B$26="Weekendtimer og weekendtillæg udbetales.",I25="X"),K25*1.5,0)</f>
        <v>0</v>
      </c>
      <c r="EP25" s="251">
        <f>IF(AND(AND(Stamoplysninger!$B$26="Weekendtimer og weekendtillæg udbetales.",I25="X",S25="X")),V25*1.5,0)</f>
        <v>0</v>
      </c>
      <c r="EQ25" s="674">
        <f>IF(AND(AND(Stamoplysninger!$B$26="Weekendtimer og weekendtillæg udbetales.",I25="X",C25="ikke relevant")),K25*1.5,0)</f>
        <v>0</v>
      </c>
      <c r="ER25" s="675">
        <f>IF(AND(AND(AND(Stamoplysninger!$B$26="Weekendtimer og weekendtillæg udbetales.",I25="X",C25="ikke relevant",S25="X"))),(V25*1.5),0)</f>
        <v>0</v>
      </c>
      <c r="ES25" s="283">
        <f>IF(AND(Stamoplysninger!$B$26="Der er indgået lokalaftale omkring weekendtimer.(Kræver aftale med TR/FSL) Weekendtillæg afspadseres.",I25="X"),K25*0.5,0)</f>
        <v>0</v>
      </c>
      <c r="ET25" s="251">
        <f>IF(AND(AND(Stamoplysninger!$B$26="Der er indgået lokalaftale omkring weekendtimer.(Kræver aftale med TR/FSL) Weekendtillæg afspadseres.",I25="X",S25="X")),V25*0.5,0)</f>
        <v>0</v>
      </c>
      <c r="EU25" s="674">
        <f>IF(AND(AND(Stamoplysninger!$B$26="Der er indgået lokalaftale omkring weekendtimer.(Kræver aftale med TR/FSL) Weekendtillæg afspadseres.",I25="X",C25="ikke relevant")),K25*0.5,0)</f>
        <v>0</v>
      </c>
      <c r="EV25" s="675">
        <f>IF(AND(AND(AND(Stamoplysninger!$B$26="Der er indgået lokalaftale omkring weekendtimer.(Kræver aftale med TR/FSL) Weekendtillæg afspadseres.",I25="X",C25="ikke relevant",S25="X"))),(V25*0.5),0)</f>
        <v>0</v>
      </c>
      <c r="EW25" s="283">
        <f>IF(AND(Stamoplysninger!$B$26="Der er indgået lokalaftale omkring weekendtimer(Kræver aftale med TR/FSL). Weekendtillæg udbetales.",I25="X"),K25*0.5,0)</f>
        <v>0</v>
      </c>
      <c r="EX25" s="251">
        <f>IF(AND(AND(Stamoplysninger!$B$26="Der er indgået lokalaftale omkring weekendtimer(Kræver aftale med TR/FSL). Weekendtillæg udbetales.",I25="X",S25="X")),V25*0.5,0)</f>
        <v>0</v>
      </c>
      <c r="EY25" s="674">
        <f>IF(AND(AND(Stamoplysninger!$B$26="Der er indgået lokalaftale omkring weekendtimer(Kræver aftale med TR/FSL). Weekendtillæg udbetales.",I25="X",C25="ikke relevant")),K25*0.5,0)</f>
        <v>0</v>
      </c>
      <c r="EZ25" s="675">
        <f>IF(AND(AND(AND(Stamoplysninger!$B$26="Der er indgået lokalaftale omkring weekendtimer(Kræver aftale med TR/FSL). Weekendtillæg udbetales.",I25="X",C25="ikke relevant",S25="X"))),(V25*0.5),0)</f>
        <v>0</v>
      </c>
      <c r="FA25" s="283">
        <f>IF(AND(Stamoplysninger!$B$26="Der er indgået lokalaftale omkring weekendtillæg(Kræver aftale med TR/FSL). Weekendtimerne afspadseres.",I25="X"),K25,0)</f>
        <v>0</v>
      </c>
      <c r="FB25" s="251">
        <f>IF(AND(AND(Stamoplysninger!$B$26="Der er indgået lokalaftale omkring weekendtillæg(Kræver aftale med TR/FSL). Weekendtimerne afspadseres.",I25="X",S25="X")),V25,0)</f>
        <v>0</v>
      </c>
      <c r="FC25" s="674">
        <f>IF(AND(AND(Stamoplysninger!$B$26="Der er indgået lokalaftale omkring weekendtillæg(Kræver aftale med TR/FSL). Weekendtimerne afspadseres..",I25="X",C25="ikke relevant")),K25,0)</f>
        <v>0</v>
      </c>
      <c r="FD25" s="675">
        <f>IF(AND(AND(AND(Stamoplysninger!$B$26="Der er indgået lokalaftale omkring weekendtillæg(Kræver aftale med TR/FSL). Weekendtimerne afspadseres.",I25="X",C25="ikke relevant",S25="X"))),(V25),0)</f>
        <v>0</v>
      </c>
      <c r="FE25" s="283">
        <f>IF(AND(Stamoplysninger!$B$26="Der er indgået lokalaftale omkring weekendtillæg(Kræver aftale med TR/FSL). Weekendtimerne udbetales.",I25="X"),K25,0)</f>
        <v>0</v>
      </c>
      <c r="FF25" s="251">
        <f>IF(AND(AND(Stamoplysninger!$B$26="Der er indgået lokalaftale omkring weekendtillæg(Kræver aftale med TR/FSL). Weekendtimerne udbetales.",I25="X",S25="X")),V25,0)</f>
        <v>0</v>
      </c>
      <c r="FG25" s="674">
        <f>IF(AND(AND(Stamoplysninger!$B$26="Der er indgået lokalaftale omkring weekendtillæg(Kræver aftale med TR/FSL). Weekendtimerne udbetales.",I25="X",C25="ikke relevant")),K25,0)</f>
        <v>0</v>
      </c>
      <c r="FH25" s="675">
        <f>IF(AND(AND(AND(Stamoplysninger!$B$26="Der er indgået lokalaftale omkring weekendtillæg(Kræver aftale med TR/FSL). Weekendtimerne udbetales.",I25="X",C25="ikke relevant",S25="X"))),(V25),0)</f>
        <v>0</v>
      </c>
      <c r="FI25" s="283">
        <f>IF(AND(Stamoplysninger!$B$26="Weekendtimer og weekendtillæg afspadseres.",I25="X"),K25,0)</f>
        <v>0</v>
      </c>
      <c r="FJ25" s="251">
        <f>IF(AND(Stamoplysninger!$B$26="Weekendtimer og weekendtillæg afspadseres.",Y25="X"),(AA25+AL25)/2,0)</f>
        <v>0</v>
      </c>
      <c r="FK25" s="674">
        <f>IF(AND(AND(Stamoplysninger!$B$26="Weekendtimer og weekendtillæg afspadseres.",I25="X",C25="ikke relevant")),K25,0)</f>
        <v>0</v>
      </c>
      <c r="FL25" s="675">
        <f>IF(AND(AND(Stamoplysninger!$B$26="Weekendtimer og weekendtillæg afspadseres.",Y25="X",S25="ikke relevant")),(AA25+AL25)/2,0)</f>
        <v>0</v>
      </c>
      <c r="FM25" s="283">
        <f>IF(AND(Stamoplysninger!$B$26="Der er indgået lokalaftale omkring weekendtillæg(Kræver aftale med TR/FSL). Weekendtimerne afspadseres.",I25="X"),K25,0)</f>
        <v>0</v>
      </c>
      <c r="FN25" s="674">
        <f>IF(AND(AND(Stamoplysninger!$B$26="Der er indgået lokalaftale omkring weekendtillæg(Kræver aftale med TR/FSL). Weekendtimerne afspadseres.",I25="X",C25="ikke relevant")),K25,0)</f>
        <v>0</v>
      </c>
      <c r="FO25" s="283">
        <f>IF(AND(Stamoplysninger!$B$26="Weekendtimer og weekendtillæg udbetales.",I25="X"),K25,0)</f>
        <v>0</v>
      </c>
      <c r="FP25" s="251">
        <f>IF(AND(Stamoplysninger!$B$26="Weekendtimer og weekendtillæg udbetales.",AA25="X"),(AC25+AN25)/2,0)</f>
        <v>0</v>
      </c>
      <c r="FQ25" s="674">
        <f>IF(AND(AND(Stamoplysninger!$B$26="Weekendtimer og weekendtillæg udbetales.",I25="X",C25="ikke relevant")),K25,0)</f>
        <v>0</v>
      </c>
      <c r="FR25" s="688">
        <f>IF(AND(AND(Stamoplysninger!$B$26="Weekendtimer og weekendtillæg udbetales.",AA25="X",U25="ikke relevant")),(AC25+AN25)/2,0)</f>
        <v>0</v>
      </c>
      <c r="FS25" s="283">
        <f t="shared" si="14"/>
        <v>0</v>
      </c>
      <c r="FT25" s="658">
        <f t="shared" si="15"/>
        <v>0</v>
      </c>
      <c r="FU25">
        <f t="shared" si="16"/>
        <v>0</v>
      </c>
      <c r="FV25" s="283">
        <f>IF(AND(Stamoplysninger!$B$26="Der er indgået lokalaftale omkring weekendtimer.(Kræver aftale med TR/FSL) Weekendtillæg afspadseres.",I25="X"),K25,0)</f>
        <v>0</v>
      </c>
      <c r="FW25" s="674">
        <f>IF(AND(AND(Stamoplysninger!$B$26="Der er indgået lokalaftale omkring weekendtimer.(Kræver aftale med TR/FSL) Weekendtillæg afspadseres.",I25="X",C25="ikke relevant")),K25,0)</f>
        <v>0</v>
      </c>
      <c r="FX25" s="283">
        <f>IF(AND(Stamoplysninger!$B$26="Der er indgået lokalaftale omkring weekendtimer(Kræver aftale med TR/FSL). Weekendtillæg udbetales.",I25="X"),K25,0)</f>
        <v>0</v>
      </c>
      <c r="FY25" s="674">
        <f>IF(AND(AND(Stamoplysninger!$B$26="Der er indgået lokalaftale omkring weekendtimer(Kræver aftale med TR/FSL). Weekendtillæg udbetales.",I25="X",C25="ikke relevant")),K25,0)</f>
        <v>0</v>
      </c>
      <c r="FZ25" s="283">
        <f>IF(AND(Stamoplysninger!$B$26="Der er indgået lokalaftale omkring weekendtillæg(Kræver aftale med TR/FSL). Weekendtimerne udbetales.",I25="X"),K25,0)</f>
        <v>0</v>
      </c>
      <c r="GA25" s="674">
        <f>IF(AND(AND(Stamoplysninger!$B$26="Der er indgået lokalaftale omkring weekendtillæg(Kræver aftale med TR/FSL). Weekendtimerne udbetales.",I25="X",C25="ikke relevant")),K25,0)</f>
        <v>0</v>
      </c>
      <c r="GB25" s="283">
        <f>IF(AND(Stamoplysninger!$B$26="Der er indgået lokalaftale omkring weekendtimer og weekendtillæg.(Kræver aftale med TR/FSL).",I25="X"),K25,0)</f>
        <v>0</v>
      </c>
      <c r="GC25" s="674">
        <f>IF(AND(AND(Stamoplysninger!$B$26="Der er indgået lokalaftale omkring weekendtimer og weekendtillæg.(Kræver aftale med TR/FSL).",I25="X",C25="ikke relevant")),K25,0)</f>
        <v>0</v>
      </c>
    </row>
    <row r="26" spans="1:185">
      <c r="A26" s="245">
        <f t="shared" si="17"/>
        <v>18</v>
      </c>
      <c r="B26" s="128" t="str">
        <f t="shared" si="0"/>
        <v>on</v>
      </c>
      <c r="C26" s="129" t="s">
        <v>207</v>
      </c>
      <c r="D26" s="130" t="str">
        <f t="shared" si="1"/>
        <v/>
      </c>
      <c r="E26" s="917"/>
      <c r="F26" s="918"/>
      <c r="G26" s="919"/>
      <c r="H26" s="298"/>
      <c r="I26" s="527"/>
      <c r="J26" s="413"/>
      <c r="K26" s="380"/>
      <c r="L26" s="380"/>
      <c r="M26" s="380"/>
      <c r="N26" s="318">
        <f t="shared" si="18"/>
        <v>7.75</v>
      </c>
      <c r="O26" s="318">
        <f t="shared" si="19"/>
        <v>4.25</v>
      </c>
      <c r="P26" s="318">
        <f>IF(Stamoplysninger!$H$29="JA",Juni!DG26,CX26)</f>
        <v>1</v>
      </c>
      <c r="Q26" s="318">
        <f t="shared" si="20"/>
        <v>2.5</v>
      </c>
      <c r="R26" s="319"/>
      <c r="S26" s="324"/>
      <c r="T26" s="325"/>
      <c r="U26" s="325"/>
      <c r="V26" s="435"/>
      <c r="W26" s="435"/>
      <c r="X26" s="644"/>
      <c r="Y26">
        <f t="shared" si="21"/>
        <v>0</v>
      </c>
      <c r="Z26" s="437">
        <f t="shared" si="22"/>
        <v>0</v>
      </c>
      <c r="AA26" s="1">
        <f t="shared" si="2"/>
        <v>0</v>
      </c>
      <c r="AB26" s="1">
        <f t="shared" si="3"/>
        <v>0</v>
      </c>
      <c r="AC26" s="1">
        <f t="shared" si="4"/>
        <v>0</v>
      </c>
      <c r="AD26" s="1">
        <f t="shared" si="5"/>
        <v>0</v>
      </c>
      <c r="AE26" s="1">
        <f t="shared" si="6"/>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f>IF(AND(C26="Skema 2",B26="on"),Arbejdstidsoversigt!$E$83,"")</f>
        <v>7.75</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7.75</v>
      </c>
      <c r="BB26" s="229">
        <f t="shared" si="7"/>
        <v>0</v>
      </c>
      <c r="BC26" s="1">
        <f t="shared" si="24"/>
        <v>0</v>
      </c>
      <c r="BD26" s="1">
        <f t="shared" si="8"/>
        <v>0</v>
      </c>
      <c r="BE26" s="1">
        <f t="shared" si="9"/>
        <v>0</v>
      </c>
      <c r="BF26" s="1">
        <f t="shared" si="10"/>
        <v>0</v>
      </c>
      <c r="BG26" s="210" t="str">
        <f>IF(AND(C26="Skema 1",B26="ma"),Skemaoplysninger!$E$30,"")</f>
        <v/>
      </c>
      <c r="BH26" s="210" t="str">
        <f>IF(AND(C26="Skema 1",B26="ti"),Skemaoplysninger!$G$30,"")</f>
        <v/>
      </c>
      <c r="BI26" s="210" t="str">
        <f>IF(AND(C26="Skema 1",B26="on"),Skemaoplysninger!$I$30,"")</f>
        <v/>
      </c>
      <c r="BJ26" s="210" t="str">
        <f>IF(AND(C26="Skema 1",B26="to"),Skemaoplysninger!$K$30,"")</f>
        <v/>
      </c>
      <c r="BK26" s="210" t="str">
        <f>IF(AND(C26="Skema 1",B26="fr"),Skemaoplysninger!$M$30,"")</f>
        <v/>
      </c>
      <c r="BL26" s="210" t="str">
        <f>IF(AND(C26="Skema 2",B26="ma"),Skemaoplysninger!$S$30,"")</f>
        <v/>
      </c>
      <c r="BM26" s="210" t="str">
        <f>IF(AND(C26="Skema 2",B26="ti"),Skemaoplysninger!$U$30,"")</f>
        <v/>
      </c>
      <c r="BN26" s="210">
        <f>IF(AND(C26="Skema 2",B26="on"),Skemaoplysninger!$W$30,"")</f>
        <v>0.17708333333333331</v>
      </c>
      <c r="BO26" s="210" t="str">
        <f>IF(AND(C26="Skema 2",B26="to"),Skemaoplysninger!$Y$30,"")</f>
        <v/>
      </c>
      <c r="BP26" s="210" t="str">
        <f>IF(AND(C26="Skema 2",B26="fr"),Skemaoplysninger!$AA$30,"")</f>
        <v/>
      </c>
      <c r="BQ26" s="210" t="str">
        <f>IF(AND(C26="Skema 3",B26="ma"),Skemaoplysninger!$AG$30,"")</f>
        <v/>
      </c>
      <c r="BR26" s="210" t="str">
        <f>IF(AND(C26="Skema 3",B26="ti"),Skemaoplysninger!$AI$30,"")</f>
        <v/>
      </c>
      <c r="BS26" s="210" t="str">
        <f>IF(AND(C26="Skema 3",B26="on"),Skemaoplysninger!$AK$30,"")</f>
        <v/>
      </c>
      <c r="BT26" s="210" t="str">
        <f>IF(AND(C26="Skema 3",B26="to"),Skemaoplysninger!$AM$30,"")</f>
        <v/>
      </c>
      <c r="BU26" s="210" t="str">
        <f>IF(AND(C26="Skema 3",B26="fr"),Skemaoplysninger!$AO$30,"")</f>
        <v/>
      </c>
      <c r="BV26" s="210" t="str">
        <f>IF(AND(C26="Skema 4",B26="ma"),Skemaoplysninger!$AU$30,"")</f>
        <v/>
      </c>
      <c r="BW26" s="210" t="str">
        <f>IF(AND(C26="Skema 4",B26="ti"),Skemaoplysninger!$AW$30,"")</f>
        <v/>
      </c>
      <c r="BX26" s="210" t="str">
        <f>IF(AND(C26="Skema 4",B26="on"),Skemaoplysninger!$AY$30,"")</f>
        <v/>
      </c>
      <c r="BY26" s="210" t="str">
        <f>IF(AND(C26="Skema 4",B26="to"),Skemaoplysninger!$BA$30,"")</f>
        <v/>
      </c>
      <c r="BZ26" s="210" t="str">
        <f>IF(AND(C26="Skema 4",B26="fr"),Skemaoplysninger!$BC$30,"")</f>
        <v/>
      </c>
      <c r="CA26" s="1">
        <f t="shared" si="25"/>
        <v>4.25</v>
      </c>
      <c r="CB26" s="1">
        <f t="shared" si="11"/>
        <v>0</v>
      </c>
      <c r="CC26" s="1">
        <f t="shared" si="12"/>
        <v>0</v>
      </c>
      <c r="CD26" s="210" t="str">
        <f>IF(AND(C26="Skema 1",B26="ma"),Skemaoplysninger!$E$31,"")</f>
        <v/>
      </c>
      <c r="CE26" s="210" t="str">
        <f>IF(AND(C26="Skema 1",B26="ti"),Skemaoplysninger!$G$31,"")</f>
        <v/>
      </c>
      <c r="CF26" s="210" t="str">
        <f>IF(AND(C26="Skema 1",B26="on"),Skemaoplysninger!$I$31,"")</f>
        <v/>
      </c>
      <c r="CG26" s="210" t="str">
        <f>IF(AND(C26="Skema 1",B26="to"),Skemaoplysninger!$K$31,"")</f>
        <v/>
      </c>
      <c r="CH26" s="210" t="str">
        <f>IF(AND(C26="Skema 1",B26="fr"),Skemaoplysninger!$M$31,"")</f>
        <v/>
      </c>
      <c r="CI26" s="210" t="str">
        <f>IF(AND(C26="Skema 2",B26="ma"),Skemaoplysninger!$S$31,"")</f>
        <v/>
      </c>
      <c r="CJ26" s="210" t="str">
        <f>IF(AND(C26="Skema 2",B26="ti"),Skemaoplysninger!$U$31,"")</f>
        <v/>
      </c>
      <c r="CK26" s="210">
        <f>IF(AND(C26="Skema 2",B26="on"),Skemaoplysninger!$W$31,"")</f>
        <v>4.1666666666666664E-2</v>
      </c>
      <c r="CL26" s="210" t="str">
        <f>IF(AND(C26="Skema 2",B26="to"),Skemaoplysninger!$Y$31,"")</f>
        <v/>
      </c>
      <c r="CM26" s="210" t="str">
        <f>IF(AND(C26="Skema 2",B26="fr"),Skemaoplysninger!$AA$31,"")</f>
        <v/>
      </c>
      <c r="CN26" s="210" t="str">
        <f>IF(AND(C26="Skema 3",B26="ma"),Skemaoplysninger!$AG$31,"")</f>
        <v/>
      </c>
      <c r="CO26" s="210" t="str">
        <f>IF(AND(C26="Skema 3",B26="ti"),Skemaoplysninger!$AI$31,"")</f>
        <v/>
      </c>
      <c r="CP26" s="210" t="str">
        <f>IF(AND(C26="Skema 3",B26="on"),Skemaoplysninger!$AK$31,"")</f>
        <v/>
      </c>
      <c r="CQ26" s="210" t="str">
        <f>IF(AND(C26="Skema 3",B26="to"),Skemaoplysninger!$AM$31,"")</f>
        <v/>
      </c>
      <c r="CR26" s="210" t="str">
        <f>IF(AND(C26="Skema 3",B26="fr"),Skemaoplysninger!$AO$31,"")</f>
        <v/>
      </c>
      <c r="CS26" s="210" t="str">
        <f>IF(AND(C26="Skema 4",B26="ma"),Skemaoplysninger!$AU$31,"")</f>
        <v/>
      </c>
      <c r="CT26" s="210" t="str">
        <f>IF(AND(C26="Skema 4",B26="ti"),Skemaoplysninger!$AW$31,"")</f>
        <v/>
      </c>
      <c r="CU26" s="210" t="str">
        <f>IF(AND(C26="Skema 4",B26="on"),Skemaoplysninger!$AY$31,"")</f>
        <v/>
      </c>
      <c r="CV26" s="210" t="str">
        <f>IF(AND(C26="Skema 4",B26="to"),Skemaoplysninger!$BA$31,"")</f>
        <v/>
      </c>
      <c r="CW26" s="210" t="str">
        <f>IF(AND(C26="Skema 4",B26="fr"),Skemaoplysninger!$BC$31,"")</f>
        <v/>
      </c>
      <c r="CX26" s="249">
        <f>IF(Stamoplysninger!$H$29="NEJ",SUM(CD26:CW26)*24+CB26+CC26,0)</f>
        <v>1</v>
      </c>
      <c r="CY26" s="249">
        <f>IF(C26="Skema 1",Stamoplysninger!$H$30/200,0)</f>
        <v>0</v>
      </c>
      <c r="CZ26" s="249">
        <f>IF(C26="Skema 2",Stamoplysninger!$H$30/200,0)</f>
        <v>0</v>
      </c>
      <c r="DA26" s="249">
        <f>IF(C26="Skema 3",Stamoplysninger!$H$30/200,0)</f>
        <v>0</v>
      </c>
      <c r="DB26" s="249">
        <f>IF(C26="Skema 4",Stamoplysninger!$H$30/200,0)</f>
        <v>0</v>
      </c>
      <c r="DC26" s="249">
        <f>IF(C26="fagdag",Stamoplysninger!$H$30/200,0)</f>
        <v>0</v>
      </c>
      <c r="DD26" s="249">
        <f>IF(C26="emnedag",Stamoplysninger!$H$30/200,0)</f>
        <v>0</v>
      </c>
      <c r="DE26" s="249">
        <f>IF(C26="lejrskole",Stamoplysninger!$H$30/200,0)</f>
        <v>0</v>
      </c>
      <c r="DF26" s="249">
        <f>IF(C26="ekskursion",Stamoplysninger!$H$30/200,0)</f>
        <v>0</v>
      </c>
      <c r="DG26" s="249">
        <f t="shared" si="26"/>
        <v>0</v>
      </c>
      <c r="DH26" t="str">
        <f t="shared" si="27"/>
        <v/>
      </c>
      <c r="DI26">
        <f t="shared" si="28"/>
        <v>0</v>
      </c>
      <c r="DJ26">
        <f t="shared" si="29"/>
        <v>0</v>
      </c>
      <c r="DK26" t="str">
        <f t="shared" si="13"/>
        <v/>
      </c>
      <c r="DL26" t="str">
        <f t="shared" si="13"/>
        <v/>
      </c>
      <c r="DM26" t="str">
        <f t="shared" si="13"/>
        <v/>
      </c>
      <c r="DN26" t="str">
        <f t="shared" si="30"/>
        <v/>
      </c>
      <c r="DO26" s="652">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71">
        <f>IF(AND(Stamoplysninger!$B$22="Ulempetillæg udbetales med 25% af nettotimelønnen.",C26="ikke relevant"),(R26)/4,0)</f>
        <v>0</v>
      </c>
      <c r="DT26" s="671">
        <f>IF(AND(AND(Stamoplysninger!$B$22="Ulempetillæg udbetales med 25% af nettotimelønnen.",I26="X",C26="Ikke relevant")),K26/4,0)</f>
        <v>0</v>
      </c>
      <c r="DU26" s="671">
        <f>IF(AND(AND(Stamoplysninger!$B$22="Ulempetillæg udbetales med 25% af nettotimelønnen.",C26="ikke relevant",U26="X")),(X26/4),0)</f>
        <v>0</v>
      </c>
      <c r="DV26" s="672">
        <f>IF(AND(AND(AND(Stamoplysninger!$B$22="Ulempetillæg udbetales med 25% af nettotimelønnen.",I26="X",C26="Ikke relevant",S26="X"))),V26/4,0)</f>
        <v>0</v>
      </c>
      <c r="DW26" s="652"/>
      <c r="DZ26" s="671"/>
      <c r="EA26" s="671"/>
      <c r="EB26" s="672"/>
      <c r="EC26" s="652">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71">
        <f>IF(AND(Stamoplysninger!$B$22="Ulempetillæg afspadseres med 25%(Kræver en aftale imellem ledelsen og den ansatte)",C26="ikke relevant"),(R26)/4,0)</f>
        <v>0</v>
      </c>
      <c r="EH26" s="671">
        <f>IF(AND(AND(Stamoplysninger!$B$22="Ulempetillæg afspadseres med 25%(Kræver en aftale imellem ledelsen og den ansatte)",I26="X",C26="Ikke relevant")),K26/4,0)</f>
        <v>0</v>
      </c>
      <c r="EI26" s="671">
        <f>IF(AND(AND(Stamoplysninger!$B$22="Ulempetillæg afspadseres med 25%(Kræver en aftale imellem ledelsen og den ansatte)",U26="X",C26="Ikke relevant")),X26/4,0)</f>
        <v>0</v>
      </c>
      <c r="EJ26" s="671">
        <f>IF(AND(AND(AND(Stamoplysninger!$B$22="Ulempetillæg afspadseres med 25%(Kræver en aftale imellem ledelsen og den ansatte)",I26="X",C26="Ikke relevant",S26="X"))),V26/4,0)</f>
        <v>0</v>
      </c>
      <c r="EK26" s="283">
        <f>IF(AND(Stamoplysninger!$B$26="Weekendtimer og weekendtillæg afspadseres.",I26="X"),K26*1.5,0)</f>
        <v>0</v>
      </c>
      <c r="EL26" s="251">
        <f>IF(AND(AND(Stamoplysninger!$B$26="Weekendtimer og weekendtillæg afspadseres.",I26="X",S26="X")),V26*1.5,0)</f>
        <v>0</v>
      </c>
      <c r="EM26" s="674">
        <f>IF(AND(AND(Stamoplysninger!$B$26="Weekendtimer og weekendtillæg afspadseres.",I26="X",C26="ikke relevant")),K26*1.5,0)</f>
        <v>0</v>
      </c>
      <c r="EN26" s="675">
        <f>IF(AND(AND(AND(Stamoplysninger!$B$26="Weekendtimer og weekendtillæg afspadseres.",I26="X",C26="ikke relevant",S26="X"))),(V26*1.5),0)</f>
        <v>0</v>
      </c>
      <c r="EO26" s="283">
        <f>IF(AND(Stamoplysninger!$B$26="Weekendtimer og weekendtillæg udbetales.",I26="X"),K26*1.5,0)</f>
        <v>0</v>
      </c>
      <c r="EP26" s="251">
        <f>IF(AND(AND(Stamoplysninger!$B$26="Weekendtimer og weekendtillæg udbetales.",I26="X",S26="X")),V26*1.5,0)</f>
        <v>0</v>
      </c>
      <c r="EQ26" s="674">
        <f>IF(AND(AND(Stamoplysninger!$B$26="Weekendtimer og weekendtillæg udbetales.",I26="X",C26="ikke relevant")),K26*1.5,0)</f>
        <v>0</v>
      </c>
      <c r="ER26" s="675">
        <f>IF(AND(AND(AND(Stamoplysninger!$B$26="Weekendtimer og weekendtillæg udbetales.",I26="X",C26="ikke relevant",S26="X"))),(V26*1.5),0)</f>
        <v>0</v>
      </c>
      <c r="ES26" s="283">
        <f>IF(AND(Stamoplysninger!$B$26="Der er indgået lokalaftale omkring weekendtimer.(Kræver aftale med TR/FSL) Weekendtillæg afspadseres.",I26="X"),K26*0.5,0)</f>
        <v>0</v>
      </c>
      <c r="ET26" s="251">
        <f>IF(AND(AND(Stamoplysninger!$B$26="Der er indgået lokalaftale omkring weekendtimer.(Kræver aftale med TR/FSL) Weekendtillæg afspadseres.",I26="X",S26="X")),V26*0.5,0)</f>
        <v>0</v>
      </c>
      <c r="EU26" s="674">
        <f>IF(AND(AND(Stamoplysninger!$B$26="Der er indgået lokalaftale omkring weekendtimer.(Kræver aftale med TR/FSL) Weekendtillæg afspadseres.",I26="X",C26="ikke relevant")),K26*0.5,0)</f>
        <v>0</v>
      </c>
      <c r="EV26" s="675">
        <f>IF(AND(AND(AND(Stamoplysninger!$B$26="Der er indgået lokalaftale omkring weekendtimer.(Kræver aftale med TR/FSL) Weekendtillæg afspadseres.",I26="X",C26="ikke relevant",S26="X"))),(V26*0.5),0)</f>
        <v>0</v>
      </c>
      <c r="EW26" s="283">
        <f>IF(AND(Stamoplysninger!$B$26="Der er indgået lokalaftale omkring weekendtimer(Kræver aftale med TR/FSL). Weekendtillæg udbetales.",I26="X"),K26*0.5,0)</f>
        <v>0</v>
      </c>
      <c r="EX26" s="251">
        <f>IF(AND(AND(Stamoplysninger!$B$26="Der er indgået lokalaftale omkring weekendtimer(Kræver aftale med TR/FSL). Weekendtillæg udbetales.",I26="X",S26="X")),V26*0.5,0)</f>
        <v>0</v>
      </c>
      <c r="EY26" s="674">
        <f>IF(AND(AND(Stamoplysninger!$B$26="Der er indgået lokalaftale omkring weekendtimer(Kræver aftale med TR/FSL). Weekendtillæg udbetales.",I26="X",C26="ikke relevant")),K26*0.5,0)</f>
        <v>0</v>
      </c>
      <c r="EZ26" s="675">
        <f>IF(AND(AND(AND(Stamoplysninger!$B$26="Der er indgået lokalaftale omkring weekendtimer(Kræver aftale med TR/FSL). Weekendtillæg udbetales.",I26="X",C26="ikke relevant",S26="X"))),(V26*0.5),0)</f>
        <v>0</v>
      </c>
      <c r="FA26" s="283">
        <f>IF(AND(Stamoplysninger!$B$26="Der er indgået lokalaftale omkring weekendtillæg(Kræver aftale med TR/FSL). Weekendtimerne afspadseres.",I26="X"),K26,0)</f>
        <v>0</v>
      </c>
      <c r="FB26" s="251">
        <f>IF(AND(AND(Stamoplysninger!$B$26="Der er indgået lokalaftale omkring weekendtillæg(Kræver aftale med TR/FSL). Weekendtimerne afspadseres.",I26="X",S26="X")),V26,0)</f>
        <v>0</v>
      </c>
      <c r="FC26" s="674">
        <f>IF(AND(AND(Stamoplysninger!$B$26="Der er indgået lokalaftale omkring weekendtillæg(Kræver aftale med TR/FSL). Weekendtimerne afspadseres..",I26="X",C26="ikke relevant")),K26,0)</f>
        <v>0</v>
      </c>
      <c r="FD26" s="675">
        <f>IF(AND(AND(AND(Stamoplysninger!$B$26="Der er indgået lokalaftale omkring weekendtillæg(Kræver aftale med TR/FSL). Weekendtimerne afspadseres.",I26="X",C26="ikke relevant",S26="X"))),(V26),0)</f>
        <v>0</v>
      </c>
      <c r="FE26" s="283">
        <f>IF(AND(Stamoplysninger!$B$26="Der er indgået lokalaftale omkring weekendtillæg(Kræver aftale med TR/FSL). Weekendtimerne udbetales.",I26="X"),K26,0)</f>
        <v>0</v>
      </c>
      <c r="FF26" s="251">
        <f>IF(AND(AND(Stamoplysninger!$B$26="Der er indgået lokalaftale omkring weekendtillæg(Kræver aftale med TR/FSL). Weekendtimerne udbetales.",I26="X",S26="X")),V26,0)</f>
        <v>0</v>
      </c>
      <c r="FG26" s="674">
        <f>IF(AND(AND(Stamoplysninger!$B$26="Der er indgået lokalaftale omkring weekendtillæg(Kræver aftale med TR/FSL). Weekendtimerne udbetales.",I26="X",C26="ikke relevant")),K26,0)</f>
        <v>0</v>
      </c>
      <c r="FH26" s="675">
        <f>IF(AND(AND(AND(Stamoplysninger!$B$26="Der er indgået lokalaftale omkring weekendtillæg(Kræver aftale med TR/FSL). Weekendtimerne udbetales.",I26="X",C26="ikke relevant",S26="X"))),(V26),0)</f>
        <v>0</v>
      </c>
      <c r="FI26" s="283">
        <f>IF(AND(Stamoplysninger!$B$26="Weekendtimer og weekendtillæg afspadseres.",I26="X"),K26,0)</f>
        <v>0</v>
      </c>
      <c r="FJ26" s="251">
        <f>IF(AND(Stamoplysninger!$B$26="Weekendtimer og weekendtillæg afspadseres.",Y26="X"),(AA26+AL26)/2,0)</f>
        <v>0</v>
      </c>
      <c r="FK26" s="674">
        <f>IF(AND(AND(Stamoplysninger!$B$26="Weekendtimer og weekendtillæg afspadseres.",I26="X",C26="ikke relevant")),K26,0)</f>
        <v>0</v>
      </c>
      <c r="FL26" s="675">
        <f>IF(AND(AND(Stamoplysninger!$B$26="Weekendtimer og weekendtillæg afspadseres.",Y26="X",S26="ikke relevant")),(AA26+AL26)/2,0)</f>
        <v>0</v>
      </c>
      <c r="FM26" s="283">
        <f>IF(AND(Stamoplysninger!$B$26="Der er indgået lokalaftale omkring weekendtillæg(Kræver aftale med TR/FSL). Weekendtimerne afspadseres.",I26="X"),K26,0)</f>
        <v>0</v>
      </c>
      <c r="FN26" s="674">
        <f>IF(AND(AND(Stamoplysninger!$B$26="Der er indgået lokalaftale omkring weekendtillæg(Kræver aftale med TR/FSL). Weekendtimerne afspadseres.",I26="X",C26="ikke relevant")),K26,0)</f>
        <v>0</v>
      </c>
      <c r="FO26" s="283">
        <f>IF(AND(Stamoplysninger!$B$26="Weekendtimer og weekendtillæg udbetales.",I26="X"),K26,0)</f>
        <v>0</v>
      </c>
      <c r="FP26" s="251">
        <f>IF(AND(Stamoplysninger!$B$26="Weekendtimer og weekendtillæg udbetales.",AA26="X"),(AC26+AN26)/2,0)</f>
        <v>0</v>
      </c>
      <c r="FQ26" s="674">
        <f>IF(AND(AND(Stamoplysninger!$B$26="Weekendtimer og weekendtillæg udbetales.",I26="X",C26="ikke relevant")),K26,0)</f>
        <v>0</v>
      </c>
      <c r="FR26" s="688">
        <f>IF(AND(AND(Stamoplysninger!$B$26="Weekendtimer og weekendtillæg udbetales.",AA26="X",U26="ikke relevant")),(AC26+AN26)/2,0)</f>
        <v>0</v>
      </c>
      <c r="FS26" s="283">
        <f t="shared" si="14"/>
        <v>0</v>
      </c>
      <c r="FT26" s="658">
        <f t="shared" si="15"/>
        <v>0</v>
      </c>
      <c r="FU26">
        <f t="shared" si="16"/>
        <v>0</v>
      </c>
      <c r="FV26" s="283">
        <f>IF(AND(Stamoplysninger!$B$26="Der er indgået lokalaftale omkring weekendtimer.(Kræver aftale med TR/FSL) Weekendtillæg afspadseres.",I26="X"),K26,0)</f>
        <v>0</v>
      </c>
      <c r="FW26" s="674">
        <f>IF(AND(AND(Stamoplysninger!$B$26="Der er indgået lokalaftale omkring weekendtimer.(Kræver aftale med TR/FSL) Weekendtillæg afspadseres.",I26="X",C26="ikke relevant")),K26,0)</f>
        <v>0</v>
      </c>
      <c r="FX26" s="283">
        <f>IF(AND(Stamoplysninger!$B$26="Der er indgået lokalaftale omkring weekendtimer(Kræver aftale med TR/FSL). Weekendtillæg udbetales.",I26="X"),K26,0)</f>
        <v>0</v>
      </c>
      <c r="FY26" s="674">
        <f>IF(AND(AND(Stamoplysninger!$B$26="Der er indgået lokalaftale omkring weekendtimer(Kræver aftale med TR/FSL). Weekendtillæg udbetales.",I26="X",C26="ikke relevant")),K26,0)</f>
        <v>0</v>
      </c>
      <c r="FZ26" s="283">
        <f>IF(AND(Stamoplysninger!$B$26="Der er indgået lokalaftale omkring weekendtillæg(Kræver aftale med TR/FSL). Weekendtimerne udbetales.",I26="X"),K26,0)</f>
        <v>0</v>
      </c>
      <c r="GA26" s="674">
        <f>IF(AND(AND(Stamoplysninger!$B$26="Der er indgået lokalaftale omkring weekendtillæg(Kræver aftale med TR/FSL). Weekendtimerne udbetales.",I26="X",C26="ikke relevant")),K26,0)</f>
        <v>0</v>
      </c>
      <c r="GB26" s="283">
        <f>IF(AND(Stamoplysninger!$B$26="Der er indgået lokalaftale omkring weekendtimer og weekendtillæg.(Kræver aftale med TR/FSL).",I26="X"),K26,0)</f>
        <v>0</v>
      </c>
      <c r="GC26" s="674">
        <f>IF(AND(AND(Stamoplysninger!$B$26="Der er indgået lokalaftale omkring weekendtimer og weekendtillæg.(Kræver aftale med TR/FSL).",I26="X",C26="ikke relevant")),K26,0)</f>
        <v>0</v>
      </c>
    </row>
    <row r="27" spans="1:185">
      <c r="A27" s="245">
        <f t="shared" si="17"/>
        <v>19</v>
      </c>
      <c r="B27" s="128" t="str">
        <f t="shared" si="0"/>
        <v>to</v>
      </c>
      <c r="C27" s="129" t="s">
        <v>207</v>
      </c>
      <c r="D27" s="130" t="str">
        <f t="shared" si="1"/>
        <v/>
      </c>
      <c r="E27" s="917"/>
      <c r="F27" s="918"/>
      <c r="G27" s="919"/>
      <c r="H27" s="298"/>
      <c r="I27" s="527"/>
      <c r="J27" s="413"/>
      <c r="K27" s="380"/>
      <c r="L27" s="380"/>
      <c r="M27" s="380"/>
      <c r="N27" s="318">
        <f t="shared" si="18"/>
        <v>7.75</v>
      </c>
      <c r="O27" s="318">
        <f t="shared" si="19"/>
        <v>3</v>
      </c>
      <c r="P27" s="318">
        <f>IF(Stamoplysninger!$H$29="JA",Juni!DG27,CX27)</f>
        <v>0.83333333333333337</v>
      </c>
      <c r="Q27" s="318">
        <f t="shared" si="20"/>
        <v>3.9166666666666665</v>
      </c>
      <c r="R27" s="319"/>
      <c r="S27" s="324"/>
      <c r="T27" s="325"/>
      <c r="U27" s="325"/>
      <c r="V27" s="435"/>
      <c r="W27" s="435"/>
      <c r="X27" s="644"/>
      <c r="Y27">
        <f t="shared" si="21"/>
        <v>0</v>
      </c>
      <c r="Z27" s="437">
        <f t="shared" si="22"/>
        <v>0</v>
      </c>
      <c r="AA27" s="1">
        <f t="shared" si="2"/>
        <v>0</v>
      </c>
      <c r="AB27" s="1">
        <f t="shared" si="3"/>
        <v>0</v>
      </c>
      <c r="AC27" s="1">
        <f t="shared" si="4"/>
        <v>0</v>
      </c>
      <c r="AD27" s="1">
        <f t="shared" si="5"/>
        <v>0</v>
      </c>
      <c r="AE27" s="1">
        <f t="shared" si="6"/>
        <v>0</v>
      </c>
      <c r="AF27" s="1">
        <f>IF(C27="Orlov",7.4*Stamoplysninger!$E$15,0)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f>IF(AND(C27="Skema 2",B27="to"),Arbejdstidsoversigt!$E$84,"")</f>
        <v>7.75</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7.75</v>
      </c>
      <c r="BB27" s="229">
        <f t="shared" si="7"/>
        <v>0</v>
      </c>
      <c r="BC27" s="1">
        <f t="shared" si="24"/>
        <v>0</v>
      </c>
      <c r="BD27" s="1">
        <f t="shared" si="8"/>
        <v>0</v>
      </c>
      <c r="BE27" s="1">
        <f t="shared" si="9"/>
        <v>0</v>
      </c>
      <c r="BF27" s="1">
        <f t="shared" si="10"/>
        <v>0</v>
      </c>
      <c r="BG27" s="210" t="str">
        <f>IF(AND(C27="Skema 1",B27="ma"),Skemaoplysninger!$E$30,"")</f>
        <v/>
      </c>
      <c r="BH27" s="210" t="str">
        <f>IF(AND(C27="Skema 1",B27="ti"),Skemaoplysninger!$G$30,"")</f>
        <v/>
      </c>
      <c r="BI27" s="210" t="str">
        <f>IF(AND(C27="Skema 1",B27="on"),Skemaoplysninger!$I$30,"")</f>
        <v/>
      </c>
      <c r="BJ27" s="210" t="str">
        <f>IF(AND(C27="Skema 1",B27="to"),Skemaoplysninger!$K$30,"")</f>
        <v/>
      </c>
      <c r="BK27" s="210" t="str">
        <f>IF(AND(C27="Skema 1",B27="fr"),Skemaoplysninger!$M$30,"")</f>
        <v/>
      </c>
      <c r="BL27" s="210" t="str">
        <f>IF(AND(C27="Skema 2",B27="ma"),Skemaoplysninger!$S$30,"")</f>
        <v/>
      </c>
      <c r="BM27" s="210" t="str">
        <f>IF(AND(C27="Skema 2",B27="ti"),Skemaoplysninger!$U$30,"")</f>
        <v/>
      </c>
      <c r="BN27" s="210" t="str">
        <f>IF(AND(C27="Skema 2",B27="on"),Skemaoplysninger!$W$30,"")</f>
        <v/>
      </c>
      <c r="BO27" s="210">
        <f>IF(AND(C27="Skema 2",B27="to"),Skemaoplysninger!$Y$30,"")</f>
        <v>0.125</v>
      </c>
      <c r="BP27" s="210" t="str">
        <f>IF(AND(C27="Skema 2",B27="fr"),Skemaoplysninger!$AA$30,"")</f>
        <v/>
      </c>
      <c r="BQ27" s="210" t="str">
        <f>IF(AND(C27="Skema 3",B27="ma"),Skemaoplysninger!$AG$30,"")</f>
        <v/>
      </c>
      <c r="BR27" s="210" t="str">
        <f>IF(AND(C27="Skema 3",B27="ti"),Skemaoplysninger!$AI$30,"")</f>
        <v/>
      </c>
      <c r="BS27" s="210" t="str">
        <f>IF(AND(C27="Skema 3",B27="on"),Skemaoplysninger!$AK$30,"")</f>
        <v/>
      </c>
      <c r="BT27" s="210" t="str">
        <f>IF(AND(C27="Skema 3",B27="to"),Skemaoplysninger!$AM$30,"")</f>
        <v/>
      </c>
      <c r="BU27" s="210" t="str">
        <f>IF(AND(C27="Skema 3",B27="fr"),Skemaoplysninger!$AO$30,"")</f>
        <v/>
      </c>
      <c r="BV27" s="210" t="str">
        <f>IF(AND(C27="Skema 4",B27="ma"),Skemaoplysninger!$AU$30,"")</f>
        <v/>
      </c>
      <c r="BW27" s="210" t="str">
        <f>IF(AND(C27="Skema 4",B27="ti"),Skemaoplysninger!$AW$30,"")</f>
        <v/>
      </c>
      <c r="BX27" s="210" t="str">
        <f>IF(AND(C27="Skema 4",B27="on"),Skemaoplysninger!$AY$30,"")</f>
        <v/>
      </c>
      <c r="BY27" s="210" t="str">
        <f>IF(AND(C27="Skema 4",B27="to"),Skemaoplysninger!$BA$30,"")</f>
        <v/>
      </c>
      <c r="BZ27" s="210" t="str">
        <f>IF(AND(C27="Skema 4",B27="fr"),Skemaoplysninger!$BC$30,"")</f>
        <v/>
      </c>
      <c r="CA27" s="1">
        <f t="shared" si="25"/>
        <v>3</v>
      </c>
      <c r="CB27" s="1">
        <f t="shared" si="11"/>
        <v>0</v>
      </c>
      <c r="CC27" s="1">
        <f t="shared" si="12"/>
        <v>0</v>
      </c>
      <c r="CD27" s="210" t="str">
        <f>IF(AND(C27="Skema 1",B27="ma"),Skemaoplysninger!$E$31,"")</f>
        <v/>
      </c>
      <c r="CE27" s="210" t="str">
        <f>IF(AND(C27="Skema 1",B27="ti"),Skemaoplysninger!$G$31,"")</f>
        <v/>
      </c>
      <c r="CF27" s="210" t="str">
        <f>IF(AND(C27="Skema 1",B27="on"),Skemaoplysninger!$I$31,"")</f>
        <v/>
      </c>
      <c r="CG27" s="210" t="str">
        <f>IF(AND(C27="Skema 1",B27="to"),Skemaoplysninger!$K$31,"")</f>
        <v/>
      </c>
      <c r="CH27" s="210" t="str">
        <f>IF(AND(C27="Skema 1",B27="fr"),Skemaoplysninger!$M$31,"")</f>
        <v/>
      </c>
      <c r="CI27" s="210" t="str">
        <f>IF(AND(C27="Skema 2",B27="ma"),Skemaoplysninger!$S$31,"")</f>
        <v/>
      </c>
      <c r="CJ27" s="210" t="str">
        <f>IF(AND(C27="Skema 2",B27="ti"),Skemaoplysninger!$U$31,"")</f>
        <v/>
      </c>
      <c r="CK27" s="210" t="str">
        <f>IF(AND(C27="Skema 2",B27="on"),Skemaoplysninger!$W$31,"")</f>
        <v/>
      </c>
      <c r="CL27" s="210">
        <f>IF(AND(C27="Skema 2",B27="to"),Skemaoplysninger!$Y$31,"")</f>
        <v>3.4722222222222224E-2</v>
      </c>
      <c r="CM27" s="210" t="str">
        <f>IF(AND(C27="Skema 2",B27="fr"),Skemaoplysninger!$AA$31,"")</f>
        <v/>
      </c>
      <c r="CN27" s="210" t="str">
        <f>IF(AND(C27="Skema 3",B27="ma"),Skemaoplysninger!$AG$31,"")</f>
        <v/>
      </c>
      <c r="CO27" s="210" t="str">
        <f>IF(AND(C27="Skema 3",B27="ti"),Skemaoplysninger!$AI$31,"")</f>
        <v/>
      </c>
      <c r="CP27" s="210" t="str">
        <f>IF(AND(C27="Skema 3",B27="on"),Skemaoplysninger!$AK$31,"")</f>
        <v/>
      </c>
      <c r="CQ27" s="210" t="str">
        <f>IF(AND(C27="Skema 3",B27="to"),Skemaoplysninger!$AM$31,"")</f>
        <v/>
      </c>
      <c r="CR27" s="210" t="str">
        <f>IF(AND(C27="Skema 3",B27="fr"),Skemaoplysninger!$AO$31,"")</f>
        <v/>
      </c>
      <c r="CS27" s="210" t="str">
        <f>IF(AND(C27="Skema 4",B27="ma"),Skemaoplysninger!$AU$31,"")</f>
        <v/>
      </c>
      <c r="CT27" s="210" t="str">
        <f>IF(AND(C27="Skema 4",B27="ti"),Skemaoplysninger!$AW$31,"")</f>
        <v/>
      </c>
      <c r="CU27" s="210" t="str">
        <f>IF(AND(C27="Skema 4",B27="on"),Skemaoplysninger!$AY$31,"")</f>
        <v/>
      </c>
      <c r="CV27" s="210" t="str">
        <f>IF(AND(C27="Skema 4",B27="to"),Skemaoplysninger!$BA$31,"")</f>
        <v/>
      </c>
      <c r="CW27" s="210" t="str">
        <f>IF(AND(C27="Skema 4",B27="fr"),Skemaoplysninger!$BC$31,"")</f>
        <v/>
      </c>
      <c r="CX27" s="249">
        <f>IF(Stamoplysninger!$H$29="NEJ",SUM(CD27:CW27)*24+CB27+CC27,0)</f>
        <v>0.83333333333333337</v>
      </c>
      <c r="CY27" s="249">
        <f>IF(C27="Skema 1",Stamoplysninger!$H$30/200,0)</f>
        <v>0</v>
      </c>
      <c r="CZ27" s="249">
        <f>IF(C27="Skema 2",Stamoplysninger!$H$30/200,0)</f>
        <v>0</v>
      </c>
      <c r="DA27" s="249">
        <f>IF(C27="Skema 3",Stamoplysninger!$H$30/200,0)</f>
        <v>0</v>
      </c>
      <c r="DB27" s="249">
        <f>IF(C27="Skema 4",Stamoplysninger!$H$30/200,0)</f>
        <v>0</v>
      </c>
      <c r="DC27" s="249">
        <f>IF(C27="fagdag",Stamoplysninger!$H$30/200,0)</f>
        <v>0</v>
      </c>
      <c r="DD27" s="249">
        <f>IF(C27="emnedag",Stamoplysninger!$H$30/200,0)</f>
        <v>0</v>
      </c>
      <c r="DE27" s="249">
        <f>IF(C27="lejrskole",Stamoplysninger!$H$30/200,0)</f>
        <v>0</v>
      </c>
      <c r="DF27" s="249">
        <f>IF(C27="ekskursion",Stamoplysninger!$H$30/200,0)</f>
        <v>0</v>
      </c>
      <c r="DG27" s="249">
        <f t="shared" si="26"/>
        <v>0</v>
      </c>
      <c r="DH27" t="str">
        <f t="shared" si="27"/>
        <v/>
      </c>
      <c r="DI27">
        <f t="shared" si="28"/>
        <v>0</v>
      </c>
      <c r="DJ27">
        <f t="shared" si="29"/>
        <v>0</v>
      </c>
      <c r="DK27" t="str">
        <f t="shared" si="13"/>
        <v/>
      </c>
      <c r="DL27" t="str">
        <f t="shared" si="13"/>
        <v/>
      </c>
      <c r="DM27" t="str">
        <f t="shared" si="13"/>
        <v/>
      </c>
      <c r="DN27" t="str">
        <f t="shared" si="30"/>
        <v/>
      </c>
      <c r="DO27" s="652">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71">
        <f>IF(AND(Stamoplysninger!$B$22="Ulempetillæg udbetales med 25% af nettotimelønnen.",C27="ikke relevant"),(R27)/4,0)</f>
        <v>0</v>
      </c>
      <c r="DT27" s="671">
        <f>IF(AND(AND(Stamoplysninger!$B$22="Ulempetillæg udbetales med 25% af nettotimelønnen.",I27="X",C27="Ikke relevant")),K27/4,0)</f>
        <v>0</v>
      </c>
      <c r="DU27" s="671">
        <f>IF(AND(AND(Stamoplysninger!$B$22="Ulempetillæg udbetales med 25% af nettotimelønnen.",C27="ikke relevant",U27="X")),(X27/4),0)</f>
        <v>0</v>
      </c>
      <c r="DV27" s="672">
        <f>IF(AND(AND(AND(Stamoplysninger!$B$22="Ulempetillæg udbetales med 25% af nettotimelønnen.",I27="X",C27="Ikke relevant",S27="X"))),V27/4,0)</f>
        <v>0</v>
      </c>
      <c r="DW27" s="652"/>
      <c r="DZ27" s="671"/>
      <c r="EA27" s="671"/>
      <c r="EB27" s="672"/>
      <c r="EC27" s="652">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71">
        <f>IF(AND(Stamoplysninger!$B$22="Ulempetillæg afspadseres med 25%(Kræver en aftale imellem ledelsen og den ansatte)",C27="ikke relevant"),(R27)/4,0)</f>
        <v>0</v>
      </c>
      <c r="EH27" s="671">
        <f>IF(AND(AND(Stamoplysninger!$B$22="Ulempetillæg afspadseres med 25%(Kræver en aftale imellem ledelsen og den ansatte)",I27="X",C27="Ikke relevant")),K27/4,0)</f>
        <v>0</v>
      </c>
      <c r="EI27" s="671">
        <f>IF(AND(AND(Stamoplysninger!$B$22="Ulempetillæg afspadseres med 25%(Kræver en aftale imellem ledelsen og den ansatte)",U27="X",C27="Ikke relevant")),X27/4,0)</f>
        <v>0</v>
      </c>
      <c r="EJ27" s="671">
        <f>IF(AND(AND(AND(Stamoplysninger!$B$22="Ulempetillæg afspadseres med 25%(Kræver en aftale imellem ledelsen og den ansatte)",I27="X",C27="Ikke relevant",S27="X"))),V27/4,0)</f>
        <v>0</v>
      </c>
      <c r="EK27" s="283">
        <f>IF(AND(Stamoplysninger!$B$26="Weekendtimer og weekendtillæg afspadseres.",I27="X"),K27*1.5,0)</f>
        <v>0</v>
      </c>
      <c r="EL27" s="251">
        <f>IF(AND(AND(Stamoplysninger!$B$26="Weekendtimer og weekendtillæg afspadseres.",I27="X",S27="X")),V27*1.5,0)</f>
        <v>0</v>
      </c>
      <c r="EM27" s="674">
        <f>IF(AND(AND(Stamoplysninger!$B$26="Weekendtimer og weekendtillæg afspadseres.",I27="X",C27="ikke relevant")),K27*1.5,0)</f>
        <v>0</v>
      </c>
      <c r="EN27" s="675">
        <f>IF(AND(AND(AND(Stamoplysninger!$B$26="Weekendtimer og weekendtillæg afspadseres.",I27="X",C27="ikke relevant",S27="X"))),(V27*1.5),0)</f>
        <v>0</v>
      </c>
      <c r="EO27" s="283">
        <f>IF(AND(Stamoplysninger!$B$26="Weekendtimer og weekendtillæg udbetales.",I27="X"),K27*1.5,0)</f>
        <v>0</v>
      </c>
      <c r="EP27" s="251">
        <f>IF(AND(AND(Stamoplysninger!$B$26="Weekendtimer og weekendtillæg udbetales.",I27="X",S27="X")),V27*1.5,0)</f>
        <v>0</v>
      </c>
      <c r="EQ27" s="674">
        <f>IF(AND(AND(Stamoplysninger!$B$26="Weekendtimer og weekendtillæg udbetales.",I27="X",C27="ikke relevant")),K27*1.5,0)</f>
        <v>0</v>
      </c>
      <c r="ER27" s="675">
        <f>IF(AND(AND(AND(Stamoplysninger!$B$26="Weekendtimer og weekendtillæg udbetales.",I27="X",C27="ikke relevant",S27="X"))),(V27*1.5),0)</f>
        <v>0</v>
      </c>
      <c r="ES27" s="283">
        <f>IF(AND(Stamoplysninger!$B$26="Der er indgået lokalaftale omkring weekendtimer.(Kræver aftale med TR/FSL) Weekendtillæg afspadseres.",I27="X"),K27*0.5,0)</f>
        <v>0</v>
      </c>
      <c r="ET27" s="251">
        <f>IF(AND(AND(Stamoplysninger!$B$26="Der er indgået lokalaftale omkring weekendtimer.(Kræver aftale med TR/FSL) Weekendtillæg afspadseres.",I27="X",S27="X")),V27*0.5,0)</f>
        <v>0</v>
      </c>
      <c r="EU27" s="674">
        <f>IF(AND(AND(Stamoplysninger!$B$26="Der er indgået lokalaftale omkring weekendtimer.(Kræver aftale med TR/FSL) Weekendtillæg afspadseres.",I27="X",C27="ikke relevant")),K27*0.5,0)</f>
        <v>0</v>
      </c>
      <c r="EV27" s="675">
        <f>IF(AND(AND(AND(Stamoplysninger!$B$26="Der er indgået lokalaftale omkring weekendtimer.(Kræver aftale med TR/FSL) Weekendtillæg afspadseres.",I27="X",C27="ikke relevant",S27="X"))),(V27*0.5),0)</f>
        <v>0</v>
      </c>
      <c r="EW27" s="283">
        <f>IF(AND(Stamoplysninger!$B$26="Der er indgået lokalaftale omkring weekendtimer(Kræver aftale med TR/FSL). Weekendtillæg udbetales.",I27="X"),K27*0.5,0)</f>
        <v>0</v>
      </c>
      <c r="EX27" s="251">
        <f>IF(AND(AND(Stamoplysninger!$B$26="Der er indgået lokalaftale omkring weekendtimer(Kræver aftale med TR/FSL). Weekendtillæg udbetales.",I27="X",S27="X")),V27*0.5,0)</f>
        <v>0</v>
      </c>
      <c r="EY27" s="674">
        <f>IF(AND(AND(Stamoplysninger!$B$26="Der er indgået lokalaftale omkring weekendtimer(Kræver aftale med TR/FSL). Weekendtillæg udbetales.",I27="X",C27="ikke relevant")),K27*0.5,0)</f>
        <v>0</v>
      </c>
      <c r="EZ27" s="675">
        <f>IF(AND(AND(AND(Stamoplysninger!$B$26="Der er indgået lokalaftale omkring weekendtimer(Kræver aftale med TR/FSL). Weekendtillæg udbetales.",I27="X",C27="ikke relevant",S27="X"))),(V27*0.5),0)</f>
        <v>0</v>
      </c>
      <c r="FA27" s="283">
        <f>IF(AND(Stamoplysninger!$B$26="Der er indgået lokalaftale omkring weekendtillæg(Kræver aftale med TR/FSL). Weekendtimerne afspadseres.",I27="X"),K27,0)</f>
        <v>0</v>
      </c>
      <c r="FB27" s="251">
        <f>IF(AND(AND(Stamoplysninger!$B$26="Der er indgået lokalaftale omkring weekendtillæg(Kræver aftale med TR/FSL). Weekendtimerne afspadseres.",I27="X",S27="X")),V27,0)</f>
        <v>0</v>
      </c>
      <c r="FC27" s="674">
        <f>IF(AND(AND(Stamoplysninger!$B$26="Der er indgået lokalaftale omkring weekendtillæg(Kræver aftale med TR/FSL). Weekendtimerne afspadseres..",I27="X",C27="ikke relevant")),K27,0)</f>
        <v>0</v>
      </c>
      <c r="FD27" s="675">
        <f>IF(AND(AND(AND(Stamoplysninger!$B$26="Der er indgået lokalaftale omkring weekendtillæg(Kræver aftale med TR/FSL). Weekendtimerne afspadseres.",I27="X",C27="ikke relevant",S27="X"))),(V27),0)</f>
        <v>0</v>
      </c>
      <c r="FE27" s="283">
        <f>IF(AND(Stamoplysninger!$B$26="Der er indgået lokalaftale omkring weekendtillæg(Kræver aftale med TR/FSL). Weekendtimerne udbetales.",I27="X"),K27,0)</f>
        <v>0</v>
      </c>
      <c r="FF27" s="251">
        <f>IF(AND(AND(Stamoplysninger!$B$26="Der er indgået lokalaftale omkring weekendtillæg(Kræver aftale med TR/FSL). Weekendtimerne udbetales.",I27="X",S27="X")),V27,0)</f>
        <v>0</v>
      </c>
      <c r="FG27" s="674">
        <f>IF(AND(AND(Stamoplysninger!$B$26="Der er indgået lokalaftale omkring weekendtillæg(Kræver aftale med TR/FSL). Weekendtimerne udbetales.",I27="X",C27="ikke relevant")),K27,0)</f>
        <v>0</v>
      </c>
      <c r="FH27" s="675">
        <f>IF(AND(AND(AND(Stamoplysninger!$B$26="Der er indgået lokalaftale omkring weekendtillæg(Kræver aftale med TR/FSL). Weekendtimerne udbetales.",I27="X",C27="ikke relevant",S27="X"))),(V27),0)</f>
        <v>0</v>
      </c>
      <c r="FI27" s="283">
        <f>IF(AND(Stamoplysninger!$B$26="Weekendtimer og weekendtillæg afspadseres.",I27="X"),K27,0)</f>
        <v>0</v>
      </c>
      <c r="FJ27" s="251">
        <f>IF(AND(Stamoplysninger!$B$26="Weekendtimer og weekendtillæg afspadseres.",Y27="X"),(AA27+AL27)/2,0)</f>
        <v>0</v>
      </c>
      <c r="FK27" s="674">
        <f>IF(AND(AND(Stamoplysninger!$B$26="Weekendtimer og weekendtillæg afspadseres.",I27="X",C27="ikke relevant")),K27,0)</f>
        <v>0</v>
      </c>
      <c r="FL27" s="675">
        <f>IF(AND(AND(Stamoplysninger!$B$26="Weekendtimer og weekendtillæg afspadseres.",Y27="X",S27="ikke relevant")),(AA27+AL27)/2,0)</f>
        <v>0</v>
      </c>
      <c r="FM27" s="283">
        <f>IF(AND(Stamoplysninger!$B$26="Der er indgået lokalaftale omkring weekendtillæg(Kræver aftale med TR/FSL). Weekendtimerne afspadseres.",I27="X"),K27,0)</f>
        <v>0</v>
      </c>
      <c r="FN27" s="674">
        <f>IF(AND(AND(Stamoplysninger!$B$26="Der er indgået lokalaftale omkring weekendtillæg(Kræver aftale med TR/FSL). Weekendtimerne afspadseres.",I27="X",C27="ikke relevant")),K27,0)</f>
        <v>0</v>
      </c>
      <c r="FO27" s="283">
        <f>IF(AND(Stamoplysninger!$B$26="Weekendtimer og weekendtillæg udbetales.",I27="X"),K27,0)</f>
        <v>0</v>
      </c>
      <c r="FP27" s="251">
        <f>IF(AND(Stamoplysninger!$B$26="Weekendtimer og weekendtillæg udbetales.",AA27="X"),(AC27+AN27)/2,0)</f>
        <v>0</v>
      </c>
      <c r="FQ27" s="674">
        <f>IF(AND(AND(Stamoplysninger!$B$26="Weekendtimer og weekendtillæg udbetales.",I27="X",C27="ikke relevant")),K27,0)</f>
        <v>0</v>
      </c>
      <c r="FR27" s="688">
        <f>IF(AND(AND(Stamoplysninger!$B$26="Weekendtimer og weekendtillæg udbetales.",AA27="X",U27="ikke relevant")),(AC27+AN27)/2,0)</f>
        <v>0</v>
      </c>
      <c r="FS27" s="283">
        <f t="shared" si="14"/>
        <v>0</v>
      </c>
      <c r="FT27" s="658">
        <f t="shared" si="15"/>
        <v>0</v>
      </c>
      <c r="FU27">
        <f t="shared" si="16"/>
        <v>0</v>
      </c>
      <c r="FV27" s="283">
        <f>IF(AND(Stamoplysninger!$B$26="Der er indgået lokalaftale omkring weekendtimer.(Kræver aftale med TR/FSL) Weekendtillæg afspadseres.",I27="X"),K27,0)</f>
        <v>0</v>
      </c>
      <c r="FW27" s="674">
        <f>IF(AND(AND(Stamoplysninger!$B$26="Der er indgået lokalaftale omkring weekendtimer.(Kræver aftale med TR/FSL) Weekendtillæg afspadseres.",I27="X",C27="ikke relevant")),K27,0)</f>
        <v>0</v>
      </c>
      <c r="FX27" s="283">
        <f>IF(AND(Stamoplysninger!$B$26="Der er indgået lokalaftale omkring weekendtimer(Kræver aftale med TR/FSL). Weekendtillæg udbetales.",I27="X"),K27,0)</f>
        <v>0</v>
      </c>
      <c r="FY27" s="674">
        <f>IF(AND(AND(Stamoplysninger!$B$26="Der er indgået lokalaftale omkring weekendtimer(Kræver aftale med TR/FSL). Weekendtillæg udbetales.",I27="X",C27="ikke relevant")),K27,0)</f>
        <v>0</v>
      </c>
      <c r="FZ27" s="283">
        <f>IF(AND(Stamoplysninger!$B$26="Der er indgået lokalaftale omkring weekendtillæg(Kræver aftale med TR/FSL). Weekendtimerne udbetales.",I27="X"),K27,0)</f>
        <v>0</v>
      </c>
      <c r="GA27" s="674">
        <f>IF(AND(AND(Stamoplysninger!$B$26="Der er indgået lokalaftale omkring weekendtillæg(Kræver aftale med TR/FSL). Weekendtimerne udbetales.",I27="X",C27="ikke relevant")),K27,0)</f>
        <v>0</v>
      </c>
      <c r="GB27" s="283">
        <f>IF(AND(Stamoplysninger!$B$26="Der er indgået lokalaftale omkring weekendtimer og weekendtillæg.(Kræver aftale med TR/FSL).",I27="X"),K27,0)</f>
        <v>0</v>
      </c>
      <c r="GC27" s="674">
        <f>IF(AND(AND(Stamoplysninger!$B$26="Der er indgået lokalaftale omkring weekendtimer og weekendtillæg.(Kræver aftale med TR/FSL).",I27="X",C27="ikke relevant")),K27,0)</f>
        <v>0</v>
      </c>
    </row>
    <row r="28" spans="1:185">
      <c r="A28" s="245">
        <f t="shared" si="17"/>
        <v>20</v>
      </c>
      <c r="B28" s="128" t="str">
        <f t="shared" si="0"/>
        <v>fr</v>
      </c>
      <c r="C28" s="129" t="s">
        <v>207</v>
      </c>
      <c r="D28" s="130" t="str">
        <f t="shared" si="1"/>
        <v/>
      </c>
      <c r="E28" s="917"/>
      <c r="F28" s="918"/>
      <c r="G28" s="919"/>
      <c r="H28" s="298"/>
      <c r="I28" s="527"/>
      <c r="J28" s="413"/>
      <c r="K28" s="380"/>
      <c r="L28" s="380"/>
      <c r="M28" s="380"/>
      <c r="N28" s="318">
        <f t="shared" si="18"/>
        <v>7</v>
      </c>
      <c r="O28" s="318">
        <f t="shared" si="19"/>
        <v>3</v>
      </c>
      <c r="P28" s="318">
        <f>IF(Stamoplysninger!$H$29="JA",Juni!DG28,CX28)</f>
        <v>0.83333333333333337</v>
      </c>
      <c r="Q28" s="318">
        <f t="shared" si="20"/>
        <v>3.1666666666666665</v>
      </c>
      <c r="R28" s="319"/>
      <c r="S28" s="324"/>
      <c r="T28" s="325"/>
      <c r="U28" s="325"/>
      <c r="V28" s="435"/>
      <c r="W28" s="435"/>
      <c r="X28" s="644"/>
      <c r="Y28">
        <f t="shared" si="21"/>
        <v>0</v>
      </c>
      <c r="Z28" s="437">
        <f t="shared" si="22"/>
        <v>0</v>
      </c>
      <c r="AA28" s="1">
        <f t="shared" si="2"/>
        <v>0</v>
      </c>
      <c r="AB28" s="1">
        <f t="shared" si="3"/>
        <v>0</v>
      </c>
      <c r="AC28" s="1">
        <f t="shared" si="4"/>
        <v>0</v>
      </c>
      <c r="AD28" s="1">
        <f t="shared" si="5"/>
        <v>0</v>
      </c>
      <c r="AE28" s="1">
        <f t="shared" si="6"/>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f>IF(AND(C28="Skema 2",B28="fr"),Arbejdstidsoversigt!$E$85,"")</f>
        <v>7</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7</v>
      </c>
      <c r="BB28" s="229">
        <f t="shared" si="7"/>
        <v>0</v>
      </c>
      <c r="BC28" s="1">
        <f t="shared" si="24"/>
        <v>0</v>
      </c>
      <c r="BD28" s="1">
        <f t="shared" si="8"/>
        <v>0</v>
      </c>
      <c r="BE28" s="1">
        <f t="shared" si="9"/>
        <v>0</v>
      </c>
      <c r="BF28" s="1">
        <f t="shared" si="10"/>
        <v>0</v>
      </c>
      <c r="BG28" s="210" t="str">
        <f>IF(AND(C28="Skema 1",B28="ma"),Skemaoplysninger!$E$30,"")</f>
        <v/>
      </c>
      <c r="BH28" s="210" t="str">
        <f>IF(AND(C28="Skema 1",B28="ti"),Skemaoplysninger!$G$30,"")</f>
        <v/>
      </c>
      <c r="BI28" s="210" t="str">
        <f>IF(AND(C28="Skema 1",B28="on"),Skemaoplysninger!$I$30,"")</f>
        <v/>
      </c>
      <c r="BJ28" s="210" t="str">
        <f>IF(AND(C28="Skema 1",B28="to"),Skemaoplysninger!$K$30,"")</f>
        <v/>
      </c>
      <c r="BK28" s="210" t="str">
        <f>IF(AND(C28="Skema 1",B28="fr"),Skemaoplysninger!$M$30,"")</f>
        <v/>
      </c>
      <c r="BL28" s="210" t="str">
        <f>IF(AND(C28="Skema 2",B28="ma"),Skemaoplysninger!$S$30,"")</f>
        <v/>
      </c>
      <c r="BM28" s="210" t="str">
        <f>IF(AND(C28="Skema 2",B28="ti"),Skemaoplysninger!$U$30,"")</f>
        <v/>
      </c>
      <c r="BN28" s="210" t="str">
        <f>IF(AND(C28="Skema 2",B28="on"),Skemaoplysninger!$W$30,"")</f>
        <v/>
      </c>
      <c r="BO28" s="210" t="str">
        <f>IF(AND(C28="Skema 2",B28="to"),Skemaoplysninger!$Y$30,"")</f>
        <v/>
      </c>
      <c r="BP28" s="210">
        <f>IF(AND(C28="Skema 2",B28="fr"),Skemaoplysninger!$AA$30,"")</f>
        <v>0.125</v>
      </c>
      <c r="BQ28" s="210" t="str">
        <f>IF(AND(C28="Skema 3",B28="ma"),Skemaoplysninger!$AG$30,"")</f>
        <v/>
      </c>
      <c r="BR28" s="210" t="str">
        <f>IF(AND(C28="Skema 3",B28="ti"),Skemaoplysninger!$AI$30,"")</f>
        <v/>
      </c>
      <c r="BS28" s="210" t="str">
        <f>IF(AND(C28="Skema 3",B28="on"),Skemaoplysninger!$AK$30,"")</f>
        <v/>
      </c>
      <c r="BT28" s="210" t="str">
        <f>IF(AND(C28="Skema 3",B28="to"),Skemaoplysninger!$AM$30,"")</f>
        <v/>
      </c>
      <c r="BU28" s="210" t="str">
        <f>IF(AND(C28="Skema 3",B28="fr"),Skemaoplysninger!$AO$30,"")</f>
        <v/>
      </c>
      <c r="BV28" s="210" t="str">
        <f>IF(AND(C28="Skema 4",B28="ma"),Skemaoplysninger!$AU$30,"")</f>
        <v/>
      </c>
      <c r="BW28" s="210" t="str">
        <f>IF(AND(C28="Skema 4",B28="ti"),Skemaoplysninger!$AW$30,"")</f>
        <v/>
      </c>
      <c r="BX28" s="210" t="str">
        <f>IF(AND(C28="Skema 4",B28="on"),Skemaoplysninger!$AY$30,"")</f>
        <v/>
      </c>
      <c r="BY28" s="210" t="str">
        <f>IF(AND(C28="Skema 4",B28="to"),Skemaoplysninger!$BA$30,"")</f>
        <v/>
      </c>
      <c r="BZ28" s="210" t="str">
        <f>IF(AND(C28="Skema 4",B28="fr"),Skemaoplysninger!$BC$30,"")</f>
        <v/>
      </c>
      <c r="CA28" s="1">
        <f t="shared" si="25"/>
        <v>3</v>
      </c>
      <c r="CB28" s="1">
        <f t="shared" si="11"/>
        <v>0</v>
      </c>
      <c r="CC28" s="1">
        <f t="shared" si="12"/>
        <v>0</v>
      </c>
      <c r="CD28" s="210" t="str">
        <f>IF(AND(C28="Skema 1",B28="ma"),Skemaoplysninger!$E$31,"")</f>
        <v/>
      </c>
      <c r="CE28" s="210" t="str">
        <f>IF(AND(C28="Skema 1",B28="ti"),Skemaoplysninger!$G$31,"")</f>
        <v/>
      </c>
      <c r="CF28" s="210" t="str">
        <f>IF(AND(C28="Skema 1",B28="on"),Skemaoplysninger!$I$31,"")</f>
        <v/>
      </c>
      <c r="CG28" s="210" t="str">
        <f>IF(AND(C28="Skema 1",B28="to"),Skemaoplysninger!$K$31,"")</f>
        <v/>
      </c>
      <c r="CH28" s="210" t="str">
        <f>IF(AND(C28="Skema 1",B28="fr"),Skemaoplysninger!$M$31,"")</f>
        <v/>
      </c>
      <c r="CI28" s="210" t="str">
        <f>IF(AND(C28="Skema 2",B28="ma"),Skemaoplysninger!$S$31,"")</f>
        <v/>
      </c>
      <c r="CJ28" s="210" t="str">
        <f>IF(AND(C28="Skema 2",B28="ti"),Skemaoplysninger!$U$31,"")</f>
        <v/>
      </c>
      <c r="CK28" s="210" t="str">
        <f>IF(AND(C28="Skema 2",B28="on"),Skemaoplysninger!$W$31,"")</f>
        <v/>
      </c>
      <c r="CL28" s="210" t="str">
        <f>IF(AND(C28="Skema 2",B28="to"),Skemaoplysninger!$Y$31,"")</f>
        <v/>
      </c>
      <c r="CM28" s="210">
        <f>IF(AND(C28="Skema 2",B28="fr"),Skemaoplysninger!$AA$31,"")</f>
        <v>3.4722222222222224E-2</v>
      </c>
      <c r="CN28" s="210" t="str">
        <f>IF(AND(C28="Skema 3",B28="ma"),Skemaoplysninger!$AG$31,"")</f>
        <v/>
      </c>
      <c r="CO28" s="210" t="str">
        <f>IF(AND(C28="Skema 3",B28="ti"),Skemaoplysninger!$AI$31,"")</f>
        <v/>
      </c>
      <c r="CP28" s="210" t="str">
        <f>IF(AND(C28="Skema 3",B28="on"),Skemaoplysninger!$AK$31,"")</f>
        <v/>
      </c>
      <c r="CQ28" s="210" t="str">
        <f>IF(AND(C28="Skema 3",B28="to"),Skemaoplysninger!$AM$31,"")</f>
        <v/>
      </c>
      <c r="CR28" s="210" t="str">
        <f>IF(AND(C28="Skema 3",B28="fr"),Skemaoplysninger!$AO$31,"")</f>
        <v/>
      </c>
      <c r="CS28" s="210" t="str">
        <f>IF(AND(C28="Skema 4",B28="ma"),Skemaoplysninger!$AU$31,"")</f>
        <v/>
      </c>
      <c r="CT28" s="210" t="str">
        <f>IF(AND(C28="Skema 4",B28="ti"),Skemaoplysninger!$AW$31,"")</f>
        <v/>
      </c>
      <c r="CU28" s="210" t="str">
        <f>IF(AND(C28="Skema 4",B28="on"),Skemaoplysninger!$AY$31,"")</f>
        <v/>
      </c>
      <c r="CV28" s="210" t="str">
        <f>IF(AND(C28="Skema 4",B28="to"),Skemaoplysninger!$BA$31,"")</f>
        <v/>
      </c>
      <c r="CW28" s="210" t="str">
        <f>IF(AND(C28="Skema 4",B28="fr"),Skemaoplysninger!$BC$31,"")</f>
        <v/>
      </c>
      <c r="CX28" s="249">
        <f>IF(Stamoplysninger!$H$29="NEJ",SUM(CD28:CW28)*24+CB28+CC28,0)</f>
        <v>0.83333333333333337</v>
      </c>
      <c r="CY28" s="249">
        <f>IF(C28="Skema 1",Stamoplysninger!$H$30/200,0)</f>
        <v>0</v>
      </c>
      <c r="CZ28" s="249">
        <f>IF(C28="Skema 2",Stamoplysninger!$H$30/200,0)</f>
        <v>0</v>
      </c>
      <c r="DA28" s="249">
        <f>IF(C28="Skema 3",Stamoplysninger!$H$30/200,0)</f>
        <v>0</v>
      </c>
      <c r="DB28" s="249">
        <f>IF(C28="Skema 4",Stamoplysninger!$H$30/200,0)</f>
        <v>0</v>
      </c>
      <c r="DC28" s="249">
        <f>IF(C28="fagdag",Stamoplysninger!$H$30/200,0)</f>
        <v>0</v>
      </c>
      <c r="DD28" s="249">
        <f>IF(C28="emnedag",Stamoplysninger!$H$30/200,0)</f>
        <v>0</v>
      </c>
      <c r="DE28" s="249">
        <f>IF(C28="lejrskole",Stamoplysninger!$H$30/200,0)</f>
        <v>0</v>
      </c>
      <c r="DF28" s="249">
        <f>IF(C28="ekskursion",Stamoplysninger!$H$30/200,0)</f>
        <v>0</v>
      </c>
      <c r="DG28" s="249">
        <f t="shared" si="26"/>
        <v>0</v>
      </c>
      <c r="DH28" t="str">
        <f t="shared" si="27"/>
        <v/>
      </c>
      <c r="DI28">
        <f t="shared" si="28"/>
        <v>0</v>
      </c>
      <c r="DJ28">
        <f t="shared" si="29"/>
        <v>0</v>
      </c>
      <c r="DK28" t="str">
        <f t="shared" si="13"/>
        <v/>
      </c>
      <c r="DL28" t="str">
        <f t="shared" si="13"/>
        <v/>
      </c>
      <c r="DM28" t="str">
        <f t="shared" si="13"/>
        <v/>
      </c>
      <c r="DN28" t="str">
        <f t="shared" si="30"/>
        <v/>
      </c>
      <c r="DO28" s="652">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71">
        <f>IF(AND(Stamoplysninger!$B$22="Ulempetillæg udbetales med 25% af nettotimelønnen.",C28="ikke relevant"),(R28)/4,0)</f>
        <v>0</v>
      </c>
      <c r="DT28" s="671">
        <f>IF(AND(AND(Stamoplysninger!$B$22="Ulempetillæg udbetales med 25% af nettotimelønnen.",I28="X",C28="Ikke relevant")),K28/4,0)</f>
        <v>0</v>
      </c>
      <c r="DU28" s="671">
        <f>IF(AND(AND(Stamoplysninger!$B$22="Ulempetillæg udbetales med 25% af nettotimelønnen.",C28="ikke relevant",U28="X")),(X28/4),0)</f>
        <v>0</v>
      </c>
      <c r="DV28" s="672">
        <f>IF(AND(AND(AND(Stamoplysninger!$B$22="Ulempetillæg udbetales med 25% af nettotimelønnen.",I28="X",C28="Ikke relevant",S28="X"))),V28/4,0)</f>
        <v>0</v>
      </c>
      <c r="DW28" s="652"/>
      <c r="DZ28" s="671"/>
      <c r="EA28" s="671"/>
      <c r="EB28" s="672"/>
      <c r="EC28" s="652">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71">
        <f>IF(AND(Stamoplysninger!$B$22="Ulempetillæg afspadseres med 25%(Kræver en aftale imellem ledelsen og den ansatte)",C28="ikke relevant"),(R28)/4,0)</f>
        <v>0</v>
      </c>
      <c r="EH28" s="671">
        <f>IF(AND(AND(Stamoplysninger!$B$22="Ulempetillæg afspadseres med 25%(Kræver en aftale imellem ledelsen og den ansatte)",I28="X",C28="Ikke relevant")),K28/4,0)</f>
        <v>0</v>
      </c>
      <c r="EI28" s="671">
        <f>IF(AND(AND(Stamoplysninger!$B$22="Ulempetillæg afspadseres med 25%(Kræver en aftale imellem ledelsen og den ansatte)",U28="X",C28="Ikke relevant")),X28/4,0)</f>
        <v>0</v>
      </c>
      <c r="EJ28" s="671">
        <f>IF(AND(AND(AND(Stamoplysninger!$B$22="Ulempetillæg afspadseres med 25%(Kræver en aftale imellem ledelsen og den ansatte)",I28="X",C28="Ikke relevant",S28="X"))),V28/4,0)</f>
        <v>0</v>
      </c>
      <c r="EK28" s="283">
        <f>IF(AND(Stamoplysninger!$B$26="Weekendtimer og weekendtillæg afspadseres.",I28="X"),K28*1.5,0)</f>
        <v>0</v>
      </c>
      <c r="EL28" s="251">
        <f>IF(AND(AND(Stamoplysninger!$B$26="Weekendtimer og weekendtillæg afspadseres.",I28="X",S28="X")),V28*1.5,0)</f>
        <v>0</v>
      </c>
      <c r="EM28" s="674">
        <f>IF(AND(AND(Stamoplysninger!$B$26="Weekendtimer og weekendtillæg afspadseres.",I28="X",C28="ikke relevant")),K28*1.5,0)</f>
        <v>0</v>
      </c>
      <c r="EN28" s="675">
        <f>IF(AND(AND(AND(Stamoplysninger!$B$26="Weekendtimer og weekendtillæg afspadseres.",I28="X",C28="ikke relevant",S28="X"))),(V28*1.5),0)</f>
        <v>0</v>
      </c>
      <c r="EO28" s="283">
        <f>IF(AND(Stamoplysninger!$B$26="Weekendtimer og weekendtillæg udbetales.",I28="X"),K28*1.5,0)</f>
        <v>0</v>
      </c>
      <c r="EP28" s="251">
        <f>IF(AND(AND(Stamoplysninger!$B$26="Weekendtimer og weekendtillæg udbetales.",I28="X",S28="X")),V28*1.5,0)</f>
        <v>0</v>
      </c>
      <c r="EQ28" s="674">
        <f>IF(AND(AND(Stamoplysninger!$B$26="Weekendtimer og weekendtillæg udbetales.",I28="X",C28="ikke relevant")),K28*1.5,0)</f>
        <v>0</v>
      </c>
      <c r="ER28" s="675">
        <f>IF(AND(AND(AND(Stamoplysninger!$B$26="Weekendtimer og weekendtillæg udbetales.",I28="X",C28="ikke relevant",S28="X"))),(V28*1.5),0)</f>
        <v>0</v>
      </c>
      <c r="ES28" s="283">
        <f>IF(AND(Stamoplysninger!$B$26="Der er indgået lokalaftale omkring weekendtimer.(Kræver aftale med TR/FSL) Weekendtillæg afspadseres.",I28="X"),K28*0.5,0)</f>
        <v>0</v>
      </c>
      <c r="ET28" s="251">
        <f>IF(AND(AND(Stamoplysninger!$B$26="Der er indgået lokalaftale omkring weekendtimer.(Kræver aftale med TR/FSL) Weekendtillæg afspadseres.",I28="X",S28="X")),V28*0.5,0)</f>
        <v>0</v>
      </c>
      <c r="EU28" s="674">
        <f>IF(AND(AND(Stamoplysninger!$B$26="Der er indgået lokalaftale omkring weekendtimer.(Kræver aftale med TR/FSL) Weekendtillæg afspadseres.",I28="X",C28="ikke relevant")),K28*0.5,0)</f>
        <v>0</v>
      </c>
      <c r="EV28" s="675">
        <f>IF(AND(AND(AND(Stamoplysninger!$B$26="Der er indgået lokalaftale omkring weekendtimer.(Kræver aftale med TR/FSL) Weekendtillæg afspadseres.",I28="X",C28="ikke relevant",S28="X"))),(V28*0.5),0)</f>
        <v>0</v>
      </c>
      <c r="EW28" s="283">
        <f>IF(AND(Stamoplysninger!$B$26="Der er indgået lokalaftale omkring weekendtimer(Kræver aftale med TR/FSL). Weekendtillæg udbetales.",I28="X"),K28*0.5,0)</f>
        <v>0</v>
      </c>
      <c r="EX28" s="251">
        <f>IF(AND(AND(Stamoplysninger!$B$26="Der er indgået lokalaftale omkring weekendtimer(Kræver aftale med TR/FSL). Weekendtillæg udbetales.",I28="X",S28="X")),V28*0.5,0)</f>
        <v>0</v>
      </c>
      <c r="EY28" s="674">
        <f>IF(AND(AND(Stamoplysninger!$B$26="Der er indgået lokalaftale omkring weekendtimer(Kræver aftale med TR/FSL). Weekendtillæg udbetales.",I28="X",C28="ikke relevant")),K28*0.5,0)</f>
        <v>0</v>
      </c>
      <c r="EZ28" s="675">
        <f>IF(AND(AND(AND(Stamoplysninger!$B$26="Der er indgået lokalaftale omkring weekendtimer(Kræver aftale med TR/FSL). Weekendtillæg udbetales.",I28="X",C28="ikke relevant",S28="X"))),(V28*0.5),0)</f>
        <v>0</v>
      </c>
      <c r="FA28" s="283">
        <f>IF(AND(Stamoplysninger!$B$26="Der er indgået lokalaftale omkring weekendtillæg(Kræver aftale med TR/FSL). Weekendtimerne afspadseres.",I28="X"),K28,0)</f>
        <v>0</v>
      </c>
      <c r="FB28" s="251">
        <f>IF(AND(AND(Stamoplysninger!$B$26="Der er indgået lokalaftale omkring weekendtillæg(Kræver aftale med TR/FSL). Weekendtimerne afspadseres.",I28="X",S28="X")),V28,0)</f>
        <v>0</v>
      </c>
      <c r="FC28" s="674">
        <f>IF(AND(AND(Stamoplysninger!$B$26="Der er indgået lokalaftale omkring weekendtillæg(Kræver aftale med TR/FSL). Weekendtimerne afspadseres..",I28="X",C28="ikke relevant")),K28,0)</f>
        <v>0</v>
      </c>
      <c r="FD28" s="675">
        <f>IF(AND(AND(AND(Stamoplysninger!$B$26="Der er indgået lokalaftale omkring weekendtillæg(Kræver aftale med TR/FSL). Weekendtimerne afspadseres.",I28="X",C28="ikke relevant",S28="X"))),(V28),0)</f>
        <v>0</v>
      </c>
      <c r="FE28" s="283">
        <f>IF(AND(Stamoplysninger!$B$26="Der er indgået lokalaftale omkring weekendtillæg(Kræver aftale med TR/FSL). Weekendtimerne udbetales.",I28="X"),K28,0)</f>
        <v>0</v>
      </c>
      <c r="FF28" s="251">
        <f>IF(AND(AND(Stamoplysninger!$B$26="Der er indgået lokalaftale omkring weekendtillæg(Kræver aftale med TR/FSL). Weekendtimerne udbetales.",I28="X",S28="X")),V28,0)</f>
        <v>0</v>
      </c>
      <c r="FG28" s="674">
        <f>IF(AND(AND(Stamoplysninger!$B$26="Der er indgået lokalaftale omkring weekendtillæg(Kræver aftale med TR/FSL). Weekendtimerne udbetales.",I28="X",C28="ikke relevant")),K28,0)</f>
        <v>0</v>
      </c>
      <c r="FH28" s="675">
        <f>IF(AND(AND(AND(Stamoplysninger!$B$26="Der er indgået lokalaftale omkring weekendtillæg(Kræver aftale med TR/FSL). Weekendtimerne udbetales.",I28="X",C28="ikke relevant",S28="X"))),(V28),0)</f>
        <v>0</v>
      </c>
      <c r="FI28" s="283">
        <f>IF(AND(Stamoplysninger!$B$26="Weekendtimer og weekendtillæg afspadseres.",I28="X"),K28,0)</f>
        <v>0</v>
      </c>
      <c r="FJ28" s="251">
        <f>IF(AND(Stamoplysninger!$B$26="Weekendtimer og weekendtillæg afspadseres.",Y28="X"),(AA28+AL28)/2,0)</f>
        <v>0</v>
      </c>
      <c r="FK28" s="674">
        <f>IF(AND(AND(Stamoplysninger!$B$26="Weekendtimer og weekendtillæg afspadseres.",I28="X",C28="ikke relevant")),K28,0)</f>
        <v>0</v>
      </c>
      <c r="FL28" s="675">
        <f>IF(AND(AND(Stamoplysninger!$B$26="Weekendtimer og weekendtillæg afspadseres.",Y28="X",S28="ikke relevant")),(AA28+AL28)/2,0)</f>
        <v>0</v>
      </c>
      <c r="FM28" s="283">
        <f>IF(AND(Stamoplysninger!$B$26="Der er indgået lokalaftale omkring weekendtillæg(Kræver aftale med TR/FSL). Weekendtimerne afspadseres.",I28="X"),K28,0)</f>
        <v>0</v>
      </c>
      <c r="FN28" s="674">
        <f>IF(AND(AND(Stamoplysninger!$B$26="Der er indgået lokalaftale omkring weekendtillæg(Kræver aftale med TR/FSL). Weekendtimerne afspadseres.",I28="X",C28="ikke relevant")),K28,0)</f>
        <v>0</v>
      </c>
      <c r="FO28" s="283">
        <f>IF(AND(Stamoplysninger!$B$26="Weekendtimer og weekendtillæg udbetales.",I28="X"),K28,0)</f>
        <v>0</v>
      </c>
      <c r="FP28" s="251">
        <f>IF(AND(Stamoplysninger!$B$26="Weekendtimer og weekendtillæg udbetales.",AA28="X"),(AC28+AN28)/2,0)</f>
        <v>0</v>
      </c>
      <c r="FQ28" s="674">
        <f>IF(AND(AND(Stamoplysninger!$B$26="Weekendtimer og weekendtillæg udbetales.",I28="X",C28="ikke relevant")),K28,0)</f>
        <v>0</v>
      </c>
      <c r="FR28" s="688">
        <f>IF(AND(AND(Stamoplysninger!$B$26="Weekendtimer og weekendtillæg udbetales.",AA28="X",U28="ikke relevant")),(AC28+AN28)/2,0)</f>
        <v>0</v>
      </c>
      <c r="FS28" s="283">
        <f t="shared" si="14"/>
        <v>0</v>
      </c>
      <c r="FT28" s="658">
        <f t="shared" si="15"/>
        <v>0</v>
      </c>
      <c r="FU28">
        <f t="shared" si="16"/>
        <v>0</v>
      </c>
      <c r="FV28" s="283">
        <f>IF(AND(Stamoplysninger!$B$26="Der er indgået lokalaftale omkring weekendtimer.(Kræver aftale med TR/FSL) Weekendtillæg afspadseres.",I28="X"),K28,0)</f>
        <v>0</v>
      </c>
      <c r="FW28" s="674">
        <f>IF(AND(AND(Stamoplysninger!$B$26="Der er indgået lokalaftale omkring weekendtimer.(Kræver aftale med TR/FSL) Weekendtillæg afspadseres.",I28="X",C28="ikke relevant")),K28,0)</f>
        <v>0</v>
      </c>
      <c r="FX28" s="283">
        <f>IF(AND(Stamoplysninger!$B$26="Der er indgået lokalaftale omkring weekendtimer(Kræver aftale med TR/FSL). Weekendtillæg udbetales.",I28="X"),K28,0)</f>
        <v>0</v>
      </c>
      <c r="FY28" s="674">
        <f>IF(AND(AND(Stamoplysninger!$B$26="Der er indgået lokalaftale omkring weekendtimer(Kræver aftale med TR/FSL). Weekendtillæg udbetales.",I28="X",C28="ikke relevant")),K28,0)</f>
        <v>0</v>
      </c>
      <c r="FZ28" s="283">
        <f>IF(AND(Stamoplysninger!$B$26="Der er indgået lokalaftale omkring weekendtillæg(Kræver aftale med TR/FSL). Weekendtimerne udbetales.",I28="X"),K28,0)</f>
        <v>0</v>
      </c>
      <c r="GA28" s="674">
        <f>IF(AND(AND(Stamoplysninger!$B$26="Der er indgået lokalaftale omkring weekendtillæg(Kræver aftale med TR/FSL). Weekendtimerne udbetales.",I28="X",C28="ikke relevant")),K28,0)</f>
        <v>0</v>
      </c>
      <c r="GB28" s="283">
        <f>IF(AND(Stamoplysninger!$B$26="Der er indgået lokalaftale omkring weekendtimer og weekendtillæg.(Kræver aftale med TR/FSL).",I28="X"),K28,0)</f>
        <v>0</v>
      </c>
      <c r="GC28" s="674">
        <f>IF(AND(AND(Stamoplysninger!$B$26="Der er indgået lokalaftale omkring weekendtimer og weekendtillæg.(Kræver aftale med TR/FSL).",I28="X",C28="ikke relevant")),K28,0)</f>
        <v>0</v>
      </c>
    </row>
    <row r="29" spans="1:185">
      <c r="A29" s="245">
        <f t="shared" si="17"/>
        <v>21</v>
      </c>
      <c r="B29" s="128" t="str">
        <f t="shared" si="0"/>
        <v>lø</v>
      </c>
      <c r="C29" s="129" t="s">
        <v>120</v>
      </c>
      <c r="D29" s="130" t="str">
        <f t="shared" si="1"/>
        <v/>
      </c>
      <c r="E29" s="917"/>
      <c r="F29" s="918"/>
      <c r="G29" s="919"/>
      <c r="H29" s="298"/>
      <c r="I29" s="413"/>
      <c r="J29" s="413"/>
      <c r="K29" s="380"/>
      <c r="L29" s="380"/>
      <c r="M29" s="380"/>
      <c r="N29" s="318">
        <f t="shared" si="18"/>
        <v>0</v>
      </c>
      <c r="O29" s="318">
        <f t="shared" si="19"/>
        <v>0</v>
      </c>
      <c r="P29" s="318">
        <f>IF(Stamoplysninger!$H$29="JA",Juni!DG29,CX29)</f>
        <v>0</v>
      </c>
      <c r="Q29" s="318">
        <f t="shared" si="20"/>
        <v>0</v>
      </c>
      <c r="R29" s="319"/>
      <c r="S29" s="324"/>
      <c r="T29" s="325"/>
      <c r="U29" s="325"/>
      <c r="V29" s="435"/>
      <c r="W29" s="435"/>
      <c r="X29" s="644"/>
      <c r="Y29">
        <f t="shared" si="21"/>
        <v>0</v>
      </c>
      <c r="Z29" s="437">
        <f t="shared" si="22"/>
        <v>0</v>
      </c>
      <c r="AA29" s="1">
        <f t="shared" si="2"/>
        <v>0</v>
      </c>
      <c r="AB29" s="1">
        <f t="shared" si="3"/>
        <v>0</v>
      </c>
      <c r="AC29" s="1">
        <f t="shared" si="4"/>
        <v>0</v>
      </c>
      <c r="AD29" s="1">
        <f t="shared" si="5"/>
        <v>0</v>
      </c>
      <c r="AE29" s="1">
        <f t="shared" si="6"/>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9">
        <f t="shared" si="7"/>
        <v>0</v>
      </c>
      <c r="BC29" s="1">
        <f t="shared" si="24"/>
        <v>0</v>
      </c>
      <c r="BD29" s="1">
        <f t="shared" si="8"/>
        <v>0</v>
      </c>
      <c r="BE29" s="1">
        <f t="shared" si="9"/>
        <v>0</v>
      </c>
      <c r="BF29" s="1">
        <f t="shared" si="10"/>
        <v>0</v>
      </c>
      <c r="BG29" s="210" t="str">
        <f>IF(AND(C29="Skema 1",B29="ma"),Skemaoplysninger!$E$30,"")</f>
        <v/>
      </c>
      <c r="BH29" s="210" t="str">
        <f>IF(AND(C29="Skema 1",B29="ti"),Skemaoplysninger!$G$30,"")</f>
        <v/>
      </c>
      <c r="BI29" s="210" t="str">
        <f>IF(AND(C29="Skema 1",B29="on"),Skemaoplysninger!$I$30,"")</f>
        <v/>
      </c>
      <c r="BJ29" s="210" t="str">
        <f>IF(AND(C29="Skema 1",B29="to"),Skemaoplysninger!$K$30,"")</f>
        <v/>
      </c>
      <c r="BK29" s="210" t="str">
        <f>IF(AND(C29="Skema 1",B29="fr"),Skemaoplysninger!$M$30,"")</f>
        <v/>
      </c>
      <c r="BL29" s="210" t="str">
        <f>IF(AND(C29="Skema 2",B29="ma"),Skemaoplysninger!$S$30,"")</f>
        <v/>
      </c>
      <c r="BM29" s="210" t="str">
        <f>IF(AND(C29="Skema 2",B29="ti"),Skemaoplysninger!$U$30,"")</f>
        <v/>
      </c>
      <c r="BN29" s="210" t="str">
        <f>IF(AND(C29="Skema 2",B29="on"),Skemaoplysninger!$W$30,"")</f>
        <v/>
      </c>
      <c r="BO29" s="210" t="str">
        <f>IF(AND(C29="Skema 2",B29="to"),Skemaoplysninger!$Y$30,"")</f>
        <v/>
      </c>
      <c r="BP29" s="210" t="str">
        <f>IF(AND(C29="Skema 2",B29="fr"),Skemaoplysninger!$AA$30,"")</f>
        <v/>
      </c>
      <c r="BQ29" s="210" t="str">
        <f>IF(AND(C29="Skema 3",B29="ma"),Skemaoplysninger!$AG$30,"")</f>
        <v/>
      </c>
      <c r="BR29" s="210" t="str">
        <f>IF(AND(C29="Skema 3",B29="ti"),Skemaoplysninger!$AI$30,"")</f>
        <v/>
      </c>
      <c r="BS29" s="210" t="str">
        <f>IF(AND(C29="Skema 3",B29="on"),Skemaoplysninger!$AK$30,"")</f>
        <v/>
      </c>
      <c r="BT29" s="210" t="str">
        <f>IF(AND(C29="Skema 3",B29="to"),Skemaoplysninger!$AM$30,"")</f>
        <v/>
      </c>
      <c r="BU29" s="210" t="str">
        <f>IF(AND(C29="Skema 3",B29="fr"),Skemaoplysninger!$AO$30,"")</f>
        <v/>
      </c>
      <c r="BV29" s="210" t="str">
        <f>IF(AND(C29="Skema 4",B29="ma"),Skemaoplysninger!$AU$30,"")</f>
        <v/>
      </c>
      <c r="BW29" s="210" t="str">
        <f>IF(AND(C29="Skema 4",B29="ti"),Skemaoplysninger!$AW$30,"")</f>
        <v/>
      </c>
      <c r="BX29" s="210" t="str">
        <f>IF(AND(C29="Skema 4",B29="on"),Skemaoplysninger!$AY$30,"")</f>
        <v/>
      </c>
      <c r="BY29" s="210" t="str">
        <f>IF(AND(C29="Skema 4",B29="to"),Skemaoplysninger!$BA$30,"")</f>
        <v/>
      </c>
      <c r="BZ29" s="210" t="str">
        <f>IF(AND(C29="Skema 4",B29="fr"),Skemaoplysninger!$BC$30,"")</f>
        <v/>
      </c>
      <c r="CA29" s="1">
        <f t="shared" si="25"/>
        <v>0</v>
      </c>
      <c r="CB29" s="1">
        <f t="shared" si="11"/>
        <v>0</v>
      </c>
      <c r="CC29" s="1">
        <f t="shared" si="12"/>
        <v>0</v>
      </c>
      <c r="CD29" s="210" t="str">
        <f>IF(AND(C29="Skema 1",B29="ma"),Skemaoplysninger!$E$31,"")</f>
        <v/>
      </c>
      <c r="CE29" s="210" t="str">
        <f>IF(AND(C29="Skema 1",B29="ti"),Skemaoplysninger!$G$31,"")</f>
        <v/>
      </c>
      <c r="CF29" s="210" t="str">
        <f>IF(AND(C29="Skema 1",B29="on"),Skemaoplysninger!$I$31,"")</f>
        <v/>
      </c>
      <c r="CG29" s="210" t="str">
        <f>IF(AND(C29="Skema 1",B29="to"),Skemaoplysninger!$K$31,"")</f>
        <v/>
      </c>
      <c r="CH29" s="210" t="str">
        <f>IF(AND(C29="Skema 1",B29="fr"),Skemaoplysninger!$M$31,"")</f>
        <v/>
      </c>
      <c r="CI29" s="210" t="str">
        <f>IF(AND(C29="Skema 2",B29="ma"),Skemaoplysninger!$S$31,"")</f>
        <v/>
      </c>
      <c r="CJ29" s="210" t="str">
        <f>IF(AND(C29="Skema 2",B29="ti"),Skemaoplysninger!$U$31,"")</f>
        <v/>
      </c>
      <c r="CK29" s="210" t="str">
        <f>IF(AND(C29="Skema 2",B29="on"),Skemaoplysninger!$W$31,"")</f>
        <v/>
      </c>
      <c r="CL29" s="210" t="str">
        <f>IF(AND(C29="Skema 2",B29="to"),Skemaoplysninger!$Y$31,"")</f>
        <v/>
      </c>
      <c r="CM29" s="210" t="str">
        <f>IF(AND(C29="Skema 2",B29="fr"),Skemaoplysninger!$AA$31,"")</f>
        <v/>
      </c>
      <c r="CN29" s="210" t="str">
        <f>IF(AND(C29="Skema 3",B29="ma"),Skemaoplysninger!$AG$31,"")</f>
        <v/>
      </c>
      <c r="CO29" s="210" t="str">
        <f>IF(AND(C29="Skema 3",B29="ti"),Skemaoplysninger!$AI$31,"")</f>
        <v/>
      </c>
      <c r="CP29" s="210" t="str">
        <f>IF(AND(C29="Skema 3",B29="on"),Skemaoplysninger!$AK$31,"")</f>
        <v/>
      </c>
      <c r="CQ29" s="210" t="str">
        <f>IF(AND(C29="Skema 3",B29="to"),Skemaoplysninger!$AM$31,"")</f>
        <v/>
      </c>
      <c r="CR29" s="210" t="str">
        <f>IF(AND(C29="Skema 3",B29="fr"),Skemaoplysninger!$AO$31,"")</f>
        <v/>
      </c>
      <c r="CS29" s="210" t="str">
        <f>IF(AND(C29="Skema 4",B29="ma"),Skemaoplysninger!$AU$31,"")</f>
        <v/>
      </c>
      <c r="CT29" s="210" t="str">
        <f>IF(AND(C29="Skema 4",B29="ti"),Skemaoplysninger!$AW$31,"")</f>
        <v/>
      </c>
      <c r="CU29" s="210" t="str">
        <f>IF(AND(C29="Skema 4",B29="on"),Skemaoplysninger!$AY$31,"")</f>
        <v/>
      </c>
      <c r="CV29" s="210" t="str">
        <f>IF(AND(C29="Skema 4",B29="to"),Skemaoplysninger!$BA$31,"")</f>
        <v/>
      </c>
      <c r="CW29" s="210" t="str">
        <f>IF(AND(C29="Skema 4",B29="fr"),Skemaoplysninger!$BC$31,"")</f>
        <v/>
      </c>
      <c r="CX29" s="249">
        <f>IF(Stamoplysninger!$H$29="NEJ",SUM(CD29:CW29)*24+CB29+CC29,0)</f>
        <v>0</v>
      </c>
      <c r="CY29" s="249">
        <f>IF(C29="Skema 1",Stamoplysninger!$H$30/200,0)</f>
        <v>0</v>
      </c>
      <c r="CZ29" s="249">
        <f>IF(C29="Skema 2",Stamoplysninger!$H$30/200,0)</f>
        <v>0</v>
      </c>
      <c r="DA29" s="249">
        <f>IF(C29="Skema 3",Stamoplysninger!$H$30/200,0)</f>
        <v>0</v>
      </c>
      <c r="DB29" s="249">
        <f>IF(C29="Skema 4",Stamoplysninger!$H$30/200,0)</f>
        <v>0</v>
      </c>
      <c r="DC29" s="249">
        <f>IF(C29="fagdag",Stamoplysninger!$H$30/200,0)</f>
        <v>0</v>
      </c>
      <c r="DD29" s="249">
        <f>IF(C29="emnedag",Stamoplysninger!$H$30/200,0)</f>
        <v>0</v>
      </c>
      <c r="DE29" s="249">
        <f>IF(C29="lejrskole",Stamoplysninger!$H$30/200,0)</f>
        <v>0</v>
      </c>
      <c r="DF29" s="249">
        <f>IF(C29="ekskursion",Stamoplysninger!$H$30/200,0)</f>
        <v>0</v>
      </c>
      <c r="DG29" s="249">
        <f t="shared" si="26"/>
        <v>0</v>
      </c>
      <c r="DH29" t="str">
        <f t="shared" si="27"/>
        <v/>
      </c>
      <c r="DI29">
        <f t="shared" si="28"/>
        <v>0</v>
      </c>
      <c r="DJ29">
        <f t="shared" si="29"/>
        <v>0</v>
      </c>
      <c r="DK29" t="str">
        <f t="shared" si="13"/>
        <v/>
      </c>
      <c r="DL29" t="str">
        <f t="shared" si="13"/>
        <v/>
      </c>
      <c r="DM29" t="str">
        <f t="shared" si="13"/>
        <v/>
      </c>
      <c r="DN29" t="str">
        <f t="shared" si="30"/>
        <v/>
      </c>
      <c r="DO29" s="652">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71">
        <f>IF(AND(Stamoplysninger!$B$22="Ulempetillæg udbetales med 25% af nettotimelønnen.",C29="ikke relevant"),(R29)/4,0)</f>
        <v>0</v>
      </c>
      <c r="DT29" s="671">
        <f>IF(AND(AND(Stamoplysninger!$B$22="Ulempetillæg udbetales med 25% af nettotimelønnen.",I29="X",C29="Ikke relevant")),K29/4,0)</f>
        <v>0</v>
      </c>
      <c r="DU29" s="671">
        <f>IF(AND(AND(Stamoplysninger!$B$22="Ulempetillæg udbetales med 25% af nettotimelønnen.",C29="ikke relevant",U29="X")),(X29/4),0)</f>
        <v>0</v>
      </c>
      <c r="DV29" s="672">
        <f>IF(AND(AND(AND(Stamoplysninger!$B$22="Ulempetillæg udbetales med 25% af nettotimelønnen.",I29="X",C29="Ikke relevant",S29="X"))),V29/4,0)</f>
        <v>0</v>
      </c>
      <c r="DW29" s="652"/>
      <c r="DZ29" s="671"/>
      <c r="EA29" s="671"/>
      <c r="EB29" s="672"/>
      <c r="EC29" s="652">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71">
        <f>IF(AND(Stamoplysninger!$B$22="Ulempetillæg afspadseres med 25%(Kræver en aftale imellem ledelsen og den ansatte)",C29="ikke relevant"),(R29)/4,0)</f>
        <v>0</v>
      </c>
      <c r="EH29" s="671">
        <f>IF(AND(AND(Stamoplysninger!$B$22="Ulempetillæg afspadseres med 25%(Kræver en aftale imellem ledelsen og den ansatte)",I29="X",C29="Ikke relevant")),K29/4,0)</f>
        <v>0</v>
      </c>
      <c r="EI29" s="671">
        <f>IF(AND(AND(Stamoplysninger!$B$22="Ulempetillæg afspadseres med 25%(Kræver en aftale imellem ledelsen og den ansatte)",U29="X",C29="Ikke relevant")),X29/4,0)</f>
        <v>0</v>
      </c>
      <c r="EJ29" s="671">
        <f>IF(AND(AND(AND(Stamoplysninger!$B$22="Ulempetillæg afspadseres med 25%(Kræver en aftale imellem ledelsen og den ansatte)",I29="X",C29="Ikke relevant",S29="X"))),V29/4,0)</f>
        <v>0</v>
      </c>
      <c r="EK29" s="283">
        <f>IF(AND(Stamoplysninger!$B$26="Weekendtimer og weekendtillæg afspadseres.",I29="X"),K29*1.5,0)</f>
        <v>0</v>
      </c>
      <c r="EL29" s="251">
        <f>IF(AND(AND(Stamoplysninger!$B$26="Weekendtimer og weekendtillæg afspadseres.",I29="X",S29="X")),V29*1.5,0)</f>
        <v>0</v>
      </c>
      <c r="EM29" s="674">
        <f>IF(AND(AND(Stamoplysninger!$B$26="Weekendtimer og weekendtillæg afspadseres.",I29="X",C29="ikke relevant")),K29*1.5,0)</f>
        <v>0</v>
      </c>
      <c r="EN29" s="675">
        <f>IF(AND(AND(AND(Stamoplysninger!$B$26="Weekendtimer og weekendtillæg afspadseres.",I29="X",C29="ikke relevant",S29="X"))),(V29*1.5),0)</f>
        <v>0</v>
      </c>
      <c r="EO29" s="283">
        <f>IF(AND(Stamoplysninger!$B$26="Weekendtimer og weekendtillæg udbetales.",I29="X"),K29*1.5,0)</f>
        <v>0</v>
      </c>
      <c r="EP29" s="251">
        <f>IF(AND(AND(Stamoplysninger!$B$26="Weekendtimer og weekendtillæg udbetales.",I29="X",S29="X")),V29*1.5,0)</f>
        <v>0</v>
      </c>
      <c r="EQ29" s="674">
        <f>IF(AND(AND(Stamoplysninger!$B$26="Weekendtimer og weekendtillæg udbetales.",I29="X",C29="ikke relevant")),K29*1.5,0)</f>
        <v>0</v>
      </c>
      <c r="ER29" s="675">
        <f>IF(AND(AND(AND(Stamoplysninger!$B$26="Weekendtimer og weekendtillæg udbetales.",I29="X",C29="ikke relevant",S29="X"))),(V29*1.5),0)</f>
        <v>0</v>
      </c>
      <c r="ES29" s="283">
        <f>IF(AND(Stamoplysninger!$B$26="Der er indgået lokalaftale omkring weekendtimer.(Kræver aftale med TR/FSL) Weekendtillæg afspadseres.",I29="X"),K29*0.5,0)</f>
        <v>0</v>
      </c>
      <c r="ET29" s="251">
        <f>IF(AND(AND(Stamoplysninger!$B$26="Der er indgået lokalaftale omkring weekendtimer.(Kræver aftale med TR/FSL) Weekendtillæg afspadseres.",I29="X",S29="X")),V29*0.5,0)</f>
        <v>0</v>
      </c>
      <c r="EU29" s="674">
        <f>IF(AND(AND(Stamoplysninger!$B$26="Der er indgået lokalaftale omkring weekendtimer.(Kræver aftale med TR/FSL) Weekendtillæg afspadseres.",I29="X",C29="ikke relevant")),K29*0.5,0)</f>
        <v>0</v>
      </c>
      <c r="EV29" s="675">
        <f>IF(AND(AND(AND(Stamoplysninger!$B$26="Der er indgået lokalaftale omkring weekendtimer.(Kræver aftale med TR/FSL) Weekendtillæg afspadseres.",I29="X",C29="ikke relevant",S29="X"))),(V29*0.5),0)</f>
        <v>0</v>
      </c>
      <c r="EW29" s="283">
        <f>IF(AND(Stamoplysninger!$B$26="Der er indgået lokalaftale omkring weekendtimer(Kræver aftale med TR/FSL). Weekendtillæg udbetales.",I29="X"),K29*0.5,0)</f>
        <v>0</v>
      </c>
      <c r="EX29" s="251">
        <f>IF(AND(AND(Stamoplysninger!$B$26="Der er indgået lokalaftale omkring weekendtimer(Kræver aftale med TR/FSL). Weekendtillæg udbetales.",I29="X",S29="X")),V29*0.5,0)</f>
        <v>0</v>
      </c>
      <c r="EY29" s="674">
        <f>IF(AND(AND(Stamoplysninger!$B$26="Der er indgået lokalaftale omkring weekendtimer(Kræver aftale med TR/FSL). Weekendtillæg udbetales.",I29="X",C29="ikke relevant")),K29*0.5,0)</f>
        <v>0</v>
      </c>
      <c r="EZ29" s="675">
        <f>IF(AND(AND(AND(Stamoplysninger!$B$26="Der er indgået lokalaftale omkring weekendtimer(Kræver aftale med TR/FSL). Weekendtillæg udbetales.",I29="X",C29="ikke relevant",S29="X"))),(V29*0.5),0)</f>
        <v>0</v>
      </c>
      <c r="FA29" s="283">
        <f>IF(AND(Stamoplysninger!$B$26="Der er indgået lokalaftale omkring weekendtillæg(Kræver aftale med TR/FSL). Weekendtimerne afspadseres.",I29="X"),K29,0)</f>
        <v>0</v>
      </c>
      <c r="FB29" s="251">
        <f>IF(AND(AND(Stamoplysninger!$B$26="Der er indgået lokalaftale omkring weekendtillæg(Kræver aftale med TR/FSL). Weekendtimerne afspadseres.",I29="X",S29="X")),V29,0)</f>
        <v>0</v>
      </c>
      <c r="FC29" s="674">
        <f>IF(AND(AND(Stamoplysninger!$B$26="Der er indgået lokalaftale omkring weekendtillæg(Kræver aftale med TR/FSL). Weekendtimerne afspadseres..",I29="X",C29="ikke relevant")),K29,0)</f>
        <v>0</v>
      </c>
      <c r="FD29" s="675">
        <f>IF(AND(AND(AND(Stamoplysninger!$B$26="Der er indgået lokalaftale omkring weekendtillæg(Kræver aftale med TR/FSL). Weekendtimerne afspadseres.",I29="X",C29="ikke relevant",S29="X"))),(V29),0)</f>
        <v>0</v>
      </c>
      <c r="FE29" s="283">
        <f>IF(AND(Stamoplysninger!$B$26="Der er indgået lokalaftale omkring weekendtillæg(Kræver aftale med TR/FSL). Weekendtimerne udbetales.",I29="X"),K29,0)</f>
        <v>0</v>
      </c>
      <c r="FF29" s="251">
        <f>IF(AND(AND(Stamoplysninger!$B$26="Der er indgået lokalaftale omkring weekendtillæg(Kræver aftale med TR/FSL). Weekendtimerne udbetales.",I29="X",S29="X")),V29,0)</f>
        <v>0</v>
      </c>
      <c r="FG29" s="674">
        <f>IF(AND(AND(Stamoplysninger!$B$26="Der er indgået lokalaftale omkring weekendtillæg(Kræver aftale med TR/FSL). Weekendtimerne udbetales.",I29="X",C29="ikke relevant")),K29,0)</f>
        <v>0</v>
      </c>
      <c r="FH29" s="675">
        <f>IF(AND(AND(AND(Stamoplysninger!$B$26="Der er indgået lokalaftale omkring weekendtillæg(Kræver aftale med TR/FSL). Weekendtimerne udbetales.",I29="X",C29="ikke relevant",S29="X"))),(V29),0)</f>
        <v>0</v>
      </c>
      <c r="FI29" s="283">
        <f>IF(AND(Stamoplysninger!$B$26="Weekendtimer og weekendtillæg afspadseres.",I29="X"),K29,0)</f>
        <v>0</v>
      </c>
      <c r="FJ29" s="251">
        <f>IF(AND(Stamoplysninger!$B$26="Weekendtimer og weekendtillæg afspadseres.",Y29="X"),(AA29+AL29)/2,0)</f>
        <v>0</v>
      </c>
      <c r="FK29" s="674">
        <f>IF(AND(AND(Stamoplysninger!$B$26="Weekendtimer og weekendtillæg afspadseres.",I29="X",C29="ikke relevant")),K29,0)</f>
        <v>0</v>
      </c>
      <c r="FL29" s="675">
        <f>IF(AND(AND(Stamoplysninger!$B$26="Weekendtimer og weekendtillæg afspadseres.",Y29="X",S29="ikke relevant")),(AA29+AL29)/2,0)</f>
        <v>0</v>
      </c>
      <c r="FM29" s="283">
        <f>IF(AND(Stamoplysninger!$B$26="Der er indgået lokalaftale omkring weekendtillæg(Kræver aftale med TR/FSL). Weekendtimerne afspadseres.",I29="X"),K29,0)</f>
        <v>0</v>
      </c>
      <c r="FN29" s="674">
        <f>IF(AND(AND(Stamoplysninger!$B$26="Der er indgået lokalaftale omkring weekendtillæg(Kræver aftale med TR/FSL). Weekendtimerne afspadseres.",I29="X",C29="ikke relevant")),K29,0)</f>
        <v>0</v>
      </c>
      <c r="FO29" s="283">
        <f>IF(AND(Stamoplysninger!$B$26="Weekendtimer og weekendtillæg udbetales.",I29="X"),K29,0)</f>
        <v>0</v>
      </c>
      <c r="FP29" s="251">
        <f>IF(AND(Stamoplysninger!$B$26="Weekendtimer og weekendtillæg udbetales.",AA29="X"),(AC29+AN29)/2,0)</f>
        <v>0</v>
      </c>
      <c r="FQ29" s="674">
        <f>IF(AND(AND(Stamoplysninger!$B$26="Weekendtimer og weekendtillæg udbetales.",I29="X",C29="ikke relevant")),K29,0)</f>
        <v>0</v>
      </c>
      <c r="FR29" s="688">
        <f>IF(AND(AND(Stamoplysninger!$B$26="Weekendtimer og weekendtillæg udbetales.",AA29="X",U29="ikke relevant")),(AC29+AN29)/2,0)</f>
        <v>0</v>
      </c>
      <c r="FS29" s="283">
        <f t="shared" si="14"/>
        <v>0</v>
      </c>
      <c r="FT29" s="658">
        <f t="shared" si="15"/>
        <v>0</v>
      </c>
      <c r="FU29">
        <f>IF(AND(C29="weekend",I29="X"),K29,0)</f>
        <v>0</v>
      </c>
      <c r="FV29" s="283">
        <f>IF(AND(Stamoplysninger!$B$26="Der er indgået lokalaftale omkring weekendtimer.(Kræver aftale med TR/FSL) Weekendtillæg afspadseres.",I29="X"),K29,0)</f>
        <v>0</v>
      </c>
      <c r="FW29" s="674">
        <f>IF(AND(AND(Stamoplysninger!$B$26="Der er indgået lokalaftale omkring weekendtimer.(Kræver aftale med TR/FSL) Weekendtillæg afspadseres.",I29="X",C29="ikke relevant")),K29,0)</f>
        <v>0</v>
      </c>
      <c r="FX29" s="283">
        <f>IF(AND(Stamoplysninger!$B$26="Der er indgået lokalaftale omkring weekendtimer(Kræver aftale med TR/FSL). Weekendtillæg udbetales.",I29="X"),K29,0)</f>
        <v>0</v>
      </c>
      <c r="FY29" s="674">
        <f>IF(AND(AND(Stamoplysninger!$B$26="Der er indgået lokalaftale omkring weekendtimer(Kræver aftale med TR/FSL). Weekendtillæg udbetales.",I29="X",C29="ikke relevant")),K29,0)</f>
        <v>0</v>
      </c>
      <c r="FZ29" s="283">
        <f>IF(AND(Stamoplysninger!$B$26="Der er indgået lokalaftale omkring weekendtillæg(Kræver aftale med TR/FSL). Weekendtimerne udbetales.",I29="X"),K29,0)</f>
        <v>0</v>
      </c>
      <c r="GA29" s="674">
        <f>IF(AND(AND(Stamoplysninger!$B$26="Der er indgået lokalaftale omkring weekendtillæg(Kræver aftale med TR/FSL). Weekendtimerne udbetales.",I29="X",C29="ikke relevant")),K29,0)</f>
        <v>0</v>
      </c>
      <c r="GB29" s="283">
        <f>IF(AND(Stamoplysninger!$B$26="Der er indgået lokalaftale omkring weekendtimer og weekendtillæg.(Kræver aftale med TR/FSL).",I29="X"),K29,0)</f>
        <v>0</v>
      </c>
      <c r="GC29" s="674">
        <f>IF(AND(AND(Stamoplysninger!$B$26="Der er indgået lokalaftale omkring weekendtimer og weekendtillæg.(Kræver aftale med TR/FSL).",I29="X",C29="ikke relevant")),K29,0)</f>
        <v>0</v>
      </c>
    </row>
    <row r="30" spans="1:185">
      <c r="A30" s="245">
        <f t="shared" si="17"/>
        <v>22</v>
      </c>
      <c r="B30" s="128" t="str">
        <f t="shared" si="0"/>
        <v>sø</v>
      </c>
      <c r="C30" s="129" t="s">
        <v>120</v>
      </c>
      <c r="D30" s="130" t="str">
        <f t="shared" si="1"/>
        <v/>
      </c>
      <c r="E30" s="917"/>
      <c r="F30" s="918"/>
      <c r="G30" s="919"/>
      <c r="H30" s="298"/>
      <c r="I30" s="413"/>
      <c r="J30" s="413"/>
      <c r="K30" s="380"/>
      <c r="L30" s="380"/>
      <c r="M30" s="380"/>
      <c r="N30" s="318">
        <f t="shared" si="18"/>
        <v>0</v>
      </c>
      <c r="O30" s="318">
        <f t="shared" si="19"/>
        <v>0</v>
      </c>
      <c r="P30" s="318">
        <f>IF(Stamoplysninger!$H$29="JA",Juni!DG30,CX30)</f>
        <v>0</v>
      </c>
      <c r="Q30" s="318">
        <f t="shared" si="20"/>
        <v>0</v>
      </c>
      <c r="R30" s="319"/>
      <c r="S30" s="324"/>
      <c r="T30" s="325"/>
      <c r="U30" s="325"/>
      <c r="V30" s="435"/>
      <c r="W30" s="435"/>
      <c r="X30" s="644"/>
      <c r="Y30">
        <f t="shared" si="21"/>
        <v>0</v>
      </c>
      <c r="Z30" s="437">
        <f t="shared" si="22"/>
        <v>0</v>
      </c>
      <c r="AA30" s="1">
        <f t="shared" si="2"/>
        <v>0</v>
      </c>
      <c r="AB30" s="1">
        <f t="shared" si="3"/>
        <v>0</v>
      </c>
      <c r="AC30" s="1">
        <f t="shared" si="4"/>
        <v>0</v>
      </c>
      <c r="AD30" s="1">
        <f t="shared" si="5"/>
        <v>0</v>
      </c>
      <c r="AE30" s="1">
        <f t="shared" si="6"/>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9">
        <f t="shared" si="7"/>
        <v>0</v>
      </c>
      <c r="BC30" s="1">
        <f t="shared" si="24"/>
        <v>0</v>
      </c>
      <c r="BD30" s="1">
        <f t="shared" si="8"/>
        <v>0</v>
      </c>
      <c r="BE30" s="1">
        <f t="shared" si="9"/>
        <v>0</v>
      </c>
      <c r="BF30" s="1">
        <f t="shared" si="10"/>
        <v>0</v>
      </c>
      <c r="BG30" s="210" t="str">
        <f>IF(AND(C30="Skema 1",B30="ma"),Skemaoplysninger!$E$30,"")</f>
        <v/>
      </c>
      <c r="BH30" s="210" t="str">
        <f>IF(AND(C30="Skema 1",B30="ti"),Skemaoplysninger!$G$30,"")</f>
        <v/>
      </c>
      <c r="BI30" s="210" t="str">
        <f>IF(AND(C30="Skema 1",B30="on"),Skemaoplysninger!$I$30,"")</f>
        <v/>
      </c>
      <c r="BJ30" s="210" t="str">
        <f>IF(AND(C30="Skema 1",B30="to"),Skemaoplysninger!$K$30,"")</f>
        <v/>
      </c>
      <c r="BK30" s="210" t="str">
        <f>IF(AND(C30="Skema 1",B30="fr"),Skemaoplysninger!$M$30,"")</f>
        <v/>
      </c>
      <c r="BL30" s="210" t="str">
        <f>IF(AND(C30="Skema 2",B30="ma"),Skemaoplysninger!$S$30,"")</f>
        <v/>
      </c>
      <c r="BM30" s="210" t="str">
        <f>IF(AND(C30="Skema 2",B30="ti"),Skemaoplysninger!$U$30,"")</f>
        <v/>
      </c>
      <c r="BN30" s="210" t="str">
        <f>IF(AND(C30="Skema 2",B30="on"),Skemaoplysninger!$W$30,"")</f>
        <v/>
      </c>
      <c r="BO30" s="210" t="str">
        <f>IF(AND(C30="Skema 2",B30="to"),Skemaoplysninger!$Y$30,"")</f>
        <v/>
      </c>
      <c r="BP30" s="210" t="str">
        <f>IF(AND(C30="Skema 2",B30="fr"),Skemaoplysninger!$AA$30,"")</f>
        <v/>
      </c>
      <c r="BQ30" s="210" t="str">
        <f>IF(AND(C30="Skema 3",B30="ma"),Skemaoplysninger!$AG$30,"")</f>
        <v/>
      </c>
      <c r="BR30" s="210" t="str">
        <f>IF(AND(C30="Skema 3",B30="ti"),Skemaoplysninger!$AI$30,"")</f>
        <v/>
      </c>
      <c r="BS30" s="210" t="str">
        <f>IF(AND(C30="Skema 3",B30="on"),Skemaoplysninger!$AK$30,"")</f>
        <v/>
      </c>
      <c r="BT30" s="210" t="str">
        <f>IF(AND(C30="Skema 3",B30="to"),Skemaoplysninger!$AM$30,"")</f>
        <v/>
      </c>
      <c r="BU30" s="210" t="str">
        <f>IF(AND(C30="Skema 3",B30="fr"),Skemaoplysninger!$AO$30,"")</f>
        <v/>
      </c>
      <c r="BV30" s="210" t="str">
        <f>IF(AND(C30="Skema 4",B30="ma"),Skemaoplysninger!$AU$30,"")</f>
        <v/>
      </c>
      <c r="BW30" s="210" t="str">
        <f>IF(AND(C30="Skema 4",B30="ti"),Skemaoplysninger!$AW$30,"")</f>
        <v/>
      </c>
      <c r="BX30" s="210" t="str">
        <f>IF(AND(C30="Skema 4",B30="on"),Skemaoplysninger!$AY$30,"")</f>
        <v/>
      </c>
      <c r="BY30" s="210" t="str">
        <f>IF(AND(C30="Skema 4",B30="to"),Skemaoplysninger!$BA$30,"")</f>
        <v/>
      </c>
      <c r="BZ30" s="210" t="str">
        <f>IF(AND(C30="Skema 4",B30="fr"),Skemaoplysninger!$BC$30,"")</f>
        <v/>
      </c>
      <c r="CA30" s="1">
        <f t="shared" si="25"/>
        <v>0</v>
      </c>
      <c r="CB30" s="1">
        <f t="shared" si="11"/>
        <v>0</v>
      </c>
      <c r="CC30" s="1">
        <f t="shared" si="12"/>
        <v>0</v>
      </c>
      <c r="CD30" s="210" t="str">
        <f>IF(AND(C30="Skema 1",B30="ma"),Skemaoplysninger!$E$31,"")</f>
        <v/>
      </c>
      <c r="CE30" s="210" t="str">
        <f>IF(AND(C30="Skema 1",B30="ti"),Skemaoplysninger!$G$31,"")</f>
        <v/>
      </c>
      <c r="CF30" s="210" t="str">
        <f>IF(AND(C30="Skema 1",B30="on"),Skemaoplysninger!$I$31,"")</f>
        <v/>
      </c>
      <c r="CG30" s="210" t="str">
        <f>IF(AND(C30="Skema 1",B30="to"),Skemaoplysninger!$K$31,"")</f>
        <v/>
      </c>
      <c r="CH30" s="210" t="str">
        <f>IF(AND(C30="Skema 1",B30="fr"),Skemaoplysninger!$M$31,"")</f>
        <v/>
      </c>
      <c r="CI30" s="210" t="str">
        <f>IF(AND(C30="Skema 2",B30="ma"),Skemaoplysninger!$S$31,"")</f>
        <v/>
      </c>
      <c r="CJ30" s="210" t="str">
        <f>IF(AND(C30="Skema 2",B30="ti"),Skemaoplysninger!$U$31,"")</f>
        <v/>
      </c>
      <c r="CK30" s="210" t="str">
        <f>IF(AND(C30="Skema 2",B30="on"),Skemaoplysninger!$W$31,"")</f>
        <v/>
      </c>
      <c r="CL30" s="210" t="str">
        <f>IF(AND(C30="Skema 2",B30="to"),Skemaoplysninger!$Y$31,"")</f>
        <v/>
      </c>
      <c r="CM30" s="210" t="str">
        <f>IF(AND(C30="Skema 2",B30="fr"),Skemaoplysninger!$AA$31,"")</f>
        <v/>
      </c>
      <c r="CN30" s="210" t="str">
        <f>IF(AND(C30="Skema 3",B30="ma"),Skemaoplysninger!$AG$31,"")</f>
        <v/>
      </c>
      <c r="CO30" s="210" t="str">
        <f>IF(AND(C30="Skema 3",B30="ti"),Skemaoplysninger!$AI$31,"")</f>
        <v/>
      </c>
      <c r="CP30" s="210" t="str">
        <f>IF(AND(C30="Skema 3",B30="on"),Skemaoplysninger!$AK$31,"")</f>
        <v/>
      </c>
      <c r="CQ30" s="210" t="str">
        <f>IF(AND(C30="Skema 3",B30="to"),Skemaoplysninger!$AM$31,"")</f>
        <v/>
      </c>
      <c r="CR30" s="210" t="str">
        <f>IF(AND(C30="Skema 3",B30="fr"),Skemaoplysninger!$AO$31,"")</f>
        <v/>
      </c>
      <c r="CS30" s="210" t="str">
        <f>IF(AND(C30="Skema 4",B30="ma"),Skemaoplysninger!$AU$31,"")</f>
        <v/>
      </c>
      <c r="CT30" s="210" t="str">
        <f>IF(AND(C30="Skema 4",B30="ti"),Skemaoplysninger!$AW$31,"")</f>
        <v/>
      </c>
      <c r="CU30" s="210" t="str">
        <f>IF(AND(C30="Skema 4",B30="on"),Skemaoplysninger!$AY$31,"")</f>
        <v/>
      </c>
      <c r="CV30" s="210" t="str">
        <f>IF(AND(C30="Skema 4",B30="to"),Skemaoplysninger!$BA$31,"")</f>
        <v/>
      </c>
      <c r="CW30" s="210" t="str">
        <f>IF(AND(C30="Skema 4",B30="fr"),Skemaoplysninger!$BC$31,"")</f>
        <v/>
      </c>
      <c r="CX30" s="249">
        <f>IF(Stamoplysninger!$H$29="NEJ",SUM(CD30:CW30)*24+CB30+CC30,0)</f>
        <v>0</v>
      </c>
      <c r="CY30" s="249">
        <f>IF(C30="Skema 1",Stamoplysninger!$H$30/200,0)</f>
        <v>0</v>
      </c>
      <c r="CZ30" s="249">
        <f>IF(C30="Skema 2",Stamoplysninger!$H$30/200,0)</f>
        <v>0</v>
      </c>
      <c r="DA30" s="249">
        <f>IF(C30="Skema 3",Stamoplysninger!$H$30/200,0)</f>
        <v>0</v>
      </c>
      <c r="DB30" s="249">
        <f>IF(C30="Skema 4",Stamoplysninger!$H$30/200,0)</f>
        <v>0</v>
      </c>
      <c r="DC30" s="249">
        <f>IF(C30="fagdag",Stamoplysninger!$H$30/200,0)</f>
        <v>0</v>
      </c>
      <c r="DD30" s="249">
        <f>IF(C30="emnedag",Stamoplysninger!$H$30/200,0)</f>
        <v>0</v>
      </c>
      <c r="DE30" s="249">
        <f>IF(C30="lejrskole",Stamoplysninger!$H$30/200,0)</f>
        <v>0</v>
      </c>
      <c r="DF30" s="249">
        <f>IF(C30="ekskursion",Stamoplysninger!$H$30/200,0)</f>
        <v>0</v>
      </c>
      <c r="DG30" s="249">
        <f t="shared" si="26"/>
        <v>0</v>
      </c>
      <c r="DH30" t="str">
        <f t="shared" si="27"/>
        <v/>
      </c>
      <c r="DI30">
        <f t="shared" si="28"/>
        <v>0</v>
      </c>
      <c r="DJ30">
        <f t="shared" si="29"/>
        <v>0</v>
      </c>
      <c r="DK30" t="str">
        <f t="shared" si="13"/>
        <v/>
      </c>
      <c r="DL30" t="str">
        <f t="shared" si="13"/>
        <v/>
      </c>
      <c r="DM30" t="str">
        <f t="shared" si="13"/>
        <v/>
      </c>
      <c r="DN30" t="str">
        <f t="shared" si="30"/>
        <v/>
      </c>
      <c r="DO30" s="652">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71">
        <f>IF(AND(Stamoplysninger!$B$22="Ulempetillæg udbetales med 25% af nettotimelønnen.",C30="ikke relevant"),(R30)/4,0)</f>
        <v>0</v>
      </c>
      <c r="DT30" s="671">
        <f>IF(AND(AND(Stamoplysninger!$B$22="Ulempetillæg udbetales med 25% af nettotimelønnen.",I30="X",C30="Ikke relevant")),K30/4,0)</f>
        <v>0</v>
      </c>
      <c r="DU30" s="671">
        <f>IF(AND(AND(Stamoplysninger!$B$22="Ulempetillæg udbetales med 25% af nettotimelønnen.",C30="ikke relevant",U30="X")),(X30/4),0)</f>
        <v>0</v>
      </c>
      <c r="DV30" s="672">
        <f>IF(AND(AND(AND(Stamoplysninger!$B$22="Ulempetillæg udbetales med 25% af nettotimelønnen.",I30="X",C30="Ikke relevant",S30="X"))),V30/4,0)</f>
        <v>0</v>
      </c>
      <c r="DW30" s="652"/>
      <c r="DZ30" s="671"/>
      <c r="EA30" s="671"/>
      <c r="EB30" s="672"/>
      <c r="EC30" s="652">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71">
        <f>IF(AND(Stamoplysninger!$B$22="Ulempetillæg afspadseres med 25%(Kræver en aftale imellem ledelsen og den ansatte)",C30="ikke relevant"),(R30)/4,0)</f>
        <v>0</v>
      </c>
      <c r="EH30" s="671">
        <f>IF(AND(AND(Stamoplysninger!$B$22="Ulempetillæg afspadseres med 25%(Kræver en aftale imellem ledelsen og den ansatte)",I30="X",C30="Ikke relevant")),K30/4,0)</f>
        <v>0</v>
      </c>
      <c r="EI30" s="671">
        <f>IF(AND(AND(Stamoplysninger!$B$22="Ulempetillæg afspadseres med 25%(Kræver en aftale imellem ledelsen og den ansatte)",U30="X",C30="Ikke relevant")),X30/4,0)</f>
        <v>0</v>
      </c>
      <c r="EJ30" s="671">
        <f>IF(AND(AND(AND(Stamoplysninger!$B$22="Ulempetillæg afspadseres med 25%(Kræver en aftale imellem ledelsen og den ansatte)",I30="X",C30="Ikke relevant",S30="X"))),V30/4,0)</f>
        <v>0</v>
      </c>
      <c r="EK30" s="283">
        <f>IF(AND(Stamoplysninger!$B$26="Weekendtimer og weekendtillæg afspadseres.",I30="X"),K30*1.5,0)</f>
        <v>0</v>
      </c>
      <c r="EL30" s="251">
        <f>IF(AND(AND(Stamoplysninger!$B$26="Weekendtimer og weekendtillæg afspadseres.",I30="X",S30="X")),V30*1.5,0)</f>
        <v>0</v>
      </c>
      <c r="EM30" s="674">
        <f>IF(AND(AND(Stamoplysninger!$B$26="Weekendtimer og weekendtillæg afspadseres.",I30="X",C30="ikke relevant")),K30*1.5,0)</f>
        <v>0</v>
      </c>
      <c r="EN30" s="675">
        <f>IF(AND(AND(AND(Stamoplysninger!$B$26="Weekendtimer og weekendtillæg afspadseres.",I30="X",C30="ikke relevant",S30="X"))),(V30*1.5),0)</f>
        <v>0</v>
      </c>
      <c r="EO30" s="283">
        <f>IF(AND(Stamoplysninger!$B$26="Weekendtimer og weekendtillæg udbetales.",I30="X"),K30*1.5,0)</f>
        <v>0</v>
      </c>
      <c r="EP30" s="251">
        <f>IF(AND(AND(Stamoplysninger!$B$26="Weekendtimer og weekendtillæg udbetales.",I30="X",S30="X")),V30*1.5,0)</f>
        <v>0</v>
      </c>
      <c r="EQ30" s="674">
        <f>IF(AND(AND(Stamoplysninger!$B$26="Weekendtimer og weekendtillæg udbetales.",I30="X",C30="ikke relevant")),K30*1.5,0)</f>
        <v>0</v>
      </c>
      <c r="ER30" s="675">
        <f>IF(AND(AND(AND(Stamoplysninger!$B$26="Weekendtimer og weekendtillæg udbetales.",I30="X",C30="ikke relevant",S30="X"))),(V30*1.5),0)</f>
        <v>0</v>
      </c>
      <c r="ES30" s="283">
        <f>IF(AND(Stamoplysninger!$B$26="Der er indgået lokalaftale omkring weekendtimer.(Kræver aftale med TR/FSL) Weekendtillæg afspadseres.",I30="X"),K30*0.5,0)</f>
        <v>0</v>
      </c>
      <c r="ET30" s="251">
        <f>IF(AND(AND(Stamoplysninger!$B$26="Der er indgået lokalaftale omkring weekendtimer.(Kræver aftale med TR/FSL) Weekendtillæg afspadseres.",I30="X",S30="X")),V30*0.5,0)</f>
        <v>0</v>
      </c>
      <c r="EU30" s="674">
        <f>IF(AND(AND(Stamoplysninger!$B$26="Der er indgået lokalaftale omkring weekendtimer.(Kræver aftale med TR/FSL) Weekendtillæg afspadseres.",I30="X",C30="ikke relevant")),K30*0.5,0)</f>
        <v>0</v>
      </c>
      <c r="EV30" s="675">
        <f>IF(AND(AND(AND(Stamoplysninger!$B$26="Der er indgået lokalaftale omkring weekendtimer.(Kræver aftale med TR/FSL) Weekendtillæg afspadseres.",I30="X",C30="ikke relevant",S30="X"))),(V30*0.5),0)</f>
        <v>0</v>
      </c>
      <c r="EW30" s="283">
        <f>IF(AND(Stamoplysninger!$B$26="Der er indgået lokalaftale omkring weekendtimer(Kræver aftale med TR/FSL). Weekendtillæg udbetales.",I30="X"),K30*0.5,0)</f>
        <v>0</v>
      </c>
      <c r="EX30" s="251">
        <f>IF(AND(AND(Stamoplysninger!$B$26="Der er indgået lokalaftale omkring weekendtimer(Kræver aftale med TR/FSL). Weekendtillæg udbetales.",I30="X",S30="X")),V30*0.5,0)</f>
        <v>0</v>
      </c>
      <c r="EY30" s="674">
        <f>IF(AND(AND(Stamoplysninger!$B$26="Der er indgået lokalaftale omkring weekendtimer(Kræver aftale med TR/FSL). Weekendtillæg udbetales.",I30="X",C30="ikke relevant")),K30*0.5,0)</f>
        <v>0</v>
      </c>
      <c r="EZ30" s="675">
        <f>IF(AND(AND(AND(Stamoplysninger!$B$26="Der er indgået lokalaftale omkring weekendtimer(Kræver aftale med TR/FSL). Weekendtillæg udbetales.",I30="X",C30="ikke relevant",S30="X"))),(V30*0.5),0)</f>
        <v>0</v>
      </c>
      <c r="FA30" s="283">
        <f>IF(AND(Stamoplysninger!$B$26="Der er indgået lokalaftale omkring weekendtillæg(Kræver aftale med TR/FSL). Weekendtimerne afspadseres.",I30="X"),K30,0)</f>
        <v>0</v>
      </c>
      <c r="FB30" s="251">
        <f>IF(AND(AND(Stamoplysninger!$B$26="Der er indgået lokalaftale omkring weekendtillæg(Kræver aftale med TR/FSL). Weekendtimerne afspadseres.",I30="X",S30="X")),V30,0)</f>
        <v>0</v>
      </c>
      <c r="FC30" s="674">
        <f>IF(AND(AND(Stamoplysninger!$B$26="Der er indgået lokalaftale omkring weekendtillæg(Kræver aftale med TR/FSL). Weekendtimerne afspadseres..",I30="X",C30="ikke relevant")),K30,0)</f>
        <v>0</v>
      </c>
      <c r="FD30" s="675">
        <f>IF(AND(AND(AND(Stamoplysninger!$B$26="Der er indgået lokalaftale omkring weekendtillæg(Kræver aftale med TR/FSL). Weekendtimerne afspadseres.",I30="X",C30="ikke relevant",S30="X"))),(V30),0)</f>
        <v>0</v>
      </c>
      <c r="FE30" s="283">
        <f>IF(AND(Stamoplysninger!$B$26="Der er indgået lokalaftale omkring weekendtillæg(Kræver aftale med TR/FSL). Weekendtimerne udbetales.",I30="X"),K30,0)</f>
        <v>0</v>
      </c>
      <c r="FF30" s="251">
        <f>IF(AND(AND(Stamoplysninger!$B$26="Der er indgået lokalaftale omkring weekendtillæg(Kræver aftale med TR/FSL). Weekendtimerne udbetales.",I30="X",S30="X")),V30,0)</f>
        <v>0</v>
      </c>
      <c r="FG30" s="674">
        <f>IF(AND(AND(Stamoplysninger!$B$26="Der er indgået lokalaftale omkring weekendtillæg(Kræver aftale med TR/FSL). Weekendtimerne udbetales.",I30="X",C30="ikke relevant")),K30,0)</f>
        <v>0</v>
      </c>
      <c r="FH30" s="675">
        <f>IF(AND(AND(AND(Stamoplysninger!$B$26="Der er indgået lokalaftale omkring weekendtillæg(Kræver aftale med TR/FSL). Weekendtimerne udbetales.",I30="X",C30="ikke relevant",S30="X"))),(V30),0)</f>
        <v>0</v>
      </c>
      <c r="FI30" s="283">
        <f>IF(AND(Stamoplysninger!$B$26="Weekendtimer og weekendtillæg afspadseres.",I30="X"),K30,0)</f>
        <v>0</v>
      </c>
      <c r="FJ30" s="251">
        <f>IF(AND(Stamoplysninger!$B$26="Weekendtimer og weekendtillæg afspadseres.",Y30="X"),(AA30+AL30)/2,0)</f>
        <v>0</v>
      </c>
      <c r="FK30" s="674">
        <f>IF(AND(AND(Stamoplysninger!$B$26="Weekendtimer og weekendtillæg afspadseres.",I30="X",C30="ikke relevant")),K30,0)</f>
        <v>0</v>
      </c>
      <c r="FL30" s="675">
        <f>IF(AND(AND(Stamoplysninger!$B$26="Weekendtimer og weekendtillæg afspadseres.",Y30="X",S30="ikke relevant")),(AA30+AL30)/2,0)</f>
        <v>0</v>
      </c>
      <c r="FM30" s="283">
        <f>IF(AND(Stamoplysninger!$B$26="Der er indgået lokalaftale omkring weekendtillæg(Kræver aftale med TR/FSL). Weekendtimerne afspadseres.",I30="X"),K30,0)</f>
        <v>0</v>
      </c>
      <c r="FN30" s="674">
        <f>IF(AND(AND(Stamoplysninger!$B$26="Der er indgået lokalaftale omkring weekendtillæg(Kræver aftale med TR/FSL). Weekendtimerne afspadseres.",I30="X",C30="ikke relevant")),K30,0)</f>
        <v>0</v>
      </c>
      <c r="FO30" s="283">
        <f>IF(AND(Stamoplysninger!$B$26="Weekendtimer og weekendtillæg udbetales.",I30="X"),K30,0)</f>
        <v>0</v>
      </c>
      <c r="FP30" s="251">
        <f>IF(AND(Stamoplysninger!$B$26="Weekendtimer og weekendtillæg udbetales.",AA30="X"),(AC30+AN30)/2,0)</f>
        <v>0</v>
      </c>
      <c r="FQ30" s="674">
        <f>IF(AND(AND(Stamoplysninger!$B$26="Weekendtimer og weekendtillæg udbetales.",I30="X",C30="ikke relevant")),K30,0)</f>
        <v>0</v>
      </c>
      <c r="FR30" s="688">
        <f>IF(AND(AND(Stamoplysninger!$B$26="Weekendtimer og weekendtillæg udbetales.",AA30="X",U30="ikke relevant")),(AC30+AN30)/2,0)</f>
        <v>0</v>
      </c>
      <c r="FS30" s="283">
        <f t="shared" si="14"/>
        <v>0</v>
      </c>
      <c r="FT30" s="658">
        <f t="shared" si="15"/>
        <v>0</v>
      </c>
      <c r="FU30">
        <f t="shared" ref="FU30:FU38" si="31">IF(AND(C30="weekend",I30="X"),K30,0)</f>
        <v>0</v>
      </c>
      <c r="FV30" s="283">
        <f>IF(AND(Stamoplysninger!$B$26="Der er indgået lokalaftale omkring weekendtimer.(Kræver aftale med TR/FSL) Weekendtillæg afspadseres.",I30="X"),K30,0)</f>
        <v>0</v>
      </c>
      <c r="FW30" s="674">
        <f>IF(AND(AND(Stamoplysninger!$B$26="Der er indgået lokalaftale omkring weekendtimer.(Kræver aftale med TR/FSL) Weekendtillæg afspadseres.",I30="X",C30="ikke relevant")),K30,0)</f>
        <v>0</v>
      </c>
      <c r="FX30" s="283">
        <f>IF(AND(Stamoplysninger!$B$26="Der er indgået lokalaftale omkring weekendtimer(Kræver aftale med TR/FSL). Weekendtillæg udbetales.",I30="X"),K30,0)</f>
        <v>0</v>
      </c>
      <c r="FY30" s="674">
        <f>IF(AND(AND(Stamoplysninger!$B$26="Der er indgået lokalaftale omkring weekendtimer(Kræver aftale med TR/FSL). Weekendtillæg udbetales.",I30="X",C30="ikke relevant")),K30,0)</f>
        <v>0</v>
      </c>
      <c r="FZ30" s="283">
        <f>IF(AND(Stamoplysninger!$B$26="Der er indgået lokalaftale omkring weekendtillæg(Kræver aftale med TR/FSL). Weekendtimerne udbetales.",I30="X"),K30,0)</f>
        <v>0</v>
      </c>
      <c r="GA30" s="674">
        <f>IF(AND(AND(Stamoplysninger!$B$26="Der er indgået lokalaftale omkring weekendtillæg(Kræver aftale med TR/FSL). Weekendtimerne udbetales.",I30="X",C30="ikke relevant")),K30,0)</f>
        <v>0</v>
      </c>
      <c r="GB30" s="283">
        <f>IF(AND(Stamoplysninger!$B$26="Der er indgået lokalaftale omkring weekendtimer og weekendtillæg.(Kræver aftale med TR/FSL).",I30="X"),K30,0)</f>
        <v>0</v>
      </c>
      <c r="GC30" s="674">
        <f>IF(AND(AND(Stamoplysninger!$B$26="Der er indgået lokalaftale omkring weekendtimer og weekendtillæg.(Kræver aftale med TR/FSL).",I30="X",C30="ikke relevant")),K30,0)</f>
        <v>0</v>
      </c>
    </row>
    <row r="31" spans="1:185">
      <c r="A31" s="245">
        <f t="shared" si="17"/>
        <v>23</v>
      </c>
      <c r="B31" s="128" t="str">
        <f t="shared" si="0"/>
        <v>ma</v>
      </c>
      <c r="C31" s="129" t="s">
        <v>207</v>
      </c>
      <c r="D31" s="130">
        <f t="shared" si="1"/>
        <v>25.714285714285715</v>
      </c>
      <c r="E31" s="917"/>
      <c r="F31" s="918"/>
      <c r="G31" s="919"/>
      <c r="H31" s="298"/>
      <c r="I31" s="527"/>
      <c r="J31" s="413"/>
      <c r="K31" s="380"/>
      <c r="L31" s="380"/>
      <c r="M31" s="380"/>
      <c r="N31" s="318">
        <f t="shared" si="18"/>
        <v>7.75</v>
      </c>
      <c r="O31" s="318">
        <f t="shared" si="19"/>
        <v>3.4999999999999996</v>
      </c>
      <c r="P31" s="318">
        <f>IF(Stamoplysninger!$H$29="JA",Juni!DG31,CX31)</f>
        <v>1</v>
      </c>
      <c r="Q31" s="318">
        <f t="shared" si="20"/>
        <v>3.25</v>
      </c>
      <c r="R31" s="319"/>
      <c r="S31" s="324"/>
      <c r="T31" s="325"/>
      <c r="U31" s="325"/>
      <c r="V31" s="435"/>
      <c r="W31" s="435"/>
      <c r="X31" s="644"/>
      <c r="Y31">
        <f t="shared" si="21"/>
        <v>0</v>
      </c>
      <c r="Z31" s="437">
        <f t="shared" si="22"/>
        <v>0</v>
      </c>
      <c r="AA31" s="1">
        <f t="shared" si="2"/>
        <v>0</v>
      </c>
      <c r="AB31" s="1">
        <f t="shared" si="3"/>
        <v>0</v>
      </c>
      <c r="AC31" s="1">
        <f t="shared" si="4"/>
        <v>0</v>
      </c>
      <c r="AD31" s="1">
        <f t="shared" si="5"/>
        <v>0</v>
      </c>
      <c r="AE31" s="1">
        <f t="shared" si="6"/>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f>IF(AND(C31="Skema 2",B31="ma"),Arbejdstidsoversigt!$E$81,"")</f>
        <v>7.75</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7.75</v>
      </c>
      <c r="BB31" s="229">
        <f t="shared" si="7"/>
        <v>0</v>
      </c>
      <c r="BC31" s="1">
        <f t="shared" si="24"/>
        <v>0</v>
      </c>
      <c r="BD31" s="1">
        <f t="shared" si="8"/>
        <v>0</v>
      </c>
      <c r="BE31" s="1">
        <f t="shared" si="9"/>
        <v>0</v>
      </c>
      <c r="BF31" s="1">
        <f t="shared" si="10"/>
        <v>0</v>
      </c>
      <c r="BG31" s="210" t="str">
        <f>IF(AND(C31="Skema 1",B31="ma"),Skemaoplysninger!$E$30,"")</f>
        <v/>
      </c>
      <c r="BH31" s="210" t="str">
        <f>IF(AND(C31="Skema 1",B31="ti"),Skemaoplysninger!$G$30,"")</f>
        <v/>
      </c>
      <c r="BI31" s="210" t="str">
        <f>IF(AND(C31="Skema 1",B31="on"),Skemaoplysninger!$I$30,"")</f>
        <v/>
      </c>
      <c r="BJ31" s="210" t="str">
        <f>IF(AND(C31="Skema 1",B31="to"),Skemaoplysninger!$K$30,"")</f>
        <v/>
      </c>
      <c r="BK31" s="210" t="str">
        <f>IF(AND(C31="Skema 1",B31="fr"),Skemaoplysninger!$M$30,"")</f>
        <v/>
      </c>
      <c r="BL31" s="210">
        <f>IF(AND(C31="Skema 2",B31="ma"),Skemaoplysninger!$S$30,"")</f>
        <v>0.14583333333333331</v>
      </c>
      <c r="BM31" s="210" t="str">
        <f>IF(AND(C31="Skema 2",B31="ti"),Skemaoplysninger!$U$30,"")</f>
        <v/>
      </c>
      <c r="BN31" s="210" t="str">
        <f>IF(AND(C31="Skema 2",B31="on"),Skemaoplysninger!$W$30,"")</f>
        <v/>
      </c>
      <c r="BO31" s="210" t="str">
        <f>IF(AND(C31="Skema 2",B31="to"),Skemaoplysninger!$Y$30,"")</f>
        <v/>
      </c>
      <c r="BP31" s="210" t="str">
        <f>IF(AND(C31="Skema 2",B31="fr"),Skemaoplysninger!$AA$30,"")</f>
        <v/>
      </c>
      <c r="BQ31" s="210" t="str">
        <f>IF(AND(C31="Skema 3",B31="ma"),Skemaoplysninger!$AG$30,"")</f>
        <v/>
      </c>
      <c r="BR31" s="210" t="str">
        <f>IF(AND(C31="Skema 3",B31="ti"),Skemaoplysninger!$AI$30,"")</f>
        <v/>
      </c>
      <c r="BS31" s="210" t="str">
        <f>IF(AND(C31="Skema 3",B31="on"),Skemaoplysninger!$AK$30,"")</f>
        <v/>
      </c>
      <c r="BT31" s="210" t="str">
        <f>IF(AND(C31="Skema 3",B31="to"),Skemaoplysninger!$AM$30,"")</f>
        <v/>
      </c>
      <c r="BU31" s="210" t="str">
        <f>IF(AND(C31="Skema 3",B31="fr"),Skemaoplysninger!$AO$30,"")</f>
        <v/>
      </c>
      <c r="BV31" s="210" t="str">
        <f>IF(AND(C31="Skema 4",B31="ma"),Skemaoplysninger!$AU$30,"")</f>
        <v/>
      </c>
      <c r="BW31" s="210" t="str">
        <f>IF(AND(C31="Skema 4",B31="ti"),Skemaoplysninger!$AW$30,"")</f>
        <v/>
      </c>
      <c r="BX31" s="210" t="str">
        <f>IF(AND(C31="Skema 4",B31="on"),Skemaoplysninger!$AY$30,"")</f>
        <v/>
      </c>
      <c r="BY31" s="210" t="str">
        <f>IF(AND(C31="Skema 4",B31="to"),Skemaoplysninger!$BA$30,"")</f>
        <v/>
      </c>
      <c r="BZ31" s="210" t="str">
        <f>IF(AND(C31="Skema 4",B31="fr"),Skemaoplysninger!$BC$30,"")</f>
        <v/>
      </c>
      <c r="CA31" s="1">
        <f t="shared" si="25"/>
        <v>3.4999999999999996</v>
      </c>
      <c r="CB31" s="1">
        <f t="shared" si="11"/>
        <v>0</v>
      </c>
      <c r="CC31" s="1">
        <f t="shared" si="12"/>
        <v>0</v>
      </c>
      <c r="CD31" s="210" t="str">
        <f>IF(AND(C31="Skema 1",B31="ma"),Skemaoplysninger!$E$31,"")</f>
        <v/>
      </c>
      <c r="CE31" s="210" t="str">
        <f>IF(AND(C31="Skema 1",B31="ti"),Skemaoplysninger!$G$31,"")</f>
        <v/>
      </c>
      <c r="CF31" s="210" t="str">
        <f>IF(AND(C31="Skema 1",B31="on"),Skemaoplysninger!$I$31,"")</f>
        <v/>
      </c>
      <c r="CG31" s="210" t="str">
        <f>IF(AND(C31="Skema 1",B31="to"),Skemaoplysninger!$K$31,"")</f>
        <v/>
      </c>
      <c r="CH31" s="210" t="str">
        <f>IF(AND(C31="Skema 1",B31="fr"),Skemaoplysninger!$M$31,"")</f>
        <v/>
      </c>
      <c r="CI31" s="210">
        <f>IF(AND(C31="Skema 2",B31="ma"),Skemaoplysninger!$S$31,"")</f>
        <v>4.1666666666666671E-2</v>
      </c>
      <c r="CJ31" s="210" t="str">
        <f>IF(AND(C31="Skema 2",B31="ti"),Skemaoplysninger!$U$31,"")</f>
        <v/>
      </c>
      <c r="CK31" s="210" t="str">
        <f>IF(AND(C31="Skema 2",B31="on"),Skemaoplysninger!$W$31,"")</f>
        <v/>
      </c>
      <c r="CL31" s="210" t="str">
        <f>IF(AND(C31="Skema 2",B31="to"),Skemaoplysninger!$Y$31,"")</f>
        <v/>
      </c>
      <c r="CM31" s="210" t="str">
        <f>IF(AND(C31="Skema 2",B31="fr"),Skemaoplysninger!$AA$31,"")</f>
        <v/>
      </c>
      <c r="CN31" s="210" t="str">
        <f>IF(AND(C31="Skema 3",B31="ma"),Skemaoplysninger!$AG$31,"")</f>
        <v/>
      </c>
      <c r="CO31" s="210" t="str">
        <f>IF(AND(C31="Skema 3",B31="ti"),Skemaoplysninger!$AI$31,"")</f>
        <v/>
      </c>
      <c r="CP31" s="210" t="str">
        <f>IF(AND(C31="Skema 3",B31="on"),Skemaoplysninger!$AK$31,"")</f>
        <v/>
      </c>
      <c r="CQ31" s="210" t="str">
        <f>IF(AND(C31="Skema 3",B31="to"),Skemaoplysninger!$AM$31,"")</f>
        <v/>
      </c>
      <c r="CR31" s="210" t="str">
        <f>IF(AND(C31="Skema 3",B31="fr"),Skemaoplysninger!$AO$31,"")</f>
        <v/>
      </c>
      <c r="CS31" s="210" t="str">
        <f>IF(AND(C31="Skema 4",B31="ma"),Skemaoplysninger!$AU$31,"")</f>
        <v/>
      </c>
      <c r="CT31" s="210" t="str">
        <f>IF(AND(C31="Skema 4",B31="ti"),Skemaoplysninger!$AW$31,"")</f>
        <v/>
      </c>
      <c r="CU31" s="210" t="str">
        <f>IF(AND(C31="Skema 4",B31="on"),Skemaoplysninger!$AY$31,"")</f>
        <v/>
      </c>
      <c r="CV31" s="210" t="str">
        <f>IF(AND(C31="Skema 4",B31="to"),Skemaoplysninger!$BA$31,"")</f>
        <v/>
      </c>
      <c r="CW31" s="210" t="str">
        <f>IF(AND(C31="Skema 4",B31="fr"),Skemaoplysninger!$BC$31,"")</f>
        <v/>
      </c>
      <c r="CX31" s="249">
        <f>IF(Stamoplysninger!$H$29="NEJ",SUM(CD31:CW31)*24+CB31+CC31,0)</f>
        <v>1</v>
      </c>
      <c r="CY31" s="249">
        <f>IF(C31="Skema 1",Stamoplysninger!$H$30/200,0)</f>
        <v>0</v>
      </c>
      <c r="CZ31" s="249">
        <f>IF(C31="Skema 2",Stamoplysninger!$H$30/200,0)</f>
        <v>0</v>
      </c>
      <c r="DA31" s="249">
        <f>IF(C31="Skema 3",Stamoplysninger!$H$30/200,0)</f>
        <v>0</v>
      </c>
      <c r="DB31" s="249">
        <f>IF(C31="Skema 4",Stamoplysninger!$H$30/200,0)</f>
        <v>0</v>
      </c>
      <c r="DC31" s="249">
        <f>IF(C31="fagdag",Stamoplysninger!$H$30/200,0)</f>
        <v>0</v>
      </c>
      <c r="DD31" s="249">
        <f>IF(C31="emnedag",Stamoplysninger!$H$30/200,0)</f>
        <v>0</v>
      </c>
      <c r="DE31" s="249">
        <f>IF(C31="lejrskole",Stamoplysninger!$H$30/200,0)</f>
        <v>0</v>
      </c>
      <c r="DF31" s="249">
        <f>IF(C31="ekskursion",Stamoplysninger!$H$30/200,0)</f>
        <v>0</v>
      </c>
      <c r="DG31" s="249">
        <f t="shared" si="26"/>
        <v>0</v>
      </c>
      <c r="DH31" t="str">
        <f t="shared" si="27"/>
        <v/>
      </c>
      <c r="DI31">
        <f t="shared" si="28"/>
        <v>0</v>
      </c>
      <c r="DJ31">
        <f t="shared" si="29"/>
        <v>0</v>
      </c>
      <c r="DK31" t="str">
        <f t="shared" si="13"/>
        <v/>
      </c>
      <c r="DL31" t="str">
        <f t="shared" si="13"/>
        <v/>
      </c>
      <c r="DM31" t="str">
        <f t="shared" si="13"/>
        <v/>
      </c>
      <c r="DN31" t="str">
        <f t="shared" si="30"/>
        <v/>
      </c>
      <c r="DO31" s="652">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71">
        <f>IF(AND(Stamoplysninger!$B$22="Ulempetillæg udbetales med 25% af nettotimelønnen.",C31="ikke relevant"),(R31)/4,0)</f>
        <v>0</v>
      </c>
      <c r="DT31" s="671">
        <f>IF(AND(AND(Stamoplysninger!$B$22="Ulempetillæg udbetales med 25% af nettotimelønnen.",I31="X",C31="Ikke relevant")),K31/4,0)</f>
        <v>0</v>
      </c>
      <c r="DU31" s="671">
        <f>IF(AND(AND(Stamoplysninger!$B$22="Ulempetillæg udbetales med 25% af nettotimelønnen.",C31="ikke relevant",U31="X")),(X31/4),0)</f>
        <v>0</v>
      </c>
      <c r="DV31" s="672">
        <f>IF(AND(AND(AND(Stamoplysninger!$B$22="Ulempetillæg udbetales med 25% af nettotimelønnen.",I31="X",C31="Ikke relevant",S31="X"))),V31/4,0)</f>
        <v>0</v>
      </c>
      <c r="DW31" s="652"/>
      <c r="DZ31" s="671"/>
      <c r="EA31" s="671"/>
      <c r="EB31" s="672"/>
      <c r="EC31" s="652">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71">
        <f>IF(AND(Stamoplysninger!$B$22="Ulempetillæg afspadseres med 25%(Kræver en aftale imellem ledelsen og den ansatte)",C31="ikke relevant"),(R31)/4,0)</f>
        <v>0</v>
      </c>
      <c r="EH31" s="671">
        <f>IF(AND(AND(Stamoplysninger!$B$22="Ulempetillæg afspadseres med 25%(Kræver en aftale imellem ledelsen og den ansatte)",I31="X",C31="Ikke relevant")),K31/4,0)</f>
        <v>0</v>
      </c>
      <c r="EI31" s="671">
        <f>IF(AND(AND(Stamoplysninger!$B$22="Ulempetillæg afspadseres med 25%(Kræver en aftale imellem ledelsen og den ansatte)",U31="X",C31="Ikke relevant")),X31/4,0)</f>
        <v>0</v>
      </c>
      <c r="EJ31" s="671">
        <f>IF(AND(AND(AND(Stamoplysninger!$B$22="Ulempetillæg afspadseres med 25%(Kræver en aftale imellem ledelsen og den ansatte)",I31="X",C31="Ikke relevant",S31="X"))),V31/4,0)</f>
        <v>0</v>
      </c>
      <c r="EK31" s="283">
        <f>IF(AND(Stamoplysninger!$B$26="Weekendtimer og weekendtillæg afspadseres.",I31="X"),K31*1.5,0)</f>
        <v>0</v>
      </c>
      <c r="EL31" s="251">
        <f>IF(AND(AND(Stamoplysninger!$B$26="Weekendtimer og weekendtillæg afspadseres.",I31="X",S31="X")),V31*1.5,0)</f>
        <v>0</v>
      </c>
      <c r="EM31" s="674">
        <f>IF(AND(AND(Stamoplysninger!$B$26="Weekendtimer og weekendtillæg afspadseres.",I31="X",C31="ikke relevant")),K31*1.5,0)</f>
        <v>0</v>
      </c>
      <c r="EN31" s="675">
        <f>IF(AND(AND(AND(Stamoplysninger!$B$26="Weekendtimer og weekendtillæg afspadseres.",I31="X",C31="ikke relevant",S31="X"))),(V31*1.5),0)</f>
        <v>0</v>
      </c>
      <c r="EO31" s="283">
        <f>IF(AND(Stamoplysninger!$B$26="Weekendtimer og weekendtillæg udbetales.",I31="X"),K31*1.5,0)</f>
        <v>0</v>
      </c>
      <c r="EP31" s="251">
        <f>IF(AND(AND(Stamoplysninger!$B$26="Weekendtimer og weekendtillæg udbetales.",I31="X",S31="X")),V31*1.5,0)</f>
        <v>0</v>
      </c>
      <c r="EQ31" s="674">
        <f>IF(AND(AND(Stamoplysninger!$B$26="Weekendtimer og weekendtillæg udbetales.",I31="X",C31="ikke relevant")),K31*1.5,0)</f>
        <v>0</v>
      </c>
      <c r="ER31" s="675">
        <f>IF(AND(AND(AND(Stamoplysninger!$B$26="Weekendtimer og weekendtillæg udbetales.",I31="X",C31="ikke relevant",S31="X"))),(V31*1.5),0)</f>
        <v>0</v>
      </c>
      <c r="ES31" s="283">
        <f>IF(AND(Stamoplysninger!$B$26="Der er indgået lokalaftale omkring weekendtimer.(Kræver aftale med TR/FSL) Weekendtillæg afspadseres.",I31="X"),K31*0.5,0)</f>
        <v>0</v>
      </c>
      <c r="ET31" s="251">
        <f>IF(AND(AND(Stamoplysninger!$B$26="Der er indgået lokalaftale omkring weekendtimer.(Kræver aftale med TR/FSL) Weekendtillæg afspadseres.",I31="X",S31="X")),V31*0.5,0)</f>
        <v>0</v>
      </c>
      <c r="EU31" s="674">
        <f>IF(AND(AND(Stamoplysninger!$B$26="Der er indgået lokalaftale omkring weekendtimer.(Kræver aftale med TR/FSL) Weekendtillæg afspadseres.",I31="X",C31="ikke relevant")),K31*0.5,0)</f>
        <v>0</v>
      </c>
      <c r="EV31" s="675">
        <f>IF(AND(AND(AND(Stamoplysninger!$B$26="Der er indgået lokalaftale omkring weekendtimer.(Kræver aftale med TR/FSL) Weekendtillæg afspadseres.",I31="X",C31="ikke relevant",S31="X"))),(V31*0.5),0)</f>
        <v>0</v>
      </c>
      <c r="EW31" s="283">
        <f>IF(AND(Stamoplysninger!$B$26="Der er indgået lokalaftale omkring weekendtimer(Kræver aftale med TR/FSL). Weekendtillæg udbetales.",I31="X"),K31*0.5,0)</f>
        <v>0</v>
      </c>
      <c r="EX31" s="251">
        <f>IF(AND(AND(Stamoplysninger!$B$26="Der er indgået lokalaftale omkring weekendtimer(Kræver aftale med TR/FSL). Weekendtillæg udbetales.",I31="X",S31="X")),V31*0.5,0)</f>
        <v>0</v>
      </c>
      <c r="EY31" s="674">
        <f>IF(AND(AND(Stamoplysninger!$B$26="Der er indgået lokalaftale omkring weekendtimer(Kræver aftale med TR/FSL). Weekendtillæg udbetales.",I31="X",C31="ikke relevant")),K31*0.5,0)</f>
        <v>0</v>
      </c>
      <c r="EZ31" s="675">
        <f>IF(AND(AND(AND(Stamoplysninger!$B$26="Der er indgået lokalaftale omkring weekendtimer(Kræver aftale med TR/FSL). Weekendtillæg udbetales.",I31="X",C31="ikke relevant",S31="X"))),(V31*0.5),0)</f>
        <v>0</v>
      </c>
      <c r="FA31" s="283">
        <f>IF(AND(Stamoplysninger!$B$26="Der er indgået lokalaftale omkring weekendtillæg(Kræver aftale med TR/FSL). Weekendtimerne afspadseres.",I31="X"),K31,0)</f>
        <v>0</v>
      </c>
      <c r="FB31" s="251">
        <f>IF(AND(AND(Stamoplysninger!$B$26="Der er indgået lokalaftale omkring weekendtillæg(Kræver aftale med TR/FSL). Weekendtimerne afspadseres.",I31="X",S31="X")),V31,0)</f>
        <v>0</v>
      </c>
      <c r="FC31" s="674">
        <f>IF(AND(AND(Stamoplysninger!$B$26="Der er indgået lokalaftale omkring weekendtillæg(Kræver aftale med TR/FSL). Weekendtimerne afspadseres..",I31="X",C31="ikke relevant")),K31,0)</f>
        <v>0</v>
      </c>
      <c r="FD31" s="675">
        <f>IF(AND(AND(AND(Stamoplysninger!$B$26="Der er indgået lokalaftale omkring weekendtillæg(Kræver aftale med TR/FSL). Weekendtimerne afspadseres.",I31="X",C31="ikke relevant",S31="X"))),(V31),0)</f>
        <v>0</v>
      </c>
      <c r="FE31" s="283">
        <f>IF(AND(Stamoplysninger!$B$26="Der er indgået lokalaftale omkring weekendtillæg(Kræver aftale med TR/FSL). Weekendtimerne udbetales.",I31="X"),K31,0)</f>
        <v>0</v>
      </c>
      <c r="FF31" s="251">
        <f>IF(AND(AND(Stamoplysninger!$B$26="Der er indgået lokalaftale omkring weekendtillæg(Kræver aftale med TR/FSL). Weekendtimerne udbetales.",I31="X",S31="X")),V31,0)</f>
        <v>0</v>
      </c>
      <c r="FG31" s="674">
        <f>IF(AND(AND(Stamoplysninger!$B$26="Der er indgået lokalaftale omkring weekendtillæg(Kræver aftale med TR/FSL). Weekendtimerne udbetales.",I31="X",C31="ikke relevant")),K31,0)</f>
        <v>0</v>
      </c>
      <c r="FH31" s="675">
        <f>IF(AND(AND(AND(Stamoplysninger!$B$26="Der er indgået lokalaftale omkring weekendtillæg(Kræver aftale med TR/FSL). Weekendtimerne udbetales.",I31="X",C31="ikke relevant",S31="X"))),(V31),0)</f>
        <v>0</v>
      </c>
      <c r="FI31" s="283">
        <f>IF(AND(Stamoplysninger!$B$26="Weekendtimer og weekendtillæg afspadseres.",I31="X"),K31,0)</f>
        <v>0</v>
      </c>
      <c r="FJ31" s="251">
        <f>IF(AND(Stamoplysninger!$B$26="Weekendtimer og weekendtillæg afspadseres.",Y31="X"),(AA31+AL31)/2,0)</f>
        <v>0</v>
      </c>
      <c r="FK31" s="674">
        <f>IF(AND(AND(Stamoplysninger!$B$26="Weekendtimer og weekendtillæg afspadseres.",I31="X",C31="ikke relevant")),K31,0)</f>
        <v>0</v>
      </c>
      <c r="FL31" s="675">
        <f>IF(AND(AND(Stamoplysninger!$B$26="Weekendtimer og weekendtillæg afspadseres.",Y31="X",S31="ikke relevant")),(AA31+AL31)/2,0)</f>
        <v>0</v>
      </c>
      <c r="FM31" s="283">
        <f>IF(AND(Stamoplysninger!$B$26="Der er indgået lokalaftale omkring weekendtillæg(Kræver aftale med TR/FSL). Weekendtimerne afspadseres.",I31="X"),K31,0)</f>
        <v>0</v>
      </c>
      <c r="FN31" s="674">
        <f>IF(AND(AND(Stamoplysninger!$B$26="Der er indgået lokalaftale omkring weekendtillæg(Kræver aftale med TR/FSL). Weekendtimerne afspadseres.",I31="X",C31="ikke relevant")),K31,0)</f>
        <v>0</v>
      </c>
      <c r="FO31" s="283">
        <f>IF(AND(Stamoplysninger!$B$26="Weekendtimer og weekendtillæg udbetales.",I31="X"),K31,0)</f>
        <v>0</v>
      </c>
      <c r="FP31" s="251">
        <f>IF(AND(Stamoplysninger!$B$26="Weekendtimer og weekendtillæg udbetales.",AA31="X"),(AC31+AN31)/2,0)</f>
        <v>0</v>
      </c>
      <c r="FQ31" s="674">
        <f>IF(AND(AND(Stamoplysninger!$B$26="Weekendtimer og weekendtillæg udbetales.",I31="X",C31="ikke relevant")),K31,0)</f>
        <v>0</v>
      </c>
      <c r="FR31" s="688">
        <f>IF(AND(AND(Stamoplysninger!$B$26="Weekendtimer og weekendtillæg udbetales.",AA31="X",U31="ikke relevant")),(AC31+AN31)/2,0)</f>
        <v>0</v>
      </c>
      <c r="FS31" s="283">
        <f t="shared" si="14"/>
        <v>0</v>
      </c>
      <c r="FT31" s="658">
        <f t="shared" si="15"/>
        <v>0</v>
      </c>
      <c r="FU31">
        <f t="shared" si="31"/>
        <v>0</v>
      </c>
      <c r="FV31" s="283">
        <f>IF(AND(Stamoplysninger!$B$26="Der er indgået lokalaftale omkring weekendtimer.(Kræver aftale med TR/FSL) Weekendtillæg afspadseres.",I31="X"),K31,0)</f>
        <v>0</v>
      </c>
      <c r="FW31" s="674">
        <f>IF(AND(AND(Stamoplysninger!$B$26="Der er indgået lokalaftale omkring weekendtimer.(Kræver aftale med TR/FSL) Weekendtillæg afspadseres.",I31="X",C31="ikke relevant")),K31,0)</f>
        <v>0</v>
      </c>
      <c r="FX31" s="283">
        <f>IF(AND(Stamoplysninger!$B$26="Der er indgået lokalaftale omkring weekendtimer(Kræver aftale med TR/FSL). Weekendtillæg udbetales.",I31="X"),K31,0)</f>
        <v>0</v>
      </c>
      <c r="FY31" s="674">
        <f>IF(AND(AND(Stamoplysninger!$B$26="Der er indgået lokalaftale omkring weekendtimer(Kræver aftale med TR/FSL). Weekendtillæg udbetales.",I31="X",C31="ikke relevant")),K31,0)</f>
        <v>0</v>
      </c>
      <c r="FZ31" s="283">
        <f>IF(AND(Stamoplysninger!$B$26="Der er indgået lokalaftale omkring weekendtillæg(Kræver aftale med TR/FSL). Weekendtimerne udbetales.",I31="X"),K31,0)</f>
        <v>0</v>
      </c>
      <c r="GA31" s="674">
        <f>IF(AND(AND(Stamoplysninger!$B$26="Der er indgået lokalaftale omkring weekendtillæg(Kræver aftale med TR/FSL). Weekendtimerne udbetales.",I31="X",C31="ikke relevant")),K31,0)</f>
        <v>0</v>
      </c>
      <c r="GB31" s="283">
        <f>IF(AND(Stamoplysninger!$B$26="Der er indgået lokalaftale omkring weekendtimer og weekendtillæg.(Kræver aftale med TR/FSL).",I31="X"),K31,0)</f>
        <v>0</v>
      </c>
      <c r="GC31" s="674">
        <f>IF(AND(AND(Stamoplysninger!$B$26="Der er indgået lokalaftale omkring weekendtimer og weekendtillæg.(Kræver aftale med TR/FSL).",I31="X",C31="ikke relevant")),K31,0)</f>
        <v>0</v>
      </c>
    </row>
    <row r="32" spans="1:185">
      <c r="A32" s="245">
        <f t="shared" si="17"/>
        <v>24</v>
      </c>
      <c r="B32" s="128" t="str">
        <f t="shared" si="0"/>
        <v>ti</v>
      </c>
      <c r="C32" s="129" t="s">
        <v>207</v>
      </c>
      <c r="D32" s="130" t="str">
        <f t="shared" si="1"/>
        <v/>
      </c>
      <c r="E32" s="949"/>
      <c r="F32" s="950"/>
      <c r="G32" s="951"/>
      <c r="H32" s="298"/>
      <c r="I32" s="527"/>
      <c r="J32" s="413"/>
      <c r="K32" s="380"/>
      <c r="L32" s="380"/>
      <c r="M32" s="380"/>
      <c r="N32" s="318">
        <f t="shared" si="18"/>
        <v>8.5</v>
      </c>
      <c r="O32" s="318">
        <f t="shared" si="19"/>
        <v>3.75</v>
      </c>
      <c r="P32" s="318">
        <f>IF(Stamoplysninger!$H$29="JA",Juni!DG32,CX32)</f>
        <v>1.5</v>
      </c>
      <c r="Q32" s="318">
        <f t="shared" si="20"/>
        <v>3.25</v>
      </c>
      <c r="R32" s="319"/>
      <c r="S32" s="324"/>
      <c r="T32" s="325"/>
      <c r="U32" s="325"/>
      <c r="V32" s="435"/>
      <c r="W32" s="435"/>
      <c r="X32" s="644"/>
      <c r="Y32">
        <f t="shared" si="21"/>
        <v>0</v>
      </c>
      <c r="Z32" s="437">
        <f t="shared" si="22"/>
        <v>0</v>
      </c>
      <c r="AA32" s="1">
        <f t="shared" si="2"/>
        <v>0</v>
      </c>
      <c r="AB32" s="1">
        <f t="shared" si="3"/>
        <v>0</v>
      </c>
      <c r="AC32" s="1">
        <f t="shared" si="4"/>
        <v>0</v>
      </c>
      <c r="AD32" s="1">
        <f t="shared" si="5"/>
        <v>0</v>
      </c>
      <c r="AE32" s="1">
        <f t="shared" si="6"/>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f>IF(AND(C32="Skema 2",B32="ti"),Arbejdstidsoversigt!$E$82,"")</f>
        <v>8.5</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8.5</v>
      </c>
      <c r="BB32" s="229">
        <f t="shared" si="7"/>
        <v>0</v>
      </c>
      <c r="BC32" s="1">
        <f t="shared" si="24"/>
        <v>0</v>
      </c>
      <c r="BD32" s="1">
        <f t="shared" si="8"/>
        <v>0</v>
      </c>
      <c r="BE32" s="1">
        <f t="shared" si="9"/>
        <v>0</v>
      </c>
      <c r="BF32" s="1">
        <f t="shared" si="10"/>
        <v>0</v>
      </c>
      <c r="BG32" s="210" t="str">
        <f>IF(AND(C32="Skema 1",B32="ma"),Skemaoplysninger!$E$30,"")</f>
        <v/>
      </c>
      <c r="BH32" s="210" t="str">
        <f>IF(AND(C32="Skema 1",B32="ti"),Skemaoplysninger!$G$30,"")</f>
        <v/>
      </c>
      <c r="BI32" s="210" t="str">
        <f>IF(AND(C32="Skema 1",B32="on"),Skemaoplysninger!$I$30,"")</f>
        <v/>
      </c>
      <c r="BJ32" s="210" t="str">
        <f>IF(AND(C32="Skema 1",B32="to"),Skemaoplysninger!$K$30,"")</f>
        <v/>
      </c>
      <c r="BK32" s="210" t="str">
        <f>IF(AND(C32="Skema 1",B32="fr"),Skemaoplysninger!$M$30,"")</f>
        <v/>
      </c>
      <c r="BL32" s="210" t="str">
        <f>IF(AND(C32="Skema 2",B32="ma"),Skemaoplysninger!$S$30,"")</f>
        <v/>
      </c>
      <c r="BM32" s="210">
        <f>IF(AND(C32="Skema 2",B32="ti"),Skemaoplysninger!$U$30,"")</f>
        <v>0.15625</v>
      </c>
      <c r="BN32" s="210" t="str">
        <f>IF(AND(C32="Skema 2",B32="on"),Skemaoplysninger!$W$30,"")</f>
        <v/>
      </c>
      <c r="BO32" s="210" t="str">
        <f>IF(AND(C32="Skema 2",B32="to"),Skemaoplysninger!$Y$30,"")</f>
        <v/>
      </c>
      <c r="BP32" s="210" t="str">
        <f>IF(AND(C32="Skema 2",B32="fr"),Skemaoplysninger!$AA$30,"")</f>
        <v/>
      </c>
      <c r="BQ32" s="210" t="str">
        <f>IF(AND(C32="Skema 3",B32="ma"),Skemaoplysninger!$AG$30,"")</f>
        <v/>
      </c>
      <c r="BR32" s="210" t="str">
        <f>IF(AND(C32="Skema 3",B32="ti"),Skemaoplysninger!$AI$30,"")</f>
        <v/>
      </c>
      <c r="BS32" s="210" t="str">
        <f>IF(AND(C32="Skema 3",B32="on"),Skemaoplysninger!$AK$30,"")</f>
        <v/>
      </c>
      <c r="BT32" s="210" t="str">
        <f>IF(AND(C32="Skema 3",B32="to"),Skemaoplysninger!$AM$30,"")</f>
        <v/>
      </c>
      <c r="BU32" s="210" t="str">
        <f>IF(AND(C32="Skema 3",B32="fr"),Skemaoplysninger!$AO$30,"")</f>
        <v/>
      </c>
      <c r="BV32" s="210" t="str">
        <f>IF(AND(C32="Skema 4",B32="ma"),Skemaoplysninger!$AU$30,"")</f>
        <v/>
      </c>
      <c r="BW32" s="210" t="str">
        <f>IF(AND(C32="Skema 4",B32="ti"),Skemaoplysninger!$AW$30,"")</f>
        <v/>
      </c>
      <c r="BX32" s="210" t="str">
        <f>IF(AND(C32="Skema 4",B32="on"),Skemaoplysninger!$AY$30,"")</f>
        <v/>
      </c>
      <c r="BY32" s="210" t="str">
        <f>IF(AND(C32="Skema 4",B32="to"),Skemaoplysninger!$BA$30,"")</f>
        <v/>
      </c>
      <c r="BZ32" s="210" t="str">
        <f>IF(AND(C32="Skema 4",B32="fr"),Skemaoplysninger!$BC$30,"")</f>
        <v/>
      </c>
      <c r="CA32" s="1">
        <f t="shared" si="25"/>
        <v>3.75</v>
      </c>
      <c r="CB32" s="1">
        <f t="shared" si="11"/>
        <v>0</v>
      </c>
      <c r="CC32" s="1">
        <f t="shared" si="12"/>
        <v>0</v>
      </c>
      <c r="CD32" s="210" t="str">
        <f>IF(AND(C32="Skema 1",B32="ma"),Skemaoplysninger!$E$31,"")</f>
        <v/>
      </c>
      <c r="CE32" s="210" t="str">
        <f>IF(AND(C32="Skema 1",B32="ti"),Skemaoplysninger!$G$31,"")</f>
        <v/>
      </c>
      <c r="CF32" s="210" t="str">
        <f>IF(AND(C32="Skema 1",B32="on"),Skemaoplysninger!$I$31,"")</f>
        <v/>
      </c>
      <c r="CG32" s="210" t="str">
        <f>IF(AND(C32="Skema 1",B32="to"),Skemaoplysninger!$K$31,"")</f>
        <v/>
      </c>
      <c r="CH32" s="210" t="str">
        <f>IF(AND(C32="Skema 1",B32="fr"),Skemaoplysninger!$M$31,"")</f>
        <v/>
      </c>
      <c r="CI32" s="210" t="str">
        <f>IF(AND(C32="Skema 2",B32="ma"),Skemaoplysninger!$S$31,"")</f>
        <v/>
      </c>
      <c r="CJ32" s="210">
        <f>IF(AND(C32="Skema 2",B32="ti"),Skemaoplysninger!$U$31,"")</f>
        <v>6.25E-2</v>
      </c>
      <c r="CK32" s="210" t="str">
        <f>IF(AND(C32="Skema 2",B32="on"),Skemaoplysninger!$W$31,"")</f>
        <v/>
      </c>
      <c r="CL32" s="210" t="str">
        <f>IF(AND(C32="Skema 2",B32="to"),Skemaoplysninger!$Y$31,"")</f>
        <v/>
      </c>
      <c r="CM32" s="210" t="str">
        <f>IF(AND(C32="Skema 2",B32="fr"),Skemaoplysninger!$AA$31,"")</f>
        <v/>
      </c>
      <c r="CN32" s="210" t="str">
        <f>IF(AND(C32="Skema 3",B32="ma"),Skemaoplysninger!$AG$31,"")</f>
        <v/>
      </c>
      <c r="CO32" s="210" t="str">
        <f>IF(AND(C32="Skema 3",B32="ti"),Skemaoplysninger!$AI$31,"")</f>
        <v/>
      </c>
      <c r="CP32" s="210" t="str">
        <f>IF(AND(C32="Skema 3",B32="on"),Skemaoplysninger!$AK$31,"")</f>
        <v/>
      </c>
      <c r="CQ32" s="210" t="str">
        <f>IF(AND(C32="Skema 3",B32="to"),Skemaoplysninger!$AM$31,"")</f>
        <v/>
      </c>
      <c r="CR32" s="210" t="str">
        <f>IF(AND(C32="Skema 3",B32="fr"),Skemaoplysninger!$AO$31,"")</f>
        <v/>
      </c>
      <c r="CS32" s="210" t="str">
        <f>IF(AND(C32="Skema 4",B32="ma"),Skemaoplysninger!$AU$31,"")</f>
        <v/>
      </c>
      <c r="CT32" s="210" t="str">
        <f>IF(AND(C32="Skema 4",B32="ti"),Skemaoplysninger!$AW$31,"")</f>
        <v/>
      </c>
      <c r="CU32" s="210" t="str">
        <f>IF(AND(C32="Skema 4",B32="on"),Skemaoplysninger!$AY$31,"")</f>
        <v/>
      </c>
      <c r="CV32" s="210" t="str">
        <f>IF(AND(C32="Skema 4",B32="to"),Skemaoplysninger!$BA$31,"")</f>
        <v/>
      </c>
      <c r="CW32" s="210" t="str">
        <f>IF(AND(C32="Skema 4",B32="fr"),Skemaoplysninger!$BC$31,"")</f>
        <v/>
      </c>
      <c r="CX32" s="249">
        <f>IF(Stamoplysninger!$H$29="NEJ",SUM(CD32:CW32)*24+CB32+CC32,0)</f>
        <v>1.5</v>
      </c>
      <c r="CY32" s="249">
        <f>IF(C32="Skema 1",Stamoplysninger!$H$30/200,0)</f>
        <v>0</v>
      </c>
      <c r="CZ32" s="249">
        <f>IF(C32="Skema 2",Stamoplysninger!$H$30/200,0)</f>
        <v>0</v>
      </c>
      <c r="DA32" s="249">
        <f>IF(C32="Skema 3",Stamoplysninger!$H$30/200,0)</f>
        <v>0</v>
      </c>
      <c r="DB32" s="249">
        <f>IF(C32="Skema 4",Stamoplysninger!$H$30/200,0)</f>
        <v>0</v>
      </c>
      <c r="DC32" s="249">
        <f>IF(C32="fagdag",Stamoplysninger!$H$30/200,0)</f>
        <v>0</v>
      </c>
      <c r="DD32" s="249">
        <f>IF(C32="emnedag",Stamoplysninger!$H$30/200,0)</f>
        <v>0</v>
      </c>
      <c r="DE32" s="249">
        <f>IF(C32="lejrskole",Stamoplysninger!$H$30/200,0)</f>
        <v>0</v>
      </c>
      <c r="DF32" s="249">
        <f>IF(C32="ekskursion",Stamoplysninger!$H$30/200,0)</f>
        <v>0</v>
      </c>
      <c r="DG32" s="249">
        <f t="shared" si="26"/>
        <v>0</v>
      </c>
      <c r="DH32" t="str">
        <f t="shared" si="27"/>
        <v/>
      </c>
      <c r="DI32">
        <f t="shared" si="28"/>
        <v>0</v>
      </c>
      <c r="DJ32">
        <f t="shared" si="29"/>
        <v>0</v>
      </c>
      <c r="DK32" t="str">
        <f t="shared" si="13"/>
        <v/>
      </c>
      <c r="DL32" t="str">
        <f t="shared" si="13"/>
        <v/>
      </c>
      <c r="DM32" t="str">
        <f t="shared" si="13"/>
        <v/>
      </c>
      <c r="DN32" t="str">
        <f t="shared" si="30"/>
        <v/>
      </c>
      <c r="DO32" s="652">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71">
        <f>IF(AND(Stamoplysninger!$B$22="Ulempetillæg udbetales med 25% af nettotimelønnen.",C32="ikke relevant"),(R32)/4,0)</f>
        <v>0</v>
      </c>
      <c r="DT32" s="671">
        <f>IF(AND(AND(Stamoplysninger!$B$22="Ulempetillæg udbetales med 25% af nettotimelønnen.",I32="X",C32="Ikke relevant")),K32/4,0)</f>
        <v>0</v>
      </c>
      <c r="DU32" s="671">
        <f>IF(AND(AND(Stamoplysninger!$B$22="Ulempetillæg udbetales med 25% af nettotimelønnen.",C32="ikke relevant",U32="X")),(X32/4),0)</f>
        <v>0</v>
      </c>
      <c r="DV32" s="672">
        <f>IF(AND(AND(AND(Stamoplysninger!$B$22="Ulempetillæg udbetales med 25% af nettotimelønnen.",I32="X",C32="Ikke relevant",S32="X"))),V32/4,0)</f>
        <v>0</v>
      </c>
      <c r="DW32" s="652"/>
      <c r="DZ32" s="671"/>
      <c r="EA32" s="671"/>
      <c r="EB32" s="672"/>
      <c r="EC32" s="652">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71">
        <f>IF(AND(Stamoplysninger!$B$22="Ulempetillæg afspadseres med 25%(Kræver en aftale imellem ledelsen og den ansatte)",C32="ikke relevant"),(R32)/4,0)</f>
        <v>0</v>
      </c>
      <c r="EH32" s="671">
        <f>IF(AND(AND(Stamoplysninger!$B$22="Ulempetillæg afspadseres med 25%(Kræver en aftale imellem ledelsen og den ansatte)",I32="X",C32="Ikke relevant")),K32/4,0)</f>
        <v>0</v>
      </c>
      <c r="EI32" s="671">
        <f>IF(AND(AND(Stamoplysninger!$B$22="Ulempetillæg afspadseres med 25%(Kræver en aftale imellem ledelsen og den ansatte)",U32="X",C32="Ikke relevant")),X32/4,0)</f>
        <v>0</v>
      </c>
      <c r="EJ32" s="671">
        <f>IF(AND(AND(AND(Stamoplysninger!$B$22="Ulempetillæg afspadseres med 25%(Kræver en aftale imellem ledelsen og den ansatte)",I32="X",C32="Ikke relevant",S32="X"))),V32/4,0)</f>
        <v>0</v>
      </c>
      <c r="EK32" s="283">
        <f>IF(AND(Stamoplysninger!$B$26="Weekendtimer og weekendtillæg afspadseres.",I32="X"),K32*1.5,0)</f>
        <v>0</v>
      </c>
      <c r="EL32" s="251">
        <f>IF(AND(AND(Stamoplysninger!$B$26="Weekendtimer og weekendtillæg afspadseres.",I32="X",S32="X")),V32*1.5,0)</f>
        <v>0</v>
      </c>
      <c r="EM32" s="674">
        <f>IF(AND(AND(Stamoplysninger!$B$26="Weekendtimer og weekendtillæg afspadseres.",I32="X",C32="ikke relevant")),K32*1.5,0)</f>
        <v>0</v>
      </c>
      <c r="EN32" s="675">
        <f>IF(AND(AND(AND(Stamoplysninger!$B$26="Weekendtimer og weekendtillæg afspadseres.",I32="X",C32="ikke relevant",S32="X"))),(V32*1.5),0)</f>
        <v>0</v>
      </c>
      <c r="EO32" s="283">
        <f>IF(AND(Stamoplysninger!$B$26="Weekendtimer og weekendtillæg udbetales.",I32="X"),K32*1.5,0)</f>
        <v>0</v>
      </c>
      <c r="EP32" s="251">
        <f>IF(AND(AND(Stamoplysninger!$B$26="Weekendtimer og weekendtillæg udbetales.",I32="X",S32="X")),V32*1.5,0)</f>
        <v>0</v>
      </c>
      <c r="EQ32" s="674">
        <f>IF(AND(AND(Stamoplysninger!$B$26="Weekendtimer og weekendtillæg udbetales.",I32="X",C32="ikke relevant")),K32*1.5,0)</f>
        <v>0</v>
      </c>
      <c r="ER32" s="675">
        <f>IF(AND(AND(AND(Stamoplysninger!$B$26="Weekendtimer og weekendtillæg udbetales.",I32="X",C32="ikke relevant",S32="X"))),(V32*1.5),0)</f>
        <v>0</v>
      </c>
      <c r="ES32" s="283">
        <f>IF(AND(Stamoplysninger!$B$26="Der er indgået lokalaftale omkring weekendtimer.(Kræver aftale med TR/FSL) Weekendtillæg afspadseres.",I32="X"),K32*0.5,0)</f>
        <v>0</v>
      </c>
      <c r="ET32" s="251">
        <f>IF(AND(AND(Stamoplysninger!$B$26="Der er indgået lokalaftale omkring weekendtimer.(Kræver aftale med TR/FSL) Weekendtillæg afspadseres.",I32="X",S32="X")),V32*0.5,0)</f>
        <v>0</v>
      </c>
      <c r="EU32" s="674">
        <f>IF(AND(AND(Stamoplysninger!$B$26="Der er indgået lokalaftale omkring weekendtimer.(Kræver aftale med TR/FSL) Weekendtillæg afspadseres.",I32="X",C32="ikke relevant")),K32*0.5,0)</f>
        <v>0</v>
      </c>
      <c r="EV32" s="675">
        <f>IF(AND(AND(AND(Stamoplysninger!$B$26="Der er indgået lokalaftale omkring weekendtimer.(Kræver aftale med TR/FSL) Weekendtillæg afspadseres.",I32="X",C32="ikke relevant",S32="X"))),(V32*0.5),0)</f>
        <v>0</v>
      </c>
      <c r="EW32" s="283">
        <f>IF(AND(Stamoplysninger!$B$26="Der er indgået lokalaftale omkring weekendtimer(Kræver aftale med TR/FSL). Weekendtillæg udbetales.",I32="X"),K32*0.5,0)</f>
        <v>0</v>
      </c>
      <c r="EX32" s="251">
        <f>IF(AND(AND(Stamoplysninger!$B$26="Der er indgået lokalaftale omkring weekendtimer(Kræver aftale med TR/FSL). Weekendtillæg udbetales.",I32="X",S32="X")),V32*0.5,0)</f>
        <v>0</v>
      </c>
      <c r="EY32" s="674">
        <f>IF(AND(AND(Stamoplysninger!$B$26="Der er indgået lokalaftale omkring weekendtimer(Kræver aftale med TR/FSL). Weekendtillæg udbetales.",I32="X",C32="ikke relevant")),K32*0.5,0)</f>
        <v>0</v>
      </c>
      <c r="EZ32" s="675">
        <f>IF(AND(AND(AND(Stamoplysninger!$B$26="Der er indgået lokalaftale omkring weekendtimer(Kræver aftale med TR/FSL). Weekendtillæg udbetales.",I32="X",C32="ikke relevant",S32="X"))),(V32*0.5),0)</f>
        <v>0</v>
      </c>
      <c r="FA32" s="283">
        <f>IF(AND(Stamoplysninger!$B$26="Der er indgået lokalaftale omkring weekendtillæg(Kræver aftale med TR/FSL). Weekendtimerne afspadseres.",I32="X"),K32,0)</f>
        <v>0</v>
      </c>
      <c r="FB32" s="251">
        <f>IF(AND(AND(Stamoplysninger!$B$26="Der er indgået lokalaftale omkring weekendtillæg(Kræver aftale med TR/FSL). Weekendtimerne afspadseres.",I32="X",S32="X")),V32,0)</f>
        <v>0</v>
      </c>
      <c r="FC32" s="674">
        <f>IF(AND(AND(Stamoplysninger!$B$26="Der er indgået lokalaftale omkring weekendtillæg(Kræver aftale med TR/FSL). Weekendtimerne afspadseres..",I32="X",C32="ikke relevant")),K32,0)</f>
        <v>0</v>
      </c>
      <c r="FD32" s="675">
        <f>IF(AND(AND(AND(Stamoplysninger!$B$26="Der er indgået lokalaftale omkring weekendtillæg(Kræver aftale med TR/FSL). Weekendtimerne afspadseres.",I32="X",C32="ikke relevant",S32="X"))),(V32),0)</f>
        <v>0</v>
      </c>
      <c r="FE32" s="283">
        <f>IF(AND(Stamoplysninger!$B$26="Der er indgået lokalaftale omkring weekendtillæg(Kræver aftale med TR/FSL). Weekendtimerne udbetales.",I32="X"),K32,0)</f>
        <v>0</v>
      </c>
      <c r="FF32" s="251">
        <f>IF(AND(AND(Stamoplysninger!$B$26="Der er indgået lokalaftale omkring weekendtillæg(Kræver aftale med TR/FSL). Weekendtimerne udbetales.",I32="X",S32="X")),V32,0)</f>
        <v>0</v>
      </c>
      <c r="FG32" s="674">
        <f>IF(AND(AND(Stamoplysninger!$B$26="Der er indgået lokalaftale omkring weekendtillæg(Kræver aftale med TR/FSL). Weekendtimerne udbetales.",I32="X",C32="ikke relevant")),K32,0)</f>
        <v>0</v>
      </c>
      <c r="FH32" s="675">
        <f>IF(AND(AND(AND(Stamoplysninger!$B$26="Der er indgået lokalaftale omkring weekendtillæg(Kræver aftale med TR/FSL). Weekendtimerne udbetales.",I32="X",C32="ikke relevant",S32="X"))),(V32),0)</f>
        <v>0</v>
      </c>
      <c r="FI32" s="283">
        <f>IF(AND(Stamoplysninger!$B$26="Weekendtimer og weekendtillæg afspadseres.",I32="X"),K32,0)</f>
        <v>0</v>
      </c>
      <c r="FJ32" s="251">
        <f>IF(AND(Stamoplysninger!$B$26="Weekendtimer og weekendtillæg afspadseres.",Y32="X"),(AA32+AL32)/2,0)</f>
        <v>0</v>
      </c>
      <c r="FK32" s="674">
        <f>IF(AND(AND(Stamoplysninger!$B$26="Weekendtimer og weekendtillæg afspadseres.",I32="X",C32="ikke relevant")),K32,0)</f>
        <v>0</v>
      </c>
      <c r="FL32" s="675">
        <f>IF(AND(AND(Stamoplysninger!$B$26="Weekendtimer og weekendtillæg afspadseres.",Y32="X",S32="ikke relevant")),(AA32+AL32)/2,0)</f>
        <v>0</v>
      </c>
      <c r="FM32" s="283">
        <f>IF(AND(Stamoplysninger!$B$26="Der er indgået lokalaftale omkring weekendtillæg(Kræver aftale med TR/FSL). Weekendtimerne afspadseres.",I32="X"),K32,0)</f>
        <v>0</v>
      </c>
      <c r="FN32" s="674">
        <f>IF(AND(AND(Stamoplysninger!$B$26="Der er indgået lokalaftale omkring weekendtillæg(Kræver aftale med TR/FSL). Weekendtimerne afspadseres.",I32="X",C32="ikke relevant")),K32,0)</f>
        <v>0</v>
      </c>
      <c r="FO32" s="283">
        <f>IF(AND(Stamoplysninger!$B$26="Weekendtimer og weekendtillæg udbetales.",I32="X"),K32,0)</f>
        <v>0</v>
      </c>
      <c r="FP32" s="251">
        <f>IF(AND(Stamoplysninger!$B$26="Weekendtimer og weekendtillæg udbetales.",AA32="X"),(AC32+AN32)/2,0)</f>
        <v>0</v>
      </c>
      <c r="FQ32" s="674">
        <f>IF(AND(AND(Stamoplysninger!$B$26="Weekendtimer og weekendtillæg udbetales.",I32="X",C32="ikke relevant")),K32,0)</f>
        <v>0</v>
      </c>
      <c r="FR32" s="688">
        <f>IF(AND(AND(Stamoplysninger!$B$26="Weekendtimer og weekendtillæg udbetales.",AA32="X",U32="ikke relevant")),(AC32+AN32)/2,0)</f>
        <v>0</v>
      </c>
      <c r="FS32" s="283">
        <f t="shared" si="14"/>
        <v>0</v>
      </c>
      <c r="FT32" s="658">
        <f t="shared" si="15"/>
        <v>0</v>
      </c>
      <c r="FU32">
        <f t="shared" si="31"/>
        <v>0</v>
      </c>
      <c r="FV32" s="283">
        <f>IF(AND(Stamoplysninger!$B$26="Der er indgået lokalaftale omkring weekendtimer.(Kræver aftale med TR/FSL) Weekendtillæg afspadseres.",I32="X"),K32,0)</f>
        <v>0</v>
      </c>
      <c r="FW32" s="674">
        <f>IF(AND(AND(Stamoplysninger!$B$26="Der er indgået lokalaftale omkring weekendtimer.(Kræver aftale med TR/FSL) Weekendtillæg afspadseres.",I32="X",C32="ikke relevant")),K32,0)</f>
        <v>0</v>
      </c>
      <c r="FX32" s="283">
        <f>IF(AND(Stamoplysninger!$B$26="Der er indgået lokalaftale omkring weekendtimer(Kræver aftale med TR/FSL). Weekendtillæg udbetales.",I32="X"),K32,0)</f>
        <v>0</v>
      </c>
      <c r="FY32" s="674">
        <f>IF(AND(AND(Stamoplysninger!$B$26="Der er indgået lokalaftale omkring weekendtimer(Kræver aftale med TR/FSL). Weekendtillæg udbetales.",I32="X",C32="ikke relevant")),K32,0)</f>
        <v>0</v>
      </c>
      <c r="FZ32" s="283">
        <f>IF(AND(Stamoplysninger!$B$26="Der er indgået lokalaftale omkring weekendtillæg(Kræver aftale med TR/FSL). Weekendtimerne udbetales.",I32="X"),K32,0)</f>
        <v>0</v>
      </c>
      <c r="GA32" s="674">
        <f>IF(AND(AND(Stamoplysninger!$B$26="Der er indgået lokalaftale omkring weekendtillæg(Kræver aftale med TR/FSL). Weekendtimerne udbetales.",I32="X",C32="ikke relevant")),K32,0)</f>
        <v>0</v>
      </c>
      <c r="GB32" s="283">
        <f>IF(AND(Stamoplysninger!$B$26="Der er indgået lokalaftale omkring weekendtimer og weekendtillæg.(Kræver aftale med TR/FSL).",I32="X"),K32,0)</f>
        <v>0</v>
      </c>
      <c r="GC32" s="674">
        <f>IF(AND(AND(Stamoplysninger!$B$26="Der er indgået lokalaftale omkring weekendtimer og weekendtillæg.(Kræver aftale med TR/FSL).",I32="X",C32="ikke relevant")),K32,0)</f>
        <v>0</v>
      </c>
    </row>
    <row r="33" spans="1:185">
      <c r="A33" s="245">
        <f t="shared" si="17"/>
        <v>25</v>
      </c>
      <c r="B33" s="128" t="str">
        <f t="shared" si="0"/>
        <v>on</v>
      </c>
      <c r="C33" s="129" t="s">
        <v>207</v>
      </c>
      <c r="D33" s="130" t="str">
        <f t="shared" si="1"/>
        <v/>
      </c>
      <c r="E33" s="917"/>
      <c r="F33" s="918"/>
      <c r="G33" s="919"/>
      <c r="H33" s="298"/>
      <c r="I33" s="527"/>
      <c r="J33" s="413"/>
      <c r="K33" s="380"/>
      <c r="L33" s="380"/>
      <c r="M33" s="380"/>
      <c r="N33" s="318">
        <f t="shared" si="18"/>
        <v>7.75</v>
      </c>
      <c r="O33" s="318">
        <f t="shared" si="19"/>
        <v>4.25</v>
      </c>
      <c r="P33" s="318">
        <f>IF(Stamoplysninger!$H$29="JA",Juni!DG33,CX33)</f>
        <v>1</v>
      </c>
      <c r="Q33" s="318">
        <f t="shared" si="20"/>
        <v>2.5</v>
      </c>
      <c r="R33" s="319"/>
      <c r="S33" s="324"/>
      <c r="T33" s="325"/>
      <c r="U33" s="325"/>
      <c r="V33" s="435"/>
      <c r="W33" s="435"/>
      <c r="X33" s="644"/>
      <c r="Y33">
        <f t="shared" si="21"/>
        <v>0</v>
      </c>
      <c r="Z33" s="437">
        <f t="shared" si="22"/>
        <v>0</v>
      </c>
      <c r="AA33" s="1">
        <f t="shared" si="2"/>
        <v>0</v>
      </c>
      <c r="AB33" s="1">
        <f t="shared" si="3"/>
        <v>0</v>
      </c>
      <c r="AC33" s="1">
        <f t="shared" si="4"/>
        <v>0</v>
      </c>
      <c r="AD33" s="1">
        <f t="shared" si="5"/>
        <v>0</v>
      </c>
      <c r="AE33" s="1">
        <f t="shared" si="6"/>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f>IF(AND(C33="Skema 2",B33="on"),Arbejdstidsoversigt!$E$83,"")</f>
        <v>7.75</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7.75</v>
      </c>
      <c r="BB33" s="229">
        <f t="shared" si="7"/>
        <v>0</v>
      </c>
      <c r="BC33" s="1">
        <f t="shared" si="24"/>
        <v>0</v>
      </c>
      <c r="BD33" s="1">
        <f t="shared" si="8"/>
        <v>0</v>
      </c>
      <c r="BE33" s="1">
        <f t="shared" si="9"/>
        <v>0</v>
      </c>
      <c r="BF33" s="1">
        <f t="shared" si="10"/>
        <v>0</v>
      </c>
      <c r="BG33" s="210" t="str">
        <f>IF(AND(C33="Skema 1",B33="ma"),Skemaoplysninger!$E$30,"")</f>
        <v/>
      </c>
      <c r="BH33" s="210" t="str">
        <f>IF(AND(C33="Skema 1",B33="ti"),Skemaoplysninger!$G$30,"")</f>
        <v/>
      </c>
      <c r="BI33" s="210" t="str">
        <f>IF(AND(C33="Skema 1",B33="on"),Skemaoplysninger!$I$30,"")</f>
        <v/>
      </c>
      <c r="BJ33" s="210" t="str">
        <f>IF(AND(C33="Skema 1",B33="to"),Skemaoplysninger!$K$30,"")</f>
        <v/>
      </c>
      <c r="BK33" s="210" t="str">
        <f>IF(AND(C33="Skema 1",B33="fr"),Skemaoplysninger!$M$30,"")</f>
        <v/>
      </c>
      <c r="BL33" s="210" t="str">
        <f>IF(AND(C33="Skema 2",B33="ma"),Skemaoplysninger!$S$30,"")</f>
        <v/>
      </c>
      <c r="BM33" s="210" t="str">
        <f>IF(AND(C33="Skema 2",B33="ti"),Skemaoplysninger!$U$30,"")</f>
        <v/>
      </c>
      <c r="BN33" s="210">
        <f>IF(AND(C33="Skema 2",B33="on"),Skemaoplysninger!$W$30,"")</f>
        <v>0.17708333333333331</v>
      </c>
      <c r="BO33" s="210" t="str">
        <f>IF(AND(C33="Skema 2",B33="to"),Skemaoplysninger!$Y$30,"")</f>
        <v/>
      </c>
      <c r="BP33" s="210" t="str">
        <f>IF(AND(C33="Skema 2",B33="fr"),Skemaoplysninger!$AA$30,"")</f>
        <v/>
      </c>
      <c r="BQ33" s="210" t="str">
        <f>IF(AND(C33="Skema 3",B33="ma"),Skemaoplysninger!$AG$30,"")</f>
        <v/>
      </c>
      <c r="BR33" s="210" t="str">
        <f>IF(AND(C33="Skema 3",B33="ti"),Skemaoplysninger!$AI$30,"")</f>
        <v/>
      </c>
      <c r="BS33" s="210" t="str">
        <f>IF(AND(C33="Skema 3",B33="on"),Skemaoplysninger!$AK$30,"")</f>
        <v/>
      </c>
      <c r="BT33" s="210" t="str">
        <f>IF(AND(C33="Skema 3",B33="to"),Skemaoplysninger!$AM$30,"")</f>
        <v/>
      </c>
      <c r="BU33" s="210" t="str">
        <f>IF(AND(C33="Skema 3",B33="fr"),Skemaoplysninger!$AO$30,"")</f>
        <v/>
      </c>
      <c r="BV33" s="210" t="str">
        <f>IF(AND(C33="Skema 4",B33="ma"),Skemaoplysninger!$AU$30,"")</f>
        <v/>
      </c>
      <c r="BW33" s="210" t="str">
        <f>IF(AND(C33="Skema 4",B33="ti"),Skemaoplysninger!$AW$30,"")</f>
        <v/>
      </c>
      <c r="BX33" s="210" t="str">
        <f>IF(AND(C33="Skema 4",B33="on"),Skemaoplysninger!$AY$30,"")</f>
        <v/>
      </c>
      <c r="BY33" s="210" t="str">
        <f>IF(AND(C33="Skema 4",B33="to"),Skemaoplysninger!$BA$30,"")</f>
        <v/>
      </c>
      <c r="BZ33" s="210" t="str">
        <f>IF(AND(C33="Skema 4",B33="fr"),Skemaoplysninger!$BC$30,"")</f>
        <v/>
      </c>
      <c r="CA33" s="1">
        <f t="shared" si="25"/>
        <v>4.25</v>
      </c>
      <c r="CB33" s="1">
        <f t="shared" si="11"/>
        <v>0</v>
      </c>
      <c r="CC33" s="1">
        <f t="shared" si="12"/>
        <v>0</v>
      </c>
      <c r="CD33" s="210" t="str">
        <f>IF(AND(C33="Skema 1",B33="ma"),Skemaoplysninger!$E$31,"")</f>
        <v/>
      </c>
      <c r="CE33" s="210" t="str">
        <f>IF(AND(C33="Skema 1",B33="ti"),Skemaoplysninger!$G$31,"")</f>
        <v/>
      </c>
      <c r="CF33" s="210" t="str">
        <f>IF(AND(C33="Skema 1",B33="on"),Skemaoplysninger!$I$31,"")</f>
        <v/>
      </c>
      <c r="CG33" s="210" t="str">
        <f>IF(AND(C33="Skema 1",B33="to"),Skemaoplysninger!$K$31,"")</f>
        <v/>
      </c>
      <c r="CH33" s="210" t="str">
        <f>IF(AND(C33="Skema 1",B33="fr"),Skemaoplysninger!$M$31,"")</f>
        <v/>
      </c>
      <c r="CI33" s="210" t="str">
        <f>IF(AND(C33="Skema 2",B33="ma"),Skemaoplysninger!$S$31,"")</f>
        <v/>
      </c>
      <c r="CJ33" s="210" t="str">
        <f>IF(AND(C33="Skema 2",B33="ti"),Skemaoplysninger!$U$31,"")</f>
        <v/>
      </c>
      <c r="CK33" s="210">
        <f>IF(AND(C33="Skema 2",B33="on"),Skemaoplysninger!$W$31,"")</f>
        <v>4.1666666666666664E-2</v>
      </c>
      <c r="CL33" s="210" t="str">
        <f>IF(AND(C33="Skema 2",B33="to"),Skemaoplysninger!$Y$31,"")</f>
        <v/>
      </c>
      <c r="CM33" s="210" t="str">
        <f>IF(AND(C33="Skema 2",B33="fr"),Skemaoplysninger!$AA$31,"")</f>
        <v/>
      </c>
      <c r="CN33" s="210" t="str">
        <f>IF(AND(C33="Skema 3",B33="ma"),Skemaoplysninger!$AG$31,"")</f>
        <v/>
      </c>
      <c r="CO33" s="210" t="str">
        <f>IF(AND(C33="Skema 3",B33="ti"),Skemaoplysninger!$AI$31,"")</f>
        <v/>
      </c>
      <c r="CP33" s="210" t="str">
        <f>IF(AND(C33="Skema 3",B33="on"),Skemaoplysninger!$AK$31,"")</f>
        <v/>
      </c>
      <c r="CQ33" s="210" t="str">
        <f>IF(AND(C33="Skema 3",B33="to"),Skemaoplysninger!$AM$31,"")</f>
        <v/>
      </c>
      <c r="CR33" s="210" t="str">
        <f>IF(AND(C33="Skema 3",B33="fr"),Skemaoplysninger!$AO$31,"")</f>
        <v/>
      </c>
      <c r="CS33" s="210" t="str">
        <f>IF(AND(C33="Skema 4",B33="ma"),Skemaoplysninger!$AU$31,"")</f>
        <v/>
      </c>
      <c r="CT33" s="210" t="str">
        <f>IF(AND(C33="Skema 4",B33="ti"),Skemaoplysninger!$AW$31,"")</f>
        <v/>
      </c>
      <c r="CU33" s="210" t="str">
        <f>IF(AND(C33="Skema 4",B33="on"),Skemaoplysninger!$AY$31,"")</f>
        <v/>
      </c>
      <c r="CV33" s="210" t="str">
        <f>IF(AND(C33="Skema 4",B33="to"),Skemaoplysninger!$BA$31,"")</f>
        <v/>
      </c>
      <c r="CW33" s="210" t="str">
        <f>IF(AND(C33="Skema 4",B33="fr"),Skemaoplysninger!$BC$31,"")</f>
        <v/>
      </c>
      <c r="CX33" s="249">
        <f>IF(Stamoplysninger!$H$29="NEJ",SUM(CD33:CW33)*24+CB33+CC33,0)</f>
        <v>1</v>
      </c>
      <c r="CY33" s="249">
        <f>IF(C33="Skema 1",Stamoplysninger!$H$30/200,0)</f>
        <v>0</v>
      </c>
      <c r="CZ33" s="249">
        <f>IF(C33="Skema 2",Stamoplysninger!$H$30/200,0)</f>
        <v>0</v>
      </c>
      <c r="DA33" s="249">
        <f>IF(C33="Skema 3",Stamoplysninger!$H$30/200,0)</f>
        <v>0</v>
      </c>
      <c r="DB33" s="249">
        <f>IF(C33="Skema 4",Stamoplysninger!$H$30/200,0)</f>
        <v>0</v>
      </c>
      <c r="DC33" s="249">
        <f>IF(C33="fagdag",Stamoplysninger!$H$30/200,0)</f>
        <v>0</v>
      </c>
      <c r="DD33" s="249">
        <f>IF(C33="emnedag",Stamoplysninger!$H$30/200,0)</f>
        <v>0</v>
      </c>
      <c r="DE33" s="249">
        <f>IF(C33="lejrskole",Stamoplysninger!$H$30/200,0)</f>
        <v>0</v>
      </c>
      <c r="DF33" s="249">
        <f>IF(C33="ekskursion",Stamoplysninger!$H$30/200,0)</f>
        <v>0</v>
      </c>
      <c r="DG33" s="249">
        <f t="shared" si="26"/>
        <v>0</v>
      </c>
      <c r="DH33" t="str">
        <f t="shared" si="27"/>
        <v/>
      </c>
      <c r="DI33">
        <f t="shared" si="28"/>
        <v>0</v>
      </c>
      <c r="DJ33">
        <f t="shared" si="29"/>
        <v>0</v>
      </c>
      <c r="DK33" t="str">
        <f t="shared" si="13"/>
        <v/>
      </c>
      <c r="DL33" t="str">
        <f t="shared" si="13"/>
        <v/>
      </c>
      <c r="DM33" t="str">
        <f t="shared" si="13"/>
        <v/>
      </c>
      <c r="DN33" t="str">
        <f t="shared" si="30"/>
        <v/>
      </c>
      <c r="DO33" s="652">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71">
        <f>IF(AND(Stamoplysninger!$B$22="Ulempetillæg udbetales med 25% af nettotimelønnen.",C33="ikke relevant"),(R33)/4,0)</f>
        <v>0</v>
      </c>
      <c r="DT33" s="671">
        <f>IF(AND(AND(Stamoplysninger!$B$22="Ulempetillæg udbetales med 25% af nettotimelønnen.",I33="X",C33="Ikke relevant")),K33/4,0)</f>
        <v>0</v>
      </c>
      <c r="DU33" s="671">
        <f>IF(AND(AND(Stamoplysninger!$B$22="Ulempetillæg udbetales med 25% af nettotimelønnen.",C33="ikke relevant",U33="X")),(X33/4),0)</f>
        <v>0</v>
      </c>
      <c r="DV33" s="672">
        <f>IF(AND(AND(AND(Stamoplysninger!$B$22="Ulempetillæg udbetales med 25% af nettotimelønnen.",I33="X",C33="Ikke relevant",S33="X"))),V33/4,0)</f>
        <v>0</v>
      </c>
      <c r="DW33" s="652"/>
      <c r="DZ33" s="671"/>
      <c r="EA33" s="671"/>
      <c r="EB33" s="672"/>
      <c r="EC33" s="652">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71">
        <f>IF(AND(Stamoplysninger!$B$22="Ulempetillæg afspadseres med 25%(Kræver en aftale imellem ledelsen og den ansatte)",C33="ikke relevant"),(R33)/4,0)</f>
        <v>0</v>
      </c>
      <c r="EH33" s="671">
        <f>IF(AND(AND(Stamoplysninger!$B$22="Ulempetillæg afspadseres med 25%(Kræver en aftale imellem ledelsen og den ansatte)",I33="X",C33="Ikke relevant")),K33/4,0)</f>
        <v>0</v>
      </c>
      <c r="EI33" s="671">
        <f>IF(AND(AND(Stamoplysninger!$B$22="Ulempetillæg afspadseres med 25%(Kræver en aftale imellem ledelsen og den ansatte)",U33="X",C33="Ikke relevant")),X33/4,0)</f>
        <v>0</v>
      </c>
      <c r="EJ33" s="671">
        <f>IF(AND(AND(AND(Stamoplysninger!$B$22="Ulempetillæg afspadseres med 25%(Kræver en aftale imellem ledelsen og den ansatte)",I33="X",C33="Ikke relevant",S33="X"))),V33/4,0)</f>
        <v>0</v>
      </c>
      <c r="EK33" s="283">
        <f>IF(AND(Stamoplysninger!$B$26="Weekendtimer og weekendtillæg afspadseres.",I33="X"),K33*1.5,0)</f>
        <v>0</v>
      </c>
      <c r="EL33" s="251">
        <f>IF(AND(AND(Stamoplysninger!$B$26="Weekendtimer og weekendtillæg afspadseres.",I33="X",S33="X")),V33*1.5,0)</f>
        <v>0</v>
      </c>
      <c r="EM33" s="674">
        <f>IF(AND(AND(Stamoplysninger!$B$26="Weekendtimer og weekendtillæg afspadseres.",I33="X",C33="ikke relevant")),K33*1.5,0)</f>
        <v>0</v>
      </c>
      <c r="EN33" s="675">
        <f>IF(AND(AND(AND(Stamoplysninger!$B$26="Weekendtimer og weekendtillæg afspadseres.",I33="X",C33="ikke relevant",S33="X"))),(V33*1.5),0)</f>
        <v>0</v>
      </c>
      <c r="EO33" s="283">
        <f>IF(AND(Stamoplysninger!$B$26="Weekendtimer og weekendtillæg udbetales.",I33="X"),K33*1.5,0)</f>
        <v>0</v>
      </c>
      <c r="EP33" s="251">
        <f>IF(AND(AND(Stamoplysninger!$B$26="Weekendtimer og weekendtillæg udbetales.",I33="X",S33="X")),V33*1.5,0)</f>
        <v>0</v>
      </c>
      <c r="EQ33" s="674">
        <f>IF(AND(AND(Stamoplysninger!$B$26="Weekendtimer og weekendtillæg udbetales.",I33="X",C33="ikke relevant")),K33*1.5,0)</f>
        <v>0</v>
      </c>
      <c r="ER33" s="675">
        <f>IF(AND(AND(AND(Stamoplysninger!$B$26="Weekendtimer og weekendtillæg udbetales.",I33="X",C33="ikke relevant",S33="X"))),(V33*1.5),0)</f>
        <v>0</v>
      </c>
      <c r="ES33" s="283">
        <f>IF(AND(Stamoplysninger!$B$26="Der er indgået lokalaftale omkring weekendtimer.(Kræver aftale med TR/FSL) Weekendtillæg afspadseres.",I33="X"),K33*0.5,0)</f>
        <v>0</v>
      </c>
      <c r="ET33" s="251">
        <f>IF(AND(AND(Stamoplysninger!$B$26="Der er indgået lokalaftale omkring weekendtimer.(Kræver aftale med TR/FSL) Weekendtillæg afspadseres.",I33="X",S33="X")),V33*0.5,0)</f>
        <v>0</v>
      </c>
      <c r="EU33" s="674">
        <f>IF(AND(AND(Stamoplysninger!$B$26="Der er indgået lokalaftale omkring weekendtimer.(Kræver aftale med TR/FSL) Weekendtillæg afspadseres.",I33="X",C33="ikke relevant")),K33*0.5,0)</f>
        <v>0</v>
      </c>
      <c r="EV33" s="675">
        <f>IF(AND(AND(AND(Stamoplysninger!$B$26="Der er indgået lokalaftale omkring weekendtimer.(Kræver aftale med TR/FSL) Weekendtillæg afspadseres.",I33="X",C33="ikke relevant",S33="X"))),(V33*0.5),0)</f>
        <v>0</v>
      </c>
      <c r="EW33" s="283">
        <f>IF(AND(Stamoplysninger!$B$26="Der er indgået lokalaftale omkring weekendtimer(Kræver aftale med TR/FSL). Weekendtillæg udbetales.",I33="X"),K33*0.5,0)</f>
        <v>0</v>
      </c>
      <c r="EX33" s="251">
        <f>IF(AND(AND(Stamoplysninger!$B$26="Der er indgået lokalaftale omkring weekendtimer(Kræver aftale med TR/FSL). Weekendtillæg udbetales.",I33="X",S33="X")),V33*0.5,0)</f>
        <v>0</v>
      </c>
      <c r="EY33" s="674">
        <f>IF(AND(AND(Stamoplysninger!$B$26="Der er indgået lokalaftale omkring weekendtimer(Kræver aftale med TR/FSL). Weekendtillæg udbetales.",I33="X",C33="ikke relevant")),K33*0.5,0)</f>
        <v>0</v>
      </c>
      <c r="EZ33" s="675">
        <f>IF(AND(AND(AND(Stamoplysninger!$B$26="Der er indgået lokalaftale omkring weekendtimer(Kræver aftale med TR/FSL). Weekendtillæg udbetales.",I33="X",C33="ikke relevant",S33="X"))),(V33*0.5),0)</f>
        <v>0</v>
      </c>
      <c r="FA33" s="283">
        <f>IF(AND(Stamoplysninger!$B$26="Der er indgået lokalaftale omkring weekendtillæg(Kræver aftale med TR/FSL). Weekendtimerne afspadseres.",I33="X"),K33,0)</f>
        <v>0</v>
      </c>
      <c r="FB33" s="251">
        <f>IF(AND(AND(Stamoplysninger!$B$26="Der er indgået lokalaftale omkring weekendtillæg(Kræver aftale med TR/FSL). Weekendtimerne afspadseres.",I33="X",S33="X")),V33,0)</f>
        <v>0</v>
      </c>
      <c r="FC33" s="674">
        <f>IF(AND(AND(Stamoplysninger!$B$26="Der er indgået lokalaftale omkring weekendtillæg(Kræver aftale med TR/FSL). Weekendtimerne afspadseres..",I33="X",C33="ikke relevant")),K33,0)</f>
        <v>0</v>
      </c>
      <c r="FD33" s="675">
        <f>IF(AND(AND(AND(Stamoplysninger!$B$26="Der er indgået lokalaftale omkring weekendtillæg(Kræver aftale med TR/FSL). Weekendtimerne afspadseres.",I33="X",C33="ikke relevant",S33="X"))),(V33),0)</f>
        <v>0</v>
      </c>
      <c r="FE33" s="283">
        <f>IF(AND(Stamoplysninger!$B$26="Der er indgået lokalaftale omkring weekendtillæg(Kræver aftale med TR/FSL). Weekendtimerne udbetales.",I33="X"),K33,0)</f>
        <v>0</v>
      </c>
      <c r="FF33" s="251">
        <f>IF(AND(AND(Stamoplysninger!$B$26="Der er indgået lokalaftale omkring weekendtillæg(Kræver aftale med TR/FSL). Weekendtimerne udbetales.",I33="X",S33="X")),V33,0)</f>
        <v>0</v>
      </c>
      <c r="FG33" s="674">
        <f>IF(AND(AND(Stamoplysninger!$B$26="Der er indgået lokalaftale omkring weekendtillæg(Kræver aftale med TR/FSL). Weekendtimerne udbetales.",I33="X",C33="ikke relevant")),K33,0)</f>
        <v>0</v>
      </c>
      <c r="FH33" s="675">
        <f>IF(AND(AND(AND(Stamoplysninger!$B$26="Der er indgået lokalaftale omkring weekendtillæg(Kræver aftale med TR/FSL). Weekendtimerne udbetales.",I33="X",C33="ikke relevant",S33="X"))),(V33),0)</f>
        <v>0</v>
      </c>
      <c r="FI33" s="283">
        <f>IF(AND(Stamoplysninger!$B$26="Weekendtimer og weekendtillæg afspadseres.",I33="X"),K33,0)</f>
        <v>0</v>
      </c>
      <c r="FJ33" s="251">
        <f>IF(AND(Stamoplysninger!$B$26="Weekendtimer og weekendtillæg afspadseres.",Y33="X"),(AA33+AL33)/2,0)</f>
        <v>0</v>
      </c>
      <c r="FK33" s="674">
        <f>IF(AND(AND(Stamoplysninger!$B$26="Weekendtimer og weekendtillæg afspadseres.",I33="X",C33="ikke relevant")),K33,0)</f>
        <v>0</v>
      </c>
      <c r="FL33" s="675">
        <f>IF(AND(AND(Stamoplysninger!$B$26="Weekendtimer og weekendtillæg afspadseres.",Y33="X",S33="ikke relevant")),(AA33+AL33)/2,0)</f>
        <v>0</v>
      </c>
      <c r="FM33" s="283">
        <f>IF(AND(Stamoplysninger!$B$26="Der er indgået lokalaftale omkring weekendtillæg(Kræver aftale med TR/FSL). Weekendtimerne afspadseres.",I33="X"),K33,0)</f>
        <v>0</v>
      </c>
      <c r="FN33" s="674">
        <f>IF(AND(AND(Stamoplysninger!$B$26="Der er indgået lokalaftale omkring weekendtillæg(Kræver aftale med TR/FSL). Weekendtimerne afspadseres.",I33="X",C33="ikke relevant")),K33,0)</f>
        <v>0</v>
      </c>
      <c r="FO33" s="283">
        <f>IF(AND(Stamoplysninger!$B$26="Weekendtimer og weekendtillæg udbetales.",I33="X"),K33,0)</f>
        <v>0</v>
      </c>
      <c r="FP33" s="251">
        <f>IF(AND(Stamoplysninger!$B$26="Weekendtimer og weekendtillæg udbetales.",AA33="X"),(AC33+AN33)/2,0)</f>
        <v>0</v>
      </c>
      <c r="FQ33" s="674">
        <f>IF(AND(AND(Stamoplysninger!$B$26="Weekendtimer og weekendtillæg udbetales.",I33="X",C33="ikke relevant")),K33,0)</f>
        <v>0</v>
      </c>
      <c r="FR33" s="688">
        <f>IF(AND(AND(Stamoplysninger!$B$26="Weekendtimer og weekendtillæg udbetales.",AA33="X",U33="ikke relevant")),(AC33+AN33)/2,0)</f>
        <v>0</v>
      </c>
      <c r="FS33" s="283">
        <f t="shared" si="14"/>
        <v>0</v>
      </c>
      <c r="FT33" s="658">
        <f t="shared" si="15"/>
        <v>0</v>
      </c>
      <c r="FU33">
        <f t="shared" si="31"/>
        <v>0</v>
      </c>
      <c r="FV33" s="283">
        <f>IF(AND(Stamoplysninger!$B$26="Der er indgået lokalaftale omkring weekendtimer.(Kræver aftale med TR/FSL) Weekendtillæg afspadseres.",I33="X"),K33,0)</f>
        <v>0</v>
      </c>
      <c r="FW33" s="674">
        <f>IF(AND(AND(Stamoplysninger!$B$26="Der er indgået lokalaftale omkring weekendtimer.(Kræver aftale med TR/FSL) Weekendtillæg afspadseres.",I33="X",C33="ikke relevant")),K33,0)</f>
        <v>0</v>
      </c>
      <c r="FX33" s="283">
        <f>IF(AND(Stamoplysninger!$B$26="Der er indgået lokalaftale omkring weekendtimer(Kræver aftale med TR/FSL). Weekendtillæg udbetales.",I33="X"),K33,0)</f>
        <v>0</v>
      </c>
      <c r="FY33" s="674">
        <f>IF(AND(AND(Stamoplysninger!$B$26="Der er indgået lokalaftale omkring weekendtimer(Kræver aftale med TR/FSL). Weekendtillæg udbetales.",I33="X",C33="ikke relevant")),K33,0)</f>
        <v>0</v>
      </c>
      <c r="FZ33" s="283">
        <f>IF(AND(Stamoplysninger!$B$26="Der er indgået lokalaftale omkring weekendtillæg(Kræver aftale med TR/FSL). Weekendtimerne udbetales.",I33="X"),K33,0)</f>
        <v>0</v>
      </c>
      <c r="GA33" s="674">
        <f>IF(AND(AND(Stamoplysninger!$B$26="Der er indgået lokalaftale omkring weekendtillæg(Kræver aftale med TR/FSL). Weekendtimerne udbetales.",I33="X",C33="ikke relevant")),K33,0)</f>
        <v>0</v>
      </c>
      <c r="GB33" s="283">
        <f>IF(AND(Stamoplysninger!$B$26="Der er indgået lokalaftale omkring weekendtimer og weekendtillæg.(Kræver aftale med TR/FSL).",I33="X"),K33,0)</f>
        <v>0</v>
      </c>
      <c r="GC33" s="674">
        <f>IF(AND(AND(Stamoplysninger!$B$26="Der er indgået lokalaftale omkring weekendtimer og weekendtillæg.(Kræver aftale med TR/FSL).",I33="X",C33="ikke relevant")),K33,0)</f>
        <v>0</v>
      </c>
    </row>
    <row r="34" spans="1:185">
      <c r="A34" s="245">
        <f t="shared" si="17"/>
        <v>26</v>
      </c>
      <c r="B34" s="128" t="str">
        <f t="shared" si="0"/>
        <v>to</v>
      </c>
      <c r="C34" s="129" t="s">
        <v>207</v>
      </c>
      <c r="D34" s="130" t="str">
        <f t="shared" si="1"/>
        <v/>
      </c>
      <c r="E34" s="917"/>
      <c r="F34" s="918"/>
      <c r="G34" s="919"/>
      <c r="H34" s="298"/>
      <c r="I34" s="527"/>
      <c r="J34" s="413"/>
      <c r="K34" s="380"/>
      <c r="L34" s="380"/>
      <c r="M34" s="380"/>
      <c r="N34" s="318">
        <f t="shared" si="18"/>
        <v>7.75</v>
      </c>
      <c r="O34" s="318">
        <f t="shared" si="19"/>
        <v>3</v>
      </c>
      <c r="P34" s="318">
        <f>IF(Stamoplysninger!$H$29="JA",Juni!DG34,CX34)</f>
        <v>0.83333333333333337</v>
      </c>
      <c r="Q34" s="318">
        <f t="shared" si="20"/>
        <v>3.9166666666666665</v>
      </c>
      <c r="R34" s="319"/>
      <c r="S34" s="324"/>
      <c r="T34" s="325"/>
      <c r="U34" s="325"/>
      <c r="V34" s="435"/>
      <c r="W34" s="435"/>
      <c r="X34" s="644"/>
      <c r="Y34">
        <f t="shared" si="21"/>
        <v>0</v>
      </c>
      <c r="Z34" s="437">
        <f t="shared" si="22"/>
        <v>0</v>
      </c>
      <c r="AA34" s="1">
        <f t="shared" si="2"/>
        <v>0</v>
      </c>
      <c r="AB34" s="1">
        <f t="shared" si="3"/>
        <v>0</v>
      </c>
      <c r="AC34" s="1">
        <f t="shared" si="4"/>
        <v>0</v>
      </c>
      <c r="AD34" s="1">
        <f t="shared" si="5"/>
        <v>0</v>
      </c>
      <c r="AE34" s="1">
        <f t="shared" si="6"/>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f>IF(AND(C34="Skema 2",B34="to"),Arbejdstidsoversigt!$E$84,"")</f>
        <v>7.75</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7.75</v>
      </c>
      <c r="BB34" s="229">
        <f t="shared" si="7"/>
        <v>0</v>
      </c>
      <c r="BC34" s="1">
        <f t="shared" si="24"/>
        <v>0</v>
      </c>
      <c r="BD34" s="1">
        <f t="shared" si="8"/>
        <v>0</v>
      </c>
      <c r="BE34" s="1">
        <f t="shared" si="9"/>
        <v>0</v>
      </c>
      <c r="BF34" s="1">
        <f t="shared" si="10"/>
        <v>0</v>
      </c>
      <c r="BG34" s="210" t="str">
        <f>IF(AND(C34="Skema 1",B34="ma"),Skemaoplysninger!$E$30,"")</f>
        <v/>
      </c>
      <c r="BH34" s="210" t="str">
        <f>IF(AND(C34="Skema 1",B34="ti"),Skemaoplysninger!$G$30,"")</f>
        <v/>
      </c>
      <c r="BI34" s="210" t="str">
        <f>IF(AND(C34="Skema 1",B34="on"),Skemaoplysninger!$I$30,"")</f>
        <v/>
      </c>
      <c r="BJ34" s="210" t="str">
        <f>IF(AND(C34="Skema 1",B34="to"),Skemaoplysninger!$K$30,"")</f>
        <v/>
      </c>
      <c r="BK34" s="210" t="str">
        <f>IF(AND(C34="Skema 1",B34="fr"),Skemaoplysninger!$M$30,"")</f>
        <v/>
      </c>
      <c r="BL34" s="210" t="str">
        <f>IF(AND(C34="Skema 2",B34="ma"),Skemaoplysninger!$S$30,"")</f>
        <v/>
      </c>
      <c r="BM34" s="210" t="str">
        <f>IF(AND(C34="Skema 2",B34="ti"),Skemaoplysninger!$U$30,"")</f>
        <v/>
      </c>
      <c r="BN34" s="210" t="str">
        <f>IF(AND(C34="Skema 2",B34="on"),Skemaoplysninger!$W$30,"")</f>
        <v/>
      </c>
      <c r="BO34" s="210">
        <f>IF(AND(C34="Skema 2",B34="to"),Skemaoplysninger!$Y$30,"")</f>
        <v>0.125</v>
      </c>
      <c r="BP34" s="210" t="str">
        <f>IF(AND(C34="Skema 2",B34="fr"),Skemaoplysninger!$AA$30,"")</f>
        <v/>
      </c>
      <c r="BQ34" s="210" t="str">
        <f>IF(AND(C34="Skema 3",B34="ma"),Skemaoplysninger!$AG$30,"")</f>
        <v/>
      </c>
      <c r="BR34" s="210" t="str">
        <f>IF(AND(C34="Skema 3",B34="ti"),Skemaoplysninger!$AI$30,"")</f>
        <v/>
      </c>
      <c r="BS34" s="210" t="str">
        <f>IF(AND(C34="Skema 3",B34="on"),Skemaoplysninger!$AK$30,"")</f>
        <v/>
      </c>
      <c r="BT34" s="210" t="str">
        <f>IF(AND(C34="Skema 3",B34="to"),Skemaoplysninger!$AM$30,"")</f>
        <v/>
      </c>
      <c r="BU34" s="210" t="str">
        <f>IF(AND(C34="Skema 3",B34="fr"),Skemaoplysninger!$AO$30,"")</f>
        <v/>
      </c>
      <c r="BV34" s="210" t="str">
        <f>IF(AND(C34="Skema 4",B34="ma"),Skemaoplysninger!$AU$30,"")</f>
        <v/>
      </c>
      <c r="BW34" s="210" t="str">
        <f>IF(AND(C34="Skema 4",B34="ti"),Skemaoplysninger!$AW$30,"")</f>
        <v/>
      </c>
      <c r="BX34" s="210" t="str">
        <f>IF(AND(C34="Skema 4",B34="on"),Skemaoplysninger!$AY$30,"")</f>
        <v/>
      </c>
      <c r="BY34" s="210" t="str">
        <f>IF(AND(C34="Skema 4",B34="to"),Skemaoplysninger!$BA$30,"")</f>
        <v/>
      </c>
      <c r="BZ34" s="210" t="str">
        <f>IF(AND(C34="Skema 4",B34="fr"),Skemaoplysninger!$BC$30,"")</f>
        <v/>
      </c>
      <c r="CA34" s="1">
        <f t="shared" si="25"/>
        <v>3</v>
      </c>
      <c r="CB34" s="1">
        <f t="shared" si="11"/>
        <v>0</v>
      </c>
      <c r="CC34" s="1">
        <f t="shared" si="12"/>
        <v>0</v>
      </c>
      <c r="CD34" s="210" t="str">
        <f>IF(AND(C34="Skema 1",B34="ma"),Skemaoplysninger!$E$31,"")</f>
        <v/>
      </c>
      <c r="CE34" s="210" t="str">
        <f>IF(AND(C34="Skema 1",B34="ti"),Skemaoplysninger!$G$31,"")</f>
        <v/>
      </c>
      <c r="CF34" s="210" t="str">
        <f>IF(AND(C34="Skema 1",B34="on"),Skemaoplysninger!$I$31,"")</f>
        <v/>
      </c>
      <c r="CG34" s="210" t="str">
        <f>IF(AND(C34="Skema 1",B34="to"),Skemaoplysninger!$K$31,"")</f>
        <v/>
      </c>
      <c r="CH34" s="210" t="str">
        <f>IF(AND(C34="Skema 1",B34="fr"),Skemaoplysninger!$M$31,"")</f>
        <v/>
      </c>
      <c r="CI34" s="210" t="str">
        <f>IF(AND(C34="Skema 2",B34="ma"),Skemaoplysninger!$S$31,"")</f>
        <v/>
      </c>
      <c r="CJ34" s="210" t="str">
        <f>IF(AND(C34="Skema 2",B34="ti"),Skemaoplysninger!$U$31,"")</f>
        <v/>
      </c>
      <c r="CK34" s="210" t="str">
        <f>IF(AND(C34="Skema 2",B34="on"),Skemaoplysninger!$W$31,"")</f>
        <v/>
      </c>
      <c r="CL34" s="210">
        <f>IF(AND(C34="Skema 2",B34="to"),Skemaoplysninger!$Y$31,"")</f>
        <v>3.4722222222222224E-2</v>
      </c>
      <c r="CM34" s="210" t="str">
        <f>IF(AND(C34="Skema 2",B34="fr"),Skemaoplysninger!$AA$31,"")</f>
        <v/>
      </c>
      <c r="CN34" s="210" t="str">
        <f>IF(AND(C34="Skema 3",B34="ma"),Skemaoplysninger!$AG$31,"")</f>
        <v/>
      </c>
      <c r="CO34" s="210" t="str">
        <f>IF(AND(C34="Skema 3",B34="ti"),Skemaoplysninger!$AI$31,"")</f>
        <v/>
      </c>
      <c r="CP34" s="210" t="str">
        <f>IF(AND(C34="Skema 3",B34="on"),Skemaoplysninger!$AK$31,"")</f>
        <v/>
      </c>
      <c r="CQ34" s="210" t="str">
        <f>IF(AND(C34="Skema 3",B34="to"),Skemaoplysninger!$AM$31,"")</f>
        <v/>
      </c>
      <c r="CR34" s="210" t="str">
        <f>IF(AND(C34="Skema 3",B34="fr"),Skemaoplysninger!$AO$31,"")</f>
        <v/>
      </c>
      <c r="CS34" s="210" t="str">
        <f>IF(AND(C34="Skema 4",B34="ma"),Skemaoplysninger!$AU$31,"")</f>
        <v/>
      </c>
      <c r="CT34" s="210" t="str">
        <f>IF(AND(C34="Skema 4",B34="ti"),Skemaoplysninger!$AW$31,"")</f>
        <v/>
      </c>
      <c r="CU34" s="210" t="str">
        <f>IF(AND(C34="Skema 4",B34="on"),Skemaoplysninger!$AY$31,"")</f>
        <v/>
      </c>
      <c r="CV34" s="210" t="str">
        <f>IF(AND(C34="Skema 4",B34="to"),Skemaoplysninger!$BA$31,"")</f>
        <v/>
      </c>
      <c r="CW34" s="210" t="str">
        <f>IF(AND(C34="Skema 4",B34="fr"),Skemaoplysninger!$BC$31,"")</f>
        <v/>
      </c>
      <c r="CX34" s="249">
        <f>IF(Stamoplysninger!$H$29="NEJ",SUM(CD34:CW34)*24+CB34+CC34,0)</f>
        <v>0.83333333333333337</v>
      </c>
      <c r="CY34" s="249">
        <f>IF(C34="Skema 1",Stamoplysninger!$H$30/200,0)</f>
        <v>0</v>
      </c>
      <c r="CZ34" s="249">
        <f>IF(C34="Skema 2",Stamoplysninger!$H$30/200,0)</f>
        <v>0</v>
      </c>
      <c r="DA34" s="249">
        <f>IF(C34="Skema 3",Stamoplysninger!$H$30/200,0)</f>
        <v>0</v>
      </c>
      <c r="DB34" s="249">
        <f>IF(C34="Skema 4",Stamoplysninger!$H$30/200,0)</f>
        <v>0</v>
      </c>
      <c r="DC34" s="249">
        <f>IF(C34="fagdag",Stamoplysninger!$H$30/200,0)</f>
        <v>0</v>
      </c>
      <c r="DD34" s="249">
        <f>IF(C34="emnedag",Stamoplysninger!$H$30/200,0)</f>
        <v>0</v>
      </c>
      <c r="DE34" s="249">
        <f>IF(C34="lejrskole",Stamoplysninger!$H$30/200,0)</f>
        <v>0</v>
      </c>
      <c r="DF34" s="249">
        <f>IF(C34="ekskursion",Stamoplysninger!$H$30/200,0)</f>
        <v>0</v>
      </c>
      <c r="DG34" s="249">
        <f t="shared" si="26"/>
        <v>0</v>
      </c>
      <c r="DH34" t="str">
        <f t="shared" si="27"/>
        <v/>
      </c>
      <c r="DI34">
        <f t="shared" si="28"/>
        <v>0</v>
      </c>
      <c r="DJ34">
        <f t="shared" si="29"/>
        <v>0</v>
      </c>
      <c r="DK34" t="str">
        <f t="shared" si="13"/>
        <v/>
      </c>
      <c r="DL34" t="str">
        <f t="shared" si="13"/>
        <v/>
      </c>
      <c r="DM34" t="str">
        <f t="shared" si="13"/>
        <v/>
      </c>
      <c r="DN34" t="str">
        <f t="shared" si="30"/>
        <v/>
      </c>
      <c r="DO34" s="652">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71">
        <f>IF(AND(Stamoplysninger!$B$22="Ulempetillæg udbetales med 25% af nettotimelønnen.",C34="ikke relevant"),(R34)/4,0)</f>
        <v>0</v>
      </c>
      <c r="DT34" s="671">
        <f>IF(AND(AND(Stamoplysninger!$B$22="Ulempetillæg udbetales med 25% af nettotimelønnen.",I34="X",C34="Ikke relevant")),K34/4,0)</f>
        <v>0</v>
      </c>
      <c r="DU34" s="671">
        <f>IF(AND(AND(Stamoplysninger!$B$22="Ulempetillæg udbetales med 25% af nettotimelønnen.",C34="ikke relevant",U34="X")),(X34/4),0)</f>
        <v>0</v>
      </c>
      <c r="DV34" s="672">
        <f>IF(AND(AND(AND(Stamoplysninger!$B$22="Ulempetillæg udbetales med 25% af nettotimelønnen.",I34="X",C34="Ikke relevant",S34="X"))),V34/4,0)</f>
        <v>0</v>
      </c>
      <c r="DW34" s="652"/>
      <c r="DZ34" s="671"/>
      <c r="EA34" s="671"/>
      <c r="EB34" s="672"/>
      <c r="EC34" s="652">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71">
        <f>IF(AND(Stamoplysninger!$B$22="Ulempetillæg afspadseres med 25%(Kræver en aftale imellem ledelsen og den ansatte)",C34="ikke relevant"),(R34)/4,0)</f>
        <v>0</v>
      </c>
      <c r="EH34" s="671">
        <f>IF(AND(AND(Stamoplysninger!$B$22="Ulempetillæg afspadseres med 25%(Kræver en aftale imellem ledelsen og den ansatte)",I34="X",C34="Ikke relevant")),K34/4,0)</f>
        <v>0</v>
      </c>
      <c r="EI34" s="671">
        <f>IF(AND(AND(Stamoplysninger!$B$22="Ulempetillæg afspadseres med 25%(Kræver en aftale imellem ledelsen og den ansatte)",U34="X",C34="Ikke relevant")),X34/4,0)</f>
        <v>0</v>
      </c>
      <c r="EJ34" s="671">
        <f>IF(AND(AND(AND(Stamoplysninger!$B$22="Ulempetillæg afspadseres med 25%(Kræver en aftale imellem ledelsen og den ansatte)",I34="X",C34="Ikke relevant",S34="X"))),V34/4,0)</f>
        <v>0</v>
      </c>
      <c r="EK34" s="283">
        <f>IF(AND(Stamoplysninger!$B$26="Weekendtimer og weekendtillæg afspadseres.",I34="X"),K34*1.5,0)</f>
        <v>0</v>
      </c>
      <c r="EL34" s="251">
        <f>IF(AND(AND(Stamoplysninger!$B$26="Weekendtimer og weekendtillæg afspadseres.",I34="X",S34="X")),V34*1.5,0)</f>
        <v>0</v>
      </c>
      <c r="EM34" s="674">
        <f>IF(AND(AND(Stamoplysninger!$B$26="Weekendtimer og weekendtillæg afspadseres.",I34="X",C34="ikke relevant")),K34*1.5,0)</f>
        <v>0</v>
      </c>
      <c r="EN34" s="675">
        <f>IF(AND(AND(AND(Stamoplysninger!$B$26="Weekendtimer og weekendtillæg afspadseres.",I34="X",C34="ikke relevant",S34="X"))),(V34*1.5),0)</f>
        <v>0</v>
      </c>
      <c r="EO34" s="283">
        <f>IF(AND(Stamoplysninger!$B$26="Weekendtimer og weekendtillæg udbetales.",I34="X"),K34*1.5,0)</f>
        <v>0</v>
      </c>
      <c r="EP34" s="251">
        <f>IF(AND(AND(Stamoplysninger!$B$26="Weekendtimer og weekendtillæg udbetales.",I34="X",S34="X")),V34*1.5,0)</f>
        <v>0</v>
      </c>
      <c r="EQ34" s="674">
        <f>IF(AND(AND(Stamoplysninger!$B$26="Weekendtimer og weekendtillæg udbetales.",I34="X",C34="ikke relevant")),K34*1.5,0)</f>
        <v>0</v>
      </c>
      <c r="ER34" s="675">
        <f>IF(AND(AND(AND(Stamoplysninger!$B$26="Weekendtimer og weekendtillæg udbetales.",I34="X",C34="ikke relevant",S34="X"))),(V34*1.5),0)</f>
        <v>0</v>
      </c>
      <c r="ES34" s="283">
        <f>IF(AND(Stamoplysninger!$B$26="Der er indgået lokalaftale omkring weekendtimer.(Kræver aftale med TR/FSL) Weekendtillæg afspadseres.",I34="X"),K34*0.5,0)</f>
        <v>0</v>
      </c>
      <c r="ET34" s="251">
        <f>IF(AND(AND(Stamoplysninger!$B$26="Der er indgået lokalaftale omkring weekendtimer.(Kræver aftale med TR/FSL) Weekendtillæg afspadseres.",I34="X",S34="X")),V34*0.5,0)</f>
        <v>0</v>
      </c>
      <c r="EU34" s="674">
        <f>IF(AND(AND(Stamoplysninger!$B$26="Der er indgået lokalaftale omkring weekendtimer.(Kræver aftale med TR/FSL) Weekendtillæg afspadseres.",I34="X",C34="ikke relevant")),K34*0.5,0)</f>
        <v>0</v>
      </c>
      <c r="EV34" s="675">
        <f>IF(AND(AND(AND(Stamoplysninger!$B$26="Der er indgået lokalaftale omkring weekendtimer.(Kræver aftale med TR/FSL) Weekendtillæg afspadseres.",I34="X",C34="ikke relevant",S34="X"))),(V34*0.5),0)</f>
        <v>0</v>
      </c>
      <c r="EW34" s="283">
        <f>IF(AND(Stamoplysninger!$B$26="Der er indgået lokalaftale omkring weekendtimer(Kræver aftale med TR/FSL). Weekendtillæg udbetales.",I34="X"),K34*0.5,0)</f>
        <v>0</v>
      </c>
      <c r="EX34" s="251">
        <f>IF(AND(AND(Stamoplysninger!$B$26="Der er indgået lokalaftale omkring weekendtimer(Kræver aftale med TR/FSL). Weekendtillæg udbetales.",I34="X",S34="X")),V34*0.5,0)</f>
        <v>0</v>
      </c>
      <c r="EY34" s="674">
        <f>IF(AND(AND(Stamoplysninger!$B$26="Der er indgået lokalaftale omkring weekendtimer(Kræver aftale med TR/FSL). Weekendtillæg udbetales.",I34="X",C34="ikke relevant")),K34*0.5,0)</f>
        <v>0</v>
      </c>
      <c r="EZ34" s="675">
        <f>IF(AND(AND(AND(Stamoplysninger!$B$26="Der er indgået lokalaftale omkring weekendtimer(Kræver aftale med TR/FSL). Weekendtillæg udbetales.",I34="X",C34="ikke relevant",S34="X"))),(V34*0.5),0)</f>
        <v>0</v>
      </c>
      <c r="FA34" s="283">
        <f>IF(AND(Stamoplysninger!$B$26="Der er indgået lokalaftale omkring weekendtillæg(Kræver aftale med TR/FSL). Weekendtimerne afspadseres.",I34="X"),K34,0)</f>
        <v>0</v>
      </c>
      <c r="FB34" s="251">
        <f>IF(AND(AND(Stamoplysninger!$B$26="Der er indgået lokalaftale omkring weekendtillæg(Kræver aftale med TR/FSL). Weekendtimerne afspadseres.",I34="X",S34="X")),V34,0)</f>
        <v>0</v>
      </c>
      <c r="FC34" s="674">
        <f>IF(AND(AND(Stamoplysninger!$B$26="Der er indgået lokalaftale omkring weekendtillæg(Kræver aftale med TR/FSL). Weekendtimerne afspadseres..",I34="X",C34="ikke relevant")),K34,0)</f>
        <v>0</v>
      </c>
      <c r="FD34" s="675">
        <f>IF(AND(AND(AND(Stamoplysninger!$B$26="Der er indgået lokalaftale omkring weekendtillæg(Kræver aftale med TR/FSL). Weekendtimerne afspadseres.",I34="X",C34="ikke relevant",S34="X"))),(V34),0)</f>
        <v>0</v>
      </c>
      <c r="FE34" s="283">
        <f>IF(AND(Stamoplysninger!$B$26="Der er indgået lokalaftale omkring weekendtillæg(Kræver aftale med TR/FSL). Weekendtimerne udbetales.",I34="X"),K34,0)</f>
        <v>0</v>
      </c>
      <c r="FF34" s="251">
        <f>IF(AND(AND(Stamoplysninger!$B$26="Der er indgået lokalaftale omkring weekendtillæg(Kræver aftale med TR/FSL). Weekendtimerne udbetales.",I34="X",S34="X")),V34,0)</f>
        <v>0</v>
      </c>
      <c r="FG34" s="674">
        <f>IF(AND(AND(Stamoplysninger!$B$26="Der er indgået lokalaftale omkring weekendtillæg(Kræver aftale med TR/FSL). Weekendtimerne udbetales.",I34="X",C34="ikke relevant")),K34,0)</f>
        <v>0</v>
      </c>
      <c r="FH34" s="675">
        <f>IF(AND(AND(AND(Stamoplysninger!$B$26="Der er indgået lokalaftale omkring weekendtillæg(Kræver aftale med TR/FSL). Weekendtimerne udbetales.",I34="X",C34="ikke relevant",S34="X"))),(V34),0)</f>
        <v>0</v>
      </c>
      <c r="FI34" s="283">
        <f>IF(AND(Stamoplysninger!$B$26="Weekendtimer og weekendtillæg afspadseres.",I34="X"),K34,0)</f>
        <v>0</v>
      </c>
      <c r="FJ34" s="251">
        <f>IF(AND(Stamoplysninger!$B$26="Weekendtimer og weekendtillæg afspadseres.",Y34="X"),(AA34+AL34)/2,0)</f>
        <v>0</v>
      </c>
      <c r="FK34" s="674">
        <f>IF(AND(AND(Stamoplysninger!$B$26="Weekendtimer og weekendtillæg afspadseres.",I34="X",C34="ikke relevant")),K34,0)</f>
        <v>0</v>
      </c>
      <c r="FL34" s="675">
        <f>IF(AND(AND(Stamoplysninger!$B$26="Weekendtimer og weekendtillæg afspadseres.",Y34="X",S34="ikke relevant")),(AA34+AL34)/2,0)</f>
        <v>0</v>
      </c>
      <c r="FM34" s="283">
        <f>IF(AND(Stamoplysninger!$B$26="Der er indgået lokalaftale omkring weekendtillæg(Kræver aftale med TR/FSL). Weekendtimerne afspadseres.",I34="X"),K34,0)</f>
        <v>0</v>
      </c>
      <c r="FN34" s="674">
        <f>IF(AND(AND(Stamoplysninger!$B$26="Der er indgået lokalaftale omkring weekendtillæg(Kræver aftale med TR/FSL). Weekendtimerne afspadseres.",I34="X",C34="ikke relevant")),K34,0)</f>
        <v>0</v>
      </c>
      <c r="FO34" s="283">
        <f>IF(AND(Stamoplysninger!$B$26="Weekendtimer og weekendtillæg udbetales.",I34="X"),K34,0)</f>
        <v>0</v>
      </c>
      <c r="FP34" s="251">
        <f>IF(AND(Stamoplysninger!$B$26="Weekendtimer og weekendtillæg udbetales.",AA34="X"),(AC34+AN34)/2,0)</f>
        <v>0</v>
      </c>
      <c r="FQ34" s="674">
        <f>IF(AND(AND(Stamoplysninger!$B$26="Weekendtimer og weekendtillæg udbetales.",I34="X",C34="ikke relevant")),K34,0)</f>
        <v>0</v>
      </c>
      <c r="FR34" s="688">
        <f>IF(AND(AND(Stamoplysninger!$B$26="Weekendtimer og weekendtillæg udbetales.",AA34="X",U34="ikke relevant")),(AC34+AN34)/2,0)</f>
        <v>0</v>
      </c>
      <c r="FS34" s="283">
        <f t="shared" si="14"/>
        <v>0</v>
      </c>
      <c r="FT34" s="658">
        <f t="shared" si="15"/>
        <v>0</v>
      </c>
      <c r="FU34">
        <f>IF(AND(C34="weekend",I34="X"),K34,0)</f>
        <v>0</v>
      </c>
      <c r="FV34" s="283">
        <f>IF(AND(Stamoplysninger!$B$26="Der er indgået lokalaftale omkring weekendtimer.(Kræver aftale med TR/FSL) Weekendtillæg afspadseres.",I34="X"),K34,0)</f>
        <v>0</v>
      </c>
      <c r="FW34" s="674">
        <f>IF(AND(AND(Stamoplysninger!$B$26="Der er indgået lokalaftale omkring weekendtimer.(Kræver aftale med TR/FSL) Weekendtillæg afspadseres.",I34="X",C34="ikke relevant")),K34,0)</f>
        <v>0</v>
      </c>
      <c r="FX34" s="283">
        <f>IF(AND(Stamoplysninger!$B$26="Der er indgået lokalaftale omkring weekendtimer(Kræver aftale med TR/FSL). Weekendtillæg udbetales.",I34="X"),K34,0)</f>
        <v>0</v>
      </c>
      <c r="FY34" s="674">
        <f>IF(AND(AND(Stamoplysninger!$B$26="Der er indgået lokalaftale omkring weekendtimer(Kræver aftale med TR/FSL). Weekendtillæg udbetales.",I34="X",C34="ikke relevant")),K34,0)</f>
        <v>0</v>
      </c>
      <c r="FZ34" s="283">
        <f>IF(AND(Stamoplysninger!$B$26="Der er indgået lokalaftale omkring weekendtillæg(Kræver aftale med TR/FSL). Weekendtimerne udbetales.",I34="X"),K34,0)</f>
        <v>0</v>
      </c>
      <c r="GA34" s="674">
        <f>IF(AND(AND(Stamoplysninger!$B$26="Der er indgået lokalaftale omkring weekendtillæg(Kræver aftale med TR/FSL). Weekendtimerne udbetales.",I34="X",C34="ikke relevant")),K34,0)</f>
        <v>0</v>
      </c>
      <c r="GB34" s="283">
        <f>IF(AND(Stamoplysninger!$B$26="Der er indgået lokalaftale omkring weekendtimer og weekendtillæg.(Kræver aftale med TR/FSL).",I34="X"),K34,0)</f>
        <v>0</v>
      </c>
      <c r="GC34" s="674">
        <f>IF(AND(AND(Stamoplysninger!$B$26="Der er indgået lokalaftale omkring weekendtimer og weekendtillæg.(Kræver aftale med TR/FSL).",I34="X",C34="ikke relevant")),K34,0)</f>
        <v>0</v>
      </c>
    </row>
    <row r="35" spans="1:185">
      <c r="A35" s="245">
        <f t="shared" si="17"/>
        <v>27</v>
      </c>
      <c r="B35" s="128" t="str">
        <f t="shared" si="0"/>
        <v>fr</v>
      </c>
      <c r="C35" s="129" t="s">
        <v>136</v>
      </c>
      <c r="D35" s="130" t="str">
        <f t="shared" si="1"/>
        <v/>
      </c>
      <c r="E35" s="917" t="s">
        <v>715</v>
      </c>
      <c r="F35" s="918"/>
      <c r="G35" s="919"/>
      <c r="H35" s="298" t="s">
        <v>739</v>
      </c>
      <c r="I35" s="527"/>
      <c r="J35" s="413"/>
      <c r="K35" s="380">
        <v>5</v>
      </c>
      <c r="L35" s="380">
        <v>3</v>
      </c>
      <c r="M35" s="380">
        <v>2</v>
      </c>
      <c r="N35" s="318">
        <f t="shared" si="18"/>
        <v>5</v>
      </c>
      <c r="O35" s="318">
        <f t="shared" si="19"/>
        <v>3</v>
      </c>
      <c r="P35" s="318">
        <f>IF(Stamoplysninger!$H$29="JA",Juni!DG35,CX35)</f>
        <v>2</v>
      </c>
      <c r="Q35" s="318">
        <f t="shared" si="20"/>
        <v>0</v>
      </c>
      <c r="R35" s="319">
        <v>5</v>
      </c>
      <c r="S35" s="324"/>
      <c r="T35" s="325"/>
      <c r="U35" s="325"/>
      <c r="V35" s="435"/>
      <c r="W35" s="435"/>
      <c r="X35" s="644"/>
      <c r="Y35">
        <f t="shared" si="21"/>
        <v>0</v>
      </c>
      <c r="Z35" s="437">
        <f t="shared" si="22"/>
        <v>0</v>
      </c>
      <c r="AA35" s="1">
        <f t="shared" si="2"/>
        <v>0</v>
      </c>
      <c r="AB35" s="1">
        <f t="shared" si="3"/>
        <v>5</v>
      </c>
      <c r="AC35" s="1">
        <f t="shared" si="4"/>
        <v>0</v>
      </c>
      <c r="AD35" s="1">
        <f t="shared" si="5"/>
        <v>0</v>
      </c>
      <c r="AE35" s="1">
        <f t="shared" si="6"/>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5</v>
      </c>
      <c r="BB35" s="229">
        <f t="shared" si="7"/>
        <v>0</v>
      </c>
      <c r="BC35" s="1">
        <f t="shared" si="24"/>
        <v>0</v>
      </c>
      <c r="BD35" s="1">
        <f t="shared" si="8"/>
        <v>0</v>
      </c>
      <c r="BE35" s="1">
        <f t="shared" si="9"/>
        <v>3</v>
      </c>
      <c r="BF35" s="1">
        <f t="shared" si="10"/>
        <v>0</v>
      </c>
      <c r="BG35" s="210" t="str">
        <f>IF(AND(C35="Skema 1",B35="ma"),Skemaoplysninger!$E$30,"")</f>
        <v/>
      </c>
      <c r="BH35" s="210" t="str">
        <f>IF(AND(C35="Skema 1",B35="ti"),Skemaoplysninger!$G$30,"")</f>
        <v/>
      </c>
      <c r="BI35" s="210" t="str">
        <f>IF(AND(C35="Skema 1",B35="on"),Skemaoplysninger!$I$30,"")</f>
        <v/>
      </c>
      <c r="BJ35" s="210" t="str">
        <f>IF(AND(C35="Skema 1",B35="to"),Skemaoplysninger!$K$30,"")</f>
        <v/>
      </c>
      <c r="BK35" s="210" t="str">
        <f>IF(AND(C35="Skema 1",B35="fr"),Skemaoplysninger!$M$30,"")</f>
        <v/>
      </c>
      <c r="BL35" s="210" t="str">
        <f>IF(AND(C35="Skema 2",B35="ma"),Skemaoplysninger!$S$30,"")</f>
        <v/>
      </c>
      <c r="BM35" s="210" t="str">
        <f>IF(AND(C35="Skema 2",B35="ti"),Skemaoplysninger!$U$30,"")</f>
        <v/>
      </c>
      <c r="BN35" s="210" t="str">
        <f>IF(AND(C35="Skema 2",B35="on"),Skemaoplysninger!$W$30,"")</f>
        <v/>
      </c>
      <c r="BO35" s="210" t="str">
        <f>IF(AND(C35="Skema 2",B35="to"),Skemaoplysninger!$Y$30,"")</f>
        <v/>
      </c>
      <c r="BP35" s="210" t="str">
        <f>IF(AND(C35="Skema 2",B35="fr"),Skemaoplysninger!$AA$30,"")</f>
        <v/>
      </c>
      <c r="BQ35" s="210" t="str">
        <f>IF(AND(C35="Skema 3",B35="ma"),Skemaoplysninger!$AG$30,"")</f>
        <v/>
      </c>
      <c r="BR35" s="210" t="str">
        <f>IF(AND(C35="Skema 3",B35="ti"),Skemaoplysninger!$AI$30,"")</f>
        <v/>
      </c>
      <c r="BS35" s="210" t="str">
        <f>IF(AND(C35="Skema 3",B35="on"),Skemaoplysninger!$AK$30,"")</f>
        <v/>
      </c>
      <c r="BT35" s="210" t="str">
        <f>IF(AND(C35="Skema 3",B35="to"),Skemaoplysninger!$AM$30,"")</f>
        <v/>
      </c>
      <c r="BU35" s="210" t="str">
        <f>IF(AND(C35="Skema 3",B35="fr"),Skemaoplysninger!$AO$30,"")</f>
        <v/>
      </c>
      <c r="BV35" s="210" t="str">
        <f>IF(AND(C35="Skema 4",B35="ma"),Skemaoplysninger!$AU$30,"")</f>
        <v/>
      </c>
      <c r="BW35" s="210" t="str">
        <f>IF(AND(C35="Skema 4",B35="ti"),Skemaoplysninger!$AW$30,"")</f>
        <v/>
      </c>
      <c r="BX35" s="210" t="str">
        <f>IF(AND(C35="Skema 4",B35="on"),Skemaoplysninger!$AY$30,"")</f>
        <v/>
      </c>
      <c r="BY35" s="210" t="str">
        <f>IF(AND(C35="Skema 4",B35="to"),Skemaoplysninger!$BA$30,"")</f>
        <v/>
      </c>
      <c r="BZ35" s="210" t="str">
        <f>IF(AND(C35="Skema 4",B35="fr"),Skemaoplysninger!$BC$30,"")</f>
        <v/>
      </c>
      <c r="CA35" s="1">
        <f t="shared" si="25"/>
        <v>3</v>
      </c>
      <c r="CB35" s="1">
        <f t="shared" si="11"/>
        <v>2</v>
      </c>
      <c r="CC35" s="1">
        <f t="shared" si="12"/>
        <v>0</v>
      </c>
      <c r="CD35" s="210" t="str">
        <f>IF(AND(C35="Skema 1",B35="ma"),Skemaoplysninger!$E$31,"")</f>
        <v/>
      </c>
      <c r="CE35" s="210" t="str">
        <f>IF(AND(C35="Skema 1",B35="ti"),Skemaoplysninger!$G$31,"")</f>
        <v/>
      </c>
      <c r="CF35" s="210" t="str">
        <f>IF(AND(C35="Skema 1",B35="on"),Skemaoplysninger!$I$31,"")</f>
        <v/>
      </c>
      <c r="CG35" s="210" t="str">
        <f>IF(AND(C35="Skema 1",B35="to"),Skemaoplysninger!$K$31,"")</f>
        <v/>
      </c>
      <c r="CH35" s="210" t="str">
        <f>IF(AND(C35="Skema 1",B35="fr"),Skemaoplysninger!$M$31,"")</f>
        <v/>
      </c>
      <c r="CI35" s="210" t="str">
        <f>IF(AND(C35="Skema 2",B35="ma"),Skemaoplysninger!$S$31,"")</f>
        <v/>
      </c>
      <c r="CJ35" s="210" t="str">
        <f>IF(AND(C35="Skema 2",B35="ti"),Skemaoplysninger!$U$31,"")</f>
        <v/>
      </c>
      <c r="CK35" s="210" t="str">
        <f>IF(AND(C35="Skema 2",B35="on"),Skemaoplysninger!$W$31,"")</f>
        <v/>
      </c>
      <c r="CL35" s="210" t="str">
        <f>IF(AND(C35="Skema 2",B35="to"),Skemaoplysninger!$Y$31,"")</f>
        <v/>
      </c>
      <c r="CM35" s="210" t="str">
        <f>IF(AND(C35="Skema 2",B35="fr"),Skemaoplysninger!$AA$31,"")</f>
        <v/>
      </c>
      <c r="CN35" s="210" t="str">
        <f>IF(AND(C35="Skema 3",B35="ma"),Skemaoplysninger!$AG$31,"")</f>
        <v/>
      </c>
      <c r="CO35" s="210" t="str">
        <f>IF(AND(C35="Skema 3",B35="ti"),Skemaoplysninger!$AI$31,"")</f>
        <v/>
      </c>
      <c r="CP35" s="210" t="str">
        <f>IF(AND(C35="Skema 3",B35="on"),Skemaoplysninger!$AK$31,"")</f>
        <v/>
      </c>
      <c r="CQ35" s="210" t="str">
        <f>IF(AND(C35="Skema 3",B35="to"),Skemaoplysninger!$AM$31,"")</f>
        <v/>
      </c>
      <c r="CR35" s="210" t="str">
        <f>IF(AND(C35="Skema 3",B35="fr"),Skemaoplysninger!$AO$31,"")</f>
        <v/>
      </c>
      <c r="CS35" s="210" t="str">
        <f>IF(AND(C35="Skema 4",B35="ma"),Skemaoplysninger!$AU$31,"")</f>
        <v/>
      </c>
      <c r="CT35" s="210" t="str">
        <f>IF(AND(C35="Skema 4",B35="ti"),Skemaoplysninger!$AW$31,"")</f>
        <v/>
      </c>
      <c r="CU35" s="210" t="str">
        <f>IF(AND(C35="Skema 4",B35="on"),Skemaoplysninger!$AY$31,"")</f>
        <v/>
      </c>
      <c r="CV35" s="210" t="str">
        <f>IF(AND(C35="Skema 4",B35="to"),Skemaoplysninger!$BA$31,"")</f>
        <v/>
      </c>
      <c r="CW35" s="210" t="str">
        <f>IF(AND(C35="Skema 4",B35="fr"),Skemaoplysninger!$BC$31,"")</f>
        <v/>
      </c>
      <c r="CX35" s="249">
        <f>IF(Stamoplysninger!$H$29="NEJ",SUM(CD35:CW35)*24+CB35+CC35,0)</f>
        <v>2</v>
      </c>
      <c r="CY35" s="249">
        <f>IF(C35="Skema 1",Stamoplysninger!$H$30/200,0)</f>
        <v>0</v>
      </c>
      <c r="CZ35" s="249">
        <f>IF(C35="Skema 2",Stamoplysninger!$H$30/200,0)</f>
        <v>0</v>
      </c>
      <c r="DA35" s="249">
        <f>IF(C35="Skema 3",Stamoplysninger!$H$30/200,0)</f>
        <v>0</v>
      </c>
      <c r="DB35" s="249">
        <f>IF(C35="Skema 4",Stamoplysninger!$H$30/200,0)</f>
        <v>0</v>
      </c>
      <c r="DC35" s="249">
        <f>IF(C35="fagdag",Stamoplysninger!$H$30/200,0)</f>
        <v>0</v>
      </c>
      <c r="DD35" s="249">
        <f>IF(C35="emnedag",Stamoplysninger!$H$30/200,0)</f>
        <v>0</v>
      </c>
      <c r="DE35" s="249">
        <f>IF(C35="lejrskole",Stamoplysninger!$H$30/200,0)</f>
        <v>0</v>
      </c>
      <c r="DF35" s="249">
        <f>IF(C35="ekskursion",Stamoplysninger!$H$30/200,0)</f>
        <v>0</v>
      </c>
      <c r="DG35" s="249">
        <f t="shared" si="26"/>
        <v>0</v>
      </c>
      <c r="DH35" t="str">
        <f t="shared" si="27"/>
        <v>Sidste skoledag og Sommerfest 17-22</v>
      </c>
      <c r="DI35" t="str">
        <f t="shared" si="28"/>
        <v/>
      </c>
      <c r="DJ35" t="str">
        <f t="shared" si="29"/>
        <v/>
      </c>
      <c r="DK35" t="str">
        <f t="shared" si="13"/>
        <v>Sidste skoledag og Sommerfest 17-22</v>
      </c>
      <c r="DL35" t="str">
        <f t="shared" si="13"/>
        <v/>
      </c>
      <c r="DM35" t="str">
        <f t="shared" si="13"/>
        <v/>
      </c>
      <c r="DN35" t="str">
        <f t="shared" si="30"/>
        <v>Sidste skoledag og Sommerfest 17-22</v>
      </c>
      <c r="DO35" s="652">
        <f>IF(AND(Stamoplysninger!$B$22="Ulempetillæg udbetales med 25% af nettotimelønnen.",H35&gt;0),(R35/4),0)</f>
        <v>1.25</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71">
        <f>IF(AND(Stamoplysninger!$B$22="Ulempetillæg udbetales med 25% af nettotimelønnen.",C35="ikke relevant"),(R35)/4,0)</f>
        <v>0</v>
      </c>
      <c r="DT35" s="671">
        <f>IF(AND(AND(Stamoplysninger!$B$22="Ulempetillæg udbetales med 25% af nettotimelønnen.",I35="X",C35="Ikke relevant")),K35/4,0)</f>
        <v>0</v>
      </c>
      <c r="DU35" s="671">
        <f>IF(AND(AND(Stamoplysninger!$B$22="Ulempetillæg udbetales med 25% af nettotimelønnen.",C35="ikke relevant",U35="X")),(X35/4),0)</f>
        <v>0</v>
      </c>
      <c r="DV35" s="672">
        <f>IF(AND(AND(AND(Stamoplysninger!$B$22="Ulempetillæg udbetales med 25% af nettotimelønnen.",I35="X",C35="Ikke relevant",S35="X"))),V35/4,0)</f>
        <v>0</v>
      </c>
      <c r="DW35" s="652"/>
      <c r="DZ35" s="671"/>
      <c r="EA35" s="671"/>
      <c r="EB35" s="672"/>
      <c r="EC35" s="652">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71">
        <f>IF(AND(Stamoplysninger!$B$22="Ulempetillæg afspadseres med 25%(Kræver en aftale imellem ledelsen og den ansatte)",C35="ikke relevant"),(R35)/4,0)</f>
        <v>0</v>
      </c>
      <c r="EH35" s="671">
        <f>IF(AND(AND(Stamoplysninger!$B$22="Ulempetillæg afspadseres med 25%(Kræver en aftale imellem ledelsen og den ansatte)",I35="X",C35="Ikke relevant")),K35/4,0)</f>
        <v>0</v>
      </c>
      <c r="EI35" s="671">
        <f>IF(AND(AND(Stamoplysninger!$B$22="Ulempetillæg afspadseres med 25%(Kræver en aftale imellem ledelsen og den ansatte)",U35="X",C35="Ikke relevant")),X35/4,0)</f>
        <v>0</v>
      </c>
      <c r="EJ35" s="671">
        <f>IF(AND(AND(AND(Stamoplysninger!$B$22="Ulempetillæg afspadseres med 25%(Kræver en aftale imellem ledelsen og den ansatte)",I35="X",C35="Ikke relevant",S35="X"))),V35/4,0)</f>
        <v>0</v>
      </c>
      <c r="EK35" s="283">
        <f>IF(AND(Stamoplysninger!$B$26="Weekendtimer og weekendtillæg afspadseres.",I35="X"),K35*1.5,0)</f>
        <v>0</v>
      </c>
      <c r="EL35" s="251">
        <f>IF(AND(AND(Stamoplysninger!$B$26="Weekendtimer og weekendtillæg afspadseres.",I35="X",S35="X")),V35*1.5,0)</f>
        <v>0</v>
      </c>
      <c r="EM35" s="674">
        <f>IF(AND(AND(Stamoplysninger!$B$26="Weekendtimer og weekendtillæg afspadseres.",I35="X",C35="ikke relevant")),K35*1.5,0)</f>
        <v>0</v>
      </c>
      <c r="EN35" s="675">
        <f>IF(AND(AND(AND(Stamoplysninger!$B$26="Weekendtimer og weekendtillæg afspadseres.",I35="X",C35="ikke relevant",S35="X"))),(V35*1.5),0)</f>
        <v>0</v>
      </c>
      <c r="EO35" s="283">
        <f>IF(AND(Stamoplysninger!$B$26="Weekendtimer og weekendtillæg udbetales.",I35="X"),K35*1.5,0)</f>
        <v>0</v>
      </c>
      <c r="EP35" s="251">
        <f>IF(AND(AND(Stamoplysninger!$B$26="Weekendtimer og weekendtillæg udbetales.",I35="X",S35="X")),V35*1.5,0)</f>
        <v>0</v>
      </c>
      <c r="EQ35" s="674">
        <f>IF(AND(AND(Stamoplysninger!$B$26="Weekendtimer og weekendtillæg udbetales.",I35="X",C35="ikke relevant")),K35*1.5,0)</f>
        <v>0</v>
      </c>
      <c r="ER35" s="675">
        <f>IF(AND(AND(AND(Stamoplysninger!$B$26="Weekendtimer og weekendtillæg udbetales.",I35="X",C35="ikke relevant",S35="X"))),(V35*1.5),0)</f>
        <v>0</v>
      </c>
      <c r="ES35" s="283">
        <f>IF(AND(Stamoplysninger!$B$26="Der er indgået lokalaftale omkring weekendtimer.(Kræver aftale med TR/FSL) Weekendtillæg afspadseres.",I35="X"),K35*0.5,0)</f>
        <v>0</v>
      </c>
      <c r="ET35" s="251">
        <f>IF(AND(AND(Stamoplysninger!$B$26="Der er indgået lokalaftale omkring weekendtimer.(Kræver aftale med TR/FSL) Weekendtillæg afspadseres.",I35="X",S35="X")),V35*0.5,0)</f>
        <v>0</v>
      </c>
      <c r="EU35" s="674">
        <f>IF(AND(AND(Stamoplysninger!$B$26="Der er indgået lokalaftale omkring weekendtimer.(Kræver aftale med TR/FSL) Weekendtillæg afspadseres.",I35="X",C35="ikke relevant")),K35*0.5,0)</f>
        <v>0</v>
      </c>
      <c r="EV35" s="675">
        <f>IF(AND(AND(AND(Stamoplysninger!$B$26="Der er indgået lokalaftale omkring weekendtimer.(Kræver aftale med TR/FSL) Weekendtillæg afspadseres.",I35="X",C35="ikke relevant",S35="X"))),(V35*0.5),0)</f>
        <v>0</v>
      </c>
      <c r="EW35" s="283">
        <f>IF(AND(Stamoplysninger!$B$26="Der er indgået lokalaftale omkring weekendtimer(Kræver aftale med TR/FSL). Weekendtillæg udbetales.",I35="X"),K35*0.5,0)</f>
        <v>0</v>
      </c>
      <c r="EX35" s="251">
        <f>IF(AND(AND(Stamoplysninger!$B$26="Der er indgået lokalaftale omkring weekendtimer(Kræver aftale med TR/FSL). Weekendtillæg udbetales.",I35="X",S35="X")),V35*0.5,0)</f>
        <v>0</v>
      </c>
      <c r="EY35" s="674">
        <f>IF(AND(AND(Stamoplysninger!$B$26="Der er indgået lokalaftale omkring weekendtimer(Kræver aftale med TR/FSL). Weekendtillæg udbetales.",I35="X",C35="ikke relevant")),K35*0.5,0)</f>
        <v>0</v>
      </c>
      <c r="EZ35" s="675">
        <f>IF(AND(AND(AND(Stamoplysninger!$B$26="Der er indgået lokalaftale omkring weekendtimer(Kræver aftale med TR/FSL). Weekendtillæg udbetales.",I35="X",C35="ikke relevant",S35="X"))),(V35*0.5),0)</f>
        <v>0</v>
      </c>
      <c r="FA35" s="283">
        <f>IF(AND(Stamoplysninger!$B$26="Der er indgået lokalaftale omkring weekendtillæg(Kræver aftale med TR/FSL). Weekendtimerne afspadseres.",I35="X"),K35,0)</f>
        <v>0</v>
      </c>
      <c r="FB35" s="251">
        <f>IF(AND(AND(Stamoplysninger!$B$26="Der er indgået lokalaftale omkring weekendtillæg(Kræver aftale med TR/FSL). Weekendtimerne afspadseres.",I35="X",S35="X")),V35,0)</f>
        <v>0</v>
      </c>
      <c r="FC35" s="674">
        <f>IF(AND(AND(Stamoplysninger!$B$26="Der er indgået lokalaftale omkring weekendtillæg(Kræver aftale med TR/FSL). Weekendtimerne afspadseres..",I35="X",C35="ikke relevant")),K35,0)</f>
        <v>0</v>
      </c>
      <c r="FD35" s="675">
        <f>IF(AND(AND(AND(Stamoplysninger!$B$26="Der er indgået lokalaftale omkring weekendtillæg(Kræver aftale med TR/FSL). Weekendtimerne afspadseres.",I35="X",C35="ikke relevant",S35="X"))),(V35),0)</f>
        <v>0</v>
      </c>
      <c r="FE35" s="283">
        <f>IF(AND(Stamoplysninger!$B$26="Der er indgået lokalaftale omkring weekendtillæg(Kræver aftale med TR/FSL). Weekendtimerne udbetales.",I35="X"),K35,0)</f>
        <v>0</v>
      </c>
      <c r="FF35" s="251">
        <f>IF(AND(AND(Stamoplysninger!$B$26="Der er indgået lokalaftale omkring weekendtillæg(Kræver aftale med TR/FSL). Weekendtimerne udbetales.",I35="X",S35="X")),V35,0)</f>
        <v>0</v>
      </c>
      <c r="FG35" s="674">
        <f>IF(AND(AND(Stamoplysninger!$B$26="Der er indgået lokalaftale omkring weekendtillæg(Kræver aftale med TR/FSL). Weekendtimerne udbetales.",I35="X",C35="ikke relevant")),K35,0)</f>
        <v>0</v>
      </c>
      <c r="FH35" s="675">
        <f>IF(AND(AND(AND(Stamoplysninger!$B$26="Der er indgået lokalaftale omkring weekendtillæg(Kræver aftale med TR/FSL). Weekendtimerne udbetales.",I35="X",C35="ikke relevant",S35="X"))),(V35),0)</f>
        <v>0</v>
      </c>
      <c r="FI35" s="283">
        <f>IF(AND(Stamoplysninger!$B$26="Weekendtimer og weekendtillæg afspadseres.",I35="X"),K35,0)</f>
        <v>0</v>
      </c>
      <c r="FJ35" s="251">
        <f>IF(AND(Stamoplysninger!$B$26="Weekendtimer og weekendtillæg afspadseres.",Y35="X"),(AA35+AL35)/2,0)</f>
        <v>0</v>
      </c>
      <c r="FK35" s="674">
        <f>IF(AND(AND(Stamoplysninger!$B$26="Weekendtimer og weekendtillæg afspadseres.",I35="X",C35="ikke relevant")),K35,0)</f>
        <v>0</v>
      </c>
      <c r="FL35" s="675">
        <f>IF(AND(AND(Stamoplysninger!$B$26="Weekendtimer og weekendtillæg afspadseres.",Y35="X",S35="ikke relevant")),(AA35+AL35)/2,0)</f>
        <v>0</v>
      </c>
      <c r="FM35" s="283">
        <f>IF(AND(Stamoplysninger!$B$26="Der er indgået lokalaftale omkring weekendtillæg(Kræver aftale med TR/FSL). Weekendtimerne afspadseres.",I35="X"),K35,0)</f>
        <v>0</v>
      </c>
      <c r="FN35" s="674">
        <f>IF(AND(AND(Stamoplysninger!$B$26="Der er indgået lokalaftale omkring weekendtillæg(Kræver aftale med TR/FSL). Weekendtimerne afspadseres.",I35="X",C35="ikke relevant")),K35,0)</f>
        <v>0</v>
      </c>
      <c r="FO35" s="283">
        <f>IF(AND(Stamoplysninger!$B$26="Weekendtimer og weekendtillæg udbetales.",I35="X"),K35,0)</f>
        <v>0</v>
      </c>
      <c r="FP35" s="251">
        <f>IF(AND(Stamoplysninger!$B$26="Weekendtimer og weekendtillæg udbetales.",AA35="X"),(AC35+AN35)/2,0)</f>
        <v>0</v>
      </c>
      <c r="FQ35" s="674">
        <f>IF(AND(AND(Stamoplysninger!$B$26="Weekendtimer og weekendtillæg udbetales.",I35="X",C35="ikke relevant")),K35,0)</f>
        <v>0</v>
      </c>
      <c r="FR35" s="688">
        <f>IF(AND(AND(Stamoplysninger!$B$26="Weekendtimer og weekendtillæg udbetales.",AA35="X",U35="ikke relevant")),(AC35+AN35)/2,0)</f>
        <v>0</v>
      </c>
      <c r="FS35" s="283">
        <f t="shared" si="14"/>
        <v>0</v>
      </c>
      <c r="FT35" s="658">
        <f t="shared" si="15"/>
        <v>0</v>
      </c>
      <c r="FU35">
        <f t="shared" si="31"/>
        <v>0</v>
      </c>
      <c r="FV35" s="283">
        <f>IF(AND(Stamoplysninger!$B$26="Der er indgået lokalaftale omkring weekendtimer.(Kræver aftale med TR/FSL) Weekendtillæg afspadseres.",I35="X"),K35,0)</f>
        <v>0</v>
      </c>
      <c r="FW35" s="674">
        <f>IF(AND(AND(Stamoplysninger!$B$26="Der er indgået lokalaftale omkring weekendtimer.(Kræver aftale med TR/FSL) Weekendtillæg afspadseres.",I35="X",C35="ikke relevant")),K35,0)</f>
        <v>0</v>
      </c>
      <c r="FX35" s="283">
        <f>IF(AND(Stamoplysninger!$B$26="Der er indgået lokalaftale omkring weekendtimer(Kræver aftale med TR/FSL). Weekendtillæg udbetales.",I35="X"),K35,0)</f>
        <v>0</v>
      </c>
      <c r="FY35" s="674">
        <f>IF(AND(AND(Stamoplysninger!$B$26="Der er indgået lokalaftale omkring weekendtimer(Kræver aftale med TR/FSL). Weekendtillæg udbetales.",I35="X",C35="ikke relevant")),K35,0)</f>
        <v>0</v>
      </c>
      <c r="FZ35" s="283">
        <f>IF(AND(Stamoplysninger!$B$26="Der er indgået lokalaftale omkring weekendtillæg(Kræver aftale med TR/FSL). Weekendtimerne udbetales.",I35="X"),K35,0)</f>
        <v>0</v>
      </c>
      <c r="GA35" s="674">
        <f>IF(AND(AND(Stamoplysninger!$B$26="Der er indgået lokalaftale omkring weekendtillæg(Kræver aftale med TR/FSL). Weekendtimerne udbetales.",I35="X",C35="ikke relevant")),K35,0)</f>
        <v>0</v>
      </c>
      <c r="GB35" s="283">
        <f>IF(AND(Stamoplysninger!$B$26="Der er indgået lokalaftale omkring weekendtimer og weekendtillæg.(Kræver aftale med TR/FSL).",I35="X"),K35,0)</f>
        <v>0</v>
      </c>
      <c r="GC35" s="674">
        <f>IF(AND(AND(Stamoplysninger!$B$26="Der er indgået lokalaftale omkring weekendtimer og weekendtillæg.(Kræver aftale med TR/FSL).",I35="X",C35="ikke relevant")),K35,0)</f>
        <v>0</v>
      </c>
    </row>
    <row r="36" spans="1:185">
      <c r="A36" s="245">
        <f t="shared" si="17"/>
        <v>28</v>
      </c>
      <c r="B36" s="128" t="str">
        <f t="shared" si="0"/>
        <v>lø</v>
      </c>
      <c r="C36" s="129" t="s">
        <v>120</v>
      </c>
      <c r="D36" s="130" t="str">
        <f t="shared" si="1"/>
        <v/>
      </c>
      <c r="E36" s="917"/>
      <c r="F36" s="918"/>
      <c r="G36" s="919"/>
      <c r="H36" s="298"/>
      <c r="I36" s="413"/>
      <c r="J36" s="413"/>
      <c r="K36" s="380"/>
      <c r="L36" s="380"/>
      <c r="M36" s="380"/>
      <c r="N36" s="318">
        <f t="shared" si="18"/>
        <v>0</v>
      </c>
      <c r="O36" s="318">
        <f t="shared" si="19"/>
        <v>0</v>
      </c>
      <c r="P36" s="318">
        <f>IF(Stamoplysninger!$H$29="JA",Juni!DG36,CX36)</f>
        <v>0</v>
      </c>
      <c r="Q36" s="318">
        <f t="shared" si="20"/>
        <v>0</v>
      </c>
      <c r="R36" s="319"/>
      <c r="S36" s="324"/>
      <c r="T36" s="325"/>
      <c r="U36" s="325"/>
      <c r="V36" s="435"/>
      <c r="W36" s="435"/>
      <c r="X36" s="644"/>
      <c r="Y36">
        <f t="shared" si="21"/>
        <v>0</v>
      </c>
      <c r="Z36" s="437">
        <f t="shared" si="22"/>
        <v>0</v>
      </c>
      <c r="AA36" s="1">
        <f t="shared" si="2"/>
        <v>0</v>
      </c>
      <c r="AB36" s="1">
        <f t="shared" si="3"/>
        <v>0</v>
      </c>
      <c r="AC36" s="1">
        <f t="shared" si="4"/>
        <v>0</v>
      </c>
      <c r="AD36" s="1">
        <f t="shared" si="5"/>
        <v>0</v>
      </c>
      <c r="AE36" s="1">
        <f t="shared" si="6"/>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9">
        <f t="shared" si="7"/>
        <v>0</v>
      </c>
      <c r="BC36" s="1">
        <f t="shared" si="24"/>
        <v>0</v>
      </c>
      <c r="BD36" s="1">
        <f t="shared" si="8"/>
        <v>0</v>
      </c>
      <c r="BE36" s="1">
        <f t="shared" si="9"/>
        <v>0</v>
      </c>
      <c r="BF36" s="1">
        <f t="shared" si="10"/>
        <v>0</v>
      </c>
      <c r="BG36" s="210" t="str">
        <f>IF(AND(C36="Skema 1",B36="ma"),Skemaoplysninger!$E$30,"")</f>
        <v/>
      </c>
      <c r="BH36" s="210" t="str">
        <f>IF(AND(C36="Skema 1",B36="ti"),Skemaoplysninger!$G$30,"")</f>
        <v/>
      </c>
      <c r="BI36" s="210" t="str">
        <f>IF(AND(C36="Skema 1",B36="on"),Skemaoplysninger!$I$30,"")</f>
        <v/>
      </c>
      <c r="BJ36" s="210" t="str">
        <f>IF(AND(C36="Skema 1",B36="to"),Skemaoplysninger!$K$30,"")</f>
        <v/>
      </c>
      <c r="BK36" s="210" t="str">
        <f>IF(AND(C36="Skema 1",B36="fr"),Skemaoplysninger!$M$30,"")</f>
        <v/>
      </c>
      <c r="BL36" s="210" t="str">
        <f>IF(AND(C36="Skema 2",B36="ma"),Skemaoplysninger!$S$30,"")</f>
        <v/>
      </c>
      <c r="BM36" s="210" t="str">
        <f>IF(AND(C36="Skema 2",B36="ti"),Skemaoplysninger!$U$30,"")</f>
        <v/>
      </c>
      <c r="BN36" s="210" t="str">
        <f>IF(AND(C36="Skema 2",B36="on"),Skemaoplysninger!$W$30,"")</f>
        <v/>
      </c>
      <c r="BO36" s="210" t="str">
        <f>IF(AND(C36="Skema 2",B36="to"),Skemaoplysninger!$Y$30,"")</f>
        <v/>
      </c>
      <c r="BP36" s="210" t="str">
        <f>IF(AND(C36="Skema 2",B36="fr"),Skemaoplysninger!$AA$30,"")</f>
        <v/>
      </c>
      <c r="BQ36" s="210" t="str">
        <f>IF(AND(C36="Skema 3",B36="ma"),Skemaoplysninger!$AG$30,"")</f>
        <v/>
      </c>
      <c r="BR36" s="210" t="str">
        <f>IF(AND(C36="Skema 3",B36="ti"),Skemaoplysninger!$AI$30,"")</f>
        <v/>
      </c>
      <c r="BS36" s="210" t="str">
        <f>IF(AND(C36="Skema 3",B36="on"),Skemaoplysninger!$AK$30,"")</f>
        <v/>
      </c>
      <c r="BT36" s="210" t="str">
        <f>IF(AND(C36="Skema 3",B36="to"),Skemaoplysninger!$AM$30,"")</f>
        <v/>
      </c>
      <c r="BU36" s="210" t="str">
        <f>IF(AND(C36="Skema 3",B36="fr"),Skemaoplysninger!$AO$30,"")</f>
        <v/>
      </c>
      <c r="BV36" s="210" t="str">
        <f>IF(AND(C36="Skema 4",B36="ma"),Skemaoplysninger!$AU$30,"")</f>
        <v/>
      </c>
      <c r="BW36" s="210" t="str">
        <f>IF(AND(C36="Skema 4",B36="ti"),Skemaoplysninger!$AW$30,"")</f>
        <v/>
      </c>
      <c r="BX36" s="210" t="str">
        <f>IF(AND(C36="Skema 4",B36="on"),Skemaoplysninger!$AY$30,"")</f>
        <v/>
      </c>
      <c r="BY36" s="210" t="str">
        <f>IF(AND(C36="Skema 4",B36="to"),Skemaoplysninger!$BA$30,"")</f>
        <v/>
      </c>
      <c r="BZ36" s="210" t="str">
        <f>IF(AND(C36="Skema 4",B36="fr"),Skemaoplysninger!$BC$30,"")</f>
        <v/>
      </c>
      <c r="CA36" s="1">
        <f t="shared" si="25"/>
        <v>0</v>
      </c>
      <c r="CB36" s="1">
        <f t="shared" si="11"/>
        <v>0</v>
      </c>
      <c r="CC36" s="1">
        <f t="shared" si="12"/>
        <v>0</v>
      </c>
      <c r="CD36" s="210" t="str">
        <f>IF(AND(C36="Skema 1",B36="ma"),Skemaoplysninger!$E$31,"")</f>
        <v/>
      </c>
      <c r="CE36" s="210" t="str">
        <f>IF(AND(C36="Skema 1",B36="ti"),Skemaoplysninger!$G$31,"")</f>
        <v/>
      </c>
      <c r="CF36" s="210" t="str">
        <f>IF(AND(C36="Skema 1",B36="on"),Skemaoplysninger!$I$31,"")</f>
        <v/>
      </c>
      <c r="CG36" s="210" t="str">
        <f>IF(AND(C36="Skema 1",B36="to"),Skemaoplysninger!$K$31,"")</f>
        <v/>
      </c>
      <c r="CH36" s="210" t="str">
        <f>IF(AND(C36="Skema 1",B36="fr"),Skemaoplysninger!$M$31,"")</f>
        <v/>
      </c>
      <c r="CI36" s="210" t="str">
        <f>IF(AND(C36="Skema 2",B36="ma"),Skemaoplysninger!$S$31,"")</f>
        <v/>
      </c>
      <c r="CJ36" s="210" t="str">
        <f>IF(AND(C36="Skema 2",B36="ti"),Skemaoplysninger!$U$31,"")</f>
        <v/>
      </c>
      <c r="CK36" s="210" t="str">
        <f>IF(AND(C36="Skema 2",B36="on"),Skemaoplysninger!$W$31,"")</f>
        <v/>
      </c>
      <c r="CL36" s="210" t="str">
        <f>IF(AND(C36="Skema 2",B36="to"),Skemaoplysninger!$Y$31,"")</f>
        <v/>
      </c>
      <c r="CM36" s="210" t="str">
        <f>IF(AND(C36="Skema 2",B36="fr"),Skemaoplysninger!$AA$31,"")</f>
        <v/>
      </c>
      <c r="CN36" s="210" t="str">
        <f>IF(AND(C36="Skema 3",B36="ma"),Skemaoplysninger!$AG$31,"")</f>
        <v/>
      </c>
      <c r="CO36" s="210" t="str">
        <f>IF(AND(C36="Skema 3",B36="ti"),Skemaoplysninger!$AI$31,"")</f>
        <v/>
      </c>
      <c r="CP36" s="210" t="str">
        <f>IF(AND(C36="Skema 3",B36="on"),Skemaoplysninger!$AK$31,"")</f>
        <v/>
      </c>
      <c r="CQ36" s="210" t="str">
        <f>IF(AND(C36="Skema 3",B36="to"),Skemaoplysninger!$AM$31,"")</f>
        <v/>
      </c>
      <c r="CR36" s="210" t="str">
        <f>IF(AND(C36="Skema 3",B36="fr"),Skemaoplysninger!$AO$31,"")</f>
        <v/>
      </c>
      <c r="CS36" s="210" t="str">
        <f>IF(AND(C36="Skema 4",B36="ma"),Skemaoplysninger!$AU$31,"")</f>
        <v/>
      </c>
      <c r="CT36" s="210" t="str">
        <f>IF(AND(C36="Skema 4",B36="ti"),Skemaoplysninger!$AW$31,"")</f>
        <v/>
      </c>
      <c r="CU36" s="210" t="str">
        <f>IF(AND(C36="Skema 4",B36="on"),Skemaoplysninger!$AY$31,"")</f>
        <v/>
      </c>
      <c r="CV36" s="210" t="str">
        <f>IF(AND(C36="Skema 4",B36="to"),Skemaoplysninger!$BA$31,"")</f>
        <v/>
      </c>
      <c r="CW36" s="210" t="str">
        <f>IF(AND(C36="Skema 4",B36="fr"),Skemaoplysninger!$BC$31,"")</f>
        <v/>
      </c>
      <c r="CX36" s="249">
        <f>IF(Stamoplysninger!$H$29="NEJ",SUM(CD36:CW36)*24+CB36+CC36,0)</f>
        <v>0</v>
      </c>
      <c r="CY36" s="249">
        <f>IF(C36="Skema 1",Stamoplysninger!$H$30/200,0)</f>
        <v>0</v>
      </c>
      <c r="CZ36" s="249">
        <f>IF(C36="Skema 2",Stamoplysninger!$H$30/200,0)</f>
        <v>0</v>
      </c>
      <c r="DA36" s="249">
        <f>IF(C36="Skema 3",Stamoplysninger!$H$30/200,0)</f>
        <v>0</v>
      </c>
      <c r="DB36" s="249">
        <f>IF(C36="Skema 4",Stamoplysninger!$H$30/200,0)</f>
        <v>0</v>
      </c>
      <c r="DC36" s="249">
        <f>IF(C36="fagdag",Stamoplysninger!$H$30/200,0)</f>
        <v>0</v>
      </c>
      <c r="DD36" s="249">
        <f>IF(C36="emnedag",Stamoplysninger!$H$30/200,0)</f>
        <v>0</v>
      </c>
      <c r="DE36" s="249">
        <f>IF(C36="lejrskole",Stamoplysninger!$H$30/200,0)</f>
        <v>0</v>
      </c>
      <c r="DF36" s="249">
        <f>IF(C36="ekskursion",Stamoplysninger!$H$30/200,0)</f>
        <v>0</v>
      </c>
      <c r="DG36" s="249">
        <f t="shared" si="26"/>
        <v>0</v>
      </c>
      <c r="DH36" t="str">
        <f t="shared" si="27"/>
        <v/>
      </c>
      <c r="DI36">
        <f t="shared" si="28"/>
        <v>0</v>
      </c>
      <c r="DJ36">
        <f t="shared" si="29"/>
        <v>0</v>
      </c>
      <c r="DK36" t="str">
        <f t="shared" si="13"/>
        <v/>
      </c>
      <c r="DL36" t="str">
        <f t="shared" si="13"/>
        <v/>
      </c>
      <c r="DM36" t="str">
        <f t="shared" si="13"/>
        <v/>
      </c>
      <c r="DN36" t="str">
        <f t="shared" si="30"/>
        <v/>
      </c>
      <c r="DO36" s="652">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71">
        <f>IF(AND(Stamoplysninger!$B$22="Ulempetillæg udbetales med 25% af nettotimelønnen.",C36="ikke relevant"),(R36)/4,0)</f>
        <v>0</v>
      </c>
      <c r="DT36" s="671">
        <f>IF(AND(AND(Stamoplysninger!$B$22="Ulempetillæg udbetales med 25% af nettotimelønnen.",I36="X",C36="Ikke relevant")),K36/4,0)</f>
        <v>0</v>
      </c>
      <c r="DU36" s="671">
        <f>IF(AND(AND(Stamoplysninger!$B$22="Ulempetillæg udbetales med 25% af nettotimelønnen.",C36="ikke relevant",U36="X")),(X36/4),0)</f>
        <v>0</v>
      </c>
      <c r="DV36" s="672">
        <f>IF(AND(AND(AND(Stamoplysninger!$B$22="Ulempetillæg udbetales med 25% af nettotimelønnen.",I36="X",C36="Ikke relevant",S36="X"))),V36/4,0)</f>
        <v>0</v>
      </c>
      <c r="DW36" s="652"/>
      <c r="DZ36" s="671"/>
      <c r="EA36" s="671"/>
      <c r="EB36" s="672"/>
      <c r="EC36" s="652">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71">
        <f>IF(AND(Stamoplysninger!$B$22="Ulempetillæg afspadseres med 25%(Kræver en aftale imellem ledelsen og den ansatte)",C36="ikke relevant"),(R36)/4,0)</f>
        <v>0</v>
      </c>
      <c r="EH36" s="671">
        <f>IF(AND(AND(Stamoplysninger!$B$22="Ulempetillæg afspadseres med 25%(Kræver en aftale imellem ledelsen og den ansatte)",I36="X",C36="Ikke relevant")),K36/4,0)</f>
        <v>0</v>
      </c>
      <c r="EI36" s="671">
        <f>IF(AND(AND(Stamoplysninger!$B$22="Ulempetillæg afspadseres med 25%(Kræver en aftale imellem ledelsen og den ansatte)",U36="X",C36="Ikke relevant")),X36/4,0)</f>
        <v>0</v>
      </c>
      <c r="EJ36" s="671">
        <f>IF(AND(AND(AND(Stamoplysninger!$B$22="Ulempetillæg afspadseres med 25%(Kræver en aftale imellem ledelsen og den ansatte)",I36="X",C36="Ikke relevant",S36="X"))),V36/4,0)</f>
        <v>0</v>
      </c>
      <c r="EK36" s="283">
        <f>IF(AND(Stamoplysninger!$B$26="Weekendtimer og weekendtillæg afspadseres.",I36="X"),K36*1.5,0)</f>
        <v>0</v>
      </c>
      <c r="EL36" s="251">
        <f>IF(AND(AND(Stamoplysninger!$B$26="Weekendtimer og weekendtillæg afspadseres.",I36="X",S36="X")),V36*1.5,0)</f>
        <v>0</v>
      </c>
      <c r="EM36" s="674">
        <f>IF(AND(AND(Stamoplysninger!$B$26="Weekendtimer og weekendtillæg afspadseres.",I36="X",C36="ikke relevant")),K36*1.5,0)</f>
        <v>0</v>
      </c>
      <c r="EN36" s="675">
        <f>IF(AND(AND(AND(Stamoplysninger!$B$26="Weekendtimer og weekendtillæg afspadseres.",I36="X",C36="ikke relevant",S36="X"))),(V36*1.5),0)</f>
        <v>0</v>
      </c>
      <c r="EO36" s="283">
        <f>IF(AND(Stamoplysninger!$B$26="Weekendtimer og weekendtillæg udbetales.",I36="X"),K36*1.5,0)</f>
        <v>0</v>
      </c>
      <c r="EP36" s="251">
        <f>IF(AND(AND(Stamoplysninger!$B$26="Weekendtimer og weekendtillæg udbetales.",I36="X",S36="X")),V36*1.5,0)</f>
        <v>0</v>
      </c>
      <c r="EQ36" s="674">
        <f>IF(AND(AND(Stamoplysninger!$B$26="Weekendtimer og weekendtillæg udbetales.",I36="X",C36="ikke relevant")),K36*1.5,0)</f>
        <v>0</v>
      </c>
      <c r="ER36" s="675">
        <f>IF(AND(AND(AND(Stamoplysninger!$B$26="Weekendtimer og weekendtillæg udbetales.",I36="X",C36="ikke relevant",S36="X"))),(V36*1.5),0)</f>
        <v>0</v>
      </c>
      <c r="ES36" s="283">
        <f>IF(AND(Stamoplysninger!$B$26="Der er indgået lokalaftale omkring weekendtimer.(Kræver aftale med TR/FSL) Weekendtillæg afspadseres.",I36="X"),K36*0.5,0)</f>
        <v>0</v>
      </c>
      <c r="ET36" s="251">
        <f>IF(AND(AND(Stamoplysninger!$B$26="Der er indgået lokalaftale omkring weekendtimer.(Kræver aftale med TR/FSL) Weekendtillæg afspadseres.",I36="X",S36="X")),V36*0.5,0)</f>
        <v>0</v>
      </c>
      <c r="EU36" s="674">
        <f>IF(AND(AND(Stamoplysninger!$B$26="Der er indgået lokalaftale omkring weekendtimer.(Kræver aftale med TR/FSL) Weekendtillæg afspadseres.",I36="X",C36="ikke relevant")),K36*0.5,0)</f>
        <v>0</v>
      </c>
      <c r="EV36" s="675">
        <f>IF(AND(AND(AND(Stamoplysninger!$B$26="Der er indgået lokalaftale omkring weekendtimer.(Kræver aftale med TR/FSL) Weekendtillæg afspadseres.",I36="X",C36="ikke relevant",S36="X"))),(V36*0.5),0)</f>
        <v>0</v>
      </c>
      <c r="EW36" s="283">
        <f>IF(AND(Stamoplysninger!$B$26="Der er indgået lokalaftale omkring weekendtimer(Kræver aftale med TR/FSL). Weekendtillæg udbetales.",I36="X"),K36*0.5,0)</f>
        <v>0</v>
      </c>
      <c r="EX36" s="251">
        <f>IF(AND(AND(Stamoplysninger!$B$26="Der er indgået lokalaftale omkring weekendtimer(Kræver aftale med TR/FSL). Weekendtillæg udbetales.",I36="X",S36="X")),V36*0.5,0)</f>
        <v>0</v>
      </c>
      <c r="EY36" s="674">
        <f>IF(AND(AND(Stamoplysninger!$B$26="Der er indgået lokalaftale omkring weekendtimer(Kræver aftale med TR/FSL). Weekendtillæg udbetales.",I36="X",C36="ikke relevant")),K36*0.5,0)</f>
        <v>0</v>
      </c>
      <c r="EZ36" s="675">
        <f>IF(AND(AND(AND(Stamoplysninger!$B$26="Der er indgået lokalaftale omkring weekendtimer(Kræver aftale med TR/FSL). Weekendtillæg udbetales.",I36="X",C36="ikke relevant",S36="X"))),(V36*0.5),0)</f>
        <v>0</v>
      </c>
      <c r="FA36" s="283">
        <f>IF(AND(Stamoplysninger!$B$26="Der er indgået lokalaftale omkring weekendtillæg(Kræver aftale med TR/FSL). Weekendtimerne afspadseres.",I36="X"),K36,0)</f>
        <v>0</v>
      </c>
      <c r="FB36" s="251">
        <f>IF(AND(AND(Stamoplysninger!$B$26="Der er indgået lokalaftale omkring weekendtillæg(Kræver aftale med TR/FSL). Weekendtimerne afspadseres.",I36="X",S36="X")),V36,0)</f>
        <v>0</v>
      </c>
      <c r="FC36" s="674">
        <f>IF(AND(AND(Stamoplysninger!$B$26="Der er indgået lokalaftale omkring weekendtillæg(Kræver aftale med TR/FSL). Weekendtimerne afspadseres..",I36="X",C36="ikke relevant")),K36,0)</f>
        <v>0</v>
      </c>
      <c r="FD36" s="675">
        <f>IF(AND(AND(AND(Stamoplysninger!$B$26="Der er indgået lokalaftale omkring weekendtillæg(Kræver aftale med TR/FSL). Weekendtimerne afspadseres.",I36="X",C36="ikke relevant",S36="X"))),(V36),0)</f>
        <v>0</v>
      </c>
      <c r="FE36" s="283">
        <f>IF(AND(Stamoplysninger!$B$26="Der er indgået lokalaftale omkring weekendtillæg(Kræver aftale med TR/FSL). Weekendtimerne udbetales.",I36="X"),K36,0)</f>
        <v>0</v>
      </c>
      <c r="FF36" s="251">
        <f>IF(AND(AND(Stamoplysninger!$B$26="Der er indgået lokalaftale omkring weekendtillæg(Kræver aftale med TR/FSL). Weekendtimerne udbetales.",I36="X",S36="X")),V36,0)</f>
        <v>0</v>
      </c>
      <c r="FG36" s="674">
        <f>IF(AND(AND(Stamoplysninger!$B$26="Der er indgået lokalaftale omkring weekendtillæg(Kræver aftale med TR/FSL). Weekendtimerne udbetales.",I36="X",C36="ikke relevant")),K36,0)</f>
        <v>0</v>
      </c>
      <c r="FH36" s="675">
        <f>IF(AND(AND(AND(Stamoplysninger!$B$26="Der er indgået lokalaftale omkring weekendtillæg(Kræver aftale med TR/FSL). Weekendtimerne udbetales.",I36="X",C36="ikke relevant",S36="X"))),(V36),0)</f>
        <v>0</v>
      </c>
      <c r="FI36" s="283">
        <f>IF(AND(Stamoplysninger!$B$26="Weekendtimer og weekendtillæg afspadseres.",I36="X"),K36,0)</f>
        <v>0</v>
      </c>
      <c r="FJ36" s="251">
        <f>IF(AND(Stamoplysninger!$B$26="Weekendtimer og weekendtillæg afspadseres.",Y36="X"),(AA36+AL36)/2,0)</f>
        <v>0</v>
      </c>
      <c r="FK36" s="674">
        <f>IF(AND(AND(Stamoplysninger!$B$26="Weekendtimer og weekendtillæg afspadseres.",I36="X",C36="ikke relevant")),K36,0)</f>
        <v>0</v>
      </c>
      <c r="FL36" s="675">
        <f>IF(AND(AND(Stamoplysninger!$B$26="Weekendtimer og weekendtillæg afspadseres.",Y36="X",S36="ikke relevant")),(AA36+AL36)/2,0)</f>
        <v>0</v>
      </c>
      <c r="FM36" s="283">
        <f>IF(AND(Stamoplysninger!$B$26="Der er indgået lokalaftale omkring weekendtillæg(Kræver aftale med TR/FSL). Weekendtimerne afspadseres.",I36="X"),K36,0)</f>
        <v>0</v>
      </c>
      <c r="FN36" s="674">
        <f>IF(AND(AND(Stamoplysninger!$B$26="Der er indgået lokalaftale omkring weekendtillæg(Kræver aftale med TR/FSL). Weekendtimerne afspadseres.",I36="X",C36="ikke relevant")),K36,0)</f>
        <v>0</v>
      </c>
      <c r="FO36" s="283">
        <f>IF(AND(Stamoplysninger!$B$26="Weekendtimer og weekendtillæg udbetales.",I36="X"),K36,0)</f>
        <v>0</v>
      </c>
      <c r="FP36" s="251">
        <f>IF(AND(Stamoplysninger!$B$26="Weekendtimer og weekendtillæg udbetales.",AA36="X"),(AC36+AN36)/2,0)</f>
        <v>0</v>
      </c>
      <c r="FQ36" s="674">
        <f>IF(AND(AND(Stamoplysninger!$B$26="Weekendtimer og weekendtillæg udbetales.",I36="X",C36="ikke relevant")),K36,0)</f>
        <v>0</v>
      </c>
      <c r="FR36" s="688">
        <f>IF(AND(AND(Stamoplysninger!$B$26="Weekendtimer og weekendtillæg udbetales.",AA36="X",U36="ikke relevant")),(AC36+AN36)/2,0)</f>
        <v>0</v>
      </c>
      <c r="FS36" s="283">
        <f t="shared" si="14"/>
        <v>0</v>
      </c>
      <c r="FT36" s="658">
        <f t="shared" si="15"/>
        <v>0</v>
      </c>
      <c r="FU36">
        <f t="shared" si="31"/>
        <v>0</v>
      </c>
      <c r="FV36" s="283">
        <f>IF(AND(Stamoplysninger!$B$26="Der er indgået lokalaftale omkring weekendtimer.(Kræver aftale med TR/FSL) Weekendtillæg afspadseres.",I36="X"),K36,0)</f>
        <v>0</v>
      </c>
      <c r="FW36" s="674">
        <f>IF(AND(AND(Stamoplysninger!$B$26="Der er indgået lokalaftale omkring weekendtimer.(Kræver aftale med TR/FSL) Weekendtillæg afspadseres.",I36="X",C36="ikke relevant")),K36,0)</f>
        <v>0</v>
      </c>
      <c r="FX36" s="283">
        <f>IF(AND(Stamoplysninger!$B$26="Der er indgået lokalaftale omkring weekendtimer(Kræver aftale med TR/FSL). Weekendtillæg udbetales.",I36="X"),K36,0)</f>
        <v>0</v>
      </c>
      <c r="FY36" s="674">
        <f>IF(AND(AND(Stamoplysninger!$B$26="Der er indgået lokalaftale omkring weekendtimer(Kræver aftale med TR/FSL). Weekendtillæg udbetales.",I36="X",C36="ikke relevant")),K36,0)</f>
        <v>0</v>
      </c>
      <c r="FZ36" s="283">
        <f>IF(AND(Stamoplysninger!$B$26="Der er indgået lokalaftale omkring weekendtillæg(Kræver aftale med TR/FSL). Weekendtimerne udbetales.",I36="X"),K36,0)</f>
        <v>0</v>
      </c>
      <c r="GA36" s="674">
        <f>IF(AND(AND(Stamoplysninger!$B$26="Der er indgået lokalaftale omkring weekendtillæg(Kræver aftale med TR/FSL). Weekendtimerne udbetales.",I36="X",C36="ikke relevant")),K36,0)</f>
        <v>0</v>
      </c>
      <c r="GB36" s="283">
        <f>IF(AND(Stamoplysninger!$B$26="Der er indgået lokalaftale omkring weekendtimer og weekendtillæg.(Kræver aftale med TR/FSL).",I36="X"),K36,0)</f>
        <v>0</v>
      </c>
      <c r="GC36" s="674">
        <f>IF(AND(AND(Stamoplysninger!$B$26="Der er indgået lokalaftale omkring weekendtimer og weekendtillæg.(Kræver aftale med TR/FSL).",I36="X",C36="ikke relevant")),K36,0)</f>
        <v>0</v>
      </c>
    </row>
    <row r="37" spans="1:185">
      <c r="A37" s="245">
        <f>IF(ISNUMBER(A36),A36+1,1)</f>
        <v>29</v>
      </c>
      <c r="B37" s="128" t="str">
        <f t="shared" si="0"/>
        <v>sø</v>
      </c>
      <c r="C37" s="129" t="s">
        <v>120</v>
      </c>
      <c r="D37" s="130" t="str">
        <f t="shared" si="1"/>
        <v/>
      </c>
      <c r="E37" s="917"/>
      <c r="F37" s="918"/>
      <c r="G37" s="919"/>
      <c r="H37" s="298"/>
      <c r="I37" s="413"/>
      <c r="J37" s="413"/>
      <c r="K37" s="380"/>
      <c r="L37" s="380"/>
      <c r="M37" s="380"/>
      <c r="N37" s="318">
        <f t="shared" si="18"/>
        <v>0</v>
      </c>
      <c r="O37" s="318">
        <f t="shared" si="19"/>
        <v>0</v>
      </c>
      <c r="P37" s="318">
        <f>IF(Stamoplysninger!$H$29="JA",Juni!DG37,CX37)</f>
        <v>0</v>
      </c>
      <c r="Q37" s="318">
        <f t="shared" si="20"/>
        <v>0</v>
      </c>
      <c r="R37" s="319"/>
      <c r="S37" s="324"/>
      <c r="T37" s="325"/>
      <c r="U37" s="325"/>
      <c r="V37" s="435"/>
      <c r="W37" s="435"/>
      <c r="X37" s="644"/>
      <c r="Y37">
        <f t="shared" si="21"/>
        <v>0</v>
      </c>
      <c r="Z37" s="437">
        <f t="shared" si="22"/>
        <v>0</v>
      </c>
      <c r="AA37" s="1">
        <f t="shared" si="2"/>
        <v>0</v>
      </c>
      <c r="AB37" s="1">
        <f t="shared" si="3"/>
        <v>0</v>
      </c>
      <c r="AC37" s="1">
        <f t="shared" si="4"/>
        <v>0</v>
      </c>
      <c r="AD37" s="1">
        <f t="shared" si="5"/>
        <v>0</v>
      </c>
      <c r="AE37" s="1">
        <f t="shared" si="6"/>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9">
        <f t="shared" si="7"/>
        <v>0</v>
      </c>
      <c r="BC37" s="1">
        <f t="shared" si="24"/>
        <v>0</v>
      </c>
      <c r="BD37" s="1">
        <f t="shared" si="8"/>
        <v>0</v>
      </c>
      <c r="BE37" s="1">
        <f t="shared" si="9"/>
        <v>0</v>
      </c>
      <c r="BF37" s="1">
        <f t="shared" si="10"/>
        <v>0</v>
      </c>
      <c r="BG37" s="210" t="str">
        <f>IF(AND(C37="Skema 1",B37="ma"),Skemaoplysninger!$E$30,"")</f>
        <v/>
      </c>
      <c r="BH37" s="210" t="str">
        <f>IF(AND(C37="Skema 1",B37="ti"),Skemaoplysninger!$G$30,"")</f>
        <v/>
      </c>
      <c r="BI37" s="210" t="str">
        <f>IF(AND(C37="Skema 1",B37="on"),Skemaoplysninger!$I$30,"")</f>
        <v/>
      </c>
      <c r="BJ37" s="210" t="str">
        <f>IF(AND(C37="Skema 1",B37="to"),Skemaoplysninger!$K$30,"")</f>
        <v/>
      </c>
      <c r="BK37" s="210" t="str">
        <f>IF(AND(C37="Skema 1",B37="fr"),Skemaoplysninger!$M$30,"")</f>
        <v/>
      </c>
      <c r="BL37" s="210" t="str">
        <f>IF(AND(C37="Skema 2",B37="ma"),Skemaoplysninger!$S$30,"")</f>
        <v/>
      </c>
      <c r="BM37" s="210" t="str">
        <f>IF(AND(C37="Skema 2",B37="ti"),Skemaoplysninger!$U$30,"")</f>
        <v/>
      </c>
      <c r="BN37" s="210" t="str">
        <f>IF(AND(C37="Skema 2",B37="on"),Skemaoplysninger!$W$30,"")</f>
        <v/>
      </c>
      <c r="BO37" s="210" t="str">
        <f>IF(AND(C37="Skema 2",B37="to"),Skemaoplysninger!$Y$30,"")</f>
        <v/>
      </c>
      <c r="BP37" s="210" t="str">
        <f>IF(AND(C37="Skema 2",B37="fr"),Skemaoplysninger!$AA$30,"")</f>
        <v/>
      </c>
      <c r="BQ37" s="210" t="str">
        <f>IF(AND(C37="Skema 3",B37="ma"),Skemaoplysninger!$AG$30,"")</f>
        <v/>
      </c>
      <c r="BR37" s="210" t="str">
        <f>IF(AND(C37="Skema 3",B37="ti"),Skemaoplysninger!$AI$30,"")</f>
        <v/>
      </c>
      <c r="BS37" s="210" t="str">
        <f>IF(AND(C37="Skema 3",B37="on"),Skemaoplysninger!$AK$30,"")</f>
        <v/>
      </c>
      <c r="BT37" s="210" t="str">
        <f>IF(AND(C37="Skema 3",B37="to"),Skemaoplysninger!$AM$30,"")</f>
        <v/>
      </c>
      <c r="BU37" s="210" t="str">
        <f>IF(AND(C37="Skema 3",B37="fr"),Skemaoplysninger!$AO$30,"")</f>
        <v/>
      </c>
      <c r="BV37" s="210" t="str">
        <f>IF(AND(C37="Skema 4",B37="ma"),Skemaoplysninger!$AU$30,"")</f>
        <v/>
      </c>
      <c r="BW37" s="210" t="str">
        <f>IF(AND(C37="Skema 4",B37="ti"),Skemaoplysninger!$AW$30,"")</f>
        <v/>
      </c>
      <c r="BX37" s="210" t="str">
        <f>IF(AND(C37="Skema 4",B37="on"),Skemaoplysninger!$AY$30,"")</f>
        <v/>
      </c>
      <c r="BY37" s="210" t="str">
        <f>IF(AND(C37="Skema 4",B37="to"),Skemaoplysninger!$BA$30,"")</f>
        <v/>
      </c>
      <c r="BZ37" s="210" t="str">
        <f>IF(AND(C37="Skema 4",B37="fr"),Skemaoplysninger!$BC$30,"")</f>
        <v/>
      </c>
      <c r="CA37" s="1">
        <f t="shared" si="25"/>
        <v>0</v>
      </c>
      <c r="CB37" s="1">
        <f t="shared" si="11"/>
        <v>0</v>
      </c>
      <c r="CC37" s="1">
        <f t="shared" si="12"/>
        <v>0</v>
      </c>
      <c r="CD37" s="210" t="str">
        <f>IF(AND(C37="Skema 1",B37="ma"),Skemaoplysninger!$E$31,"")</f>
        <v/>
      </c>
      <c r="CE37" s="210" t="str">
        <f>IF(AND(C37="Skema 1",B37="ti"),Skemaoplysninger!$G$31,"")</f>
        <v/>
      </c>
      <c r="CF37" s="210" t="str">
        <f>IF(AND(C37="Skema 1",B37="on"),Skemaoplysninger!$I$31,"")</f>
        <v/>
      </c>
      <c r="CG37" s="210" t="str">
        <f>IF(AND(C37="Skema 1",B37="to"),Skemaoplysninger!$K$31,"")</f>
        <v/>
      </c>
      <c r="CH37" s="210" t="str">
        <f>IF(AND(C37="Skema 1",B37="fr"),Skemaoplysninger!$M$31,"")</f>
        <v/>
      </c>
      <c r="CI37" s="210" t="str">
        <f>IF(AND(C37="Skema 2",B37="ma"),Skemaoplysninger!$S$31,"")</f>
        <v/>
      </c>
      <c r="CJ37" s="210" t="str">
        <f>IF(AND(C37="Skema 2",B37="ti"),Skemaoplysninger!$U$31,"")</f>
        <v/>
      </c>
      <c r="CK37" s="210" t="str">
        <f>IF(AND(C37="Skema 2",B37="on"),Skemaoplysninger!$W$31,"")</f>
        <v/>
      </c>
      <c r="CL37" s="210" t="str">
        <f>IF(AND(C37="Skema 2",B37="to"),Skemaoplysninger!$Y$31,"")</f>
        <v/>
      </c>
      <c r="CM37" s="210" t="str">
        <f>IF(AND(C37="Skema 2",B37="fr"),Skemaoplysninger!$AA$31,"")</f>
        <v/>
      </c>
      <c r="CN37" s="210" t="str">
        <f>IF(AND(C37="Skema 3",B37="ma"),Skemaoplysninger!$AG$31,"")</f>
        <v/>
      </c>
      <c r="CO37" s="210" t="str">
        <f>IF(AND(C37="Skema 3",B37="ti"),Skemaoplysninger!$AI$31,"")</f>
        <v/>
      </c>
      <c r="CP37" s="210" t="str">
        <f>IF(AND(C37="Skema 3",B37="on"),Skemaoplysninger!$AK$31,"")</f>
        <v/>
      </c>
      <c r="CQ37" s="210" t="str">
        <f>IF(AND(C37="Skema 3",B37="to"),Skemaoplysninger!$AM$31,"")</f>
        <v/>
      </c>
      <c r="CR37" s="210" t="str">
        <f>IF(AND(C37="Skema 3",B37="fr"),Skemaoplysninger!$AO$31,"")</f>
        <v/>
      </c>
      <c r="CS37" s="210" t="str">
        <f>IF(AND(C37="Skema 4",B37="ma"),Skemaoplysninger!$AU$31,"")</f>
        <v/>
      </c>
      <c r="CT37" s="210" t="str">
        <f>IF(AND(C37="Skema 4",B37="ti"),Skemaoplysninger!$AW$31,"")</f>
        <v/>
      </c>
      <c r="CU37" s="210" t="str">
        <f>IF(AND(C37="Skema 4",B37="on"),Skemaoplysninger!$AY$31,"")</f>
        <v/>
      </c>
      <c r="CV37" s="210" t="str">
        <f>IF(AND(C37="Skema 4",B37="to"),Skemaoplysninger!$BA$31,"")</f>
        <v/>
      </c>
      <c r="CW37" s="210" t="str">
        <f>IF(AND(C37="Skema 4",B37="fr"),Skemaoplysninger!$BC$31,"")</f>
        <v/>
      </c>
      <c r="CX37" s="249">
        <f>IF(Stamoplysninger!$H$29="NEJ",SUM(CD37:CW37)*24+CB37+CC37,0)</f>
        <v>0</v>
      </c>
      <c r="CY37" s="249">
        <f>IF(C37="Skema 1",Stamoplysninger!$H$30/200,0)</f>
        <v>0</v>
      </c>
      <c r="CZ37" s="249">
        <f>IF(C37="Skema 2",Stamoplysninger!$H$30/200,0)</f>
        <v>0</v>
      </c>
      <c r="DA37" s="249">
        <f>IF(C37="Skema 3",Stamoplysninger!$H$30/200,0)</f>
        <v>0</v>
      </c>
      <c r="DB37" s="249">
        <f>IF(C37="Skema 4",Stamoplysninger!$H$30/200,0)</f>
        <v>0</v>
      </c>
      <c r="DC37" s="249">
        <f>IF(C37="fagdag",Stamoplysninger!$H$30/200,0)</f>
        <v>0</v>
      </c>
      <c r="DD37" s="249">
        <f>IF(C37="emnedag",Stamoplysninger!$H$30/200,0)</f>
        <v>0</v>
      </c>
      <c r="DE37" s="249">
        <f>IF(C37="lejrskole",Stamoplysninger!$H$30/200,0)</f>
        <v>0</v>
      </c>
      <c r="DF37" s="249">
        <f>IF(C37="ekskursion",Stamoplysninger!$H$30/200,0)</f>
        <v>0</v>
      </c>
      <c r="DG37" s="249">
        <f t="shared" si="26"/>
        <v>0</v>
      </c>
      <c r="DH37" t="str">
        <f t="shared" si="27"/>
        <v/>
      </c>
      <c r="DI37">
        <f t="shared" si="28"/>
        <v>0</v>
      </c>
      <c r="DJ37">
        <f t="shared" si="29"/>
        <v>0</v>
      </c>
      <c r="DK37" t="str">
        <f t="shared" si="13"/>
        <v/>
      </c>
      <c r="DL37" t="str">
        <f t="shared" si="13"/>
        <v/>
      </c>
      <c r="DM37" t="str">
        <f t="shared" si="13"/>
        <v/>
      </c>
      <c r="DN37" t="str">
        <f t="shared" si="30"/>
        <v/>
      </c>
      <c r="DO37" s="652">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71">
        <f>IF(AND(Stamoplysninger!$B$22="Ulempetillæg udbetales med 25% af nettotimelønnen.",C37="ikke relevant"),(R37)/4,0)</f>
        <v>0</v>
      </c>
      <c r="DT37" s="671">
        <f>IF(AND(AND(Stamoplysninger!$B$22="Ulempetillæg udbetales med 25% af nettotimelønnen.",I37="X",C37="Ikke relevant")),K37/4,0)</f>
        <v>0</v>
      </c>
      <c r="DU37" s="671">
        <f>IF(AND(AND(Stamoplysninger!$B$22="Ulempetillæg udbetales med 25% af nettotimelønnen.",C37="ikke relevant",U37="X")),(X37/4),0)</f>
        <v>0</v>
      </c>
      <c r="DV37" s="672">
        <f>IF(AND(AND(AND(Stamoplysninger!$B$22="Ulempetillæg udbetales med 25% af nettotimelønnen.",I37="X",C37="Ikke relevant",U37="X"))),X37/4,0)</f>
        <v>0</v>
      </c>
      <c r="DW37" s="652"/>
      <c r="DZ37" s="671"/>
      <c r="EA37" s="671"/>
      <c r="EB37" s="672"/>
      <c r="EC37" s="652">
        <f>IF(Stamoplysninger!$B$22="Ulempetillæg afspadseres med 25%(Kræver en aftale imellem ledelsen og den ansatte)",(R37+X37)/4,0)</f>
        <v>0</v>
      </c>
      <c r="ED37">
        <f>IF(AND(Stamoplysninger!$B$22="Ulempetillæg afspadseres med 25%(Kræver en aftale imellem ledelsen og den ansatte)",I37="X"),K37/4,0)</f>
        <v>0</v>
      </c>
      <c r="EE37">
        <f>IF(AND(Stamoplysninger!$B$22="Ulempetillæg afspadseres med 25%(Kræver en aftale imellem ledelsen og den ansatte)",I37="X"),V37/4,0)</f>
        <v>0</v>
      </c>
      <c r="EF37">
        <f>IF(AND(AND(Stamoplysninger!$B$22="Ulempetillæg udbetales med 25% af nettotimelønnen.",AG37="X",W37="X")),AJ37/4,0)</f>
        <v>0</v>
      </c>
      <c r="EG37" s="671">
        <f>IF(AND(Stamoplysninger!$B$22="Ulempetillæg afspadseres med 25%(Kræver en aftale imellem ledelsen og den ansatte)",C37="ikke relevant"),(R37+X37)/4,0)</f>
        <v>0</v>
      </c>
      <c r="EH37" s="671">
        <f>IF(AND(AND(Stamoplysninger!$B$22="Ulempetillæg afspadseres med 25%(Kræver en aftale imellem ledelsen og den ansatte)",I37="X",C37="Ikke relevant")),K37/4,0)</f>
        <v>0</v>
      </c>
      <c r="EI37" s="671">
        <f>IF(AND(AND(Stamoplysninger!$B$22="Ulempetillæg afspadseres med 25%(Kræver en aftale imellem ledelsen og den ansatte)",I37="X",C37="Ikke relevant")),V37/4,0)</f>
        <v>0</v>
      </c>
      <c r="EJ37" s="671">
        <f>IF(AND(AND(Stamoplysninger!$B$22="Ulempetillæg afspadseres med 25%(Kræver en aftale imellem ledelsen og den ansatte)",J37="X",D37="Ikke relevant")),W37/4,0)</f>
        <v>0</v>
      </c>
      <c r="EK37" s="283">
        <f>IF(AND(Stamoplysninger!$B$26="Weekendtimer og weekendtillæg afspadseres.",I37="X"),K37+V37,0)</f>
        <v>0</v>
      </c>
      <c r="EL37" s="251">
        <f>IF(AND(Stamoplysninger!$B$26="Weekendtimer og weekendtillæg afspadseres.",J37="X"),(L37+W37)/2,0)</f>
        <v>0</v>
      </c>
      <c r="EM37" s="674">
        <f>IF(AND(AND(Stamoplysninger!$B$26="Weekendtimer og weekendtillæg afspadseres.",I37="X",C37="ikke relevant")),K37+V37,0)</f>
        <v>0</v>
      </c>
      <c r="EN37" s="675">
        <f>IF(AND(AND(Stamoplysninger!$B$26="Weekendtimer og weekendtillæg afspadseres.",I37="X",C37="ikke relevant")),(K37+V37)/2,0)</f>
        <v>0</v>
      </c>
      <c r="EO37" s="283">
        <f>IF(AND(Stamoplysninger!$B$26="Weekendtimer og weekendtillæg udbetales.",I37="X"),K37+V37,0)</f>
        <v>0</v>
      </c>
      <c r="EP37" s="251">
        <f>IF(AND(Stamoplysninger!$B$26="Weekendtimer og weekendtillæg udbetales.",I37="X"),(K37+V37)/2,0)</f>
        <v>0</v>
      </c>
      <c r="EQ37" s="674">
        <f>IF(AND(AND(Stamoplysninger!$B$26="Weekendtimer og weekendtillæg udbetales.",I37="X",C37="ikke relevant")),K37+V37,0)</f>
        <v>0</v>
      </c>
      <c r="ER37" s="675">
        <f>IF(AND(AND(Stamoplysninger!$B$26="Weekendtimer og weekendtillæg udbetales.",I37="X",C37="ikke relevant")),(K37+V37)/2,0)</f>
        <v>0</v>
      </c>
      <c r="ES37" s="283">
        <f>IF(AND(Stamoplysninger!$B$26="Weekendtimer og weekendtillæg udbetales.",M37="X"),O37+Z37,0)</f>
        <v>0</v>
      </c>
      <c r="ET37" s="251">
        <f>IF(AND(Stamoplysninger!$B$26="Weekendtimer og weekendtillæg udbetales.",M37="X"),(O37+Z37)/2,0)</f>
        <v>0</v>
      </c>
      <c r="EU37" s="674">
        <f>IF(AND(AND(Stamoplysninger!$B$26="Weekendtimer og weekendtillæg udbetales.",M37="X",G37="ikke relevant")),O37+Z37,0)</f>
        <v>0</v>
      </c>
      <c r="EV37" s="675">
        <f>IF(AND(AND(Stamoplysninger!$B$26="Weekendtimer og weekendtillæg udbetales.",M37="X",G37="ikke relevant")),(O37+Z37)/2,0)</f>
        <v>0</v>
      </c>
      <c r="EW37" s="283">
        <f>IF(AND(Stamoplysninger!$B$26="Der er indgået lokalaftale omkring weekendtimer(Kræver aftale med TR/FSL). Weekendtillæg udbetales.",I37="X"),K37*0.5,0)</f>
        <v>0</v>
      </c>
      <c r="EX37" s="251">
        <f>IF(AND(AND(Stamoplysninger!$B$26="Der er indgået lokalaftale omkring weekendtimer(Kræver aftale med TR/FSL). Weekendtillæg udbetales.",I37="X",S37="X")),V37*0.5,0)</f>
        <v>0</v>
      </c>
      <c r="EY37" s="674">
        <f>IF(AND(AND(Stamoplysninger!$B$26="Der er indgået lokalaftale omkring weekendtimer(Kræver aftale med TR/FSL). Weekendtillæg udbetales.",I37="X",C37="ikke relevant")),K37*0.5,0)</f>
        <v>0</v>
      </c>
      <c r="EZ37" s="675">
        <f>IF(AND(AND(AND(Stamoplysninger!$B$26="Der er indgået lokalaftale omkring weekendtimer(Kræver aftale med TR/FSL). Weekendtillæg udbetales.",I37="X",C37="ikke relevant",S37="X"))),(V37*0.5),0)</f>
        <v>0</v>
      </c>
      <c r="FA37" s="283">
        <f>IF(AND(Stamoplysninger!$B$26="Der er indgået lokalaftale omkring weekendtimer(Kræver aftale med TR/FSL). Weekendtillæg udbetales.",M37="X"),O37*0.5,0)</f>
        <v>0</v>
      </c>
      <c r="FB37" s="251">
        <f>IF(AND(AND(Stamoplysninger!$B$26="Der er indgået lokalaftale omkring weekendtimer(Kræver aftale med TR/FSL). Weekendtillæg udbetales.",M37="X",W37="X")),Z37*0.5,0)</f>
        <v>0</v>
      </c>
      <c r="FC37" s="674">
        <f>IF(AND(AND(Stamoplysninger!$B$26="Der er indgået lokalaftale omkring weekendtimer(Kræver aftale med TR/FSL). Weekendtillæg udbetales.",M37="X",G37="ikke relevant")),O37*0.5,0)</f>
        <v>0</v>
      </c>
      <c r="FD37" s="675">
        <f>IF(AND(AND(AND(Stamoplysninger!$B$26="Der er indgået lokalaftale omkring weekendtimer(Kræver aftale med TR/FSL). Weekendtillæg udbetales.",M37="X",G37="ikke relevant",W37="X"))),(Z37*0.5),0)</f>
        <v>0</v>
      </c>
      <c r="FE37" s="283">
        <f>IF(AND(Stamoplysninger!$B$26="Der er indgået lokalaftale omkring weekendtimer(Kræver aftale med TR/FSL). Weekendtillæg udbetales.",Q37="X"),S37*0.5,0)</f>
        <v>0</v>
      </c>
      <c r="FF37" s="251">
        <f>IF(AND(AND(Stamoplysninger!$B$26="Der er indgået lokalaftale omkring weekendtimer(Kræver aftale med TR/FSL). Weekendtillæg udbetales.",Q37="X",AA37="X")),AD37*0.5,0)</f>
        <v>0</v>
      </c>
      <c r="FG37" s="674">
        <f>IF(AND(AND(Stamoplysninger!$B$26="Der er indgået lokalaftale omkring weekendtimer(Kræver aftale med TR/FSL). Weekendtillæg udbetales.",Q37="X",K37="ikke relevant")),S37*0.5,0)</f>
        <v>0</v>
      </c>
      <c r="FH37" s="675">
        <f>IF(AND(AND(AND(Stamoplysninger!$B$26="Der er indgået lokalaftale omkring weekendtimer(Kræver aftale med TR/FSL). Weekendtillæg udbetales.",Q37="X",K37="ikke relevant",AA37="X"))),(AD37*0.5),0)</f>
        <v>0</v>
      </c>
      <c r="FI37" s="283">
        <f>IF(AND(Stamoplysninger!$B$26="Weekendtimer og weekendtillæg afspadseres.",I37="X"),K37,0)</f>
        <v>0</v>
      </c>
      <c r="FJ37" s="251">
        <f>IF(AND(Stamoplysninger!$B$26="Weekendtimer og weekendtillæg afspadseres.",Y37="X"),(AA37+AL37)/2,0)</f>
        <v>0</v>
      </c>
      <c r="FK37" s="674">
        <f>IF(AND(AND(Stamoplysninger!$B$26="Weekendtimer og weekendtillæg afspadseres.",I37="X",C37="ikke relevant")),K37,0)</f>
        <v>0</v>
      </c>
      <c r="FL37" s="675">
        <f>IF(AND(AND(Stamoplysninger!$B$26="Weekendtimer og weekendtillæg afspadseres.",Y37="X",S37="ikke relevant")),(AA37+AL37)/2,0)</f>
        <v>0</v>
      </c>
      <c r="FM37" s="283">
        <f>IF(AND(Stamoplysninger!$B$26="Der er indgået lokalaftale omkring weekendtillæg(Kræver aftale med TR/FSL). Weekendtimerne afspadseres.",I37="X"),K37,0)</f>
        <v>0</v>
      </c>
      <c r="FN37" s="674">
        <f>IF(AND(AND(Stamoplysninger!$B$26="Der er indgået lokalaftale omkring weekendtillæg(Kræver aftale med TR/FSL). Weekendtimerne afspadseres.",I37="X",C37="ikke relevant")),K37,0)</f>
        <v>0</v>
      </c>
      <c r="FO37" s="283">
        <f>IF(AND(Stamoplysninger!$B$26="Weekendtimer og weekendtillæg udbetales.",I37="X"),K37,0)</f>
        <v>0</v>
      </c>
      <c r="FP37" s="251">
        <f>IF(AND(Stamoplysninger!$B$26="Weekendtimer og weekendtillæg udbetales.",AA37="X"),(AC37+AN37)/2,0)</f>
        <v>0</v>
      </c>
      <c r="FQ37" s="674">
        <f>IF(AND(AND(Stamoplysninger!$B$26="Weekendtimer og weekendtillæg udbetales.",I37="X",C37="ikke relevant")),K37,0)</f>
        <v>0</v>
      </c>
      <c r="FR37" s="688">
        <f>IF(AND(AND(Stamoplysninger!$B$26="Weekendtimer og weekendtillæg udbetales.",AA37="X",U37="ikke relevant")),(AC37+AN37)/2,0)</f>
        <v>0</v>
      </c>
      <c r="FS37" s="283">
        <f t="shared" si="14"/>
        <v>0</v>
      </c>
      <c r="FT37" s="658">
        <f t="shared" si="15"/>
        <v>0</v>
      </c>
      <c r="FU37">
        <f t="shared" si="31"/>
        <v>0</v>
      </c>
      <c r="FV37" s="283">
        <f>IF(AND(Stamoplysninger!$B$26="Der er indgået lokalaftale omkring weekendtimer.(Kræver aftale med TR/FSL) Weekendtillæg afspadseres.",I37="X"),K37,0)</f>
        <v>0</v>
      </c>
      <c r="FW37" s="674">
        <f>IF(AND(AND(Stamoplysninger!$B$26="Der er indgået lokalaftale omkring weekendtimer.(Kræver aftale med TR/FSL) Weekendtillæg afspadseres.",I37="X",C37="ikke relevant")),K37,0)</f>
        <v>0</v>
      </c>
      <c r="FX37" s="283">
        <f>IF(AND(Stamoplysninger!$B$26="Der er indgået lokalaftale omkring weekendtimer(Kræver aftale med TR/FSL). Weekendtillæg udbetales.",I37="X"),K37,0)</f>
        <v>0</v>
      </c>
      <c r="FY37" s="674">
        <f>IF(AND(AND(Stamoplysninger!$B$26="Der er indgået lokalaftale omkring weekendtimer(Kræver aftale med TR/FSL). Weekendtillæg udbetales.",I37="X",C37="ikke relevant")),K37,0)</f>
        <v>0</v>
      </c>
      <c r="FZ37" s="283">
        <f>IF(AND(Stamoplysninger!$B$26="Der er indgået lokalaftale omkring weekendtillæg(Kræver aftale med TR/FSL). Weekendtimerne udbetales.",I37="X"),K37,0)</f>
        <v>0</v>
      </c>
      <c r="GA37" s="674">
        <f>IF(AND(AND(Stamoplysninger!$B$26="Der er indgået lokalaftale omkring weekendtillæg(Kræver aftale med TR/FSL). Weekendtimerne udbetales.",I37="X",C37="ikke relevant")),K37,0)</f>
        <v>0</v>
      </c>
      <c r="GB37" s="283">
        <f>IF(AND(Stamoplysninger!$B$26="Der er indgået lokalaftale omkring weekendtimer og weekendtillæg.(Kræver aftale med TR/FSL).",I37="X"),K37,0)</f>
        <v>0</v>
      </c>
      <c r="GC37" s="674">
        <f>IF(AND(AND(Stamoplysninger!$B$26="Der er indgået lokalaftale omkring weekendtimer og weekendtillæg.(Kræver aftale med TR/FSL).",I37="X",C37="ikke relevant")),K37,0)</f>
        <v>0</v>
      </c>
    </row>
    <row r="38" spans="1:185">
      <c r="A38" s="245">
        <f t="shared" si="17"/>
        <v>30</v>
      </c>
      <c r="B38" s="128" t="str">
        <f t="shared" si="0"/>
        <v>ma</v>
      </c>
      <c r="C38" s="129" t="s">
        <v>139</v>
      </c>
      <c r="D38" s="130">
        <f t="shared" si="1"/>
        <v>26.714285714285715</v>
      </c>
      <c r="E38" s="917"/>
      <c r="F38" s="918"/>
      <c r="G38" s="919"/>
      <c r="H38" s="298"/>
      <c r="I38" s="527"/>
      <c r="J38" s="413"/>
      <c r="K38" s="380">
        <v>6</v>
      </c>
      <c r="L38" s="380"/>
      <c r="M38" s="380"/>
      <c r="N38" s="318">
        <f t="shared" si="18"/>
        <v>6</v>
      </c>
      <c r="O38" s="318">
        <f t="shared" si="19"/>
        <v>0</v>
      </c>
      <c r="P38" s="318">
        <f>IF(Stamoplysninger!$H$29="JA",Juni!DG38,CX38)</f>
        <v>0</v>
      </c>
      <c r="Q38" s="318">
        <f t="shared" si="20"/>
        <v>6</v>
      </c>
      <c r="R38" s="319"/>
      <c r="S38" s="324"/>
      <c r="T38" s="325"/>
      <c r="U38" s="325"/>
      <c r="V38" s="435"/>
      <c r="W38" s="435"/>
      <c r="X38" s="644"/>
      <c r="Y38">
        <f t="shared" si="21"/>
        <v>0</v>
      </c>
      <c r="Z38" s="437">
        <f t="shared" si="22"/>
        <v>0</v>
      </c>
      <c r="AA38" s="1">
        <f t="shared" si="2"/>
        <v>0</v>
      </c>
      <c r="AB38" s="1">
        <f t="shared" si="3"/>
        <v>0</v>
      </c>
      <c r="AC38" s="1">
        <f t="shared" si="4"/>
        <v>6</v>
      </c>
      <c r="AD38" s="1">
        <f t="shared" si="5"/>
        <v>0</v>
      </c>
      <c r="AE38" s="1">
        <f t="shared" si="6"/>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6</v>
      </c>
      <c r="BB38" s="229">
        <f t="shared" si="7"/>
        <v>0</v>
      </c>
      <c r="BC38" s="1">
        <f t="shared" si="24"/>
        <v>0</v>
      </c>
      <c r="BD38" s="1">
        <f t="shared" si="8"/>
        <v>0</v>
      </c>
      <c r="BE38" s="1">
        <f t="shared" si="9"/>
        <v>0</v>
      </c>
      <c r="BF38" s="1">
        <f t="shared" si="10"/>
        <v>0</v>
      </c>
      <c r="BG38" s="210" t="str">
        <f>IF(AND(C38="Skema 1",B38="ma"),Skemaoplysninger!$E$30,"")</f>
        <v/>
      </c>
      <c r="BH38" s="210" t="str">
        <f>IF(AND(C38="Skema 1",B38="ti"),Skemaoplysninger!$G$30,"")</f>
        <v/>
      </c>
      <c r="BI38" s="210" t="str">
        <f>IF(AND(C38="Skema 1",B38="on"),Skemaoplysninger!$I$30,"")</f>
        <v/>
      </c>
      <c r="BJ38" s="210" t="str">
        <f>IF(AND(C38="Skema 1",B38="to"),Skemaoplysninger!$K$30,"")</f>
        <v/>
      </c>
      <c r="BK38" s="210" t="str">
        <f>IF(AND(C38="Skema 1",B38="fr"),Skemaoplysninger!$M$30,"")</f>
        <v/>
      </c>
      <c r="BL38" s="210" t="str">
        <f>IF(AND(C38="Skema 2",B38="ma"),Skemaoplysninger!$S$30,"")</f>
        <v/>
      </c>
      <c r="BM38" s="210" t="str">
        <f>IF(AND(C38="Skema 2",B38="ti"),Skemaoplysninger!$U$30,"")</f>
        <v/>
      </c>
      <c r="BN38" s="210" t="str">
        <f>IF(AND(C38="Skema 2",B38="on"),Skemaoplysninger!$W$30,"")</f>
        <v/>
      </c>
      <c r="BO38" s="210" t="str">
        <f>IF(AND(C38="Skema 2",B38="to"),Skemaoplysninger!$Y$30,"")</f>
        <v/>
      </c>
      <c r="BP38" s="210" t="str">
        <f>IF(AND(C38="Skema 2",B38="fr"),Skemaoplysninger!$AA$30,"")</f>
        <v/>
      </c>
      <c r="BQ38" s="210" t="str">
        <f>IF(AND(C38="Skema 3",B38="ma"),Skemaoplysninger!$AG$30,"")</f>
        <v/>
      </c>
      <c r="BR38" s="210" t="str">
        <f>IF(AND(C38="Skema 3",B38="ti"),Skemaoplysninger!$AI$30,"")</f>
        <v/>
      </c>
      <c r="BS38" s="210" t="str">
        <f>IF(AND(C38="Skema 3",B38="on"),Skemaoplysninger!$AK$30,"")</f>
        <v/>
      </c>
      <c r="BT38" s="210" t="str">
        <f>IF(AND(C38="Skema 3",B38="to"),Skemaoplysninger!$AM$30,"")</f>
        <v/>
      </c>
      <c r="BU38" s="210" t="str">
        <f>IF(AND(C38="Skema 3",B38="fr"),Skemaoplysninger!$AO$30,"")</f>
        <v/>
      </c>
      <c r="BV38" s="210" t="str">
        <f>IF(AND(C38="Skema 4",B38="ma"),Skemaoplysninger!$AU$30,"")</f>
        <v/>
      </c>
      <c r="BW38" s="210" t="str">
        <f>IF(AND(C38="Skema 4",B38="ti"),Skemaoplysninger!$AW$30,"")</f>
        <v/>
      </c>
      <c r="BX38" s="210" t="str">
        <f>IF(AND(C38="Skema 4",B38="on"),Skemaoplysninger!$AY$30,"")</f>
        <v/>
      </c>
      <c r="BY38" s="210" t="str">
        <f>IF(AND(C38="Skema 4",B38="to"),Skemaoplysninger!$BA$30,"")</f>
        <v/>
      </c>
      <c r="BZ38" s="210" t="str">
        <f>IF(AND(C38="Skema 4",B38="fr"),Skemaoplysninger!$BC$30,"")</f>
        <v/>
      </c>
      <c r="CA38" s="1">
        <f t="shared" si="25"/>
        <v>0</v>
      </c>
      <c r="CB38" s="1">
        <f t="shared" si="11"/>
        <v>0</v>
      </c>
      <c r="CC38" s="1">
        <f t="shared" si="12"/>
        <v>0</v>
      </c>
      <c r="CD38" s="210" t="str">
        <f>IF(AND(C38="Skema 1",B38="ma"),Skemaoplysninger!$E$31,"")</f>
        <v/>
      </c>
      <c r="CE38" s="210" t="str">
        <f>IF(AND(C38="Skema 1",B38="ti"),Skemaoplysninger!$G$31,"")</f>
        <v/>
      </c>
      <c r="CF38" s="210" t="str">
        <f>IF(AND(C38="Skema 1",B38="on"),Skemaoplysninger!$I$31,"")</f>
        <v/>
      </c>
      <c r="CG38" s="210" t="str">
        <f>IF(AND(C38="Skema 1",B38="to"),Skemaoplysninger!$K$31,"")</f>
        <v/>
      </c>
      <c r="CH38" s="210" t="str">
        <f>IF(AND(C38="Skema 1",B38="fr"),Skemaoplysninger!$M$31,"")</f>
        <v/>
      </c>
      <c r="CI38" s="210" t="str">
        <f>IF(AND(C38="Skema 2",B38="ma"),Skemaoplysninger!$S$31,"")</f>
        <v/>
      </c>
      <c r="CJ38" s="210" t="str">
        <f>IF(AND(C38="Skema 2",B38="ti"),Skemaoplysninger!$U$31,"")</f>
        <v/>
      </c>
      <c r="CK38" s="210" t="str">
        <f>IF(AND(C38="Skema 2",B38="on"),Skemaoplysninger!$W$31,"")</f>
        <v/>
      </c>
      <c r="CL38" s="210" t="str">
        <f>IF(AND(C38="Skema 2",B38="to"),Skemaoplysninger!$Y$31,"")</f>
        <v/>
      </c>
      <c r="CM38" s="210" t="str">
        <f>IF(AND(C38="Skema 2",B38="fr"),Skemaoplysninger!$AA$31,"")</f>
        <v/>
      </c>
      <c r="CN38" s="210" t="str">
        <f>IF(AND(C38="Skema 3",B38="ma"),Skemaoplysninger!$AG$31,"")</f>
        <v/>
      </c>
      <c r="CO38" s="210" t="str">
        <f>IF(AND(C38="Skema 3",B38="ti"),Skemaoplysninger!$AI$31,"")</f>
        <v/>
      </c>
      <c r="CP38" s="210" t="str">
        <f>IF(AND(C38="Skema 3",B38="on"),Skemaoplysninger!$AK$31,"")</f>
        <v/>
      </c>
      <c r="CQ38" s="210" t="str">
        <f>IF(AND(C38="Skema 3",B38="to"),Skemaoplysninger!$AM$31,"")</f>
        <v/>
      </c>
      <c r="CR38" s="210" t="str">
        <f>IF(AND(C38="Skema 3",B38="fr"),Skemaoplysninger!$AO$31,"")</f>
        <v/>
      </c>
      <c r="CS38" s="210" t="str">
        <f>IF(AND(C38="Skema 4",B38="ma"),Skemaoplysninger!$AU$31,"")</f>
        <v/>
      </c>
      <c r="CT38" s="210" t="str">
        <f>IF(AND(C38="Skema 4",B38="ti"),Skemaoplysninger!$AW$31,"")</f>
        <v/>
      </c>
      <c r="CU38" s="210" t="str">
        <f>IF(AND(C38="Skema 4",B38="on"),Skemaoplysninger!$AY$31,"")</f>
        <v/>
      </c>
      <c r="CV38" s="210" t="str">
        <f>IF(AND(C38="Skema 4",B38="to"),Skemaoplysninger!$BA$31,"")</f>
        <v/>
      </c>
      <c r="CW38" s="210" t="str">
        <f>IF(AND(C38="Skema 4",B38="fr"),Skemaoplysninger!$BC$31,"")</f>
        <v/>
      </c>
      <c r="CX38" s="249">
        <f>IF(Stamoplysninger!$H$29="NEJ",SUM(CD38:CW38)*24+CB38+CC38,0)</f>
        <v>0</v>
      </c>
      <c r="CY38" s="249">
        <f>IF(C38="Skema 1",Stamoplysninger!$H$30/200,0)</f>
        <v>0</v>
      </c>
      <c r="CZ38" s="249">
        <f>IF(C38="Skema 2",Stamoplysninger!$H$30/200,0)</f>
        <v>0</v>
      </c>
      <c r="DA38" s="249">
        <f>IF(C38="Skema 3",Stamoplysninger!$H$30/200,0)</f>
        <v>0</v>
      </c>
      <c r="DB38" s="249">
        <f>IF(C38="Skema 4",Stamoplysninger!$H$30/200,0)</f>
        <v>0</v>
      </c>
      <c r="DC38" s="249">
        <f>IF(C38="fagdag",Stamoplysninger!$H$30/200,0)</f>
        <v>0</v>
      </c>
      <c r="DD38" s="249">
        <f>IF(C38="emnedag",Stamoplysninger!$H$30/200,0)</f>
        <v>0</v>
      </c>
      <c r="DE38" s="249">
        <f>IF(C38="lejrskole",Stamoplysninger!$H$30/200,0)</f>
        <v>0</v>
      </c>
      <c r="DF38" s="249">
        <f>IF(C38="ekskursion",Stamoplysninger!$H$30/200,0)</f>
        <v>0</v>
      </c>
      <c r="DG38" s="249">
        <f t="shared" si="26"/>
        <v>0</v>
      </c>
      <c r="DH38" t="str">
        <f t="shared" si="27"/>
        <v/>
      </c>
      <c r="DI38">
        <f t="shared" si="28"/>
        <v>0</v>
      </c>
      <c r="DJ38">
        <f t="shared" si="29"/>
        <v>0</v>
      </c>
      <c r="DK38" t="str">
        <f t="shared" si="13"/>
        <v/>
      </c>
      <c r="DL38" t="str">
        <f t="shared" si="13"/>
        <v/>
      </c>
      <c r="DM38" t="str">
        <f t="shared" si="13"/>
        <v/>
      </c>
      <c r="DN38" t="str">
        <f t="shared" si="30"/>
        <v/>
      </c>
      <c r="DO38" s="652">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71">
        <f>IF(AND(Stamoplysninger!$B$22="Ulempetillæg udbetales med 25% af nettotimelønnen.",C38="ikke relevant"),(R38)/4,0)</f>
        <v>0</v>
      </c>
      <c r="DT38" s="671">
        <f>IF(AND(AND(Stamoplysninger!$B$22="Ulempetillæg udbetales med 25% af nettotimelønnen.",I38="X",C38="Ikke relevant")),K38/4,0)</f>
        <v>0</v>
      </c>
      <c r="DU38" s="671">
        <f>IF(AND(AND(Stamoplysninger!$B$22="Ulempetillæg udbetales med 25% af nettotimelønnen.",C38="ikke relevant",U38="X")),(X38/4),0)</f>
        <v>0</v>
      </c>
      <c r="DV38" s="672">
        <f>IF(AND(AND(AND(Stamoplysninger!$B$22="Ulempetillæg udbetales med 25% af nettotimelønnen.",I38="X",C38="Ikke relevant",U38="X"))),X38/4,0)</f>
        <v>0</v>
      </c>
      <c r="DW38" s="652"/>
      <c r="DZ38" s="671"/>
      <c r="EA38" s="671"/>
      <c r="EB38" s="672"/>
      <c r="EC38" s="652">
        <f>IF(Stamoplysninger!$B$22="Ulempetillæg afspadseres med 25%(Kræver en aftale imellem ledelsen og den ansatte)",(R38+X38)/4,0)</f>
        <v>0</v>
      </c>
      <c r="ED38">
        <f>IF(AND(Stamoplysninger!$B$22="Ulempetillæg afspadseres med 25%(Kræver en aftale imellem ledelsen og den ansatte)",I38="X"),K38/4,0)</f>
        <v>0</v>
      </c>
      <c r="EE38">
        <f>IF(AND(Stamoplysninger!$B$22="Ulempetillæg afspadseres med 25%(Kræver en aftale imellem ledelsen og den ansatte)",I38="X"),V38/4,0)</f>
        <v>0</v>
      </c>
      <c r="EF38">
        <f>IF(AND(AND(Stamoplysninger!$B$22="Ulempetillæg udbetales med 25% af nettotimelønnen.",AG38="X",W38="X")),AJ38/4,0)</f>
        <v>0</v>
      </c>
      <c r="EG38" s="671">
        <f>IF(AND(Stamoplysninger!$B$22="Ulempetillæg afspadseres med 25%(Kræver en aftale imellem ledelsen og den ansatte)",C38="ikke relevant"),(R38+X38)/4,0)</f>
        <v>0</v>
      </c>
      <c r="EH38" s="671">
        <f>IF(AND(AND(Stamoplysninger!$B$22="Ulempetillæg afspadseres med 25%(Kræver en aftale imellem ledelsen og den ansatte)",I38="X",C38="Ikke relevant")),K38/4,0)</f>
        <v>0</v>
      </c>
      <c r="EI38" s="671">
        <f>IF(AND(AND(Stamoplysninger!$B$22="Ulempetillæg afspadseres med 25%(Kræver en aftale imellem ledelsen og den ansatte)",I38="X",C38="Ikke relevant")),V38/4,0)</f>
        <v>0</v>
      </c>
      <c r="EJ38" s="671">
        <f>IF(AND(AND(Stamoplysninger!$B$22="Ulempetillæg afspadseres med 25%(Kræver en aftale imellem ledelsen og den ansatte)",J38="X",D38="Ikke relevant")),W38/4,0)</f>
        <v>0</v>
      </c>
      <c r="EK38" s="283">
        <f>IF(AND(Stamoplysninger!$B$26="Weekendtimer og weekendtillæg afspadseres.",I38="X"),K38+V38,0)</f>
        <v>0</v>
      </c>
      <c r="EL38" s="251">
        <f>IF(AND(Stamoplysninger!$B$26="Weekendtimer og weekendtillæg afspadseres.",J38="X"),(L38+W38)/2,0)</f>
        <v>0</v>
      </c>
      <c r="EM38" s="674">
        <f>IF(AND(AND(Stamoplysninger!$B$26="Weekendtimer og weekendtillæg afspadseres.",I38="X",C38="ikke relevant")),K38+V38,0)</f>
        <v>0</v>
      </c>
      <c r="EN38" s="675">
        <f>IF(AND(AND(Stamoplysninger!$B$26="Weekendtimer og weekendtillæg afspadseres.",I38="X",C38="ikke relevant")),(K38+V38)/2,0)</f>
        <v>0</v>
      </c>
      <c r="EO38" s="283">
        <f>IF(AND(Stamoplysninger!$B$26="Weekendtimer og weekendtillæg udbetales.",I38="X"),K38+V38,0)</f>
        <v>0</v>
      </c>
      <c r="EP38" s="251">
        <f>IF(AND(Stamoplysninger!$B$26="Weekendtimer og weekendtillæg udbetales.",I38="X"),(K38+V38)/2,0)</f>
        <v>0</v>
      </c>
      <c r="EQ38" s="674">
        <f>IF(AND(AND(Stamoplysninger!$B$26="Weekendtimer og weekendtillæg udbetales.",I38="X",C38="ikke relevant")),K38+V38,0)</f>
        <v>0</v>
      </c>
      <c r="ER38" s="675">
        <f>IF(AND(AND(Stamoplysninger!$B$26="Weekendtimer og weekendtillæg udbetales.",I38="X",C38="ikke relevant")),(K38+V38)/2,0)</f>
        <v>0</v>
      </c>
      <c r="ES38" s="283">
        <f>IF(AND(Stamoplysninger!$B$26="Weekendtimer og weekendtillæg udbetales.",M38="X"),O38+Z38,0)</f>
        <v>0</v>
      </c>
      <c r="ET38" s="251">
        <f>IF(AND(Stamoplysninger!$B$26="Weekendtimer og weekendtillæg udbetales.",M38="X"),(O38+Z38)/2,0)</f>
        <v>0</v>
      </c>
      <c r="EU38" s="674">
        <f>IF(AND(AND(Stamoplysninger!$B$26="Weekendtimer og weekendtillæg udbetales.",M38="X",G38="ikke relevant")),O38+Z38,0)</f>
        <v>0</v>
      </c>
      <c r="EV38" s="675">
        <f>IF(AND(AND(Stamoplysninger!$B$26="Weekendtimer og weekendtillæg udbetales.",M38="X",G38="ikke relevant")),(O38+Z38)/2,0)</f>
        <v>0</v>
      </c>
      <c r="EW38" s="283">
        <f>IF(AND(Stamoplysninger!$B$26="Der er indgået lokalaftale omkring weekendtimer(Kræver aftale med TR/FSL). Weekendtillæg udbetales.",I38="X"),K38*0.5,0)</f>
        <v>0</v>
      </c>
      <c r="EX38" s="251">
        <f>IF(AND(AND(Stamoplysninger!$B$26="Der er indgået lokalaftale omkring weekendtimer(Kræver aftale med TR/FSL). Weekendtillæg udbetales.",I38="X",S38="X")),V38*0.5,0)</f>
        <v>0</v>
      </c>
      <c r="EY38" s="674">
        <f>IF(AND(AND(Stamoplysninger!$B$26="Der er indgået lokalaftale omkring weekendtimer(Kræver aftale med TR/FSL). Weekendtillæg udbetales.",I38="X",C38="ikke relevant")),K38*0.5,0)</f>
        <v>0</v>
      </c>
      <c r="EZ38" s="675">
        <f>IF(AND(AND(AND(Stamoplysninger!$B$26="Der er indgået lokalaftale omkring weekendtimer(Kræver aftale med TR/FSL). Weekendtillæg udbetales.",I38="X",C38="ikke relevant",S38="X"))),(V38*0.5),0)</f>
        <v>0</v>
      </c>
      <c r="FA38" s="283">
        <f>IF(AND(Stamoplysninger!$B$26="Der er indgået lokalaftale omkring weekendtimer(Kræver aftale med TR/FSL). Weekendtillæg udbetales.",M38="X"),O38*0.5,0)</f>
        <v>0</v>
      </c>
      <c r="FB38" s="251">
        <f>IF(AND(AND(Stamoplysninger!$B$26="Der er indgået lokalaftale omkring weekendtimer(Kræver aftale med TR/FSL). Weekendtillæg udbetales.",M38="X",W38="X")),Z38*0.5,0)</f>
        <v>0</v>
      </c>
      <c r="FC38" s="674">
        <f>IF(AND(AND(Stamoplysninger!$B$26="Der er indgået lokalaftale omkring weekendtimer(Kræver aftale med TR/FSL). Weekendtillæg udbetales.",M38="X",G38="ikke relevant")),O38*0.5,0)</f>
        <v>0</v>
      </c>
      <c r="FD38" s="675">
        <f>IF(AND(AND(AND(Stamoplysninger!$B$26="Der er indgået lokalaftale omkring weekendtimer(Kræver aftale med TR/FSL). Weekendtillæg udbetales.",M38="X",G38="ikke relevant",W38="X"))),(Z38*0.5),0)</f>
        <v>0</v>
      </c>
      <c r="FE38" s="283">
        <f>IF(AND(Stamoplysninger!$B$26="Der er indgået lokalaftale omkring weekendtimer(Kræver aftale med TR/FSL). Weekendtillæg udbetales.",Q38="X"),S38*0.5,0)</f>
        <v>0</v>
      </c>
      <c r="FF38" s="251">
        <f>IF(AND(AND(Stamoplysninger!$B$26="Der er indgået lokalaftale omkring weekendtimer(Kræver aftale med TR/FSL). Weekendtillæg udbetales.",Q38="X",AA38="X")),AD38*0.5,0)</f>
        <v>0</v>
      </c>
      <c r="FG38" s="674">
        <f>IF(AND(AND(Stamoplysninger!$B$26="Der er indgået lokalaftale omkring weekendtimer(Kræver aftale med TR/FSL). Weekendtillæg udbetales.",Q38="X",K38="ikke relevant")),S38*0.5,0)</f>
        <v>0</v>
      </c>
      <c r="FH38" s="675">
        <f>IF(AND(AND(AND(Stamoplysninger!$B$26="Der er indgået lokalaftale omkring weekendtimer(Kræver aftale med TR/FSL). Weekendtillæg udbetales.",Q38="X",K38="ikke relevant",AA38="X"))),(AD38*0.5),0)</f>
        <v>0</v>
      </c>
      <c r="FI38" s="283">
        <f>IF(AND(Stamoplysninger!$B$26="Weekendtimer og weekendtillæg afspadseres.",I38="X"),K38,0)</f>
        <v>0</v>
      </c>
      <c r="FJ38" s="251">
        <f>IF(AND(Stamoplysninger!$B$26="Weekendtimer og weekendtillæg afspadseres.",Y38="X"),(AA38+AL38)/2,0)</f>
        <v>0</v>
      </c>
      <c r="FK38" s="674">
        <f>IF(AND(AND(Stamoplysninger!$B$26="Weekendtimer og weekendtillæg afspadseres.",I38="X",C38="ikke relevant")),K38,0)</f>
        <v>0</v>
      </c>
      <c r="FL38" s="675">
        <f>IF(AND(AND(Stamoplysninger!$B$26="Weekendtimer og weekendtillæg afspadseres.",Y38="X",S38="ikke relevant")),(AA38+AL38)/2,0)</f>
        <v>0</v>
      </c>
      <c r="FM38" s="283">
        <f>IF(AND(Stamoplysninger!$B$26="Der er indgået lokalaftale omkring weekendtillæg(Kræver aftale med TR/FSL). Weekendtimerne afspadseres.",I38="X"),K38,0)</f>
        <v>0</v>
      </c>
      <c r="FN38" s="674">
        <f>IF(AND(AND(Stamoplysninger!$B$26="Der er indgået lokalaftale omkring weekendtillæg(Kræver aftale med TR/FSL). Weekendtimerne afspadseres.",I38="X",C38="ikke relevant")),K38,0)</f>
        <v>0</v>
      </c>
      <c r="FO38" s="283">
        <f>IF(AND(Stamoplysninger!$B$26="Weekendtimer og weekendtillæg udbetales.",I38="X"),K38,0)</f>
        <v>0</v>
      </c>
      <c r="FP38" s="251">
        <f>IF(AND(Stamoplysninger!$B$26="Weekendtimer og weekendtillæg udbetales.",AA38="X"),(AC38+AN38)/2,0)</f>
        <v>0</v>
      </c>
      <c r="FQ38" s="674">
        <f>IF(AND(AND(Stamoplysninger!$B$26="Weekendtimer og weekendtillæg udbetales.",I38="X",C38="ikke relevant")),K38,0)</f>
        <v>0</v>
      </c>
      <c r="FR38" s="688">
        <f>IF(AND(AND(Stamoplysninger!$B$26="Weekendtimer og weekendtillæg udbetales.",AA38="X",U38="ikke relevant")),(AC38+AN38)/2,0)</f>
        <v>0</v>
      </c>
      <c r="FS38" s="283">
        <f>IF(AND(I38="X",S38="X"),V38,0)</f>
        <v>0</v>
      </c>
      <c r="FT38" s="658">
        <f>IF(AND(AND(C38="ikke relevant",I38="X",S38="X")),V38,0)</f>
        <v>0</v>
      </c>
      <c r="FU38">
        <f t="shared" si="31"/>
        <v>0</v>
      </c>
      <c r="FV38" s="283">
        <f>IF(AND(Stamoplysninger!$B$26="Der er indgået lokalaftale omkring weekendtimer.(Kræver aftale med TR/FSL) Weekendtillæg afspadseres.",I38="X"),K38,0)</f>
        <v>0</v>
      </c>
      <c r="FW38" s="674">
        <f>IF(AND(AND(Stamoplysninger!$B$26="Der er indgået lokalaftale omkring weekendtimer.(Kræver aftale med TR/FSL) Weekendtillæg afspadseres.",I38="X",C38="ikke relevant")),K38,0)</f>
        <v>0</v>
      </c>
      <c r="FX38" s="283">
        <f>IF(AND(Stamoplysninger!$B$26="Der er indgået lokalaftale omkring weekendtimer(Kræver aftale med TR/FSL). Weekendtillæg udbetales.",I38="X"),K38,0)</f>
        <v>0</v>
      </c>
      <c r="FY38" s="674">
        <f>IF(AND(AND(Stamoplysninger!$B$26="Der er indgået lokalaftale omkring weekendtimer(Kræver aftale med TR/FSL). Weekendtillæg udbetales.",I38="X",C38="ikke relevant")),K38,0)</f>
        <v>0</v>
      </c>
      <c r="FZ38" s="283">
        <f>IF(AND(Stamoplysninger!$B$26="Der er indgået lokalaftale omkring weekendtillæg(Kræver aftale med TR/FSL). Weekendtimerne udbetales.",I38="X"),K38,0)</f>
        <v>0</v>
      </c>
      <c r="GA38" s="674">
        <f>IF(AND(AND(Stamoplysninger!$B$26="Der er indgået lokalaftale omkring weekendtillæg(Kræver aftale med TR/FSL). Weekendtimerne udbetales.",I38="X",C38="ikke relevant")),K38,0)</f>
        <v>0</v>
      </c>
      <c r="GB38" s="283">
        <f>IF(AND(Stamoplysninger!$B$26="Der er indgået lokalaftale omkring weekendtimer og weekendtillæg.(Kræver aftale med TR/FSL).",I38="X"),K38,0)</f>
        <v>0</v>
      </c>
      <c r="GC38" s="674">
        <f>IF(AND(AND(Stamoplysninger!$B$26="Der er indgået lokalaftale omkring weekendtimer og weekendtillæg.(Kræver aftale med TR/FSL).",I38="X",C38="ikke relevant")),K38,0)</f>
        <v>0</v>
      </c>
    </row>
    <row r="39" spans="1:185" ht="17" thickBot="1">
      <c r="A39" s="972" t="s">
        <v>260</v>
      </c>
      <c r="B39" s="973"/>
      <c r="C39" s="973"/>
      <c r="D39" s="973"/>
      <c r="E39" s="973"/>
      <c r="F39" s="973"/>
      <c r="G39" s="973"/>
      <c r="H39" s="973"/>
      <c r="I39" s="974"/>
      <c r="J39" s="313"/>
      <c r="K39" s="321"/>
      <c r="L39" s="321"/>
      <c r="M39" s="321"/>
      <c r="N39" s="322">
        <f>SUM(N9:N38)</f>
        <v>143.5</v>
      </c>
      <c r="O39" s="322">
        <f>SUM(O9:O38)</f>
        <v>63.5</v>
      </c>
      <c r="P39" s="322">
        <f>SUM(P9:P38)</f>
        <v>20</v>
      </c>
      <c r="Q39" s="322">
        <f>SUM(Q9:Q38)</f>
        <v>59.999999999999993</v>
      </c>
      <c r="R39" s="32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5</v>
      </c>
      <c r="S39" s="432"/>
      <c r="T39" s="433"/>
      <c r="U39" s="433"/>
      <c r="V39" s="43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3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3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1">
        <f>SUM(Y9:Y38)</f>
        <v>0</v>
      </c>
      <c r="Z39" s="398">
        <f>Z9+Z10+Z11+Z12+Z13+Z14+Z15+Z16+Z17+Z18+Z19+Z20+Z21+Z22+Z23+Z24+Z25+Z26+Z27+Z28+Z29+Z30+Z31+Z32+Z33+Z34+Z35+Z36+Z37+Z38</f>
        <v>0</v>
      </c>
      <c r="AA39" s="235">
        <f t="shared" ref="AA39:AF39" si="32">SUM(AA9:AA38)</f>
        <v>0</v>
      </c>
      <c r="AB39" s="235">
        <f t="shared" si="32"/>
        <v>5</v>
      </c>
      <c r="AC39" s="235">
        <f>SUM(AC9:AC38)</f>
        <v>6</v>
      </c>
      <c r="AD39" s="235">
        <f t="shared" si="32"/>
        <v>0</v>
      </c>
      <c r="AE39" s="235">
        <f t="shared" si="32"/>
        <v>0</v>
      </c>
      <c r="AF39" s="235">
        <f t="shared" si="32"/>
        <v>0</v>
      </c>
      <c r="BA39" s="1">
        <f>SUM(BA9:BA38)</f>
        <v>143.5</v>
      </c>
      <c r="BB39" s="112"/>
      <c r="BC39" s="235">
        <f>SUM(BC9:BC38)</f>
        <v>0</v>
      </c>
      <c r="BD39" s="235">
        <f>SUM(BD9:BD38)</f>
        <v>0</v>
      </c>
      <c r="BE39" s="235">
        <f>SUM(BE9:BE38)</f>
        <v>3</v>
      </c>
      <c r="BF39" s="235">
        <f>SUM(BF9:BF38)</f>
        <v>0</v>
      </c>
      <c r="CA39" s="235">
        <f>SUM(CA9:CA38)</f>
        <v>63.5</v>
      </c>
      <c r="CB39" s="235">
        <f>SUM(CB9:CB38)</f>
        <v>2</v>
      </c>
      <c r="CC39" s="235">
        <f>SUM(CC9:CC38)</f>
        <v>0</v>
      </c>
      <c r="CX39" s="249"/>
      <c r="CY39" s="249">
        <f t="shared" ref="CY39:DG39" si="33">SUM(CY9:CY38)</f>
        <v>0</v>
      </c>
      <c r="CZ39" s="249">
        <f t="shared" si="33"/>
        <v>0</v>
      </c>
      <c r="DA39" s="249">
        <f t="shared" si="33"/>
        <v>0</v>
      </c>
      <c r="DB39" s="249">
        <f t="shared" si="33"/>
        <v>0</v>
      </c>
      <c r="DC39" s="249">
        <f t="shared" si="33"/>
        <v>0</v>
      </c>
      <c r="DD39" s="249">
        <f t="shared" si="33"/>
        <v>0</v>
      </c>
      <c r="DE39" s="249">
        <f t="shared" si="33"/>
        <v>0</v>
      </c>
      <c r="DF39" s="249">
        <f t="shared" si="33"/>
        <v>0</v>
      </c>
      <c r="DG39" s="249">
        <f t="shared" si="33"/>
        <v>0</v>
      </c>
      <c r="DO39" s="652"/>
      <c r="DS39" s="671"/>
      <c r="DT39" s="671"/>
      <c r="DU39" s="671"/>
      <c r="DV39" s="672"/>
      <c r="DW39" s="652"/>
      <c r="DZ39" s="671"/>
      <c r="EA39" s="671"/>
      <c r="EB39" s="672"/>
      <c r="EC39" s="652"/>
      <c r="EG39" s="671"/>
      <c r="EH39" s="671"/>
      <c r="EI39" s="671"/>
      <c r="EJ39" s="671"/>
      <c r="EK39" s="283"/>
      <c r="EL39" s="251"/>
      <c r="EM39" s="674"/>
      <c r="EN39" s="675"/>
      <c r="EO39" s="283"/>
      <c r="EP39" s="251"/>
      <c r="EQ39" s="674"/>
      <c r="ER39" s="675"/>
      <c r="ES39" s="283"/>
      <c r="ET39" s="251"/>
      <c r="EU39" s="674"/>
      <c r="EV39" s="675"/>
      <c r="EW39" s="283"/>
      <c r="EX39" s="251"/>
      <c r="EY39" s="674"/>
      <c r="EZ39" s="675"/>
      <c r="FA39" s="283"/>
      <c r="FB39" s="251"/>
      <c r="FC39" s="674"/>
      <c r="FD39" s="675"/>
      <c r="FE39" s="283"/>
      <c r="FF39" s="251"/>
      <c r="FG39" s="674"/>
      <c r="FH39" s="675"/>
      <c r="FI39" s="283"/>
      <c r="FJ39" s="251"/>
      <c r="FK39" s="674"/>
      <c r="FL39" s="675"/>
      <c r="FM39" s="283"/>
      <c r="FN39" s="674"/>
      <c r="FO39" s="283"/>
      <c r="FP39" s="251"/>
      <c r="FQ39" s="674"/>
      <c r="FR39" s="688"/>
      <c r="FS39" s="283"/>
      <c r="FT39" s="658"/>
      <c r="FV39" s="283"/>
      <c r="FW39" s="674"/>
      <c r="FX39" s="283"/>
      <c r="FY39" s="674"/>
      <c r="FZ39" s="283"/>
      <c r="GA39" s="674"/>
      <c r="GB39" s="283"/>
      <c r="GC39" s="674"/>
    </row>
    <row r="40" spans="1:185" ht="17" thickBot="1">
      <c r="A40" s="232"/>
      <c r="B40" s="232"/>
      <c r="C40" s="232"/>
      <c r="D40" s="232"/>
      <c r="E40" s="232"/>
      <c r="F40" s="232"/>
      <c r="G40" s="232"/>
      <c r="H40" s="232"/>
      <c r="I40" s="232"/>
      <c r="J40" s="232"/>
      <c r="K40" s="239"/>
      <c r="L40" s="239"/>
      <c r="M40" s="239"/>
      <c r="N40" s="239"/>
      <c r="O40" s="239"/>
      <c r="P40" s="239"/>
      <c r="Q40" s="239"/>
      <c r="R40" s="239"/>
      <c r="S40" s="239"/>
      <c r="T40" s="239"/>
      <c r="U40" s="239"/>
      <c r="V40" s="239"/>
      <c r="W40" s="239"/>
      <c r="X40" s="239"/>
      <c r="Y40" s="247"/>
      <c r="Z40" s="211"/>
      <c r="AA40" s="235"/>
      <c r="AB40" s="211"/>
      <c r="AC40" s="211"/>
      <c r="AD40" s="235"/>
      <c r="AE40" s="235"/>
      <c r="AF40" s="235"/>
      <c r="AG40" s="235"/>
      <c r="BC40" s="235"/>
      <c r="BD40" s="235"/>
      <c r="BE40" s="235"/>
      <c r="BF40" s="235"/>
      <c r="BG40" s="112"/>
      <c r="CB40" s="235"/>
      <c r="CC40" s="235"/>
      <c r="CD40" s="112"/>
      <c r="CX40" s="248"/>
      <c r="CZ40"/>
      <c r="DO40" s="669">
        <f>SUM(DO9:DO39)</f>
        <v>1.25</v>
      </c>
      <c r="DP40" s="670">
        <f t="shared" ref="DP40:GC40" si="34">SUM(DP9:DP39)</f>
        <v>0</v>
      </c>
      <c r="DQ40" s="670">
        <f t="shared" si="34"/>
        <v>0</v>
      </c>
      <c r="DR40" s="670">
        <f t="shared" si="34"/>
        <v>0</v>
      </c>
      <c r="DS40" s="673">
        <f t="shared" si="34"/>
        <v>0</v>
      </c>
      <c r="DT40" s="673">
        <f t="shared" si="34"/>
        <v>0</v>
      </c>
      <c r="DU40" s="670">
        <f t="shared" si="34"/>
        <v>0</v>
      </c>
      <c r="DV40" s="673">
        <f t="shared" si="34"/>
        <v>0</v>
      </c>
      <c r="DW40" s="669">
        <f t="shared" ref="DW40:EB40" si="35">SUM(DW9:DW39)</f>
        <v>0</v>
      </c>
      <c r="DX40" s="670">
        <f t="shared" si="35"/>
        <v>0</v>
      </c>
      <c r="DY40" s="670">
        <f t="shared" si="35"/>
        <v>0</v>
      </c>
      <c r="DZ40" s="673">
        <f t="shared" si="35"/>
        <v>0</v>
      </c>
      <c r="EA40" s="673">
        <f t="shared" si="35"/>
        <v>0</v>
      </c>
      <c r="EB40" s="673">
        <f t="shared" si="35"/>
        <v>0</v>
      </c>
      <c r="EC40" s="670">
        <f t="shared" si="34"/>
        <v>0</v>
      </c>
      <c r="ED40" s="670">
        <f t="shared" si="34"/>
        <v>0</v>
      </c>
      <c r="EE40" s="670">
        <f t="shared" si="34"/>
        <v>0</v>
      </c>
      <c r="EF40" s="670">
        <f t="shared" si="34"/>
        <v>0</v>
      </c>
      <c r="EG40" s="673">
        <f t="shared" si="34"/>
        <v>0</v>
      </c>
      <c r="EH40" s="673">
        <f t="shared" si="34"/>
        <v>0</v>
      </c>
      <c r="EI40" s="673">
        <f t="shared" si="34"/>
        <v>0</v>
      </c>
      <c r="EJ40" s="673">
        <f t="shared" si="34"/>
        <v>0</v>
      </c>
      <c r="EK40" s="670">
        <f t="shared" si="34"/>
        <v>0</v>
      </c>
      <c r="EL40" s="670">
        <f t="shared" si="34"/>
        <v>0</v>
      </c>
      <c r="EM40" s="673">
        <f t="shared" si="34"/>
        <v>0</v>
      </c>
      <c r="EN40" s="673">
        <f t="shared" si="34"/>
        <v>0</v>
      </c>
      <c r="EO40" s="670">
        <f t="shared" si="34"/>
        <v>0</v>
      </c>
      <c r="EP40" s="670">
        <f t="shared" si="34"/>
        <v>0</v>
      </c>
      <c r="EQ40" s="673">
        <f t="shared" si="34"/>
        <v>0</v>
      </c>
      <c r="ER40" s="676">
        <f t="shared" si="34"/>
        <v>0</v>
      </c>
      <c r="ES40" s="670">
        <f t="shared" si="34"/>
        <v>0</v>
      </c>
      <c r="ET40" s="670">
        <f t="shared" si="34"/>
        <v>0</v>
      </c>
      <c r="EU40" s="673">
        <f t="shared" si="34"/>
        <v>0</v>
      </c>
      <c r="EV40" s="676">
        <f t="shared" si="34"/>
        <v>0</v>
      </c>
      <c r="EW40" s="670">
        <f t="shared" si="34"/>
        <v>0</v>
      </c>
      <c r="EX40" s="670">
        <f t="shared" si="34"/>
        <v>0</v>
      </c>
      <c r="EY40" s="673">
        <f t="shared" si="34"/>
        <v>0</v>
      </c>
      <c r="EZ40" s="676">
        <f t="shared" si="34"/>
        <v>0</v>
      </c>
      <c r="FA40" s="670">
        <f t="shared" si="34"/>
        <v>0</v>
      </c>
      <c r="FB40" s="670">
        <f t="shared" si="34"/>
        <v>0</v>
      </c>
      <c r="FC40" s="673">
        <f t="shared" si="34"/>
        <v>0</v>
      </c>
      <c r="FD40" s="676">
        <f t="shared" si="34"/>
        <v>0</v>
      </c>
      <c r="FE40" s="670">
        <f t="shared" si="34"/>
        <v>0</v>
      </c>
      <c r="FF40" s="670">
        <f t="shared" si="34"/>
        <v>0</v>
      </c>
      <c r="FG40" s="673">
        <f t="shared" si="34"/>
        <v>0</v>
      </c>
      <c r="FH40" s="676">
        <f t="shared" si="34"/>
        <v>0</v>
      </c>
      <c r="FI40" s="685">
        <f t="shared" si="34"/>
        <v>0</v>
      </c>
      <c r="FJ40" s="670">
        <f t="shared" si="34"/>
        <v>0</v>
      </c>
      <c r="FK40" s="685">
        <f t="shared" si="34"/>
        <v>0</v>
      </c>
      <c r="FL40" s="673">
        <f t="shared" si="34"/>
        <v>0</v>
      </c>
      <c r="FM40" s="685">
        <f t="shared" si="34"/>
        <v>0</v>
      </c>
      <c r="FN40" s="685">
        <f t="shared" si="34"/>
        <v>0</v>
      </c>
      <c r="FO40" s="685">
        <f t="shared" si="34"/>
        <v>0</v>
      </c>
      <c r="FP40" s="670">
        <f t="shared" si="34"/>
        <v>0</v>
      </c>
      <c r="FQ40" s="685">
        <f t="shared" si="34"/>
        <v>0</v>
      </c>
      <c r="FR40" s="676">
        <f t="shared" si="34"/>
        <v>0</v>
      </c>
      <c r="FS40" s="689">
        <f t="shared" si="34"/>
        <v>0</v>
      </c>
      <c r="FT40" s="690">
        <f t="shared" si="34"/>
        <v>0</v>
      </c>
      <c r="FU40" s="690">
        <f t="shared" si="34"/>
        <v>0</v>
      </c>
      <c r="FV40" s="689">
        <f>SUM(FV9:FV39)</f>
        <v>0</v>
      </c>
      <c r="FW40" s="690">
        <f t="shared" si="34"/>
        <v>0</v>
      </c>
      <c r="FX40" s="689">
        <f t="shared" si="34"/>
        <v>0</v>
      </c>
      <c r="FY40" s="690">
        <f t="shared" si="34"/>
        <v>0</v>
      </c>
      <c r="FZ40" s="685">
        <f t="shared" si="34"/>
        <v>0</v>
      </c>
      <c r="GA40" s="685">
        <f t="shared" si="34"/>
        <v>0</v>
      </c>
      <c r="GB40" s="685">
        <f t="shared" si="34"/>
        <v>0</v>
      </c>
      <c r="GC40" s="685">
        <f t="shared" si="34"/>
        <v>0</v>
      </c>
    </row>
    <row r="41" spans="1:185" ht="70" customHeight="1">
      <c r="A41" s="958" t="str">
        <f>"Arbejdstid for "&amp;A7&amp;" måned:"</f>
        <v>Arbejdstid for Juni måned:</v>
      </c>
      <c r="B41" s="959"/>
      <c r="C41" s="959"/>
      <c r="D41" s="959"/>
      <c r="E41" s="959"/>
      <c r="F41" s="959"/>
      <c r="G41" s="959"/>
      <c r="H41" s="330" t="s">
        <v>255</v>
      </c>
      <c r="I41" s="959" t="s">
        <v>221</v>
      </c>
      <c r="J41" s="960"/>
      <c r="K41" s="961"/>
      <c r="L41" s="262"/>
      <c r="M41" s="1011" t="str">
        <f>"Ulempetimer og weekendtimer i "&amp;A5&amp;""</f>
        <v>Ulempetimer og weekendtimer i Juni måneds kalender for: Beate Simonsen. Måneden vedr. normperioden: 01.08.2024 - 31.07.2025.</v>
      </c>
      <c r="N41" s="989"/>
      <c r="O41" s="989"/>
      <c r="P41" s="989"/>
      <c r="Q41" s="989"/>
      <c r="R41" s="989"/>
      <c r="S41" s="989"/>
      <c r="T41" s="989"/>
      <c r="U41" s="989"/>
      <c r="V41" s="989"/>
      <c r="W41" s="989"/>
      <c r="X41" s="990"/>
      <c r="Y41" s="239"/>
      <c r="Z41" s="239"/>
      <c r="AD41" s="90"/>
      <c r="AE41" s="90"/>
      <c r="BM41" s="1"/>
      <c r="CJ41" s="1"/>
      <c r="CU41" s="248"/>
      <c r="CV41" s="248"/>
      <c r="CY41"/>
      <c r="CZ41"/>
    </row>
    <row r="42" spans="1:185">
      <c r="A42" s="962" t="s">
        <v>534</v>
      </c>
      <c r="B42" s="963"/>
      <c r="C42" s="963"/>
      <c r="D42" s="963"/>
      <c r="E42" s="963"/>
      <c r="F42" s="963"/>
      <c r="G42" s="963"/>
      <c r="H42" s="256">
        <f>D77</f>
        <v>21</v>
      </c>
      <c r="I42" s="975">
        <f>IF(Stamoplysninger!$E$12="Ja",1924/Arbejdstidsoversigt!$K$9*Stamoplysninger!$E$15*H42,H42*7.4*Stamoplysninger!$E$15)</f>
        <v>154.80459770114942</v>
      </c>
      <c r="J42" s="976"/>
      <c r="K42" s="977"/>
      <c r="L42" s="258"/>
      <c r="M42" s="1012" t="s">
        <v>497</v>
      </c>
      <c r="N42" s="1013"/>
      <c r="O42" s="1013"/>
      <c r="P42" s="1013"/>
      <c r="Q42" s="1013"/>
      <c r="R42" s="1013"/>
      <c r="S42" s="1013"/>
      <c r="T42" s="1013"/>
      <c r="U42" s="1014"/>
      <c r="V42" s="1093">
        <f>P64+P68+P71+P73</f>
        <v>1.25</v>
      </c>
      <c r="W42" s="1093"/>
      <c r="X42" s="1094"/>
      <c r="Y42" s="239"/>
      <c r="Z42" s="239"/>
      <c r="AD42" s="90"/>
      <c r="AE42" s="90"/>
      <c r="BM42" s="1"/>
      <c r="CJ42" s="1"/>
      <c r="CU42" s="248"/>
      <c r="CV42" s="248"/>
      <c r="CY42"/>
      <c r="CZ42"/>
    </row>
    <row r="43" spans="1:185">
      <c r="A43" s="962" t="str">
        <f>"Ferie "&amp;A7&amp;" måned"</f>
        <v>Ferie Juni måned</v>
      </c>
      <c r="B43" s="963"/>
      <c r="C43" s="963"/>
      <c r="D43" s="963"/>
      <c r="E43" s="963"/>
      <c r="F43" s="963"/>
      <c r="G43" s="963"/>
      <c r="H43" s="257" t="str">
        <f>IF(D72&gt;0,$D$72,"0")</f>
        <v>0</v>
      </c>
      <c r="I43" s="964">
        <f>H43*7.4*Stamoplysninger!$E$15</f>
        <v>0</v>
      </c>
      <c r="J43" s="965"/>
      <c r="K43" s="966"/>
      <c r="L43" s="258"/>
      <c r="M43" s="1018" t="s">
        <v>259</v>
      </c>
      <c r="N43" s="1019"/>
      <c r="O43" s="1019"/>
      <c r="P43" s="1019"/>
      <c r="Q43" s="1019"/>
      <c r="R43" s="1019"/>
      <c r="S43" s="1019"/>
      <c r="T43" s="1019"/>
      <c r="U43" s="1020"/>
      <c r="V43" s="1095">
        <f>Q65+Q67+Q70+Q72</f>
        <v>0</v>
      </c>
      <c r="W43" s="1095"/>
      <c r="X43" s="1096"/>
      <c r="Y43" s="239"/>
      <c r="Z43" s="239"/>
      <c r="AD43" s="90"/>
      <c r="AE43" s="90"/>
      <c r="BM43" s="1"/>
      <c r="CJ43" s="1"/>
      <c r="CU43" s="248"/>
      <c r="CV43" s="248"/>
      <c r="CY43"/>
      <c r="CZ43"/>
    </row>
    <row r="44" spans="1:185">
      <c r="A44" s="962" t="str">
        <f>"Søgnehelligdage i "&amp;A7&amp;" måned"</f>
        <v>Søgnehelligdage i Juni måned</v>
      </c>
      <c r="B44" s="963"/>
      <c r="C44" s="963"/>
      <c r="D44" s="963"/>
      <c r="E44" s="963"/>
      <c r="F44" s="963"/>
      <c r="G44" s="963"/>
      <c r="H44" s="257">
        <f>IF(D71&gt;0,D71,0)</f>
        <v>1</v>
      </c>
      <c r="I44" s="964">
        <f>H44*7.4*Stamoplysninger!$E$15</f>
        <v>7.4</v>
      </c>
      <c r="J44" s="965"/>
      <c r="K44" s="966"/>
      <c r="L44" s="259"/>
      <c r="M44" s="1128" t="s">
        <v>295</v>
      </c>
      <c r="N44" s="1129"/>
      <c r="O44" s="1129"/>
      <c r="P44" s="1129"/>
      <c r="Q44" s="1129"/>
      <c r="R44" s="1129"/>
      <c r="S44" s="1129"/>
      <c r="T44" s="1129"/>
      <c r="U44" s="1130"/>
      <c r="V44" s="1133">
        <f>Maj!V53</f>
        <v>0</v>
      </c>
      <c r="W44" s="1134"/>
      <c r="X44" s="1137"/>
      <c r="Y44" s="239"/>
      <c r="Z44" s="239"/>
      <c r="AD44" s="90"/>
      <c r="AE44" s="90"/>
      <c r="BM44" s="1"/>
      <c r="CJ44" s="1"/>
      <c r="CU44" s="248"/>
      <c r="CV44" s="248"/>
      <c r="CY44"/>
      <c r="CZ44"/>
    </row>
    <row r="45" spans="1:185">
      <c r="A45" s="962" t="str">
        <f>"Nettoarbejdstid ialt i "&amp;A7&amp;" måned"</f>
        <v>Nettoarbejdstid ialt i Juni måned</v>
      </c>
      <c r="B45" s="963"/>
      <c r="C45" s="963"/>
      <c r="D45" s="963"/>
      <c r="E45" s="963"/>
      <c r="F45" s="963"/>
      <c r="G45" s="963"/>
      <c r="H45" s="260">
        <f>H42-H43-H44</f>
        <v>20</v>
      </c>
      <c r="I45" s="964">
        <f>I42-I43-I44</f>
        <v>147.40459770114941</v>
      </c>
      <c r="J45" s="965"/>
      <c r="K45" s="966"/>
      <c r="L45" s="387"/>
      <c r="M45" s="1026" t="s">
        <v>302</v>
      </c>
      <c r="N45" s="1027"/>
      <c r="O45" s="1027"/>
      <c r="P45" s="1027"/>
      <c r="Q45" s="1027"/>
      <c r="R45" s="1027"/>
      <c r="S45" s="1027"/>
      <c r="T45" s="1027"/>
      <c r="U45" s="1028"/>
      <c r="V45" s="1029">
        <f>SUM(V43:X44)</f>
        <v>0</v>
      </c>
      <c r="W45" s="1030"/>
      <c r="X45" s="1031"/>
      <c r="Y45" s="239"/>
      <c r="Z45" s="239"/>
      <c r="AD45" s="90"/>
      <c r="AE45" s="90"/>
      <c r="BM45" s="1"/>
      <c r="CJ45" s="1"/>
      <c r="CU45" s="248"/>
      <c r="CV45" s="248"/>
      <c r="CY45"/>
      <c r="CZ45"/>
    </row>
    <row r="46" spans="1:185">
      <c r="A46" s="978" t="str">
        <f>"Planlagt arbejdstid efter ovennstående "&amp;A7&amp;" måned kalender"</f>
        <v>Planlagt arbejdstid efter ovennstående Juni måned kalender</v>
      </c>
      <c r="B46" s="979"/>
      <c r="C46" s="979"/>
      <c r="D46" s="979"/>
      <c r="E46" s="979"/>
      <c r="F46" s="979"/>
      <c r="G46" s="979"/>
      <c r="H46" s="475">
        <f>D63+D64+D65+D66+D67+D68+D69</f>
        <v>19</v>
      </c>
      <c r="I46" s="980">
        <f>N39+R39+V105</f>
        <v>148.5</v>
      </c>
      <c r="J46" s="981"/>
      <c r="K46" s="982"/>
      <c r="L46" s="387"/>
      <c r="M46" s="1038" t="s">
        <v>293</v>
      </c>
      <c r="N46" s="1039"/>
      <c r="O46" s="1039"/>
      <c r="P46" s="1039"/>
      <c r="Q46" s="1039"/>
      <c r="R46" s="1039"/>
      <c r="S46" s="1039"/>
      <c r="T46" s="1039"/>
      <c r="U46" s="1039"/>
      <c r="V46" s="1039"/>
      <c r="W46" s="1039"/>
      <c r="X46" s="1040"/>
      <c r="Y46" s="239"/>
      <c r="Z46" s="239"/>
      <c r="AD46" s="90"/>
      <c r="AE46" s="90"/>
      <c r="BM46" s="1"/>
      <c r="CJ46" s="1"/>
      <c r="CU46" s="248"/>
      <c r="CV46" s="248"/>
      <c r="CY46"/>
      <c r="CZ46"/>
    </row>
    <row r="47" spans="1:185">
      <c r="A47" s="986" t="s">
        <v>452</v>
      </c>
      <c r="B47" s="987"/>
      <c r="C47" s="987"/>
      <c r="D47" s="987"/>
      <c r="E47" s="987"/>
      <c r="F47" s="987"/>
      <c r="G47" s="987"/>
      <c r="H47" s="988"/>
      <c r="I47" s="983">
        <f>(FI39+FM39+FO39+FV39+FX39+FZ39+GB39)*-1+FK39+FN39+FQ39+FW39+FY39+GA39+GC39+FU39</f>
        <v>0</v>
      </c>
      <c r="J47" s="984"/>
      <c r="K47" s="985"/>
      <c r="L47" s="388"/>
      <c r="M47" s="1041" t="s">
        <v>463</v>
      </c>
      <c r="N47" s="1042"/>
      <c r="O47" s="1042"/>
      <c r="P47" s="1042"/>
      <c r="Q47" s="1042"/>
      <c r="R47" s="1042"/>
      <c r="S47" s="1042"/>
      <c r="T47" s="1042"/>
      <c r="U47" s="1043"/>
      <c r="V47" s="1044" t="s">
        <v>221</v>
      </c>
      <c r="W47" s="1045"/>
      <c r="X47" s="1046"/>
      <c r="Y47" s="239"/>
      <c r="Z47" s="239"/>
      <c r="AD47" s="90"/>
      <c r="AE47" s="90"/>
      <c r="BM47" s="1"/>
      <c r="CJ47" s="1"/>
      <c r="CU47" s="248"/>
      <c r="CV47" s="248"/>
      <c r="CY47"/>
      <c r="CZ47"/>
    </row>
    <row r="48" spans="1:185">
      <c r="A48" s="1005" t="str">
        <f>"Arbejde særligt planlagt for "&amp;A7&amp;" måned efter fanen skemaoplysninger"</f>
        <v>Arbejde særligt planlagt for Juni måned efter fanen skemaoplysninger</v>
      </c>
      <c r="B48" s="1006"/>
      <c r="C48" s="1006"/>
      <c r="D48" s="1006"/>
      <c r="E48" s="1006"/>
      <c r="F48" s="1006"/>
      <c r="G48" s="1006"/>
      <c r="H48" s="1007"/>
      <c r="I48" s="981">
        <f>Skemaoplysninger!U91</f>
        <v>2</v>
      </c>
      <c r="J48" s="1003"/>
      <c r="K48" s="1004"/>
      <c r="L48" s="389"/>
      <c r="M48" s="867"/>
      <c r="N48" s="868"/>
      <c r="O48" s="868"/>
      <c r="P48" s="868"/>
      <c r="Q48" s="868"/>
      <c r="R48" s="868"/>
      <c r="S48" s="868"/>
      <c r="T48" s="868"/>
      <c r="U48" s="869"/>
      <c r="V48" s="1047"/>
      <c r="W48" s="1047"/>
      <c r="X48" s="1048"/>
      <c r="Y48"/>
      <c r="Z48" s="239"/>
      <c r="AA48" s="239"/>
      <c r="AG48" s="90"/>
      <c r="AH48" s="90"/>
      <c r="BA48" s="239"/>
      <c r="BO48" s="1"/>
      <c r="CL48" s="1"/>
      <c r="CV48" s="248"/>
      <c r="CW48" s="248"/>
      <c r="CY48"/>
      <c r="CZ48"/>
    </row>
    <row r="49" spans="1:110">
      <c r="A49" s="967" t="s">
        <v>291</v>
      </c>
      <c r="B49" s="968"/>
      <c r="C49" s="968"/>
      <c r="D49" s="968"/>
      <c r="E49" s="968"/>
      <c r="F49" s="968"/>
      <c r="G49" s="968"/>
      <c r="H49" s="968"/>
      <c r="I49" s="969">
        <f>V39+X39-FA40+R105</f>
        <v>0</v>
      </c>
      <c r="J49" s="970"/>
      <c r="K49" s="971"/>
      <c r="L49" s="241"/>
      <c r="M49" s="867"/>
      <c r="N49" s="868"/>
      <c r="O49" s="868"/>
      <c r="P49" s="868"/>
      <c r="Q49" s="868"/>
      <c r="R49" s="868"/>
      <c r="S49" s="868"/>
      <c r="T49" s="868"/>
      <c r="U49" s="869"/>
      <c r="V49" s="870"/>
      <c r="W49" s="871"/>
      <c r="X49" s="872"/>
      <c r="Y49"/>
      <c r="Z49" s="239"/>
      <c r="AA49" s="239"/>
      <c r="AE49" s="90"/>
      <c r="AG49" s="90"/>
      <c r="BN49" s="1"/>
      <c r="CK49" s="1"/>
      <c r="CV49" s="248"/>
      <c r="CW49" s="248"/>
      <c r="CY49"/>
      <c r="CZ49"/>
    </row>
    <row r="50" spans="1:110" ht="17" thickBot="1">
      <c r="A50" s="261" t="str">
        <f>"Faktisk arbejdstid ialt i "&amp;A7&amp;" måned"</f>
        <v>Faktisk arbejdstid ialt i Juni måned</v>
      </c>
      <c r="B50" s="314"/>
      <c r="C50" s="315"/>
      <c r="D50" s="315"/>
      <c r="E50" s="315"/>
      <c r="F50" s="315"/>
      <c r="G50" s="315"/>
      <c r="H50" s="316"/>
      <c r="I50" s="1008">
        <f>I46+I49+I48+I47</f>
        <v>150.5</v>
      </c>
      <c r="J50" s="1009"/>
      <c r="K50" s="1010"/>
      <c r="L50" s="241"/>
      <c r="M50" s="867"/>
      <c r="N50" s="868"/>
      <c r="O50" s="868"/>
      <c r="P50" s="868"/>
      <c r="Q50" s="868"/>
      <c r="R50" s="868"/>
      <c r="S50" s="868"/>
      <c r="T50" s="868"/>
      <c r="U50" s="869"/>
      <c r="V50" s="870"/>
      <c r="W50" s="871"/>
      <c r="X50" s="872"/>
      <c r="Y50" s="239"/>
      <c r="Z50" s="239"/>
      <c r="AA50" s="214"/>
      <c r="AB50" s="247"/>
      <c r="AC50" s="247"/>
      <c r="AD50" s="247"/>
      <c r="AE50" s="239"/>
      <c r="AF50" s="247"/>
      <c r="AH50" s="239"/>
      <c r="AI50" s="239"/>
      <c r="AM50" s="90"/>
      <c r="AN50" s="90"/>
      <c r="BU50" s="1"/>
      <c r="CR50" s="1"/>
      <c r="CY50"/>
      <c r="CZ50"/>
      <c r="DC50" s="248"/>
      <c r="DD50" s="248"/>
    </row>
    <row r="51" spans="1:110" ht="17" thickBot="1">
      <c r="A51" s="255"/>
      <c r="B51" s="255"/>
      <c r="C51" s="255"/>
      <c r="D51" s="255"/>
      <c r="E51" s="255"/>
      <c r="F51" s="255"/>
      <c r="G51" s="255"/>
      <c r="H51" s="255"/>
      <c r="I51" s="522"/>
      <c r="J51" s="522"/>
      <c r="K51" s="522"/>
      <c r="L51" s="500"/>
      <c r="M51" s="867"/>
      <c r="N51" s="868"/>
      <c r="O51" s="868"/>
      <c r="P51" s="868"/>
      <c r="Q51" s="868"/>
      <c r="R51" s="868"/>
      <c r="S51" s="868"/>
      <c r="T51" s="868"/>
      <c r="U51" s="869"/>
      <c r="V51" s="870"/>
      <c r="W51" s="871"/>
      <c r="X51" s="872"/>
      <c r="Y51" s="239"/>
      <c r="Z51" s="239"/>
      <c r="AA51" s="239"/>
      <c r="AB51" s="239"/>
      <c r="AC51" s="214"/>
      <c r="AD51" s="247"/>
      <c r="AE51" s="247"/>
      <c r="AF51" s="247"/>
      <c r="AG51" s="247"/>
      <c r="AH51" s="239"/>
      <c r="AJ51" s="239"/>
      <c r="AK51" s="239"/>
      <c r="AO51" s="90"/>
      <c r="AP51" s="90"/>
      <c r="BW51" s="1"/>
      <c r="CT51" s="1"/>
      <c r="CY51"/>
      <c r="CZ51"/>
      <c r="DE51" s="248"/>
      <c r="DF51" s="248"/>
    </row>
    <row r="52" spans="1:110" ht="26" thickBot="1">
      <c r="A52" s="958" t="s">
        <v>479</v>
      </c>
      <c r="B52" s="959"/>
      <c r="C52" s="959"/>
      <c r="D52" s="959"/>
      <c r="E52" s="959"/>
      <c r="F52" s="959"/>
      <c r="G52" s="959"/>
      <c r="H52" s="707" t="s">
        <v>740</v>
      </c>
      <c r="I52" s="959" t="s">
        <v>478</v>
      </c>
      <c r="J52" s="959"/>
      <c r="K52" s="961"/>
      <c r="L52" s="500"/>
      <c r="M52" s="1032" t="s">
        <v>294</v>
      </c>
      <c r="N52" s="1033"/>
      <c r="O52" s="1033"/>
      <c r="P52" s="1033"/>
      <c r="Q52" s="1033"/>
      <c r="R52" s="1033"/>
      <c r="S52" s="1033"/>
      <c r="T52" s="1033"/>
      <c r="U52" s="1034"/>
      <c r="V52" s="1081">
        <f>V45-SUM(V48:X51)</f>
        <v>0</v>
      </c>
      <c r="W52" s="1082"/>
      <c r="X52" s="1083"/>
      <c r="Y52" s="239"/>
      <c r="Z52" s="239"/>
      <c r="AA52" s="239"/>
      <c r="AB52" s="239"/>
      <c r="AC52" s="214"/>
      <c r="AD52" s="247"/>
      <c r="AE52" s="247"/>
      <c r="AF52" s="247"/>
      <c r="AG52" s="247"/>
      <c r="AH52" s="239"/>
      <c r="AJ52" s="239"/>
      <c r="AK52" s="239"/>
      <c r="AO52" s="90"/>
      <c r="AP52" s="90"/>
      <c r="BW52" s="1"/>
      <c r="CT52" s="1"/>
      <c r="CY52"/>
      <c r="CZ52"/>
      <c r="DE52" s="248"/>
      <c r="DF52" s="248"/>
    </row>
    <row r="53" spans="1:110" ht="16" customHeight="1">
      <c r="A53" s="993"/>
      <c r="B53" s="994"/>
      <c r="C53" s="994"/>
      <c r="D53" s="994"/>
      <c r="E53" s="994"/>
      <c r="F53" s="994"/>
      <c r="G53" s="994"/>
      <c r="H53" s="605">
        <f>Maj!H62</f>
        <v>0</v>
      </c>
      <c r="I53" s="1084">
        <f>Maj!I62</f>
        <v>0</v>
      </c>
      <c r="J53" s="1084"/>
      <c r="K53" s="1085"/>
      <c r="L53" s="500"/>
      <c r="M53" s="523"/>
      <c r="N53" s="523"/>
      <c r="O53" s="523"/>
      <c r="P53" s="523"/>
      <c r="Q53" s="524"/>
      <c r="R53" s="525"/>
      <c r="S53" s="525"/>
      <c r="T53" s="525"/>
      <c r="U53" s="525"/>
      <c r="V53" s="523"/>
      <c r="W53" s="526"/>
      <c r="X53" s="523"/>
      <c r="Y53" s="239"/>
      <c r="Z53" s="239"/>
      <c r="AA53" s="239"/>
      <c r="AB53" s="239"/>
      <c r="AC53" s="214"/>
      <c r="AD53" s="247"/>
      <c r="AE53" s="247"/>
      <c r="AF53" s="247"/>
      <c r="AG53" s="247"/>
      <c r="AH53" s="239"/>
      <c r="AJ53" s="239"/>
      <c r="AK53" s="239"/>
      <c r="AO53" s="90"/>
      <c r="AP53" s="90"/>
      <c r="BW53" s="1"/>
      <c r="CT53" s="1"/>
      <c r="CY53"/>
      <c r="CZ53"/>
      <c r="DE53" s="248"/>
      <c r="DF53" s="248"/>
    </row>
    <row r="54" spans="1:110" ht="16" customHeight="1">
      <c r="A54" s="1069" t="s">
        <v>482</v>
      </c>
      <c r="B54" s="1070"/>
      <c r="C54" s="1070"/>
      <c r="D54" s="1070"/>
      <c r="E54" s="1070"/>
      <c r="F54" s="1070"/>
      <c r="G54" s="1071"/>
      <c r="H54" s="603"/>
      <c r="I54" s="1072"/>
      <c r="J54" s="1073"/>
      <c r="K54" s="1074"/>
      <c r="L54" s="500"/>
      <c r="M54" s="523"/>
      <c r="N54" s="523"/>
      <c r="O54" s="523"/>
      <c r="P54" s="523"/>
      <c r="Q54" s="524"/>
      <c r="R54" s="525"/>
      <c r="S54" s="525"/>
      <c r="T54" s="525"/>
      <c r="U54" s="525"/>
      <c r="V54" s="523"/>
      <c r="W54" s="526"/>
      <c r="X54" s="523"/>
      <c r="Y54" s="239"/>
      <c r="Z54" s="239"/>
      <c r="AA54" s="239"/>
      <c r="AB54" s="239"/>
      <c r="AC54" s="214"/>
      <c r="AD54" s="247"/>
      <c r="AE54" s="247"/>
      <c r="AF54" s="247"/>
      <c r="AG54" s="247"/>
      <c r="AH54" s="239"/>
      <c r="AJ54" s="239"/>
      <c r="AK54" s="239"/>
      <c r="AO54" s="90"/>
      <c r="AP54" s="90"/>
      <c r="BW54" s="1"/>
      <c r="CT54" s="1"/>
      <c r="CY54"/>
      <c r="CZ54"/>
      <c r="DE54" s="248"/>
      <c r="DF54" s="248"/>
    </row>
    <row r="55" spans="1:110" ht="37" customHeight="1">
      <c r="A55" s="864" t="s">
        <v>741</v>
      </c>
      <c r="B55" s="865"/>
      <c r="C55" s="865"/>
      <c r="D55" s="865"/>
      <c r="E55" s="865"/>
      <c r="F55" s="865"/>
      <c r="G55" s="865"/>
      <c r="H55" s="865"/>
      <c r="I55" s="865"/>
      <c r="J55" s="865"/>
      <c r="K55" s="866"/>
      <c r="L55" s="500"/>
      <c r="M55" s="523"/>
      <c r="N55" s="523"/>
      <c r="O55" s="523"/>
      <c r="P55" s="523"/>
      <c r="Q55" s="524"/>
      <c r="R55" s="525"/>
      <c r="S55" s="525"/>
      <c r="T55" s="525"/>
      <c r="U55" s="525"/>
      <c r="V55" s="523"/>
      <c r="W55" s="526"/>
      <c r="X55" s="523"/>
      <c r="Y55" s="239"/>
      <c r="Z55" s="239"/>
      <c r="AA55" s="239"/>
      <c r="AB55" s="239"/>
      <c r="AC55" s="214"/>
      <c r="AD55" s="247"/>
      <c r="AE55" s="247"/>
      <c r="AF55" s="247"/>
      <c r="AG55" s="247"/>
      <c r="AH55" s="239"/>
      <c r="AJ55" s="239"/>
      <c r="AK55" s="239"/>
      <c r="AO55" s="90"/>
      <c r="AP55" s="90"/>
      <c r="BW55" s="1"/>
      <c r="CT55" s="1"/>
      <c r="CY55"/>
      <c r="CZ55"/>
      <c r="DE55" s="248"/>
      <c r="DF55" s="248"/>
    </row>
    <row r="56" spans="1:110" ht="35" customHeight="1">
      <c r="A56" s="995" t="s">
        <v>742</v>
      </c>
      <c r="B56" s="996"/>
      <c r="C56" s="898" t="s">
        <v>510</v>
      </c>
      <c r="D56" s="899"/>
      <c r="E56" s="900" t="s">
        <v>511</v>
      </c>
      <c r="F56" s="865"/>
      <c r="G56" s="901"/>
      <c r="H56" s="910" t="s">
        <v>480</v>
      </c>
      <c r="I56" s="910"/>
      <c r="J56" s="910"/>
      <c r="K56" s="911"/>
      <c r="L56" s="500"/>
      <c r="M56" s="523"/>
      <c r="N56" s="523"/>
      <c r="O56" s="523"/>
      <c r="P56" s="523"/>
      <c r="Q56" s="524"/>
      <c r="R56" s="525"/>
      <c r="S56" s="525"/>
      <c r="T56" s="525"/>
      <c r="U56" s="525"/>
      <c r="V56" s="523"/>
      <c r="W56" s="526"/>
      <c r="X56" s="523"/>
      <c r="Y56" s="239"/>
      <c r="Z56" s="239"/>
      <c r="AA56" s="239"/>
      <c r="AB56" s="239"/>
      <c r="AC56" s="214"/>
      <c r="AD56" s="247"/>
      <c r="AE56" s="247"/>
      <c r="AF56" s="247"/>
      <c r="AG56" s="247"/>
      <c r="AH56" s="239"/>
      <c r="AJ56" s="239"/>
      <c r="AK56" s="239"/>
      <c r="AO56" s="90"/>
      <c r="AP56" s="90"/>
      <c r="BW56" s="1"/>
      <c r="CT56" s="1"/>
      <c r="CY56"/>
      <c r="CZ56"/>
      <c r="DE56" s="248"/>
      <c r="DF56" s="248"/>
    </row>
    <row r="57" spans="1:110">
      <c r="A57" s="902"/>
      <c r="B57" s="903"/>
      <c r="C57" s="906"/>
      <c r="D57" s="905"/>
      <c r="E57" s="907"/>
      <c r="F57" s="908"/>
      <c r="G57" s="909"/>
      <c r="H57" s="604"/>
      <c r="I57" s="896"/>
      <c r="J57" s="896"/>
      <c r="K57" s="897"/>
      <c r="L57" s="500"/>
      <c r="M57" s="523"/>
      <c r="N57" s="523"/>
      <c r="O57" s="523"/>
      <c r="P57" s="523"/>
      <c r="Q57" s="524"/>
      <c r="R57" s="525"/>
      <c r="S57" s="525"/>
      <c r="T57" s="525"/>
      <c r="U57" s="525"/>
      <c r="V57" s="523"/>
      <c r="W57" s="526"/>
      <c r="X57" s="523"/>
      <c r="Y57" s="239"/>
      <c r="Z57" s="239"/>
      <c r="AA57" s="239"/>
      <c r="AB57" s="239"/>
      <c r="AC57" s="214"/>
      <c r="AD57" s="247"/>
      <c r="AE57" s="247"/>
      <c r="AF57" s="247"/>
      <c r="AG57" s="247"/>
      <c r="AH57" s="239"/>
      <c r="AJ57" s="239"/>
      <c r="AK57" s="239"/>
      <c r="AO57" s="90"/>
      <c r="AP57" s="90"/>
      <c r="BW57" s="1"/>
      <c r="CT57" s="1"/>
      <c r="CY57"/>
      <c r="CZ57"/>
      <c r="DE57" s="248"/>
      <c r="DF57" s="248"/>
    </row>
    <row r="58" spans="1:110">
      <c r="A58" s="904"/>
      <c r="B58" s="905"/>
      <c r="C58" s="906"/>
      <c r="D58" s="905"/>
      <c r="E58" s="907"/>
      <c r="F58" s="908"/>
      <c r="G58" s="909"/>
      <c r="H58" s="604"/>
      <c r="I58" s="896"/>
      <c r="J58" s="896"/>
      <c r="K58" s="897"/>
      <c r="L58" s="500"/>
      <c r="M58" s="523"/>
      <c r="N58" s="523"/>
      <c r="O58" s="523"/>
      <c r="P58" s="523"/>
      <c r="Q58" s="524"/>
      <c r="R58" s="525"/>
      <c r="S58" s="525"/>
      <c r="T58" s="525"/>
      <c r="U58" s="525"/>
      <c r="V58" s="523"/>
      <c r="W58" s="526"/>
      <c r="X58" s="523"/>
      <c r="Y58" s="239"/>
      <c r="Z58" s="239"/>
      <c r="AA58" s="239"/>
      <c r="AB58" s="239"/>
      <c r="AC58" s="214"/>
      <c r="AD58" s="247"/>
      <c r="AE58" s="247"/>
      <c r="AF58" s="247"/>
      <c r="AG58" s="247"/>
      <c r="AH58" s="239"/>
      <c r="AJ58" s="239"/>
      <c r="AK58" s="239"/>
      <c r="AO58" s="90"/>
      <c r="AP58" s="90"/>
      <c r="BW58" s="1"/>
      <c r="CT58" s="1"/>
      <c r="CY58"/>
      <c r="CZ58"/>
      <c r="DE58" s="248"/>
      <c r="DF58" s="248"/>
    </row>
    <row r="59" spans="1:110">
      <c r="A59" s="904"/>
      <c r="B59" s="905"/>
      <c r="C59" s="906"/>
      <c r="D59" s="905"/>
      <c r="E59" s="907"/>
      <c r="F59" s="908"/>
      <c r="G59" s="909"/>
      <c r="H59" s="604"/>
      <c r="I59" s="896"/>
      <c r="J59" s="896"/>
      <c r="K59" s="897"/>
      <c r="L59" s="500"/>
      <c r="M59" s="523"/>
      <c r="N59" s="523"/>
      <c r="O59" s="523"/>
      <c r="P59" s="523"/>
      <c r="Q59" s="524"/>
      <c r="R59" s="525"/>
      <c r="S59" s="525"/>
      <c r="T59" s="525"/>
      <c r="U59" s="525"/>
      <c r="V59" s="523"/>
      <c r="W59" s="526"/>
      <c r="X59" s="523"/>
      <c r="Y59" s="239"/>
      <c r="Z59" s="239"/>
      <c r="AA59" s="239"/>
      <c r="AB59" s="239"/>
      <c r="AC59" s="214"/>
      <c r="AD59" s="247"/>
      <c r="AE59" s="247"/>
      <c r="AF59" s="247"/>
      <c r="AG59" s="247"/>
      <c r="AH59" s="239"/>
      <c r="AJ59" s="239"/>
      <c r="AK59" s="239"/>
      <c r="AO59" s="90"/>
      <c r="AP59" s="90"/>
      <c r="BW59" s="1"/>
      <c r="CT59" s="1"/>
      <c r="CY59"/>
      <c r="CZ59"/>
      <c r="DE59" s="248"/>
      <c r="DF59" s="248"/>
    </row>
    <row r="60" spans="1:110">
      <c r="A60" s="904"/>
      <c r="B60" s="905"/>
      <c r="C60" s="906"/>
      <c r="D60" s="905"/>
      <c r="E60" s="907"/>
      <c r="F60" s="908"/>
      <c r="G60" s="909"/>
      <c r="H60" s="604"/>
      <c r="I60" s="896"/>
      <c r="J60" s="896"/>
      <c r="K60" s="897"/>
      <c r="L60" s="500"/>
      <c r="M60" s="523"/>
      <c r="N60" s="523"/>
      <c r="O60" s="523"/>
      <c r="P60" s="523"/>
      <c r="Q60" s="524"/>
      <c r="R60" s="525"/>
      <c r="S60" s="525"/>
      <c r="T60" s="525"/>
      <c r="U60" s="525"/>
      <c r="V60" s="523"/>
      <c r="W60" s="526"/>
      <c r="X60" s="523"/>
      <c r="Y60" s="239"/>
      <c r="Z60" s="239"/>
      <c r="AA60" s="239"/>
      <c r="AB60" s="239"/>
      <c r="AC60" s="214"/>
      <c r="AD60" s="247"/>
      <c r="AE60" s="247"/>
      <c r="AF60" s="247"/>
      <c r="AG60" s="247"/>
      <c r="AH60" s="239"/>
      <c r="AJ60" s="239"/>
      <c r="AK60" s="239"/>
      <c r="AO60" s="90"/>
      <c r="AP60" s="90"/>
      <c r="BW60" s="1"/>
      <c r="CT60" s="1"/>
      <c r="CY60"/>
      <c r="CZ60"/>
      <c r="DE60" s="248"/>
      <c r="DF60" s="248"/>
    </row>
    <row r="61" spans="1:110" ht="17" thickBot="1">
      <c r="A61" s="893" t="s">
        <v>481</v>
      </c>
      <c r="B61" s="894"/>
      <c r="C61" s="895"/>
      <c r="D61" s="895"/>
      <c r="E61" s="895"/>
      <c r="F61" s="895"/>
      <c r="G61" s="895"/>
      <c r="H61" s="606">
        <f>H54+H53-SUM(H57:H60)</f>
        <v>0</v>
      </c>
      <c r="I61" s="912">
        <f>I53+I54-SUM(I57:K60)</f>
        <v>0</v>
      </c>
      <c r="J61" s="913"/>
      <c r="K61" s="914"/>
      <c r="L61" s="500"/>
      <c r="M61" s="523"/>
      <c r="N61" s="523"/>
      <c r="O61" s="523"/>
      <c r="P61" s="523"/>
      <c r="Q61" s="524"/>
      <c r="R61" s="525"/>
      <c r="S61" s="525"/>
      <c r="T61" s="525"/>
      <c r="U61" s="525"/>
      <c r="V61" s="523"/>
      <c r="W61" s="526"/>
      <c r="X61" s="523"/>
      <c r="Y61" s="239"/>
      <c r="Z61" s="239"/>
      <c r="AA61" s="239"/>
      <c r="AB61" s="239"/>
      <c r="AC61" s="214"/>
      <c r="AD61" s="247"/>
      <c r="AE61" s="247"/>
      <c r="AF61" s="247"/>
      <c r="AG61" s="247"/>
      <c r="AH61" s="239"/>
      <c r="AJ61" s="239"/>
      <c r="AK61" s="239"/>
      <c r="AO61" s="90"/>
      <c r="AP61" s="90"/>
      <c r="BW61" s="1"/>
      <c r="CT61" s="1"/>
      <c r="CY61"/>
      <c r="CZ61"/>
      <c r="DE61" s="248"/>
      <c r="DF61" s="248"/>
    </row>
    <row r="62" spans="1:110" hidden="1">
      <c r="A62" s="440"/>
      <c r="B62" s="440"/>
      <c r="C62" s="440"/>
      <c r="D62" s="440"/>
      <c r="E62" s="440"/>
      <c r="F62" s="440"/>
      <c r="G62" s="440"/>
      <c r="H62" s="450"/>
      <c r="I62" s="506"/>
      <c r="J62" s="506"/>
      <c r="K62" s="496"/>
      <c r="L62" s="659"/>
      <c r="M62" s="659"/>
      <c r="N62" s="659"/>
      <c r="O62" s="659"/>
      <c r="P62" s="659"/>
      <c r="Q62" s="524"/>
      <c r="R62" s="525"/>
      <c r="S62" s="525"/>
      <c r="T62" s="525"/>
      <c r="U62" s="525"/>
      <c r="V62" s="523" t="s">
        <v>583</v>
      </c>
      <c r="W62" s="526"/>
      <c r="X62" s="523"/>
      <c r="Y62"/>
      <c r="Z62"/>
      <c r="AA62" s="90"/>
      <c r="AB62" s="90"/>
      <c r="BI62" s="1"/>
      <c r="CF62" s="1"/>
      <c r="CQ62" s="248"/>
      <c r="CR62" s="248"/>
      <c r="CY62"/>
      <c r="CZ62"/>
    </row>
    <row r="63" spans="1:110" hidden="1">
      <c r="A63" s="123" t="s">
        <v>206</v>
      </c>
      <c r="B63" s="123"/>
      <c r="C63" s="123"/>
      <c r="D63" s="123">
        <f>COUNTIF([0]!Juni,"Skema 1")</f>
        <v>0</v>
      </c>
      <c r="E63" s="395"/>
      <c r="F63" s="123" t="s">
        <v>186</v>
      </c>
      <c r="G63" s="123">
        <f>COUNTIFS($B$9:$B$38,"ma",[0]!Juni,"Skema 1")</f>
        <v>0</v>
      </c>
      <c r="H63" s="123"/>
      <c r="I63" s="511"/>
      <c r="J63" s="659"/>
      <c r="K63" s="659"/>
      <c r="L63" s="511"/>
      <c r="M63" s="660"/>
      <c r="N63" s="659"/>
      <c r="O63" s="660"/>
      <c r="P63" s="678" t="s">
        <v>601</v>
      </c>
      <c r="Q63" s="680" t="s">
        <v>612</v>
      </c>
      <c r="R63" s="230"/>
      <c r="S63" s="230"/>
      <c r="T63" s="230"/>
      <c r="U63" s="230"/>
      <c r="V63" s="230"/>
      <c r="W63" s="118"/>
      <c r="X63" s="118"/>
      <c r="Y63"/>
      <c r="Z63"/>
      <c r="AA63" s="90"/>
      <c r="AB63" s="90"/>
      <c r="BI63" s="1"/>
      <c r="CF63" s="1"/>
      <c r="CQ63" s="248"/>
      <c r="CR63" s="248"/>
      <c r="CY63"/>
      <c r="CZ63"/>
    </row>
    <row r="64" spans="1:110" hidden="1">
      <c r="A64" s="1114" t="s">
        <v>207</v>
      </c>
      <c r="B64" s="1114"/>
      <c r="C64" s="1114"/>
      <c r="D64" s="123">
        <f>COUNTIF([0]!Juni,"Skema 2")</f>
        <v>17</v>
      </c>
      <c r="E64" s="395"/>
      <c r="F64" s="123" t="s">
        <v>187</v>
      </c>
      <c r="G64" s="123">
        <f>COUNTIFS($B$9:$B$38,"ti",[0]!Juni,"Skema 1")</f>
        <v>0</v>
      </c>
      <c r="H64" s="123"/>
      <c r="I64" s="511" t="s">
        <v>602</v>
      </c>
      <c r="J64" s="659"/>
      <c r="K64" s="511"/>
      <c r="L64" s="662"/>
      <c r="M64" s="660"/>
      <c r="N64" s="660"/>
      <c r="O64" s="663"/>
      <c r="P64" s="678">
        <f>IF(Stamoplysninger!$B$22="Ulempetillæg udbetales med 25% af nettotimelønnen.",SUM(DO40:DR40)-SUM(DS40:DV40),0)</f>
        <v>1.25</v>
      </c>
      <c r="Q64" s="680"/>
      <c r="R64" s="230"/>
      <c r="S64" s="230"/>
      <c r="T64" s="230"/>
      <c r="U64" s="230"/>
      <c r="V64" s="230"/>
      <c r="W64" s="118"/>
      <c r="X64" s="118"/>
      <c r="Y64"/>
      <c r="Z64"/>
      <c r="AA64" s="90"/>
      <c r="AB64" s="90"/>
      <c r="BI64" s="1"/>
      <c r="CF64" s="1"/>
      <c r="CQ64" s="248"/>
      <c r="CR64" s="248"/>
      <c r="CY64"/>
      <c r="CZ64"/>
    </row>
    <row r="65" spans="1:109" hidden="1">
      <c r="A65" s="1113" t="s">
        <v>208</v>
      </c>
      <c r="B65" s="1113"/>
      <c r="C65" s="1113"/>
      <c r="D65" s="498">
        <f>COUNTIF([0]!Juni,"Skema 3")</f>
        <v>0</v>
      </c>
      <c r="E65" s="499"/>
      <c r="F65" s="498" t="s">
        <v>188</v>
      </c>
      <c r="G65" s="498">
        <f>COUNTIFS($B$9:$B$38,"on",[0]!Juni,"Skema 1")</f>
        <v>0</v>
      </c>
      <c r="H65" s="498"/>
      <c r="I65" s="677" t="s">
        <v>603</v>
      </c>
      <c r="J65" s="659"/>
      <c r="K65" s="511"/>
      <c r="L65" s="662"/>
      <c r="M65" s="660"/>
      <c r="N65" s="660"/>
      <c r="O65" s="660"/>
      <c r="P65" s="678"/>
      <c r="Q65" s="680">
        <f>IF(Stamoplysninger!$B$22="Ulempetillæg afspadseres med 25%(Kræver en aftale imellem ledelsen og den ansatte)",EC40+ED40+EE40+EF40-EG40-EH40-EI40-EJ40,0)</f>
        <v>0</v>
      </c>
      <c r="R65" s="230"/>
      <c r="S65" s="230"/>
      <c r="T65" s="230"/>
      <c r="U65" s="230"/>
      <c r="V65" s="230"/>
      <c r="W65" s="118"/>
      <c r="X65" s="118"/>
      <c r="Y65"/>
      <c r="Z65"/>
      <c r="AA65" s="90"/>
      <c r="AB65" s="90"/>
      <c r="BI65" s="1"/>
      <c r="CF65" s="1"/>
      <c r="CQ65" s="248"/>
      <c r="CR65" s="248"/>
      <c r="CY65"/>
      <c r="CZ65"/>
    </row>
    <row r="66" spans="1:109" hidden="1">
      <c r="A66" s="1113" t="s">
        <v>209</v>
      </c>
      <c r="B66" s="1113"/>
      <c r="C66" s="1113"/>
      <c r="D66" s="498">
        <f>COUNTIF([0]!Juni,"Skema 4")</f>
        <v>0</v>
      </c>
      <c r="E66" s="499"/>
      <c r="F66" s="498" t="s">
        <v>190</v>
      </c>
      <c r="G66" s="498">
        <f>COUNTIFS($B$9:$B$38,"to",[0]!Juni,"Skema 1")</f>
        <v>0</v>
      </c>
      <c r="H66" s="498"/>
      <c r="I66" s="677" t="s">
        <v>604</v>
      </c>
      <c r="J66" s="659"/>
      <c r="K66" s="511"/>
      <c r="L66" s="662"/>
      <c r="M66" s="665"/>
      <c r="N66" s="665"/>
      <c r="O66" s="4"/>
      <c r="P66" s="678"/>
      <c r="Q66" s="680"/>
      <c r="R66" s="230"/>
      <c r="S66" s="230"/>
      <c r="T66" s="230"/>
      <c r="U66" s="230"/>
      <c r="V66" s="230"/>
      <c r="W66" s="118"/>
      <c r="X66" s="118"/>
      <c r="Y66" s="239"/>
      <c r="Z66" s="239"/>
      <c r="AA66" s="239"/>
      <c r="AB66" s="214"/>
      <c r="AC66" s="247"/>
      <c r="AD66" s="247"/>
      <c r="AE66" s="247"/>
      <c r="AF66" s="247"/>
      <c r="AG66" s="239"/>
      <c r="AI66" s="239"/>
      <c r="AJ66" s="239"/>
      <c r="AN66" s="90"/>
      <c r="AO66" s="90"/>
      <c r="BV66" s="1"/>
      <c r="CS66" s="1"/>
      <c r="CY66"/>
      <c r="CZ66"/>
      <c r="DD66" s="248"/>
      <c r="DE66" s="248"/>
    </row>
    <row r="67" spans="1:109" hidden="1">
      <c r="A67" s="498" t="s">
        <v>112</v>
      </c>
      <c r="B67" s="498"/>
      <c r="C67" s="498"/>
      <c r="D67" s="498">
        <f>COUNTIF([0]!Juni,"Fagdag")+COUNTIF([0]!Juni,"emnedag")</f>
        <v>1</v>
      </c>
      <c r="E67" s="499"/>
      <c r="F67" s="498" t="s">
        <v>189</v>
      </c>
      <c r="G67" s="498">
        <f>COUNTIFS($B$9:$B$38,"fr",[0]!Juni,"Skema 1")</f>
        <v>0</v>
      </c>
      <c r="H67" s="498"/>
      <c r="I67" s="662" t="s">
        <v>605</v>
      </c>
      <c r="J67" s="659"/>
      <c r="K67" s="511"/>
      <c r="L67" s="662"/>
      <c r="M67" s="665"/>
      <c r="N67" s="665"/>
      <c r="O67" s="4"/>
      <c r="P67" s="678"/>
      <c r="Q67" s="680">
        <f>IF(Stamoplysninger!$B$26="Weekendtimer og weekendtillæg afspadseres.",EK40+EL40-EM40-EN40,0)</f>
        <v>0</v>
      </c>
      <c r="R67" s="230"/>
      <c r="S67" s="230"/>
      <c r="T67" s="230"/>
      <c r="U67" s="230"/>
      <c r="V67" s="230"/>
      <c r="W67" s="118"/>
      <c r="X67" s="118"/>
      <c r="Y67" s="239"/>
      <c r="Z67" s="239"/>
      <c r="AA67" s="239"/>
      <c r="AB67" s="214"/>
      <c r="AC67" s="247"/>
      <c r="AD67" s="247"/>
      <c r="AE67" s="247"/>
      <c r="AF67" s="214"/>
      <c r="AG67" s="239"/>
      <c r="AI67" s="239"/>
      <c r="AJ67" s="239"/>
      <c r="AN67" s="90"/>
      <c r="AO67" s="90"/>
      <c r="BV67" s="1"/>
      <c r="CS67" s="1"/>
      <c r="CY67"/>
      <c r="CZ67"/>
      <c r="DD67" s="248"/>
      <c r="DE67" s="248"/>
    </row>
    <row r="68" spans="1:109" hidden="1">
      <c r="A68" s="502" t="s">
        <v>111</v>
      </c>
      <c r="B68" s="498"/>
      <c r="C68" s="498"/>
      <c r="D68" s="498">
        <f>COUNTIF([0]!Juni,"Lejrskole")+COUNTIF([0]!Juni,"Ekskursion")</f>
        <v>0</v>
      </c>
      <c r="E68" s="499"/>
      <c r="F68" s="498"/>
      <c r="G68" s="498"/>
      <c r="H68" s="498"/>
      <c r="I68" s="662" t="s">
        <v>606</v>
      </c>
      <c r="J68" s="662"/>
      <c r="K68" s="662"/>
      <c r="L68" s="662"/>
      <c r="M68" s="666"/>
      <c r="N68" s="666"/>
      <c r="O68" s="4"/>
      <c r="P68" s="679">
        <f>IF(Stamoplysninger!$B$26="Weekendtimer og weekendtillæg udbetales.",EO40+EP40-EQ40-ER40,0)</f>
        <v>0</v>
      </c>
      <c r="Q68" s="680"/>
      <c r="R68" s="230"/>
      <c r="S68" s="230"/>
      <c r="T68" s="230"/>
      <c r="U68" s="230"/>
      <c r="V68" s="230"/>
      <c r="W68" s="118"/>
      <c r="X68" s="118"/>
      <c r="Y68" s="239"/>
      <c r="Z68" s="239"/>
      <c r="AA68" s="239"/>
      <c r="AB68" s="214"/>
      <c r="AC68" s="247"/>
      <c r="AD68" s="247"/>
      <c r="AE68" s="247"/>
      <c r="AF68" s="214"/>
      <c r="AG68" s="239"/>
      <c r="AI68" s="239"/>
      <c r="AJ68" s="239"/>
      <c r="AN68" s="90"/>
      <c r="AO68" s="90"/>
      <c r="BV68" s="1"/>
      <c r="CS68" s="1"/>
      <c r="CY68"/>
      <c r="CZ68"/>
      <c r="DD68" s="248"/>
      <c r="DE68" s="248"/>
    </row>
    <row r="69" spans="1:109" hidden="1">
      <c r="A69" s="498" t="s">
        <v>110</v>
      </c>
      <c r="B69" s="498"/>
      <c r="C69" s="498"/>
      <c r="D69" s="498">
        <f>COUNTIF([0]!Juni,"Pæd.dag")</f>
        <v>1</v>
      </c>
      <c r="E69" s="499"/>
      <c r="F69" s="498" t="s">
        <v>191</v>
      </c>
      <c r="G69" s="498">
        <f>COUNTIFS($B$9:$B$38,"ma",[0]!Juni,"Skema 2")</f>
        <v>3</v>
      </c>
      <c r="H69" s="498"/>
      <c r="I69" s="662" t="s">
        <v>607</v>
      </c>
      <c r="J69" s="662"/>
      <c r="K69" s="662"/>
      <c r="L69" s="662"/>
      <c r="M69" s="666"/>
      <c r="N69" s="666"/>
      <c r="O69" s="4"/>
      <c r="P69" s="678"/>
      <c r="Q69" s="680"/>
      <c r="R69" s="230"/>
      <c r="S69" s="230"/>
      <c r="T69" s="230"/>
      <c r="U69" s="230"/>
      <c r="V69" s="230"/>
      <c r="W69" s="118"/>
      <c r="X69" s="118"/>
      <c r="Y69" s="239"/>
      <c r="Z69" s="239"/>
      <c r="AA69" s="239"/>
      <c r="AB69" s="214"/>
      <c r="AC69" s="247"/>
      <c r="AD69" s="247"/>
      <c r="AE69" s="247"/>
      <c r="AF69" s="214"/>
      <c r="AG69" s="239"/>
      <c r="AI69" s="239"/>
      <c r="AJ69" s="239"/>
      <c r="AN69" s="90"/>
      <c r="AO69" s="90"/>
      <c r="BV69" s="1"/>
      <c r="CS69" s="1"/>
      <c r="CY69"/>
      <c r="CZ69"/>
      <c r="DD69" s="248"/>
      <c r="DE69" s="248"/>
    </row>
    <row r="70" spans="1:109" hidden="1">
      <c r="A70" s="498" t="s">
        <v>120</v>
      </c>
      <c r="B70" s="498"/>
      <c r="C70" s="498"/>
      <c r="D70" s="498">
        <f>COUNTIF([0]!Juni,"Weekend")</f>
        <v>9</v>
      </c>
      <c r="E70" s="499"/>
      <c r="F70" s="498" t="s">
        <v>192</v>
      </c>
      <c r="G70" s="498">
        <f>COUNTIFS($B$9:$B$38,"ti",[0]!Juni,"Skema 2")</f>
        <v>4</v>
      </c>
      <c r="H70" s="498"/>
      <c r="I70" s="662" t="s">
        <v>608</v>
      </c>
      <c r="J70" s="662"/>
      <c r="K70" s="662"/>
      <c r="L70" s="662"/>
      <c r="M70" s="667"/>
      <c r="N70" s="667"/>
      <c r="O70" s="4"/>
      <c r="P70" s="678"/>
      <c r="Q70" s="681">
        <f>IF(Stamoplysninger!$B$26="Der er indgået lokalaftale omkring weekendtimer.(Kræver aftale med TR/FSL) Weekendtillæg afspadseres.",ES40+ET40-EU40-EV40,0)</f>
        <v>0</v>
      </c>
      <c r="R70" s="230"/>
      <c r="S70" s="230"/>
      <c r="T70" s="230"/>
      <c r="U70" s="230"/>
      <c r="V70" s="230"/>
      <c r="W70" s="118"/>
      <c r="X70" s="118"/>
      <c r="Y70"/>
      <c r="Z70"/>
      <c r="AM70" s="1"/>
      <c r="BJ70" s="1"/>
      <c r="BU70" s="248"/>
      <c r="BV70" s="248"/>
      <c r="CY70"/>
      <c r="CZ70"/>
    </row>
    <row r="71" spans="1:109" hidden="1">
      <c r="A71" s="498" t="s">
        <v>127</v>
      </c>
      <c r="B71" s="498"/>
      <c r="C71" s="498"/>
      <c r="D71" s="498">
        <f>COUNTIF([0]!Juni,"SH-dag")</f>
        <v>1</v>
      </c>
      <c r="E71" s="499"/>
      <c r="F71" s="498" t="s">
        <v>193</v>
      </c>
      <c r="G71" s="498">
        <f>COUNTIFS($B$9:$B$38,"on",[0]!Juni,"Skema 2")</f>
        <v>4</v>
      </c>
      <c r="H71" s="498"/>
      <c r="I71" s="662" t="s">
        <v>609</v>
      </c>
      <c r="J71" s="662"/>
      <c r="K71" s="662"/>
      <c r="L71" s="662"/>
      <c r="M71" s="667"/>
      <c r="N71" s="667"/>
      <c r="O71" s="4"/>
      <c r="P71" s="678">
        <f>IF(Stamoplysninger!$B$26="Der er indgået lokalaftale omkring weekendtimer(Kræver aftale med TR/FSL). Weekendtillæg udbetales.",EW40+EX40-EY40-EZ40,0)</f>
        <v>0</v>
      </c>
      <c r="Q71" s="680"/>
      <c r="R71" s="230"/>
      <c r="S71" s="230"/>
      <c r="T71" s="230"/>
      <c r="U71" s="230"/>
      <c r="V71" s="230"/>
      <c r="W71" s="118"/>
      <c r="X71" s="118"/>
      <c r="Y71"/>
      <c r="Z71"/>
      <c r="AM71" s="1"/>
      <c r="BJ71" s="1"/>
      <c r="BU71" s="248"/>
      <c r="BV71" s="248"/>
      <c r="CY71"/>
      <c r="CZ71"/>
    </row>
    <row r="72" spans="1:109" hidden="1">
      <c r="A72" s="498" t="s">
        <v>109</v>
      </c>
      <c r="B72" s="498"/>
      <c r="C72" s="498"/>
      <c r="D72" s="498">
        <f>COUNTIF([0]!Juni,"Feriedag")</f>
        <v>0</v>
      </c>
      <c r="E72" s="499"/>
      <c r="F72" s="498" t="s">
        <v>194</v>
      </c>
      <c r="G72" s="498">
        <f>COUNTIFS($B$9:$B$38,"to",[0]!Juni,"Skema 2")</f>
        <v>3</v>
      </c>
      <c r="H72" s="498"/>
      <c r="I72" s="662" t="s">
        <v>610</v>
      </c>
      <c r="J72" s="662"/>
      <c r="K72" s="662"/>
      <c r="L72" s="662"/>
      <c r="M72" s="667"/>
      <c r="N72" s="667"/>
      <c r="O72" s="4"/>
      <c r="P72" s="678"/>
      <c r="Q72" s="629">
        <f>IF(Stamoplysninger!$B$26="Der er indgået lokalaftale omkring weekendtillæg(Kræver aftale med TR/FSL). Weekendtimerne afspadseres.",FA40+FB40-FC40-FD40,0)</f>
        <v>0</v>
      </c>
      <c r="R72" s="41"/>
      <c r="S72" s="41"/>
      <c r="T72" s="41"/>
      <c r="Y72"/>
      <c r="Z72"/>
      <c r="AM72" s="1"/>
      <c r="BJ72" s="1"/>
      <c r="BU72" s="248"/>
      <c r="BV72" s="248"/>
      <c r="CY72"/>
      <c r="CZ72"/>
    </row>
    <row r="73" spans="1:109" hidden="1">
      <c r="A73" s="498" t="s">
        <v>178</v>
      </c>
      <c r="B73" s="498"/>
      <c r="C73" s="498"/>
      <c r="D73" s="498">
        <f>COUNTIF([0]!Juni,"Nul-dag")</f>
        <v>1</v>
      </c>
      <c r="E73" s="499"/>
      <c r="F73" s="498" t="s">
        <v>195</v>
      </c>
      <c r="G73" s="498">
        <f>COUNTIFS($B$9:$B$38,"fr",[0]!Juni,"Skema 2")</f>
        <v>3</v>
      </c>
      <c r="H73" s="498"/>
      <c r="I73" s="662" t="s">
        <v>611</v>
      </c>
      <c r="J73" s="662"/>
      <c r="K73" s="662"/>
      <c r="L73" s="662"/>
      <c r="M73" s="667"/>
      <c r="N73" s="667"/>
      <c r="O73" s="4"/>
      <c r="P73" s="678">
        <f>IF(Stamoplysninger!$B$26="Der er indgået lokalaftale omkring weekendtillæg(Kræver aftale med TR/FSL). Weekendtimerne udbetales.",FE40+FF40-FG40-FH40,0)</f>
        <v>0</v>
      </c>
      <c r="Q73" s="629"/>
      <c r="V73" t="s">
        <v>618</v>
      </c>
      <c r="Y73"/>
      <c r="Z73"/>
      <c r="AM73" s="1"/>
      <c r="BJ73" s="1"/>
      <c r="BU73" s="248"/>
      <c r="BV73" s="248"/>
      <c r="CY73"/>
      <c r="CZ73"/>
    </row>
    <row r="74" spans="1:109" hidden="1">
      <c r="A74" s="498" t="s">
        <v>416</v>
      </c>
      <c r="B74" s="498"/>
      <c r="C74" s="498"/>
      <c r="D74" s="498">
        <f>COUNTIF([0]!Juni,"Orlov")</f>
        <v>0</v>
      </c>
      <c r="E74" s="499"/>
      <c r="F74" s="504"/>
      <c r="G74" s="504"/>
      <c r="H74" s="504"/>
      <c r="I74" s="662" t="s">
        <v>617</v>
      </c>
      <c r="J74" s="662"/>
      <c r="K74" s="662"/>
      <c r="L74" s="662"/>
      <c r="M74" s="668"/>
      <c r="N74" s="668"/>
      <c r="O74" s="4"/>
      <c r="P74" s="661"/>
      <c r="R74">
        <f>IF(C9="ikke relevant",V9*-1+X9*-1,0)</f>
        <v>0</v>
      </c>
      <c r="S74" t="s">
        <v>623</v>
      </c>
      <c r="V74">
        <f>IF(C9="ikke relevant",R9*-1,0)</f>
        <v>0</v>
      </c>
      <c r="Y74"/>
      <c r="Z74"/>
      <c r="AM74" s="1"/>
      <c r="BJ74" s="1"/>
      <c r="BU74" s="248"/>
      <c r="BV74" s="248"/>
      <c r="CY74"/>
      <c r="CZ74"/>
    </row>
    <row r="75" spans="1:109" hidden="1">
      <c r="A75" s="498" t="s">
        <v>160</v>
      </c>
      <c r="B75" s="498"/>
      <c r="C75" s="498"/>
      <c r="D75" s="498">
        <f>COUNTIF([0]!Juni,"Ikke relevant")</f>
        <v>0</v>
      </c>
      <c r="E75" s="499"/>
      <c r="F75" s="498" t="s">
        <v>196</v>
      </c>
      <c r="G75" s="498">
        <f>COUNTIFS($B$9:$B$38,"ma",[0]!Juni,"Skema 3")</f>
        <v>0</v>
      </c>
      <c r="H75" s="498"/>
      <c r="I75" s="662"/>
      <c r="J75" s="662"/>
      <c r="K75" s="662"/>
      <c r="L75" s="511"/>
      <c r="M75" s="668"/>
      <c r="N75" s="668"/>
      <c r="O75" s="4"/>
      <c r="P75" s="661"/>
      <c r="R75">
        <f>IF(C10="ikke relevant",V10*-1+X10*-1,0)</f>
        <v>0</v>
      </c>
      <c r="V75">
        <f>IF(C10="ikke relevant",R10*-1,0)</f>
        <v>0</v>
      </c>
      <c r="Y75"/>
      <c r="Z75"/>
      <c r="AM75" s="1"/>
      <c r="BJ75" s="1"/>
      <c r="BU75" s="248"/>
      <c r="BV75" s="248"/>
      <c r="CY75"/>
      <c r="CZ75"/>
    </row>
    <row r="76" spans="1:109" hidden="1">
      <c r="A76" s="498" t="s">
        <v>108</v>
      </c>
      <c r="B76" s="498"/>
      <c r="C76" s="498"/>
      <c r="D76" s="498">
        <f>SUM(D63:D75)</f>
        <v>30</v>
      </c>
      <c r="E76" s="498"/>
      <c r="F76" s="498" t="s">
        <v>197</v>
      </c>
      <c r="G76" s="498">
        <f>COUNTIFS($B$9:$B$38,"ti",[0]!Juni,"Skema 3")</f>
        <v>0</v>
      </c>
      <c r="H76" s="498"/>
      <c r="I76" s="662"/>
      <c r="J76" s="662"/>
      <c r="K76" s="662"/>
      <c r="L76" s="511"/>
      <c r="M76" s="668"/>
      <c r="N76" s="668"/>
      <c r="O76" s="4"/>
      <c r="P76" s="661"/>
      <c r="R76">
        <f t="shared" ref="R76:R104" si="36">IF(C11="ikke relevant",V11*-1+X11*-1,0)</f>
        <v>0</v>
      </c>
      <c r="V76">
        <f t="shared" ref="V76:V104" si="37">IF(C11="ikke relevant",R11*-1,0)</f>
        <v>0</v>
      </c>
      <c r="Y76"/>
      <c r="Z76" s="1"/>
      <c r="AX76" s="1"/>
      <c r="BI76" s="248"/>
      <c r="BJ76" s="248"/>
      <c r="CY76"/>
      <c r="CZ76"/>
    </row>
    <row r="77" spans="1:109" hidden="1">
      <c r="A77" s="498" t="s">
        <v>239</v>
      </c>
      <c r="B77" s="498"/>
      <c r="C77" s="498"/>
      <c r="D77" s="498">
        <f>D76-D70-A86-D75</f>
        <v>21</v>
      </c>
      <c r="E77" s="505"/>
      <c r="F77" s="498" t="s">
        <v>198</v>
      </c>
      <c r="G77" s="498">
        <f>COUNTIFS($B$9:$B$38,"on",[0]!Juni,"Skema 3")</f>
        <v>0</v>
      </c>
      <c r="H77" s="498"/>
      <c r="I77" s="662"/>
      <c r="J77" s="662"/>
      <c r="K77" s="662"/>
      <c r="L77" s="511"/>
      <c r="M77" s="668"/>
      <c r="N77" s="668"/>
      <c r="O77" s="4"/>
      <c r="P77" s="661"/>
      <c r="R77">
        <f t="shared" si="36"/>
        <v>0</v>
      </c>
      <c r="V77">
        <f t="shared" si="37"/>
        <v>0</v>
      </c>
      <c r="Y77"/>
      <c r="Z77" s="1"/>
      <c r="AX77" s="1"/>
      <c r="BI77" s="248"/>
      <c r="BJ77" s="248"/>
      <c r="CY77"/>
      <c r="CZ77"/>
    </row>
    <row r="78" spans="1:109" hidden="1">
      <c r="A78" s="498"/>
      <c r="B78" s="498"/>
      <c r="C78" s="498"/>
      <c r="D78" s="498"/>
      <c r="E78" s="498"/>
      <c r="F78" s="498" t="s">
        <v>199</v>
      </c>
      <c r="G78" s="498">
        <f>COUNTIFS($B$9:$B$38,"to",[0]!Juni,"Skema 3")</f>
        <v>0</v>
      </c>
      <c r="H78" s="498"/>
      <c r="I78" s="664"/>
      <c r="J78" s="662"/>
      <c r="K78" s="662"/>
      <c r="L78" s="511"/>
      <c r="M78" s="660"/>
      <c r="N78" s="660"/>
      <c r="O78" s="4"/>
      <c r="P78" s="661"/>
      <c r="R78">
        <f t="shared" si="36"/>
        <v>0</v>
      </c>
      <c r="V78">
        <f t="shared" si="37"/>
        <v>0</v>
      </c>
      <c r="Y78"/>
      <c r="Z78"/>
      <c r="AO78" s="1"/>
      <c r="BL78" s="1"/>
      <c r="BW78" s="248"/>
      <c r="BX78" s="248"/>
      <c r="CY78"/>
      <c r="CZ78"/>
    </row>
    <row r="79" spans="1:109" hidden="1">
      <c r="A79" s="498"/>
      <c r="B79" s="498"/>
      <c r="C79" s="498"/>
      <c r="D79" s="498"/>
      <c r="E79" s="498"/>
      <c r="F79" s="498" t="s">
        <v>200</v>
      </c>
      <c r="G79" s="498">
        <f>COUNTIFS($B$9:$B$38,"fr",[0]!Juni,"Skema 3")</f>
        <v>0</v>
      </c>
      <c r="H79" s="498"/>
      <c r="I79" s="506"/>
      <c r="J79" s="511"/>
      <c r="K79" s="511"/>
      <c r="L79" s="511"/>
      <c r="M79" s="4"/>
      <c r="N79" s="4"/>
      <c r="O79" s="4"/>
      <c r="P79" s="4"/>
      <c r="R79">
        <f t="shared" si="36"/>
        <v>0</v>
      </c>
      <c r="V79">
        <f t="shared" si="37"/>
        <v>0</v>
      </c>
      <c r="Y79"/>
      <c r="Z79"/>
      <c r="AO79" s="1"/>
      <c r="BL79" s="1"/>
      <c r="BW79" s="248"/>
      <c r="BX79" s="248"/>
      <c r="CY79"/>
      <c r="CZ79"/>
    </row>
    <row r="80" spans="1:109" hidden="1">
      <c r="A80" s="498" t="s">
        <v>292</v>
      </c>
      <c r="B80" s="498"/>
      <c r="C80" s="498"/>
      <c r="D80" s="498"/>
      <c r="E80" s="498"/>
      <c r="F80" s="498"/>
      <c r="G80" s="498"/>
      <c r="H80" s="498"/>
      <c r="I80" s="506"/>
      <c r="J80" s="511"/>
      <c r="K80" s="511"/>
      <c r="L80" s="511"/>
      <c r="M80" s="4"/>
      <c r="N80" s="4"/>
      <c r="O80" s="4"/>
      <c r="P80" s="4"/>
      <c r="R80">
        <f t="shared" si="36"/>
        <v>0</v>
      </c>
      <c r="V80">
        <f t="shared" si="37"/>
        <v>0</v>
      </c>
      <c r="Y80"/>
      <c r="Z80"/>
      <c r="AO80" s="1"/>
      <c r="BL80" s="1"/>
      <c r="BW80" s="248"/>
      <c r="BX80" s="248"/>
      <c r="CY80"/>
      <c r="CZ80"/>
    </row>
    <row r="81" spans="1:111" hidden="1">
      <c r="A81" s="498">
        <f>COUNTIF(C9,"Skema 1")+COUNTIF(C9,"Skema 2")+COUNTIF(C9,"Skema 3")+COUNTIF(C9,"Skema 4")+COUNTIF(C9,"Fagdag")+COUNTIF(C9,"Emnedag")+COUNTIF(C9,"Lejrskole")+COUNTIF(C9,"Ekskursion")+COUNTIF(C9,"Pæd.dag")</f>
        <v>0</v>
      </c>
      <c r="B81" s="498"/>
      <c r="C81" s="498"/>
      <c r="D81" s="498"/>
      <c r="E81" s="498"/>
      <c r="F81" s="498" t="s">
        <v>201</v>
      </c>
      <c r="G81" s="498">
        <f>COUNTIFS($B$9:$B$38,"ma",[0]!Juni,"Skema 4")</f>
        <v>0</v>
      </c>
      <c r="H81" s="498"/>
      <c r="I81" s="506"/>
      <c r="J81" s="511"/>
      <c r="K81" s="511"/>
      <c r="L81" s="511"/>
      <c r="M81" s="4"/>
      <c r="N81" s="4"/>
      <c r="O81" s="4"/>
      <c r="P81" s="4"/>
      <c r="R81">
        <f t="shared" si="36"/>
        <v>0</v>
      </c>
      <c r="V81">
        <f t="shared" si="37"/>
        <v>0</v>
      </c>
      <c r="Y81"/>
      <c r="Z81"/>
      <c r="AO81" s="1"/>
      <c r="BL81" s="1"/>
      <c r="BW81" s="248"/>
      <c r="BX81" s="248"/>
      <c r="CY81"/>
      <c r="CZ81"/>
    </row>
    <row r="82" spans="1:111" hidden="1">
      <c r="A82" s="498">
        <f>COUNTIF(C15:C16,"Skema 1")+COUNTIF(C15:C16,"Skema 2")+COUNTIF(C15:C16,"Skema 3")+COUNTIF(C15:C16,"Skema 4")+COUNTIF(C15:C16,"Fagdag")+COUNTIF(C15:C16,"Emnedag")+COUNTIF(C15:C16,"Lejrskole")+COUNTIF(C15:C16,"Ekskursion")+COUNTIF(C15:C16,"Pæd.dag")</f>
        <v>0</v>
      </c>
      <c r="B82" s="498"/>
      <c r="C82" s="498"/>
      <c r="D82" s="498"/>
      <c r="E82" s="498"/>
      <c r="F82" s="498" t="s">
        <v>202</v>
      </c>
      <c r="G82" s="498">
        <f>COUNTIFS($B$9:$B$38,"ti",[0]!Juni,"Skema 4")</f>
        <v>0</v>
      </c>
      <c r="H82" s="498"/>
      <c r="I82" s="506"/>
      <c r="J82" s="511"/>
      <c r="K82" s="511"/>
      <c r="L82" s="511"/>
      <c r="M82" s="4"/>
      <c r="N82" s="4"/>
      <c r="O82" s="4"/>
      <c r="P82" s="4"/>
      <c r="R82">
        <f t="shared" si="36"/>
        <v>0</v>
      </c>
      <c r="V82">
        <f t="shared" si="37"/>
        <v>0</v>
      </c>
      <c r="Y82"/>
      <c r="Z82"/>
      <c r="AO82" s="1"/>
      <c r="BL82" s="1"/>
      <c r="BW82" s="248"/>
      <c r="BX82" s="248"/>
      <c r="CY82"/>
      <c r="CZ82"/>
    </row>
    <row r="83" spans="1:111" hidden="1">
      <c r="A83" s="498">
        <f>COUNTIF(C22:C23,"Skema 1")+COUNTIF(C22:C23,"Skema 2")+COUNTIF(C22:C23,"Skema 3")+COUNTIF(C22:C23,"Skema 4")+COUNTIF(C22:C23,"Fagdag")+COUNTIF(C22:C23,"Emnedag")+COUNTIF(C22:C23,"Lejrskole")+COUNTIF(C22:C23,"Ekskursion")+COUNTIF(C22:C23,"Pæd.dag")</f>
        <v>0</v>
      </c>
      <c r="B83" s="498"/>
      <c r="C83" s="498"/>
      <c r="D83" s="498"/>
      <c r="E83" s="498"/>
      <c r="F83" s="498" t="s">
        <v>203</v>
      </c>
      <c r="G83" s="498">
        <f>COUNTIFS($B$9:$B$38,"on",[0]!Juni,"Skema 4")</f>
        <v>0</v>
      </c>
      <c r="H83" s="498"/>
      <c r="I83" s="506"/>
      <c r="J83" s="511"/>
      <c r="K83" s="511"/>
      <c r="L83" s="511"/>
      <c r="M83" s="4"/>
      <c r="N83" s="4"/>
      <c r="O83" s="4"/>
      <c r="P83" s="4"/>
      <c r="R83">
        <f t="shared" si="36"/>
        <v>0</v>
      </c>
      <c r="V83">
        <f t="shared" si="37"/>
        <v>0</v>
      </c>
      <c r="Y83"/>
      <c r="Z83"/>
      <c r="AO83" s="1"/>
      <c r="BL83" s="1"/>
      <c r="BW83" s="248"/>
      <c r="BX83" s="248"/>
      <c r="CY83"/>
      <c r="CZ83"/>
    </row>
    <row r="84" spans="1:111" hidden="1">
      <c r="A84" s="498">
        <f>COUNTIF(C29:C30,"Skema 1")+COUNTIF(C29:C30,"Skema 2")+COUNTIF(C29:C30,"Skema 3")+COUNTIF(C29:C30,"Skema 4")+COUNTIF(C29:C30,"Fagdag")+COUNTIF(C29:C30,"Emnedag")+COUNTIF(C29:C30,"Lejrskole")+COUNTIF(C29:C30,"Ekskursion")+COUNTIF(C29:C30,"Pæd.dag")</f>
        <v>0</v>
      </c>
      <c r="B84" s="498"/>
      <c r="C84" s="498"/>
      <c r="D84" s="498"/>
      <c r="E84" s="498"/>
      <c r="F84" s="498" t="s">
        <v>204</v>
      </c>
      <c r="G84" s="498">
        <f>COUNTIFS($B$9:$B$38,"to",[0]!Juni,"Skema 4")</f>
        <v>0</v>
      </c>
      <c r="H84" s="498"/>
      <c r="I84" s="506"/>
      <c r="J84" s="511"/>
      <c r="K84" s="511"/>
      <c r="L84" s="511"/>
      <c r="M84" s="4"/>
      <c r="N84" s="4"/>
      <c r="O84" s="4"/>
      <c r="P84" s="4"/>
      <c r="R84">
        <f t="shared" si="36"/>
        <v>0</v>
      </c>
      <c r="V84">
        <f t="shared" si="37"/>
        <v>0</v>
      </c>
      <c r="Y84"/>
      <c r="Z84"/>
      <c r="AO84" s="1">
        <f>SUM(N84:AN84)</f>
        <v>0</v>
      </c>
      <c r="BL84" s="1">
        <f>SUM(AI84:BK84)</f>
        <v>0</v>
      </c>
      <c r="BW84" s="248"/>
      <c r="BX84" s="248"/>
      <c r="CY84"/>
      <c r="CZ84"/>
    </row>
    <row r="85" spans="1:111" hidden="1">
      <c r="A85" s="498">
        <f>COUNTIF(C36:C37,"Skema 1")+COUNTIF(C36:C37,"Skema 2")+COUNTIF(C36:C37,"Skema 3")+COUNTIF(C36:C37,"Skema 4")+COUNTIF(C36:C37,"Fagdag")+COUNTIF(C36:C37,"Emnedag")+COUNTIF(C36:C37,"Lejrskole")+COUNTIF(C36:C37,"Ekskursion")+COUNTIF(C36:C37,"Pæd.dag")</f>
        <v>0</v>
      </c>
      <c r="B85" s="498"/>
      <c r="C85" s="498"/>
      <c r="D85" s="498"/>
      <c r="E85" s="498"/>
      <c r="F85" s="498" t="s">
        <v>205</v>
      </c>
      <c r="G85" s="498">
        <f>COUNTIFS($B$9:$B$38,"fr",[0]!Juni,"Skema 4")</f>
        <v>0</v>
      </c>
      <c r="H85" s="498"/>
      <c r="I85" s="498"/>
      <c r="J85" s="501"/>
      <c r="K85" s="501"/>
      <c r="L85" s="41"/>
      <c r="R85">
        <f t="shared" si="36"/>
        <v>0</v>
      </c>
      <c r="V85">
        <f t="shared" si="37"/>
        <v>0</v>
      </c>
      <c r="Y85"/>
      <c r="Z85"/>
      <c r="AO85" s="1">
        <f>SUM(N85:AN85)</f>
        <v>0</v>
      </c>
      <c r="BL85" s="1">
        <f>SUM(AI85:BK85)</f>
        <v>0</v>
      </c>
      <c r="BW85" s="248"/>
      <c r="BX85" s="248"/>
      <c r="CY85"/>
      <c r="CZ85"/>
    </row>
    <row r="86" spans="1:111" hidden="1">
      <c r="A86" s="498">
        <f>SUM(A81:A85)</f>
        <v>0</v>
      </c>
      <c r="B86" s="498"/>
      <c r="C86" s="498"/>
      <c r="D86" s="498"/>
      <c r="E86" s="498"/>
      <c r="F86" s="498"/>
      <c r="G86" s="503">
        <f>SUM(G63:G85)</f>
        <v>17</v>
      </c>
      <c r="H86" s="501"/>
      <c r="I86" s="498"/>
      <c r="J86" s="501"/>
      <c r="K86" s="501"/>
      <c r="L86" s="41"/>
      <c r="R86">
        <f t="shared" si="36"/>
        <v>0</v>
      </c>
      <c r="V86">
        <f t="shared" si="37"/>
        <v>0</v>
      </c>
      <c r="Y86"/>
      <c r="Z86"/>
      <c r="AO86" s="1">
        <f>SUM(N86:AN86)</f>
        <v>0</v>
      </c>
      <c r="BL86" s="1">
        <f>SUM(AI86:BK86)</f>
        <v>0</v>
      </c>
      <c r="BW86" s="248"/>
      <c r="BX86" s="248"/>
      <c r="CY86"/>
      <c r="CZ86"/>
    </row>
    <row r="87" spans="1:111" hidden="1">
      <c r="A87" s="501"/>
      <c r="B87" s="501"/>
      <c r="C87" s="501"/>
      <c r="D87" s="501"/>
      <c r="E87" s="498"/>
      <c r="F87" s="498"/>
      <c r="G87" s="498"/>
      <c r="H87" s="41"/>
      <c r="I87" s="501"/>
      <c r="J87" s="501"/>
      <c r="K87" s="501"/>
      <c r="L87" s="41"/>
      <c r="R87">
        <f t="shared" si="36"/>
        <v>0</v>
      </c>
      <c r="V87">
        <f t="shared" si="37"/>
        <v>0</v>
      </c>
      <c r="Y87"/>
      <c r="Z87"/>
      <c r="AO87" s="1">
        <f>SUM(N87:AN87)</f>
        <v>0</v>
      </c>
      <c r="BL87" s="1">
        <f>SUM(AI87:BK87)</f>
        <v>0</v>
      </c>
      <c r="BW87" s="248"/>
      <c r="BX87" s="248"/>
      <c r="CY87"/>
      <c r="CZ87"/>
    </row>
    <row r="88" spans="1:111" hidden="1">
      <c r="A88" s="501"/>
      <c r="B88" s="501"/>
      <c r="C88" s="501"/>
      <c r="D88" s="501"/>
      <c r="E88" s="498"/>
      <c r="F88" s="498"/>
      <c r="G88" s="498"/>
      <c r="H88" s="41"/>
      <c r="I88" s="41"/>
      <c r="J88" s="501"/>
      <c r="K88" s="501"/>
      <c r="L88" s="41"/>
      <c r="R88">
        <f t="shared" si="36"/>
        <v>0</v>
      </c>
      <c r="V88">
        <f t="shared" si="37"/>
        <v>0</v>
      </c>
      <c r="Y88"/>
      <c r="Z88"/>
      <c r="BW88" s="248"/>
      <c r="BX88" s="248"/>
      <c r="CY88"/>
      <c r="CZ88"/>
    </row>
    <row r="89" spans="1:111" hidden="1">
      <c r="A89" s="501"/>
      <c r="B89" s="501"/>
      <c r="C89" s="501"/>
      <c r="D89" s="501"/>
      <c r="E89" s="498"/>
      <c r="F89" s="498"/>
      <c r="G89" s="498"/>
      <c r="H89" s="41"/>
      <c r="I89" s="41"/>
      <c r="J89" s="41"/>
      <c r="K89" s="41"/>
      <c r="L89" s="41"/>
      <c r="R89">
        <f t="shared" si="36"/>
        <v>0</v>
      </c>
      <c r="V89">
        <f t="shared" si="37"/>
        <v>0</v>
      </c>
      <c r="Y89"/>
      <c r="Z89"/>
      <c r="BW89" s="248"/>
      <c r="BX89" s="248"/>
      <c r="CY89"/>
      <c r="CZ89"/>
    </row>
    <row r="90" spans="1:111" hidden="1">
      <c r="A90" s="501"/>
      <c r="B90" s="501"/>
      <c r="C90" s="501"/>
      <c r="D90" s="501"/>
      <c r="E90" s="498"/>
      <c r="F90" s="498"/>
      <c r="G90" s="498"/>
      <c r="H90" s="41"/>
      <c r="I90" s="41"/>
      <c r="J90" s="41"/>
      <c r="K90" s="41"/>
      <c r="L90" s="41"/>
      <c r="R90">
        <f t="shared" si="36"/>
        <v>0</v>
      </c>
      <c r="V90">
        <f t="shared" si="37"/>
        <v>0</v>
      </c>
      <c r="Y90"/>
      <c r="Z90"/>
      <c r="BW90" s="248"/>
      <c r="BX90" s="248"/>
      <c r="CY90"/>
      <c r="CZ90"/>
    </row>
    <row r="91" spans="1:111" hidden="1">
      <c r="A91" s="501"/>
      <c r="B91" s="501"/>
      <c r="C91" s="501"/>
      <c r="D91" s="501"/>
      <c r="E91" s="498"/>
      <c r="F91" s="498"/>
      <c r="G91" s="498"/>
      <c r="I91" s="41"/>
      <c r="J91" s="41"/>
      <c r="K91" s="41"/>
      <c r="L91" s="41"/>
      <c r="R91">
        <f t="shared" si="36"/>
        <v>0</v>
      </c>
      <c r="V91">
        <f t="shared" si="37"/>
        <v>0</v>
      </c>
      <c r="Y91"/>
      <c r="Z91"/>
      <c r="BW91" s="248"/>
      <c r="BX91" s="248"/>
      <c r="CY91"/>
      <c r="CZ91"/>
    </row>
    <row r="92" spans="1:111" hidden="1">
      <c r="A92" s="501"/>
      <c r="B92" s="501"/>
      <c r="C92" s="501"/>
      <c r="D92" s="501"/>
      <c r="E92" s="498"/>
      <c r="F92" s="498"/>
      <c r="G92" s="498"/>
      <c r="I92" s="41"/>
      <c r="J92" s="41"/>
      <c r="K92" s="41"/>
      <c r="L92" s="41"/>
      <c r="R92">
        <f t="shared" si="36"/>
        <v>0</v>
      </c>
      <c r="V92">
        <f t="shared" si="37"/>
        <v>0</v>
      </c>
      <c r="Y92"/>
      <c r="Z92"/>
      <c r="BW92" s="248"/>
      <c r="BX92" s="248"/>
      <c r="CY92"/>
      <c r="CZ92"/>
    </row>
    <row r="93" spans="1:111" hidden="1">
      <c r="A93" s="445"/>
      <c r="B93" s="445"/>
      <c r="C93" s="445"/>
      <c r="D93" s="445"/>
      <c r="E93" s="118"/>
      <c r="F93" s="118"/>
      <c r="G93" s="118"/>
      <c r="I93" s="41"/>
      <c r="J93" s="41"/>
      <c r="K93" s="41"/>
      <c r="L93" s="41"/>
      <c r="R93">
        <f t="shared" si="36"/>
        <v>0</v>
      </c>
      <c r="V93">
        <f t="shared" si="37"/>
        <v>0</v>
      </c>
      <c r="Y93"/>
      <c r="Z93"/>
      <c r="AD93" s="4"/>
      <c r="AE93" s="231"/>
      <c r="AF93" s="231"/>
      <c r="AG93" s="231"/>
      <c r="AH93" s="231"/>
      <c r="CY93"/>
      <c r="CZ93"/>
      <c r="DF93" s="248"/>
      <c r="DG93" s="248"/>
    </row>
    <row r="94" spans="1:111" hidden="1">
      <c r="A94" s="445"/>
      <c r="B94" s="445"/>
      <c r="C94" s="445"/>
      <c r="D94" s="445"/>
      <c r="E94" s="118"/>
      <c r="F94" s="118"/>
      <c r="G94" s="118"/>
      <c r="I94" s="41"/>
      <c r="J94" s="41"/>
      <c r="K94" s="41"/>
      <c r="L94" s="41"/>
      <c r="R94">
        <f t="shared" si="36"/>
        <v>0</v>
      </c>
      <c r="V94">
        <f t="shared" si="37"/>
        <v>0</v>
      </c>
      <c r="Y94"/>
      <c r="Z94"/>
      <c r="AD94" s="4"/>
      <c r="AE94" s="231"/>
      <c r="AF94" s="231"/>
      <c r="AG94" s="231"/>
      <c r="AH94" s="231"/>
      <c r="CY94"/>
      <c r="CZ94"/>
      <c r="DF94" s="248"/>
      <c r="DG94" s="248"/>
    </row>
    <row r="95" spans="1:111" hidden="1">
      <c r="A95" s="445"/>
      <c r="B95" s="445"/>
      <c r="C95" s="445"/>
      <c r="D95" s="445"/>
      <c r="E95" s="118"/>
      <c r="F95" s="118"/>
      <c r="G95" s="118"/>
      <c r="I95" s="41"/>
      <c r="J95" s="41"/>
      <c r="K95" s="41"/>
      <c r="L95" s="41"/>
      <c r="R95">
        <f t="shared" si="36"/>
        <v>0</v>
      </c>
      <c r="V95">
        <f t="shared" si="37"/>
        <v>0</v>
      </c>
    </row>
    <row r="96" spans="1:111" hidden="1">
      <c r="A96" s="445"/>
      <c r="B96" s="445"/>
      <c r="C96" s="445"/>
      <c r="D96" s="445"/>
      <c r="E96" s="118"/>
      <c r="F96" s="118"/>
      <c r="G96" s="118"/>
      <c r="I96" s="41"/>
      <c r="J96" s="41"/>
      <c r="K96" s="41"/>
      <c r="L96" s="41"/>
      <c r="R96">
        <f t="shared" si="36"/>
        <v>0</v>
      </c>
      <c r="V96">
        <f t="shared" si="37"/>
        <v>0</v>
      </c>
    </row>
    <row r="97" spans="1:22" hidden="1">
      <c r="A97" s="445"/>
      <c r="B97" s="445"/>
      <c r="C97" s="445"/>
      <c r="D97" s="445"/>
      <c r="E97" s="445"/>
      <c r="F97" s="445"/>
      <c r="G97" s="445"/>
      <c r="I97" s="41"/>
      <c r="J97" s="41"/>
      <c r="K97" s="41"/>
      <c r="L97" s="41"/>
      <c r="R97">
        <f t="shared" si="36"/>
        <v>0</v>
      </c>
      <c r="V97">
        <f t="shared" si="37"/>
        <v>0</v>
      </c>
    </row>
    <row r="98" spans="1:22" hidden="1">
      <c r="I98" s="41"/>
      <c r="J98" s="41"/>
      <c r="K98" s="41"/>
      <c r="L98" s="41"/>
      <c r="R98">
        <f t="shared" si="36"/>
        <v>0</v>
      </c>
      <c r="V98">
        <f t="shared" si="37"/>
        <v>0</v>
      </c>
    </row>
    <row r="99" spans="1:22" hidden="1">
      <c r="I99" s="41"/>
      <c r="J99" s="41"/>
      <c r="K99" s="41"/>
      <c r="L99" s="445"/>
      <c r="R99">
        <f t="shared" si="36"/>
        <v>0</v>
      </c>
      <c r="V99">
        <f t="shared" si="37"/>
        <v>0</v>
      </c>
    </row>
    <row r="100" spans="1:22" hidden="1">
      <c r="I100" s="41"/>
      <c r="J100" s="41"/>
      <c r="K100" s="41"/>
      <c r="L100" s="445"/>
      <c r="R100">
        <f t="shared" si="36"/>
        <v>0</v>
      </c>
      <c r="V100">
        <f t="shared" si="37"/>
        <v>0</v>
      </c>
    </row>
    <row r="101" spans="1:22" hidden="1">
      <c r="I101" s="41"/>
      <c r="J101" s="41"/>
      <c r="K101" s="41"/>
      <c r="L101" s="445"/>
      <c r="R101">
        <f t="shared" si="36"/>
        <v>0</v>
      </c>
      <c r="V101">
        <f t="shared" si="37"/>
        <v>0</v>
      </c>
    </row>
    <row r="102" spans="1:22" hidden="1">
      <c r="I102" s="445"/>
      <c r="J102" s="41"/>
      <c r="K102" s="41"/>
      <c r="L102" s="445"/>
      <c r="R102">
        <f t="shared" si="36"/>
        <v>0</v>
      </c>
      <c r="V102">
        <f t="shared" si="37"/>
        <v>0</v>
      </c>
    </row>
    <row r="103" spans="1:22" hidden="1">
      <c r="I103" s="445"/>
      <c r="J103" s="445"/>
      <c r="K103" s="445"/>
      <c r="L103" s="445"/>
      <c r="R103">
        <f t="shared" si="36"/>
        <v>0</v>
      </c>
      <c r="V103">
        <f t="shared" si="37"/>
        <v>0</v>
      </c>
    </row>
    <row r="104" spans="1:22" ht="17" hidden="1" thickBot="1">
      <c r="I104" s="445"/>
      <c r="J104" s="445"/>
      <c r="K104" s="445"/>
      <c r="L104" s="445"/>
      <c r="R104">
        <f t="shared" si="36"/>
        <v>0</v>
      </c>
      <c r="V104">
        <f t="shared" si="37"/>
        <v>0</v>
      </c>
    </row>
    <row r="105" spans="1:22" ht="17" hidden="1" thickBot="1">
      <c r="I105" s="445"/>
      <c r="J105" s="445"/>
      <c r="K105" s="445"/>
      <c r="L105" s="445"/>
      <c r="R105" s="693">
        <f>SUM(R74:R104)+FB40</f>
        <v>0</v>
      </c>
      <c r="V105">
        <f>SUM(V74:V104)</f>
        <v>0</v>
      </c>
    </row>
    <row r="106" spans="1:22">
      <c r="I106" s="445"/>
      <c r="J106" s="445"/>
      <c r="K106" s="445"/>
      <c r="L106" s="445"/>
    </row>
  </sheetData>
  <sheetProtection sheet="1" objects="1" scenarios="1"/>
  <mergeCells count="173">
    <mergeCell ref="FQ8:FR8"/>
    <mergeCell ref="DS8:DV8"/>
    <mergeCell ref="DZ8:EB8"/>
    <mergeCell ref="EG8:EI8"/>
    <mergeCell ref="EM8:EN8"/>
    <mergeCell ref="EQ8:ER8"/>
    <mergeCell ref="EU8:EV8"/>
    <mergeCell ref="FC8:FD8"/>
    <mergeCell ref="FG8:FH8"/>
    <mergeCell ref="FK8:FL8"/>
    <mergeCell ref="EY8:EZ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EW6:EZ6"/>
    <mergeCell ref="A60:B60"/>
    <mergeCell ref="C60:D60"/>
    <mergeCell ref="E60:G60"/>
    <mergeCell ref="I60:K60"/>
    <mergeCell ref="A61:G61"/>
    <mergeCell ref="I61:K61"/>
    <mergeCell ref="I57:K57"/>
    <mergeCell ref="A58:B58"/>
    <mergeCell ref="C58:D58"/>
    <mergeCell ref="E58:G58"/>
    <mergeCell ref="I58:K58"/>
    <mergeCell ref="A59:B59"/>
    <mergeCell ref="C59:D59"/>
    <mergeCell ref="E59:G59"/>
    <mergeCell ref="I59:K59"/>
    <mergeCell ref="A48:H48"/>
    <mergeCell ref="I48:K48"/>
    <mergeCell ref="A44:G44"/>
    <mergeCell ref="A47:H47"/>
    <mergeCell ref="I47:K47"/>
    <mergeCell ref="V44:X44"/>
    <mergeCell ref="M45:U45"/>
    <mergeCell ref="V45:X45"/>
    <mergeCell ref="M46:X46"/>
    <mergeCell ref="M47:U47"/>
    <mergeCell ref="V47:X47"/>
    <mergeCell ref="M48:U48"/>
    <mergeCell ref="V48:X48"/>
    <mergeCell ref="A66:C66"/>
    <mergeCell ref="A64:C64"/>
    <mergeCell ref="A49:H49"/>
    <mergeCell ref="I49:K49"/>
    <mergeCell ref="I50:K50"/>
    <mergeCell ref="M49:U49"/>
    <mergeCell ref="V49:X49"/>
    <mergeCell ref="M50:U50"/>
    <mergeCell ref="V50:X50"/>
    <mergeCell ref="A65:C65"/>
    <mergeCell ref="M51:U51"/>
    <mergeCell ref="V51:X51"/>
    <mergeCell ref="A52:G53"/>
    <mergeCell ref="I52:K52"/>
    <mergeCell ref="M52:U52"/>
    <mergeCell ref="V52:X52"/>
    <mergeCell ref="A55:K55"/>
    <mergeCell ref="A56:B56"/>
    <mergeCell ref="C56:D56"/>
    <mergeCell ref="E56:G56"/>
    <mergeCell ref="H56:K56"/>
    <mergeCell ref="A57:B57"/>
    <mergeCell ref="C57:D57"/>
    <mergeCell ref="E57:G57"/>
    <mergeCell ref="I42:K42"/>
    <mergeCell ref="A43:G43"/>
    <mergeCell ref="I43:K43"/>
    <mergeCell ref="M43:U43"/>
    <mergeCell ref="V43:X43"/>
    <mergeCell ref="A46:G46"/>
    <mergeCell ref="I46:K46"/>
    <mergeCell ref="E36:G36"/>
    <mergeCell ref="E37:G37"/>
    <mergeCell ref="E38:G38"/>
    <mergeCell ref="A39:I39"/>
    <mergeCell ref="A41:G41"/>
    <mergeCell ref="I41:K41"/>
    <mergeCell ref="M41:X41"/>
    <mergeCell ref="M42:U42"/>
    <mergeCell ref="V42:X42"/>
    <mergeCell ref="I44:K44"/>
    <mergeCell ref="A45:G45"/>
    <mergeCell ref="I45:K45"/>
    <mergeCell ref="M44:U44"/>
    <mergeCell ref="E24:G24"/>
    <mergeCell ref="E25:G25"/>
    <mergeCell ref="E26:G26"/>
    <mergeCell ref="E27:G27"/>
    <mergeCell ref="E28:G28"/>
    <mergeCell ref="E32:G32"/>
    <mergeCell ref="A42:G42"/>
    <mergeCell ref="E33:G33"/>
    <mergeCell ref="E34:G34"/>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A3:X3"/>
    <mergeCell ref="N6:N7"/>
    <mergeCell ref="O6:O7"/>
    <mergeCell ref="B2:E2"/>
    <mergeCell ref="E4:G4"/>
    <mergeCell ref="K4:L4"/>
    <mergeCell ref="A5:R5"/>
    <mergeCell ref="A4:D4"/>
    <mergeCell ref="I8:J8"/>
    <mergeCell ref="K8:R8"/>
    <mergeCell ref="I6:I7"/>
    <mergeCell ref="J6:J7"/>
    <mergeCell ref="I53:K53"/>
    <mergeCell ref="A54:G54"/>
    <mergeCell ref="I54:K54"/>
    <mergeCell ref="S5:X5"/>
    <mergeCell ref="S6:X6"/>
    <mergeCell ref="S8:U8"/>
    <mergeCell ref="V8:X8"/>
    <mergeCell ref="E17:G17"/>
    <mergeCell ref="E18:G18"/>
    <mergeCell ref="E19:G19"/>
    <mergeCell ref="E20:G20"/>
    <mergeCell ref="E21:G21"/>
    <mergeCell ref="E22:G22"/>
    <mergeCell ref="E11:G11"/>
    <mergeCell ref="E12:G12"/>
    <mergeCell ref="E13:G13"/>
    <mergeCell ref="E14:G14"/>
    <mergeCell ref="E15:G15"/>
    <mergeCell ref="E16:G16"/>
    <mergeCell ref="E29:G29"/>
    <mergeCell ref="E30:G30"/>
    <mergeCell ref="E31:G31"/>
    <mergeCell ref="E35:G35"/>
    <mergeCell ref="E23:G23"/>
  </mergeCells>
  <phoneticPr fontId="5" type="noConversion"/>
  <conditionalFormatting sqref="A9:H9 D10:H31 A10:C38 D32:E32 H32 D33:H38">
    <cfRule type="expression" dxfId="479" priority="41">
      <formula>OR($C9="ekskursion")</formula>
    </cfRule>
    <cfRule type="expression" dxfId="478" priority="47" stopIfTrue="1">
      <formula>OR($C9="Orlov")</formula>
    </cfRule>
    <cfRule type="expression" dxfId="477" priority="46">
      <formula>OR($C9="weekend")</formula>
    </cfRule>
    <cfRule type="expression" dxfId="476" priority="45">
      <formula>OR($C9="feriedag")</formula>
    </cfRule>
    <cfRule type="expression" dxfId="475" priority="44">
      <formula>OR($C9="fagdag")</formula>
    </cfRule>
    <cfRule type="expression" dxfId="474" priority="43">
      <formula>OR($C9="emnedag")</formula>
    </cfRule>
    <cfRule type="expression" dxfId="473" priority="42">
      <formula>OR($C9="lejrskole")</formula>
    </cfRule>
    <cfRule type="expression" dxfId="472" priority="40">
      <formula>OR($C9="SH-dag")</formula>
    </cfRule>
    <cfRule type="expression" dxfId="471" priority="39">
      <formula>OR($C9="nul-dag")</formula>
    </cfRule>
    <cfRule type="expression" dxfId="470" priority="38">
      <formula>OR($C9="pæd.dag")</formula>
    </cfRule>
    <cfRule type="expression" dxfId="469" priority="37">
      <formula>OR($C9="Ikke relevant")</formula>
    </cfRule>
    <cfRule type="expression" dxfId="468" priority="33">
      <formula>OR($C9="Skema 1")</formula>
    </cfRule>
    <cfRule type="expression" dxfId="467" priority="34">
      <formula>OR($C9="skema 2")</formula>
    </cfRule>
    <cfRule type="expression" dxfId="466" priority="35">
      <formula>OR($C9="Skema 3")</formula>
    </cfRule>
    <cfRule type="expression" dxfId="465" priority="36">
      <formula>OR($C9="Skema 4")</formula>
    </cfRule>
  </conditionalFormatting>
  <conditionalFormatting sqref="E20">
    <cfRule type="expression" dxfId="464" priority="49">
      <formula>OR($D19="nul-dag")</formula>
    </cfRule>
    <cfRule type="expression" dxfId="463" priority="50">
      <formula>OR($D19="SH-dag")</formula>
    </cfRule>
    <cfRule type="expression" dxfId="462" priority="51">
      <formula>OR($D19="ekskursion")</formula>
    </cfRule>
    <cfRule type="expression" dxfId="461" priority="52">
      <formula>OR($D19="lejrskole")</formula>
    </cfRule>
    <cfRule type="expression" dxfId="460" priority="48">
      <formula>OR($D19="pæd.dag")</formula>
    </cfRule>
    <cfRule type="expression" dxfId="459" priority="53">
      <formula>OR($D19="emnedag")</formula>
    </cfRule>
    <cfRule type="expression" dxfId="458" priority="54">
      <formula>OR($D19="fagdag")</formula>
    </cfRule>
    <cfRule type="expression" dxfId="457" priority="55">
      <formula>OR($D19="feriedag")</formula>
    </cfRule>
    <cfRule type="expression" dxfId="456" priority="56">
      <formula>OR($D19="weekend")</formula>
    </cfRule>
    <cfRule type="expression" dxfId="455" priority="57" stopIfTrue="1">
      <formula>OR($D19="skoledag")</formula>
    </cfRule>
    <cfRule type="expression" dxfId="454" priority="58">
      <formula>OR($D19="Ikke relevant")</formula>
    </cfRule>
  </conditionalFormatting>
  <conditionalFormatting sqref="H57:H60">
    <cfRule type="expression" dxfId="453" priority="1">
      <formula>OR($A57&gt;0,)</formula>
    </cfRule>
  </conditionalFormatting>
  <conditionalFormatting sqref="I57:I60">
    <cfRule type="expression" dxfId="452" priority="2">
      <formula>OR($C57&gt;0,)</formula>
    </cfRule>
  </conditionalFormatting>
  <conditionalFormatting sqref="K9:K38">
    <cfRule type="expression" dxfId="451" priority="30">
      <formula>OR($C9="Pæd.dag",)</formula>
    </cfRule>
  </conditionalFormatting>
  <conditionalFormatting sqref="K9:L38">
    <cfRule type="expression" dxfId="450" priority="32">
      <formula>OR($C9="Ekskursion",)</formula>
    </cfRule>
    <cfRule type="expression" dxfId="449" priority="31">
      <formula>OR($C9="Lejrskole",)</formula>
    </cfRule>
  </conditionalFormatting>
  <conditionalFormatting sqref="K9:M38">
    <cfRule type="expression" dxfId="448" priority="29">
      <formula>OR($C9="emnedag",)</formula>
    </cfRule>
    <cfRule type="expression" dxfId="447" priority="28">
      <formula>OR($C9="fagdag",)</formula>
    </cfRule>
  </conditionalFormatting>
  <conditionalFormatting sqref="R9:R38">
    <cfRule type="expression" dxfId="446" priority="59">
      <formula>OR($H9&gt;"0",)</formula>
    </cfRule>
  </conditionalFormatting>
  <conditionalFormatting sqref="V9:V38">
    <cfRule type="expression" dxfId="445" priority="10">
      <formula>OR($S9="X",)</formula>
    </cfRule>
  </conditionalFormatting>
  <conditionalFormatting sqref="V48:X51">
    <cfRule type="expression" dxfId="444" priority="3">
      <formula>OR($M48&gt;0,)</formula>
    </cfRule>
  </conditionalFormatting>
  <conditionalFormatting sqref="W9:W38">
    <cfRule type="expression" dxfId="443" priority="8">
      <formula>OR($T9="X",)</formula>
    </cfRule>
  </conditionalFormatting>
  <conditionalFormatting sqref="X9:X38">
    <cfRule type="expression" dxfId="442" priority="9">
      <formula>OR($U9="X",)</formula>
    </cfRule>
  </conditionalFormatting>
  <dataValidations count="3">
    <dataValidation type="list" allowBlank="1" showInputMessage="1" showErrorMessage="1" sqref="S9:U38 A57:D60" xr:uid="{0038981B-4C30-8548-B059-56E8189389A0}">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9:I30 I9 I15:I17 I36:I37 I22:I23" xr:uid="{413C748C-D24D-AB45-8FA5-951D034997C9}">
      <formula1>$W$1:$W$2</formula1>
    </dataValidation>
    <dataValidation type="list" allowBlank="1" showInputMessage="1" showErrorMessage="1" promptTitle="OBS:" prompt="Ved arrangementer med overnatning ydes istedet for ulempe- og weekendgodtgørelse på hhv. 25% og 50% faste tillæg pr. påbegyndt dag. " sqref="J9:J38" xr:uid="{7635A4E6-26AD-7048-BA8D-4B0932A8B31F}">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76F96C60-875D-774C-A772-9B7701DAD6A3}">
          <x14:formula1>
            <xm:f>August!$A$89:$A$103</xm:f>
          </x14:formula1>
          <xm:sqref>C9:C38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0453D-92EC-3442-AEAE-6ACA12A7E901}">
  <sheetPr>
    <tabColor theme="4" tint="-0.249977111117893"/>
    <pageSetUpPr fitToPage="1"/>
  </sheetPr>
  <dimension ref="A1:GC111"/>
  <sheetViews>
    <sheetView topLeftCell="A7" zoomScaleNormal="100" workbookViewId="0">
      <selection activeCell="J24" sqref="J2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4" width="11" customWidth="1"/>
    <col min="25" max="25" width="20.5" style="231" hidden="1" customWidth="1"/>
    <col min="26" max="26" width="7" style="231"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8" hidden="1" customWidth="1"/>
    <col min="105" max="118" width="10.83203125" hidden="1" customWidth="1"/>
    <col min="119" max="185" width="0" hidden="1" customWidth="1"/>
  </cols>
  <sheetData>
    <row r="1" spans="1:185" ht="16" customHeight="1">
      <c r="A1" s="93"/>
      <c r="B1" s="90"/>
      <c r="C1" s="90"/>
      <c r="D1" s="90"/>
      <c r="E1" s="90"/>
      <c r="F1" s="90"/>
      <c r="G1" s="90"/>
      <c r="H1" s="279"/>
      <c r="I1" s="278"/>
      <c r="J1" s="90"/>
      <c r="K1" s="230"/>
      <c r="L1" s="230"/>
      <c r="M1" s="230"/>
      <c r="N1" s="230"/>
      <c r="O1" s="230"/>
      <c r="P1" s="90"/>
      <c r="Q1" s="90"/>
      <c r="R1" s="90"/>
      <c r="S1" s="90"/>
      <c r="T1" s="90"/>
      <c r="U1" s="90"/>
      <c r="V1" s="90"/>
      <c r="W1" s="90"/>
      <c r="X1" s="41"/>
      <c r="Y1" s="246"/>
      <c r="Z1" s="90"/>
      <c r="AB1" s="90"/>
      <c r="AC1" s="90"/>
      <c r="AH1" s="90"/>
      <c r="AI1" s="90"/>
      <c r="CX1" s="248"/>
      <c r="CZ1"/>
    </row>
    <row r="2" spans="1:185" ht="21" thickBot="1">
      <c r="A2" s="92">
        <v>7</v>
      </c>
      <c r="B2" s="1086"/>
      <c r="C2" s="1086"/>
      <c r="D2" s="1086"/>
      <c r="E2" s="1086"/>
      <c r="F2" s="90"/>
      <c r="G2" s="90"/>
      <c r="H2" s="279"/>
      <c r="I2" s="278"/>
      <c r="J2" s="230"/>
      <c r="K2" s="230"/>
      <c r="L2" s="230"/>
      <c r="M2" s="230"/>
      <c r="N2" s="230"/>
      <c r="O2" s="230"/>
      <c r="P2" s="90"/>
      <c r="Q2" s="90"/>
      <c r="R2" s="90"/>
      <c r="S2" s="90"/>
      <c r="T2" s="90"/>
      <c r="U2" s="90"/>
      <c r="V2" s="90"/>
      <c r="W2" s="123" t="s">
        <v>31</v>
      </c>
      <c r="X2" s="123" t="s">
        <v>31</v>
      </c>
      <c r="Y2"/>
      <c r="Z2" s="90"/>
      <c r="AA2" s="90"/>
      <c r="AE2" s="90"/>
      <c r="AG2" s="90"/>
      <c r="CV2" s="248"/>
      <c r="CW2" s="248"/>
      <c r="CY2"/>
      <c r="CZ2"/>
    </row>
    <row r="3" spans="1:185" ht="17" thickBot="1">
      <c r="A3" s="1115" t="s">
        <v>310</v>
      </c>
      <c r="B3" s="1116"/>
      <c r="C3" s="1116"/>
      <c r="D3" s="1116"/>
      <c r="E3" s="1116"/>
      <c r="F3" s="1116"/>
      <c r="G3" s="1116"/>
      <c r="H3" s="1116"/>
      <c r="I3" s="1116"/>
      <c r="J3" s="1116"/>
      <c r="K3" s="1116"/>
      <c r="L3" s="1116"/>
      <c r="M3" s="1116"/>
      <c r="N3" s="1116"/>
      <c r="O3" s="1116"/>
      <c r="P3" s="1116"/>
      <c r="Q3" s="1116"/>
      <c r="R3" s="1116"/>
      <c r="S3" s="1116"/>
      <c r="T3" s="1116"/>
      <c r="U3" s="1116"/>
      <c r="V3" s="1116"/>
      <c r="W3" s="1116"/>
      <c r="X3" s="1117"/>
      <c r="Y3" s="90"/>
      <c r="Z3"/>
      <c r="AC3" s="90"/>
      <c r="AD3" s="90"/>
      <c r="AF3" s="90"/>
      <c r="CT3" s="248"/>
      <c r="CU3" s="248"/>
      <c r="CY3"/>
      <c r="CZ3"/>
      <c r="FI3" s="878" t="s">
        <v>636</v>
      </c>
      <c r="FJ3" s="879"/>
      <c r="FK3" s="879"/>
      <c r="FL3" s="879"/>
      <c r="FM3" s="879"/>
      <c r="FN3" s="879"/>
      <c r="FO3" s="879"/>
      <c r="FP3" s="879"/>
      <c r="FQ3" s="879"/>
      <c r="FR3" s="879"/>
      <c r="FS3" s="879"/>
      <c r="FT3" s="879"/>
      <c r="FU3" s="879"/>
      <c r="FV3" s="879"/>
      <c r="FW3" s="879"/>
      <c r="FX3" s="879"/>
      <c r="FY3" s="879"/>
      <c r="FZ3" s="879"/>
      <c r="GA3" s="879"/>
      <c r="GB3" s="879"/>
      <c r="GC3" s="880"/>
    </row>
    <row r="4" spans="1:185" ht="254" customHeight="1" thickBot="1">
      <c r="A4" s="915" t="s">
        <v>432</v>
      </c>
      <c r="B4" s="916"/>
      <c r="C4" s="916"/>
      <c r="D4" s="916"/>
      <c r="E4" s="920" t="s">
        <v>311</v>
      </c>
      <c r="F4" s="920"/>
      <c r="G4" s="920"/>
      <c r="H4" s="280" t="s">
        <v>414</v>
      </c>
      <c r="I4" s="438" t="s">
        <v>467</v>
      </c>
      <c r="J4" s="438" t="s">
        <v>468</v>
      </c>
      <c r="K4" s="931" t="s">
        <v>515</v>
      </c>
      <c r="L4" s="931"/>
      <c r="M4" s="486" t="s">
        <v>457</v>
      </c>
      <c r="N4" s="486" t="s">
        <v>433</v>
      </c>
      <c r="O4" s="486" t="s">
        <v>434</v>
      </c>
      <c r="P4" s="487" t="s">
        <v>458</v>
      </c>
      <c r="Q4" s="487" t="s">
        <v>309</v>
      </c>
      <c r="R4" s="487" t="s">
        <v>435</v>
      </c>
      <c r="S4" s="488" t="s">
        <v>465</v>
      </c>
      <c r="T4" s="488" t="s">
        <v>436</v>
      </c>
      <c r="U4" s="488" t="s">
        <v>437</v>
      </c>
      <c r="V4" s="489" t="s">
        <v>459</v>
      </c>
      <c r="W4" s="489" t="s">
        <v>400</v>
      </c>
      <c r="X4" s="490" t="s">
        <v>399</v>
      </c>
      <c r="Y4" s="246"/>
      <c r="Z4" s="90"/>
      <c r="AB4" s="90"/>
      <c r="AC4" s="90"/>
      <c r="AH4" s="90"/>
      <c r="AI4" s="90"/>
      <c r="CX4" s="248"/>
      <c r="CZ4"/>
      <c r="FI4" s="730" t="s">
        <v>634</v>
      </c>
      <c r="FJ4" s="730"/>
      <c r="FK4" s="730"/>
      <c r="FL4" s="730"/>
      <c r="FM4" t="s">
        <v>627</v>
      </c>
      <c r="FO4" s="730" t="s">
        <v>633</v>
      </c>
      <c r="FP4" s="730"/>
      <c r="FQ4" s="730"/>
      <c r="FR4" s="730"/>
    </row>
    <row r="5" spans="1:185" ht="26" customHeight="1" thickBot="1">
      <c r="A5" s="932" t="str">
        <f>""&amp;A7&amp;" måneds kalender for: "&amp;Stamoplysninger!E8&amp;". Måneden vedr. normperioden: "&amp;Stamoplysninger!E11&amp;" - "&amp;Stamoplysninger!G11&amp;"."</f>
        <v>Juli måneds kalender for: Beate Simonsen. Måneden vedr. normperioden: 01.08.2024 - 31.07.2025.</v>
      </c>
      <c r="B5" s="933"/>
      <c r="C5" s="933"/>
      <c r="D5" s="933"/>
      <c r="E5" s="933"/>
      <c r="F5" s="933"/>
      <c r="G5" s="933"/>
      <c r="H5" s="933"/>
      <c r="I5" s="933"/>
      <c r="J5" s="933"/>
      <c r="K5" s="933"/>
      <c r="L5" s="933"/>
      <c r="M5" s="933"/>
      <c r="N5" s="933"/>
      <c r="O5" s="933"/>
      <c r="P5" s="933"/>
      <c r="Q5" s="933"/>
      <c r="R5" s="933"/>
      <c r="S5" s="925" t="s">
        <v>306</v>
      </c>
      <c r="T5" s="926"/>
      <c r="U5" s="926"/>
      <c r="V5" s="926"/>
      <c r="W5" s="926"/>
      <c r="X5" s="927"/>
      <c r="Y5" s="246"/>
      <c r="Z5" s="90"/>
      <c r="AB5" s="90"/>
      <c r="AC5" s="90"/>
      <c r="AH5" s="90"/>
      <c r="AI5" s="90"/>
      <c r="CX5" s="248"/>
      <c r="CZ5"/>
      <c r="FI5" s="881" t="s">
        <v>620</v>
      </c>
      <c r="FJ5" s="881"/>
      <c r="FK5" s="881"/>
      <c r="FL5" s="881"/>
      <c r="FM5" s="881"/>
      <c r="FN5" s="881"/>
      <c r="FO5" s="881"/>
      <c r="FP5" s="881"/>
      <c r="FQ5" s="881"/>
      <c r="FR5" s="881"/>
      <c r="FU5" t="s">
        <v>635</v>
      </c>
      <c r="FV5" t="s">
        <v>628</v>
      </c>
      <c r="FX5" t="s">
        <v>629</v>
      </c>
      <c r="FZ5" t="s">
        <v>630</v>
      </c>
      <c r="GB5" s="526" t="s">
        <v>631</v>
      </c>
    </row>
    <row r="6" spans="1:185" ht="47" customHeight="1">
      <c r="A6" s="329">
        <f>Januar!A6</f>
        <v>2025</v>
      </c>
      <c r="B6" s="242"/>
      <c r="C6" s="243"/>
      <c r="D6" s="244"/>
      <c r="E6" s="940" t="s">
        <v>471</v>
      </c>
      <c r="F6" s="941"/>
      <c r="G6" s="942"/>
      <c r="H6" s="326" t="s">
        <v>324</v>
      </c>
      <c r="I6" s="888" t="s">
        <v>466</v>
      </c>
      <c r="J6" s="938" t="s">
        <v>487</v>
      </c>
      <c r="K6" s="934" t="s">
        <v>303</v>
      </c>
      <c r="L6" s="935"/>
      <c r="M6" s="327" t="s">
        <v>304</v>
      </c>
      <c r="N6" s="888" t="s">
        <v>447</v>
      </c>
      <c r="O6" s="888" t="s">
        <v>308</v>
      </c>
      <c r="P6" s="888" t="s">
        <v>456</v>
      </c>
      <c r="Q6" s="888" t="s">
        <v>387</v>
      </c>
      <c r="R6" s="891" t="s">
        <v>516</v>
      </c>
      <c r="S6" s="953" t="s">
        <v>305</v>
      </c>
      <c r="T6" s="954"/>
      <c r="U6" s="954"/>
      <c r="V6" s="954"/>
      <c r="W6" s="954"/>
      <c r="X6" s="955"/>
      <c r="Y6" s="212"/>
      <c r="Z6" s="212"/>
      <c r="AA6" s="890" t="s">
        <v>261</v>
      </c>
      <c r="AB6" s="890"/>
      <c r="AC6" s="890"/>
      <c r="AD6" s="890"/>
      <c r="AE6" s="890"/>
      <c r="AF6" s="209"/>
      <c r="AG6" s="890" t="s">
        <v>222</v>
      </c>
      <c r="AH6" s="890"/>
      <c r="AI6" s="890"/>
      <c r="AJ6" s="890"/>
      <c r="AK6" s="890"/>
      <c r="AL6" s="890" t="s">
        <v>223</v>
      </c>
      <c r="AM6" s="890"/>
      <c r="AN6" s="890"/>
      <c r="AO6" s="890"/>
      <c r="AP6" s="890"/>
      <c r="AQ6" s="890" t="s">
        <v>224</v>
      </c>
      <c r="AR6" s="890"/>
      <c r="AS6" s="890"/>
      <c r="AT6" s="890"/>
      <c r="AU6" s="890"/>
      <c r="AV6" s="890" t="s">
        <v>225</v>
      </c>
      <c r="AW6" s="890"/>
      <c r="AX6" s="890"/>
      <c r="AY6" s="890"/>
      <c r="AZ6" s="890"/>
      <c r="BA6" s="299"/>
      <c r="BB6" s="209"/>
      <c r="BC6" s="890" t="s">
        <v>264</v>
      </c>
      <c r="BD6" s="890"/>
      <c r="BE6" s="890"/>
      <c r="BF6" s="890"/>
      <c r="BG6" s="890" t="s">
        <v>227</v>
      </c>
      <c r="BH6" s="890"/>
      <c r="BI6" s="890"/>
      <c r="BJ6" s="890"/>
      <c r="BK6" s="890"/>
      <c r="BL6" s="890" t="s">
        <v>228</v>
      </c>
      <c r="BM6" s="890"/>
      <c r="BN6" s="890"/>
      <c r="BO6" s="890"/>
      <c r="BP6" s="890"/>
      <c r="BQ6" s="890" t="s">
        <v>229</v>
      </c>
      <c r="BR6" s="890"/>
      <c r="BS6" s="890"/>
      <c r="BT6" s="890"/>
      <c r="BU6" s="890"/>
      <c r="BV6" s="890" t="s">
        <v>230</v>
      </c>
      <c r="BW6" s="890"/>
      <c r="BX6" s="890"/>
      <c r="BY6" s="890"/>
      <c r="BZ6" s="890"/>
      <c r="CD6" s="890" t="s">
        <v>265</v>
      </c>
      <c r="CE6" s="890"/>
      <c r="CF6" s="890"/>
      <c r="CG6" s="890"/>
      <c r="CH6" s="890"/>
      <c r="CI6" s="890" t="s">
        <v>267</v>
      </c>
      <c r="CJ6" s="890"/>
      <c r="CK6" s="890"/>
      <c r="CL6" s="890"/>
      <c r="CM6" s="890"/>
      <c r="CN6" s="890" t="s">
        <v>266</v>
      </c>
      <c r="CO6" s="890"/>
      <c r="CP6" s="890"/>
      <c r="CQ6" s="890"/>
      <c r="CR6" s="890"/>
      <c r="CS6" s="890" t="s">
        <v>268</v>
      </c>
      <c r="CT6" s="890"/>
      <c r="CU6" s="890"/>
      <c r="CV6" s="890"/>
      <c r="CW6" s="890"/>
      <c r="CX6" s="248"/>
      <c r="CZ6"/>
      <c r="DA6" s="730" t="s">
        <v>212</v>
      </c>
      <c r="DB6" s="730"/>
      <c r="DC6" s="730"/>
      <c r="DD6" s="730"/>
      <c r="DE6" s="730"/>
      <c r="DO6" s="1049" t="s">
        <v>320</v>
      </c>
      <c r="DP6" s="1050"/>
      <c r="DQ6" s="1050"/>
      <c r="DR6" s="1050"/>
      <c r="DS6" s="1050"/>
      <c r="DT6" s="1050"/>
      <c r="DU6" s="1050"/>
      <c r="DV6" s="1051"/>
      <c r="DW6" s="1052" t="s">
        <v>320</v>
      </c>
      <c r="DX6" s="1053"/>
      <c r="DY6" s="1053"/>
      <c r="DZ6" s="1053"/>
      <c r="EA6" s="1053"/>
      <c r="EB6" s="1054"/>
      <c r="EC6" s="1055" t="s">
        <v>376</v>
      </c>
      <c r="ED6" s="1056"/>
      <c r="EE6" s="1056"/>
      <c r="EF6" s="1056"/>
      <c r="EG6" s="1056"/>
      <c r="EH6" s="1056"/>
      <c r="EI6" s="1056"/>
      <c r="EJ6" s="1057"/>
      <c r="EK6" s="1058" t="s">
        <v>321</v>
      </c>
      <c r="EL6" s="1059"/>
      <c r="EM6" s="1059"/>
      <c r="EN6" s="1060"/>
      <c r="EO6" s="1058" t="s">
        <v>325</v>
      </c>
      <c r="EP6" s="1059"/>
      <c r="EQ6" s="1059"/>
      <c r="ER6" s="1060"/>
      <c r="ES6" s="873" t="s">
        <v>379</v>
      </c>
      <c r="ET6" s="874"/>
      <c r="EU6" s="874"/>
      <c r="EV6" s="875"/>
      <c r="EW6" s="873" t="s">
        <v>380</v>
      </c>
      <c r="EX6" s="874"/>
      <c r="EY6" s="874"/>
      <c r="EZ6" s="875"/>
      <c r="FA6" s="873" t="s">
        <v>381</v>
      </c>
      <c r="FB6" s="874"/>
      <c r="FC6" s="874"/>
      <c r="FD6" s="875"/>
      <c r="FE6" s="873" t="s">
        <v>382</v>
      </c>
      <c r="FF6" s="874"/>
      <c r="FG6" s="874"/>
      <c r="FH6" s="875"/>
      <c r="FI6" s="883" t="s">
        <v>605</v>
      </c>
      <c r="FJ6" s="884"/>
      <c r="FK6" s="884"/>
      <c r="FL6" s="1061"/>
      <c r="FM6" s="882" t="s">
        <v>381</v>
      </c>
      <c r="FN6" s="882"/>
      <c r="FO6" s="883" t="s">
        <v>632</v>
      </c>
      <c r="FP6" s="884"/>
      <c r="FQ6" s="884"/>
      <c r="FR6" s="885"/>
      <c r="FS6" s="886" t="s">
        <v>622</v>
      </c>
      <c r="FT6" s="887"/>
      <c r="FU6" t="s">
        <v>625</v>
      </c>
      <c r="FV6" s="882" t="s">
        <v>379</v>
      </c>
      <c r="FW6" s="882"/>
      <c r="FX6" s="882" t="s">
        <v>380</v>
      </c>
      <c r="FY6" s="882"/>
      <c r="FZ6" s="882" t="s">
        <v>382</v>
      </c>
      <c r="GA6" s="882"/>
      <c r="GB6" s="882" t="s">
        <v>378</v>
      </c>
      <c r="GC6" s="882"/>
    </row>
    <row r="7" spans="1:185" ht="194" customHeight="1">
      <c r="A7" s="997" t="s">
        <v>289</v>
      </c>
      <c r="B7" s="998"/>
      <c r="C7" s="998"/>
      <c r="D7" s="999"/>
      <c r="E7" s="943"/>
      <c r="F7" s="944"/>
      <c r="G7" s="945"/>
      <c r="H7" s="952" t="s">
        <v>486</v>
      </c>
      <c r="I7" s="937"/>
      <c r="J7" s="939"/>
      <c r="K7" s="328" t="s">
        <v>517</v>
      </c>
      <c r="L7" s="328" t="s">
        <v>518</v>
      </c>
      <c r="M7" s="328" t="s">
        <v>519</v>
      </c>
      <c r="N7" s="889"/>
      <c r="O7" s="889"/>
      <c r="P7" s="889"/>
      <c r="Q7" s="889"/>
      <c r="R7" s="892"/>
      <c r="S7" s="492" t="s">
        <v>738</v>
      </c>
      <c r="T7" s="327" t="s">
        <v>307</v>
      </c>
      <c r="U7" s="327" t="s">
        <v>401</v>
      </c>
      <c r="V7" s="443" t="s">
        <v>439</v>
      </c>
      <c r="W7" s="443" t="s">
        <v>438</v>
      </c>
      <c r="X7" s="444" t="s">
        <v>398</v>
      </c>
      <c r="Y7" s="212" t="s">
        <v>279</v>
      </c>
      <c r="Z7" s="212" t="s">
        <v>280</v>
      </c>
      <c r="AA7" s="300" t="s">
        <v>211</v>
      </c>
      <c r="AB7" t="s">
        <v>136</v>
      </c>
      <c r="AC7" t="s">
        <v>139</v>
      </c>
      <c r="AD7" t="s">
        <v>138</v>
      </c>
      <c r="AE7" t="s">
        <v>137</v>
      </c>
      <c r="AF7" t="s">
        <v>416</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8"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2" t="s">
        <v>231</v>
      </c>
      <c r="CB7" s="234" t="s">
        <v>251</v>
      </c>
      <c r="CC7" s="300"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8" t="s">
        <v>277</v>
      </c>
      <c r="CY7" s="248" t="s">
        <v>269</v>
      </c>
      <c r="CZ7" s="248" t="s">
        <v>270</v>
      </c>
      <c r="DA7" s="248" t="s">
        <v>271</v>
      </c>
      <c r="DB7" s="248" t="s">
        <v>272</v>
      </c>
      <c r="DC7" s="248" t="s">
        <v>273</v>
      </c>
      <c r="DD7" s="248" t="s">
        <v>274</v>
      </c>
      <c r="DE7" s="248" t="s">
        <v>275</v>
      </c>
      <c r="DF7" s="248" t="s">
        <v>276</v>
      </c>
      <c r="DG7" s="248"/>
      <c r="DO7" s="649" t="s">
        <v>720</v>
      </c>
      <c r="DP7" s="300" t="s">
        <v>721</v>
      </c>
      <c r="DQ7" s="703" t="s">
        <v>725</v>
      </c>
      <c r="DR7" s="703" t="s">
        <v>722</v>
      </c>
      <c r="DS7" s="650" t="s">
        <v>727</v>
      </c>
      <c r="DT7" s="650" t="str">
        <f>DP7</f>
        <v>Ulempetillæg på weekenddage - kræver der er sat kryds i weekendarbejde. KOLONNE I</v>
      </c>
      <c r="DU7" s="705" t="s">
        <v>728</v>
      </c>
      <c r="DV7" s="704" t="str">
        <f>DR7</f>
        <v>Ulempetillæg ændringer på weekenddage. Kræver der er sat kryds i ændring i timetal og at det er en weekeend. KOLONNE I OG S</v>
      </c>
      <c r="DW7" s="649" t="s">
        <v>598</v>
      </c>
      <c r="DX7" s="300" t="s">
        <v>596</v>
      </c>
      <c r="DY7" s="300" t="s">
        <v>597</v>
      </c>
      <c r="DZ7" s="650" t="str">
        <f>DW7</f>
        <v>17-06 timer til udbetaling inkl. ændringer 17-06</v>
      </c>
      <c r="EA7" s="650" t="str">
        <f>DX7</f>
        <v>Ulempetillæg på weekenddage</v>
      </c>
      <c r="EB7" s="651" t="str">
        <f>DY7</f>
        <v>Ulempetillæg ændringer på weekenddage</v>
      </c>
      <c r="EC7" s="706" t="s">
        <v>723</v>
      </c>
      <c r="ED7" s="703" t="s">
        <v>724</v>
      </c>
      <c r="EE7" s="703" t="s">
        <v>726</v>
      </c>
      <c r="EF7" s="703" t="s">
        <v>722</v>
      </c>
      <c r="EG7" s="650" t="s">
        <v>727</v>
      </c>
      <c r="EH7" s="705" t="str">
        <f>ED7</f>
        <v>Ulempetillæg på weekenddage til afspadsering. Kræver der er sat kryds i weekendarb. KOLONNE I</v>
      </c>
      <c r="EI7" s="705" t="s">
        <v>728</v>
      </c>
      <c r="EJ7" s="704" t="str">
        <f>EF7</f>
        <v>Ulempetillæg ændringer på weekenddage. Kræver der er sat kryds i ændring i timetal og at det er en weekeend. KOLONNE I OG S</v>
      </c>
      <c r="EK7" s="656" t="s">
        <v>730</v>
      </c>
      <c r="EL7" s="654" t="s">
        <v>729</v>
      </c>
      <c r="EM7" s="655" t="s">
        <v>733</v>
      </c>
      <c r="EN7" s="657" t="s">
        <v>732</v>
      </c>
      <c r="EO7" s="656" t="s">
        <v>730</v>
      </c>
      <c r="EP7" s="654" t="s">
        <v>729</v>
      </c>
      <c r="EQ7" s="655" t="s">
        <v>733</v>
      </c>
      <c r="ER7" s="657" t="s">
        <v>732</v>
      </c>
      <c r="ES7" s="656" t="s">
        <v>734</v>
      </c>
      <c r="ET7" s="654" t="s">
        <v>735</v>
      </c>
      <c r="EU7" s="655" t="s">
        <v>731</v>
      </c>
      <c r="EV7" s="657" t="s">
        <v>736</v>
      </c>
      <c r="EW7" s="656" t="s">
        <v>734</v>
      </c>
      <c r="EX7" s="654" t="s">
        <v>735</v>
      </c>
      <c r="EY7" s="655" t="s">
        <v>731</v>
      </c>
      <c r="EZ7" s="657" t="s">
        <v>736</v>
      </c>
      <c r="FA7" s="656" t="s">
        <v>737</v>
      </c>
      <c r="FB7" s="654" t="s">
        <v>735</v>
      </c>
      <c r="FC7" s="655" t="s">
        <v>731</v>
      </c>
      <c r="FD7" s="657" t="s">
        <v>736</v>
      </c>
      <c r="FE7" s="656" t="str">
        <f>FA7</f>
        <v>Weekendtimer på weekenddage</v>
      </c>
      <c r="FF7" s="654" t="s">
        <v>735</v>
      </c>
      <c r="FG7" s="655" t="s">
        <v>731</v>
      </c>
      <c r="FH7" s="657" t="s">
        <v>736</v>
      </c>
      <c r="FI7" s="682" t="s">
        <v>619</v>
      </c>
      <c r="FJ7" s="654" t="s">
        <v>600</v>
      </c>
      <c r="FK7" s="682" t="s">
        <v>619</v>
      </c>
      <c r="FL7" s="657" t="s">
        <v>600</v>
      </c>
      <c r="FM7" s="683" t="s">
        <v>613</v>
      </c>
      <c r="FN7" s="684" t="s">
        <v>614</v>
      </c>
      <c r="FO7" s="682" t="s">
        <v>599</v>
      </c>
      <c r="FP7" s="654" t="s">
        <v>600</v>
      </c>
      <c r="FQ7" s="686" t="s">
        <v>599</v>
      </c>
      <c r="FR7" s="687" t="s">
        <v>600</v>
      </c>
      <c r="FS7" s="691" t="s">
        <v>621</v>
      </c>
      <c r="FT7" s="684" t="s">
        <v>621</v>
      </c>
      <c r="FU7" s="300" t="s">
        <v>624</v>
      </c>
      <c r="FV7" s="683" t="s">
        <v>626</v>
      </c>
      <c r="FW7" s="683" t="s">
        <v>626</v>
      </c>
      <c r="FX7" s="683" t="s">
        <v>626</v>
      </c>
      <c r="FY7" s="683" t="s">
        <v>626</v>
      </c>
      <c r="FZ7" s="683" t="s">
        <v>615</v>
      </c>
      <c r="GA7" s="684" t="s">
        <v>616</v>
      </c>
      <c r="GB7" s="683" t="s">
        <v>615</v>
      </c>
      <c r="GC7" s="684" t="s">
        <v>616</v>
      </c>
    </row>
    <row r="8" spans="1:185" ht="20" customHeight="1">
      <c r="A8" s="1000"/>
      <c r="B8" s="1001"/>
      <c r="C8" s="1001"/>
      <c r="D8" s="1002"/>
      <c r="E8" s="946"/>
      <c r="F8" s="947"/>
      <c r="G8" s="948"/>
      <c r="H8" s="889"/>
      <c r="I8" s="928" t="s">
        <v>383</v>
      </c>
      <c r="J8" s="936"/>
      <c r="K8" s="928" t="s">
        <v>326</v>
      </c>
      <c r="L8" s="929"/>
      <c r="M8" s="929"/>
      <c r="N8" s="929"/>
      <c r="O8" s="929"/>
      <c r="P8" s="929"/>
      <c r="Q8" s="929"/>
      <c r="R8" s="929"/>
      <c r="S8" s="956" t="s">
        <v>383</v>
      </c>
      <c r="T8" s="929"/>
      <c r="U8" s="936"/>
      <c r="V8" s="928" t="s">
        <v>384</v>
      </c>
      <c r="W8" s="929"/>
      <c r="X8" s="930"/>
      <c r="Y8" s="212"/>
      <c r="Z8" s="212"/>
      <c r="AA8" s="300"/>
      <c r="BB8" s="228"/>
      <c r="CA8" s="112"/>
      <c r="CB8" s="234"/>
      <c r="CC8" s="300"/>
      <c r="CX8" s="248"/>
      <c r="DA8" s="248"/>
      <c r="DB8" s="248"/>
      <c r="DC8" s="248"/>
      <c r="DD8" s="248"/>
      <c r="DE8" s="248"/>
      <c r="DF8" s="248"/>
      <c r="DG8" s="248"/>
      <c r="DH8" t="s">
        <v>493</v>
      </c>
      <c r="DI8" t="s">
        <v>494</v>
      </c>
      <c r="DJ8" t="s">
        <v>495</v>
      </c>
      <c r="DO8" s="652"/>
      <c r="DS8" s="1063" t="s">
        <v>162</v>
      </c>
      <c r="DT8" s="1063"/>
      <c r="DU8" s="1063"/>
      <c r="DV8" s="1064"/>
      <c r="DW8" s="652"/>
      <c r="DZ8" s="1065" t="s">
        <v>162</v>
      </c>
      <c r="EA8" s="1065"/>
      <c r="EB8" s="1066"/>
      <c r="EG8" s="1065" t="s">
        <v>162</v>
      </c>
      <c r="EH8" s="1065"/>
      <c r="EI8" s="1065"/>
      <c r="EJ8" s="653"/>
      <c r="EK8" s="283"/>
      <c r="EL8" s="251"/>
      <c r="EM8" s="876" t="s">
        <v>162</v>
      </c>
      <c r="EN8" s="877"/>
      <c r="EO8" s="283"/>
      <c r="EP8" s="251"/>
      <c r="EQ8" s="876" t="s">
        <v>162</v>
      </c>
      <c r="ER8" s="877"/>
      <c r="ES8" s="283"/>
      <c r="ET8" s="251"/>
      <c r="EU8" s="876" t="s">
        <v>162</v>
      </c>
      <c r="EV8" s="877"/>
      <c r="EW8" s="283"/>
      <c r="EX8" s="251"/>
      <c r="EY8" s="876" t="s">
        <v>162</v>
      </c>
      <c r="EZ8" s="877"/>
      <c r="FA8" s="283"/>
      <c r="FB8" s="251"/>
      <c r="FC8" s="876" t="s">
        <v>162</v>
      </c>
      <c r="FD8" s="877"/>
      <c r="FE8" s="283"/>
      <c r="FF8" s="251"/>
      <c r="FG8" s="876" t="s">
        <v>162</v>
      </c>
      <c r="FH8" s="877"/>
      <c r="FI8" s="283"/>
      <c r="FJ8" s="251"/>
      <c r="FK8" s="876" t="s">
        <v>162</v>
      </c>
      <c r="FL8" s="877"/>
      <c r="FN8" s="645" t="s">
        <v>160</v>
      </c>
      <c r="FO8" s="283"/>
      <c r="FP8" s="251"/>
      <c r="FQ8" s="876" t="s">
        <v>162</v>
      </c>
      <c r="FR8" s="1062"/>
      <c r="FS8" s="283"/>
      <c r="FT8" s="692" t="s">
        <v>160</v>
      </c>
      <c r="FW8" s="645" t="s">
        <v>160</v>
      </c>
      <c r="FY8" s="645" t="s">
        <v>160</v>
      </c>
      <c r="GA8" s="645" t="s">
        <v>160</v>
      </c>
      <c r="GC8" s="645" t="s">
        <v>160</v>
      </c>
    </row>
    <row r="9" spans="1:185">
      <c r="A9" s="245">
        <f>IF(ISNUMBER(A7),A7+1,1)</f>
        <v>1</v>
      </c>
      <c r="B9" s="128" t="str">
        <f t="shared" ref="B9:B39" si="0">CHOOSE(MOD(WEEKDAY(DATE(A$6,A$2,A9)),7)+1,"lø","sø","ma","ti","on","to","fr",)</f>
        <v>ti</v>
      </c>
      <c r="C9" s="129" t="s">
        <v>139</v>
      </c>
      <c r="D9" s="130" t="str">
        <f t="shared" ref="D9:D39" si="1">IF(B9="ma",(DATE(A$6,A$2,A9)-DATE(A$6,1,1)+7)/7,"")</f>
        <v/>
      </c>
      <c r="E9" s="917"/>
      <c r="F9" s="918"/>
      <c r="G9" s="919"/>
      <c r="H9" s="298"/>
      <c r="I9" s="527"/>
      <c r="J9" s="413"/>
      <c r="K9" s="380">
        <v>6</v>
      </c>
      <c r="L9" s="380"/>
      <c r="M9" s="380"/>
      <c r="N9" s="318">
        <f>BA9</f>
        <v>6</v>
      </c>
      <c r="O9" s="318">
        <f>CA9</f>
        <v>0</v>
      </c>
      <c r="P9" s="318">
        <f>IF(Stamoplysninger!$H$29="JA",Juli!DG9,CX9)</f>
        <v>0</v>
      </c>
      <c r="Q9" s="318">
        <f>IF(OR(C9="Lejrskole",C9="Ekskursion"),0,N9-O9-P9)</f>
        <v>6</v>
      </c>
      <c r="R9" s="319"/>
      <c r="S9" s="324"/>
      <c r="T9" s="325"/>
      <c r="U9" s="325"/>
      <c r="V9" s="435"/>
      <c r="W9" s="412"/>
      <c r="X9" s="642"/>
      <c r="Y9">
        <f>IF($S$9="x",V9-N10,0)</f>
        <v>0</v>
      </c>
      <c r="Z9">
        <f t="shared" ref="Z9:Z39" si="2">IF(T9="x",W9-O10,0)</f>
        <v>0</v>
      </c>
      <c r="AA9" s="1">
        <f t="shared" ref="AA9:AA39" si="3">IF(C9="emnedag",K9,0)</f>
        <v>0</v>
      </c>
      <c r="AB9" s="1">
        <f t="shared" ref="AB9:AB39" si="4">IF(C9="fagdag",K9,0)</f>
        <v>0</v>
      </c>
      <c r="AC9" s="1">
        <f t="shared" ref="AC9:AC39" si="5">IF(C9="Pæd.dag",K9,0)</f>
        <v>6</v>
      </c>
      <c r="AD9" s="1">
        <f t="shared" ref="AD9:AD39" si="6">IF(C9="Ekskursion",K9,0)</f>
        <v>0</v>
      </c>
      <c r="AE9" s="1">
        <f t="shared" ref="AE9:AE39" si="7">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6</v>
      </c>
      <c r="BB9" s="229">
        <f t="shared" ref="BB9:BB39" si="8">SUM(AG9:AK9)*24</f>
        <v>0</v>
      </c>
      <c r="BC9" s="1">
        <f>IF($C$9="Lejrskole",$L$9,0)</f>
        <v>0</v>
      </c>
      <c r="BD9" s="1">
        <f t="shared" ref="BD9:BD39" si="9">IF(C9="Ekskursion",L9,0)</f>
        <v>0</v>
      </c>
      <c r="BE9" s="1">
        <f t="shared" ref="BE9:BE39" si="10">IF(C9="fagdag",L9,0)</f>
        <v>0</v>
      </c>
      <c r="BF9" s="1">
        <f t="shared" ref="BF9:BF39" si="11">IF(C9="emnedag",L9,0)</f>
        <v>0</v>
      </c>
      <c r="BG9" s="210" t="str">
        <f>IF(AND(C9="Skema 1",B9="ma"),Skemaoplysninger!$E$30,"")</f>
        <v/>
      </c>
      <c r="BH9" s="210" t="str">
        <f>IF(AND(C9="Skema 1",B9="ti"),Skemaoplysninger!$G$30,"")</f>
        <v/>
      </c>
      <c r="BI9" s="210" t="str">
        <f>IF(AND(C9="Skema 1",B9="on"),Skemaoplysninger!$I$30,"")</f>
        <v/>
      </c>
      <c r="BJ9" s="210" t="str">
        <f>IF(AND(C9="Skema 1",B9="to"),Skemaoplysninger!$K$30,"")</f>
        <v/>
      </c>
      <c r="BK9" s="210" t="str">
        <f>IF(AND(C9="Skema 1",B9="fr"),Skemaoplysninger!$M$30,"")</f>
        <v/>
      </c>
      <c r="BL9" s="210" t="str">
        <f>IF(AND(C9="Skema 2",B9="ma"),Skemaoplysninger!$S$30,"")</f>
        <v/>
      </c>
      <c r="BM9" s="210" t="str">
        <f>IF(AND(C9="Skema 2",B9="ti"),Skemaoplysninger!$U$30,"")</f>
        <v/>
      </c>
      <c r="BN9" s="210" t="str">
        <f>IF(AND(C9="Skema 2",B9="on"),Skemaoplysninger!$W$30,"")</f>
        <v/>
      </c>
      <c r="BO9" s="210" t="str">
        <f>IF(AND(C9="Skema 2",B9="to"),Skemaoplysninger!$Y$30,"")</f>
        <v/>
      </c>
      <c r="BP9" s="210" t="str">
        <f>IF(AND(C9="Skema 2",B9="fr"),Skemaoplysninger!$AA$30,"")</f>
        <v/>
      </c>
      <c r="BQ9" s="210" t="str">
        <f>IF(AND(C9="Skema 3",B9="ma"),Skemaoplysninger!$AG$30,"")</f>
        <v/>
      </c>
      <c r="BR9" s="210" t="str">
        <f>IF(AND(C9="Skema 3",B9="ti"),Skemaoplysninger!$AI$30,"")</f>
        <v/>
      </c>
      <c r="BS9" s="210" t="str">
        <f>IF(AND(C9="Skema 3",B9="on"),Skemaoplysninger!$AK$30,"")</f>
        <v/>
      </c>
      <c r="BT9" s="210" t="str">
        <f>IF(AND(C9="Skema 3",B9="to"),Skemaoplysninger!$AM$30,"")</f>
        <v/>
      </c>
      <c r="BU9" s="210" t="str">
        <f>IF(AND(C9="Skema 3",B9="fr"),Skemaoplysninger!$AO$30,"")</f>
        <v/>
      </c>
      <c r="BV9" s="210" t="str">
        <f>IF(AND(C9="Skema 4",B9="ma"),Skemaoplysninger!$AU$30,"")</f>
        <v/>
      </c>
      <c r="BW9" s="210" t="str">
        <f>IF(AND(C9="Skema 4",B9="ti"),Skemaoplysninger!$AW$30,"")</f>
        <v/>
      </c>
      <c r="BX9" s="210" t="str">
        <f>IF(AND(C9="Skema 4",B9="on"),Skemaoplysninger!$AY$30,"")</f>
        <v/>
      </c>
      <c r="BY9" s="210" t="str">
        <f>IF(AND(C9="Skema 4",B9="to"),Skemaoplysninger!$BA$30,"")</f>
        <v/>
      </c>
      <c r="BZ9" s="210" t="str">
        <f>IF(AND(C9="Skema 4",B9="fr"),Skemaoplysninger!$BC$30,"")</f>
        <v/>
      </c>
      <c r="CA9" s="1">
        <f>SUM(BG9:BZ9)*24+SUM(BC9:BF9)</f>
        <v>0</v>
      </c>
      <c r="CB9" s="1">
        <f t="shared" ref="CB9:CB39" si="12">IF(C9="fagdag",M9,0)</f>
        <v>0</v>
      </c>
      <c r="CC9" s="1">
        <f t="shared" ref="CC9:CC39" si="13">IF(C9="emnedag",M9,0)</f>
        <v>0</v>
      </c>
      <c r="CD9" s="210" t="str">
        <f>IF(AND(C9="Skema 1",B9="ma"),Skemaoplysninger!$E$31,"")</f>
        <v/>
      </c>
      <c r="CE9" s="210" t="str">
        <f>IF(AND(C9="Skema 1",B9="ti"),Skemaoplysninger!$G$31,"")</f>
        <v/>
      </c>
      <c r="CF9" s="210" t="str">
        <f>IF(AND(C9="Skema 1",B9="on"),Skemaoplysninger!$I$31,"")</f>
        <v/>
      </c>
      <c r="CG9" s="210" t="str">
        <f>IF(AND(C9="Skema 1",B9="to"),Skemaoplysninger!$K$31,"")</f>
        <v/>
      </c>
      <c r="CH9" s="210" t="str">
        <f>IF(AND(C9="Skema 1",B9="fr"),Skemaoplysninger!$M$31,"")</f>
        <v/>
      </c>
      <c r="CI9" s="210" t="str">
        <f>IF(AND(C9="Skema 2",B9="ma"),Skemaoplysninger!$S$31,"")</f>
        <v/>
      </c>
      <c r="CJ9" s="210" t="str">
        <f>IF(AND(C9="Skema 2",B9="ti"),Skemaoplysninger!$U$31,"")</f>
        <v/>
      </c>
      <c r="CK9" s="210" t="str">
        <f>IF(AND(C9="Skema 2",B9="on"),Skemaoplysninger!$W$31,"")</f>
        <v/>
      </c>
      <c r="CL9" s="210" t="str">
        <f>IF(AND(C9="Skema 2",B9="to"),Skemaoplysninger!$Y$31,"")</f>
        <v/>
      </c>
      <c r="CM9" s="210" t="str">
        <f>IF(AND(C9="Skema 2",B9="fr"),Skemaoplysninger!$AA$31,"")</f>
        <v/>
      </c>
      <c r="CN9" s="210" t="str">
        <f>IF(AND(C9="Skema 3",B9="ma"),Skemaoplysninger!$AG$31,"")</f>
        <v/>
      </c>
      <c r="CO9" s="210" t="str">
        <f>IF(AND(C9="Skema 3",B9="ti"),Skemaoplysninger!$AI$31,"")</f>
        <v/>
      </c>
      <c r="CP9" s="210" t="str">
        <f>IF(AND(C9="Skema 3",B9="on"),Skemaoplysninger!$AK$31,"")</f>
        <v/>
      </c>
      <c r="CQ9" s="210" t="str">
        <f>IF(AND(C9="Skema 3",B9="to"),Skemaoplysninger!$AM$31,"")</f>
        <v/>
      </c>
      <c r="CR9" s="210" t="str">
        <f>IF(AND(C9="Skema 3",B9="fr"),Skemaoplysninger!$AO$31,"")</f>
        <v/>
      </c>
      <c r="CS9" s="210" t="str">
        <f>IF(AND(C9="Skema 4",B9="ma"),Skemaoplysninger!$AU$31,"")</f>
        <v/>
      </c>
      <c r="CT9" s="210" t="str">
        <f>IF(AND(C9="Skema 4",B9="ti"),Skemaoplysninger!$AW$31,"")</f>
        <v/>
      </c>
      <c r="CU9" s="210" t="str">
        <f>IF(AND(C9="Skema 4",B9="on"),Skemaoplysninger!$AY$31,"")</f>
        <v/>
      </c>
      <c r="CV9" s="210" t="str">
        <f>IF(AND(C9="Skema 4",B9="to"),Skemaoplysninger!$BA$31,"")</f>
        <v/>
      </c>
      <c r="CW9" s="210" t="str">
        <f>IF(AND(C9="Skema 4",B9="fr"),Skemaoplysninger!$BC$31,"")</f>
        <v/>
      </c>
      <c r="CX9" s="249">
        <f>IF(Stamoplysninger!$H$29="NEJ",SUM(CD9:CW9)*24+CB9+CC9,0)</f>
        <v>0</v>
      </c>
      <c r="CY9" s="249">
        <f>IF(C9="Skema 1",Stamoplysninger!$H$30/200,0)</f>
        <v>0</v>
      </c>
      <c r="CZ9" s="249">
        <f>IF(C9="Skema 2",Stamoplysninger!$H$30/200,0)</f>
        <v>0</v>
      </c>
      <c r="DA9" s="249">
        <f>IF(C9="Skema 3",Stamoplysninger!$H$30/200,0)</f>
        <v>0</v>
      </c>
      <c r="DB9" s="249">
        <f>IF(C9="Skema 4",Stamoplysninger!$H$30/200,0)</f>
        <v>0</v>
      </c>
      <c r="DC9" s="249">
        <f>IF(C9="fagdag",Stamoplysninger!$H$30/200,0)</f>
        <v>0</v>
      </c>
      <c r="DD9" s="249">
        <f>IF(C9="emnedag",Stamoplysninger!$H$30/200,0)</f>
        <v>0</v>
      </c>
      <c r="DE9" s="249">
        <f>IF(C9="lejrskole",Stamoplysninger!$H$30/200,0)</f>
        <v>0</v>
      </c>
      <c r="DF9" s="249">
        <f>IF(C9="ekskursion",Stamoplysninger!$H$30/200,0)</f>
        <v>0</v>
      </c>
      <c r="DG9" s="249">
        <f>SUM(CY9:DF9)</f>
        <v>0</v>
      </c>
      <c r="DH9" t="str">
        <f>IF(AND(E9&gt;0,H9&gt;0),""&amp;E9&amp;" og "&amp;H9&amp;"","")</f>
        <v/>
      </c>
      <c r="DI9">
        <f>IF(H9="",E9,"")</f>
        <v>0</v>
      </c>
      <c r="DJ9">
        <f>IF(E9="",H9,"")</f>
        <v>0</v>
      </c>
      <c r="DK9" t="str">
        <f t="shared" ref="DK9:DM38" si="14">IF(DH9=0,"",DH9)</f>
        <v/>
      </c>
      <c r="DL9" t="str">
        <f>IF(DI9=0,"",DI9)</f>
        <v/>
      </c>
      <c r="DM9" t="str">
        <f>IF(DJ9=0,"",DJ9)</f>
        <v/>
      </c>
      <c r="DN9" t="str">
        <f>DK9&amp;""&amp;DL9&amp;""&amp;DM9</f>
        <v/>
      </c>
      <c r="DO9" s="652">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71">
        <f>IF(AND(Stamoplysninger!$B$22="Ulempetillæg udbetales med 25% af nettotimelønnen.",C9="ikke relevant"),(R9)/4,0)</f>
        <v>0</v>
      </c>
      <c r="DT9" s="671">
        <f>IF(AND(AND(Stamoplysninger!$B$22="Ulempetillæg udbetales med 25% af nettotimelønnen.",I9="X",C9="Ikke relevant")),K9/4,0)</f>
        <v>0</v>
      </c>
      <c r="DU9" s="671">
        <f>IF(AND(AND(Stamoplysninger!$B$22="Ulempetillæg udbetales med 25% af nettotimelønnen.",C9="ikke relevant",U9="X")),(X9/4),0)</f>
        <v>0</v>
      </c>
      <c r="DV9" s="672">
        <f>IF(AND(AND(AND(Stamoplysninger!$B$22="Ulempetillæg udbetales med 25% af nettotimelønnen.",I9="X",C9="Ikke relevant",S9="X"))),V9/4,0)</f>
        <v>0</v>
      </c>
      <c r="DW9" s="652"/>
      <c r="DZ9" s="671"/>
      <c r="EA9" s="671"/>
      <c r="EB9" s="672"/>
      <c r="EC9" s="652">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71">
        <f>IF(AND(Stamoplysninger!$B$22="Ulempetillæg afspadseres med 25%(Kræver en aftale imellem ledelsen og den ansatte)",C9="ikke relevant"),(R9)/4,0)</f>
        <v>0</v>
      </c>
      <c r="EH9" s="671">
        <f>IF(AND(AND(Stamoplysninger!$B$22="Ulempetillæg afspadseres med 25%(Kræver en aftale imellem ledelsen og den ansatte)",I9="X",C9="Ikke relevant")),K9/4,0)</f>
        <v>0</v>
      </c>
      <c r="EI9" s="671">
        <f>IF(AND(AND(Stamoplysninger!$B$22="Ulempetillæg afspadseres med 25%(Kræver en aftale imellem ledelsen og den ansatte)",U9="X",C9="Ikke relevant")),X9/4,0)</f>
        <v>0</v>
      </c>
      <c r="EJ9" s="671">
        <f>IF(AND(AND(AND(Stamoplysninger!$B$22="Ulempetillæg afspadseres med 25%(Kræver en aftale imellem ledelsen og den ansatte)",I9="X",C9="Ikke relevant",S9="X"))),V9/4,0)</f>
        <v>0</v>
      </c>
      <c r="EK9" s="283">
        <f>IF(AND(Stamoplysninger!$B$26="Weekendtimer og weekendtillæg afspadseres.",$I$9="X"),$K$9*1.5,0)</f>
        <v>0</v>
      </c>
      <c r="EL9" s="251">
        <f>IF(AND(AND(Stamoplysninger!$B$26="Weekendtimer og weekendtillæg afspadseres.",$I$9="X",$S$9="X")),$V$9*1.5,0)</f>
        <v>0</v>
      </c>
      <c r="EM9" s="674">
        <f>IF(AND(AND(Stamoplysninger!$B$26="Weekendtimer og weekendtillæg afspadseres.",$I$9="X",$C$9="ikke relevant")),$K$9*1.5,0)</f>
        <v>0</v>
      </c>
      <c r="EN9" s="675">
        <f>IF(AND(AND(AND(Stamoplysninger!$B$26="Weekendtimer og weekendtillæg afspadseres.",$I$9="X",$C$9="ikke relevant",$S$9="X"))),($V$9*1.5),0)</f>
        <v>0</v>
      </c>
      <c r="EO9" s="283">
        <f>IF(AND(Stamoplysninger!$B$26="Weekendtimer og weekendtillæg udbetales.",$I$9="X"),$K$9*1.5,0)</f>
        <v>0</v>
      </c>
      <c r="EP9" s="251">
        <f>IF(AND(AND(Stamoplysninger!$B$26="Weekendtimer og weekendtillæg udbetales.",$I$9="X",$S$9="X")),$V$9*1.5,0)</f>
        <v>0</v>
      </c>
      <c r="EQ9" s="674">
        <f>IF(AND(AND(Stamoplysninger!$B$26="Weekendtimer og weekendtillæg udbetales.",$I$9="X",$C$9="ikke relevant")),$K$9*1.5,0)</f>
        <v>0</v>
      </c>
      <c r="ER9" s="675">
        <f>IF(AND(AND(AND(Stamoplysninger!$B$26="Weekendtimer og weekendtillæg udbetales.",$I$9="X",$C$9="ikke relevant",$S$9="X"))),($V$9*1.5),0)</f>
        <v>0</v>
      </c>
      <c r="ES9" s="283">
        <f>IF(AND(Stamoplysninger!$B$26="Der er indgået lokalaftale omkring weekendtimer.(Kræver aftale med TR/FSL) Weekendtillæg afspadseres.",$I$9="X"),$K$9*0.5,0)</f>
        <v>0</v>
      </c>
      <c r="ET9" s="251">
        <f>IF(AND(AND(Stamoplysninger!$B$26="Der er indgået lokalaftale omkring weekendtimer.(Kræver aftale med TR/FSL) Weekendtillæg afspadseres.",$I$9="X",$S$9="X")),$V$9*0.5,0)</f>
        <v>0</v>
      </c>
      <c r="EU9" s="674">
        <f>IF(AND(AND(Stamoplysninger!$B$26="Der er indgået lokalaftale omkring weekendtimer.(Kræver aftale med TR/FSL) Weekendtillæg afspadseres.",$I$9="X",$C$9="ikke relevant")),$K$9*0.5,0)</f>
        <v>0</v>
      </c>
      <c r="EV9" s="675">
        <f>IF(AND(AND(AND(Stamoplysninger!$B$26="Der er indgået lokalaftale omkring weekendtimer.(Kræver aftale med TR/FSL) Weekendtillæg afspadseres.",$I$9="X",$C$9="ikke relevant",$S$9="X"))),($V$9*0.5),0)</f>
        <v>0</v>
      </c>
      <c r="EW9" s="283">
        <f>IF(AND(Stamoplysninger!$B$26="Der er indgået lokalaftale omkring weekendtimer(Kræver aftale med TR/FSL). Weekendtillæg udbetales.",$I$9="X"),$K$9*0.5,0)</f>
        <v>0</v>
      </c>
      <c r="EX9" s="251">
        <f>IF(AND(AND(Stamoplysninger!$B$26="Der er indgået lokalaftale omkring weekendtimer(Kræver aftale med TR/FSL). Weekendtillæg udbetales.",$I$9="X",$S$9="X")),$V$9*0.5,0)</f>
        <v>0</v>
      </c>
      <c r="EY9" s="674">
        <f>IF(AND(AND(Stamoplysninger!$B$26="Der er indgået lokalaftale omkring weekendtimer(Kræver aftale med TR/FSL). Weekendtillæg udbetales.",$I$9="X",$C$9="ikke relevant")),$K$9*0.5,0)</f>
        <v>0</v>
      </c>
      <c r="EZ9" s="675">
        <f>IF(AND(AND(AND(Stamoplysninger!$B$26="Der er indgået lokalaftale omkring weekendtimer(Kræver aftale med TR/FSL). Weekendtillæg udbetales.",$I$9="X",$C$9="ikke relevant",$S$9="X"))),($V$9*0.5),0)</f>
        <v>0</v>
      </c>
      <c r="FA9" s="283">
        <f>IF(AND(Stamoplysninger!$B$26="Der er indgået lokalaftale omkring weekendtillæg(Kræver aftale med TR/FSL). Weekendtimerne afspadseres.",I9="X"),K9,0)</f>
        <v>0</v>
      </c>
      <c r="FB9" s="251">
        <f>IF(AND(AND(Stamoplysninger!$B$26="Der er indgået lokalaftale omkring weekendtillæg(Kræver aftale med TR/FSL). Weekendtimerne afspadseres.",I9="X",S9="X")),V9,0)</f>
        <v>0</v>
      </c>
      <c r="FC9" s="674">
        <f>IF(AND(AND(Stamoplysninger!$B$26="Der er indgået lokalaftale omkring weekendtillæg(Kræver aftale med TR/FSL). Weekendtimerne afspadseres..",I9="X",C9="ikke relevant")),K9,0)</f>
        <v>0</v>
      </c>
      <c r="FD9" s="675">
        <f>IF(AND(AND(AND(Stamoplysninger!$B$26="Der er indgået lokalaftale omkring weekendtillæg(Kræver aftale med TR/FSL). Weekendtimerne afspadseres.",I9="X",C9="ikke relevant",S9="X"))),(V9),0)</f>
        <v>0</v>
      </c>
      <c r="FE9" s="283">
        <f>IF(AND(Stamoplysninger!$B$26="Der er indgået lokalaftale omkring weekendtillæg(Kræver aftale med TR/FSL). Weekendtimerne udbetales.",I9="X"),K9,0)</f>
        <v>0</v>
      </c>
      <c r="FF9" s="251">
        <f>IF(AND(AND(Stamoplysninger!$B$26="Der er indgået lokalaftale omkring weekendtillæg(Kræver aftale med TR/FSL). Weekendtimerne udbetales.",I9="X",S9="X")),V9,0)</f>
        <v>0</v>
      </c>
      <c r="FG9" s="674">
        <f>IF(AND(AND(Stamoplysninger!$B$26="Der er indgået lokalaftale omkring weekendtillæg(Kræver aftale med TR/FSL). Weekendtimerne udbetales.",I9="X",C9="ikke relevant")),K9,0)</f>
        <v>0</v>
      </c>
      <c r="FH9" s="675">
        <f>IF(AND(AND(AND(Stamoplysninger!$B$26="Der er indgået lokalaftale omkring weekendtillæg(Kræver aftale med TR/FSL). Weekendtimerne udbetales.",I9="X",C9="ikke relevant",S9="X"))),(V9),0)</f>
        <v>0</v>
      </c>
      <c r="FI9" s="283">
        <f>IF(AND(Stamoplysninger!$B$26="Weekendtimer og weekendtillæg afspadseres.",I9="X"),K9,0)</f>
        <v>0</v>
      </c>
      <c r="FJ9" s="251">
        <f>IF(AND(Stamoplysninger!$B$26="Weekendtimer og weekendtillæg afspadseres.",I9="X"),(K9+V9)/2,0)</f>
        <v>0</v>
      </c>
      <c r="FK9" s="674">
        <f>IF(AND(AND(Stamoplysninger!$B$26="Weekendtimer og weekendtillæg afspadseres.",I9="X",C9="ikke relevant")),K9,0)</f>
        <v>0</v>
      </c>
      <c r="FL9" s="675">
        <f>IF(AND(AND(Stamoplysninger!$B$26="Weekendtimer og weekendtillæg afspadseres.",I9="X",C9="ikke relevant")),(K9+V9)/2,0)</f>
        <v>0</v>
      </c>
      <c r="FM9" s="283">
        <f>IF(AND(Stamoplysninger!$B$26="Der er indgået lokalaftale omkring weekendtillæg(Kræver aftale med TR/FSL). Weekendtimerne afspadseres.",I9="X"),K9,0)</f>
        <v>0</v>
      </c>
      <c r="FN9" s="674">
        <f>IF(AND(AND(Stamoplysninger!$B$26="Der er indgået lokalaftale omkring weekendtillæg(Kræver aftale med TR/FSL). Weekendtimerne afspadseres.",I9="X",C9="ikke relevant")),K9,0)</f>
        <v>0</v>
      </c>
      <c r="FO9" s="283">
        <f>IF(AND(Stamoplysninger!$B$26="Weekendtimer og weekendtillæg udbetales.",I9="X"),K9,0)</f>
        <v>0</v>
      </c>
      <c r="FP9" s="251">
        <f>IF(AND(Stamoplysninger!$B$26="Weekendtimer og weekendtillæg udbetales.",AA9="X"),(AC9+AN9)/2,0)</f>
        <v>0</v>
      </c>
      <c r="FQ9" s="674">
        <f>IF(AND(AND(Stamoplysninger!$B$26="Weekendtimer og weekendtillæg udbetales.",I9="X",C9="ikke relevant")),K9,0)</f>
        <v>0</v>
      </c>
      <c r="FR9" s="688">
        <f>IF(AND(AND(Stamoplysninger!$B$26="Weekendtimer og weekendtillæg udbetales.",AA9="X",U9="ikke relevant")),(AC9+AN9)/2,0)</f>
        <v>0</v>
      </c>
      <c r="FS9" s="283">
        <f t="shared" ref="FS9:FS37" si="15">IF(AND(I9="X",S9="X"),V9,0)</f>
        <v>0</v>
      </c>
      <c r="FT9" s="658">
        <f t="shared" ref="FT9:FT37" si="16">IF(AND(AND(C9="ikke relevant",I9="X",S9="X")),V9,0)</f>
        <v>0</v>
      </c>
      <c r="FU9">
        <f t="shared" ref="FU9:FU28" si="17">IF(AND(C9="weekend",I9="X"),K9,0)</f>
        <v>0</v>
      </c>
      <c r="FV9" s="283">
        <f>IF(AND(Stamoplysninger!$B$26="Der er indgået lokalaftale omkring weekendtimer.(Kræver aftale med TR/FSL) Weekendtillæg afspadseres.",I9="X"),K9,0)</f>
        <v>0</v>
      </c>
      <c r="FW9" s="674">
        <f>IF(AND(AND(Stamoplysninger!$B$26="Der er indgået lokalaftale omkring weekendtimer.(Kræver aftale med TR/FSL) Weekendtillæg afspadseres.",I9="X",C9="ikke relevant")),K9,0)</f>
        <v>0</v>
      </c>
      <c r="FX9" s="283">
        <f>IF(AND(Stamoplysninger!$B$26="Der er indgået lokalaftale omkring weekendtimer(Kræver aftale med TR/FSL). Weekendtillæg udbetales.",I9="X"),K9,0)</f>
        <v>0</v>
      </c>
      <c r="FY9" s="674">
        <f>IF(AND(AND(Stamoplysninger!$B$26="Der er indgået lokalaftale omkring weekendtimer(Kræver aftale med TR/FSL). Weekendtillæg udbetales.",I9="X",C9="ikke relevant")),K9,0)</f>
        <v>0</v>
      </c>
      <c r="FZ9" s="283">
        <f>IF(AND(Stamoplysninger!$B$26="Der er indgået lokalaftale omkring weekendtillæg(Kræver aftale med TR/FSL). Weekendtimerne udbetales.",I9="X"),K9,0)</f>
        <v>0</v>
      </c>
      <c r="GA9" s="674">
        <f>IF(AND(AND(Stamoplysninger!$B$26="Der er indgået lokalaftale omkring weekendtillæg(Kræver aftale med TR/FSL). Weekendtimerne udbetales.",I9="X",C9="ikke relevant")),K9,0)</f>
        <v>0</v>
      </c>
      <c r="GB9" s="283">
        <f>IF(AND(Stamoplysninger!$B$26="Der er indgået lokalaftale omkring weekendtimer og weekendtillæg.(Kræver aftale med TR/FSL).",I9="X"),K9,0)</f>
        <v>0</v>
      </c>
      <c r="GC9" s="674">
        <f>IF(AND(AND(Stamoplysninger!$B$26="Der er indgået lokalaftale omkring weekendtimer og weekendtillæg.(Kræver aftale med TR/FSL).",I9="X",C9="ikke relevant")),K9,0)</f>
        <v>0</v>
      </c>
    </row>
    <row r="10" spans="1:185">
      <c r="A10" s="245">
        <f t="shared" ref="A10:A38" si="18">IF(ISNUMBER(A9),A9+1,1)</f>
        <v>2</v>
      </c>
      <c r="B10" s="128" t="str">
        <f t="shared" si="0"/>
        <v>on</v>
      </c>
      <c r="C10" s="129" t="s">
        <v>128</v>
      </c>
      <c r="D10" s="130" t="str">
        <f t="shared" si="1"/>
        <v/>
      </c>
      <c r="E10" s="917"/>
      <c r="F10" s="918"/>
      <c r="G10" s="919"/>
      <c r="H10" s="298"/>
      <c r="I10" s="527"/>
      <c r="J10" s="413"/>
      <c r="K10" s="380"/>
      <c r="L10" s="380"/>
      <c r="M10" s="380"/>
      <c r="N10" s="318">
        <f t="shared" ref="N10:N39" si="19">BA10</f>
        <v>0</v>
      </c>
      <c r="O10" s="318">
        <f t="shared" ref="O10:O39" si="20">CA10</f>
        <v>0</v>
      </c>
      <c r="P10" s="318">
        <f>IF(Stamoplysninger!$H$29="JA",Juli!DG10,CX10)</f>
        <v>0</v>
      </c>
      <c r="Q10" s="318">
        <f t="shared" ref="Q10:Q39" si="21">IF(OR(C10="Lejrskole",C10="Ekskursion"),0,N10-O10-P10)</f>
        <v>0</v>
      </c>
      <c r="R10" s="319"/>
      <c r="S10" s="324"/>
      <c r="T10" s="325"/>
      <c r="U10" s="325"/>
      <c r="V10" s="435"/>
      <c r="W10" s="412"/>
      <c r="X10" s="642"/>
      <c r="Y10">
        <f t="shared" ref="Y10:Y39" si="22">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0</v>
      </c>
      <c r="BB10" s="229">
        <f t="shared" si="8"/>
        <v>0</v>
      </c>
      <c r="BC10" s="1">
        <f t="shared" ref="BC10:BC39" si="24">IF(C10="Lejrskole",L10,0)</f>
        <v>0</v>
      </c>
      <c r="BD10" s="1">
        <f t="shared" si="9"/>
        <v>0</v>
      </c>
      <c r="BE10" s="1">
        <f t="shared" si="10"/>
        <v>0</v>
      </c>
      <c r="BF10" s="1">
        <f t="shared" si="11"/>
        <v>0</v>
      </c>
      <c r="BG10" s="210" t="str">
        <f>IF(AND(C10="Skema 1",B10="ma"),Skemaoplysninger!$E$30,"")</f>
        <v/>
      </c>
      <c r="BH10" s="210" t="str">
        <f>IF(AND(C10="Skema 1",B10="ti"),Skemaoplysninger!$G$30,"")</f>
        <v/>
      </c>
      <c r="BI10" s="210" t="str">
        <f>IF(AND(C10="Skema 1",B10="on"),Skemaoplysninger!$I$30,"")</f>
        <v/>
      </c>
      <c r="BJ10" s="210" t="str">
        <f>IF(AND(C10="Skema 1",B10="to"),Skemaoplysninger!$K$30,"")</f>
        <v/>
      </c>
      <c r="BK10" s="210" t="str">
        <f>IF(AND(C10="Skema 1",B10="fr"),Skemaoplysninger!$M$30,"")</f>
        <v/>
      </c>
      <c r="BL10" s="210" t="str">
        <f>IF(AND(C10="Skema 2",B10="ma"),Skemaoplysninger!$S$30,"")</f>
        <v/>
      </c>
      <c r="BM10" s="210" t="str">
        <f>IF(AND(C10="Skema 2",B10="ti"),Skemaoplysninger!$U$30,"")</f>
        <v/>
      </c>
      <c r="BN10" s="210" t="str">
        <f>IF(AND(C10="Skema 2",B10="on"),Skemaoplysninger!$W$30,"")</f>
        <v/>
      </c>
      <c r="BO10" s="210" t="str">
        <f>IF(AND(C10="Skema 2",B10="to"),Skemaoplysninger!$Y$30,"")</f>
        <v/>
      </c>
      <c r="BP10" s="210" t="str">
        <f>IF(AND(C10="Skema 2",B10="fr"),Skemaoplysninger!$AA$30,"")</f>
        <v/>
      </c>
      <c r="BQ10" s="210" t="str">
        <f>IF(AND(C10="Skema 3",B10="ma"),Skemaoplysninger!$AG$30,"")</f>
        <v/>
      </c>
      <c r="BR10" s="210" t="str">
        <f>IF(AND(C10="Skema 3",B10="ti"),Skemaoplysninger!$AI$30,"")</f>
        <v/>
      </c>
      <c r="BS10" s="210" t="str">
        <f>IF(AND(C10="Skema 3",B10="on"),Skemaoplysninger!$AK$30,"")</f>
        <v/>
      </c>
      <c r="BT10" s="210" t="str">
        <f>IF(AND(C10="Skema 3",B10="to"),Skemaoplysninger!$AM$30,"")</f>
        <v/>
      </c>
      <c r="BU10" s="210" t="str">
        <f>IF(AND(C10="Skema 3",B10="fr"),Skemaoplysninger!$AO$30,"")</f>
        <v/>
      </c>
      <c r="BV10" s="210" t="str">
        <f>IF(AND(C10="Skema 4",B10="ma"),Skemaoplysninger!$AU$30,"")</f>
        <v/>
      </c>
      <c r="BW10" s="210" t="str">
        <f>IF(AND(C10="Skema 4",B10="ti"),Skemaoplysninger!$AW$30,"")</f>
        <v/>
      </c>
      <c r="BX10" s="210" t="str">
        <f>IF(AND(C10="Skema 4",B10="on"),Skemaoplysninger!$AY$30,"")</f>
        <v/>
      </c>
      <c r="BY10" s="210" t="str">
        <f>IF(AND(C10="Skema 4",B10="to"),Skemaoplysninger!$BA$30,"")</f>
        <v/>
      </c>
      <c r="BZ10" s="210" t="str">
        <f>IF(AND(C10="Skema 4",B10="fr"),Skemaoplysninger!$BC$30,"")</f>
        <v/>
      </c>
      <c r="CA10" s="1">
        <f t="shared" ref="CA10:CA39" si="25">SUM(BG10:BZ10)*24+SUM(BC10:BF10)</f>
        <v>0</v>
      </c>
      <c r="CB10" s="1">
        <f t="shared" si="12"/>
        <v>0</v>
      </c>
      <c r="CC10" s="1">
        <f t="shared" si="13"/>
        <v>0</v>
      </c>
      <c r="CD10" s="210" t="str">
        <f>IF(AND(C10="Skema 1",B10="ma"),Skemaoplysninger!$E$31,"")</f>
        <v/>
      </c>
      <c r="CE10" s="210" t="str">
        <f>IF(AND(C10="Skema 1",B10="ti"),Skemaoplysninger!$G$31,"")</f>
        <v/>
      </c>
      <c r="CF10" s="210" t="str">
        <f>IF(AND(C10="Skema 1",B10="on"),Skemaoplysninger!$I$31,"")</f>
        <v/>
      </c>
      <c r="CG10" s="210" t="str">
        <f>IF(AND(C10="Skema 1",B10="to"),Skemaoplysninger!$K$31,"")</f>
        <v/>
      </c>
      <c r="CH10" s="210" t="str">
        <f>IF(AND(C10="Skema 1",B10="fr"),Skemaoplysninger!$M$31,"")</f>
        <v/>
      </c>
      <c r="CI10" s="210" t="str">
        <f>IF(AND(C10="Skema 2",B10="ma"),Skemaoplysninger!$S$31,"")</f>
        <v/>
      </c>
      <c r="CJ10" s="210" t="str">
        <f>IF(AND(C10="Skema 2",B10="ti"),Skemaoplysninger!$U$31,"")</f>
        <v/>
      </c>
      <c r="CK10" s="210" t="str">
        <f>IF(AND(C10="Skema 2",B10="on"),Skemaoplysninger!$W$31,"")</f>
        <v/>
      </c>
      <c r="CL10" s="210" t="str">
        <f>IF(AND(C10="Skema 2",B10="to"),Skemaoplysninger!$Y$31,"")</f>
        <v/>
      </c>
      <c r="CM10" s="210" t="str">
        <f>IF(AND(C10="Skema 2",B10="fr"),Skemaoplysninger!$AA$31,"")</f>
        <v/>
      </c>
      <c r="CN10" s="210" t="str">
        <f>IF(AND(C10="Skema 3",B10="ma"),Skemaoplysninger!$AG$31,"")</f>
        <v/>
      </c>
      <c r="CO10" s="210" t="str">
        <f>IF(AND(C10="Skema 3",B10="ti"),Skemaoplysninger!$AI$31,"")</f>
        <v/>
      </c>
      <c r="CP10" s="210" t="str">
        <f>IF(AND(C10="Skema 3",B10="on"),Skemaoplysninger!$AK$31,"")</f>
        <v/>
      </c>
      <c r="CQ10" s="210" t="str">
        <f>IF(AND(C10="Skema 3",B10="to"),Skemaoplysninger!$AM$31,"")</f>
        <v/>
      </c>
      <c r="CR10" s="210" t="str">
        <f>IF(AND(C10="Skema 3",B10="fr"),Skemaoplysninger!$AO$31,"")</f>
        <v/>
      </c>
      <c r="CS10" s="210" t="str">
        <f>IF(AND(C10="Skema 4",B10="ma"),Skemaoplysninger!$AU$31,"")</f>
        <v/>
      </c>
      <c r="CT10" s="210" t="str">
        <f>IF(AND(C10="Skema 4",B10="ti"),Skemaoplysninger!$AW$31,"")</f>
        <v/>
      </c>
      <c r="CU10" s="210" t="str">
        <f>IF(AND(C10="Skema 4",B10="on"),Skemaoplysninger!$AY$31,"")</f>
        <v/>
      </c>
      <c r="CV10" s="210" t="str">
        <f>IF(AND(C10="Skema 4",B10="to"),Skemaoplysninger!$BA$31,"")</f>
        <v/>
      </c>
      <c r="CW10" s="210" t="str">
        <f>IF(AND(C10="Skema 4",B10="fr"),Skemaoplysninger!$BC$31,"")</f>
        <v/>
      </c>
      <c r="CX10" s="249">
        <f>IF(Stamoplysninger!$H$29="NEJ",SUM(CD10:CW10)*24+CB10+CC10,0)</f>
        <v>0</v>
      </c>
      <c r="CY10" s="249">
        <f>IF(C10="Skema 1",Stamoplysninger!$H$30/200,0)</f>
        <v>0</v>
      </c>
      <c r="CZ10" s="249">
        <f>IF(C10="Skema 2",Stamoplysninger!$H$30/200,0)</f>
        <v>0</v>
      </c>
      <c r="DA10" s="249">
        <f>IF(C10="Skema 3",Stamoplysninger!$H$30/200,0)</f>
        <v>0</v>
      </c>
      <c r="DB10" s="249">
        <f>IF(C10="Skema 4",Stamoplysninger!$H$30/200,0)</f>
        <v>0</v>
      </c>
      <c r="DC10" s="249">
        <f>IF(C10="fagdag",Stamoplysninger!$H$30/200,0)</f>
        <v>0</v>
      </c>
      <c r="DD10" s="249">
        <f>IF(C10="emnedag",Stamoplysninger!$H$30/200,0)</f>
        <v>0</v>
      </c>
      <c r="DE10" s="249">
        <f>IF(C10="lejrskole",Stamoplysninger!$H$30/200,0)</f>
        <v>0</v>
      </c>
      <c r="DF10" s="249">
        <f>IF(C10="ekskursion",Stamoplysninger!$H$30/200,0)</f>
        <v>0</v>
      </c>
      <c r="DG10" s="249">
        <f t="shared" ref="DG10:DG39" si="26">SUM(CY10:DF10)</f>
        <v>0</v>
      </c>
      <c r="DH10" t="str">
        <f t="shared" ref="DH10:DH39" si="27">IF(AND(E10&gt;0,H10&gt;0),""&amp;E10&amp;" og "&amp;H10&amp;"","")</f>
        <v/>
      </c>
      <c r="DI10">
        <f t="shared" ref="DI10:DI39" si="28">IF(H10="",E10,"")</f>
        <v>0</v>
      </c>
      <c r="DJ10">
        <f t="shared" ref="DJ10:DJ39" si="29">IF(E10="",H10,"")</f>
        <v>0</v>
      </c>
      <c r="DK10" t="str">
        <f t="shared" si="14"/>
        <v/>
      </c>
      <c r="DL10" t="str">
        <f t="shared" si="14"/>
        <v/>
      </c>
      <c r="DM10" t="str">
        <f t="shared" si="14"/>
        <v/>
      </c>
      <c r="DN10" t="str">
        <f t="shared" ref="DN10:DN39" si="30">DK10&amp;""&amp;DL10&amp;""&amp;DM10</f>
        <v/>
      </c>
      <c r="DO10" s="652">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71">
        <f>IF(AND(Stamoplysninger!$B$22="Ulempetillæg udbetales med 25% af nettotimelønnen.",C10="ikke relevant"),(R10)/4,0)</f>
        <v>0</v>
      </c>
      <c r="DT10" s="671">
        <f>IF(AND(AND(Stamoplysninger!$B$22="Ulempetillæg udbetales med 25% af nettotimelønnen.",I10="X",C10="Ikke relevant")),K10/4,0)</f>
        <v>0</v>
      </c>
      <c r="DU10" s="671">
        <f>IF(AND(AND(Stamoplysninger!$B$22="Ulempetillæg udbetales med 25% af nettotimelønnen.",C10="ikke relevant",U10="X")),(X10/4),0)</f>
        <v>0</v>
      </c>
      <c r="DV10" s="672">
        <f>IF(AND(AND(AND(Stamoplysninger!$B$22="Ulempetillæg udbetales med 25% af nettotimelønnen.",I10="X",C10="Ikke relevant",S10="X"))),V10/4,0)</f>
        <v>0</v>
      </c>
      <c r="DW10" s="652"/>
      <c r="DZ10" s="671"/>
      <c r="EA10" s="671"/>
      <c r="EB10" s="672"/>
      <c r="EC10" s="652">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71">
        <f>IF(AND(Stamoplysninger!$B$22="Ulempetillæg afspadseres med 25%(Kræver en aftale imellem ledelsen og den ansatte)",C10="ikke relevant"),(R10)/4,0)</f>
        <v>0</v>
      </c>
      <c r="EH10" s="671">
        <f>IF(AND(AND(Stamoplysninger!$B$22="Ulempetillæg afspadseres med 25%(Kræver en aftale imellem ledelsen og den ansatte)",I10="X",C10="Ikke relevant")),K10/4,0)</f>
        <v>0</v>
      </c>
      <c r="EI10" s="671">
        <f>IF(AND(AND(Stamoplysninger!$B$22="Ulempetillæg afspadseres med 25%(Kræver en aftale imellem ledelsen og den ansatte)",U10="X",C10="Ikke relevant")),X10/4,0)</f>
        <v>0</v>
      </c>
      <c r="EJ10" s="671">
        <f>IF(AND(AND(AND(Stamoplysninger!$B$22="Ulempetillæg afspadseres med 25%(Kræver en aftale imellem ledelsen og den ansatte)",I10="X",C10="Ikke relevant",S10="X"))),V10/4,0)</f>
        <v>0</v>
      </c>
      <c r="EK10" s="283">
        <f>IF(AND(Stamoplysninger!$B$26="Weekendtimer og weekendtillæg afspadseres.",I10="X"),K10*1.5,0)</f>
        <v>0</v>
      </c>
      <c r="EL10" s="251">
        <f>IF(AND(AND(Stamoplysninger!$B$26="Weekendtimer og weekendtillæg afspadseres.",I10="X",S10="X")),V10*1.5,0)</f>
        <v>0</v>
      </c>
      <c r="EM10" s="674">
        <f>IF(AND(AND(Stamoplysninger!$B$26="Weekendtimer og weekendtillæg afspadseres.",I10="X",C10="ikke relevant")),K10*1.5,0)</f>
        <v>0</v>
      </c>
      <c r="EN10" s="675">
        <f>IF(AND(AND(AND(Stamoplysninger!$B$26="Weekendtimer og weekendtillæg afspadseres.",I10="X",C10="ikke relevant",S10="X"))),(V10*1.5),0)</f>
        <v>0</v>
      </c>
      <c r="EO10" s="283">
        <f>IF(AND(Stamoplysninger!$B$26="Weekendtimer og weekendtillæg udbetales.",I10="X"),K10*1.5,0)</f>
        <v>0</v>
      </c>
      <c r="EP10" s="251">
        <f>IF(AND(AND(Stamoplysninger!$B$26="Weekendtimer og weekendtillæg udbetales.",I10="X",S10="X")),V10*1.5,0)</f>
        <v>0</v>
      </c>
      <c r="EQ10" s="674">
        <f>IF(AND(AND(Stamoplysninger!$B$26="Weekendtimer og weekendtillæg udbetales.",I10="X",C10="ikke relevant")),K10*1.5,0)</f>
        <v>0</v>
      </c>
      <c r="ER10" s="675">
        <f>IF(AND(AND(AND(Stamoplysninger!$B$26="Weekendtimer og weekendtillæg udbetales.",I10="X",C10="ikke relevant",S10="X"))),(V10*1.5),0)</f>
        <v>0</v>
      </c>
      <c r="ES10" s="283">
        <f>IF(AND(Stamoplysninger!$B$26="Der er indgået lokalaftale omkring weekendtimer.(Kræver aftale med TR/FSL) Weekendtillæg afspadseres.",I10="X"),K10*0.5,0)</f>
        <v>0</v>
      </c>
      <c r="ET10" s="251">
        <f>IF(AND(AND(Stamoplysninger!$B$26="Der er indgået lokalaftale omkring weekendtimer.(Kræver aftale med TR/FSL) Weekendtillæg afspadseres.",I10="X",S10="X")),V10*0.5,0)</f>
        <v>0</v>
      </c>
      <c r="EU10" s="674">
        <f>IF(AND(AND(Stamoplysninger!$B$26="Der er indgået lokalaftale omkring weekendtimer.(Kræver aftale med TR/FSL) Weekendtillæg afspadseres.",I10="X",C10="ikke relevant")),K10*0.5,0)</f>
        <v>0</v>
      </c>
      <c r="EV10" s="675">
        <f>IF(AND(AND(AND(Stamoplysninger!$B$26="Der er indgået lokalaftale omkring weekendtimer.(Kræver aftale med TR/FSL) Weekendtillæg afspadseres.",I10="X",C10="ikke relevant",S10="X"))),(V10*0.5),0)</f>
        <v>0</v>
      </c>
      <c r="EW10" s="283">
        <f>IF(AND(Stamoplysninger!$B$26="Der er indgået lokalaftale omkring weekendtimer(Kræver aftale med TR/FSL). Weekendtillæg udbetales.",I10="X"),K10*0.5,0)</f>
        <v>0</v>
      </c>
      <c r="EX10" s="251">
        <f>IF(AND(AND(Stamoplysninger!$B$26="Der er indgået lokalaftale omkring weekendtimer(Kræver aftale med TR/FSL). Weekendtillæg udbetales.",I10="X",S10="X")),V10*0.5,0)</f>
        <v>0</v>
      </c>
      <c r="EY10" s="674">
        <f>IF(AND(AND(Stamoplysninger!$B$26="Der er indgået lokalaftale omkring weekendtimer(Kræver aftale med TR/FSL). Weekendtillæg udbetales.",I10="X",C10="ikke relevant")),K10*0.5,0)</f>
        <v>0</v>
      </c>
      <c r="EZ10" s="675">
        <f>IF(AND(AND(AND(Stamoplysninger!$B$26="Der er indgået lokalaftale omkring weekendtimer(Kræver aftale med TR/FSL). Weekendtillæg udbetales.",I10="X",C10="ikke relevant",S10="X"))),(V10*0.5),0)</f>
        <v>0</v>
      </c>
      <c r="FA10" s="283">
        <f>IF(AND(Stamoplysninger!$B$26="Der er indgået lokalaftale omkring weekendtillæg(Kræver aftale med TR/FSL). Weekendtimerne afspadseres.",I10="X"),K10,0)</f>
        <v>0</v>
      </c>
      <c r="FB10" s="251">
        <f>IF(AND(AND(Stamoplysninger!$B$26="Der er indgået lokalaftale omkring weekendtillæg(Kræver aftale med TR/FSL). Weekendtimerne afspadseres.",I10="X",S10="X")),V10,0)</f>
        <v>0</v>
      </c>
      <c r="FC10" s="674">
        <f>IF(AND(AND(Stamoplysninger!$B$26="Der er indgået lokalaftale omkring weekendtillæg(Kræver aftale med TR/FSL). Weekendtimerne afspadseres..",I10="X",C10="ikke relevant")),K10,0)</f>
        <v>0</v>
      </c>
      <c r="FD10" s="675">
        <f>IF(AND(AND(AND(Stamoplysninger!$B$26="Der er indgået lokalaftale omkring weekendtillæg(Kræver aftale med TR/FSL). Weekendtimerne afspadseres.",I10="X",C10="ikke relevant",S10="X"))),(V10),0)</f>
        <v>0</v>
      </c>
      <c r="FE10" s="283">
        <f>IF(AND(Stamoplysninger!$B$26="Der er indgået lokalaftale omkring weekendtillæg(Kræver aftale med TR/FSL). Weekendtimerne udbetales.",I10="X"),K10,0)</f>
        <v>0</v>
      </c>
      <c r="FF10" s="251">
        <f>IF(AND(AND(Stamoplysninger!$B$26="Der er indgået lokalaftale omkring weekendtillæg(Kræver aftale med TR/FSL). Weekendtimerne udbetales.",I10="X",S10="X")),V10,0)</f>
        <v>0</v>
      </c>
      <c r="FG10" s="674">
        <f>IF(AND(AND(Stamoplysninger!$B$26="Der er indgået lokalaftale omkring weekendtillæg(Kræver aftale med TR/FSL). Weekendtimerne udbetales.",I10="X",C10="ikke relevant")),K10,0)</f>
        <v>0</v>
      </c>
      <c r="FH10" s="675">
        <f>IF(AND(AND(AND(Stamoplysninger!$B$26="Der er indgået lokalaftale omkring weekendtillæg(Kræver aftale med TR/FSL). Weekendtimerne udbetales.",I10="X",C10="ikke relevant",S10="X"))),(V10),0)</f>
        <v>0</v>
      </c>
      <c r="FI10" s="283">
        <f>IF(AND(Stamoplysninger!$B$26="Weekendtimer og weekendtillæg afspadseres.",I10="X"),K10,0)</f>
        <v>0</v>
      </c>
      <c r="FJ10" s="251">
        <f>IF(AND(Stamoplysninger!$B$26="Weekendtimer og weekendtillæg afspadseres.",Y10="X"),(AA10+AL10)/2,0)</f>
        <v>0</v>
      </c>
      <c r="FK10" s="674">
        <f>IF(AND(AND(Stamoplysninger!$B$26="Weekendtimer og weekendtillæg afspadseres.",I10="X",C10="ikke relevant")),K10,0)</f>
        <v>0</v>
      </c>
      <c r="FL10" s="675">
        <f>IF(AND(AND(Stamoplysninger!$B$26="Weekendtimer og weekendtillæg afspadseres.",Y10="X",S10="ikke relevant")),(AA10+AL10)/2,0)</f>
        <v>0</v>
      </c>
      <c r="FM10" s="283">
        <f>IF(AND(Stamoplysninger!$B$26="Der er indgået lokalaftale omkring weekendtillæg(Kræver aftale med TR/FSL). Weekendtimerne afspadseres.",I10="X"),K10,0)</f>
        <v>0</v>
      </c>
      <c r="FN10" s="674">
        <f>IF(AND(AND(Stamoplysninger!$B$26="Der er indgået lokalaftale omkring weekendtillæg(Kræver aftale med TR/FSL). Weekendtimerne afspadseres.",I10="X",C10="ikke relevant")),K10,0)</f>
        <v>0</v>
      </c>
      <c r="FO10" s="283">
        <f>IF(AND(Stamoplysninger!$B$26="Weekendtimer og weekendtillæg udbetales.",I10="X"),K10,0)</f>
        <v>0</v>
      </c>
      <c r="FP10" s="251">
        <f>IF(AND(Stamoplysninger!$B$26="Weekendtimer og weekendtillæg udbetales.",AA10="X"),(AC10+AN10)/2,0)</f>
        <v>0</v>
      </c>
      <c r="FQ10" s="674">
        <f>IF(AND(AND(Stamoplysninger!$B$26="Weekendtimer og weekendtillæg udbetales.",I10="X",C10="ikke relevant")),K10,0)</f>
        <v>0</v>
      </c>
      <c r="FR10" s="688">
        <f>IF(AND(AND(Stamoplysninger!$B$26="Weekendtimer og weekendtillæg udbetales.",AA10="X",U10="ikke relevant")),(AC10+AN10)/2,0)</f>
        <v>0</v>
      </c>
      <c r="FS10" s="283">
        <f t="shared" si="15"/>
        <v>0</v>
      </c>
      <c r="FT10" s="658">
        <f t="shared" si="16"/>
        <v>0</v>
      </c>
      <c r="FU10">
        <f t="shared" si="17"/>
        <v>0</v>
      </c>
      <c r="FV10" s="283">
        <f>IF(AND(Stamoplysninger!$B$26="Der er indgået lokalaftale omkring weekendtimer.(Kræver aftale med TR/FSL) Weekendtillæg afspadseres.",I10="X"),K10,0)</f>
        <v>0</v>
      </c>
      <c r="FW10" s="674">
        <f>IF(AND(AND(Stamoplysninger!$B$26="Der er indgået lokalaftale omkring weekendtimer.(Kræver aftale med TR/FSL) Weekendtillæg afspadseres.",I10="X",C10="ikke relevant")),K10,0)</f>
        <v>0</v>
      </c>
      <c r="FX10" s="283">
        <f>IF(AND(Stamoplysninger!$B$26="Der er indgået lokalaftale omkring weekendtimer(Kræver aftale med TR/FSL). Weekendtillæg udbetales.",I10="X"),K10,0)</f>
        <v>0</v>
      </c>
      <c r="FY10" s="674">
        <f>IF(AND(AND(Stamoplysninger!$B$26="Der er indgået lokalaftale omkring weekendtimer(Kræver aftale med TR/FSL). Weekendtillæg udbetales.",I10="X",C10="ikke relevant")),K10,0)</f>
        <v>0</v>
      </c>
      <c r="FZ10" s="283">
        <f>IF(AND(Stamoplysninger!$B$26="Der er indgået lokalaftale omkring weekendtillæg(Kræver aftale med TR/FSL). Weekendtimerne udbetales.",I10="X"),K10,0)</f>
        <v>0</v>
      </c>
      <c r="GA10" s="674">
        <f>IF(AND(AND(Stamoplysninger!$B$26="Der er indgået lokalaftale omkring weekendtillæg(Kræver aftale med TR/FSL). Weekendtimerne udbetales.",I10="X",C10="ikke relevant")),K10,0)</f>
        <v>0</v>
      </c>
      <c r="GB10" s="283">
        <f>IF(AND(Stamoplysninger!$B$26="Der er indgået lokalaftale omkring weekendtimer og weekendtillæg.(Kræver aftale med TR/FSL).",I10="X"),K10,0)</f>
        <v>0</v>
      </c>
      <c r="GC10" s="674">
        <f>IF(AND(AND(Stamoplysninger!$B$26="Der er indgået lokalaftale omkring weekendtimer og weekendtillæg.(Kræver aftale med TR/FSL).",I10="X",C10="ikke relevant")),K10,0)</f>
        <v>0</v>
      </c>
    </row>
    <row r="11" spans="1:185">
      <c r="A11" s="245">
        <f t="shared" si="18"/>
        <v>3</v>
      </c>
      <c r="B11" s="128" t="str">
        <f t="shared" si="0"/>
        <v>to</v>
      </c>
      <c r="C11" s="129" t="s">
        <v>128</v>
      </c>
      <c r="D11" s="130" t="str">
        <f t="shared" si="1"/>
        <v/>
      </c>
      <c r="E11" s="917"/>
      <c r="F11" s="918"/>
      <c r="G11" s="919"/>
      <c r="H11" s="298"/>
      <c r="I11" s="527"/>
      <c r="J11" s="413"/>
      <c r="K11" s="380"/>
      <c r="L11" s="380"/>
      <c r="M11" s="380"/>
      <c r="N11" s="318">
        <f t="shared" si="19"/>
        <v>0</v>
      </c>
      <c r="O11" s="318">
        <f t="shared" si="20"/>
        <v>0</v>
      </c>
      <c r="P11" s="318">
        <f>IF(Stamoplysninger!$H$29="JA",Juli!DG11,CX11)</f>
        <v>0</v>
      </c>
      <c r="Q11" s="318">
        <f t="shared" si="21"/>
        <v>0</v>
      </c>
      <c r="R11" s="319"/>
      <c r="S11" s="324"/>
      <c r="T11" s="325"/>
      <c r="U11" s="325"/>
      <c r="V11" s="435"/>
      <c r="W11" s="412"/>
      <c r="X11" s="642"/>
      <c r="Y11">
        <f t="shared" si="22"/>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9">
        <f t="shared" si="8"/>
        <v>0</v>
      </c>
      <c r="BC11" s="1">
        <f t="shared" si="24"/>
        <v>0</v>
      </c>
      <c r="BD11" s="1">
        <f t="shared" si="9"/>
        <v>0</v>
      </c>
      <c r="BE11" s="1">
        <f t="shared" si="10"/>
        <v>0</v>
      </c>
      <c r="BF11" s="1">
        <f t="shared" si="11"/>
        <v>0</v>
      </c>
      <c r="BG11" s="210" t="str">
        <f>IF(AND(C11="Skema 1",B11="ma"),Skemaoplysninger!$E$30,"")</f>
        <v/>
      </c>
      <c r="BH11" s="210" t="str">
        <f>IF(AND(C11="Skema 1",B11="ti"),Skemaoplysninger!$G$30,"")</f>
        <v/>
      </c>
      <c r="BI11" s="210" t="str">
        <f>IF(AND(C11="Skema 1",B11="on"),Skemaoplysninger!$I$30,"")</f>
        <v/>
      </c>
      <c r="BJ11" s="210" t="str">
        <f>IF(AND(C11="Skema 1",B11="to"),Skemaoplysninger!$K$30,"")</f>
        <v/>
      </c>
      <c r="BK11" s="210" t="str">
        <f>IF(AND(C11="Skema 1",B11="fr"),Skemaoplysninger!$M$30,"")</f>
        <v/>
      </c>
      <c r="BL11" s="210" t="str">
        <f>IF(AND(C11="Skema 2",B11="ma"),Skemaoplysninger!$S$30,"")</f>
        <v/>
      </c>
      <c r="BM11" s="210" t="str">
        <f>IF(AND(C11="Skema 2",B11="ti"),Skemaoplysninger!$U$30,"")</f>
        <v/>
      </c>
      <c r="BN11" s="210" t="str">
        <f>IF(AND(C11="Skema 2",B11="on"),Skemaoplysninger!$W$30,"")</f>
        <v/>
      </c>
      <c r="BO11" s="210" t="str">
        <f>IF(AND(C11="Skema 2",B11="to"),Skemaoplysninger!$Y$30,"")</f>
        <v/>
      </c>
      <c r="BP11" s="210" t="str">
        <f>IF(AND(C11="Skema 2",B11="fr"),Skemaoplysninger!$AA$30,"")</f>
        <v/>
      </c>
      <c r="BQ11" s="210" t="str">
        <f>IF(AND(C11="Skema 3",B11="ma"),Skemaoplysninger!$AG$30,"")</f>
        <v/>
      </c>
      <c r="BR11" s="210" t="str">
        <f>IF(AND(C11="Skema 3",B11="ti"),Skemaoplysninger!$AI$30,"")</f>
        <v/>
      </c>
      <c r="BS11" s="210" t="str">
        <f>IF(AND(C11="Skema 3",B11="on"),Skemaoplysninger!$AK$30,"")</f>
        <v/>
      </c>
      <c r="BT11" s="210" t="str">
        <f>IF(AND(C11="Skema 3",B11="to"),Skemaoplysninger!$AM$30,"")</f>
        <v/>
      </c>
      <c r="BU11" s="210" t="str">
        <f>IF(AND(C11="Skema 3",B11="fr"),Skemaoplysninger!$AO$30,"")</f>
        <v/>
      </c>
      <c r="BV11" s="210" t="str">
        <f>IF(AND(C11="Skema 4",B11="ma"),Skemaoplysninger!$AU$30,"")</f>
        <v/>
      </c>
      <c r="BW11" s="210" t="str">
        <f>IF(AND(C11="Skema 4",B11="ti"),Skemaoplysninger!$AW$30,"")</f>
        <v/>
      </c>
      <c r="BX11" s="210" t="str">
        <f>IF(AND(C11="Skema 4",B11="on"),Skemaoplysninger!$AY$30,"")</f>
        <v/>
      </c>
      <c r="BY11" s="210" t="str">
        <f>IF(AND(C11="Skema 4",B11="to"),Skemaoplysninger!$BA$30,"")</f>
        <v/>
      </c>
      <c r="BZ11" s="210" t="str">
        <f>IF(AND(C11="Skema 4",B11="fr"),Skemaoplysninger!$BC$30,"")</f>
        <v/>
      </c>
      <c r="CA11" s="1">
        <f t="shared" si="25"/>
        <v>0</v>
      </c>
      <c r="CB11" s="1">
        <f t="shared" si="12"/>
        <v>0</v>
      </c>
      <c r="CC11" s="1">
        <f t="shared" si="13"/>
        <v>0</v>
      </c>
      <c r="CD11" s="210" t="str">
        <f>IF(AND(C11="Skema 1",B11="ma"),Skemaoplysninger!$E$31,"")</f>
        <v/>
      </c>
      <c r="CE11" s="210" t="str">
        <f>IF(AND(C11="Skema 1",B11="ti"),Skemaoplysninger!$G$31,"")</f>
        <v/>
      </c>
      <c r="CF11" s="210" t="str">
        <f>IF(AND(C11="Skema 1",B11="on"),Skemaoplysninger!$I$31,"")</f>
        <v/>
      </c>
      <c r="CG11" s="210" t="str">
        <f>IF(AND(C11="Skema 1",B11="to"),Skemaoplysninger!$K$31,"")</f>
        <v/>
      </c>
      <c r="CH11" s="210" t="str">
        <f>IF(AND(C11="Skema 1",B11="fr"),Skemaoplysninger!$M$31,"")</f>
        <v/>
      </c>
      <c r="CI11" s="210" t="str">
        <f>IF(AND(C11="Skema 2",B11="ma"),Skemaoplysninger!$S$31,"")</f>
        <v/>
      </c>
      <c r="CJ11" s="210" t="str">
        <f>IF(AND(C11="Skema 2",B11="ti"),Skemaoplysninger!$U$31,"")</f>
        <v/>
      </c>
      <c r="CK11" s="210" t="str">
        <f>IF(AND(C11="Skema 2",B11="on"),Skemaoplysninger!$W$31,"")</f>
        <v/>
      </c>
      <c r="CL11" s="210" t="str">
        <f>IF(AND(C11="Skema 2",B11="to"),Skemaoplysninger!$Y$31,"")</f>
        <v/>
      </c>
      <c r="CM11" s="210" t="str">
        <f>IF(AND(C11="Skema 2",B11="fr"),Skemaoplysninger!$AA$31,"")</f>
        <v/>
      </c>
      <c r="CN11" s="210" t="str">
        <f>IF(AND(C11="Skema 3",B11="ma"),Skemaoplysninger!$AG$31,"")</f>
        <v/>
      </c>
      <c r="CO11" s="210" t="str">
        <f>IF(AND(C11="Skema 3",B11="ti"),Skemaoplysninger!$AI$31,"")</f>
        <v/>
      </c>
      <c r="CP11" s="210" t="str">
        <f>IF(AND(C11="Skema 3",B11="on"),Skemaoplysninger!$AK$31,"")</f>
        <v/>
      </c>
      <c r="CQ11" s="210" t="str">
        <f>IF(AND(C11="Skema 3",B11="to"),Skemaoplysninger!$AM$31,"")</f>
        <v/>
      </c>
      <c r="CR11" s="210" t="str">
        <f>IF(AND(C11="Skema 3",B11="fr"),Skemaoplysninger!$AO$31,"")</f>
        <v/>
      </c>
      <c r="CS11" s="210" t="str">
        <f>IF(AND(C11="Skema 4",B11="ma"),Skemaoplysninger!$AU$31,"")</f>
        <v/>
      </c>
      <c r="CT11" s="210" t="str">
        <f>IF(AND(C11="Skema 4",B11="ti"),Skemaoplysninger!$AW$31,"")</f>
        <v/>
      </c>
      <c r="CU11" s="210" t="str">
        <f>IF(AND(C11="Skema 4",B11="on"),Skemaoplysninger!$AY$31,"")</f>
        <v/>
      </c>
      <c r="CV11" s="210" t="str">
        <f>IF(AND(C11="Skema 4",B11="to"),Skemaoplysninger!$BA$31,"")</f>
        <v/>
      </c>
      <c r="CW11" s="210" t="str">
        <f>IF(AND(C11="Skema 4",B11="fr"),Skemaoplysninger!$BC$31,"")</f>
        <v/>
      </c>
      <c r="CX11" s="249">
        <f>IF(Stamoplysninger!$H$29="NEJ",SUM(CD11:CW11)*24+CB11+CC11,0)</f>
        <v>0</v>
      </c>
      <c r="CY11" s="249">
        <f>IF(C11="Skema 1",Stamoplysninger!$H$30/200,0)</f>
        <v>0</v>
      </c>
      <c r="CZ11" s="249">
        <f>IF(C11="Skema 2",Stamoplysninger!$H$30/200,0)</f>
        <v>0</v>
      </c>
      <c r="DA11" s="249">
        <f>IF(C11="Skema 3",Stamoplysninger!$H$30/200,0)</f>
        <v>0</v>
      </c>
      <c r="DB11" s="249">
        <f>IF(C11="Skema 4",Stamoplysninger!$H$30/200,0)</f>
        <v>0</v>
      </c>
      <c r="DC11" s="249">
        <f>IF(C11="fagdag",Stamoplysninger!$H$30/200,0)</f>
        <v>0</v>
      </c>
      <c r="DD11" s="249">
        <f>IF(C11="emnedag",Stamoplysninger!$H$30/200,0)</f>
        <v>0</v>
      </c>
      <c r="DE11" s="249">
        <f>IF(C11="lejrskole",Stamoplysninger!$H$30/200,0)</f>
        <v>0</v>
      </c>
      <c r="DF11" s="249">
        <f>IF(C11="ekskursion",Stamoplysninger!$H$30/200,0)</f>
        <v>0</v>
      </c>
      <c r="DG11" s="249">
        <f t="shared" si="26"/>
        <v>0</v>
      </c>
      <c r="DH11" t="str">
        <f t="shared" si="27"/>
        <v/>
      </c>
      <c r="DI11">
        <f t="shared" si="28"/>
        <v>0</v>
      </c>
      <c r="DJ11">
        <f t="shared" si="29"/>
        <v>0</v>
      </c>
      <c r="DK11" t="str">
        <f t="shared" si="14"/>
        <v/>
      </c>
      <c r="DL11" t="str">
        <f t="shared" si="14"/>
        <v/>
      </c>
      <c r="DM11" t="str">
        <f t="shared" si="14"/>
        <v/>
      </c>
      <c r="DN11" t="str">
        <f t="shared" si="30"/>
        <v/>
      </c>
      <c r="DO11" s="652">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71">
        <f>IF(AND(Stamoplysninger!$B$22="Ulempetillæg udbetales med 25% af nettotimelønnen.",C11="ikke relevant"),(R11)/4,0)</f>
        <v>0</v>
      </c>
      <c r="DT11" s="671">
        <f>IF(AND(AND(Stamoplysninger!$B$22="Ulempetillæg udbetales med 25% af nettotimelønnen.",I11="X",C11="Ikke relevant")),K11/4,0)</f>
        <v>0</v>
      </c>
      <c r="DU11" s="671">
        <f>IF(AND(AND(Stamoplysninger!$B$22="Ulempetillæg udbetales med 25% af nettotimelønnen.",C11="ikke relevant",U11="X")),(X11/4),0)</f>
        <v>0</v>
      </c>
      <c r="DV11" s="672">
        <f>IF(AND(AND(AND(Stamoplysninger!$B$22="Ulempetillæg udbetales med 25% af nettotimelønnen.",I11="X",C11="Ikke relevant",S11="X"))),V11/4,0)</f>
        <v>0</v>
      </c>
      <c r="DW11" s="652"/>
      <c r="DZ11" s="671"/>
      <c r="EA11" s="671"/>
      <c r="EB11" s="672"/>
      <c r="EC11" s="652">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71">
        <f>IF(AND(Stamoplysninger!$B$22="Ulempetillæg afspadseres med 25%(Kræver en aftale imellem ledelsen og den ansatte)",C11="ikke relevant"),(R11)/4,0)</f>
        <v>0</v>
      </c>
      <c r="EH11" s="671">
        <f>IF(AND(AND(Stamoplysninger!$B$22="Ulempetillæg afspadseres med 25%(Kræver en aftale imellem ledelsen og den ansatte)",I11="X",C11="Ikke relevant")),K11/4,0)</f>
        <v>0</v>
      </c>
      <c r="EI11" s="671">
        <f>IF(AND(AND(Stamoplysninger!$B$22="Ulempetillæg afspadseres med 25%(Kræver en aftale imellem ledelsen og den ansatte)",U11="X",C11="Ikke relevant")),X11/4,0)</f>
        <v>0</v>
      </c>
      <c r="EJ11" s="671">
        <f>IF(AND(AND(AND(Stamoplysninger!$B$22="Ulempetillæg afspadseres med 25%(Kræver en aftale imellem ledelsen og den ansatte)",I11="X",C11="Ikke relevant",S11="X"))),V11/4,0)</f>
        <v>0</v>
      </c>
      <c r="EK11" s="283">
        <f>IF(AND(Stamoplysninger!$B$26="Weekendtimer og weekendtillæg afspadseres.",I11="X"),K11*1.5,0)</f>
        <v>0</v>
      </c>
      <c r="EL11" s="251">
        <f>IF(AND(AND(Stamoplysninger!$B$26="Weekendtimer og weekendtillæg afspadseres.",I11="X",S11="X")),V11*1.5,0)</f>
        <v>0</v>
      </c>
      <c r="EM11" s="674">
        <f>IF(AND(AND(Stamoplysninger!$B$26="Weekendtimer og weekendtillæg afspadseres.",I11="X",C11="ikke relevant")),K11*1.5,0)</f>
        <v>0</v>
      </c>
      <c r="EN11" s="675">
        <f>IF(AND(AND(AND(Stamoplysninger!$B$26="Weekendtimer og weekendtillæg afspadseres.",I11="X",C11="ikke relevant",S11="X"))),(V11*1.5),0)</f>
        <v>0</v>
      </c>
      <c r="EO11" s="283">
        <f>IF(AND(Stamoplysninger!$B$26="Weekendtimer og weekendtillæg udbetales.",I11="X"),K11*1.5,0)</f>
        <v>0</v>
      </c>
      <c r="EP11" s="251">
        <f>IF(AND(AND(Stamoplysninger!$B$26="Weekendtimer og weekendtillæg udbetales.",I11="X",S11="X")),V11*1.5,0)</f>
        <v>0</v>
      </c>
      <c r="EQ11" s="674">
        <f>IF(AND(AND(Stamoplysninger!$B$26="Weekendtimer og weekendtillæg udbetales.",I11="X",C11="ikke relevant")),K11*1.5,0)</f>
        <v>0</v>
      </c>
      <c r="ER11" s="675">
        <f>IF(AND(AND(AND(Stamoplysninger!$B$26="Weekendtimer og weekendtillæg udbetales.",I11="X",C11="ikke relevant",S11="X"))),(V11*1.5),0)</f>
        <v>0</v>
      </c>
      <c r="ES11" s="283">
        <f>IF(AND(Stamoplysninger!$B$26="Der er indgået lokalaftale omkring weekendtimer.(Kræver aftale med TR/FSL) Weekendtillæg afspadseres.",I11="X"),K11*0.5,0)</f>
        <v>0</v>
      </c>
      <c r="ET11" s="251">
        <f>IF(AND(AND(Stamoplysninger!$B$26="Der er indgået lokalaftale omkring weekendtimer.(Kræver aftale med TR/FSL) Weekendtillæg afspadseres.",I11="X",S11="X")),V11*0.5,0)</f>
        <v>0</v>
      </c>
      <c r="EU11" s="674">
        <f>IF(AND(AND(Stamoplysninger!$B$26="Der er indgået lokalaftale omkring weekendtimer.(Kræver aftale med TR/FSL) Weekendtillæg afspadseres.",I11="X",C11="ikke relevant")),K11*0.5,0)</f>
        <v>0</v>
      </c>
      <c r="EV11" s="675">
        <f>IF(AND(AND(AND(Stamoplysninger!$B$26="Der er indgået lokalaftale omkring weekendtimer.(Kræver aftale med TR/FSL) Weekendtillæg afspadseres.",I11="X",C11="ikke relevant",S11="X"))),(V11*0.5),0)</f>
        <v>0</v>
      </c>
      <c r="EW11" s="283">
        <f>IF(AND(Stamoplysninger!$B$26="Der er indgået lokalaftale omkring weekendtimer(Kræver aftale med TR/FSL). Weekendtillæg udbetales.",I11="X"),K11*0.5,0)</f>
        <v>0</v>
      </c>
      <c r="EX11" s="251">
        <f>IF(AND(AND(Stamoplysninger!$B$26="Der er indgået lokalaftale omkring weekendtimer(Kræver aftale med TR/FSL). Weekendtillæg udbetales.",I11="X",S11="X")),V11*0.5,0)</f>
        <v>0</v>
      </c>
      <c r="EY11" s="674">
        <f>IF(AND(AND(Stamoplysninger!$B$26="Der er indgået lokalaftale omkring weekendtimer(Kræver aftale med TR/FSL). Weekendtillæg udbetales.",I11="X",C11="ikke relevant")),K11*0.5,0)</f>
        <v>0</v>
      </c>
      <c r="EZ11" s="675">
        <f>IF(AND(AND(AND(Stamoplysninger!$B$26="Der er indgået lokalaftale omkring weekendtimer(Kræver aftale med TR/FSL). Weekendtillæg udbetales.",I11="X",C11="ikke relevant",S11="X"))),(V11*0.5),0)</f>
        <v>0</v>
      </c>
      <c r="FA11" s="283">
        <f>IF(AND(Stamoplysninger!$B$26="Der er indgået lokalaftale omkring weekendtillæg(Kræver aftale med TR/FSL). Weekendtimerne afspadseres.",I11="X"),K11,0)</f>
        <v>0</v>
      </c>
      <c r="FB11" s="251">
        <f>IF(AND(AND(Stamoplysninger!$B$26="Der er indgået lokalaftale omkring weekendtillæg(Kræver aftale med TR/FSL). Weekendtimerne afspadseres.",I11="X",S11="X")),V11,0)</f>
        <v>0</v>
      </c>
      <c r="FC11" s="674">
        <f>IF(AND(AND(Stamoplysninger!$B$26="Der er indgået lokalaftale omkring weekendtillæg(Kræver aftale med TR/FSL). Weekendtimerne afspadseres..",I11="X",C11="ikke relevant")),K11,0)</f>
        <v>0</v>
      </c>
      <c r="FD11" s="675">
        <f>IF(AND(AND(AND(Stamoplysninger!$B$26="Der er indgået lokalaftale omkring weekendtillæg(Kræver aftale med TR/FSL). Weekendtimerne afspadseres.",I11="X",C11="ikke relevant",S11="X"))),(V11),0)</f>
        <v>0</v>
      </c>
      <c r="FE11" s="283">
        <f>IF(AND(Stamoplysninger!$B$26="Der er indgået lokalaftale omkring weekendtillæg(Kræver aftale med TR/FSL). Weekendtimerne udbetales.",I11="X"),K11,0)</f>
        <v>0</v>
      </c>
      <c r="FF11" s="251">
        <f>IF(AND(AND(Stamoplysninger!$B$26="Der er indgået lokalaftale omkring weekendtillæg(Kræver aftale med TR/FSL). Weekendtimerne udbetales.",I11="X",S11="X")),V11,0)</f>
        <v>0</v>
      </c>
      <c r="FG11" s="674">
        <f>IF(AND(AND(Stamoplysninger!$B$26="Der er indgået lokalaftale omkring weekendtillæg(Kræver aftale med TR/FSL). Weekendtimerne udbetales.",I11="X",C11="ikke relevant")),K11,0)</f>
        <v>0</v>
      </c>
      <c r="FH11" s="675">
        <f>IF(AND(AND(AND(Stamoplysninger!$B$26="Der er indgået lokalaftale omkring weekendtillæg(Kræver aftale med TR/FSL). Weekendtimerne udbetales.",I11="X",C11="ikke relevant",S11="X"))),(V11),0)</f>
        <v>0</v>
      </c>
      <c r="FI11" s="283">
        <f>IF(AND(Stamoplysninger!$B$26="Weekendtimer og weekendtillæg afspadseres.",I11="X"),K11,0)</f>
        <v>0</v>
      </c>
      <c r="FJ11" s="251">
        <f>IF(AND(Stamoplysninger!$B$26="Weekendtimer og weekendtillæg afspadseres.",Y11="X"),(AA11+AL11)/2,0)</f>
        <v>0</v>
      </c>
      <c r="FK11" s="674">
        <f>IF(AND(AND(Stamoplysninger!$B$26="Weekendtimer og weekendtillæg afspadseres.",I11="X",C11="ikke relevant")),K11,0)</f>
        <v>0</v>
      </c>
      <c r="FL11" s="675">
        <f>IF(AND(AND(Stamoplysninger!$B$26="Weekendtimer og weekendtillæg afspadseres.",Y11="X",S11="ikke relevant")),(AA11+AL11)/2,0)</f>
        <v>0</v>
      </c>
      <c r="FM11" s="283">
        <f>IF(AND(Stamoplysninger!$B$26="Der er indgået lokalaftale omkring weekendtillæg(Kræver aftale med TR/FSL). Weekendtimerne afspadseres.",I11="X"),K11,0)</f>
        <v>0</v>
      </c>
      <c r="FN11" s="674">
        <f>IF(AND(AND(Stamoplysninger!$B$26="Der er indgået lokalaftale omkring weekendtillæg(Kræver aftale med TR/FSL). Weekendtimerne afspadseres.",I11="X",C11="ikke relevant")),K11,0)</f>
        <v>0</v>
      </c>
      <c r="FO11" s="283">
        <f>IF(AND(Stamoplysninger!$B$26="Weekendtimer og weekendtillæg udbetales.",I11="X"),K11,0)</f>
        <v>0</v>
      </c>
      <c r="FP11" s="251">
        <f>IF(AND(Stamoplysninger!$B$26="Weekendtimer og weekendtillæg udbetales.",AA11="X"),(AC11+AN11)/2,0)</f>
        <v>0</v>
      </c>
      <c r="FQ11" s="674">
        <f>IF(AND(AND(Stamoplysninger!$B$26="Weekendtimer og weekendtillæg udbetales.",I11="X",C11="ikke relevant")),K11,0)</f>
        <v>0</v>
      </c>
      <c r="FR11" s="688">
        <f>IF(AND(AND(Stamoplysninger!$B$26="Weekendtimer og weekendtillæg udbetales.",AA11="X",U11="ikke relevant")),(AC11+AN11)/2,0)</f>
        <v>0</v>
      </c>
      <c r="FS11" s="283">
        <f t="shared" si="15"/>
        <v>0</v>
      </c>
      <c r="FT11" s="658">
        <f t="shared" si="16"/>
        <v>0</v>
      </c>
      <c r="FU11">
        <f t="shared" si="17"/>
        <v>0</v>
      </c>
      <c r="FV11" s="283">
        <f>IF(AND(Stamoplysninger!$B$26="Der er indgået lokalaftale omkring weekendtimer.(Kræver aftale med TR/FSL) Weekendtillæg afspadseres.",I11="X"),K11,0)</f>
        <v>0</v>
      </c>
      <c r="FW11" s="674">
        <f>IF(AND(AND(Stamoplysninger!$B$26="Der er indgået lokalaftale omkring weekendtimer.(Kræver aftale med TR/FSL) Weekendtillæg afspadseres.",I11="X",C11="ikke relevant")),K11,0)</f>
        <v>0</v>
      </c>
      <c r="FX11" s="283">
        <f>IF(AND(Stamoplysninger!$B$26="Der er indgået lokalaftale omkring weekendtimer(Kræver aftale med TR/FSL). Weekendtillæg udbetales.",I11="X"),K11,0)</f>
        <v>0</v>
      </c>
      <c r="FY11" s="674">
        <f>IF(AND(AND(Stamoplysninger!$B$26="Der er indgået lokalaftale omkring weekendtimer(Kræver aftale med TR/FSL). Weekendtillæg udbetales.",I11="X",C11="ikke relevant")),K11,0)</f>
        <v>0</v>
      </c>
      <c r="FZ11" s="283">
        <f>IF(AND(Stamoplysninger!$B$26="Der er indgået lokalaftale omkring weekendtillæg(Kræver aftale med TR/FSL). Weekendtimerne udbetales.",I11="X"),K11,0)</f>
        <v>0</v>
      </c>
      <c r="GA11" s="674">
        <f>IF(AND(AND(Stamoplysninger!$B$26="Der er indgået lokalaftale omkring weekendtillæg(Kræver aftale med TR/FSL). Weekendtimerne udbetales.",I11="X",C11="ikke relevant")),K11,0)</f>
        <v>0</v>
      </c>
      <c r="GB11" s="283">
        <f>IF(AND(Stamoplysninger!$B$26="Der er indgået lokalaftale omkring weekendtimer og weekendtillæg.(Kræver aftale med TR/FSL).",I11="X"),K11,0)</f>
        <v>0</v>
      </c>
      <c r="GC11" s="674">
        <f>IF(AND(AND(Stamoplysninger!$B$26="Der er indgået lokalaftale omkring weekendtimer og weekendtillæg.(Kræver aftale med TR/FSL).",I11="X",C11="ikke relevant")),K11,0)</f>
        <v>0</v>
      </c>
    </row>
    <row r="12" spans="1:185">
      <c r="A12" s="245">
        <f t="shared" si="18"/>
        <v>4</v>
      </c>
      <c r="B12" s="128" t="str">
        <f t="shared" si="0"/>
        <v>fr</v>
      </c>
      <c r="C12" s="129" t="s">
        <v>128</v>
      </c>
      <c r="D12" s="130" t="str">
        <f t="shared" si="1"/>
        <v/>
      </c>
      <c r="E12" s="917"/>
      <c r="F12" s="918"/>
      <c r="G12" s="919"/>
      <c r="H12" s="298"/>
      <c r="I12" s="527"/>
      <c r="J12" s="413"/>
      <c r="K12" s="380"/>
      <c r="L12" s="380"/>
      <c r="M12" s="380"/>
      <c r="N12" s="318">
        <f t="shared" si="19"/>
        <v>0</v>
      </c>
      <c r="O12" s="318">
        <f t="shared" si="20"/>
        <v>0</v>
      </c>
      <c r="P12" s="318">
        <f>IF(Stamoplysninger!$H$29="JA",Juli!DG12,CX12)</f>
        <v>0</v>
      </c>
      <c r="Q12" s="318">
        <f t="shared" si="21"/>
        <v>0</v>
      </c>
      <c r="R12" s="319"/>
      <c r="S12" s="324"/>
      <c r="T12" s="325"/>
      <c r="U12" s="325"/>
      <c r="V12" s="435"/>
      <c r="W12" s="412"/>
      <c r="X12" s="642"/>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9">
        <f t="shared" si="8"/>
        <v>0</v>
      </c>
      <c r="BC12" s="1">
        <f t="shared" si="24"/>
        <v>0</v>
      </c>
      <c r="BD12" s="1">
        <f t="shared" si="9"/>
        <v>0</v>
      </c>
      <c r="BE12" s="1">
        <f t="shared" si="10"/>
        <v>0</v>
      </c>
      <c r="BF12" s="1">
        <f t="shared" si="11"/>
        <v>0</v>
      </c>
      <c r="BG12" s="210" t="str">
        <f>IF(AND(C12="Skema 1",B12="ma"),Skemaoplysninger!$E$30,"")</f>
        <v/>
      </c>
      <c r="BH12" s="210" t="str">
        <f>IF(AND(C12="Skema 1",B12="ti"),Skemaoplysninger!$G$30,"")</f>
        <v/>
      </c>
      <c r="BI12" s="210" t="str">
        <f>IF(AND(C12="Skema 1",B12="on"),Skemaoplysninger!$I$30,"")</f>
        <v/>
      </c>
      <c r="BJ12" s="210" t="str">
        <f>IF(AND(C12="Skema 1",B12="to"),Skemaoplysninger!$K$30,"")</f>
        <v/>
      </c>
      <c r="BK12" s="210" t="str">
        <f>IF(AND(C12="Skema 1",B12="fr"),Skemaoplysninger!$M$30,"")</f>
        <v/>
      </c>
      <c r="BL12" s="210" t="str">
        <f>IF(AND(C12="Skema 2",B12="ma"),Skemaoplysninger!$S$30,"")</f>
        <v/>
      </c>
      <c r="BM12" s="210" t="str">
        <f>IF(AND(C12="Skema 2",B12="ti"),Skemaoplysninger!$U$30,"")</f>
        <v/>
      </c>
      <c r="BN12" s="210" t="str">
        <f>IF(AND(C12="Skema 2",B12="on"),Skemaoplysninger!$W$30,"")</f>
        <v/>
      </c>
      <c r="BO12" s="210" t="str">
        <f>IF(AND(C12="Skema 2",B12="to"),Skemaoplysninger!$Y$30,"")</f>
        <v/>
      </c>
      <c r="BP12" s="210" t="str">
        <f>IF(AND(C12="Skema 2",B12="fr"),Skemaoplysninger!$AA$30,"")</f>
        <v/>
      </c>
      <c r="BQ12" s="210" t="str">
        <f>IF(AND(C12="Skema 3",B12="ma"),Skemaoplysninger!$AG$30,"")</f>
        <v/>
      </c>
      <c r="BR12" s="210" t="str">
        <f>IF(AND(C12="Skema 3",B12="ti"),Skemaoplysninger!$AI$30,"")</f>
        <v/>
      </c>
      <c r="BS12" s="210" t="str">
        <f>IF(AND(C12="Skema 3",B12="on"),Skemaoplysninger!$AK$30,"")</f>
        <v/>
      </c>
      <c r="BT12" s="210" t="str">
        <f>IF(AND(C12="Skema 3",B12="to"),Skemaoplysninger!$AM$30,"")</f>
        <v/>
      </c>
      <c r="BU12" s="210" t="str">
        <f>IF(AND(C12="Skema 3",B12="fr"),Skemaoplysninger!$AO$30,"")</f>
        <v/>
      </c>
      <c r="BV12" s="210" t="str">
        <f>IF(AND(C12="Skema 4",B12="ma"),Skemaoplysninger!$AU$30,"")</f>
        <v/>
      </c>
      <c r="BW12" s="210" t="str">
        <f>IF(AND(C12="Skema 4",B12="ti"),Skemaoplysninger!$AW$30,"")</f>
        <v/>
      </c>
      <c r="BX12" s="210" t="str">
        <f>IF(AND(C12="Skema 4",B12="on"),Skemaoplysninger!$AY$30,"")</f>
        <v/>
      </c>
      <c r="BY12" s="210" t="str">
        <f>IF(AND(C12="Skema 4",B12="to"),Skemaoplysninger!$BA$30,"")</f>
        <v/>
      </c>
      <c r="BZ12" s="210" t="str">
        <f>IF(AND(C12="Skema 4",B12="fr"),Skemaoplysninger!$BC$30,"")</f>
        <v/>
      </c>
      <c r="CA12" s="1">
        <f t="shared" si="25"/>
        <v>0</v>
      </c>
      <c r="CB12" s="1">
        <f t="shared" si="12"/>
        <v>0</v>
      </c>
      <c r="CC12" s="1">
        <f t="shared" si="13"/>
        <v>0</v>
      </c>
      <c r="CD12" s="210" t="str">
        <f>IF(AND(C12="Skema 1",B12="ma"),Skemaoplysninger!$E$31,"")</f>
        <v/>
      </c>
      <c r="CE12" s="210" t="str">
        <f>IF(AND(C12="Skema 1",B12="ti"),Skemaoplysninger!$G$31,"")</f>
        <v/>
      </c>
      <c r="CF12" s="210" t="str">
        <f>IF(AND(C12="Skema 1",B12="on"),Skemaoplysninger!$I$31,"")</f>
        <v/>
      </c>
      <c r="CG12" s="210" t="str">
        <f>IF(AND(C12="Skema 1",B12="to"),Skemaoplysninger!$K$31,"")</f>
        <v/>
      </c>
      <c r="CH12" s="210" t="str">
        <f>IF(AND(C12="Skema 1",B12="fr"),Skemaoplysninger!$M$31,"")</f>
        <v/>
      </c>
      <c r="CI12" s="210" t="str">
        <f>IF(AND(C12="Skema 2",B12="ma"),Skemaoplysninger!$S$31,"")</f>
        <v/>
      </c>
      <c r="CJ12" s="210" t="str">
        <f>IF(AND(C12="Skema 2",B12="ti"),Skemaoplysninger!$U$31,"")</f>
        <v/>
      </c>
      <c r="CK12" s="210" t="str">
        <f>IF(AND(C12="Skema 2",B12="on"),Skemaoplysninger!$W$31,"")</f>
        <v/>
      </c>
      <c r="CL12" s="210" t="str">
        <f>IF(AND(C12="Skema 2",B12="to"),Skemaoplysninger!$Y$31,"")</f>
        <v/>
      </c>
      <c r="CM12" s="210" t="str">
        <f>IF(AND(C12="Skema 2",B12="fr"),Skemaoplysninger!$AA$31,"")</f>
        <v/>
      </c>
      <c r="CN12" s="210" t="str">
        <f>IF(AND(C12="Skema 3",B12="ma"),Skemaoplysninger!$AG$31,"")</f>
        <v/>
      </c>
      <c r="CO12" s="210" t="str">
        <f>IF(AND(C12="Skema 3",B12="ti"),Skemaoplysninger!$AI$31,"")</f>
        <v/>
      </c>
      <c r="CP12" s="210" t="str">
        <f>IF(AND(C12="Skema 3",B12="on"),Skemaoplysninger!$AK$31,"")</f>
        <v/>
      </c>
      <c r="CQ12" s="210" t="str">
        <f>IF(AND(C12="Skema 3",B12="to"),Skemaoplysninger!$AM$31,"")</f>
        <v/>
      </c>
      <c r="CR12" s="210" t="str">
        <f>IF(AND(C12="Skema 3",B12="fr"),Skemaoplysninger!$AO$31,"")</f>
        <v/>
      </c>
      <c r="CS12" s="210" t="str">
        <f>IF(AND(C12="Skema 4",B12="ma"),Skemaoplysninger!$AU$31,"")</f>
        <v/>
      </c>
      <c r="CT12" s="210" t="str">
        <f>IF(AND(C12="Skema 4",B12="ti"),Skemaoplysninger!$AW$31,"")</f>
        <v/>
      </c>
      <c r="CU12" s="210" t="str">
        <f>IF(AND(C12="Skema 4",B12="on"),Skemaoplysninger!$AY$31,"")</f>
        <v/>
      </c>
      <c r="CV12" s="210" t="str">
        <f>IF(AND(C12="Skema 4",B12="to"),Skemaoplysninger!$BA$31,"")</f>
        <v/>
      </c>
      <c r="CW12" s="210" t="str">
        <f>IF(AND(C12="Skema 4",B12="fr"),Skemaoplysninger!$BC$31,"")</f>
        <v/>
      </c>
      <c r="CX12" s="249">
        <f>IF(Stamoplysninger!$H$29="NEJ",SUM(CD12:CW12)*24+CB12+CC12,0)</f>
        <v>0</v>
      </c>
      <c r="CY12" s="249">
        <f>IF(C12="Skema 1",Stamoplysninger!$H$30/200,0)</f>
        <v>0</v>
      </c>
      <c r="CZ12" s="249">
        <f>IF(C12="Skema 2",Stamoplysninger!$H$30/200,0)</f>
        <v>0</v>
      </c>
      <c r="DA12" s="249">
        <f>IF(C12="Skema 3",Stamoplysninger!$H$30/200,0)</f>
        <v>0</v>
      </c>
      <c r="DB12" s="249">
        <f>IF(C12="Skema 4",Stamoplysninger!$H$30/200,0)</f>
        <v>0</v>
      </c>
      <c r="DC12" s="249">
        <f>IF(C12="fagdag",Stamoplysninger!$H$30/200,0)</f>
        <v>0</v>
      </c>
      <c r="DD12" s="249">
        <f>IF(C12="emnedag",Stamoplysninger!$H$30/200,0)</f>
        <v>0</v>
      </c>
      <c r="DE12" s="249">
        <f>IF(C12="lejrskole",Stamoplysninger!$H$30/200,0)</f>
        <v>0</v>
      </c>
      <c r="DF12" s="249">
        <f>IF(C12="ekskursion",Stamoplysninger!$H$30/200,0)</f>
        <v>0</v>
      </c>
      <c r="DG12" s="249">
        <f t="shared" si="26"/>
        <v>0</v>
      </c>
      <c r="DH12" t="str">
        <f t="shared" si="27"/>
        <v/>
      </c>
      <c r="DI12">
        <f t="shared" si="28"/>
        <v>0</v>
      </c>
      <c r="DJ12">
        <f>IF(E12="",H12,"")</f>
        <v>0</v>
      </c>
      <c r="DK12" t="str">
        <f t="shared" si="14"/>
        <v/>
      </c>
      <c r="DL12" t="str">
        <f t="shared" si="14"/>
        <v/>
      </c>
      <c r="DM12" t="str">
        <f t="shared" si="14"/>
        <v/>
      </c>
      <c r="DN12" t="str">
        <f t="shared" si="30"/>
        <v/>
      </c>
      <c r="DO12" s="652">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71">
        <f>IF(AND(Stamoplysninger!$B$22="Ulempetillæg udbetales med 25% af nettotimelønnen.",C12="ikke relevant"),(R12)/4,0)</f>
        <v>0</v>
      </c>
      <c r="DT12" s="671">
        <f>IF(AND(AND(Stamoplysninger!$B$22="Ulempetillæg udbetales med 25% af nettotimelønnen.",I12="X",C12="Ikke relevant")),K12/4,0)</f>
        <v>0</v>
      </c>
      <c r="DU12" s="671">
        <f>IF(AND(AND(Stamoplysninger!$B$22="Ulempetillæg udbetales med 25% af nettotimelønnen.",C12="ikke relevant",U12="X")),(X12/4),0)</f>
        <v>0</v>
      </c>
      <c r="DV12" s="672">
        <f>IF(AND(AND(AND(Stamoplysninger!$B$22="Ulempetillæg udbetales med 25% af nettotimelønnen.",I12="X",C12="Ikke relevant",S12="X"))),V12/4,0)</f>
        <v>0</v>
      </c>
      <c r="DW12" s="652"/>
      <c r="DZ12" s="671"/>
      <c r="EA12" s="671"/>
      <c r="EB12" s="672"/>
      <c r="EC12" s="652">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71">
        <f>IF(AND(Stamoplysninger!$B$22="Ulempetillæg afspadseres med 25%(Kræver en aftale imellem ledelsen og den ansatte)",C12="ikke relevant"),(R12)/4,0)</f>
        <v>0</v>
      </c>
      <c r="EH12" s="671">
        <f>IF(AND(AND(Stamoplysninger!$B$22="Ulempetillæg afspadseres med 25%(Kræver en aftale imellem ledelsen og den ansatte)",I12="X",C12="Ikke relevant")),K12/4,0)</f>
        <v>0</v>
      </c>
      <c r="EI12" s="671">
        <f>IF(AND(AND(Stamoplysninger!$B$22="Ulempetillæg afspadseres med 25%(Kræver en aftale imellem ledelsen og den ansatte)",U12="X",C12="Ikke relevant")),X12/4,0)</f>
        <v>0</v>
      </c>
      <c r="EJ12" s="671">
        <f>IF(AND(AND(AND(Stamoplysninger!$B$22="Ulempetillæg afspadseres med 25%(Kræver en aftale imellem ledelsen og den ansatte)",I12="X",C12="Ikke relevant",S12="X"))),V12/4,0)</f>
        <v>0</v>
      </c>
      <c r="EK12" s="283">
        <f>IF(AND(Stamoplysninger!$B$26="Weekendtimer og weekendtillæg afspadseres.",I12="X"),K12*1.5,0)</f>
        <v>0</v>
      </c>
      <c r="EL12" s="251">
        <f>IF(AND(AND(Stamoplysninger!$B$26="Weekendtimer og weekendtillæg afspadseres.",I12="X",S12="X")),V12*1.5,0)</f>
        <v>0</v>
      </c>
      <c r="EM12" s="674">
        <f>IF(AND(AND(Stamoplysninger!$B$26="Weekendtimer og weekendtillæg afspadseres.",I12="X",C12="ikke relevant")),K12*1.5,0)</f>
        <v>0</v>
      </c>
      <c r="EN12" s="675">
        <f>IF(AND(AND(AND(Stamoplysninger!$B$26="Weekendtimer og weekendtillæg afspadseres.",I12="X",C12="ikke relevant",S12="X"))),(V12*1.5),0)</f>
        <v>0</v>
      </c>
      <c r="EO12" s="283">
        <f>IF(AND(Stamoplysninger!$B$26="Weekendtimer og weekendtillæg udbetales.",I12="X"),K12*1.5,0)</f>
        <v>0</v>
      </c>
      <c r="EP12" s="251">
        <f>IF(AND(AND(Stamoplysninger!$B$26="Weekendtimer og weekendtillæg udbetales.",I12="X",S12="X")),V12*1.5,0)</f>
        <v>0</v>
      </c>
      <c r="EQ12" s="674">
        <f>IF(AND(AND(Stamoplysninger!$B$26="Weekendtimer og weekendtillæg udbetales.",I12="X",C12="ikke relevant")),K12*1.5,0)</f>
        <v>0</v>
      </c>
      <c r="ER12" s="675">
        <f>IF(AND(AND(AND(Stamoplysninger!$B$26="Weekendtimer og weekendtillæg udbetales.",I12="X",C12="ikke relevant",S12="X"))),(V12*1.5),0)</f>
        <v>0</v>
      </c>
      <c r="ES12" s="283">
        <f>IF(AND(Stamoplysninger!$B$26="Der er indgået lokalaftale omkring weekendtimer.(Kræver aftale med TR/FSL) Weekendtillæg afspadseres.",I12="X"),K12*0.5,0)</f>
        <v>0</v>
      </c>
      <c r="ET12" s="251">
        <f>IF(AND(AND(Stamoplysninger!$B$26="Der er indgået lokalaftale omkring weekendtimer.(Kræver aftale med TR/FSL) Weekendtillæg afspadseres.",I12="X",S12="X")),V12*0.5,0)</f>
        <v>0</v>
      </c>
      <c r="EU12" s="674">
        <f>IF(AND(AND(Stamoplysninger!$B$26="Der er indgået lokalaftale omkring weekendtimer.(Kræver aftale med TR/FSL) Weekendtillæg afspadseres.",I12="X",C12="ikke relevant")),K12*0.5,0)</f>
        <v>0</v>
      </c>
      <c r="EV12" s="675">
        <f>IF(AND(AND(AND(Stamoplysninger!$B$26="Der er indgået lokalaftale omkring weekendtimer.(Kræver aftale med TR/FSL) Weekendtillæg afspadseres.",I12="X",C12="ikke relevant",S12="X"))),(V12*0.5),0)</f>
        <v>0</v>
      </c>
      <c r="EW12" s="283">
        <f>IF(AND(Stamoplysninger!$B$26="Der er indgået lokalaftale omkring weekendtimer(Kræver aftale med TR/FSL). Weekendtillæg udbetales.",I12="X"),K12*0.5,0)</f>
        <v>0</v>
      </c>
      <c r="EX12" s="251">
        <f>IF(AND(AND(Stamoplysninger!$B$26="Der er indgået lokalaftale omkring weekendtimer(Kræver aftale med TR/FSL). Weekendtillæg udbetales.",I12="X",S12="X")),V12*0.5,0)</f>
        <v>0</v>
      </c>
      <c r="EY12" s="674">
        <f>IF(AND(AND(Stamoplysninger!$B$26="Der er indgået lokalaftale omkring weekendtimer(Kræver aftale med TR/FSL). Weekendtillæg udbetales.",I12="X",C12="ikke relevant")),K12*0.5,0)</f>
        <v>0</v>
      </c>
      <c r="EZ12" s="675">
        <f>IF(AND(AND(AND(Stamoplysninger!$B$26="Der er indgået lokalaftale omkring weekendtimer(Kræver aftale med TR/FSL). Weekendtillæg udbetales.",I12="X",C12="ikke relevant",S12="X"))),(V12*0.5),0)</f>
        <v>0</v>
      </c>
      <c r="FA12" s="283">
        <f>IF(AND(Stamoplysninger!$B$26="Der er indgået lokalaftale omkring weekendtillæg(Kræver aftale med TR/FSL). Weekendtimerne afspadseres.",I12="X"),K12,0)</f>
        <v>0</v>
      </c>
      <c r="FB12" s="251">
        <f>IF(AND(AND(Stamoplysninger!$B$26="Der er indgået lokalaftale omkring weekendtillæg(Kræver aftale med TR/FSL). Weekendtimerne afspadseres.",I12="X",S12="X")),V12,0)</f>
        <v>0</v>
      </c>
      <c r="FC12" s="674">
        <f>IF(AND(AND(Stamoplysninger!$B$26="Der er indgået lokalaftale omkring weekendtillæg(Kræver aftale med TR/FSL). Weekendtimerne afspadseres..",I12="X",C12="ikke relevant")),K12,0)</f>
        <v>0</v>
      </c>
      <c r="FD12" s="675">
        <f>IF(AND(AND(AND(Stamoplysninger!$B$26="Der er indgået lokalaftale omkring weekendtillæg(Kræver aftale med TR/FSL). Weekendtimerne afspadseres.",I12="X",C12="ikke relevant",S12="X"))),(V12),0)</f>
        <v>0</v>
      </c>
      <c r="FE12" s="283">
        <f>IF(AND(Stamoplysninger!$B$26="Der er indgået lokalaftale omkring weekendtillæg(Kræver aftale med TR/FSL). Weekendtimerne udbetales.",I12="X"),K12,0)</f>
        <v>0</v>
      </c>
      <c r="FF12" s="251">
        <f>IF(AND(AND(Stamoplysninger!$B$26="Der er indgået lokalaftale omkring weekendtillæg(Kræver aftale med TR/FSL). Weekendtimerne udbetales.",I12="X",S12="X")),V12,0)</f>
        <v>0</v>
      </c>
      <c r="FG12" s="674">
        <f>IF(AND(AND(Stamoplysninger!$B$26="Der er indgået lokalaftale omkring weekendtillæg(Kræver aftale med TR/FSL). Weekendtimerne udbetales.",I12="X",C12="ikke relevant")),K12,0)</f>
        <v>0</v>
      </c>
      <c r="FH12" s="675">
        <f>IF(AND(AND(AND(Stamoplysninger!$B$26="Der er indgået lokalaftale omkring weekendtillæg(Kræver aftale med TR/FSL). Weekendtimerne udbetales.",I12="X",C12="ikke relevant",S12="X"))),(V12),0)</f>
        <v>0</v>
      </c>
      <c r="FI12" s="283">
        <f>IF(AND(Stamoplysninger!$B$26="Weekendtimer og weekendtillæg afspadseres.",I12="X"),K12,0)</f>
        <v>0</v>
      </c>
      <c r="FJ12" s="251">
        <f>IF(AND(Stamoplysninger!$B$26="Weekendtimer og weekendtillæg afspadseres.",Y12="X"),(AA12+AL12)/2,0)</f>
        <v>0</v>
      </c>
      <c r="FK12" s="674">
        <f>IF(AND(AND(Stamoplysninger!$B$26="Weekendtimer og weekendtillæg afspadseres.",I12="X",C12="ikke relevant")),K12,0)</f>
        <v>0</v>
      </c>
      <c r="FL12" s="675">
        <f>IF(AND(AND(Stamoplysninger!$B$26="Weekendtimer og weekendtillæg afspadseres.",Y12="X",S12="ikke relevant")),(AA12+AL12)/2,0)</f>
        <v>0</v>
      </c>
      <c r="FM12" s="283">
        <f>IF(AND(Stamoplysninger!$B$26="Der er indgået lokalaftale omkring weekendtillæg(Kræver aftale med TR/FSL). Weekendtimerne afspadseres.",I12="X"),K12,0)</f>
        <v>0</v>
      </c>
      <c r="FN12" s="674">
        <f>IF(AND(AND(Stamoplysninger!$B$26="Der er indgået lokalaftale omkring weekendtillæg(Kræver aftale med TR/FSL). Weekendtimerne afspadseres.",I12="X",C12="ikke relevant")),K12,0)</f>
        <v>0</v>
      </c>
      <c r="FO12" s="283">
        <f>IF(AND(Stamoplysninger!$B$26="Weekendtimer og weekendtillæg udbetales.",I12="X"),K12,0)</f>
        <v>0</v>
      </c>
      <c r="FP12" s="251">
        <f>IF(AND(Stamoplysninger!$B$26="Weekendtimer og weekendtillæg udbetales.",AA12="X"),(AC12+AN12)/2,0)</f>
        <v>0</v>
      </c>
      <c r="FQ12" s="674">
        <f>IF(AND(AND(Stamoplysninger!$B$26="Weekendtimer og weekendtillæg udbetales.",I12="X",C12="ikke relevant")),K12,0)</f>
        <v>0</v>
      </c>
      <c r="FR12" s="688">
        <f>IF(AND(AND(Stamoplysninger!$B$26="Weekendtimer og weekendtillæg udbetales.",AA12="X",U12="ikke relevant")),(AC12+AN12)/2,0)</f>
        <v>0</v>
      </c>
      <c r="FS12" s="283">
        <f t="shared" si="15"/>
        <v>0</v>
      </c>
      <c r="FT12" s="658">
        <f t="shared" si="16"/>
        <v>0</v>
      </c>
      <c r="FU12">
        <f t="shared" si="17"/>
        <v>0</v>
      </c>
      <c r="FV12" s="283">
        <f>IF(AND(Stamoplysninger!$B$26="Der er indgået lokalaftale omkring weekendtimer.(Kræver aftale med TR/FSL) Weekendtillæg afspadseres.",I12="X"),K12,0)</f>
        <v>0</v>
      </c>
      <c r="FW12" s="674">
        <f>IF(AND(AND(Stamoplysninger!$B$26="Der er indgået lokalaftale omkring weekendtimer.(Kræver aftale med TR/FSL) Weekendtillæg afspadseres.",I12="X",C12="ikke relevant")),K12,0)</f>
        <v>0</v>
      </c>
      <c r="FX12" s="283">
        <f>IF(AND(Stamoplysninger!$B$26="Der er indgået lokalaftale omkring weekendtimer(Kræver aftale med TR/FSL). Weekendtillæg udbetales.",I12="X"),K12,0)</f>
        <v>0</v>
      </c>
      <c r="FY12" s="674">
        <f>IF(AND(AND(Stamoplysninger!$B$26="Der er indgået lokalaftale omkring weekendtimer(Kræver aftale med TR/FSL). Weekendtillæg udbetales.",I12="X",C12="ikke relevant")),K12,0)</f>
        <v>0</v>
      </c>
      <c r="FZ12" s="283">
        <f>IF(AND(Stamoplysninger!$B$26="Der er indgået lokalaftale omkring weekendtillæg(Kræver aftale med TR/FSL). Weekendtimerne udbetales.",I12="X"),K12,0)</f>
        <v>0</v>
      </c>
      <c r="GA12" s="674">
        <f>IF(AND(AND(Stamoplysninger!$B$26="Der er indgået lokalaftale omkring weekendtillæg(Kræver aftale med TR/FSL). Weekendtimerne udbetales.",I12="X",C12="ikke relevant")),K12,0)</f>
        <v>0</v>
      </c>
      <c r="GB12" s="283">
        <f>IF(AND(Stamoplysninger!$B$26="Der er indgået lokalaftale omkring weekendtimer og weekendtillæg.(Kræver aftale med TR/FSL).",I12="X"),K12,0)</f>
        <v>0</v>
      </c>
      <c r="GC12" s="674">
        <f>IF(AND(AND(Stamoplysninger!$B$26="Der er indgået lokalaftale omkring weekendtimer og weekendtillæg.(Kræver aftale med TR/FSL).",I12="X",C12="ikke relevant")),K12,0)</f>
        <v>0</v>
      </c>
    </row>
    <row r="13" spans="1:185">
      <c r="A13" s="245">
        <f t="shared" si="18"/>
        <v>5</v>
      </c>
      <c r="B13" s="128" t="str">
        <f t="shared" si="0"/>
        <v>lø</v>
      </c>
      <c r="C13" s="129" t="s">
        <v>120</v>
      </c>
      <c r="D13" s="130" t="str">
        <f t="shared" si="1"/>
        <v/>
      </c>
      <c r="E13" s="917"/>
      <c r="F13" s="918"/>
      <c r="G13" s="919"/>
      <c r="H13" s="298"/>
      <c r="I13" s="413"/>
      <c r="J13" s="413"/>
      <c r="K13" s="380"/>
      <c r="L13" s="380"/>
      <c r="M13" s="380"/>
      <c r="N13" s="318">
        <f t="shared" si="19"/>
        <v>0</v>
      </c>
      <c r="O13" s="318">
        <f t="shared" si="20"/>
        <v>0</v>
      </c>
      <c r="P13" s="318">
        <f>IF(Stamoplysninger!$H$29="JA",Juli!DG13,CX13)</f>
        <v>0</v>
      </c>
      <c r="Q13" s="318">
        <f t="shared" si="21"/>
        <v>0</v>
      </c>
      <c r="R13" s="319"/>
      <c r="S13" s="324"/>
      <c r="T13" s="325"/>
      <c r="U13" s="325"/>
      <c r="V13" s="435"/>
      <c r="W13" s="412"/>
      <c r="X13" s="642"/>
      <c r="Y13">
        <f t="shared" si="22"/>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9">
        <f t="shared" si="8"/>
        <v>0</v>
      </c>
      <c r="BC13" s="1">
        <f t="shared" si="24"/>
        <v>0</v>
      </c>
      <c r="BD13" s="1">
        <f t="shared" si="9"/>
        <v>0</v>
      </c>
      <c r="BE13" s="1">
        <f t="shared" si="10"/>
        <v>0</v>
      </c>
      <c r="BF13" s="1">
        <f t="shared" si="11"/>
        <v>0</v>
      </c>
      <c r="BG13" s="210" t="str">
        <f>IF(AND(C13="Skema 1",B13="ma"),Skemaoplysninger!$E$30,"")</f>
        <v/>
      </c>
      <c r="BH13" s="210" t="str">
        <f>IF(AND(C13="Skema 1",B13="ti"),Skemaoplysninger!$G$30,"")</f>
        <v/>
      </c>
      <c r="BI13" s="210" t="str">
        <f>IF(AND(C13="Skema 1",B13="on"),Skemaoplysninger!$I$30,"")</f>
        <v/>
      </c>
      <c r="BJ13" s="210" t="str">
        <f>IF(AND(C13="Skema 1",B13="to"),Skemaoplysninger!$K$30,"")</f>
        <v/>
      </c>
      <c r="BK13" s="210" t="str">
        <f>IF(AND(C13="Skema 1",B13="fr"),Skemaoplysninger!$M$30,"")</f>
        <v/>
      </c>
      <c r="BL13" s="210" t="str">
        <f>IF(AND(C13="Skema 2",B13="ma"),Skemaoplysninger!$S$30,"")</f>
        <v/>
      </c>
      <c r="BM13" s="210" t="str">
        <f>IF(AND(C13="Skema 2",B13="ti"),Skemaoplysninger!$U$30,"")</f>
        <v/>
      </c>
      <c r="BN13" s="210" t="str">
        <f>IF(AND(C13="Skema 2",B13="on"),Skemaoplysninger!$W$30,"")</f>
        <v/>
      </c>
      <c r="BO13" s="210" t="str">
        <f>IF(AND(C13="Skema 2",B13="to"),Skemaoplysninger!$Y$30,"")</f>
        <v/>
      </c>
      <c r="BP13" s="210" t="str">
        <f>IF(AND(C13="Skema 2",B13="fr"),Skemaoplysninger!$AA$30,"")</f>
        <v/>
      </c>
      <c r="BQ13" s="210" t="str">
        <f>IF(AND(C13="Skema 3",B13="ma"),Skemaoplysninger!$AG$30,"")</f>
        <v/>
      </c>
      <c r="BR13" s="210" t="str">
        <f>IF(AND(C13="Skema 3",B13="ti"),Skemaoplysninger!$AI$30,"")</f>
        <v/>
      </c>
      <c r="BS13" s="210" t="str">
        <f>IF(AND(C13="Skema 3",B13="on"),Skemaoplysninger!$AK$30,"")</f>
        <v/>
      </c>
      <c r="BT13" s="210" t="str">
        <f>IF(AND(C13="Skema 3",B13="to"),Skemaoplysninger!$AM$30,"")</f>
        <v/>
      </c>
      <c r="BU13" s="210" t="str">
        <f>IF(AND(C13="Skema 3",B13="fr"),Skemaoplysninger!$AO$30,"")</f>
        <v/>
      </c>
      <c r="BV13" s="210" t="str">
        <f>IF(AND(C13="Skema 4",B13="ma"),Skemaoplysninger!$AU$30,"")</f>
        <v/>
      </c>
      <c r="BW13" s="210" t="str">
        <f>IF(AND(C13="Skema 4",B13="ti"),Skemaoplysninger!$AW$30,"")</f>
        <v/>
      </c>
      <c r="BX13" s="210" t="str">
        <f>IF(AND(C13="Skema 4",B13="on"),Skemaoplysninger!$AY$30,"")</f>
        <v/>
      </c>
      <c r="BY13" s="210" t="str">
        <f>IF(AND(C13="Skema 4",B13="to"),Skemaoplysninger!$BA$30,"")</f>
        <v/>
      </c>
      <c r="BZ13" s="210" t="str">
        <f>IF(AND(C13="Skema 4",B13="fr"),Skemaoplysninger!$BC$30,"")</f>
        <v/>
      </c>
      <c r="CA13" s="1">
        <f t="shared" si="25"/>
        <v>0</v>
      </c>
      <c r="CB13" s="1">
        <f t="shared" si="12"/>
        <v>0</v>
      </c>
      <c r="CC13" s="1">
        <f t="shared" si="13"/>
        <v>0</v>
      </c>
      <c r="CD13" s="210" t="str">
        <f>IF(AND(C13="Skema 1",B13="ma"),Skemaoplysninger!$E$31,"")</f>
        <v/>
      </c>
      <c r="CE13" s="210" t="str">
        <f>IF(AND(C13="Skema 1",B13="ti"),Skemaoplysninger!$G$31,"")</f>
        <v/>
      </c>
      <c r="CF13" s="210" t="str">
        <f>IF(AND(C13="Skema 1",B13="on"),Skemaoplysninger!$I$31,"")</f>
        <v/>
      </c>
      <c r="CG13" s="210" t="str">
        <f>IF(AND(C13="Skema 1",B13="to"),Skemaoplysninger!$K$31,"")</f>
        <v/>
      </c>
      <c r="CH13" s="210" t="str">
        <f>IF(AND(C13="Skema 1",B13="fr"),Skemaoplysninger!$M$31,"")</f>
        <v/>
      </c>
      <c r="CI13" s="210" t="str">
        <f>IF(AND(C13="Skema 2",B13="ma"),Skemaoplysninger!$S$31,"")</f>
        <v/>
      </c>
      <c r="CJ13" s="210" t="str">
        <f>IF(AND(C13="Skema 2",B13="ti"),Skemaoplysninger!$U$31,"")</f>
        <v/>
      </c>
      <c r="CK13" s="210" t="str">
        <f>IF(AND(C13="Skema 2",B13="on"),Skemaoplysninger!$W$31,"")</f>
        <v/>
      </c>
      <c r="CL13" s="210" t="str">
        <f>IF(AND(C13="Skema 2",B13="to"),Skemaoplysninger!$Y$31,"")</f>
        <v/>
      </c>
      <c r="CM13" s="210" t="str">
        <f>IF(AND(C13="Skema 2",B13="fr"),Skemaoplysninger!$AA$31,"")</f>
        <v/>
      </c>
      <c r="CN13" s="210" t="str">
        <f>IF(AND(C13="Skema 3",B13="ma"),Skemaoplysninger!$AG$31,"")</f>
        <v/>
      </c>
      <c r="CO13" s="210" t="str">
        <f>IF(AND(C13="Skema 3",B13="ti"),Skemaoplysninger!$AI$31,"")</f>
        <v/>
      </c>
      <c r="CP13" s="210" t="str">
        <f>IF(AND(C13="Skema 3",B13="on"),Skemaoplysninger!$AK$31,"")</f>
        <v/>
      </c>
      <c r="CQ13" s="210" t="str">
        <f>IF(AND(C13="Skema 3",B13="to"),Skemaoplysninger!$AM$31,"")</f>
        <v/>
      </c>
      <c r="CR13" s="210" t="str">
        <f>IF(AND(C13="Skema 3",B13="fr"),Skemaoplysninger!$AO$31,"")</f>
        <v/>
      </c>
      <c r="CS13" s="210" t="str">
        <f>IF(AND(C13="Skema 4",B13="ma"),Skemaoplysninger!$AU$31,"")</f>
        <v/>
      </c>
      <c r="CT13" s="210" t="str">
        <f>IF(AND(C13="Skema 4",B13="ti"),Skemaoplysninger!$AW$31,"")</f>
        <v/>
      </c>
      <c r="CU13" s="210" t="str">
        <f>IF(AND(C13="Skema 4",B13="on"),Skemaoplysninger!$AY$31,"")</f>
        <v/>
      </c>
      <c r="CV13" s="210" t="str">
        <f>IF(AND(C13="Skema 4",B13="to"),Skemaoplysninger!$BA$31,"")</f>
        <v/>
      </c>
      <c r="CW13" s="210" t="str">
        <f>IF(AND(C13="Skema 4",B13="fr"),Skemaoplysninger!$BC$31,"")</f>
        <v/>
      </c>
      <c r="CX13" s="249">
        <f>IF(Stamoplysninger!$H$29="NEJ",SUM(CD13:CW13)*24+CB13+CC13,0)</f>
        <v>0</v>
      </c>
      <c r="CY13" s="249">
        <f>IF(C13="Skema 1",Stamoplysninger!$H$30/200,0)</f>
        <v>0</v>
      </c>
      <c r="CZ13" s="249">
        <f>IF(C13="Skema 2",Stamoplysninger!$H$30/200,0)</f>
        <v>0</v>
      </c>
      <c r="DA13" s="249">
        <f>IF(C13="Skema 3",Stamoplysninger!$H$30/200,0)</f>
        <v>0</v>
      </c>
      <c r="DB13" s="249">
        <f>IF(C13="Skema 4",Stamoplysninger!$H$30/200,0)</f>
        <v>0</v>
      </c>
      <c r="DC13" s="249">
        <f>IF(C13="fagdag",Stamoplysninger!$H$30/200,0)</f>
        <v>0</v>
      </c>
      <c r="DD13" s="249">
        <f>IF(C13="emnedag",Stamoplysninger!$H$30/200,0)</f>
        <v>0</v>
      </c>
      <c r="DE13" s="249">
        <f>IF(C13="lejrskole",Stamoplysninger!$H$30/200,0)</f>
        <v>0</v>
      </c>
      <c r="DF13" s="249">
        <f>IF(C13="ekskursion",Stamoplysninger!$H$30/200,0)</f>
        <v>0</v>
      </c>
      <c r="DG13" s="249">
        <f t="shared" si="26"/>
        <v>0</v>
      </c>
      <c r="DH13" t="str">
        <f t="shared" si="27"/>
        <v/>
      </c>
      <c r="DI13">
        <f t="shared" si="28"/>
        <v>0</v>
      </c>
      <c r="DJ13">
        <f t="shared" si="29"/>
        <v>0</v>
      </c>
      <c r="DK13" t="str">
        <f t="shared" si="14"/>
        <v/>
      </c>
      <c r="DL13" t="str">
        <f t="shared" si="14"/>
        <v/>
      </c>
      <c r="DM13" t="str">
        <f t="shared" si="14"/>
        <v/>
      </c>
      <c r="DN13" t="str">
        <f t="shared" si="30"/>
        <v/>
      </c>
      <c r="DO13" s="652">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71">
        <f>IF(AND(Stamoplysninger!$B$22="Ulempetillæg udbetales med 25% af nettotimelønnen.",C13="ikke relevant"),(R13)/4,0)</f>
        <v>0</v>
      </c>
      <c r="DT13" s="671">
        <f>IF(AND(AND(Stamoplysninger!$B$22="Ulempetillæg udbetales med 25% af nettotimelønnen.",I13="X",C13="Ikke relevant")),K13/4,0)</f>
        <v>0</v>
      </c>
      <c r="DU13" s="671">
        <f>IF(AND(AND(Stamoplysninger!$B$22="Ulempetillæg udbetales med 25% af nettotimelønnen.",C13="ikke relevant",U13="X")),(X13/4),0)</f>
        <v>0</v>
      </c>
      <c r="DV13" s="672">
        <f>IF(AND(AND(AND(Stamoplysninger!$B$22="Ulempetillæg udbetales med 25% af nettotimelønnen.",I13="X",C13="Ikke relevant",S13="X"))),V13/4,0)</f>
        <v>0</v>
      </c>
      <c r="DW13" s="652"/>
      <c r="DZ13" s="671"/>
      <c r="EA13" s="671"/>
      <c r="EB13" s="672"/>
      <c r="EC13" s="652">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71">
        <f>IF(AND(Stamoplysninger!$B$22="Ulempetillæg afspadseres med 25%(Kræver en aftale imellem ledelsen og den ansatte)",C13="ikke relevant"),(R13)/4,0)</f>
        <v>0</v>
      </c>
      <c r="EH13" s="671">
        <f>IF(AND(AND(Stamoplysninger!$B$22="Ulempetillæg afspadseres med 25%(Kræver en aftale imellem ledelsen og den ansatte)",I13="X",C13="Ikke relevant")),K13/4,0)</f>
        <v>0</v>
      </c>
      <c r="EI13" s="671">
        <f>IF(AND(AND(Stamoplysninger!$B$22="Ulempetillæg afspadseres med 25%(Kræver en aftale imellem ledelsen og den ansatte)",U13="X",C13="Ikke relevant")),X13/4,0)</f>
        <v>0</v>
      </c>
      <c r="EJ13" s="671">
        <f>IF(AND(AND(AND(Stamoplysninger!$B$22="Ulempetillæg afspadseres med 25%(Kræver en aftale imellem ledelsen og den ansatte)",I13="X",C13="Ikke relevant",S13="X"))),V13/4,0)</f>
        <v>0</v>
      </c>
      <c r="EK13" s="283">
        <f>IF(AND(Stamoplysninger!$B$26="Weekendtimer og weekendtillæg afspadseres.",I13="X"),K13*1.5,0)</f>
        <v>0</v>
      </c>
      <c r="EL13" s="251">
        <f>IF(AND(AND(Stamoplysninger!$B$26="Weekendtimer og weekendtillæg afspadseres.",I13="X",S13="X")),V13*1.5,0)</f>
        <v>0</v>
      </c>
      <c r="EM13" s="674">
        <f>IF(AND(AND(Stamoplysninger!$B$26="Weekendtimer og weekendtillæg afspadseres.",I13="X",C13="ikke relevant")),K13*1.5,0)</f>
        <v>0</v>
      </c>
      <c r="EN13" s="675">
        <f>IF(AND(AND(AND(Stamoplysninger!$B$26="Weekendtimer og weekendtillæg afspadseres.",I13="X",C13="ikke relevant",S13="X"))),(V13*1.5),0)</f>
        <v>0</v>
      </c>
      <c r="EO13" s="283">
        <f>IF(AND(Stamoplysninger!$B$26="Weekendtimer og weekendtillæg udbetales.",I13="X"),K13*1.5,0)</f>
        <v>0</v>
      </c>
      <c r="EP13" s="251">
        <f>IF(AND(AND(Stamoplysninger!$B$26="Weekendtimer og weekendtillæg udbetales.",I13="X",S13="X")),V13*1.5,0)</f>
        <v>0</v>
      </c>
      <c r="EQ13" s="674">
        <f>IF(AND(AND(Stamoplysninger!$B$26="Weekendtimer og weekendtillæg udbetales.",I13="X",C13="ikke relevant")),K13*1.5,0)</f>
        <v>0</v>
      </c>
      <c r="ER13" s="675">
        <f>IF(AND(AND(AND(Stamoplysninger!$B$26="Weekendtimer og weekendtillæg udbetales.",I13="X",C13="ikke relevant",S13="X"))),(V13*1.5),0)</f>
        <v>0</v>
      </c>
      <c r="ES13" s="283">
        <f>IF(AND(Stamoplysninger!$B$26="Der er indgået lokalaftale omkring weekendtimer.(Kræver aftale med TR/FSL) Weekendtillæg afspadseres.",I13="X"),K13*0.5,0)</f>
        <v>0</v>
      </c>
      <c r="ET13" s="251">
        <f>IF(AND(AND(Stamoplysninger!$B$26="Der er indgået lokalaftale omkring weekendtimer.(Kræver aftale med TR/FSL) Weekendtillæg afspadseres.",I13="X",S13="X")),V13*0.5,0)</f>
        <v>0</v>
      </c>
      <c r="EU13" s="674">
        <f>IF(AND(AND(Stamoplysninger!$B$26="Der er indgået lokalaftale omkring weekendtimer.(Kræver aftale med TR/FSL) Weekendtillæg afspadseres.",I13="X",C13="ikke relevant")),K13*0.5,0)</f>
        <v>0</v>
      </c>
      <c r="EV13" s="675">
        <f>IF(AND(AND(AND(Stamoplysninger!$B$26="Der er indgået lokalaftale omkring weekendtimer.(Kræver aftale med TR/FSL) Weekendtillæg afspadseres.",I13="X",C13="ikke relevant",S13="X"))),(V13*0.5),0)</f>
        <v>0</v>
      </c>
      <c r="EW13" s="283">
        <f>IF(AND(Stamoplysninger!$B$26="Der er indgået lokalaftale omkring weekendtimer(Kræver aftale med TR/FSL). Weekendtillæg udbetales.",I13="X"),K13*0.5,0)</f>
        <v>0</v>
      </c>
      <c r="EX13" s="251">
        <f>IF(AND(AND(Stamoplysninger!$B$26="Der er indgået lokalaftale omkring weekendtimer(Kræver aftale med TR/FSL). Weekendtillæg udbetales.",I13="X",S13="X")),V13*0.5,0)</f>
        <v>0</v>
      </c>
      <c r="EY13" s="674">
        <f>IF(AND(AND(Stamoplysninger!$B$26="Der er indgået lokalaftale omkring weekendtimer(Kræver aftale med TR/FSL). Weekendtillæg udbetales.",I13="X",C13="ikke relevant")),K13*0.5,0)</f>
        <v>0</v>
      </c>
      <c r="EZ13" s="675">
        <f>IF(AND(AND(AND(Stamoplysninger!$B$26="Der er indgået lokalaftale omkring weekendtimer(Kræver aftale med TR/FSL). Weekendtillæg udbetales.",I13="X",C13="ikke relevant",S13="X"))),(V13*0.5),0)</f>
        <v>0</v>
      </c>
      <c r="FA13" s="283">
        <f>IF(AND(Stamoplysninger!$B$26="Der er indgået lokalaftale omkring weekendtillæg(Kræver aftale med TR/FSL). Weekendtimerne afspadseres.",I13="X"),K13,0)</f>
        <v>0</v>
      </c>
      <c r="FB13" s="251">
        <f>IF(AND(AND(Stamoplysninger!$B$26="Der er indgået lokalaftale omkring weekendtillæg(Kræver aftale med TR/FSL). Weekendtimerne afspadseres.",I13="X",S13="X")),V13,0)</f>
        <v>0</v>
      </c>
      <c r="FC13" s="674">
        <f>IF(AND(AND(Stamoplysninger!$B$26="Der er indgået lokalaftale omkring weekendtillæg(Kræver aftale med TR/FSL). Weekendtimerne afspadseres..",I13="X",C13="ikke relevant")),K13,0)</f>
        <v>0</v>
      </c>
      <c r="FD13" s="675">
        <f>IF(AND(AND(AND(Stamoplysninger!$B$26="Der er indgået lokalaftale omkring weekendtillæg(Kræver aftale med TR/FSL). Weekendtimerne afspadseres.",I13="X",C13="ikke relevant",S13="X"))),(V13),0)</f>
        <v>0</v>
      </c>
      <c r="FE13" s="283">
        <f>IF(AND(Stamoplysninger!$B$26="Der er indgået lokalaftale omkring weekendtillæg(Kræver aftale med TR/FSL). Weekendtimerne udbetales.",I13="X"),K13,0)</f>
        <v>0</v>
      </c>
      <c r="FF13" s="251">
        <f>IF(AND(AND(Stamoplysninger!$B$26="Der er indgået lokalaftale omkring weekendtillæg(Kræver aftale med TR/FSL). Weekendtimerne udbetales.",I13="X",S13="X")),V13,0)</f>
        <v>0</v>
      </c>
      <c r="FG13" s="674">
        <f>IF(AND(AND(Stamoplysninger!$B$26="Der er indgået lokalaftale omkring weekendtillæg(Kræver aftale med TR/FSL). Weekendtimerne udbetales.",I13="X",C13="ikke relevant")),K13,0)</f>
        <v>0</v>
      </c>
      <c r="FH13" s="675">
        <f>IF(AND(AND(AND(Stamoplysninger!$B$26="Der er indgået lokalaftale omkring weekendtillæg(Kræver aftale med TR/FSL). Weekendtimerne udbetales.",I13="X",C13="ikke relevant",S13="X"))),(V13),0)</f>
        <v>0</v>
      </c>
      <c r="FI13" s="283">
        <f>IF(AND(Stamoplysninger!$B$26="Weekendtimer og weekendtillæg afspadseres.",I13="X"),K13,0)</f>
        <v>0</v>
      </c>
      <c r="FJ13" s="251">
        <f>IF(AND(Stamoplysninger!$B$26="Weekendtimer og weekendtillæg afspadseres.",Y13="X"),(AA13+AL13)/2,0)</f>
        <v>0</v>
      </c>
      <c r="FK13" s="674">
        <f>IF(AND(AND(Stamoplysninger!$B$26="Weekendtimer og weekendtillæg afspadseres.",I13="X",C13="ikke relevant")),K13,0)</f>
        <v>0</v>
      </c>
      <c r="FL13" s="675">
        <f>IF(AND(AND(Stamoplysninger!$B$26="Weekendtimer og weekendtillæg afspadseres.",Y13="X",S13="ikke relevant")),(AA13+AL13)/2,0)</f>
        <v>0</v>
      </c>
      <c r="FM13" s="283">
        <f>IF(AND(Stamoplysninger!$B$26="Der er indgået lokalaftale omkring weekendtillæg(Kræver aftale med TR/FSL). Weekendtimerne afspadseres.",I13="X"),K13,0)</f>
        <v>0</v>
      </c>
      <c r="FN13" s="674">
        <f>IF(AND(AND(Stamoplysninger!$B$26="Der er indgået lokalaftale omkring weekendtillæg(Kræver aftale med TR/FSL). Weekendtimerne afspadseres.",I13="X",C13="ikke relevant")),K13,0)</f>
        <v>0</v>
      </c>
      <c r="FO13" s="283">
        <f>IF(AND(Stamoplysninger!$B$26="Weekendtimer og weekendtillæg udbetales.",I13="X"),K13,0)</f>
        <v>0</v>
      </c>
      <c r="FP13" s="251">
        <f>IF(AND(Stamoplysninger!$B$26="Weekendtimer og weekendtillæg udbetales.",AA13="X"),(AC13+AN13)/2,0)</f>
        <v>0</v>
      </c>
      <c r="FQ13" s="674">
        <f>IF(AND(AND(Stamoplysninger!$B$26="Weekendtimer og weekendtillæg udbetales.",I13="X",C13="ikke relevant")),K13,0)</f>
        <v>0</v>
      </c>
      <c r="FR13" s="688">
        <f>IF(AND(AND(Stamoplysninger!$B$26="Weekendtimer og weekendtillæg udbetales.",AA13="X",U13="ikke relevant")),(AC13+AN13)/2,0)</f>
        <v>0</v>
      </c>
      <c r="FS13" s="283">
        <f t="shared" si="15"/>
        <v>0</v>
      </c>
      <c r="FT13" s="658">
        <f t="shared" si="16"/>
        <v>0</v>
      </c>
      <c r="FU13">
        <f t="shared" si="17"/>
        <v>0</v>
      </c>
      <c r="FV13" s="283">
        <f>IF(AND(Stamoplysninger!$B$26="Der er indgået lokalaftale omkring weekendtimer.(Kræver aftale med TR/FSL) Weekendtillæg afspadseres.",I13="X"),K13,0)</f>
        <v>0</v>
      </c>
      <c r="FW13" s="674">
        <f>IF(AND(AND(Stamoplysninger!$B$26="Der er indgået lokalaftale omkring weekendtimer.(Kræver aftale med TR/FSL) Weekendtillæg afspadseres.",I13="X",C13="ikke relevant")),K13,0)</f>
        <v>0</v>
      </c>
      <c r="FX13" s="283">
        <f>IF(AND(Stamoplysninger!$B$26="Der er indgået lokalaftale omkring weekendtimer(Kræver aftale med TR/FSL). Weekendtillæg udbetales.",I13="X"),K13,0)</f>
        <v>0</v>
      </c>
      <c r="FY13" s="674">
        <f>IF(AND(AND(Stamoplysninger!$B$26="Der er indgået lokalaftale omkring weekendtimer(Kræver aftale med TR/FSL). Weekendtillæg udbetales.",I13="X",C13="ikke relevant")),K13,0)</f>
        <v>0</v>
      </c>
      <c r="FZ13" s="283">
        <f>IF(AND(Stamoplysninger!$B$26="Der er indgået lokalaftale omkring weekendtillæg(Kræver aftale med TR/FSL). Weekendtimerne udbetales.",I13="X"),K13,0)</f>
        <v>0</v>
      </c>
      <c r="GA13" s="674">
        <f>IF(AND(AND(Stamoplysninger!$B$26="Der er indgået lokalaftale omkring weekendtillæg(Kræver aftale med TR/FSL). Weekendtimerne udbetales.",I13="X",C13="ikke relevant")),K13,0)</f>
        <v>0</v>
      </c>
      <c r="GB13" s="283">
        <f>IF(AND(Stamoplysninger!$B$26="Der er indgået lokalaftale omkring weekendtimer og weekendtillæg.(Kræver aftale med TR/FSL).",I13="X"),K13,0)</f>
        <v>0</v>
      </c>
      <c r="GC13" s="674">
        <f>IF(AND(AND(Stamoplysninger!$B$26="Der er indgået lokalaftale omkring weekendtimer og weekendtillæg.(Kræver aftale med TR/FSL).",I13="X",C13="ikke relevant")),K13,0)</f>
        <v>0</v>
      </c>
    </row>
    <row r="14" spans="1:185" ht="16" customHeight="1">
      <c r="A14" s="245">
        <f t="shared" si="18"/>
        <v>6</v>
      </c>
      <c r="B14" s="128" t="str">
        <f t="shared" si="0"/>
        <v>sø</v>
      </c>
      <c r="C14" s="129" t="s">
        <v>120</v>
      </c>
      <c r="D14" s="130" t="str">
        <f t="shared" si="1"/>
        <v/>
      </c>
      <c r="E14" s="917"/>
      <c r="F14" s="918"/>
      <c r="G14" s="919"/>
      <c r="H14" s="298"/>
      <c r="I14" s="413"/>
      <c r="J14" s="413"/>
      <c r="K14" s="380"/>
      <c r="L14" s="380"/>
      <c r="M14" s="380"/>
      <c r="N14" s="318">
        <f t="shared" si="19"/>
        <v>0</v>
      </c>
      <c r="O14" s="318">
        <f t="shared" si="20"/>
        <v>0</v>
      </c>
      <c r="P14" s="318">
        <f>IF(Stamoplysninger!$H$29="JA",Juli!DG14,CX14)</f>
        <v>0</v>
      </c>
      <c r="Q14" s="318">
        <f t="shared" si="21"/>
        <v>0</v>
      </c>
      <c r="R14" s="319"/>
      <c r="S14" s="324"/>
      <c r="T14" s="325"/>
      <c r="U14" s="325"/>
      <c r="V14" s="435"/>
      <c r="W14" s="412"/>
      <c r="X14" s="642"/>
      <c r="Y14">
        <f t="shared" si="22"/>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9">
        <f t="shared" si="8"/>
        <v>0</v>
      </c>
      <c r="BC14" s="1">
        <f t="shared" si="24"/>
        <v>0</v>
      </c>
      <c r="BD14" s="1">
        <f t="shared" si="9"/>
        <v>0</v>
      </c>
      <c r="BE14" s="1">
        <f t="shared" si="10"/>
        <v>0</v>
      </c>
      <c r="BF14" s="1">
        <f t="shared" si="11"/>
        <v>0</v>
      </c>
      <c r="BG14" s="210" t="str">
        <f>IF(AND(C14="Skema 1",B14="ma"),Skemaoplysninger!$E$30,"")</f>
        <v/>
      </c>
      <c r="BH14" s="210" t="str">
        <f>IF(AND(C14="Skema 1",B14="ti"),Skemaoplysninger!$G$30,"")</f>
        <v/>
      </c>
      <c r="BI14" s="210" t="str">
        <f>IF(AND(C14="Skema 1",B14="on"),Skemaoplysninger!$I$30,"")</f>
        <v/>
      </c>
      <c r="BJ14" s="210" t="str">
        <f>IF(AND(C14="Skema 1",B14="to"),Skemaoplysninger!$K$30,"")</f>
        <v/>
      </c>
      <c r="BK14" s="210" t="str">
        <f>IF(AND(C14="Skema 1",B14="fr"),Skemaoplysninger!$M$30,"")</f>
        <v/>
      </c>
      <c r="BL14" s="210" t="str">
        <f>IF(AND(C14="Skema 2",B14="ma"),Skemaoplysninger!$S$30,"")</f>
        <v/>
      </c>
      <c r="BM14" s="210" t="str">
        <f>IF(AND(C14="Skema 2",B14="ti"),Skemaoplysninger!$U$30,"")</f>
        <v/>
      </c>
      <c r="BN14" s="210" t="str">
        <f>IF(AND(C14="Skema 2",B14="on"),Skemaoplysninger!$W$30,"")</f>
        <v/>
      </c>
      <c r="BO14" s="210" t="str">
        <f>IF(AND(C14="Skema 2",B14="to"),Skemaoplysninger!$Y$30,"")</f>
        <v/>
      </c>
      <c r="BP14" s="210" t="str">
        <f>IF(AND(C14="Skema 2",B14="fr"),Skemaoplysninger!$AA$30,"")</f>
        <v/>
      </c>
      <c r="BQ14" s="210" t="str">
        <f>IF(AND(C14="Skema 3",B14="ma"),Skemaoplysninger!$AG$30,"")</f>
        <v/>
      </c>
      <c r="BR14" s="210" t="str">
        <f>IF(AND(C14="Skema 3",B14="ti"),Skemaoplysninger!$AI$30,"")</f>
        <v/>
      </c>
      <c r="BS14" s="210" t="str">
        <f>IF(AND(C14="Skema 3",B14="on"),Skemaoplysninger!$AK$30,"")</f>
        <v/>
      </c>
      <c r="BT14" s="210" t="str">
        <f>IF(AND(C14="Skema 3",B14="to"),Skemaoplysninger!$AM$30,"")</f>
        <v/>
      </c>
      <c r="BU14" s="210" t="str">
        <f>IF(AND(C14="Skema 3",B14="fr"),Skemaoplysninger!$AO$30,"")</f>
        <v/>
      </c>
      <c r="BV14" s="210" t="str">
        <f>IF(AND(C14="Skema 4",B14="ma"),Skemaoplysninger!$AU$30,"")</f>
        <v/>
      </c>
      <c r="BW14" s="210" t="str">
        <f>IF(AND(C14="Skema 4",B14="ti"),Skemaoplysninger!$AW$30,"")</f>
        <v/>
      </c>
      <c r="BX14" s="210" t="str">
        <f>IF(AND(C14="Skema 4",B14="on"),Skemaoplysninger!$AY$30,"")</f>
        <v/>
      </c>
      <c r="BY14" s="210" t="str">
        <f>IF(AND(C14="Skema 4",B14="to"),Skemaoplysninger!$BA$30,"")</f>
        <v/>
      </c>
      <c r="BZ14" s="210" t="str">
        <f>IF(AND(C14="Skema 4",B14="fr"),Skemaoplysninger!$BC$30,"")</f>
        <v/>
      </c>
      <c r="CA14" s="1">
        <f t="shared" si="25"/>
        <v>0</v>
      </c>
      <c r="CB14" s="1">
        <f t="shared" si="12"/>
        <v>0</v>
      </c>
      <c r="CC14" s="1">
        <f t="shared" si="13"/>
        <v>0</v>
      </c>
      <c r="CD14" s="210" t="str">
        <f>IF(AND(C14="Skema 1",B14="ma"),Skemaoplysninger!$E$31,"")</f>
        <v/>
      </c>
      <c r="CE14" s="210" t="str">
        <f>IF(AND(C14="Skema 1",B14="ti"),Skemaoplysninger!$G$31,"")</f>
        <v/>
      </c>
      <c r="CF14" s="210" t="str">
        <f>IF(AND(C14="Skema 1",B14="on"),Skemaoplysninger!$I$31,"")</f>
        <v/>
      </c>
      <c r="CG14" s="210" t="str">
        <f>IF(AND(C14="Skema 1",B14="to"),Skemaoplysninger!$K$31,"")</f>
        <v/>
      </c>
      <c r="CH14" s="210" t="str">
        <f>IF(AND(C14="Skema 1",B14="fr"),Skemaoplysninger!$M$31,"")</f>
        <v/>
      </c>
      <c r="CI14" s="210" t="str">
        <f>IF(AND(C14="Skema 2",B14="ma"),Skemaoplysninger!$S$31,"")</f>
        <v/>
      </c>
      <c r="CJ14" s="210" t="str">
        <f>IF(AND(C14="Skema 2",B14="ti"),Skemaoplysninger!$U$31,"")</f>
        <v/>
      </c>
      <c r="CK14" s="210" t="str">
        <f>IF(AND(C14="Skema 2",B14="on"),Skemaoplysninger!$W$31,"")</f>
        <v/>
      </c>
      <c r="CL14" s="210" t="str">
        <f>IF(AND(C14="Skema 2",B14="to"),Skemaoplysninger!$Y$31,"")</f>
        <v/>
      </c>
      <c r="CM14" s="210" t="str">
        <f>IF(AND(C14="Skema 2",B14="fr"),Skemaoplysninger!$AA$31,"")</f>
        <v/>
      </c>
      <c r="CN14" s="210" t="str">
        <f>IF(AND(C14="Skema 3",B14="ma"),Skemaoplysninger!$AG$31,"")</f>
        <v/>
      </c>
      <c r="CO14" s="210" t="str">
        <f>IF(AND(C14="Skema 3",B14="ti"),Skemaoplysninger!$AI$31,"")</f>
        <v/>
      </c>
      <c r="CP14" s="210" t="str">
        <f>IF(AND(C14="Skema 3",B14="on"),Skemaoplysninger!$AK$31,"")</f>
        <v/>
      </c>
      <c r="CQ14" s="210" t="str">
        <f>IF(AND(C14="Skema 3",B14="to"),Skemaoplysninger!$AM$31,"")</f>
        <v/>
      </c>
      <c r="CR14" s="210" t="str">
        <f>IF(AND(C14="Skema 3",B14="fr"),Skemaoplysninger!$AO$31,"")</f>
        <v/>
      </c>
      <c r="CS14" s="210" t="str">
        <f>IF(AND(C14="Skema 4",B14="ma"),Skemaoplysninger!$AU$31,"")</f>
        <v/>
      </c>
      <c r="CT14" s="210" t="str">
        <f>IF(AND(C14="Skema 4",B14="ti"),Skemaoplysninger!$AW$31,"")</f>
        <v/>
      </c>
      <c r="CU14" s="210" t="str">
        <f>IF(AND(C14="Skema 4",B14="on"),Skemaoplysninger!$AY$31,"")</f>
        <v/>
      </c>
      <c r="CV14" s="210" t="str">
        <f>IF(AND(C14="Skema 4",B14="to"),Skemaoplysninger!$BA$31,"")</f>
        <v/>
      </c>
      <c r="CW14" s="210" t="str">
        <f>IF(AND(C14="Skema 4",B14="fr"),Skemaoplysninger!$BC$31,"")</f>
        <v/>
      </c>
      <c r="CX14" s="249">
        <f>IF(Stamoplysninger!$H$29="NEJ",SUM(CD14:CW14)*24+CB14+CC14,0)</f>
        <v>0</v>
      </c>
      <c r="CY14" s="249">
        <f>IF(C14="Skema 1",Stamoplysninger!$H$30/200,0)</f>
        <v>0</v>
      </c>
      <c r="CZ14" s="249">
        <f>IF(C14="Skema 2",Stamoplysninger!$H$30/200,0)</f>
        <v>0</v>
      </c>
      <c r="DA14" s="249">
        <f>IF(C14="Skema 3",Stamoplysninger!$H$30/200,0)</f>
        <v>0</v>
      </c>
      <c r="DB14" s="249">
        <f>IF(C14="Skema 4",Stamoplysninger!$H$30/200,0)</f>
        <v>0</v>
      </c>
      <c r="DC14" s="249">
        <f>IF(C14="fagdag",Stamoplysninger!$H$30/200,0)</f>
        <v>0</v>
      </c>
      <c r="DD14" s="249">
        <f>IF(C14="emnedag",Stamoplysninger!$H$30/200,0)</f>
        <v>0</v>
      </c>
      <c r="DE14" s="249">
        <f>IF(C14="lejrskole",Stamoplysninger!$H$30/200,0)</f>
        <v>0</v>
      </c>
      <c r="DF14" s="249">
        <f>IF(C14="ekskursion",Stamoplysninger!$H$30/200,0)</f>
        <v>0</v>
      </c>
      <c r="DG14" s="249">
        <f t="shared" si="26"/>
        <v>0</v>
      </c>
      <c r="DH14" t="str">
        <f t="shared" si="27"/>
        <v/>
      </c>
      <c r="DI14">
        <f t="shared" si="28"/>
        <v>0</v>
      </c>
      <c r="DJ14">
        <f t="shared" si="29"/>
        <v>0</v>
      </c>
      <c r="DK14" t="str">
        <f t="shared" si="14"/>
        <v/>
      </c>
      <c r="DL14" t="str">
        <f t="shared" si="14"/>
        <v/>
      </c>
      <c r="DM14" t="str">
        <f t="shared" si="14"/>
        <v/>
      </c>
      <c r="DN14" t="str">
        <f t="shared" si="30"/>
        <v/>
      </c>
      <c r="DO14" s="652">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71">
        <f>IF(AND(Stamoplysninger!$B$22="Ulempetillæg udbetales med 25% af nettotimelønnen.",C14="ikke relevant"),(R14)/4,0)</f>
        <v>0</v>
      </c>
      <c r="DT14" s="671">
        <f>IF(AND(AND(Stamoplysninger!$B$22="Ulempetillæg udbetales med 25% af nettotimelønnen.",I14="X",C14="Ikke relevant")),K14/4,0)</f>
        <v>0</v>
      </c>
      <c r="DU14" s="671">
        <f>IF(AND(AND(Stamoplysninger!$B$22="Ulempetillæg udbetales med 25% af nettotimelønnen.",C14="ikke relevant",U14="X")),(X14/4),0)</f>
        <v>0</v>
      </c>
      <c r="DV14" s="672">
        <f>IF(AND(AND(AND(Stamoplysninger!$B$22="Ulempetillæg udbetales med 25% af nettotimelønnen.",I14="X",C14="Ikke relevant",S14="X"))),V14/4,0)</f>
        <v>0</v>
      </c>
      <c r="DW14" s="652"/>
      <c r="DZ14" s="671"/>
      <c r="EA14" s="671"/>
      <c r="EB14" s="672"/>
      <c r="EC14" s="652">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71">
        <f>IF(AND(Stamoplysninger!$B$22="Ulempetillæg afspadseres med 25%(Kræver en aftale imellem ledelsen og den ansatte)",C14="ikke relevant"),(R14)/4,0)</f>
        <v>0</v>
      </c>
      <c r="EH14" s="671">
        <f>IF(AND(AND(Stamoplysninger!$B$22="Ulempetillæg afspadseres med 25%(Kræver en aftale imellem ledelsen og den ansatte)",I14="X",C14="Ikke relevant")),K14/4,0)</f>
        <v>0</v>
      </c>
      <c r="EI14" s="671">
        <f>IF(AND(AND(Stamoplysninger!$B$22="Ulempetillæg afspadseres med 25%(Kræver en aftale imellem ledelsen og den ansatte)",U14="X",C14="Ikke relevant")),X14/4,0)</f>
        <v>0</v>
      </c>
      <c r="EJ14" s="671">
        <f>IF(AND(AND(AND(Stamoplysninger!$B$22="Ulempetillæg afspadseres med 25%(Kræver en aftale imellem ledelsen og den ansatte)",I14="X",C14="Ikke relevant",S14="X"))),V14/4,0)</f>
        <v>0</v>
      </c>
      <c r="EK14" s="283">
        <f>IF(AND(Stamoplysninger!$B$26="Weekendtimer og weekendtillæg afspadseres.",I14="X"),K14*1.5,0)</f>
        <v>0</v>
      </c>
      <c r="EL14" s="251">
        <f>IF(AND(AND(Stamoplysninger!$B$26="Weekendtimer og weekendtillæg afspadseres.",I14="X",S14="X")),V14*1.5,0)</f>
        <v>0</v>
      </c>
      <c r="EM14" s="674">
        <f>IF(AND(AND(Stamoplysninger!$B$26="Weekendtimer og weekendtillæg afspadseres.",I14="X",C14="ikke relevant")),K14*1.5,0)</f>
        <v>0</v>
      </c>
      <c r="EN14" s="675">
        <f>IF(AND(AND(AND(Stamoplysninger!$B$26="Weekendtimer og weekendtillæg afspadseres.",I14="X",C14="ikke relevant",S14="X"))),(V14*1.5),0)</f>
        <v>0</v>
      </c>
      <c r="EO14" s="283">
        <f>IF(AND(Stamoplysninger!$B$26="Weekendtimer og weekendtillæg udbetales.",I14="X"),K14*1.5,0)</f>
        <v>0</v>
      </c>
      <c r="EP14" s="251">
        <f>IF(AND(AND(Stamoplysninger!$B$26="Weekendtimer og weekendtillæg udbetales.",I14="X",S14="X")),V14*1.5,0)</f>
        <v>0</v>
      </c>
      <c r="EQ14" s="674">
        <f>IF(AND(AND(Stamoplysninger!$B$26="Weekendtimer og weekendtillæg udbetales.",I14="X",C14="ikke relevant")),K14*1.5,0)</f>
        <v>0</v>
      </c>
      <c r="ER14" s="675">
        <f>IF(AND(AND(AND(Stamoplysninger!$B$26="Weekendtimer og weekendtillæg udbetales.",I14="X",C14="ikke relevant",S14="X"))),(V14*1.5),0)</f>
        <v>0</v>
      </c>
      <c r="ES14" s="283">
        <f>IF(AND(Stamoplysninger!$B$26="Der er indgået lokalaftale omkring weekendtimer.(Kræver aftale med TR/FSL) Weekendtillæg afspadseres.",I14="X"),K14*0.5,0)</f>
        <v>0</v>
      </c>
      <c r="ET14" s="251">
        <f>IF(AND(AND(Stamoplysninger!$B$26="Der er indgået lokalaftale omkring weekendtimer.(Kræver aftale med TR/FSL) Weekendtillæg afspadseres.",I14="X",S14="X")),V14*0.5,0)</f>
        <v>0</v>
      </c>
      <c r="EU14" s="674">
        <f>IF(AND(AND(Stamoplysninger!$B$26="Der er indgået lokalaftale omkring weekendtimer.(Kræver aftale med TR/FSL) Weekendtillæg afspadseres.",I14="X",C14="ikke relevant")),K14*0.5,0)</f>
        <v>0</v>
      </c>
      <c r="EV14" s="675">
        <f>IF(AND(AND(AND(Stamoplysninger!$B$26="Der er indgået lokalaftale omkring weekendtimer.(Kræver aftale med TR/FSL) Weekendtillæg afspadseres.",I14="X",C14="ikke relevant",S14="X"))),(V14*0.5),0)</f>
        <v>0</v>
      </c>
      <c r="EW14" s="283">
        <f>IF(AND(Stamoplysninger!$B$26="Der er indgået lokalaftale omkring weekendtimer(Kræver aftale med TR/FSL). Weekendtillæg udbetales.",I14="X"),K14*0.5,0)</f>
        <v>0</v>
      </c>
      <c r="EX14" s="251">
        <f>IF(AND(AND(Stamoplysninger!$B$26="Der er indgået lokalaftale omkring weekendtimer(Kræver aftale med TR/FSL). Weekendtillæg udbetales.",I14="X",S14="X")),V14*0.5,0)</f>
        <v>0</v>
      </c>
      <c r="EY14" s="674">
        <f>IF(AND(AND(Stamoplysninger!$B$26="Der er indgået lokalaftale omkring weekendtimer(Kræver aftale med TR/FSL). Weekendtillæg udbetales.",I14="X",C14="ikke relevant")),K14*0.5,0)</f>
        <v>0</v>
      </c>
      <c r="EZ14" s="675">
        <f>IF(AND(AND(AND(Stamoplysninger!$B$26="Der er indgået lokalaftale omkring weekendtimer(Kræver aftale med TR/FSL). Weekendtillæg udbetales.",I14="X",C14="ikke relevant",S14="X"))),(V14*0.5),0)</f>
        <v>0</v>
      </c>
      <c r="FA14" s="283">
        <f>IF(AND(Stamoplysninger!$B$26="Der er indgået lokalaftale omkring weekendtillæg(Kræver aftale med TR/FSL). Weekendtimerne afspadseres.",I14="X"),K14,0)</f>
        <v>0</v>
      </c>
      <c r="FB14" s="251">
        <f>IF(AND(AND(Stamoplysninger!$B$26="Der er indgået lokalaftale omkring weekendtillæg(Kræver aftale med TR/FSL). Weekendtimerne afspadseres.",I14="X",S14="X")),V14,0)</f>
        <v>0</v>
      </c>
      <c r="FC14" s="674">
        <f>IF(AND(AND(Stamoplysninger!$B$26="Der er indgået lokalaftale omkring weekendtillæg(Kræver aftale med TR/FSL). Weekendtimerne afspadseres..",I14="X",C14="ikke relevant")),K14,0)</f>
        <v>0</v>
      </c>
      <c r="FD14" s="675">
        <f>IF(AND(AND(AND(Stamoplysninger!$B$26="Der er indgået lokalaftale omkring weekendtillæg(Kræver aftale med TR/FSL). Weekendtimerne afspadseres.",I14="X",C14="ikke relevant",S14="X"))),(V14),0)</f>
        <v>0</v>
      </c>
      <c r="FE14" s="283">
        <f>IF(AND(Stamoplysninger!$B$26="Der er indgået lokalaftale omkring weekendtillæg(Kræver aftale med TR/FSL). Weekendtimerne udbetales.",I14="X"),K14,0)</f>
        <v>0</v>
      </c>
      <c r="FF14" s="251">
        <f>IF(AND(AND(Stamoplysninger!$B$26="Der er indgået lokalaftale omkring weekendtillæg(Kræver aftale med TR/FSL). Weekendtimerne udbetales.",I14="X",S14="X")),V14,0)</f>
        <v>0</v>
      </c>
      <c r="FG14" s="674">
        <f>IF(AND(AND(Stamoplysninger!$B$26="Der er indgået lokalaftale omkring weekendtillæg(Kræver aftale med TR/FSL). Weekendtimerne udbetales.",I14="X",C14="ikke relevant")),K14,0)</f>
        <v>0</v>
      </c>
      <c r="FH14" s="675">
        <f>IF(AND(AND(AND(Stamoplysninger!$B$26="Der er indgået lokalaftale omkring weekendtillæg(Kræver aftale med TR/FSL). Weekendtimerne udbetales.",I14="X",C14="ikke relevant",S14="X"))),(V14),0)</f>
        <v>0</v>
      </c>
      <c r="FI14" s="283">
        <f>IF(AND(Stamoplysninger!$B$26="Weekendtimer og weekendtillæg afspadseres.",I14="X"),K14,0)</f>
        <v>0</v>
      </c>
      <c r="FJ14" s="251">
        <f>IF(AND(Stamoplysninger!$B$26="Weekendtimer og weekendtillæg afspadseres.",Y14="X"),(AA14+AL14)/2,0)</f>
        <v>0</v>
      </c>
      <c r="FK14" s="674">
        <f>IF(AND(AND(Stamoplysninger!$B$26="Weekendtimer og weekendtillæg afspadseres.",I14="X",C14="ikke relevant")),K14,0)</f>
        <v>0</v>
      </c>
      <c r="FL14" s="675">
        <f>IF(AND(AND(Stamoplysninger!$B$26="Weekendtimer og weekendtillæg afspadseres.",Y14="X",S14="ikke relevant")),(AA14+AL14)/2,0)</f>
        <v>0</v>
      </c>
      <c r="FM14" s="283">
        <f>IF(AND(Stamoplysninger!$B$26="Der er indgået lokalaftale omkring weekendtillæg(Kræver aftale med TR/FSL). Weekendtimerne afspadseres.",I14="X"),K14,0)</f>
        <v>0</v>
      </c>
      <c r="FN14" s="674">
        <f>IF(AND(AND(Stamoplysninger!$B$26="Der er indgået lokalaftale omkring weekendtillæg(Kræver aftale med TR/FSL). Weekendtimerne afspadseres.",I14="X",C14="ikke relevant")),K14,0)</f>
        <v>0</v>
      </c>
      <c r="FO14" s="283">
        <f>IF(AND(Stamoplysninger!$B$26="Weekendtimer og weekendtillæg udbetales.",I14="X"),K14,0)</f>
        <v>0</v>
      </c>
      <c r="FP14" s="251">
        <f>IF(AND(Stamoplysninger!$B$26="Weekendtimer og weekendtillæg udbetales.",AA14="X"),(AC14+AN14)/2,0)</f>
        <v>0</v>
      </c>
      <c r="FQ14" s="674">
        <f>IF(AND(AND(Stamoplysninger!$B$26="Weekendtimer og weekendtillæg udbetales.",I14="X",C14="ikke relevant")),K14,0)</f>
        <v>0</v>
      </c>
      <c r="FR14" s="688">
        <f>IF(AND(AND(Stamoplysninger!$B$26="Weekendtimer og weekendtillæg udbetales.",AA14="X",U14="ikke relevant")),(AC14+AN14)/2,0)</f>
        <v>0</v>
      </c>
      <c r="FS14" s="283">
        <f t="shared" si="15"/>
        <v>0</v>
      </c>
      <c r="FT14" s="658">
        <f t="shared" si="16"/>
        <v>0</v>
      </c>
      <c r="FU14">
        <f t="shared" si="17"/>
        <v>0</v>
      </c>
      <c r="FV14" s="283">
        <f>IF(AND(Stamoplysninger!$B$26="Der er indgået lokalaftale omkring weekendtimer.(Kræver aftale med TR/FSL) Weekendtillæg afspadseres.",I14="X"),K14,0)</f>
        <v>0</v>
      </c>
      <c r="FW14" s="674">
        <f>IF(AND(AND(Stamoplysninger!$B$26="Der er indgået lokalaftale omkring weekendtimer.(Kræver aftale med TR/FSL) Weekendtillæg afspadseres.",I14="X",C14="ikke relevant")),K14,0)</f>
        <v>0</v>
      </c>
      <c r="FX14" s="283">
        <f>IF(AND(Stamoplysninger!$B$26="Der er indgået lokalaftale omkring weekendtimer(Kræver aftale med TR/FSL). Weekendtillæg udbetales.",I14="X"),K14,0)</f>
        <v>0</v>
      </c>
      <c r="FY14" s="674">
        <f>IF(AND(AND(Stamoplysninger!$B$26="Der er indgået lokalaftale omkring weekendtimer(Kræver aftale med TR/FSL). Weekendtillæg udbetales.",I14="X",C14="ikke relevant")),K14,0)</f>
        <v>0</v>
      </c>
      <c r="FZ14" s="283">
        <f>IF(AND(Stamoplysninger!$B$26="Der er indgået lokalaftale omkring weekendtillæg(Kræver aftale med TR/FSL). Weekendtimerne udbetales.",I14="X"),K14,0)</f>
        <v>0</v>
      </c>
      <c r="GA14" s="674">
        <f>IF(AND(AND(Stamoplysninger!$B$26="Der er indgået lokalaftale omkring weekendtillæg(Kræver aftale med TR/FSL). Weekendtimerne udbetales.",I14="X",C14="ikke relevant")),K14,0)</f>
        <v>0</v>
      </c>
      <c r="GB14" s="283">
        <f>IF(AND(Stamoplysninger!$B$26="Der er indgået lokalaftale omkring weekendtimer og weekendtillæg.(Kræver aftale med TR/FSL).",I14="X"),K14,0)</f>
        <v>0</v>
      </c>
      <c r="GC14" s="674">
        <f>IF(AND(AND(Stamoplysninger!$B$26="Der er indgået lokalaftale omkring weekendtimer og weekendtillæg.(Kræver aftale med TR/FSL).",I14="X",C14="ikke relevant")),K14,0)</f>
        <v>0</v>
      </c>
    </row>
    <row r="15" spans="1:185" ht="16" customHeight="1">
      <c r="A15" s="245">
        <f t="shared" si="18"/>
        <v>7</v>
      </c>
      <c r="B15" s="128" t="str">
        <f t="shared" si="0"/>
        <v>ma</v>
      </c>
      <c r="C15" s="129" t="s">
        <v>128</v>
      </c>
      <c r="D15" s="130">
        <f t="shared" si="1"/>
        <v>27.714285714285715</v>
      </c>
      <c r="E15" s="917"/>
      <c r="F15" s="918"/>
      <c r="G15" s="919"/>
      <c r="H15" s="298"/>
      <c r="I15" s="527"/>
      <c r="J15" s="413"/>
      <c r="K15" s="380"/>
      <c r="L15" s="380"/>
      <c r="M15" s="380"/>
      <c r="N15" s="318">
        <f t="shared" si="19"/>
        <v>0</v>
      </c>
      <c r="O15" s="318">
        <f t="shared" si="20"/>
        <v>0</v>
      </c>
      <c r="P15" s="318">
        <f>IF(Stamoplysninger!$H$29="JA",Juli!DG15,CX15)</f>
        <v>0</v>
      </c>
      <c r="Q15" s="318">
        <f t="shared" si="21"/>
        <v>0</v>
      </c>
      <c r="R15" s="319"/>
      <c r="S15" s="324"/>
      <c r="T15" s="325"/>
      <c r="U15" s="325"/>
      <c r="V15" s="435"/>
      <c r="W15" s="412"/>
      <c r="X15" s="642"/>
      <c r="Y15">
        <f t="shared" si="22"/>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9">
        <f t="shared" si="8"/>
        <v>0</v>
      </c>
      <c r="BC15" s="1">
        <f t="shared" si="24"/>
        <v>0</v>
      </c>
      <c r="BD15" s="1">
        <f t="shared" si="9"/>
        <v>0</v>
      </c>
      <c r="BE15" s="1">
        <f t="shared" si="10"/>
        <v>0</v>
      </c>
      <c r="BF15" s="1">
        <f t="shared" si="11"/>
        <v>0</v>
      </c>
      <c r="BG15" s="210" t="str">
        <f>IF(AND(C15="Skema 1",B15="ma"),Skemaoplysninger!$E$30,"")</f>
        <v/>
      </c>
      <c r="BH15" s="210" t="str">
        <f>IF(AND(C15="Skema 1",B15="ti"),Skemaoplysninger!$G$30,"")</f>
        <v/>
      </c>
      <c r="BI15" s="210" t="str">
        <f>IF(AND(C15="Skema 1",B15="on"),Skemaoplysninger!$I$30,"")</f>
        <v/>
      </c>
      <c r="BJ15" s="210" t="str">
        <f>IF(AND(C15="Skema 1",B15="to"),Skemaoplysninger!$K$30,"")</f>
        <v/>
      </c>
      <c r="BK15" s="210" t="str">
        <f>IF(AND(C15="Skema 1",B15="fr"),Skemaoplysninger!$M$30,"")</f>
        <v/>
      </c>
      <c r="BL15" s="210" t="str">
        <f>IF(AND(C15="Skema 2",B15="ma"),Skemaoplysninger!$S$30,"")</f>
        <v/>
      </c>
      <c r="BM15" s="210" t="str">
        <f>IF(AND(C15="Skema 2",B15="ti"),Skemaoplysninger!$U$30,"")</f>
        <v/>
      </c>
      <c r="BN15" s="210" t="str">
        <f>IF(AND(C15="Skema 2",B15="on"),Skemaoplysninger!$W$30,"")</f>
        <v/>
      </c>
      <c r="BO15" s="210" t="str">
        <f>IF(AND(C15="Skema 2",B15="to"),Skemaoplysninger!$Y$30,"")</f>
        <v/>
      </c>
      <c r="BP15" s="210" t="str">
        <f>IF(AND(C15="Skema 2",B15="fr"),Skemaoplysninger!$AA$30,"")</f>
        <v/>
      </c>
      <c r="BQ15" s="210" t="str">
        <f>IF(AND(C15="Skema 3",B15="ma"),Skemaoplysninger!$AG$30,"")</f>
        <v/>
      </c>
      <c r="BR15" s="210" t="str">
        <f>IF(AND(C15="Skema 3",B15="ti"),Skemaoplysninger!$AI$30,"")</f>
        <v/>
      </c>
      <c r="BS15" s="210" t="str">
        <f>IF(AND(C15="Skema 3",B15="on"),Skemaoplysninger!$AK$30,"")</f>
        <v/>
      </c>
      <c r="BT15" s="210" t="str">
        <f>IF(AND(C15="Skema 3",B15="to"),Skemaoplysninger!$AM$30,"")</f>
        <v/>
      </c>
      <c r="BU15" s="210" t="str">
        <f>IF(AND(C15="Skema 3",B15="fr"),Skemaoplysninger!$AO$30,"")</f>
        <v/>
      </c>
      <c r="BV15" s="210" t="str">
        <f>IF(AND(C15="Skema 4",B15="ma"),Skemaoplysninger!$AU$30,"")</f>
        <v/>
      </c>
      <c r="BW15" s="210" t="str">
        <f>IF(AND(C15="Skema 4",B15="ti"),Skemaoplysninger!$AW$30,"")</f>
        <v/>
      </c>
      <c r="BX15" s="210" t="str">
        <f>IF(AND(C15="Skema 4",B15="on"),Skemaoplysninger!$AY$30,"")</f>
        <v/>
      </c>
      <c r="BY15" s="210" t="str">
        <f>IF(AND(C15="Skema 4",B15="to"),Skemaoplysninger!$BA$30,"")</f>
        <v/>
      </c>
      <c r="BZ15" s="210" t="str">
        <f>IF(AND(C15="Skema 4",B15="fr"),Skemaoplysninger!$BC$30,"")</f>
        <v/>
      </c>
      <c r="CA15" s="1">
        <f t="shared" si="25"/>
        <v>0</v>
      </c>
      <c r="CB15" s="1">
        <f t="shared" si="12"/>
        <v>0</v>
      </c>
      <c r="CC15" s="1">
        <f t="shared" si="13"/>
        <v>0</v>
      </c>
      <c r="CD15" s="210" t="str">
        <f>IF(AND(C15="Skema 1",B15="ma"),Skemaoplysninger!$E$31,"")</f>
        <v/>
      </c>
      <c r="CE15" s="210" t="str">
        <f>IF(AND(C15="Skema 1",B15="ti"),Skemaoplysninger!$G$31,"")</f>
        <v/>
      </c>
      <c r="CF15" s="210" t="str">
        <f>IF(AND(C15="Skema 1",B15="on"),Skemaoplysninger!$I$31,"")</f>
        <v/>
      </c>
      <c r="CG15" s="210" t="str">
        <f>IF(AND(C15="Skema 1",B15="to"),Skemaoplysninger!$K$31,"")</f>
        <v/>
      </c>
      <c r="CH15" s="210" t="str">
        <f>IF(AND(C15="Skema 1",B15="fr"),Skemaoplysninger!$M$31,"")</f>
        <v/>
      </c>
      <c r="CI15" s="210" t="str">
        <f>IF(AND(C15="Skema 2",B15="ma"),Skemaoplysninger!$S$31,"")</f>
        <v/>
      </c>
      <c r="CJ15" s="210" t="str">
        <f>IF(AND(C15="Skema 2",B15="ti"),Skemaoplysninger!$U$31,"")</f>
        <v/>
      </c>
      <c r="CK15" s="210" t="str">
        <f>IF(AND(C15="Skema 2",B15="on"),Skemaoplysninger!$W$31,"")</f>
        <v/>
      </c>
      <c r="CL15" s="210" t="str">
        <f>IF(AND(C15="Skema 2",B15="to"),Skemaoplysninger!$Y$31,"")</f>
        <v/>
      </c>
      <c r="CM15" s="210" t="str">
        <f>IF(AND(C15="Skema 2",B15="fr"),Skemaoplysninger!$AA$31,"")</f>
        <v/>
      </c>
      <c r="CN15" s="210" t="str">
        <f>IF(AND(C15="Skema 3",B15="ma"),Skemaoplysninger!$AG$31,"")</f>
        <v/>
      </c>
      <c r="CO15" s="210" t="str">
        <f>IF(AND(C15="Skema 3",B15="ti"),Skemaoplysninger!$AI$31,"")</f>
        <v/>
      </c>
      <c r="CP15" s="210" t="str">
        <f>IF(AND(C15="Skema 3",B15="on"),Skemaoplysninger!$AK$31,"")</f>
        <v/>
      </c>
      <c r="CQ15" s="210" t="str">
        <f>IF(AND(C15="Skema 3",B15="to"),Skemaoplysninger!$AM$31,"")</f>
        <v/>
      </c>
      <c r="CR15" s="210" t="str">
        <f>IF(AND(C15="Skema 3",B15="fr"),Skemaoplysninger!$AO$31,"")</f>
        <v/>
      </c>
      <c r="CS15" s="210" t="str">
        <f>IF(AND(C15="Skema 4",B15="ma"),Skemaoplysninger!$AU$31,"")</f>
        <v/>
      </c>
      <c r="CT15" s="210" t="str">
        <f>IF(AND(C15="Skema 4",B15="ti"),Skemaoplysninger!$AW$31,"")</f>
        <v/>
      </c>
      <c r="CU15" s="210" t="str">
        <f>IF(AND(C15="Skema 4",B15="on"),Skemaoplysninger!$AY$31,"")</f>
        <v/>
      </c>
      <c r="CV15" s="210" t="str">
        <f>IF(AND(C15="Skema 4",B15="to"),Skemaoplysninger!$BA$31,"")</f>
        <v/>
      </c>
      <c r="CW15" s="210" t="str">
        <f>IF(AND(C15="Skema 4",B15="fr"),Skemaoplysninger!$BC$31,"")</f>
        <v/>
      </c>
      <c r="CX15" s="249">
        <f>IF(Stamoplysninger!$H$29="NEJ",SUM(CD15:CW15)*24+CB15+CC15,0)</f>
        <v>0</v>
      </c>
      <c r="CY15" s="249">
        <f>IF(C15="Skema 1",Stamoplysninger!$H$30/200,0)</f>
        <v>0</v>
      </c>
      <c r="CZ15" s="249">
        <f>IF(C15="Skema 2",Stamoplysninger!$H$30/200,0)</f>
        <v>0</v>
      </c>
      <c r="DA15" s="249">
        <f>IF(C15="Skema 3",Stamoplysninger!$H$30/200,0)</f>
        <v>0</v>
      </c>
      <c r="DB15" s="249">
        <f>IF(C15="Skema 4",Stamoplysninger!$H$30/200,0)</f>
        <v>0</v>
      </c>
      <c r="DC15" s="249">
        <f>IF(C15="fagdag",Stamoplysninger!$H$30/200,0)</f>
        <v>0</v>
      </c>
      <c r="DD15" s="249">
        <f>IF(C15="emnedag",Stamoplysninger!$H$30/200,0)</f>
        <v>0</v>
      </c>
      <c r="DE15" s="249">
        <f>IF(C15="lejrskole",Stamoplysninger!$H$30/200,0)</f>
        <v>0</v>
      </c>
      <c r="DF15" s="249">
        <f>IF(C15="ekskursion",Stamoplysninger!$H$30/200,0)</f>
        <v>0</v>
      </c>
      <c r="DG15" s="249">
        <f t="shared" si="26"/>
        <v>0</v>
      </c>
      <c r="DH15" t="str">
        <f t="shared" si="27"/>
        <v/>
      </c>
      <c r="DI15">
        <f t="shared" si="28"/>
        <v>0</v>
      </c>
      <c r="DJ15">
        <f t="shared" si="29"/>
        <v>0</v>
      </c>
      <c r="DK15" t="str">
        <f t="shared" si="14"/>
        <v/>
      </c>
      <c r="DL15" t="str">
        <f t="shared" si="14"/>
        <v/>
      </c>
      <c r="DM15" t="str">
        <f t="shared" si="14"/>
        <v/>
      </c>
      <c r="DN15" t="str">
        <f t="shared" si="30"/>
        <v/>
      </c>
      <c r="DO15" s="652">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71">
        <f>IF(AND(Stamoplysninger!$B$22="Ulempetillæg udbetales med 25% af nettotimelønnen.",C15="ikke relevant"),(R15)/4,0)</f>
        <v>0</v>
      </c>
      <c r="DT15" s="671">
        <f>IF(AND(AND(Stamoplysninger!$B$22="Ulempetillæg udbetales med 25% af nettotimelønnen.",I15="X",C15="Ikke relevant")),K15/4,0)</f>
        <v>0</v>
      </c>
      <c r="DU15" s="671">
        <f>IF(AND(AND(Stamoplysninger!$B$22="Ulempetillæg udbetales med 25% af nettotimelønnen.",C15="ikke relevant",U15="X")),(X15/4),0)</f>
        <v>0</v>
      </c>
      <c r="DV15" s="672">
        <f>IF(AND(AND(AND(Stamoplysninger!$B$22="Ulempetillæg udbetales med 25% af nettotimelønnen.",I15="X",C15="Ikke relevant",S15="X"))),V15/4,0)</f>
        <v>0</v>
      </c>
      <c r="DW15" s="652"/>
      <c r="DZ15" s="671"/>
      <c r="EA15" s="671"/>
      <c r="EB15" s="672"/>
      <c r="EC15" s="652">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71">
        <f>IF(AND(Stamoplysninger!$B$22="Ulempetillæg afspadseres med 25%(Kræver en aftale imellem ledelsen og den ansatte)",C15="ikke relevant"),(R15)/4,0)</f>
        <v>0</v>
      </c>
      <c r="EH15" s="671">
        <f>IF(AND(AND(Stamoplysninger!$B$22="Ulempetillæg afspadseres med 25%(Kræver en aftale imellem ledelsen og den ansatte)",I15="X",C15="Ikke relevant")),K15/4,0)</f>
        <v>0</v>
      </c>
      <c r="EI15" s="671">
        <f>IF(AND(AND(Stamoplysninger!$B$22="Ulempetillæg afspadseres med 25%(Kræver en aftale imellem ledelsen og den ansatte)",U15="X",C15="Ikke relevant")),X15/4,0)</f>
        <v>0</v>
      </c>
      <c r="EJ15" s="671">
        <f>IF(AND(AND(AND(Stamoplysninger!$B$22="Ulempetillæg afspadseres med 25%(Kræver en aftale imellem ledelsen og den ansatte)",I15="X",C15="Ikke relevant",S15="X"))),V15/4,0)</f>
        <v>0</v>
      </c>
      <c r="EK15" s="283">
        <f>IF(AND(Stamoplysninger!$B$26="Weekendtimer og weekendtillæg afspadseres.",I15="X"),K15*1.5,0)</f>
        <v>0</v>
      </c>
      <c r="EL15" s="251">
        <f>IF(AND(AND(Stamoplysninger!$B$26="Weekendtimer og weekendtillæg afspadseres.",I15="X",S15="X")),V15*1.5,0)</f>
        <v>0</v>
      </c>
      <c r="EM15" s="674">
        <f>IF(AND(AND(Stamoplysninger!$B$26="Weekendtimer og weekendtillæg afspadseres.",I15="X",C15="ikke relevant")),K15*1.5,0)</f>
        <v>0</v>
      </c>
      <c r="EN15" s="675">
        <f>IF(AND(AND(AND(Stamoplysninger!$B$26="Weekendtimer og weekendtillæg afspadseres.",I15="X",C15="ikke relevant",S15="X"))),(V15*1.5),0)</f>
        <v>0</v>
      </c>
      <c r="EO15" s="283">
        <f>IF(AND(Stamoplysninger!$B$26="Weekendtimer og weekendtillæg udbetales.",I15="X"),K15*1.5,0)</f>
        <v>0</v>
      </c>
      <c r="EP15" s="251">
        <f>IF(AND(AND(Stamoplysninger!$B$26="Weekendtimer og weekendtillæg udbetales.",I15="X",S15="X")),V15*1.5,0)</f>
        <v>0</v>
      </c>
      <c r="EQ15" s="674">
        <f>IF(AND(AND(Stamoplysninger!$B$26="Weekendtimer og weekendtillæg udbetales.",I15="X",C15="ikke relevant")),K15*1.5,0)</f>
        <v>0</v>
      </c>
      <c r="ER15" s="675">
        <f>IF(AND(AND(AND(Stamoplysninger!$B$26="Weekendtimer og weekendtillæg udbetales.",I15="X",C15="ikke relevant",S15="X"))),(V15*1.5),0)</f>
        <v>0</v>
      </c>
      <c r="ES15" s="283">
        <f>IF(AND(Stamoplysninger!$B$26="Der er indgået lokalaftale omkring weekendtimer.(Kræver aftale med TR/FSL) Weekendtillæg afspadseres.",I15="X"),K15*0.5,0)</f>
        <v>0</v>
      </c>
      <c r="ET15" s="251">
        <f>IF(AND(AND(Stamoplysninger!$B$26="Der er indgået lokalaftale omkring weekendtimer.(Kræver aftale med TR/FSL) Weekendtillæg afspadseres.",I15="X",S15="X")),V15*0.5,0)</f>
        <v>0</v>
      </c>
      <c r="EU15" s="674">
        <f>IF(AND(AND(Stamoplysninger!$B$26="Der er indgået lokalaftale omkring weekendtimer.(Kræver aftale med TR/FSL) Weekendtillæg afspadseres.",I15="X",C15="ikke relevant")),K15*0.5,0)</f>
        <v>0</v>
      </c>
      <c r="EV15" s="675">
        <f>IF(AND(AND(AND(Stamoplysninger!$B$26="Der er indgået lokalaftale omkring weekendtimer.(Kræver aftale med TR/FSL) Weekendtillæg afspadseres.",I15="X",C15="ikke relevant",S15="X"))),(V15*0.5),0)</f>
        <v>0</v>
      </c>
      <c r="EW15" s="283">
        <f>IF(AND(Stamoplysninger!$B$26="Der er indgået lokalaftale omkring weekendtimer(Kræver aftale med TR/FSL). Weekendtillæg udbetales.",I15="X"),K15*0.5,0)</f>
        <v>0</v>
      </c>
      <c r="EX15" s="251">
        <f>IF(AND(AND(Stamoplysninger!$B$26="Der er indgået lokalaftale omkring weekendtimer(Kræver aftale med TR/FSL). Weekendtillæg udbetales.",I15="X",S15="X")),V15*0.5,0)</f>
        <v>0</v>
      </c>
      <c r="EY15" s="674">
        <f>IF(AND(AND(Stamoplysninger!$B$26="Der er indgået lokalaftale omkring weekendtimer(Kræver aftale med TR/FSL). Weekendtillæg udbetales.",I15="X",C15="ikke relevant")),K15*0.5,0)</f>
        <v>0</v>
      </c>
      <c r="EZ15" s="675">
        <f>IF(AND(AND(AND(Stamoplysninger!$B$26="Der er indgået lokalaftale omkring weekendtimer(Kræver aftale med TR/FSL). Weekendtillæg udbetales.",I15="X",C15="ikke relevant",S15="X"))),(V15*0.5),0)</f>
        <v>0</v>
      </c>
      <c r="FA15" s="283">
        <f>IF(AND(Stamoplysninger!$B$26="Der er indgået lokalaftale omkring weekendtillæg(Kræver aftale med TR/FSL). Weekendtimerne afspadseres.",I15="X"),K15,0)</f>
        <v>0</v>
      </c>
      <c r="FB15" s="251">
        <f>IF(AND(AND(Stamoplysninger!$B$26="Der er indgået lokalaftale omkring weekendtillæg(Kræver aftale med TR/FSL). Weekendtimerne afspadseres.",I15="X",S15="X")),V15,0)</f>
        <v>0</v>
      </c>
      <c r="FC15" s="674">
        <f>IF(AND(AND(Stamoplysninger!$B$26="Der er indgået lokalaftale omkring weekendtillæg(Kræver aftale med TR/FSL). Weekendtimerne afspadseres..",I15="X",C15="ikke relevant")),K15,0)</f>
        <v>0</v>
      </c>
      <c r="FD15" s="675">
        <f>IF(AND(AND(AND(Stamoplysninger!$B$26="Der er indgået lokalaftale omkring weekendtillæg(Kræver aftale med TR/FSL). Weekendtimerne afspadseres.",I15="X",C15="ikke relevant",S15="X"))),(V15),0)</f>
        <v>0</v>
      </c>
      <c r="FE15" s="283">
        <f>IF(AND(Stamoplysninger!$B$26="Der er indgået lokalaftale omkring weekendtillæg(Kræver aftale med TR/FSL). Weekendtimerne udbetales.",I15="X"),K15,0)</f>
        <v>0</v>
      </c>
      <c r="FF15" s="251">
        <f>IF(AND(AND(Stamoplysninger!$B$26="Der er indgået lokalaftale omkring weekendtillæg(Kræver aftale med TR/FSL). Weekendtimerne udbetales.",I15="X",S15="X")),V15,0)</f>
        <v>0</v>
      </c>
      <c r="FG15" s="674">
        <f>IF(AND(AND(Stamoplysninger!$B$26="Der er indgået lokalaftale omkring weekendtillæg(Kræver aftale med TR/FSL). Weekendtimerne udbetales.",I15="X",C15="ikke relevant")),K15,0)</f>
        <v>0</v>
      </c>
      <c r="FH15" s="675">
        <f>IF(AND(AND(AND(Stamoplysninger!$B$26="Der er indgået lokalaftale omkring weekendtillæg(Kræver aftale med TR/FSL). Weekendtimerne udbetales.",I15="X",C15="ikke relevant",S15="X"))),(V15),0)</f>
        <v>0</v>
      </c>
      <c r="FI15" s="283">
        <f>IF(AND(Stamoplysninger!$B$26="Weekendtimer og weekendtillæg afspadseres.",I15="X"),K15,0)</f>
        <v>0</v>
      </c>
      <c r="FJ15" s="251">
        <f>IF(AND(Stamoplysninger!$B$26="Weekendtimer og weekendtillæg afspadseres.",Y15="X"),(AA15+AL15)/2,0)</f>
        <v>0</v>
      </c>
      <c r="FK15" s="674">
        <f>IF(AND(AND(Stamoplysninger!$B$26="Weekendtimer og weekendtillæg afspadseres.",I15="X",C15="ikke relevant")),K15,0)</f>
        <v>0</v>
      </c>
      <c r="FL15" s="675">
        <f>IF(AND(AND(Stamoplysninger!$B$26="Weekendtimer og weekendtillæg afspadseres.",Y15="X",S15="ikke relevant")),(AA15+AL15)/2,0)</f>
        <v>0</v>
      </c>
      <c r="FM15" s="283">
        <f>IF(AND(Stamoplysninger!$B$26="Der er indgået lokalaftale omkring weekendtillæg(Kræver aftale med TR/FSL). Weekendtimerne afspadseres.",I15="X"),K15,0)</f>
        <v>0</v>
      </c>
      <c r="FN15" s="674">
        <f>IF(AND(AND(Stamoplysninger!$B$26="Der er indgået lokalaftale omkring weekendtillæg(Kræver aftale med TR/FSL). Weekendtimerne afspadseres.",I15="X",C15="ikke relevant")),K15,0)</f>
        <v>0</v>
      </c>
      <c r="FO15" s="283">
        <f>IF(AND(Stamoplysninger!$B$26="Weekendtimer og weekendtillæg udbetales.",I15="X"),K15,0)</f>
        <v>0</v>
      </c>
      <c r="FP15" s="251">
        <f>IF(AND(Stamoplysninger!$B$26="Weekendtimer og weekendtillæg udbetales.",AA15="X"),(AC15+AN15)/2,0)</f>
        <v>0</v>
      </c>
      <c r="FQ15" s="674">
        <f>IF(AND(AND(Stamoplysninger!$B$26="Weekendtimer og weekendtillæg udbetales.",I15="X",C15="ikke relevant")),K15,0)</f>
        <v>0</v>
      </c>
      <c r="FR15" s="688">
        <f>IF(AND(AND(Stamoplysninger!$B$26="Weekendtimer og weekendtillæg udbetales.",AA15="X",U15="ikke relevant")),(AC15+AN15)/2,0)</f>
        <v>0</v>
      </c>
      <c r="FS15" s="283">
        <f t="shared" si="15"/>
        <v>0</v>
      </c>
      <c r="FT15" s="658">
        <f t="shared" si="16"/>
        <v>0</v>
      </c>
      <c r="FU15">
        <f t="shared" si="17"/>
        <v>0</v>
      </c>
      <c r="FV15" s="283">
        <f>IF(AND(Stamoplysninger!$B$26="Der er indgået lokalaftale omkring weekendtimer.(Kræver aftale med TR/FSL) Weekendtillæg afspadseres.",I15="X"),K15,0)</f>
        <v>0</v>
      </c>
      <c r="FW15" s="674">
        <f>IF(AND(AND(Stamoplysninger!$B$26="Der er indgået lokalaftale omkring weekendtimer.(Kræver aftale med TR/FSL) Weekendtillæg afspadseres.",I15="X",C15="ikke relevant")),K15,0)</f>
        <v>0</v>
      </c>
      <c r="FX15" s="283">
        <f>IF(AND(Stamoplysninger!$B$26="Der er indgået lokalaftale omkring weekendtimer(Kræver aftale med TR/FSL). Weekendtillæg udbetales.",I15="X"),K15,0)</f>
        <v>0</v>
      </c>
      <c r="FY15" s="674">
        <f>IF(AND(AND(Stamoplysninger!$B$26="Der er indgået lokalaftale omkring weekendtimer(Kræver aftale med TR/FSL). Weekendtillæg udbetales.",I15="X",C15="ikke relevant")),K15,0)</f>
        <v>0</v>
      </c>
      <c r="FZ15" s="283">
        <f>IF(AND(Stamoplysninger!$B$26="Der er indgået lokalaftale omkring weekendtillæg(Kræver aftale med TR/FSL). Weekendtimerne udbetales.",I15="X"),K15,0)</f>
        <v>0</v>
      </c>
      <c r="GA15" s="674">
        <f>IF(AND(AND(Stamoplysninger!$B$26="Der er indgået lokalaftale omkring weekendtillæg(Kræver aftale med TR/FSL). Weekendtimerne udbetales.",I15="X",C15="ikke relevant")),K15,0)</f>
        <v>0</v>
      </c>
      <c r="GB15" s="283">
        <f>IF(AND(Stamoplysninger!$B$26="Der er indgået lokalaftale omkring weekendtimer og weekendtillæg.(Kræver aftale med TR/FSL).",I15="X"),K15,0)</f>
        <v>0</v>
      </c>
      <c r="GC15" s="674">
        <f>IF(AND(AND(Stamoplysninger!$B$26="Der er indgået lokalaftale omkring weekendtimer og weekendtillæg.(Kræver aftale med TR/FSL).",I15="X",C15="ikke relevant")),K15,0)</f>
        <v>0</v>
      </c>
    </row>
    <row r="16" spans="1:185">
      <c r="A16" s="245">
        <f t="shared" si="18"/>
        <v>8</v>
      </c>
      <c r="B16" s="128" t="str">
        <f t="shared" si="0"/>
        <v>ti</v>
      </c>
      <c r="C16" s="129" t="s">
        <v>210</v>
      </c>
      <c r="D16" s="130" t="str">
        <f t="shared" si="1"/>
        <v/>
      </c>
      <c r="E16" s="917" t="s">
        <v>113</v>
      </c>
      <c r="F16" s="918"/>
      <c r="G16" s="919"/>
      <c r="H16" s="298"/>
      <c r="I16" s="527"/>
      <c r="J16" s="413"/>
      <c r="K16" s="380"/>
      <c r="L16" s="380"/>
      <c r="M16" s="380"/>
      <c r="N16" s="318">
        <f t="shared" si="19"/>
        <v>0</v>
      </c>
      <c r="O16" s="318">
        <f t="shared" si="20"/>
        <v>0</v>
      </c>
      <c r="P16" s="318">
        <f>IF(Stamoplysninger!$H$29="JA",Juli!DG16,CX16)</f>
        <v>0</v>
      </c>
      <c r="Q16" s="318">
        <f t="shared" si="21"/>
        <v>0</v>
      </c>
      <c r="R16" s="319"/>
      <c r="S16" s="324"/>
      <c r="T16" s="325"/>
      <c r="U16" s="325"/>
      <c r="V16" s="435"/>
      <c r="W16" s="412"/>
      <c r="X16" s="642"/>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9">
        <f t="shared" si="8"/>
        <v>0</v>
      </c>
      <c r="BC16" s="1">
        <f t="shared" si="24"/>
        <v>0</v>
      </c>
      <c r="BD16" s="1">
        <f t="shared" si="9"/>
        <v>0</v>
      </c>
      <c r="BE16" s="1">
        <f t="shared" si="10"/>
        <v>0</v>
      </c>
      <c r="BF16" s="1">
        <f t="shared" si="11"/>
        <v>0</v>
      </c>
      <c r="BG16" s="210" t="str">
        <f>IF(AND(C16="Skema 1",B16="ma"),Skemaoplysninger!$E$30,"")</f>
        <v/>
      </c>
      <c r="BH16" s="210" t="str">
        <f>IF(AND(C16="Skema 1",B16="ti"),Skemaoplysninger!$G$30,"")</f>
        <v/>
      </c>
      <c r="BI16" s="210" t="str">
        <f>IF(AND(C16="Skema 1",B16="on"),Skemaoplysninger!$I$30,"")</f>
        <v/>
      </c>
      <c r="BJ16" s="210" t="str">
        <f>IF(AND(C16="Skema 1",B16="to"),Skemaoplysninger!$K$30,"")</f>
        <v/>
      </c>
      <c r="BK16" s="210" t="str">
        <f>IF(AND(C16="Skema 1",B16="fr"),Skemaoplysninger!$M$30,"")</f>
        <v/>
      </c>
      <c r="BL16" s="210" t="str">
        <f>IF(AND(C16="Skema 2",B16="ma"),Skemaoplysninger!$S$30,"")</f>
        <v/>
      </c>
      <c r="BM16" s="210" t="str">
        <f>IF(AND(C16="Skema 2",B16="ti"),Skemaoplysninger!$U$30,"")</f>
        <v/>
      </c>
      <c r="BN16" s="210" t="str">
        <f>IF(AND(C16="Skema 2",B16="on"),Skemaoplysninger!$W$30,"")</f>
        <v/>
      </c>
      <c r="BO16" s="210" t="str">
        <f>IF(AND(C16="Skema 2",B16="to"),Skemaoplysninger!$Y$30,"")</f>
        <v/>
      </c>
      <c r="BP16" s="210" t="str">
        <f>IF(AND(C16="Skema 2",B16="fr"),Skemaoplysninger!$AA$30,"")</f>
        <v/>
      </c>
      <c r="BQ16" s="210" t="str">
        <f>IF(AND(C16="Skema 3",B16="ma"),Skemaoplysninger!$AG$30,"")</f>
        <v/>
      </c>
      <c r="BR16" s="210" t="str">
        <f>IF(AND(C16="Skema 3",B16="ti"),Skemaoplysninger!$AI$30,"")</f>
        <v/>
      </c>
      <c r="BS16" s="210" t="str">
        <f>IF(AND(C16="Skema 3",B16="on"),Skemaoplysninger!$AK$30,"")</f>
        <v/>
      </c>
      <c r="BT16" s="210" t="str">
        <f>IF(AND(C16="Skema 3",B16="to"),Skemaoplysninger!$AM$30,"")</f>
        <v/>
      </c>
      <c r="BU16" s="210" t="str">
        <f>IF(AND(C16="Skema 3",B16="fr"),Skemaoplysninger!$AO$30,"")</f>
        <v/>
      </c>
      <c r="BV16" s="210" t="str">
        <f>IF(AND(C16="Skema 4",B16="ma"),Skemaoplysninger!$AU$30,"")</f>
        <v/>
      </c>
      <c r="BW16" s="210" t="str">
        <f>IF(AND(C16="Skema 4",B16="ti"),Skemaoplysninger!$AW$30,"")</f>
        <v/>
      </c>
      <c r="BX16" s="210" t="str">
        <f>IF(AND(C16="Skema 4",B16="on"),Skemaoplysninger!$AY$30,"")</f>
        <v/>
      </c>
      <c r="BY16" s="210" t="str">
        <f>IF(AND(C16="Skema 4",B16="to"),Skemaoplysninger!$BA$30,"")</f>
        <v/>
      </c>
      <c r="BZ16" s="210" t="str">
        <f>IF(AND(C16="Skema 4",B16="fr"),Skemaoplysninger!$BC$30,"")</f>
        <v/>
      </c>
      <c r="CA16" s="1">
        <f t="shared" si="25"/>
        <v>0</v>
      </c>
      <c r="CB16" s="1">
        <f t="shared" si="12"/>
        <v>0</v>
      </c>
      <c r="CC16" s="1">
        <f t="shared" si="13"/>
        <v>0</v>
      </c>
      <c r="CD16" s="210" t="str">
        <f>IF(AND(C16="Skema 1",B16="ma"),Skemaoplysninger!$E$31,"")</f>
        <v/>
      </c>
      <c r="CE16" s="210" t="str">
        <f>IF(AND(C16="Skema 1",B16="ti"),Skemaoplysninger!$G$31,"")</f>
        <v/>
      </c>
      <c r="CF16" s="210" t="str">
        <f>IF(AND(C16="Skema 1",B16="on"),Skemaoplysninger!$I$31,"")</f>
        <v/>
      </c>
      <c r="CG16" s="210" t="str">
        <f>IF(AND(C16="Skema 1",B16="to"),Skemaoplysninger!$K$31,"")</f>
        <v/>
      </c>
      <c r="CH16" s="210" t="str">
        <f>IF(AND(C16="Skema 1",B16="fr"),Skemaoplysninger!$M$31,"")</f>
        <v/>
      </c>
      <c r="CI16" s="210" t="str">
        <f>IF(AND(C16="Skema 2",B16="ma"),Skemaoplysninger!$S$31,"")</f>
        <v/>
      </c>
      <c r="CJ16" s="210" t="str">
        <f>IF(AND(C16="Skema 2",B16="ti"),Skemaoplysninger!$U$31,"")</f>
        <v/>
      </c>
      <c r="CK16" s="210" t="str">
        <f>IF(AND(C16="Skema 2",B16="on"),Skemaoplysninger!$W$31,"")</f>
        <v/>
      </c>
      <c r="CL16" s="210" t="str">
        <f>IF(AND(C16="Skema 2",B16="to"),Skemaoplysninger!$Y$31,"")</f>
        <v/>
      </c>
      <c r="CM16" s="210" t="str">
        <f>IF(AND(C16="Skema 2",B16="fr"),Skemaoplysninger!$AA$31,"")</f>
        <v/>
      </c>
      <c r="CN16" s="210" t="str">
        <f>IF(AND(C16="Skema 3",B16="ma"),Skemaoplysninger!$AG$31,"")</f>
        <v/>
      </c>
      <c r="CO16" s="210" t="str">
        <f>IF(AND(C16="Skema 3",B16="ti"),Skemaoplysninger!$AI$31,"")</f>
        <v/>
      </c>
      <c r="CP16" s="210" t="str">
        <f>IF(AND(C16="Skema 3",B16="on"),Skemaoplysninger!$AK$31,"")</f>
        <v/>
      </c>
      <c r="CQ16" s="210" t="str">
        <f>IF(AND(C16="Skema 3",B16="to"),Skemaoplysninger!$AM$31,"")</f>
        <v/>
      </c>
      <c r="CR16" s="210" t="str">
        <f>IF(AND(C16="Skema 3",B16="fr"),Skemaoplysninger!$AO$31,"")</f>
        <v/>
      </c>
      <c r="CS16" s="210" t="str">
        <f>IF(AND(C16="Skema 4",B16="ma"),Skemaoplysninger!$AU$31,"")</f>
        <v/>
      </c>
      <c r="CT16" s="210" t="str">
        <f>IF(AND(C16="Skema 4",B16="ti"),Skemaoplysninger!$AW$31,"")</f>
        <v/>
      </c>
      <c r="CU16" s="210" t="str">
        <f>IF(AND(C16="Skema 4",B16="on"),Skemaoplysninger!$AY$31,"")</f>
        <v/>
      </c>
      <c r="CV16" s="210" t="str">
        <f>IF(AND(C16="Skema 4",B16="to"),Skemaoplysninger!$BA$31,"")</f>
        <v/>
      </c>
      <c r="CW16" s="210" t="str">
        <f>IF(AND(C16="Skema 4",B16="fr"),Skemaoplysninger!$BC$31,"")</f>
        <v/>
      </c>
      <c r="CX16" s="249">
        <f>IF(Stamoplysninger!$H$29="NEJ",SUM(CD16:CW16)*24+CB16+CC16,0)</f>
        <v>0</v>
      </c>
      <c r="CY16" s="249">
        <f>IF(C16="Skema 1",Stamoplysninger!$H$30/200,0)</f>
        <v>0</v>
      </c>
      <c r="CZ16" s="249">
        <f>IF(C16="Skema 2",Stamoplysninger!$H$30/200,0)</f>
        <v>0</v>
      </c>
      <c r="DA16" s="249">
        <f>IF(C16="Skema 3",Stamoplysninger!$H$30/200,0)</f>
        <v>0</v>
      </c>
      <c r="DB16" s="249">
        <f>IF(C16="Skema 4",Stamoplysninger!$H$30/200,0)</f>
        <v>0</v>
      </c>
      <c r="DC16" s="249">
        <f>IF(C16="fagdag",Stamoplysninger!$H$30/200,0)</f>
        <v>0</v>
      </c>
      <c r="DD16" s="249">
        <f>IF(C16="emnedag",Stamoplysninger!$H$30/200,0)</f>
        <v>0</v>
      </c>
      <c r="DE16" s="249">
        <f>IF(C16="lejrskole",Stamoplysninger!$H$30/200,0)</f>
        <v>0</v>
      </c>
      <c r="DF16" s="249">
        <f>IF(C16="ekskursion",Stamoplysninger!$H$30/200,0)</f>
        <v>0</v>
      </c>
      <c r="DG16" s="249">
        <f t="shared" si="26"/>
        <v>0</v>
      </c>
      <c r="DH16" t="str">
        <f t="shared" si="27"/>
        <v/>
      </c>
      <c r="DI16" t="str">
        <f t="shared" si="28"/>
        <v>Sommerferie</v>
      </c>
      <c r="DJ16" t="str">
        <f t="shared" si="29"/>
        <v/>
      </c>
      <c r="DK16" t="str">
        <f t="shared" si="14"/>
        <v/>
      </c>
      <c r="DL16" t="str">
        <f t="shared" si="14"/>
        <v>Sommerferie</v>
      </c>
      <c r="DM16" t="str">
        <f t="shared" si="14"/>
        <v/>
      </c>
      <c r="DN16" t="str">
        <f t="shared" si="30"/>
        <v>Sommerferie</v>
      </c>
      <c r="DO16" s="652">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71">
        <f>IF(AND(Stamoplysninger!$B$22="Ulempetillæg udbetales med 25% af nettotimelønnen.",C16="ikke relevant"),(R16)/4,0)</f>
        <v>0</v>
      </c>
      <c r="DT16" s="671">
        <f>IF(AND(AND(Stamoplysninger!$B$22="Ulempetillæg udbetales med 25% af nettotimelønnen.",I16="X",C16="Ikke relevant")),K16/4,0)</f>
        <v>0</v>
      </c>
      <c r="DU16" s="671">
        <f>IF(AND(AND(Stamoplysninger!$B$22="Ulempetillæg udbetales med 25% af nettotimelønnen.",C16="ikke relevant",U16="X")),(X16/4),0)</f>
        <v>0</v>
      </c>
      <c r="DV16" s="672">
        <f>IF(AND(AND(AND(Stamoplysninger!$B$22="Ulempetillæg udbetales med 25% af nettotimelønnen.",I16="X",C16="Ikke relevant",S16="X"))),V16/4,0)</f>
        <v>0</v>
      </c>
      <c r="DW16" s="652"/>
      <c r="DZ16" s="671"/>
      <c r="EA16" s="671"/>
      <c r="EB16" s="672"/>
      <c r="EC16" s="652">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71">
        <f>IF(AND(Stamoplysninger!$B$22="Ulempetillæg afspadseres med 25%(Kræver en aftale imellem ledelsen og den ansatte)",C16="ikke relevant"),(R16)/4,0)</f>
        <v>0</v>
      </c>
      <c r="EH16" s="671">
        <f>IF(AND(AND(Stamoplysninger!$B$22="Ulempetillæg afspadseres med 25%(Kræver en aftale imellem ledelsen og den ansatte)",I16="X",C16="Ikke relevant")),K16/4,0)</f>
        <v>0</v>
      </c>
      <c r="EI16" s="671">
        <f>IF(AND(AND(Stamoplysninger!$B$22="Ulempetillæg afspadseres med 25%(Kræver en aftale imellem ledelsen og den ansatte)",U16="X",C16="Ikke relevant")),X16/4,0)</f>
        <v>0</v>
      </c>
      <c r="EJ16" s="671">
        <f>IF(AND(AND(AND(Stamoplysninger!$B$22="Ulempetillæg afspadseres med 25%(Kræver en aftale imellem ledelsen og den ansatte)",I16="X",C16="Ikke relevant",S16="X"))),V16/4,0)</f>
        <v>0</v>
      </c>
      <c r="EK16" s="283">
        <f>IF(AND(Stamoplysninger!$B$26="Weekendtimer og weekendtillæg afspadseres.",I16="X"),K16*1.5,0)</f>
        <v>0</v>
      </c>
      <c r="EL16" s="251">
        <f>IF(AND(AND(Stamoplysninger!$B$26="Weekendtimer og weekendtillæg afspadseres.",I16="X",S16="X")),V16*1.5,0)</f>
        <v>0</v>
      </c>
      <c r="EM16" s="674">
        <f>IF(AND(AND(Stamoplysninger!$B$26="Weekendtimer og weekendtillæg afspadseres.",I16="X",C16="ikke relevant")),K16*1.5,0)</f>
        <v>0</v>
      </c>
      <c r="EN16" s="675">
        <f>IF(AND(AND(AND(Stamoplysninger!$B$26="Weekendtimer og weekendtillæg afspadseres.",I16="X",C16="ikke relevant",S16="X"))),(V16*1.5),0)</f>
        <v>0</v>
      </c>
      <c r="EO16" s="283">
        <f>IF(AND(Stamoplysninger!$B$26="Weekendtimer og weekendtillæg udbetales.",I16="X"),K16*1.5,0)</f>
        <v>0</v>
      </c>
      <c r="EP16" s="251">
        <f>IF(AND(AND(Stamoplysninger!$B$26="Weekendtimer og weekendtillæg udbetales.",I16="X",S16="X")),V16*1.5,0)</f>
        <v>0</v>
      </c>
      <c r="EQ16" s="674">
        <f>IF(AND(AND(Stamoplysninger!$B$26="Weekendtimer og weekendtillæg udbetales.",I16="X",C16="ikke relevant")),K16*1.5,0)</f>
        <v>0</v>
      </c>
      <c r="ER16" s="675">
        <f>IF(AND(AND(AND(Stamoplysninger!$B$26="Weekendtimer og weekendtillæg udbetales.",I16="X",C16="ikke relevant",S16="X"))),(V16*1.5),0)</f>
        <v>0</v>
      </c>
      <c r="ES16" s="283">
        <f>IF(AND(Stamoplysninger!$B$26="Der er indgået lokalaftale omkring weekendtimer.(Kræver aftale med TR/FSL) Weekendtillæg afspadseres.",I16="X"),K16*0.5,0)</f>
        <v>0</v>
      </c>
      <c r="ET16" s="251">
        <f>IF(AND(AND(Stamoplysninger!$B$26="Der er indgået lokalaftale omkring weekendtimer.(Kræver aftale med TR/FSL) Weekendtillæg afspadseres.",I16="X",S16="X")),V16*0.5,0)</f>
        <v>0</v>
      </c>
      <c r="EU16" s="674">
        <f>IF(AND(AND(Stamoplysninger!$B$26="Der er indgået lokalaftale omkring weekendtimer.(Kræver aftale med TR/FSL) Weekendtillæg afspadseres.",I16="X",C16="ikke relevant")),K16*0.5,0)</f>
        <v>0</v>
      </c>
      <c r="EV16" s="675">
        <f>IF(AND(AND(AND(Stamoplysninger!$B$26="Der er indgået lokalaftale omkring weekendtimer.(Kræver aftale med TR/FSL) Weekendtillæg afspadseres.",I16="X",C16="ikke relevant",S16="X"))),(V16*0.5),0)</f>
        <v>0</v>
      </c>
      <c r="EW16" s="283">
        <f>IF(AND(Stamoplysninger!$B$26="Der er indgået lokalaftale omkring weekendtimer(Kræver aftale med TR/FSL). Weekendtillæg udbetales.",I16="X"),K16*0.5,0)</f>
        <v>0</v>
      </c>
      <c r="EX16" s="251">
        <f>IF(AND(AND(Stamoplysninger!$B$26="Der er indgået lokalaftale omkring weekendtimer(Kræver aftale med TR/FSL). Weekendtillæg udbetales.",I16="X",S16="X")),V16*0.5,0)</f>
        <v>0</v>
      </c>
      <c r="EY16" s="674">
        <f>IF(AND(AND(Stamoplysninger!$B$26="Der er indgået lokalaftale omkring weekendtimer(Kræver aftale med TR/FSL). Weekendtillæg udbetales.",I16="X",C16="ikke relevant")),K16*0.5,0)</f>
        <v>0</v>
      </c>
      <c r="EZ16" s="675">
        <f>IF(AND(AND(AND(Stamoplysninger!$B$26="Der er indgået lokalaftale omkring weekendtimer(Kræver aftale med TR/FSL). Weekendtillæg udbetales.",I16="X",C16="ikke relevant",S16="X"))),(V16*0.5),0)</f>
        <v>0</v>
      </c>
      <c r="FA16" s="283">
        <f>IF(AND(Stamoplysninger!$B$26="Der er indgået lokalaftale omkring weekendtillæg(Kræver aftale med TR/FSL). Weekendtimerne afspadseres.",I16="X"),K16,0)</f>
        <v>0</v>
      </c>
      <c r="FB16" s="251">
        <f>IF(AND(AND(Stamoplysninger!$B$26="Der er indgået lokalaftale omkring weekendtillæg(Kræver aftale med TR/FSL). Weekendtimerne afspadseres.",I16="X",S16="X")),V16,0)</f>
        <v>0</v>
      </c>
      <c r="FC16" s="674">
        <f>IF(AND(AND(Stamoplysninger!$B$26="Der er indgået lokalaftale omkring weekendtillæg(Kræver aftale med TR/FSL). Weekendtimerne afspadseres..",I16="X",C16="ikke relevant")),K16,0)</f>
        <v>0</v>
      </c>
      <c r="FD16" s="675">
        <f>IF(AND(AND(AND(Stamoplysninger!$B$26="Der er indgået lokalaftale omkring weekendtillæg(Kræver aftale med TR/FSL). Weekendtimerne afspadseres.",I16="X",C16="ikke relevant",S16="X"))),(V16),0)</f>
        <v>0</v>
      </c>
      <c r="FE16" s="283">
        <f>IF(AND(Stamoplysninger!$B$26="Der er indgået lokalaftale omkring weekendtillæg(Kræver aftale med TR/FSL). Weekendtimerne udbetales.",I16="X"),K16,0)</f>
        <v>0</v>
      </c>
      <c r="FF16" s="251">
        <f>IF(AND(AND(Stamoplysninger!$B$26="Der er indgået lokalaftale omkring weekendtillæg(Kræver aftale med TR/FSL). Weekendtimerne udbetales.",I16="X",S16="X")),V16,0)</f>
        <v>0</v>
      </c>
      <c r="FG16" s="674">
        <f>IF(AND(AND(Stamoplysninger!$B$26="Der er indgået lokalaftale omkring weekendtillæg(Kræver aftale med TR/FSL). Weekendtimerne udbetales.",I16="X",C16="ikke relevant")),K16,0)</f>
        <v>0</v>
      </c>
      <c r="FH16" s="675">
        <f>IF(AND(AND(AND(Stamoplysninger!$B$26="Der er indgået lokalaftale omkring weekendtillæg(Kræver aftale med TR/FSL). Weekendtimerne udbetales.",I16="X",C16="ikke relevant",S16="X"))),(V16),0)</f>
        <v>0</v>
      </c>
      <c r="FI16" s="283">
        <f>IF(AND(Stamoplysninger!$B$26="Weekendtimer og weekendtillæg afspadseres.",I16="X"),K16,0)</f>
        <v>0</v>
      </c>
      <c r="FJ16" s="251">
        <f>IF(AND(Stamoplysninger!$B$26="Weekendtimer og weekendtillæg afspadseres.",Y16="X"),(AA16+AL16)/2,0)</f>
        <v>0</v>
      </c>
      <c r="FK16" s="674">
        <f>IF(AND(AND(Stamoplysninger!$B$26="Weekendtimer og weekendtillæg afspadseres.",I16="X",C16="ikke relevant")),K16,0)</f>
        <v>0</v>
      </c>
      <c r="FL16" s="675">
        <f>IF(AND(AND(Stamoplysninger!$B$26="Weekendtimer og weekendtillæg afspadseres.",Y16="X",S16="ikke relevant")),(AA16+AL16)/2,0)</f>
        <v>0</v>
      </c>
      <c r="FM16" s="283">
        <f>IF(AND(Stamoplysninger!$B$26="Der er indgået lokalaftale omkring weekendtillæg(Kræver aftale med TR/FSL). Weekendtimerne afspadseres.",I16="X"),K16,0)</f>
        <v>0</v>
      </c>
      <c r="FN16" s="674">
        <f>IF(AND(AND(Stamoplysninger!$B$26="Der er indgået lokalaftale omkring weekendtillæg(Kræver aftale med TR/FSL). Weekendtimerne afspadseres.",I16="X",C16="ikke relevant")),K16,0)</f>
        <v>0</v>
      </c>
      <c r="FO16" s="283">
        <f>IF(AND(Stamoplysninger!$B$26="Weekendtimer og weekendtillæg udbetales.",I16="X"),K16,0)</f>
        <v>0</v>
      </c>
      <c r="FP16" s="251">
        <f>IF(AND(Stamoplysninger!$B$26="Weekendtimer og weekendtillæg udbetales.",AA16="X"),(AC16+AN16)/2,0)</f>
        <v>0</v>
      </c>
      <c r="FQ16" s="674">
        <f>IF(AND(AND(Stamoplysninger!$B$26="Weekendtimer og weekendtillæg udbetales.",I16="X",C16="ikke relevant")),K16,0)</f>
        <v>0</v>
      </c>
      <c r="FR16" s="688">
        <f>IF(AND(AND(Stamoplysninger!$B$26="Weekendtimer og weekendtillæg udbetales.",AA16="X",U16="ikke relevant")),(AC16+AN16)/2,0)</f>
        <v>0</v>
      </c>
      <c r="FS16" s="283">
        <f t="shared" si="15"/>
        <v>0</v>
      </c>
      <c r="FT16" s="658">
        <f t="shared" si="16"/>
        <v>0</v>
      </c>
      <c r="FU16">
        <f t="shared" si="17"/>
        <v>0</v>
      </c>
      <c r="FV16" s="283">
        <f>IF(AND(Stamoplysninger!$B$26="Der er indgået lokalaftale omkring weekendtimer.(Kræver aftale med TR/FSL) Weekendtillæg afspadseres.",I16="X"),K16,0)</f>
        <v>0</v>
      </c>
      <c r="FW16" s="674">
        <f>IF(AND(AND(Stamoplysninger!$B$26="Der er indgået lokalaftale omkring weekendtimer.(Kræver aftale med TR/FSL) Weekendtillæg afspadseres.",I16="X",C16="ikke relevant")),K16,0)</f>
        <v>0</v>
      </c>
      <c r="FX16" s="283">
        <f>IF(AND(Stamoplysninger!$B$26="Der er indgået lokalaftale omkring weekendtimer(Kræver aftale med TR/FSL). Weekendtillæg udbetales.",I16="X"),K16,0)</f>
        <v>0</v>
      </c>
      <c r="FY16" s="674">
        <f>IF(AND(AND(Stamoplysninger!$B$26="Der er indgået lokalaftale omkring weekendtimer(Kræver aftale med TR/FSL). Weekendtillæg udbetales.",I16="X",C16="ikke relevant")),K16,0)</f>
        <v>0</v>
      </c>
      <c r="FZ16" s="283">
        <f>IF(AND(Stamoplysninger!$B$26="Der er indgået lokalaftale omkring weekendtillæg(Kræver aftale med TR/FSL). Weekendtimerne udbetales.",I16="X"),K16,0)</f>
        <v>0</v>
      </c>
      <c r="GA16" s="674">
        <f>IF(AND(AND(Stamoplysninger!$B$26="Der er indgået lokalaftale omkring weekendtillæg(Kræver aftale med TR/FSL). Weekendtimerne udbetales.",I16="X",C16="ikke relevant")),K16,0)</f>
        <v>0</v>
      </c>
      <c r="GB16" s="283">
        <f>IF(AND(Stamoplysninger!$B$26="Der er indgået lokalaftale omkring weekendtimer og weekendtillæg.(Kræver aftale med TR/FSL).",I16="X"),K16,0)</f>
        <v>0</v>
      </c>
      <c r="GC16" s="674">
        <f>IF(AND(AND(Stamoplysninger!$B$26="Der er indgået lokalaftale omkring weekendtimer og weekendtillæg.(Kræver aftale med TR/FSL).",I16="X",C16="ikke relevant")),K16,0)</f>
        <v>0</v>
      </c>
    </row>
    <row r="17" spans="1:185">
      <c r="A17" s="245">
        <f t="shared" si="18"/>
        <v>9</v>
      </c>
      <c r="B17" s="128" t="str">
        <f t="shared" si="0"/>
        <v>on</v>
      </c>
      <c r="C17" s="129" t="s">
        <v>210</v>
      </c>
      <c r="D17" s="130" t="str">
        <f t="shared" si="1"/>
        <v/>
      </c>
      <c r="E17" s="917" t="s">
        <v>113</v>
      </c>
      <c r="F17" s="918"/>
      <c r="G17" s="919"/>
      <c r="H17" s="298"/>
      <c r="I17" s="527"/>
      <c r="J17" s="413"/>
      <c r="K17" s="380"/>
      <c r="L17" s="380"/>
      <c r="M17" s="380"/>
      <c r="N17" s="318">
        <f t="shared" si="19"/>
        <v>0</v>
      </c>
      <c r="O17" s="318">
        <f t="shared" si="20"/>
        <v>0</v>
      </c>
      <c r="P17" s="318">
        <f>IF(Stamoplysninger!$H$29="JA",Juli!DG17,CX17)</f>
        <v>0</v>
      </c>
      <c r="Q17" s="318">
        <f t="shared" si="21"/>
        <v>0</v>
      </c>
      <c r="R17" s="319"/>
      <c r="S17" s="324"/>
      <c r="T17" s="325"/>
      <c r="U17" s="325"/>
      <c r="V17" s="435"/>
      <c r="W17" s="412"/>
      <c r="X17" s="642"/>
      <c r="Y17">
        <f t="shared" si="22"/>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9">
        <f t="shared" si="8"/>
        <v>0</v>
      </c>
      <c r="BC17" s="1">
        <f t="shared" si="24"/>
        <v>0</v>
      </c>
      <c r="BD17" s="1">
        <f t="shared" si="9"/>
        <v>0</v>
      </c>
      <c r="BE17" s="1">
        <f t="shared" si="10"/>
        <v>0</v>
      </c>
      <c r="BF17" s="1">
        <f t="shared" si="11"/>
        <v>0</v>
      </c>
      <c r="BG17" s="210" t="str">
        <f>IF(AND(C17="Skema 1",B17="ma"),Skemaoplysninger!$E$30,"")</f>
        <v/>
      </c>
      <c r="BH17" s="210" t="str">
        <f>IF(AND(C17="Skema 1",B17="ti"),Skemaoplysninger!$G$30,"")</f>
        <v/>
      </c>
      <c r="BI17" s="210" t="str">
        <f>IF(AND(C17="Skema 1",B17="on"),Skemaoplysninger!$I$30,"")</f>
        <v/>
      </c>
      <c r="BJ17" s="210" t="str">
        <f>IF(AND(C17="Skema 1",B17="to"),Skemaoplysninger!$K$30,"")</f>
        <v/>
      </c>
      <c r="BK17" s="210" t="str">
        <f>IF(AND(C17="Skema 1",B17="fr"),Skemaoplysninger!$M$30,"")</f>
        <v/>
      </c>
      <c r="BL17" s="210" t="str">
        <f>IF(AND(C17="Skema 2",B17="ma"),Skemaoplysninger!$S$30,"")</f>
        <v/>
      </c>
      <c r="BM17" s="210" t="str">
        <f>IF(AND(C17="Skema 2",B17="ti"),Skemaoplysninger!$U$30,"")</f>
        <v/>
      </c>
      <c r="BN17" s="210" t="str">
        <f>IF(AND(C17="Skema 2",B17="on"),Skemaoplysninger!$W$30,"")</f>
        <v/>
      </c>
      <c r="BO17" s="210" t="str">
        <f>IF(AND(C17="Skema 2",B17="to"),Skemaoplysninger!$Y$30,"")</f>
        <v/>
      </c>
      <c r="BP17" s="210" t="str">
        <f>IF(AND(C17="Skema 2",B17="fr"),Skemaoplysninger!$AA$30,"")</f>
        <v/>
      </c>
      <c r="BQ17" s="210" t="str">
        <f>IF(AND(C17="Skema 3",B17="ma"),Skemaoplysninger!$AG$30,"")</f>
        <v/>
      </c>
      <c r="BR17" s="210" t="str">
        <f>IF(AND(C17="Skema 3",B17="ti"),Skemaoplysninger!$AI$30,"")</f>
        <v/>
      </c>
      <c r="BS17" s="210" t="str">
        <f>IF(AND(C17="Skema 3",B17="on"),Skemaoplysninger!$AK$30,"")</f>
        <v/>
      </c>
      <c r="BT17" s="210" t="str">
        <f>IF(AND(C17="Skema 3",B17="to"),Skemaoplysninger!$AM$30,"")</f>
        <v/>
      </c>
      <c r="BU17" s="210" t="str">
        <f>IF(AND(C17="Skema 3",B17="fr"),Skemaoplysninger!$AO$30,"")</f>
        <v/>
      </c>
      <c r="BV17" s="210" t="str">
        <f>IF(AND(C17="Skema 4",B17="ma"),Skemaoplysninger!$AU$30,"")</f>
        <v/>
      </c>
      <c r="BW17" s="210" t="str">
        <f>IF(AND(C17="Skema 4",B17="ti"),Skemaoplysninger!$AW$30,"")</f>
        <v/>
      </c>
      <c r="BX17" s="210" t="str">
        <f>IF(AND(C17="Skema 4",B17="on"),Skemaoplysninger!$AY$30,"")</f>
        <v/>
      </c>
      <c r="BY17" s="210" t="str">
        <f>IF(AND(C17="Skema 4",B17="to"),Skemaoplysninger!$BA$30,"")</f>
        <v/>
      </c>
      <c r="BZ17" s="210" t="str">
        <f>IF(AND(C17="Skema 4",B17="fr"),Skemaoplysninger!$BC$30,"")</f>
        <v/>
      </c>
      <c r="CA17" s="1">
        <f t="shared" si="25"/>
        <v>0</v>
      </c>
      <c r="CB17" s="1">
        <f t="shared" si="12"/>
        <v>0</v>
      </c>
      <c r="CC17" s="1">
        <f t="shared" si="13"/>
        <v>0</v>
      </c>
      <c r="CD17" s="210" t="str">
        <f>IF(AND(C17="Skema 1",B17="ma"),Skemaoplysninger!$E$31,"")</f>
        <v/>
      </c>
      <c r="CE17" s="210" t="str">
        <f>IF(AND(C17="Skema 1",B17="ti"),Skemaoplysninger!$G$31,"")</f>
        <v/>
      </c>
      <c r="CF17" s="210" t="str">
        <f>IF(AND(C17="Skema 1",B17="on"),Skemaoplysninger!$I$31,"")</f>
        <v/>
      </c>
      <c r="CG17" s="210" t="str">
        <f>IF(AND(C17="Skema 1",B17="to"),Skemaoplysninger!$K$31,"")</f>
        <v/>
      </c>
      <c r="CH17" s="210" t="str">
        <f>IF(AND(C17="Skema 1",B17="fr"),Skemaoplysninger!$M$31,"")</f>
        <v/>
      </c>
      <c r="CI17" s="210" t="str">
        <f>IF(AND(C17="Skema 2",B17="ma"),Skemaoplysninger!$S$31,"")</f>
        <v/>
      </c>
      <c r="CJ17" s="210" t="str">
        <f>IF(AND(C17="Skema 2",B17="ti"),Skemaoplysninger!$U$31,"")</f>
        <v/>
      </c>
      <c r="CK17" s="210" t="str">
        <f>IF(AND(C17="Skema 2",B17="on"),Skemaoplysninger!$W$31,"")</f>
        <v/>
      </c>
      <c r="CL17" s="210" t="str">
        <f>IF(AND(C17="Skema 2",B17="to"),Skemaoplysninger!$Y$31,"")</f>
        <v/>
      </c>
      <c r="CM17" s="210" t="str">
        <f>IF(AND(C17="Skema 2",B17="fr"),Skemaoplysninger!$AA$31,"")</f>
        <v/>
      </c>
      <c r="CN17" s="210" t="str">
        <f>IF(AND(C17="Skema 3",B17="ma"),Skemaoplysninger!$AG$31,"")</f>
        <v/>
      </c>
      <c r="CO17" s="210" t="str">
        <f>IF(AND(C17="Skema 3",B17="ti"),Skemaoplysninger!$AI$31,"")</f>
        <v/>
      </c>
      <c r="CP17" s="210" t="str">
        <f>IF(AND(C17="Skema 3",B17="on"),Skemaoplysninger!$AK$31,"")</f>
        <v/>
      </c>
      <c r="CQ17" s="210" t="str">
        <f>IF(AND(C17="Skema 3",B17="to"),Skemaoplysninger!$AM$31,"")</f>
        <v/>
      </c>
      <c r="CR17" s="210" t="str">
        <f>IF(AND(C17="Skema 3",B17="fr"),Skemaoplysninger!$AO$31,"")</f>
        <v/>
      </c>
      <c r="CS17" s="210" t="str">
        <f>IF(AND(C17="Skema 4",B17="ma"),Skemaoplysninger!$AU$31,"")</f>
        <v/>
      </c>
      <c r="CT17" s="210" t="str">
        <f>IF(AND(C17="Skema 4",B17="ti"),Skemaoplysninger!$AW$31,"")</f>
        <v/>
      </c>
      <c r="CU17" s="210" t="str">
        <f>IF(AND(C17="Skema 4",B17="on"),Skemaoplysninger!$AY$31,"")</f>
        <v/>
      </c>
      <c r="CV17" s="210" t="str">
        <f>IF(AND(C17="Skema 4",B17="to"),Skemaoplysninger!$BA$31,"")</f>
        <v/>
      </c>
      <c r="CW17" s="210" t="str">
        <f>IF(AND(C17="Skema 4",B17="fr"),Skemaoplysninger!$BC$31,"")</f>
        <v/>
      </c>
      <c r="CX17" s="249">
        <f>IF(Stamoplysninger!$H$29="NEJ",SUM(CD17:CW17)*24+CB17+CC17,0)</f>
        <v>0</v>
      </c>
      <c r="CY17" s="249">
        <f>IF(C17="Skema 1",Stamoplysninger!$H$30/200,0)</f>
        <v>0</v>
      </c>
      <c r="CZ17" s="249">
        <f>IF(C17="Skema 2",Stamoplysninger!$H$30/200,0)</f>
        <v>0</v>
      </c>
      <c r="DA17" s="249">
        <f>IF(C17="Skema 3",Stamoplysninger!$H$30/200,0)</f>
        <v>0</v>
      </c>
      <c r="DB17" s="249">
        <f>IF(C17="Skema 4",Stamoplysninger!$H$30/200,0)</f>
        <v>0</v>
      </c>
      <c r="DC17" s="249">
        <f>IF(C17="fagdag",Stamoplysninger!$H$30/200,0)</f>
        <v>0</v>
      </c>
      <c r="DD17" s="249">
        <f>IF(C17="emnedag",Stamoplysninger!$H$30/200,0)</f>
        <v>0</v>
      </c>
      <c r="DE17" s="249">
        <f>IF(C17="lejrskole",Stamoplysninger!$H$30/200,0)</f>
        <v>0</v>
      </c>
      <c r="DF17" s="249">
        <f>IF(C17="ekskursion",Stamoplysninger!$H$30/200,0)</f>
        <v>0</v>
      </c>
      <c r="DG17" s="249">
        <f t="shared" si="26"/>
        <v>0</v>
      </c>
      <c r="DH17" t="str">
        <f t="shared" si="27"/>
        <v/>
      </c>
      <c r="DI17" t="str">
        <f t="shared" si="28"/>
        <v>Sommerferie</v>
      </c>
      <c r="DJ17" t="str">
        <f t="shared" si="29"/>
        <v/>
      </c>
      <c r="DK17" t="str">
        <f t="shared" si="14"/>
        <v/>
      </c>
      <c r="DL17" t="str">
        <f t="shared" si="14"/>
        <v>Sommerferie</v>
      </c>
      <c r="DM17" t="str">
        <f t="shared" si="14"/>
        <v/>
      </c>
      <c r="DN17" t="str">
        <f t="shared" si="30"/>
        <v>Sommerferie</v>
      </c>
      <c r="DO17" s="652">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71">
        <f>IF(AND(Stamoplysninger!$B$22="Ulempetillæg udbetales med 25% af nettotimelønnen.",C17="ikke relevant"),(R17)/4,0)</f>
        <v>0</v>
      </c>
      <c r="DT17" s="671">
        <f>IF(AND(AND(Stamoplysninger!$B$22="Ulempetillæg udbetales med 25% af nettotimelønnen.",I17="X",C17="Ikke relevant")),K17/4,0)</f>
        <v>0</v>
      </c>
      <c r="DU17" s="671">
        <f>IF(AND(AND(Stamoplysninger!$B$22="Ulempetillæg udbetales med 25% af nettotimelønnen.",C17="ikke relevant",U17="X")),(X17/4),0)</f>
        <v>0</v>
      </c>
      <c r="DV17" s="672">
        <f>IF(AND(AND(AND(Stamoplysninger!$B$22="Ulempetillæg udbetales med 25% af nettotimelønnen.",I17="X",C17="Ikke relevant",S17="X"))),V17/4,0)</f>
        <v>0</v>
      </c>
      <c r="DW17" s="652"/>
      <c r="DZ17" s="671"/>
      <c r="EA17" s="671"/>
      <c r="EB17" s="672"/>
      <c r="EC17" s="652">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71">
        <f>IF(AND(Stamoplysninger!$B$22="Ulempetillæg afspadseres med 25%(Kræver en aftale imellem ledelsen og den ansatte)",C17="ikke relevant"),(R17)/4,0)</f>
        <v>0</v>
      </c>
      <c r="EH17" s="671">
        <f>IF(AND(AND(Stamoplysninger!$B$22="Ulempetillæg afspadseres med 25%(Kræver en aftale imellem ledelsen og den ansatte)",I17="X",C17="Ikke relevant")),K17/4,0)</f>
        <v>0</v>
      </c>
      <c r="EI17" s="671">
        <f>IF(AND(AND(Stamoplysninger!$B$22="Ulempetillæg afspadseres med 25%(Kræver en aftale imellem ledelsen og den ansatte)",U17="X",C17="Ikke relevant")),X17/4,0)</f>
        <v>0</v>
      </c>
      <c r="EJ17" s="671">
        <f>IF(AND(AND(AND(Stamoplysninger!$B$22="Ulempetillæg afspadseres med 25%(Kræver en aftale imellem ledelsen og den ansatte)",I17="X",C17="Ikke relevant",S17="X"))),V17/4,0)</f>
        <v>0</v>
      </c>
      <c r="EK17" s="283">
        <f>IF(AND(Stamoplysninger!$B$26="Weekendtimer og weekendtillæg afspadseres.",I17="X"),K17*1.5,0)</f>
        <v>0</v>
      </c>
      <c r="EL17" s="251">
        <f>IF(AND(AND(Stamoplysninger!$B$26="Weekendtimer og weekendtillæg afspadseres.",I17="X",S17="X")),V17*1.5,0)</f>
        <v>0</v>
      </c>
      <c r="EM17" s="674">
        <f>IF(AND(AND(Stamoplysninger!$B$26="Weekendtimer og weekendtillæg afspadseres.",I17="X",C17="ikke relevant")),K17*1.5,0)</f>
        <v>0</v>
      </c>
      <c r="EN17" s="675">
        <f>IF(AND(AND(AND(Stamoplysninger!$B$26="Weekendtimer og weekendtillæg afspadseres.",I17="X",C17="ikke relevant",S17="X"))),(V17*1.5),0)</f>
        <v>0</v>
      </c>
      <c r="EO17" s="283">
        <f>IF(AND(Stamoplysninger!$B$26="Weekendtimer og weekendtillæg udbetales.",I17="X"),K17*1.5,0)</f>
        <v>0</v>
      </c>
      <c r="EP17" s="251">
        <f>IF(AND(AND(Stamoplysninger!$B$26="Weekendtimer og weekendtillæg udbetales.",I17="X",S17="X")),V17*1.5,0)</f>
        <v>0</v>
      </c>
      <c r="EQ17" s="674">
        <f>IF(AND(AND(Stamoplysninger!$B$26="Weekendtimer og weekendtillæg udbetales.",I17="X",C17="ikke relevant")),K17*1.5,0)</f>
        <v>0</v>
      </c>
      <c r="ER17" s="675">
        <f>IF(AND(AND(AND(Stamoplysninger!$B$26="Weekendtimer og weekendtillæg udbetales.",I17="X",C17="ikke relevant",S17="X"))),(V17*1.5),0)</f>
        <v>0</v>
      </c>
      <c r="ES17" s="283">
        <f>IF(AND(Stamoplysninger!$B$26="Der er indgået lokalaftale omkring weekendtimer.(Kræver aftale med TR/FSL) Weekendtillæg afspadseres.",I17="X"),K17*0.5,0)</f>
        <v>0</v>
      </c>
      <c r="ET17" s="251">
        <f>IF(AND(AND(Stamoplysninger!$B$26="Der er indgået lokalaftale omkring weekendtimer.(Kræver aftale med TR/FSL) Weekendtillæg afspadseres.",I17="X",S17="X")),V17*0.5,0)</f>
        <v>0</v>
      </c>
      <c r="EU17" s="674">
        <f>IF(AND(AND(Stamoplysninger!$B$26="Der er indgået lokalaftale omkring weekendtimer.(Kræver aftale med TR/FSL) Weekendtillæg afspadseres.",I17="X",C17="ikke relevant")),K17*0.5,0)</f>
        <v>0</v>
      </c>
      <c r="EV17" s="675">
        <f>IF(AND(AND(AND(Stamoplysninger!$B$26="Der er indgået lokalaftale omkring weekendtimer.(Kræver aftale med TR/FSL) Weekendtillæg afspadseres.",I17="X",C17="ikke relevant",S17="X"))),(V17*0.5),0)</f>
        <v>0</v>
      </c>
      <c r="EW17" s="283">
        <f>IF(AND(Stamoplysninger!$B$26="Der er indgået lokalaftale omkring weekendtimer(Kræver aftale med TR/FSL). Weekendtillæg udbetales.",I17="X"),K17*0.5,0)</f>
        <v>0</v>
      </c>
      <c r="EX17" s="251">
        <f>IF(AND(AND(Stamoplysninger!$B$26="Der er indgået lokalaftale omkring weekendtimer(Kræver aftale med TR/FSL). Weekendtillæg udbetales.",I17="X",S17="X")),V17*0.5,0)</f>
        <v>0</v>
      </c>
      <c r="EY17" s="674">
        <f>IF(AND(AND(Stamoplysninger!$B$26="Der er indgået lokalaftale omkring weekendtimer(Kræver aftale med TR/FSL). Weekendtillæg udbetales.",I17="X",C17="ikke relevant")),K17*0.5,0)</f>
        <v>0</v>
      </c>
      <c r="EZ17" s="675">
        <f>IF(AND(AND(AND(Stamoplysninger!$B$26="Der er indgået lokalaftale omkring weekendtimer(Kræver aftale med TR/FSL). Weekendtillæg udbetales.",I17="X",C17="ikke relevant",S17="X"))),(V17*0.5),0)</f>
        <v>0</v>
      </c>
      <c r="FA17" s="283">
        <f>IF(AND(Stamoplysninger!$B$26="Der er indgået lokalaftale omkring weekendtillæg(Kræver aftale med TR/FSL). Weekendtimerne afspadseres.",I17="X"),K17,0)</f>
        <v>0</v>
      </c>
      <c r="FB17" s="251">
        <f>IF(AND(AND(Stamoplysninger!$B$26="Der er indgået lokalaftale omkring weekendtillæg(Kræver aftale med TR/FSL). Weekendtimerne afspadseres.",I17="X",S17="X")),V17,0)</f>
        <v>0</v>
      </c>
      <c r="FC17" s="674">
        <f>IF(AND(AND(Stamoplysninger!$B$26="Der er indgået lokalaftale omkring weekendtillæg(Kræver aftale med TR/FSL). Weekendtimerne afspadseres..",I17="X",C17="ikke relevant")),K17,0)</f>
        <v>0</v>
      </c>
      <c r="FD17" s="675">
        <f>IF(AND(AND(AND(Stamoplysninger!$B$26="Der er indgået lokalaftale omkring weekendtillæg(Kræver aftale med TR/FSL). Weekendtimerne afspadseres.",I17="X",C17="ikke relevant",S17="X"))),(V17),0)</f>
        <v>0</v>
      </c>
      <c r="FE17" s="283">
        <f>IF(AND(Stamoplysninger!$B$26="Der er indgået lokalaftale omkring weekendtillæg(Kræver aftale med TR/FSL). Weekendtimerne udbetales.",I17="X"),K17,0)</f>
        <v>0</v>
      </c>
      <c r="FF17" s="251">
        <f>IF(AND(AND(Stamoplysninger!$B$26="Der er indgået lokalaftale omkring weekendtillæg(Kræver aftale med TR/FSL). Weekendtimerne udbetales.",I17="X",S17="X")),V17,0)</f>
        <v>0</v>
      </c>
      <c r="FG17" s="674">
        <f>IF(AND(AND(Stamoplysninger!$B$26="Der er indgået lokalaftale omkring weekendtillæg(Kræver aftale med TR/FSL). Weekendtimerne udbetales.",I17="X",C17="ikke relevant")),K17,0)</f>
        <v>0</v>
      </c>
      <c r="FH17" s="675">
        <f>IF(AND(AND(AND(Stamoplysninger!$B$26="Der er indgået lokalaftale omkring weekendtillæg(Kræver aftale med TR/FSL). Weekendtimerne udbetales.",I17="X",C17="ikke relevant",S17="X"))),(V17),0)</f>
        <v>0</v>
      </c>
      <c r="FI17" s="283">
        <f>IF(AND(Stamoplysninger!$B$26="Weekendtimer og weekendtillæg afspadseres.",I17="X"),K17,0)</f>
        <v>0</v>
      </c>
      <c r="FJ17" s="251">
        <f>IF(AND(Stamoplysninger!$B$26="Weekendtimer og weekendtillæg afspadseres.",Y17="X"),(AA17+AL17)/2,0)</f>
        <v>0</v>
      </c>
      <c r="FK17" s="674">
        <f>IF(AND(AND(Stamoplysninger!$B$26="Weekendtimer og weekendtillæg afspadseres.",I17="X",C17="ikke relevant")),K17,0)</f>
        <v>0</v>
      </c>
      <c r="FL17" s="675">
        <f>IF(AND(AND(Stamoplysninger!$B$26="Weekendtimer og weekendtillæg afspadseres.",Y17="X",S17="ikke relevant")),(AA17+AL17)/2,0)</f>
        <v>0</v>
      </c>
      <c r="FM17" s="283">
        <f>IF(AND(Stamoplysninger!$B$26="Der er indgået lokalaftale omkring weekendtillæg(Kræver aftale med TR/FSL). Weekendtimerne afspadseres.",I17="X"),K17,0)</f>
        <v>0</v>
      </c>
      <c r="FN17" s="674">
        <f>IF(AND(AND(Stamoplysninger!$B$26="Der er indgået lokalaftale omkring weekendtillæg(Kræver aftale med TR/FSL). Weekendtimerne afspadseres.",I17="X",C17="ikke relevant")),K17,0)</f>
        <v>0</v>
      </c>
      <c r="FO17" s="283">
        <f>IF(AND(Stamoplysninger!$B$26="Weekendtimer og weekendtillæg udbetales.",I17="X"),K17,0)</f>
        <v>0</v>
      </c>
      <c r="FP17" s="251">
        <f>IF(AND(Stamoplysninger!$B$26="Weekendtimer og weekendtillæg udbetales.",AA17="X"),(AC17+AN17)/2,0)</f>
        <v>0</v>
      </c>
      <c r="FQ17" s="674">
        <f>IF(AND(AND(Stamoplysninger!$B$26="Weekendtimer og weekendtillæg udbetales.",I17="X",C17="ikke relevant")),K17,0)</f>
        <v>0</v>
      </c>
      <c r="FR17" s="688">
        <f>IF(AND(AND(Stamoplysninger!$B$26="Weekendtimer og weekendtillæg udbetales.",AA17="X",U17="ikke relevant")),(AC17+AN17)/2,0)</f>
        <v>0</v>
      </c>
      <c r="FS17" s="283">
        <f t="shared" si="15"/>
        <v>0</v>
      </c>
      <c r="FT17" s="658">
        <f t="shared" si="16"/>
        <v>0</v>
      </c>
      <c r="FU17">
        <f t="shared" si="17"/>
        <v>0</v>
      </c>
      <c r="FV17" s="283">
        <f>IF(AND(Stamoplysninger!$B$26="Der er indgået lokalaftale omkring weekendtimer.(Kræver aftale med TR/FSL) Weekendtillæg afspadseres.",I17="X"),K17,0)</f>
        <v>0</v>
      </c>
      <c r="FW17" s="674">
        <f>IF(AND(AND(Stamoplysninger!$B$26="Der er indgået lokalaftale omkring weekendtimer.(Kræver aftale med TR/FSL) Weekendtillæg afspadseres.",I17="X",C17="ikke relevant")),K17,0)</f>
        <v>0</v>
      </c>
      <c r="FX17" s="283">
        <f>IF(AND(Stamoplysninger!$B$26="Der er indgået lokalaftale omkring weekendtimer(Kræver aftale med TR/FSL). Weekendtillæg udbetales.",I17="X"),K17,0)</f>
        <v>0</v>
      </c>
      <c r="FY17" s="674">
        <f>IF(AND(AND(Stamoplysninger!$B$26="Der er indgået lokalaftale omkring weekendtimer(Kræver aftale med TR/FSL). Weekendtillæg udbetales.",I17="X",C17="ikke relevant")),K17,0)</f>
        <v>0</v>
      </c>
      <c r="FZ17" s="283">
        <f>IF(AND(Stamoplysninger!$B$26="Der er indgået lokalaftale omkring weekendtillæg(Kræver aftale med TR/FSL). Weekendtimerne udbetales.",I17="X"),K17,0)</f>
        <v>0</v>
      </c>
      <c r="GA17" s="674">
        <f>IF(AND(AND(Stamoplysninger!$B$26="Der er indgået lokalaftale omkring weekendtillæg(Kræver aftale med TR/FSL). Weekendtimerne udbetales.",I17="X",C17="ikke relevant")),K17,0)</f>
        <v>0</v>
      </c>
      <c r="GB17" s="283">
        <f>IF(AND(Stamoplysninger!$B$26="Der er indgået lokalaftale omkring weekendtimer og weekendtillæg.(Kræver aftale med TR/FSL).",I17="X"),K17,0)</f>
        <v>0</v>
      </c>
      <c r="GC17" s="674">
        <f>IF(AND(AND(Stamoplysninger!$B$26="Der er indgået lokalaftale omkring weekendtimer og weekendtillæg.(Kræver aftale med TR/FSL).",I17="X",C17="ikke relevant")),K17,0)</f>
        <v>0</v>
      </c>
    </row>
    <row r="18" spans="1:185">
      <c r="A18" s="245">
        <f t="shared" si="18"/>
        <v>10</v>
      </c>
      <c r="B18" s="128" t="str">
        <f t="shared" si="0"/>
        <v>to</v>
      </c>
      <c r="C18" s="129" t="s">
        <v>210</v>
      </c>
      <c r="D18" s="130" t="str">
        <f t="shared" si="1"/>
        <v/>
      </c>
      <c r="E18" s="917" t="s">
        <v>113</v>
      </c>
      <c r="F18" s="918"/>
      <c r="G18" s="919"/>
      <c r="H18" s="298"/>
      <c r="I18" s="527"/>
      <c r="J18" s="413"/>
      <c r="K18" s="380"/>
      <c r="L18" s="380"/>
      <c r="M18" s="380"/>
      <c r="N18" s="318">
        <f t="shared" si="19"/>
        <v>0</v>
      </c>
      <c r="O18" s="318">
        <f t="shared" si="20"/>
        <v>0</v>
      </c>
      <c r="P18" s="318">
        <f>IF(Stamoplysninger!$H$29="JA",Juli!DG18,CX18)</f>
        <v>0</v>
      </c>
      <c r="Q18" s="318">
        <f t="shared" si="21"/>
        <v>0</v>
      </c>
      <c r="R18" s="319"/>
      <c r="S18" s="324"/>
      <c r="T18" s="325"/>
      <c r="U18" s="325"/>
      <c r="V18" s="435"/>
      <c r="W18" s="412"/>
      <c r="X18" s="642"/>
      <c r="Y18">
        <f t="shared" si="22"/>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9">
        <f t="shared" si="8"/>
        <v>0</v>
      </c>
      <c r="BC18" s="1">
        <f t="shared" si="24"/>
        <v>0</v>
      </c>
      <c r="BD18" s="1">
        <f t="shared" si="9"/>
        <v>0</v>
      </c>
      <c r="BE18" s="1">
        <f t="shared" si="10"/>
        <v>0</v>
      </c>
      <c r="BF18" s="1">
        <f t="shared" si="11"/>
        <v>0</v>
      </c>
      <c r="BG18" s="210" t="str">
        <f>IF(AND(C18="Skema 1",B18="ma"),Skemaoplysninger!$E$30,"")</f>
        <v/>
      </c>
      <c r="BH18" s="210" t="str">
        <f>IF(AND(C18="Skema 1",B18="ti"),Skemaoplysninger!$G$30,"")</f>
        <v/>
      </c>
      <c r="BI18" s="210" t="str">
        <f>IF(AND(C18="Skema 1",B18="on"),Skemaoplysninger!$I$30,"")</f>
        <v/>
      </c>
      <c r="BJ18" s="210" t="str">
        <f>IF(AND(C18="Skema 1",B18="to"),Skemaoplysninger!$K$30,"")</f>
        <v/>
      </c>
      <c r="BK18" s="210" t="str">
        <f>IF(AND(C18="Skema 1",B18="fr"),Skemaoplysninger!$M$30,"")</f>
        <v/>
      </c>
      <c r="BL18" s="210" t="str">
        <f>IF(AND(C18="Skema 2",B18="ma"),Skemaoplysninger!$S$30,"")</f>
        <v/>
      </c>
      <c r="BM18" s="210" t="str">
        <f>IF(AND(C18="Skema 2",B18="ti"),Skemaoplysninger!$U$30,"")</f>
        <v/>
      </c>
      <c r="BN18" s="210" t="str">
        <f>IF(AND(C18="Skema 2",B18="on"),Skemaoplysninger!$W$30,"")</f>
        <v/>
      </c>
      <c r="BO18" s="210" t="str">
        <f>IF(AND(C18="Skema 2",B18="to"),Skemaoplysninger!$Y$30,"")</f>
        <v/>
      </c>
      <c r="BP18" s="210" t="str">
        <f>IF(AND(C18="Skema 2",B18="fr"),Skemaoplysninger!$AA$30,"")</f>
        <v/>
      </c>
      <c r="BQ18" s="210" t="str">
        <f>IF(AND(C18="Skema 3",B18="ma"),Skemaoplysninger!$AG$30,"")</f>
        <v/>
      </c>
      <c r="BR18" s="210" t="str">
        <f>IF(AND(C18="Skema 3",B18="ti"),Skemaoplysninger!$AI$30,"")</f>
        <v/>
      </c>
      <c r="BS18" s="210" t="str">
        <f>IF(AND(C18="Skema 3",B18="on"),Skemaoplysninger!$AK$30,"")</f>
        <v/>
      </c>
      <c r="BT18" s="210" t="str">
        <f>IF(AND(C18="Skema 3",B18="to"),Skemaoplysninger!$AM$30,"")</f>
        <v/>
      </c>
      <c r="BU18" s="210" t="str">
        <f>IF(AND(C18="Skema 3",B18="fr"),Skemaoplysninger!$AO$30,"")</f>
        <v/>
      </c>
      <c r="BV18" s="210" t="str">
        <f>IF(AND(C18="Skema 4",B18="ma"),Skemaoplysninger!$AU$30,"")</f>
        <v/>
      </c>
      <c r="BW18" s="210" t="str">
        <f>IF(AND(C18="Skema 4",B18="ti"),Skemaoplysninger!$AW$30,"")</f>
        <v/>
      </c>
      <c r="BX18" s="210" t="str">
        <f>IF(AND(C18="Skema 4",B18="on"),Skemaoplysninger!$AY$30,"")</f>
        <v/>
      </c>
      <c r="BY18" s="210" t="str">
        <f>IF(AND(C18="Skema 4",B18="to"),Skemaoplysninger!$BA$30,"")</f>
        <v/>
      </c>
      <c r="BZ18" s="210" t="str">
        <f>IF(AND(C18="Skema 4",B18="fr"),Skemaoplysninger!$BC$30,"")</f>
        <v/>
      </c>
      <c r="CA18" s="1">
        <f t="shared" si="25"/>
        <v>0</v>
      </c>
      <c r="CB18" s="1">
        <f t="shared" si="12"/>
        <v>0</v>
      </c>
      <c r="CC18" s="1">
        <f t="shared" si="13"/>
        <v>0</v>
      </c>
      <c r="CD18" s="210" t="str">
        <f>IF(AND(C18="Skema 1",B18="ma"),Skemaoplysninger!$E$31,"")</f>
        <v/>
      </c>
      <c r="CE18" s="210" t="str">
        <f>IF(AND(C18="Skema 1",B18="ti"),Skemaoplysninger!$G$31,"")</f>
        <v/>
      </c>
      <c r="CF18" s="210" t="str">
        <f>IF(AND(C18="Skema 1",B18="on"),Skemaoplysninger!$I$31,"")</f>
        <v/>
      </c>
      <c r="CG18" s="210" t="str">
        <f>IF(AND(C18="Skema 1",B18="to"),Skemaoplysninger!$K$31,"")</f>
        <v/>
      </c>
      <c r="CH18" s="210" t="str">
        <f>IF(AND(C18="Skema 1",B18="fr"),Skemaoplysninger!$M$31,"")</f>
        <v/>
      </c>
      <c r="CI18" s="210" t="str">
        <f>IF(AND(C18="Skema 2",B18="ma"),Skemaoplysninger!$S$31,"")</f>
        <v/>
      </c>
      <c r="CJ18" s="210" t="str">
        <f>IF(AND(C18="Skema 2",B18="ti"),Skemaoplysninger!$U$31,"")</f>
        <v/>
      </c>
      <c r="CK18" s="210" t="str">
        <f>IF(AND(C18="Skema 2",B18="on"),Skemaoplysninger!$W$31,"")</f>
        <v/>
      </c>
      <c r="CL18" s="210" t="str">
        <f>IF(AND(C18="Skema 2",B18="to"),Skemaoplysninger!$Y$31,"")</f>
        <v/>
      </c>
      <c r="CM18" s="210" t="str">
        <f>IF(AND(C18="Skema 2",B18="fr"),Skemaoplysninger!$AA$31,"")</f>
        <v/>
      </c>
      <c r="CN18" s="210" t="str">
        <f>IF(AND(C18="Skema 3",B18="ma"),Skemaoplysninger!$AG$31,"")</f>
        <v/>
      </c>
      <c r="CO18" s="210" t="str">
        <f>IF(AND(C18="Skema 3",B18="ti"),Skemaoplysninger!$AI$31,"")</f>
        <v/>
      </c>
      <c r="CP18" s="210" t="str">
        <f>IF(AND(C18="Skema 3",B18="on"),Skemaoplysninger!$AK$31,"")</f>
        <v/>
      </c>
      <c r="CQ18" s="210" t="str">
        <f>IF(AND(C18="Skema 3",B18="to"),Skemaoplysninger!$AM$31,"")</f>
        <v/>
      </c>
      <c r="CR18" s="210" t="str">
        <f>IF(AND(C18="Skema 3",B18="fr"),Skemaoplysninger!$AO$31,"")</f>
        <v/>
      </c>
      <c r="CS18" s="210" t="str">
        <f>IF(AND(C18="Skema 4",B18="ma"),Skemaoplysninger!$AU$31,"")</f>
        <v/>
      </c>
      <c r="CT18" s="210" t="str">
        <f>IF(AND(C18="Skema 4",B18="ti"),Skemaoplysninger!$AW$31,"")</f>
        <v/>
      </c>
      <c r="CU18" s="210" t="str">
        <f>IF(AND(C18="Skema 4",B18="on"),Skemaoplysninger!$AY$31,"")</f>
        <v/>
      </c>
      <c r="CV18" s="210" t="str">
        <f>IF(AND(C18="Skema 4",B18="to"),Skemaoplysninger!$BA$31,"")</f>
        <v/>
      </c>
      <c r="CW18" s="210" t="str">
        <f>IF(AND(C18="Skema 4",B18="fr"),Skemaoplysninger!$BC$31,"")</f>
        <v/>
      </c>
      <c r="CX18" s="249">
        <f>IF(Stamoplysninger!$H$29="NEJ",SUM(CD18:CW18)*24+CB18+CC18,0)</f>
        <v>0</v>
      </c>
      <c r="CY18" s="249">
        <f>IF(C18="Skema 1",Stamoplysninger!$H$30/200,0)</f>
        <v>0</v>
      </c>
      <c r="CZ18" s="249">
        <f>IF(C18="Skema 2",Stamoplysninger!$H$30/200,0)</f>
        <v>0</v>
      </c>
      <c r="DA18" s="249">
        <f>IF(C18="Skema 3",Stamoplysninger!$H$30/200,0)</f>
        <v>0</v>
      </c>
      <c r="DB18" s="249">
        <f>IF(C18="Skema 4",Stamoplysninger!$H$30/200,0)</f>
        <v>0</v>
      </c>
      <c r="DC18" s="249">
        <f>IF(C18="fagdag",Stamoplysninger!$H$30/200,0)</f>
        <v>0</v>
      </c>
      <c r="DD18" s="249">
        <f>IF(C18="emnedag",Stamoplysninger!$H$30/200,0)</f>
        <v>0</v>
      </c>
      <c r="DE18" s="249">
        <f>IF(C18="lejrskole",Stamoplysninger!$H$30/200,0)</f>
        <v>0</v>
      </c>
      <c r="DF18" s="249">
        <f>IF(C18="ekskursion",Stamoplysninger!$H$30/200,0)</f>
        <v>0</v>
      </c>
      <c r="DG18" s="249">
        <f t="shared" si="26"/>
        <v>0</v>
      </c>
      <c r="DH18" t="str">
        <f t="shared" si="27"/>
        <v/>
      </c>
      <c r="DI18" t="str">
        <f t="shared" si="28"/>
        <v>Sommerferie</v>
      </c>
      <c r="DJ18" t="str">
        <f t="shared" si="29"/>
        <v/>
      </c>
      <c r="DK18" t="str">
        <f t="shared" si="14"/>
        <v/>
      </c>
      <c r="DL18" t="str">
        <f t="shared" si="14"/>
        <v>Sommerferie</v>
      </c>
      <c r="DM18" t="str">
        <f t="shared" si="14"/>
        <v/>
      </c>
      <c r="DN18" t="str">
        <f t="shared" si="30"/>
        <v>Sommerferie</v>
      </c>
      <c r="DO18" s="652">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71">
        <f>IF(AND(Stamoplysninger!$B$22="Ulempetillæg udbetales med 25% af nettotimelønnen.",C18="ikke relevant"),(R18)/4,0)</f>
        <v>0</v>
      </c>
      <c r="DT18" s="671">
        <f>IF(AND(AND(Stamoplysninger!$B$22="Ulempetillæg udbetales med 25% af nettotimelønnen.",I18="X",C18="Ikke relevant")),K18/4,0)</f>
        <v>0</v>
      </c>
      <c r="DU18" s="671">
        <f>IF(AND(AND(Stamoplysninger!$B$22="Ulempetillæg udbetales med 25% af nettotimelønnen.",C18="ikke relevant",U18="X")),(X18/4),0)</f>
        <v>0</v>
      </c>
      <c r="DV18" s="672">
        <f>IF(AND(AND(AND(Stamoplysninger!$B$22="Ulempetillæg udbetales med 25% af nettotimelønnen.",I18="X",C18="Ikke relevant",S18="X"))),V18/4,0)</f>
        <v>0</v>
      </c>
      <c r="DW18" s="652"/>
      <c r="DZ18" s="671"/>
      <c r="EA18" s="671"/>
      <c r="EB18" s="672"/>
      <c r="EC18" s="652">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71">
        <f>IF(AND(Stamoplysninger!$B$22="Ulempetillæg afspadseres med 25%(Kræver en aftale imellem ledelsen og den ansatte)",C18="ikke relevant"),(R18)/4,0)</f>
        <v>0</v>
      </c>
      <c r="EH18" s="671">
        <f>IF(AND(AND(Stamoplysninger!$B$22="Ulempetillæg afspadseres med 25%(Kræver en aftale imellem ledelsen og den ansatte)",I18="X",C18="Ikke relevant")),K18/4,0)</f>
        <v>0</v>
      </c>
      <c r="EI18" s="671">
        <f>IF(AND(AND(Stamoplysninger!$B$22="Ulempetillæg afspadseres med 25%(Kræver en aftale imellem ledelsen og den ansatte)",U18="X",C18="Ikke relevant")),X18/4,0)</f>
        <v>0</v>
      </c>
      <c r="EJ18" s="671">
        <f>IF(AND(AND(AND(Stamoplysninger!$B$22="Ulempetillæg afspadseres med 25%(Kræver en aftale imellem ledelsen og den ansatte)",I18="X",C18="Ikke relevant",S18="X"))),V18/4,0)</f>
        <v>0</v>
      </c>
      <c r="EK18" s="283">
        <f>IF(AND(Stamoplysninger!$B$26="Weekendtimer og weekendtillæg afspadseres.",I18="X"),K18*1.5,0)</f>
        <v>0</v>
      </c>
      <c r="EL18" s="251">
        <f>IF(AND(AND(Stamoplysninger!$B$26="Weekendtimer og weekendtillæg afspadseres.",I18="X",S18="X")),V18*1.5,0)</f>
        <v>0</v>
      </c>
      <c r="EM18" s="674">
        <f>IF(AND(AND(Stamoplysninger!$B$26="Weekendtimer og weekendtillæg afspadseres.",I18="X",C18="ikke relevant")),K18*1.5,0)</f>
        <v>0</v>
      </c>
      <c r="EN18" s="675">
        <f>IF(AND(AND(AND(Stamoplysninger!$B$26="Weekendtimer og weekendtillæg afspadseres.",I18="X",C18="ikke relevant",S18="X"))),(V18*1.5),0)</f>
        <v>0</v>
      </c>
      <c r="EO18" s="283">
        <f>IF(AND(Stamoplysninger!$B$26="Weekendtimer og weekendtillæg udbetales.",I18="X"),K18*1.5,0)</f>
        <v>0</v>
      </c>
      <c r="EP18" s="251">
        <f>IF(AND(AND(Stamoplysninger!$B$26="Weekendtimer og weekendtillæg udbetales.",I18="X",S18="X")),V18*1.5,0)</f>
        <v>0</v>
      </c>
      <c r="EQ18" s="674">
        <f>IF(AND(AND(Stamoplysninger!$B$26="Weekendtimer og weekendtillæg udbetales.",I18="X",C18="ikke relevant")),K18*1.5,0)</f>
        <v>0</v>
      </c>
      <c r="ER18" s="675">
        <f>IF(AND(AND(AND(Stamoplysninger!$B$26="Weekendtimer og weekendtillæg udbetales.",I18="X",C18="ikke relevant",S18="X"))),(V18*1.5),0)</f>
        <v>0</v>
      </c>
      <c r="ES18" s="283">
        <f>IF(AND(Stamoplysninger!$B$26="Der er indgået lokalaftale omkring weekendtimer.(Kræver aftale med TR/FSL) Weekendtillæg afspadseres.",I18="X"),K18*0.5,0)</f>
        <v>0</v>
      </c>
      <c r="ET18" s="251">
        <f>IF(AND(AND(Stamoplysninger!$B$26="Der er indgået lokalaftale omkring weekendtimer.(Kræver aftale med TR/FSL) Weekendtillæg afspadseres.",I18="X",S18="X")),V18*0.5,0)</f>
        <v>0</v>
      </c>
      <c r="EU18" s="674">
        <f>IF(AND(AND(Stamoplysninger!$B$26="Der er indgået lokalaftale omkring weekendtimer.(Kræver aftale med TR/FSL) Weekendtillæg afspadseres.",I18="X",C18="ikke relevant")),K18*0.5,0)</f>
        <v>0</v>
      </c>
      <c r="EV18" s="675">
        <f>IF(AND(AND(AND(Stamoplysninger!$B$26="Der er indgået lokalaftale omkring weekendtimer.(Kræver aftale med TR/FSL) Weekendtillæg afspadseres.",I18="X",C18="ikke relevant",S18="X"))),(V18*0.5),0)</f>
        <v>0</v>
      </c>
      <c r="EW18" s="283">
        <f>IF(AND(Stamoplysninger!$B$26="Der er indgået lokalaftale omkring weekendtimer(Kræver aftale med TR/FSL). Weekendtillæg udbetales.",I18="X"),K18*0.5,0)</f>
        <v>0</v>
      </c>
      <c r="EX18" s="251">
        <f>IF(AND(AND(Stamoplysninger!$B$26="Der er indgået lokalaftale omkring weekendtimer(Kræver aftale med TR/FSL). Weekendtillæg udbetales.",I18="X",S18="X")),V18*0.5,0)</f>
        <v>0</v>
      </c>
      <c r="EY18" s="674">
        <f>IF(AND(AND(Stamoplysninger!$B$26="Der er indgået lokalaftale omkring weekendtimer(Kræver aftale med TR/FSL). Weekendtillæg udbetales.",I18="X",C18="ikke relevant")),K18*0.5,0)</f>
        <v>0</v>
      </c>
      <c r="EZ18" s="675">
        <f>IF(AND(AND(AND(Stamoplysninger!$B$26="Der er indgået lokalaftale omkring weekendtimer(Kræver aftale med TR/FSL). Weekendtillæg udbetales.",I18="X",C18="ikke relevant",S18="X"))),(V18*0.5),0)</f>
        <v>0</v>
      </c>
      <c r="FA18" s="283">
        <f>IF(AND(Stamoplysninger!$B$26="Der er indgået lokalaftale omkring weekendtillæg(Kræver aftale med TR/FSL). Weekendtimerne afspadseres.",I18="X"),K18,0)</f>
        <v>0</v>
      </c>
      <c r="FB18" s="251">
        <f>IF(AND(AND(Stamoplysninger!$B$26="Der er indgået lokalaftale omkring weekendtillæg(Kræver aftale med TR/FSL). Weekendtimerne afspadseres.",I18="X",S18="X")),V18,0)</f>
        <v>0</v>
      </c>
      <c r="FC18" s="674">
        <f>IF(AND(AND(Stamoplysninger!$B$26="Der er indgået lokalaftale omkring weekendtillæg(Kræver aftale med TR/FSL). Weekendtimerne afspadseres..",I18="X",C18="ikke relevant")),K18,0)</f>
        <v>0</v>
      </c>
      <c r="FD18" s="675">
        <f>IF(AND(AND(AND(Stamoplysninger!$B$26="Der er indgået lokalaftale omkring weekendtillæg(Kræver aftale med TR/FSL). Weekendtimerne afspadseres.",I18="X",C18="ikke relevant",S18="X"))),(V18),0)</f>
        <v>0</v>
      </c>
      <c r="FE18" s="283">
        <f>IF(AND(Stamoplysninger!$B$26="Der er indgået lokalaftale omkring weekendtillæg(Kræver aftale med TR/FSL). Weekendtimerne udbetales.",I18="X"),K18,0)</f>
        <v>0</v>
      </c>
      <c r="FF18" s="251">
        <f>IF(AND(AND(Stamoplysninger!$B$26="Der er indgået lokalaftale omkring weekendtillæg(Kræver aftale med TR/FSL). Weekendtimerne udbetales.",I18="X",S18="X")),V18,0)</f>
        <v>0</v>
      </c>
      <c r="FG18" s="674">
        <f>IF(AND(AND(Stamoplysninger!$B$26="Der er indgået lokalaftale omkring weekendtillæg(Kræver aftale med TR/FSL). Weekendtimerne udbetales.",I18="X",C18="ikke relevant")),K18,0)</f>
        <v>0</v>
      </c>
      <c r="FH18" s="675">
        <f>IF(AND(AND(AND(Stamoplysninger!$B$26="Der er indgået lokalaftale omkring weekendtillæg(Kræver aftale med TR/FSL). Weekendtimerne udbetales.",I18="X",C18="ikke relevant",S18="X"))),(V18),0)</f>
        <v>0</v>
      </c>
      <c r="FI18" s="283">
        <f>IF(AND(Stamoplysninger!$B$26="Weekendtimer og weekendtillæg afspadseres.",I18="X"),K18,0)</f>
        <v>0</v>
      </c>
      <c r="FJ18" s="251">
        <f>IF(AND(Stamoplysninger!$B$26="Weekendtimer og weekendtillæg afspadseres.",Y18="X"),(AA18+AL18)/2,0)</f>
        <v>0</v>
      </c>
      <c r="FK18" s="674">
        <f>IF(AND(AND(Stamoplysninger!$B$26="Weekendtimer og weekendtillæg afspadseres.",I18="X",C18="ikke relevant")),K18,0)</f>
        <v>0</v>
      </c>
      <c r="FL18" s="675">
        <f>IF(AND(AND(Stamoplysninger!$B$26="Weekendtimer og weekendtillæg afspadseres.",Y18="X",S18="ikke relevant")),(AA18+AL18)/2,0)</f>
        <v>0</v>
      </c>
      <c r="FM18" s="283">
        <f>IF(AND(Stamoplysninger!$B$26="Der er indgået lokalaftale omkring weekendtillæg(Kræver aftale med TR/FSL). Weekendtimerne afspadseres.",I18="X"),K18,0)</f>
        <v>0</v>
      </c>
      <c r="FN18" s="674">
        <f>IF(AND(AND(Stamoplysninger!$B$26="Der er indgået lokalaftale omkring weekendtillæg(Kræver aftale med TR/FSL). Weekendtimerne afspadseres.",I18="X",C18="ikke relevant")),K18,0)</f>
        <v>0</v>
      </c>
      <c r="FO18" s="283">
        <f>IF(AND(Stamoplysninger!$B$26="Weekendtimer og weekendtillæg udbetales.",I18="X"),K18,0)</f>
        <v>0</v>
      </c>
      <c r="FP18" s="251">
        <f>IF(AND(Stamoplysninger!$B$26="Weekendtimer og weekendtillæg udbetales.",AA18="X"),(AC18+AN18)/2,0)</f>
        <v>0</v>
      </c>
      <c r="FQ18" s="674">
        <f>IF(AND(AND(Stamoplysninger!$B$26="Weekendtimer og weekendtillæg udbetales.",I18="X",C18="ikke relevant")),K18,0)</f>
        <v>0</v>
      </c>
      <c r="FR18" s="688">
        <f>IF(AND(AND(Stamoplysninger!$B$26="Weekendtimer og weekendtillæg udbetales.",AA18="X",U18="ikke relevant")),(AC18+AN18)/2,0)</f>
        <v>0</v>
      </c>
      <c r="FS18" s="283">
        <f t="shared" si="15"/>
        <v>0</v>
      </c>
      <c r="FT18" s="658">
        <f t="shared" si="16"/>
        <v>0</v>
      </c>
      <c r="FU18">
        <f t="shared" si="17"/>
        <v>0</v>
      </c>
      <c r="FV18" s="283">
        <f>IF(AND(Stamoplysninger!$B$26="Der er indgået lokalaftale omkring weekendtimer.(Kræver aftale med TR/FSL) Weekendtillæg afspadseres.",I18="X"),K18,0)</f>
        <v>0</v>
      </c>
      <c r="FW18" s="674">
        <f>IF(AND(AND(Stamoplysninger!$B$26="Der er indgået lokalaftale omkring weekendtimer.(Kræver aftale med TR/FSL) Weekendtillæg afspadseres.",I18="X",C18="ikke relevant")),K18,0)</f>
        <v>0</v>
      </c>
      <c r="FX18" s="283">
        <f>IF(AND(Stamoplysninger!$B$26="Der er indgået lokalaftale omkring weekendtimer(Kræver aftale med TR/FSL). Weekendtillæg udbetales.",I18="X"),K18,0)</f>
        <v>0</v>
      </c>
      <c r="FY18" s="674">
        <f>IF(AND(AND(Stamoplysninger!$B$26="Der er indgået lokalaftale omkring weekendtimer(Kræver aftale med TR/FSL). Weekendtillæg udbetales.",I18="X",C18="ikke relevant")),K18,0)</f>
        <v>0</v>
      </c>
      <c r="FZ18" s="283">
        <f>IF(AND(Stamoplysninger!$B$26="Der er indgået lokalaftale omkring weekendtillæg(Kræver aftale med TR/FSL). Weekendtimerne udbetales.",I18="X"),K18,0)</f>
        <v>0</v>
      </c>
      <c r="GA18" s="674">
        <f>IF(AND(AND(Stamoplysninger!$B$26="Der er indgået lokalaftale omkring weekendtillæg(Kræver aftale med TR/FSL). Weekendtimerne udbetales.",I18="X",C18="ikke relevant")),K18,0)</f>
        <v>0</v>
      </c>
      <c r="GB18" s="283">
        <f>IF(AND(Stamoplysninger!$B$26="Der er indgået lokalaftale omkring weekendtimer og weekendtillæg.(Kræver aftale med TR/FSL).",I18="X"),K18,0)</f>
        <v>0</v>
      </c>
      <c r="GC18" s="674">
        <f>IF(AND(AND(Stamoplysninger!$B$26="Der er indgået lokalaftale omkring weekendtimer og weekendtillæg.(Kræver aftale med TR/FSL).",I18="X",C18="ikke relevant")),K18,0)</f>
        <v>0</v>
      </c>
    </row>
    <row r="19" spans="1:185">
      <c r="A19" s="245">
        <f t="shared" si="18"/>
        <v>11</v>
      </c>
      <c r="B19" s="128" t="str">
        <f t="shared" si="0"/>
        <v>fr</v>
      </c>
      <c r="C19" s="129" t="s">
        <v>210</v>
      </c>
      <c r="D19" s="130" t="str">
        <f t="shared" si="1"/>
        <v/>
      </c>
      <c r="E19" s="917" t="s">
        <v>113</v>
      </c>
      <c r="F19" s="918"/>
      <c r="G19" s="919"/>
      <c r="H19" s="298"/>
      <c r="I19" s="527"/>
      <c r="J19" s="413"/>
      <c r="K19" s="380"/>
      <c r="L19" s="380"/>
      <c r="M19" s="380"/>
      <c r="N19" s="318">
        <f t="shared" si="19"/>
        <v>0</v>
      </c>
      <c r="O19" s="318">
        <f t="shared" si="20"/>
        <v>0</v>
      </c>
      <c r="P19" s="318">
        <f>IF(Stamoplysninger!$H$29="JA",Juli!DG19,CX19)</f>
        <v>0</v>
      </c>
      <c r="Q19" s="318">
        <f t="shared" si="21"/>
        <v>0</v>
      </c>
      <c r="R19" s="319"/>
      <c r="S19" s="324"/>
      <c r="T19" s="325"/>
      <c r="U19" s="325"/>
      <c r="V19" s="435"/>
      <c r="W19" s="412"/>
      <c r="X19" s="642"/>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9">
        <f t="shared" si="8"/>
        <v>0</v>
      </c>
      <c r="BC19" s="1">
        <f t="shared" si="24"/>
        <v>0</v>
      </c>
      <c r="BD19" s="1">
        <f t="shared" si="9"/>
        <v>0</v>
      </c>
      <c r="BE19" s="1">
        <f t="shared" si="10"/>
        <v>0</v>
      </c>
      <c r="BF19" s="1">
        <f t="shared" si="11"/>
        <v>0</v>
      </c>
      <c r="BG19" s="210" t="str">
        <f>IF(AND(C19="Skema 1",B19="ma"),Skemaoplysninger!$E$30,"")</f>
        <v/>
      </c>
      <c r="BH19" s="210" t="str">
        <f>IF(AND(C19="Skema 1",B19="ti"),Skemaoplysninger!$G$30,"")</f>
        <v/>
      </c>
      <c r="BI19" s="210" t="str">
        <f>IF(AND(C19="Skema 1",B19="on"),Skemaoplysninger!$I$30,"")</f>
        <v/>
      </c>
      <c r="BJ19" s="210" t="str">
        <f>IF(AND(C19="Skema 1",B19="to"),Skemaoplysninger!$K$30,"")</f>
        <v/>
      </c>
      <c r="BK19" s="210" t="str">
        <f>IF(AND(C19="Skema 1",B19="fr"),Skemaoplysninger!$M$30,"")</f>
        <v/>
      </c>
      <c r="BL19" s="210" t="str">
        <f>IF(AND(C19="Skema 2",B19="ma"),Skemaoplysninger!$S$30,"")</f>
        <v/>
      </c>
      <c r="BM19" s="210" t="str">
        <f>IF(AND(C19="Skema 2",B19="ti"),Skemaoplysninger!$U$30,"")</f>
        <v/>
      </c>
      <c r="BN19" s="210" t="str">
        <f>IF(AND(C19="Skema 2",B19="on"),Skemaoplysninger!$W$30,"")</f>
        <v/>
      </c>
      <c r="BO19" s="210" t="str">
        <f>IF(AND(C19="Skema 2",B19="to"),Skemaoplysninger!$Y$30,"")</f>
        <v/>
      </c>
      <c r="BP19" s="210" t="str">
        <f>IF(AND(C19="Skema 2",B19="fr"),Skemaoplysninger!$AA$30,"")</f>
        <v/>
      </c>
      <c r="BQ19" s="210" t="str">
        <f>IF(AND(C19="Skema 3",B19="ma"),Skemaoplysninger!$AG$30,"")</f>
        <v/>
      </c>
      <c r="BR19" s="210" t="str">
        <f>IF(AND(C19="Skema 3",B19="ti"),Skemaoplysninger!$AI$30,"")</f>
        <v/>
      </c>
      <c r="BS19" s="210" t="str">
        <f>IF(AND(C19="Skema 3",B19="on"),Skemaoplysninger!$AK$30,"")</f>
        <v/>
      </c>
      <c r="BT19" s="210" t="str">
        <f>IF(AND(C19="Skema 3",B19="to"),Skemaoplysninger!$AM$30,"")</f>
        <v/>
      </c>
      <c r="BU19" s="210" t="str">
        <f>IF(AND(C19="Skema 3",B19="fr"),Skemaoplysninger!$AO$30,"")</f>
        <v/>
      </c>
      <c r="BV19" s="210" t="str">
        <f>IF(AND(C19="Skema 4",B19="ma"),Skemaoplysninger!$AU$30,"")</f>
        <v/>
      </c>
      <c r="BW19" s="210" t="str">
        <f>IF(AND(C19="Skema 4",B19="ti"),Skemaoplysninger!$AW$30,"")</f>
        <v/>
      </c>
      <c r="BX19" s="210" t="str">
        <f>IF(AND(C19="Skema 4",B19="on"),Skemaoplysninger!$AY$30,"")</f>
        <v/>
      </c>
      <c r="BY19" s="210" t="str">
        <f>IF(AND(C19="Skema 4",B19="to"),Skemaoplysninger!$BA$30,"")</f>
        <v/>
      </c>
      <c r="BZ19" s="210" t="str">
        <f>IF(AND(C19="Skema 4",B19="fr"),Skemaoplysninger!$BC$30,"")</f>
        <v/>
      </c>
      <c r="CA19" s="1">
        <f t="shared" si="25"/>
        <v>0</v>
      </c>
      <c r="CB19" s="1">
        <f t="shared" si="12"/>
        <v>0</v>
      </c>
      <c r="CC19" s="1">
        <f t="shared" si="13"/>
        <v>0</v>
      </c>
      <c r="CD19" s="210" t="str">
        <f>IF(AND(C19="Skema 1",B19="ma"),Skemaoplysninger!$E$31,"")</f>
        <v/>
      </c>
      <c r="CE19" s="210" t="str">
        <f>IF(AND(C19="Skema 1",B19="ti"),Skemaoplysninger!$G$31,"")</f>
        <v/>
      </c>
      <c r="CF19" s="210" t="str">
        <f>IF(AND(C19="Skema 1",B19="on"),Skemaoplysninger!$I$31,"")</f>
        <v/>
      </c>
      <c r="CG19" s="210" t="str">
        <f>IF(AND(C19="Skema 1",B19="to"),Skemaoplysninger!$K$31,"")</f>
        <v/>
      </c>
      <c r="CH19" s="210" t="str">
        <f>IF(AND(C19="Skema 1",B19="fr"),Skemaoplysninger!$M$31,"")</f>
        <v/>
      </c>
      <c r="CI19" s="210" t="str">
        <f>IF(AND(C19="Skema 2",B19="ma"),Skemaoplysninger!$S$31,"")</f>
        <v/>
      </c>
      <c r="CJ19" s="210" t="str">
        <f>IF(AND(C19="Skema 2",B19="ti"),Skemaoplysninger!$U$31,"")</f>
        <v/>
      </c>
      <c r="CK19" s="210" t="str">
        <f>IF(AND(C19="Skema 2",B19="on"),Skemaoplysninger!$W$31,"")</f>
        <v/>
      </c>
      <c r="CL19" s="210" t="str">
        <f>IF(AND(C19="Skema 2",B19="to"),Skemaoplysninger!$Y$31,"")</f>
        <v/>
      </c>
      <c r="CM19" s="210" t="str">
        <f>IF(AND(C19="Skema 2",B19="fr"),Skemaoplysninger!$AA$31,"")</f>
        <v/>
      </c>
      <c r="CN19" s="210" t="str">
        <f>IF(AND(C19="Skema 3",B19="ma"),Skemaoplysninger!$AG$31,"")</f>
        <v/>
      </c>
      <c r="CO19" s="210" t="str">
        <f>IF(AND(C19="Skema 3",B19="ti"),Skemaoplysninger!$AI$31,"")</f>
        <v/>
      </c>
      <c r="CP19" s="210" t="str">
        <f>IF(AND(C19="Skema 3",B19="on"),Skemaoplysninger!$AK$31,"")</f>
        <v/>
      </c>
      <c r="CQ19" s="210" t="str">
        <f>IF(AND(C19="Skema 3",B19="to"),Skemaoplysninger!$AM$31,"")</f>
        <v/>
      </c>
      <c r="CR19" s="210" t="str">
        <f>IF(AND(C19="Skema 3",B19="fr"),Skemaoplysninger!$AO$31,"")</f>
        <v/>
      </c>
      <c r="CS19" s="210" t="str">
        <f>IF(AND(C19="Skema 4",B19="ma"),Skemaoplysninger!$AU$31,"")</f>
        <v/>
      </c>
      <c r="CT19" s="210" t="str">
        <f>IF(AND(C19="Skema 4",B19="ti"),Skemaoplysninger!$AW$31,"")</f>
        <v/>
      </c>
      <c r="CU19" s="210" t="str">
        <f>IF(AND(C19="Skema 4",B19="on"),Skemaoplysninger!$AY$31,"")</f>
        <v/>
      </c>
      <c r="CV19" s="210" t="str">
        <f>IF(AND(C19="Skema 4",B19="to"),Skemaoplysninger!$BA$31,"")</f>
        <v/>
      </c>
      <c r="CW19" s="210" t="str">
        <f>IF(AND(C19="Skema 4",B19="fr"),Skemaoplysninger!$BC$31,"")</f>
        <v/>
      </c>
      <c r="CX19" s="249">
        <f>IF(Stamoplysninger!$H$29="NEJ",SUM(CD19:CW19)*24+CB19+CC19,0)</f>
        <v>0</v>
      </c>
      <c r="CY19" s="249">
        <f>IF(C19="Skema 1",Stamoplysninger!$H$30/200,0)</f>
        <v>0</v>
      </c>
      <c r="CZ19" s="249">
        <f>IF(C19="Skema 2",Stamoplysninger!$H$30/200,0)</f>
        <v>0</v>
      </c>
      <c r="DA19" s="249">
        <f>IF(C19="Skema 3",Stamoplysninger!$H$30/200,0)</f>
        <v>0</v>
      </c>
      <c r="DB19" s="249">
        <f>IF(C19="Skema 4",Stamoplysninger!$H$30/200,0)</f>
        <v>0</v>
      </c>
      <c r="DC19" s="249">
        <f>IF(C19="fagdag",Stamoplysninger!$H$30/200,0)</f>
        <v>0</v>
      </c>
      <c r="DD19" s="249">
        <f>IF(C19="emnedag",Stamoplysninger!$H$30/200,0)</f>
        <v>0</v>
      </c>
      <c r="DE19" s="249">
        <f>IF(C19="lejrskole",Stamoplysninger!$H$30/200,0)</f>
        <v>0</v>
      </c>
      <c r="DF19" s="249">
        <f>IF(C19="ekskursion",Stamoplysninger!$H$30/200,0)</f>
        <v>0</v>
      </c>
      <c r="DG19" s="249">
        <f t="shared" si="26"/>
        <v>0</v>
      </c>
      <c r="DH19" t="str">
        <f t="shared" si="27"/>
        <v/>
      </c>
      <c r="DI19" t="str">
        <f t="shared" si="28"/>
        <v>Sommerferie</v>
      </c>
      <c r="DJ19" t="str">
        <f t="shared" si="29"/>
        <v/>
      </c>
      <c r="DK19" t="str">
        <f t="shared" si="14"/>
        <v/>
      </c>
      <c r="DL19" t="str">
        <f t="shared" si="14"/>
        <v>Sommerferie</v>
      </c>
      <c r="DM19" t="str">
        <f t="shared" si="14"/>
        <v/>
      </c>
      <c r="DN19" t="str">
        <f t="shared" si="30"/>
        <v>Sommerferie</v>
      </c>
      <c r="DO19" s="652">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71">
        <f>IF(AND(Stamoplysninger!$B$22="Ulempetillæg udbetales med 25% af nettotimelønnen.",C19="ikke relevant"),(R19)/4,0)</f>
        <v>0</v>
      </c>
      <c r="DT19" s="671">
        <f>IF(AND(AND(Stamoplysninger!$B$22="Ulempetillæg udbetales med 25% af nettotimelønnen.",I19="X",C19="Ikke relevant")),K19/4,0)</f>
        <v>0</v>
      </c>
      <c r="DU19" s="671">
        <f>IF(AND(AND(Stamoplysninger!$B$22="Ulempetillæg udbetales med 25% af nettotimelønnen.",C19="ikke relevant",U19="X")),(X19/4),0)</f>
        <v>0</v>
      </c>
      <c r="DV19" s="672">
        <f>IF(AND(AND(AND(Stamoplysninger!$B$22="Ulempetillæg udbetales med 25% af nettotimelønnen.",I19="X",C19="Ikke relevant",S19="X"))),V19/4,0)</f>
        <v>0</v>
      </c>
      <c r="DW19" s="652"/>
      <c r="DZ19" s="671"/>
      <c r="EA19" s="671"/>
      <c r="EB19" s="672"/>
      <c r="EC19" s="652">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71">
        <f>IF(AND(Stamoplysninger!$B$22="Ulempetillæg afspadseres med 25%(Kræver en aftale imellem ledelsen og den ansatte)",C19="ikke relevant"),(R19)/4,0)</f>
        <v>0</v>
      </c>
      <c r="EH19" s="671">
        <f>IF(AND(AND(Stamoplysninger!$B$22="Ulempetillæg afspadseres med 25%(Kræver en aftale imellem ledelsen og den ansatte)",I19="X",C19="Ikke relevant")),K19/4,0)</f>
        <v>0</v>
      </c>
      <c r="EI19" s="671">
        <f>IF(AND(AND(Stamoplysninger!$B$22="Ulempetillæg afspadseres med 25%(Kræver en aftale imellem ledelsen og den ansatte)",U19="X",C19="Ikke relevant")),X19/4,0)</f>
        <v>0</v>
      </c>
      <c r="EJ19" s="671">
        <f>IF(AND(AND(AND(Stamoplysninger!$B$22="Ulempetillæg afspadseres med 25%(Kræver en aftale imellem ledelsen og den ansatte)",I19="X",C19="Ikke relevant",S19="X"))),V19/4,0)</f>
        <v>0</v>
      </c>
      <c r="EK19" s="283">
        <f>IF(AND(Stamoplysninger!$B$26="Weekendtimer og weekendtillæg afspadseres.",I19="X"),K19*1.5,0)</f>
        <v>0</v>
      </c>
      <c r="EL19" s="251">
        <f>IF(AND(AND(Stamoplysninger!$B$26="Weekendtimer og weekendtillæg afspadseres.",I19="X",S19="X")),V19*1.5,0)</f>
        <v>0</v>
      </c>
      <c r="EM19" s="674">
        <f>IF(AND(AND(Stamoplysninger!$B$26="Weekendtimer og weekendtillæg afspadseres.",I19="X",C19="ikke relevant")),K19*1.5,0)</f>
        <v>0</v>
      </c>
      <c r="EN19" s="675">
        <f>IF(AND(AND(AND(Stamoplysninger!$B$26="Weekendtimer og weekendtillæg afspadseres.",I19="X",C19="ikke relevant",S19="X"))),(V19*1.5),0)</f>
        <v>0</v>
      </c>
      <c r="EO19" s="283">
        <f>IF(AND(Stamoplysninger!$B$26="Weekendtimer og weekendtillæg udbetales.",I19="X"),K19*1.5,0)</f>
        <v>0</v>
      </c>
      <c r="EP19" s="251">
        <f>IF(AND(AND(Stamoplysninger!$B$26="Weekendtimer og weekendtillæg udbetales.",I19="X",S19="X")),V19*1.5,0)</f>
        <v>0</v>
      </c>
      <c r="EQ19" s="674">
        <f>IF(AND(AND(Stamoplysninger!$B$26="Weekendtimer og weekendtillæg udbetales.",I19="X",C19="ikke relevant")),K19*1.5,0)</f>
        <v>0</v>
      </c>
      <c r="ER19" s="675">
        <f>IF(AND(AND(AND(Stamoplysninger!$B$26="Weekendtimer og weekendtillæg udbetales.",I19="X",C19="ikke relevant",S19="X"))),(V19*1.5),0)</f>
        <v>0</v>
      </c>
      <c r="ES19" s="283">
        <f>IF(AND(Stamoplysninger!$B$26="Der er indgået lokalaftale omkring weekendtimer.(Kræver aftale med TR/FSL) Weekendtillæg afspadseres.",I19="X"),K19*0.5,0)</f>
        <v>0</v>
      </c>
      <c r="ET19" s="251">
        <f>IF(AND(AND(Stamoplysninger!$B$26="Der er indgået lokalaftale omkring weekendtimer.(Kræver aftale med TR/FSL) Weekendtillæg afspadseres.",I19="X",S19="X")),V19*0.5,0)</f>
        <v>0</v>
      </c>
      <c r="EU19" s="674">
        <f>IF(AND(AND(Stamoplysninger!$B$26="Der er indgået lokalaftale omkring weekendtimer.(Kræver aftale med TR/FSL) Weekendtillæg afspadseres.",I19="X",C19="ikke relevant")),K19*0.5,0)</f>
        <v>0</v>
      </c>
      <c r="EV19" s="675">
        <f>IF(AND(AND(AND(Stamoplysninger!$B$26="Der er indgået lokalaftale omkring weekendtimer.(Kræver aftale med TR/FSL) Weekendtillæg afspadseres.",I19="X",C19="ikke relevant",S19="X"))),(V19*0.5),0)</f>
        <v>0</v>
      </c>
      <c r="EW19" s="283">
        <f>IF(AND(Stamoplysninger!$B$26="Der er indgået lokalaftale omkring weekendtimer(Kræver aftale med TR/FSL). Weekendtillæg udbetales.",I19="X"),K19*0.5,0)</f>
        <v>0</v>
      </c>
      <c r="EX19" s="251">
        <f>IF(AND(AND(Stamoplysninger!$B$26="Der er indgået lokalaftale omkring weekendtimer(Kræver aftale med TR/FSL). Weekendtillæg udbetales.",I19="X",S19="X")),V19*0.5,0)</f>
        <v>0</v>
      </c>
      <c r="EY19" s="674">
        <f>IF(AND(AND(Stamoplysninger!$B$26="Der er indgået lokalaftale omkring weekendtimer(Kræver aftale med TR/FSL). Weekendtillæg udbetales.",I19="X",C19="ikke relevant")),K19*0.5,0)</f>
        <v>0</v>
      </c>
      <c r="EZ19" s="675">
        <f>IF(AND(AND(AND(Stamoplysninger!$B$26="Der er indgået lokalaftale omkring weekendtimer(Kræver aftale med TR/FSL). Weekendtillæg udbetales.",I19="X",C19="ikke relevant",S19="X"))),(V19*0.5),0)</f>
        <v>0</v>
      </c>
      <c r="FA19" s="283">
        <f>IF(AND(Stamoplysninger!$B$26="Der er indgået lokalaftale omkring weekendtillæg(Kræver aftale med TR/FSL). Weekendtimerne afspadseres.",I19="X"),K19,0)</f>
        <v>0</v>
      </c>
      <c r="FB19" s="251">
        <f>IF(AND(AND(Stamoplysninger!$B$26="Der er indgået lokalaftale omkring weekendtillæg(Kræver aftale med TR/FSL). Weekendtimerne afspadseres.",I19="X",S19="X")),V19,0)</f>
        <v>0</v>
      </c>
      <c r="FC19" s="674">
        <f>IF(AND(AND(Stamoplysninger!$B$26="Der er indgået lokalaftale omkring weekendtillæg(Kræver aftale med TR/FSL). Weekendtimerne afspadseres..",I19="X",C19="ikke relevant")),K19,0)</f>
        <v>0</v>
      </c>
      <c r="FD19" s="675">
        <f>IF(AND(AND(AND(Stamoplysninger!$B$26="Der er indgået lokalaftale omkring weekendtillæg(Kræver aftale med TR/FSL). Weekendtimerne afspadseres.",I19="X",C19="ikke relevant",S19="X"))),(V19),0)</f>
        <v>0</v>
      </c>
      <c r="FE19" s="283">
        <f>IF(AND(Stamoplysninger!$B$26="Der er indgået lokalaftale omkring weekendtillæg(Kræver aftale med TR/FSL). Weekendtimerne udbetales.",I19="X"),K19,0)</f>
        <v>0</v>
      </c>
      <c r="FF19" s="251">
        <f>IF(AND(AND(Stamoplysninger!$B$26="Der er indgået lokalaftale omkring weekendtillæg(Kræver aftale med TR/FSL). Weekendtimerne udbetales.",I19="X",S19="X")),V19,0)</f>
        <v>0</v>
      </c>
      <c r="FG19" s="674">
        <f>IF(AND(AND(Stamoplysninger!$B$26="Der er indgået lokalaftale omkring weekendtillæg(Kræver aftale med TR/FSL). Weekendtimerne udbetales.",I19="X",C19="ikke relevant")),K19,0)</f>
        <v>0</v>
      </c>
      <c r="FH19" s="675">
        <f>IF(AND(AND(AND(Stamoplysninger!$B$26="Der er indgået lokalaftale omkring weekendtillæg(Kræver aftale med TR/FSL). Weekendtimerne udbetales.",I19="X",C19="ikke relevant",S19="X"))),(V19),0)</f>
        <v>0</v>
      </c>
      <c r="FI19" s="283">
        <f>IF(AND(Stamoplysninger!$B$26="Weekendtimer og weekendtillæg afspadseres.",I19="X"),K19,0)</f>
        <v>0</v>
      </c>
      <c r="FJ19" s="251">
        <f>IF(AND(Stamoplysninger!$B$26="Weekendtimer og weekendtillæg afspadseres.",Y19="X"),(AA19+AL19)/2,0)</f>
        <v>0</v>
      </c>
      <c r="FK19" s="674">
        <f>IF(AND(AND(Stamoplysninger!$B$26="Weekendtimer og weekendtillæg afspadseres.",I19="X",C19="ikke relevant")),K19,0)</f>
        <v>0</v>
      </c>
      <c r="FL19" s="675">
        <f>IF(AND(AND(Stamoplysninger!$B$26="Weekendtimer og weekendtillæg afspadseres.",Y19="X",S19="ikke relevant")),(AA19+AL19)/2,0)</f>
        <v>0</v>
      </c>
      <c r="FM19" s="283">
        <f>IF(AND(Stamoplysninger!$B$26="Der er indgået lokalaftale omkring weekendtillæg(Kræver aftale med TR/FSL). Weekendtimerne afspadseres.",I19="X"),K19,0)</f>
        <v>0</v>
      </c>
      <c r="FN19" s="674">
        <f>IF(AND(AND(Stamoplysninger!$B$26="Der er indgået lokalaftale omkring weekendtillæg(Kræver aftale med TR/FSL). Weekendtimerne afspadseres.",I19="X",C19="ikke relevant")),K19,0)</f>
        <v>0</v>
      </c>
      <c r="FO19" s="283">
        <f>IF(AND(Stamoplysninger!$B$26="Weekendtimer og weekendtillæg udbetales.",I19="X"),K19,0)</f>
        <v>0</v>
      </c>
      <c r="FP19" s="251">
        <f>IF(AND(Stamoplysninger!$B$26="Weekendtimer og weekendtillæg udbetales.",AA19="X"),(AC19+AN19)/2,0)</f>
        <v>0</v>
      </c>
      <c r="FQ19" s="674">
        <f>IF(AND(AND(Stamoplysninger!$B$26="Weekendtimer og weekendtillæg udbetales.",I19="X",C19="ikke relevant")),K19,0)</f>
        <v>0</v>
      </c>
      <c r="FR19" s="688">
        <f>IF(AND(AND(Stamoplysninger!$B$26="Weekendtimer og weekendtillæg udbetales.",AA19="X",U19="ikke relevant")),(AC19+AN19)/2,0)</f>
        <v>0</v>
      </c>
      <c r="FS19" s="283">
        <f t="shared" si="15"/>
        <v>0</v>
      </c>
      <c r="FT19" s="658">
        <f t="shared" si="16"/>
        <v>0</v>
      </c>
      <c r="FU19">
        <f t="shared" si="17"/>
        <v>0</v>
      </c>
      <c r="FV19" s="283">
        <f>IF(AND(Stamoplysninger!$B$26="Der er indgået lokalaftale omkring weekendtimer.(Kræver aftale med TR/FSL) Weekendtillæg afspadseres.",I19="X"),K19,0)</f>
        <v>0</v>
      </c>
      <c r="FW19" s="674">
        <f>IF(AND(AND(Stamoplysninger!$B$26="Der er indgået lokalaftale omkring weekendtimer.(Kræver aftale med TR/FSL) Weekendtillæg afspadseres.",I19="X",C19="ikke relevant")),K19,0)</f>
        <v>0</v>
      </c>
      <c r="FX19" s="283">
        <f>IF(AND(Stamoplysninger!$B$26="Der er indgået lokalaftale omkring weekendtimer(Kræver aftale med TR/FSL). Weekendtillæg udbetales.",I19="X"),K19,0)</f>
        <v>0</v>
      </c>
      <c r="FY19" s="674">
        <f>IF(AND(AND(Stamoplysninger!$B$26="Der er indgået lokalaftale omkring weekendtimer(Kræver aftale med TR/FSL). Weekendtillæg udbetales.",I19="X",C19="ikke relevant")),K19,0)</f>
        <v>0</v>
      </c>
      <c r="FZ19" s="283">
        <f>IF(AND(Stamoplysninger!$B$26="Der er indgået lokalaftale omkring weekendtillæg(Kræver aftale med TR/FSL). Weekendtimerne udbetales.",I19="X"),K19,0)</f>
        <v>0</v>
      </c>
      <c r="GA19" s="674">
        <f>IF(AND(AND(Stamoplysninger!$B$26="Der er indgået lokalaftale omkring weekendtillæg(Kræver aftale med TR/FSL). Weekendtimerne udbetales.",I19="X",C19="ikke relevant")),K19,0)</f>
        <v>0</v>
      </c>
      <c r="GB19" s="283">
        <f>IF(AND(Stamoplysninger!$B$26="Der er indgået lokalaftale omkring weekendtimer og weekendtillæg.(Kræver aftale med TR/FSL).",I19="X"),K19,0)</f>
        <v>0</v>
      </c>
      <c r="GC19" s="674">
        <f>IF(AND(AND(Stamoplysninger!$B$26="Der er indgået lokalaftale omkring weekendtimer og weekendtillæg.(Kræver aftale med TR/FSL).",I19="X",C19="ikke relevant")),K19,0)</f>
        <v>0</v>
      </c>
    </row>
    <row r="20" spans="1:185">
      <c r="A20" s="245">
        <f>IF(ISNUMBER(A19),A19+1,1)</f>
        <v>12</v>
      </c>
      <c r="B20" s="128" t="str">
        <f t="shared" si="0"/>
        <v>lø</v>
      </c>
      <c r="C20" s="129" t="s">
        <v>120</v>
      </c>
      <c r="D20" s="130" t="str">
        <f t="shared" si="1"/>
        <v/>
      </c>
      <c r="E20" s="917"/>
      <c r="F20" s="918"/>
      <c r="G20" s="919"/>
      <c r="H20" s="298"/>
      <c r="I20" s="413"/>
      <c r="J20" s="413"/>
      <c r="K20" s="380"/>
      <c r="L20" s="380"/>
      <c r="M20" s="380"/>
      <c r="N20" s="318">
        <f t="shared" si="19"/>
        <v>0</v>
      </c>
      <c r="O20" s="318">
        <f t="shared" si="20"/>
        <v>0</v>
      </c>
      <c r="P20" s="318">
        <f>IF(Stamoplysninger!$H$29="JA",Juli!DG20,CX20)</f>
        <v>0</v>
      </c>
      <c r="Q20" s="318">
        <f t="shared" si="21"/>
        <v>0</v>
      </c>
      <c r="R20" s="319"/>
      <c r="S20" s="324"/>
      <c r="T20" s="325"/>
      <c r="U20" s="325"/>
      <c r="V20" s="435"/>
      <c r="W20" s="412"/>
      <c r="X20" s="642"/>
      <c r="Y20">
        <f t="shared" si="22"/>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9">
        <f t="shared" si="8"/>
        <v>0</v>
      </c>
      <c r="BC20" s="1">
        <f t="shared" si="24"/>
        <v>0</v>
      </c>
      <c r="BD20" s="1">
        <f t="shared" si="9"/>
        <v>0</v>
      </c>
      <c r="BE20" s="1">
        <f t="shared" si="10"/>
        <v>0</v>
      </c>
      <c r="BF20" s="1">
        <f t="shared" si="11"/>
        <v>0</v>
      </c>
      <c r="BG20" s="210" t="str">
        <f>IF(AND(C20="Skema 1",B20="ma"),Skemaoplysninger!$E$30,"")</f>
        <v/>
      </c>
      <c r="BH20" s="210" t="str">
        <f>IF(AND(C20="Skema 1",B20="ti"),Skemaoplysninger!$G$30,"")</f>
        <v/>
      </c>
      <c r="BI20" s="210" t="str">
        <f>IF(AND(C20="Skema 1",B20="on"),Skemaoplysninger!$I$30,"")</f>
        <v/>
      </c>
      <c r="BJ20" s="210" t="str">
        <f>IF(AND(C20="Skema 1",B20="to"),Skemaoplysninger!$K$30,"")</f>
        <v/>
      </c>
      <c r="BK20" s="210" t="str">
        <f>IF(AND(C20="Skema 1",B20="fr"),Skemaoplysninger!$M$30,"")</f>
        <v/>
      </c>
      <c r="BL20" s="210" t="str">
        <f>IF(AND(C20="Skema 2",B20="ma"),Skemaoplysninger!$S$30,"")</f>
        <v/>
      </c>
      <c r="BM20" s="210" t="str">
        <f>IF(AND(C20="Skema 2",B20="ti"),Skemaoplysninger!$U$30,"")</f>
        <v/>
      </c>
      <c r="BN20" s="210" t="str">
        <f>IF(AND(C20="Skema 2",B20="on"),Skemaoplysninger!$W$30,"")</f>
        <v/>
      </c>
      <c r="BO20" s="210" t="str">
        <f>IF(AND(C20="Skema 2",B20="to"),Skemaoplysninger!$Y$30,"")</f>
        <v/>
      </c>
      <c r="BP20" s="210" t="str">
        <f>IF(AND(C20="Skema 2",B20="fr"),Skemaoplysninger!$AA$30,"")</f>
        <v/>
      </c>
      <c r="BQ20" s="210" t="str">
        <f>IF(AND(C20="Skema 3",B20="ma"),Skemaoplysninger!$AG$30,"")</f>
        <v/>
      </c>
      <c r="BR20" s="210" t="str">
        <f>IF(AND(C20="Skema 3",B20="ti"),Skemaoplysninger!$AI$30,"")</f>
        <v/>
      </c>
      <c r="BS20" s="210" t="str">
        <f>IF(AND(C20="Skema 3",B20="on"),Skemaoplysninger!$AK$30,"")</f>
        <v/>
      </c>
      <c r="BT20" s="210" t="str">
        <f>IF(AND(C20="Skema 3",B20="to"),Skemaoplysninger!$AM$30,"")</f>
        <v/>
      </c>
      <c r="BU20" s="210" t="str">
        <f>IF(AND(C20="Skema 3",B20="fr"),Skemaoplysninger!$AO$30,"")</f>
        <v/>
      </c>
      <c r="BV20" s="210" t="str">
        <f>IF(AND(C20="Skema 4",B20="ma"),Skemaoplysninger!$AU$30,"")</f>
        <v/>
      </c>
      <c r="BW20" s="210" t="str">
        <f>IF(AND(C20="Skema 4",B20="ti"),Skemaoplysninger!$AW$30,"")</f>
        <v/>
      </c>
      <c r="BX20" s="210" t="str">
        <f>IF(AND(C20="Skema 4",B20="on"),Skemaoplysninger!$AY$30,"")</f>
        <v/>
      </c>
      <c r="BY20" s="210" t="str">
        <f>IF(AND(C20="Skema 4",B20="to"),Skemaoplysninger!$BA$30,"")</f>
        <v/>
      </c>
      <c r="BZ20" s="210" t="str">
        <f>IF(AND(C20="Skema 4",B20="fr"),Skemaoplysninger!$BC$30,"")</f>
        <v/>
      </c>
      <c r="CA20" s="1">
        <f t="shared" si="25"/>
        <v>0</v>
      </c>
      <c r="CB20" s="1">
        <f t="shared" si="12"/>
        <v>0</v>
      </c>
      <c r="CC20" s="1">
        <f t="shared" si="13"/>
        <v>0</v>
      </c>
      <c r="CD20" s="210" t="str">
        <f>IF(AND(C20="Skema 1",B20="ma"),Skemaoplysninger!$E$31,"")</f>
        <v/>
      </c>
      <c r="CE20" s="210" t="str">
        <f>IF(AND(C20="Skema 1",B20="ti"),Skemaoplysninger!$G$31,"")</f>
        <v/>
      </c>
      <c r="CF20" s="210" t="str">
        <f>IF(AND(C20="Skema 1",B20="on"),Skemaoplysninger!$I$31,"")</f>
        <v/>
      </c>
      <c r="CG20" s="210" t="str">
        <f>IF(AND(C20="Skema 1",B20="to"),Skemaoplysninger!$K$31,"")</f>
        <v/>
      </c>
      <c r="CH20" s="210" t="str">
        <f>IF(AND(C20="Skema 1",B20="fr"),Skemaoplysninger!$M$31,"")</f>
        <v/>
      </c>
      <c r="CI20" s="210" t="str">
        <f>IF(AND(C20="Skema 2",B20="ma"),Skemaoplysninger!$S$31,"")</f>
        <v/>
      </c>
      <c r="CJ20" s="210" t="str">
        <f>IF(AND(C20="Skema 2",B20="ti"),Skemaoplysninger!$U$31,"")</f>
        <v/>
      </c>
      <c r="CK20" s="210" t="str">
        <f>IF(AND(C20="Skema 2",B20="on"),Skemaoplysninger!$W$31,"")</f>
        <v/>
      </c>
      <c r="CL20" s="210" t="str">
        <f>IF(AND(C20="Skema 2",B20="to"),Skemaoplysninger!$Y$31,"")</f>
        <v/>
      </c>
      <c r="CM20" s="210" t="str">
        <f>IF(AND(C20="Skema 2",B20="fr"),Skemaoplysninger!$AA$31,"")</f>
        <v/>
      </c>
      <c r="CN20" s="210" t="str">
        <f>IF(AND(C20="Skema 3",B20="ma"),Skemaoplysninger!$AG$31,"")</f>
        <v/>
      </c>
      <c r="CO20" s="210" t="str">
        <f>IF(AND(C20="Skema 3",B20="ti"),Skemaoplysninger!$AI$31,"")</f>
        <v/>
      </c>
      <c r="CP20" s="210" t="str">
        <f>IF(AND(C20="Skema 3",B20="on"),Skemaoplysninger!$AK$31,"")</f>
        <v/>
      </c>
      <c r="CQ20" s="210" t="str">
        <f>IF(AND(C20="Skema 3",B20="to"),Skemaoplysninger!$AM$31,"")</f>
        <v/>
      </c>
      <c r="CR20" s="210" t="str">
        <f>IF(AND(C20="Skema 3",B20="fr"),Skemaoplysninger!$AO$31,"")</f>
        <v/>
      </c>
      <c r="CS20" s="210" t="str">
        <f>IF(AND(C20="Skema 4",B20="ma"),Skemaoplysninger!$AU$31,"")</f>
        <v/>
      </c>
      <c r="CT20" s="210" t="str">
        <f>IF(AND(C20="Skema 4",B20="ti"),Skemaoplysninger!$AW$31,"")</f>
        <v/>
      </c>
      <c r="CU20" s="210" t="str">
        <f>IF(AND(C20="Skema 4",B20="on"),Skemaoplysninger!$AY$31,"")</f>
        <v/>
      </c>
      <c r="CV20" s="210" t="str">
        <f>IF(AND(C20="Skema 4",B20="to"),Skemaoplysninger!$BA$31,"")</f>
        <v/>
      </c>
      <c r="CW20" s="210" t="str">
        <f>IF(AND(C20="Skema 4",B20="fr"),Skemaoplysninger!$BC$31,"")</f>
        <v/>
      </c>
      <c r="CX20" s="249">
        <f>IF(Stamoplysninger!$H$29="NEJ",SUM(CD20:CW20)*24+CB20+CC20,0)</f>
        <v>0</v>
      </c>
      <c r="CY20" s="249">
        <f>IF(C20="Skema 1",Stamoplysninger!$H$30/200,0)</f>
        <v>0</v>
      </c>
      <c r="CZ20" s="249">
        <f>IF(C20="Skema 2",Stamoplysninger!$H$30/200,0)</f>
        <v>0</v>
      </c>
      <c r="DA20" s="249">
        <f>IF(C20="Skema 3",Stamoplysninger!$H$30/200,0)</f>
        <v>0</v>
      </c>
      <c r="DB20" s="249">
        <f>IF(C20="Skema 4",Stamoplysninger!$H$30/200,0)</f>
        <v>0</v>
      </c>
      <c r="DC20" s="249">
        <f>IF(C20="fagdag",Stamoplysninger!$H$30/200,0)</f>
        <v>0</v>
      </c>
      <c r="DD20" s="249">
        <f>IF(C20="emnedag",Stamoplysninger!$H$30/200,0)</f>
        <v>0</v>
      </c>
      <c r="DE20" s="249">
        <f>IF(C20="lejrskole",Stamoplysninger!$H$30/200,0)</f>
        <v>0</v>
      </c>
      <c r="DF20" s="249">
        <f>IF(C20="ekskursion",Stamoplysninger!$H$30/200,0)</f>
        <v>0</v>
      </c>
      <c r="DG20" s="249">
        <f t="shared" si="26"/>
        <v>0</v>
      </c>
      <c r="DH20" t="str">
        <f t="shared" si="27"/>
        <v/>
      </c>
      <c r="DI20">
        <f t="shared" si="28"/>
        <v>0</v>
      </c>
      <c r="DJ20">
        <f t="shared" si="29"/>
        <v>0</v>
      </c>
      <c r="DK20" t="str">
        <f t="shared" si="14"/>
        <v/>
      </c>
      <c r="DL20" t="str">
        <f t="shared" si="14"/>
        <v/>
      </c>
      <c r="DM20" t="str">
        <f t="shared" si="14"/>
        <v/>
      </c>
      <c r="DN20" t="str">
        <f t="shared" si="30"/>
        <v/>
      </c>
      <c r="DO20" s="652">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71">
        <f>IF(AND(Stamoplysninger!$B$22="Ulempetillæg udbetales med 25% af nettotimelønnen.",C20="ikke relevant"),(R20)/4,0)</f>
        <v>0</v>
      </c>
      <c r="DT20" s="671">
        <f>IF(AND(AND(Stamoplysninger!$B$22="Ulempetillæg udbetales med 25% af nettotimelønnen.",I20="X",C20="Ikke relevant")),K20/4,0)</f>
        <v>0</v>
      </c>
      <c r="DU20" s="671">
        <f>IF(AND(AND(Stamoplysninger!$B$22="Ulempetillæg udbetales med 25% af nettotimelønnen.",C20="ikke relevant",U20="X")),(X20/4),0)</f>
        <v>0</v>
      </c>
      <c r="DV20" s="672">
        <f>IF(AND(AND(AND(Stamoplysninger!$B$22="Ulempetillæg udbetales med 25% af nettotimelønnen.",I20="X",C20="Ikke relevant",S20="X"))),V20/4,0)</f>
        <v>0</v>
      </c>
      <c r="DW20" s="652"/>
      <c r="DZ20" s="671"/>
      <c r="EA20" s="671"/>
      <c r="EB20" s="672"/>
      <c r="EC20" s="652">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71">
        <f>IF(AND(Stamoplysninger!$B$22="Ulempetillæg afspadseres med 25%(Kræver en aftale imellem ledelsen og den ansatte)",C20="ikke relevant"),(R20)/4,0)</f>
        <v>0</v>
      </c>
      <c r="EH20" s="671">
        <f>IF(AND(AND(Stamoplysninger!$B$22="Ulempetillæg afspadseres med 25%(Kræver en aftale imellem ledelsen og den ansatte)",I20="X",C20="Ikke relevant")),K20/4,0)</f>
        <v>0</v>
      </c>
      <c r="EI20" s="671">
        <f>IF(AND(AND(Stamoplysninger!$B$22="Ulempetillæg afspadseres med 25%(Kræver en aftale imellem ledelsen og den ansatte)",U20="X",C20="Ikke relevant")),X20/4,0)</f>
        <v>0</v>
      </c>
      <c r="EJ20" s="671">
        <f>IF(AND(AND(AND(Stamoplysninger!$B$22="Ulempetillæg afspadseres med 25%(Kræver en aftale imellem ledelsen og den ansatte)",I20="X",C20="Ikke relevant",S20="X"))),V20/4,0)</f>
        <v>0</v>
      </c>
      <c r="EK20" s="283">
        <f>IF(AND(Stamoplysninger!$B$26="Weekendtimer og weekendtillæg afspadseres.",I20="X"),K20*1.5,0)</f>
        <v>0</v>
      </c>
      <c r="EL20" s="251">
        <f>IF(AND(AND(Stamoplysninger!$B$26="Weekendtimer og weekendtillæg afspadseres.",I20="X",S20="X")),V20*1.5,0)</f>
        <v>0</v>
      </c>
      <c r="EM20" s="674">
        <f>IF(AND(AND(Stamoplysninger!$B$26="Weekendtimer og weekendtillæg afspadseres.",I20="X",C20="ikke relevant")),K20*1.5,0)</f>
        <v>0</v>
      </c>
      <c r="EN20" s="675">
        <f>IF(AND(AND(AND(Stamoplysninger!$B$26="Weekendtimer og weekendtillæg afspadseres.",I20="X",C20="ikke relevant",S20="X"))),(V20*1.5),0)</f>
        <v>0</v>
      </c>
      <c r="EO20" s="283">
        <f>IF(AND(Stamoplysninger!$B$26="Weekendtimer og weekendtillæg udbetales.",I20="X"),K20*1.5,0)</f>
        <v>0</v>
      </c>
      <c r="EP20" s="251">
        <f>IF(AND(AND(Stamoplysninger!$B$26="Weekendtimer og weekendtillæg udbetales.",I20="X",S20="X")),V20*1.5,0)</f>
        <v>0</v>
      </c>
      <c r="EQ20" s="674">
        <f>IF(AND(AND(Stamoplysninger!$B$26="Weekendtimer og weekendtillæg udbetales.",I20="X",C20="ikke relevant")),K20*1.5,0)</f>
        <v>0</v>
      </c>
      <c r="ER20" s="675">
        <f>IF(AND(AND(AND(Stamoplysninger!$B$26="Weekendtimer og weekendtillæg udbetales.",I20="X",C20="ikke relevant",S20="X"))),(V20*1.5),0)</f>
        <v>0</v>
      </c>
      <c r="ES20" s="283">
        <f>IF(AND(Stamoplysninger!$B$26="Der er indgået lokalaftale omkring weekendtimer.(Kræver aftale med TR/FSL) Weekendtillæg afspadseres.",I20="X"),K20*0.5,0)</f>
        <v>0</v>
      </c>
      <c r="ET20" s="251">
        <f>IF(AND(AND(Stamoplysninger!$B$26="Der er indgået lokalaftale omkring weekendtimer.(Kræver aftale med TR/FSL) Weekendtillæg afspadseres.",I20="X",S20="X")),V20*0.5,0)</f>
        <v>0</v>
      </c>
      <c r="EU20" s="674">
        <f>IF(AND(AND(Stamoplysninger!$B$26="Der er indgået lokalaftale omkring weekendtimer.(Kræver aftale med TR/FSL) Weekendtillæg afspadseres.",I20="X",C20="ikke relevant")),K20*0.5,0)</f>
        <v>0</v>
      </c>
      <c r="EV20" s="675">
        <f>IF(AND(AND(AND(Stamoplysninger!$B$26="Der er indgået lokalaftale omkring weekendtimer.(Kræver aftale med TR/FSL) Weekendtillæg afspadseres.",I20="X",C20="ikke relevant",S20="X"))),(V20*0.5),0)</f>
        <v>0</v>
      </c>
      <c r="EW20" s="283">
        <f>IF(AND(Stamoplysninger!$B$26="Der er indgået lokalaftale omkring weekendtimer(Kræver aftale med TR/FSL). Weekendtillæg udbetales.",I20="X"),K20*0.5,0)</f>
        <v>0</v>
      </c>
      <c r="EX20" s="251">
        <f>IF(AND(AND(Stamoplysninger!$B$26="Der er indgået lokalaftale omkring weekendtimer(Kræver aftale med TR/FSL). Weekendtillæg udbetales.",I20="X",S20="X")),V20*0.5,0)</f>
        <v>0</v>
      </c>
      <c r="EY20" s="674">
        <f>IF(AND(AND(Stamoplysninger!$B$26="Der er indgået lokalaftale omkring weekendtimer(Kræver aftale med TR/FSL). Weekendtillæg udbetales.",I20="X",C20="ikke relevant")),K20*0.5,0)</f>
        <v>0</v>
      </c>
      <c r="EZ20" s="675">
        <f>IF(AND(AND(AND(Stamoplysninger!$B$26="Der er indgået lokalaftale omkring weekendtimer(Kræver aftale med TR/FSL). Weekendtillæg udbetales.",I20="X",C20="ikke relevant",S20="X"))),(V20*0.5),0)</f>
        <v>0</v>
      </c>
      <c r="FA20" s="283">
        <f>IF(AND(Stamoplysninger!$B$26="Der er indgået lokalaftale omkring weekendtillæg(Kræver aftale med TR/FSL). Weekendtimerne afspadseres.",I20="X"),K20,0)</f>
        <v>0</v>
      </c>
      <c r="FB20" s="251">
        <f>IF(AND(AND(Stamoplysninger!$B$26="Der er indgået lokalaftale omkring weekendtillæg(Kræver aftale med TR/FSL). Weekendtimerne afspadseres.",I20="X",S20="X")),V20,0)</f>
        <v>0</v>
      </c>
      <c r="FC20" s="674">
        <f>IF(AND(AND(Stamoplysninger!$B$26="Der er indgået lokalaftale omkring weekendtillæg(Kræver aftale med TR/FSL). Weekendtimerne afspadseres..",I20="X",C20="ikke relevant")),K20,0)</f>
        <v>0</v>
      </c>
      <c r="FD20" s="675">
        <f>IF(AND(AND(AND(Stamoplysninger!$B$26="Der er indgået lokalaftale omkring weekendtillæg(Kræver aftale med TR/FSL). Weekendtimerne afspadseres.",I20="X",C20="ikke relevant",S20="X"))),(V20),0)</f>
        <v>0</v>
      </c>
      <c r="FE20" s="283">
        <f>IF(AND(Stamoplysninger!$B$26="Der er indgået lokalaftale omkring weekendtillæg(Kræver aftale med TR/FSL). Weekendtimerne udbetales.",I20="X"),K20,0)</f>
        <v>0</v>
      </c>
      <c r="FF20" s="251">
        <f>IF(AND(AND(Stamoplysninger!$B$26="Der er indgået lokalaftale omkring weekendtillæg(Kræver aftale med TR/FSL). Weekendtimerne udbetales.",I20="X",S20="X")),V20,0)</f>
        <v>0</v>
      </c>
      <c r="FG20" s="674">
        <f>IF(AND(AND(Stamoplysninger!$B$26="Der er indgået lokalaftale omkring weekendtillæg(Kræver aftale med TR/FSL). Weekendtimerne udbetales.",I20="X",C20="ikke relevant")),K20,0)</f>
        <v>0</v>
      </c>
      <c r="FH20" s="675">
        <f>IF(AND(AND(AND(Stamoplysninger!$B$26="Der er indgået lokalaftale omkring weekendtillæg(Kræver aftale med TR/FSL). Weekendtimerne udbetales.",I20="X",C20="ikke relevant",S20="X"))),(V20),0)</f>
        <v>0</v>
      </c>
      <c r="FI20" s="283">
        <f>IF(AND(Stamoplysninger!$B$26="Weekendtimer og weekendtillæg afspadseres.",I20="X"),K20,0)</f>
        <v>0</v>
      </c>
      <c r="FJ20" s="251">
        <f>IF(AND(Stamoplysninger!$B$26="Weekendtimer og weekendtillæg afspadseres.",Y20="X"),(AA20+AL20)/2,0)</f>
        <v>0</v>
      </c>
      <c r="FK20" s="674">
        <f>IF(AND(AND(Stamoplysninger!$B$26="Weekendtimer og weekendtillæg afspadseres.",I20="X",C20="ikke relevant")),K20,0)</f>
        <v>0</v>
      </c>
      <c r="FL20" s="675">
        <f>IF(AND(AND(Stamoplysninger!$B$26="Weekendtimer og weekendtillæg afspadseres.",Y20="X",S20="ikke relevant")),(AA20+AL20)/2,0)</f>
        <v>0</v>
      </c>
      <c r="FM20" s="283">
        <f>IF(AND(Stamoplysninger!$B$26="Der er indgået lokalaftale omkring weekendtillæg(Kræver aftale med TR/FSL). Weekendtimerne afspadseres.",I20="X"),K20,0)</f>
        <v>0</v>
      </c>
      <c r="FN20" s="674">
        <f>IF(AND(AND(Stamoplysninger!$B$26="Der er indgået lokalaftale omkring weekendtillæg(Kræver aftale med TR/FSL). Weekendtimerne afspadseres.",I20="X",C20="ikke relevant")),K20,0)</f>
        <v>0</v>
      </c>
      <c r="FO20" s="283">
        <f>IF(AND(Stamoplysninger!$B$26="Weekendtimer og weekendtillæg udbetales.",I20="X"),K20,0)</f>
        <v>0</v>
      </c>
      <c r="FP20" s="251">
        <f>IF(AND(Stamoplysninger!$B$26="Weekendtimer og weekendtillæg udbetales.",AA20="X"),(AC20+AN20)/2,0)</f>
        <v>0</v>
      </c>
      <c r="FQ20" s="674">
        <f>IF(AND(AND(Stamoplysninger!$B$26="Weekendtimer og weekendtillæg udbetales.",I20="X",C20="ikke relevant")),K20,0)</f>
        <v>0</v>
      </c>
      <c r="FR20" s="688">
        <f>IF(AND(AND(Stamoplysninger!$B$26="Weekendtimer og weekendtillæg udbetales.",AA20="X",U20="ikke relevant")),(AC20+AN20)/2,0)</f>
        <v>0</v>
      </c>
      <c r="FS20" s="283">
        <f t="shared" si="15"/>
        <v>0</v>
      </c>
      <c r="FT20" s="658">
        <f t="shared" si="16"/>
        <v>0</v>
      </c>
      <c r="FU20">
        <f t="shared" si="17"/>
        <v>0</v>
      </c>
      <c r="FV20" s="283">
        <f>IF(AND(Stamoplysninger!$B$26="Der er indgået lokalaftale omkring weekendtimer.(Kræver aftale med TR/FSL) Weekendtillæg afspadseres.",I20="X"),K20,0)</f>
        <v>0</v>
      </c>
      <c r="FW20" s="674">
        <f>IF(AND(AND(Stamoplysninger!$B$26="Der er indgået lokalaftale omkring weekendtimer.(Kræver aftale med TR/FSL) Weekendtillæg afspadseres.",I20="X",C20="ikke relevant")),K20,0)</f>
        <v>0</v>
      </c>
      <c r="FX20" s="283">
        <f>IF(AND(Stamoplysninger!$B$26="Der er indgået lokalaftale omkring weekendtimer(Kræver aftale med TR/FSL). Weekendtillæg udbetales.",I20="X"),K20,0)</f>
        <v>0</v>
      </c>
      <c r="FY20" s="674">
        <f>IF(AND(AND(Stamoplysninger!$B$26="Der er indgået lokalaftale omkring weekendtimer(Kræver aftale med TR/FSL). Weekendtillæg udbetales.",I20="X",C20="ikke relevant")),K20,0)</f>
        <v>0</v>
      </c>
      <c r="FZ20" s="283">
        <f>IF(AND(Stamoplysninger!$B$26="Der er indgået lokalaftale omkring weekendtillæg(Kræver aftale med TR/FSL). Weekendtimerne udbetales.",I20="X"),K20,0)</f>
        <v>0</v>
      </c>
      <c r="GA20" s="674">
        <f>IF(AND(AND(Stamoplysninger!$B$26="Der er indgået lokalaftale omkring weekendtillæg(Kræver aftale med TR/FSL). Weekendtimerne udbetales.",I20="X",C20="ikke relevant")),K20,0)</f>
        <v>0</v>
      </c>
      <c r="GB20" s="283">
        <f>IF(AND(Stamoplysninger!$B$26="Der er indgået lokalaftale omkring weekendtimer og weekendtillæg.(Kræver aftale med TR/FSL).",I20="X"),K20,0)</f>
        <v>0</v>
      </c>
      <c r="GC20" s="674">
        <f>IF(AND(AND(Stamoplysninger!$B$26="Der er indgået lokalaftale omkring weekendtimer og weekendtillæg.(Kræver aftale med TR/FSL).",I20="X",C20="ikke relevant")),K20,0)</f>
        <v>0</v>
      </c>
    </row>
    <row r="21" spans="1:185">
      <c r="A21" s="245">
        <f>IF(ISNUMBER(A20),A20+1,1)</f>
        <v>13</v>
      </c>
      <c r="B21" s="128" t="str">
        <f t="shared" si="0"/>
        <v>sø</v>
      </c>
      <c r="C21" s="129" t="s">
        <v>120</v>
      </c>
      <c r="D21" s="130" t="str">
        <f t="shared" si="1"/>
        <v/>
      </c>
      <c r="E21" s="917"/>
      <c r="F21" s="918"/>
      <c r="G21" s="919"/>
      <c r="H21" s="297"/>
      <c r="I21" s="413"/>
      <c r="J21" s="413"/>
      <c r="K21" s="380"/>
      <c r="L21" s="380"/>
      <c r="M21" s="380"/>
      <c r="N21" s="318">
        <f t="shared" si="19"/>
        <v>0</v>
      </c>
      <c r="O21" s="318">
        <f t="shared" si="20"/>
        <v>0</v>
      </c>
      <c r="P21" s="318">
        <f>IF(Stamoplysninger!$H$29="JA",Juli!DG21,CX21)</f>
        <v>0</v>
      </c>
      <c r="Q21" s="318">
        <f t="shared" si="21"/>
        <v>0</v>
      </c>
      <c r="R21" s="319"/>
      <c r="S21" s="324"/>
      <c r="T21" s="325"/>
      <c r="U21" s="325"/>
      <c r="V21" s="435"/>
      <c r="W21" s="412"/>
      <c r="X21" s="642"/>
      <c r="Y21">
        <f t="shared" si="22"/>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9">
        <f t="shared" si="8"/>
        <v>0</v>
      </c>
      <c r="BC21" s="1">
        <f t="shared" si="24"/>
        <v>0</v>
      </c>
      <c r="BD21" s="1">
        <f t="shared" si="9"/>
        <v>0</v>
      </c>
      <c r="BE21" s="1">
        <f t="shared" si="10"/>
        <v>0</v>
      </c>
      <c r="BF21" s="1">
        <f t="shared" si="11"/>
        <v>0</v>
      </c>
      <c r="BG21" s="210" t="str">
        <f>IF(AND(C21="Skema 1",B21="ma"),Skemaoplysninger!$E$30,"")</f>
        <v/>
      </c>
      <c r="BH21" s="210" t="str">
        <f>IF(AND(C21="Skema 1",B21="ti"),Skemaoplysninger!$G$30,"")</f>
        <v/>
      </c>
      <c r="BI21" s="210" t="str">
        <f>IF(AND(C21="Skema 1",B21="on"),Skemaoplysninger!$I$30,"")</f>
        <v/>
      </c>
      <c r="BJ21" s="210" t="str">
        <f>IF(AND(C21="Skema 1",B21="to"),Skemaoplysninger!$K$30,"")</f>
        <v/>
      </c>
      <c r="BK21" s="210" t="str">
        <f>IF(AND(C21="Skema 1",B21="fr"),Skemaoplysninger!$M$30,"")</f>
        <v/>
      </c>
      <c r="BL21" s="210" t="str">
        <f>IF(AND(C21="Skema 2",B21="ma"),Skemaoplysninger!$S$30,"")</f>
        <v/>
      </c>
      <c r="BM21" s="210" t="str">
        <f>IF(AND(C21="Skema 2",B21="ti"),Skemaoplysninger!$U$30,"")</f>
        <v/>
      </c>
      <c r="BN21" s="210" t="str">
        <f>IF(AND(C21="Skema 2",B21="on"),Skemaoplysninger!$W$30,"")</f>
        <v/>
      </c>
      <c r="BO21" s="210" t="str">
        <f>IF(AND(C21="Skema 2",B21="to"),Skemaoplysninger!$Y$30,"")</f>
        <v/>
      </c>
      <c r="BP21" s="210" t="str">
        <f>IF(AND(C21="Skema 2",B21="fr"),Skemaoplysninger!$AA$30,"")</f>
        <v/>
      </c>
      <c r="BQ21" s="210" t="str">
        <f>IF(AND(C21="Skema 3",B21="ma"),Skemaoplysninger!$AG$30,"")</f>
        <v/>
      </c>
      <c r="BR21" s="210" t="str">
        <f>IF(AND(C21="Skema 3",B21="ti"),Skemaoplysninger!$AI$30,"")</f>
        <v/>
      </c>
      <c r="BS21" s="210" t="str">
        <f>IF(AND(C21="Skema 3",B21="on"),Skemaoplysninger!$AK$30,"")</f>
        <v/>
      </c>
      <c r="BT21" s="210" t="str">
        <f>IF(AND(C21="Skema 3",B21="to"),Skemaoplysninger!$AM$30,"")</f>
        <v/>
      </c>
      <c r="BU21" s="210" t="str">
        <f>IF(AND(C21="Skema 3",B21="fr"),Skemaoplysninger!$AO$30,"")</f>
        <v/>
      </c>
      <c r="BV21" s="210" t="str">
        <f>IF(AND(C21="Skema 4",B21="ma"),Skemaoplysninger!$AU$30,"")</f>
        <v/>
      </c>
      <c r="BW21" s="210" t="str">
        <f>IF(AND(C21="Skema 4",B21="ti"),Skemaoplysninger!$AW$30,"")</f>
        <v/>
      </c>
      <c r="BX21" s="210" t="str">
        <f>IF(AND(C21="Skema 4",B21="on"),Skemaoplysninger!$AY$30,"")</f>
        <v/>
      </c>
      <c r="BY21" s="210" t="str">
        <f>IF(AND(C21="Skema 4",B21="to"),Skemaoplysninger!$BA$30,"")</f>
        <v/>
      </c>
      <c r="BZ21" s="210" t="str">
        <f>IF(AND(C21="Skema 4",B21="fr"),Skemaoplysninger!$BC$30,"")</f>
        <v/>
      </c>
      <c r="CA21" s="1">
        <f t="shared" si="25"/>
        <v>0</v>
      </c>
      <c r="CB21" s="1">
        <f t="shared" si="12"/>
        <v>0</v>
      </c>
      <c r="CC21" s="1">
        <f t="shared" si="13"/>
        <v>0</v>
      </c>
      <c r="CD21" s="210" t="str">
        <f>IF(AND(C21="Skema 1",B21="ma"),Skemaoplysninger!$E$31,"")</f>
        <v/>
      </c>
      <c r="CE21" s="210" t="str">
        <f>IF(AND(C21="Skema 1",B21="ti"),Skemaoplysninger!$G$31,"")</f>
        <v/>
      </c>
      <c r="CF21" s="210" t="str">
        <f>IF(AND(C21="Skema 1",B21="on"),Skemaoplysninger!$I$31,"")</f>
        <v/>
      </c>
      <c r="CG21" s="210" t="str">
        <f>IF(AND(C21="Skema 1",B21="to"),Skemaoplysninger!$K$31,"")</f>
        <v/>
      </c>
      <c r="CH21" s="210" t="str">
        <f>IF(AND(C21="Skema 1",B21="fr"),Skemaoplysninger!$M$31,"")</f>
        <v/>
      </c>
      <c r="CI21" s="210" t="str">
        <f>IF(AND(C21="Skema 2",B21="ma"),Skemaoplysninger!$S$31,"")</f>
        <v/>
      </c>
      <c r="CJ21" s="210" t="str">
        <f>IF(AND(C21="Skema 2",B21="ti"),Skemaoplysninger!$U$31,"")</f>
        <v/>
      </c>
      <c r="CK21" s="210" t="str">
        <f>IF(AND(C21="Skema 2",B21="on"),Skemaoplysninger!$W$31,"")</f>
        <v/>
      </c>
      <c r="CL21" s="210" t="str">
        <f>IF(AND(C21="Skema 2",B21="to"),Skemaoplysninger!$Y$31,"")</f>
        <v/>
      </c>
      <c r="CM21" s="210" t="str">
        <f>IF(AND(C21="Skema 2",B21="fr"),Skemaoplysninger!$AA$31,"")</f>
        <v/>
      </c>
      <c r="CN21" s="210" t="str">
        <f>IF(AND(C21="Skema 3",B21="ma"),Skemaoplysninger!$AG$31,"")</f>
        <v/>
      </c>
      <c r="CO21" s="210" t="str">
        <f>IF(AND(C21="Skema 3",B21="ti"),Skemaoplysninger!$AI$31,"")</f>
        <v/>
      </c>
      <c r="CP21" s="210" t="str">
        <f>IF(AND(C21="Skema 3",B21="on"),Skemaoplysninger!$AK$31,"")</f>
        <v/>
      </c>
      <c r="CQ21" s="210" t="str">
        <f>IF(AND(C21="Skema 3",B21="to"),Skemaoplysninger!$AM$31,"")</f>
        <v/>
      </c>
      <c r="CR21" s="210" t="str">
        <f>IF(AND(C21="Skema 3",B21="fr"),Skemaoplysninger!$AO$31,"")</f>
        <v/>
      </c>
      <c r="CS21" s="210" t="str">
        <f>IF(AND(C21="Skema 4",B21="ma"),Skemaoplysninger!$AU$31,"")</f>
        <v/>
      </c>
      <c r="CT21" s="210" t="str">
        <f>IF(AND(C21="Skema 4",B21="ti"),Skemaoplysninger!$AW$31,"")</f>
        <v/>
      </c>
      <c r="CU21" s="210" t="str">
        <f>IF(AND(C21="Skema 4",B21="on"),Skemaoplysninger!$AY$31,"")</f>
        <v/>
      </c>
      <c r="CV21" s="210" t="str">
        <f>IF(AND(C21="Skema 4",B21="to"),Skemaoplysninger!$BA$31,"")</f>
        <v/>
      </c>
      <c r="CW21" s="210" t="str">
        <f>IF(AND(C21="Skema 4",B21="fr"),Skemaoplysninger!$BC$31,"")</f>
        <v/>
      </c>
      <c r="CX21" s="249">
        <f>IF(Stamoplysninger!$H$29="NEJ",SUM(CD21:CW21)*24+CB21+CC21,0)</f>
        <v>0</v>
      </c>
      <c r="CY21" s="249">
        <f>IF(C21="Skema 1",Stamoplysninger!$H$30/200,0)</f>
        <v>0</v>
      </c>
      <c r="CZ21" s="249">
        <f>IF(C21="Skema 2",Stamoplysninger!$H$30/200,0)</f>
        <v>0</v>
      </c>
      <c r="DA21" s="249">
        <f>IF(C21="Skema 3",Stamoplysninger!$H$30/200,0)</f>
        <v>0</v>
      </c>
      <c r="DB21" s="249">
        <f>IF(C21="Skema 4",Stamoplysninger!$H$30/200,0)</f>
        <v>0</v>
      </c>
      <c r="DC21" s="249">
        <f>IF(C21="fagdag",Stamoplysninger!$H$30/200,0)</f>
        <v>0</v>
      </c>
      <c r="DD21" s="249">
        <f>IF(C21="emnedag",Stamoplysninger!$H$30/200,0)</f>
        <v>0</v>
      </c>
      <c r="DE21" s="249">
        <f>IF(C21="lejrskole",Stamoplysninger!$H$30/200,0)</f>
        <v>0</v>
      </c>
      <c r="DF21" s="249">
        <f>IF(C21="ekskursion",Stamoplysninger!$H$30/200,0)</f>
        <v>0</v>
      </c>
      <c r="DG21" s="249">
        <f t="shared" si="26"/>
        <v>0</v>
      </c>
      <c r="DH21" t="str">
        <f t="shared" si="27"/>
        <v/>
      </c>
      <c r="DI21">
        <f t="shared" si="28"/>
        <v>0</v>
      </c>
      <c r="DJ21">
        <f t="shared" si="29"/>
        <v>0</v>
      </c>
      <c r="DK21" t="str">
        <f t="shared" si="14"/>
        <v/>
      </c>
      <c r="DL21" t="str">
        <f t="shared" si="14"/>
        <v/>
      </c>
      <c r="DM21" t="str">
        <f t="shared" si="14"/>
        <v/>
      </c>
      <c r="DN21" t="str">
        <f t="shared" si="30"/>
        <v/>
      </c>
      <c r="DO21" s="652">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71">
        <f>IF(AND(Stamoplysninger!$B$22="Ulempetillæg udbetales med 25% af nettotimelønnen.",C21="ikke relevant"),(R21)/4,0)</f>
        <v>0</v>
      </c>
      <c r="DT21" s="671">
        <f>IF(AND(AND(Stamoplysninger!$B$22="Ulempetillæg udbetales med 25% af nettotimelønnen.",I21="X",C21="Ikke relevant")),K21/4,0)</f>
        <v>0</v>
      </c>
      <c r="DU21" s="671">
        <f>IF(AND(AND(Stamoplysninger!$B$22="Ulempetillæg udbetales med 25% af nettotimelønnen.",C21="ikke relevant",U21="X")),(X21/4),0)</f>
        <v>0</v>
      </c>
      <c r="DV21" s="672">
        <f>IF(AND(AND(AND(Stamoplysninger!$B$22="Ulempetillæg udbetales med 25% af nettotimelønnen.",I21="X",C21="Ikke relevant",S21="X"))),V21/4,0)</f>
        <v>0</v>
      </c>
      <c r="DW21" s="652"/>
      <c r="DZ21" s="671"/>
      <c r="EA21" s="671"/>
      <c r="EB21" s="672"/>
      <c r="EC21" s="652">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71">
        <f>IF(AND(Stamoplysninger!$B$22="Ulempetillæg afspadseres med 25%(Kræver en aftale imellem ledelsen og den ansatte)",C21="ikke relevant"),(R21)/4,0)</f>
        <v>0</v>
      </c>
      <c r="EH21" s="671">
        <f>IF(AND(AND(Stamoplysninger!$B$22="Ulempetillæg afspadseres med 25%(Kræver en aftale imellem ledelsen og den ansatte)",I21="X",C21="Ikke relevant")),K21/4,0)</f>
        <v>0</v>
      </c>
      <c r="EI21" s="671">
        <f>IF(AND(AND(Stamoplysninger!$B$22="Ulempetillæg afspadseres med 25%(Kræver en aftale imellem ledelsen og den ansatte)",U21="X",C21="Ikke relevant")),X21/4,0)</f>
        <v>0</v>
      </c>
      <c r="EJ21" s="671">
        <f>IF(AND(AND(AND(Stamoplysninger!$B$22="Ulempetillæg afspadseres med 25%(Kræver en aftale imellem ledelsen og den ansatte)",I21="X",C21="Ikke relevant",S21="X"))),V21/4,0)</f>
        <v>0</v>
      </c>
      <c r="EK21" s="283">
        <f>IF(AND(Stamoplysninger!$B$26="Weekendtimer og weekendtillæg afspadseres.",I21="X"),K21*1.5,0)</f>
        <v>0</v>
      </c>
      <c r="EL21" s="251">
        <f>IF(AND(AND(Stamoplysninger!$B$26="Weekendtimer og weekendtillæg afspadseres.",I21="X",S21="X")),V21*1.5,0)</f>
        <v>0</v>
      </c>
      <c r="EM21" s="674">
        <f>IF(AND(AND(Stamoplysninger!$B$26="Weekendtimer og weekendtillæg afspadseres.",I21="X",C21="ikke relevant")),K21*1.5,0)</f>
        <v>0</v>
      </c>
      <c r="EN21" s="675">
        <f>IF(AND(AND(AND(Stamoplysninger!$B$26="Weekendtimer og weekendtillæg afspadseres.",I21="X",C21="ikke relevant",S21="X"))),(V21*1.5),0)</f>
        <v>0</v>
      </c>
      <c r="EO21" s="283">
        <f>IF(AND(Stamoplysninger!$B$26="Weekendtimer og weekendtillæg udbetales.",I21="X"),K21*1.5,0)</f>
        <v>0</v>
      </c>
      <c r="EP21" s="251">
        <f>IF(AND(AND(Stamoplysninger!$B$26="Weekendtimer og weekendtillæg udbetales.",I21="X",S21="X")),V21*1.5,0)</f>
        <v>0</v>
      </c>
      <c r="EQ21" s="674">
        <f>IF(AND(AND(Stamoplysninger!$B$26="Weekendtimer og weekendtillæg udbetales.",I21="X",C21="ikke relevant")),K21*1.5,0)</f>
        <v>0</v>
      </c>
      <c r="ER21" s="675">
        <f>IF(AND(AND(AND(Stamoplysninger!$B$26="Weekendtimer og weekendtillæg udbetales.",I21="X",C21="ikke relevant",S21="X"))),(V21*1.5),0)</f>
        <v>0</v>
      </c>
      <c r="ES21" s="283">
        <f>IF(AND(Stamoplysninger!$B$26="Der er indgået lokalaftale omkring weekendtimer.(Kræver aftale med TR/FSL) Weekendtillæg afspadseres.",I21="X"),K21*0.5,0)</f>
        <v>0</v>
      </c>
      <c r="ET21" s="251">
        <f>IF(AND(AND(Stamoplysninger!$B$26="Der er indgået lokalaftale omkring weekendtimer.(Kræver aftale med TR/FSL) Weekendtillæg afspadseres.",I21="X",S21="X")),V21*0.5,0)</f>
        <v>0</v>
      </c>
      <c r="EU21" s="674">
        <f>IF(AND(AND(Stamoplysninger!$B$26="Der er indgået lokalaftale omkring weekendtimer.(Kræver aftale med TR/FSL) Weekendtillæg afspadseres.",I21="X",C21="ikke relevant")),K21*0.5,0)</f>
        <v>0</v>
      </c>
      <c r="EV21" s="675">
        <f>IF(AND(AND(AND(Stamoplysninger!$B$26="Der er indgået lokalaftale omkring weekendtimer.(Kræver aftale med TR/FSL) Weekendtillæg afspadseres.",I21="X",C21="ikke relevant",S21="X"))),(V21*0.5),0)</f>
        <v>0</v>
      </c>
      <c r="EW21" s="283">
        <f>IF(AND(Stamoplysninger!$B$26="Der er indgået lokalaftale omkring weekendtimer(Kræver aftale med TR/FSL). Weekendtillæg udbetales.",I21="X"),K21*0.5,0)</f>
        <v>0</v>
      </c>
      <c r="EX21" s="251">
        <f>IF(AND(AND(Stamoplysninger!$B$26="Der er indgået lokalaftale omkring weekendtimer(Kræver aftale med TR/FSL). Weekendtillæg udbetales.",I21="X",S21="X")),V21*0.5,0)</f>
        <v>0</v>
      </c>
      <c r="EY21" s="674">
        <f>IF(AND(AND(Stamoplysninger!$B$26="Der er indgået lokalaftale omkring weekendtimer(Kræver aftale med TR/FSL). Weekendtillæg udbetales.",I21="X",C21="ikke relevant")),K21*0.5,0)</f>
        <v>0</v>
      </c>
      <c r="EZ21" s="675">
        <f>IF(AND(AND(AND(Stamoplysninger!$B$26="Der er indgået lokalaftale omkring weekendtimer(Kræver aftale med TR/FSL). Weekendtillæg udbetales.",I21="X",C21="ikke relevant",S21="X"))),(V21*0.5),0)</f>
        <v>0</v>
      </c>
      <c r="FA21" s="283">
        <f>IF(AND(Stamoplysninger!$B$26="Der er indgået lokalaftale omkring weekendtillæg(Kræver aftale med TR/FSL). Weekendtimerne afspadseres.",I21="X"),K21,0)</f>
        <v>0</v>
      </c>
      <c r="FB21" s="251">
        <f>IF(AND(AND(Stamoplysninger!$B$26="Der er indgået lokalaftale omkring weekendtillæg(Kræver aftale med TR/FSL). Weekendtimerne afspadseres.",I21="X",S21="X")),V21,0)</f>
        <v>0</v>
      </c>
      <c r="FC21" s="674">
        <f>IF(AND(AND(Stamoplysninger!$B$26="Der er indgået lokalaftale omkring weekendtillæg(Kræver aftale med TR/FSL). Weekendtimerne afspadseres..",I21="X",C21="ikke relevant")),K21,0)</f>
        <v>0</v>
      </c>
      <c r="FD21" s="675">
        <f>IF(AND(AND(AND(Stamoplysninger!$B$26="Der er indgået lokalaftale omkring weekendtillæg(Kræver aftale med TR/FSL). Weekendtimerne afspadseres.",I21="X",C21="ikke relevant",S21="X"))),(V21),0)</f>
        <v>0</v>
      </c>
      <c r="FE21" s="283">
        <f>IF(AND(Stamoplysninger!$B$26="Der er indgået lokalaftale omkring weekendtillæg(Kræver aftale med TR/FSL). Weekendtimerne udbetales.",I21="X"),K21,0)</f>
        <v>0</v>
      </c>
      <c r="FF21" s="251">
        <f>IF(AND(AND(Stamoplysninger!$B$26="Der er indgået lokalaftale omkring weekendtillæg(Kræver aftale med TR/FSL). Weekendtimerne udbetales.",I21="X",S21="X")),V21,0)</f>
        <v>0</v>
      </c>
      <c r="FG21" s="674">
        <f>IF(AND(AND(Stamoplysninger!$B$26="Der er indgået lokalaftale omkring weekendtillæg(Kræver aftale med TR/FSL). Weekendtimerne udbetales.",I21="X",C21="ikke relevant")),K21,0)</f>
        <v>0</v>
      </c>
      <c r="FH21" s="675">
        <f>IF(AND(AND(AND(Stamoplysninger!$B$26="Der er indgået lokalaftale omkring weekendtillæg(Kræver aftale med TR/FSL). Weekendtimerne udbetales.",I21="X",C21="ikke relevant",S21="X"))),(V21),0)</f>
        <v>0</v>
      </c>
      <c r="FI21" s="283">
        <f>IF(AND(Stamoplysninger!$B$26="Weekendtimer og weekendtillæg afspadseres.",I21="X"),K21,0)</f>
        <v>0</v>
      </c>
      <c r="FJ21" s="251">
        <f>IF(AND(Stamoplysninger!$B$26="Weekendtimer og weekendtillæg afspadseres.",Y21="X"),(AA21+AL21)/2,0)</f>
        <v>0</v>
      </c>
      <c r="FK21" s="674">
        <f>IF(AND(AND(Stamoplysninger!$B$26="Weekendtimer og weekendtillæg afspadseres.",I21="X",C21="ikke relevant")),K21,0)</f>
        <v>0</v>
      </c>
      <c r="FL21" s="675">
        <f>IF(AND(AND(Stamoplysninger!$B$26="Weekendtimer og weekendtillæg afspadseres.",Y21="X",S21="ikke relevant")),(AA21+AL21)/2,0)</f>
        <v>0</v>
      </c>
      <c r="FM21" s="283">
        <f>IF(AND(Stamoplysninger!$B$26="Der er indgået lokalaftale omkring weekendtillæg(Kræver aftale med TR/FSL). Weekendtimerne afspadseres.",I21="X"),K21,0)</f>
        <v>0</v>
      </c>
      <c r="FN21" s="674">
        <f>IF(AND(AND(Stamoplysninger!$B$26="Der er indgået lokalaftale omkring weekendtillæg(Kræver aftale med TR/FSL). Weekendtimerne afspadseres.",I21="X",C21="ikke relevant")),K21,0)</f>
        <v>0</v>
      </c>
      <c r="FO21" s="283">
        <f>IF(AND(Stamoplysninger!$B$26="Weekendtimer og weekendtillæg udbetales.",I21="X"),K21,0)</f>
        <v>0</v>
      </c>
      <c r="FP21" s="251">
        <f>IF(AND(Stamoplysninger!$B$26="Weekendtimer og weekendtillæg udbetales.",AA21="X"),(AC21+AN21)/2,0)</f>
        <v>0</v>
      </c>
      <c r="FQ21" s="674">
        <f>IF(AND(AND(Stamoplysninger!$B$26="Weekendtimer og weekendtillæg udbetales.",I21="X",C21="ikke relevant")),K21,0)</f>
        <v>0</v>
      </c>
      <c r="FR21" s="688">
        <f>IF(AND(AND(Stamoplysninger!$B$26="Weekendtimer og weekendtillæg udbetales.",AA21="X",U21="ikke relevant")),(AC21+AN21)/2,0)</f>
        <v>0</v>
      </c>
      <c r="FS21" s="283">
        <f t="shared" si="15"/>
        <v>0</v>
      </c>
      <c r="FT21" s="658">
        <f t="shared" si="16"/>
        <v>0</v>
      </c>
      <c r="FU21">
        <f t="shared" si="17"/>
        <v>0</v>
      </c>
      <c r="FV21" s="283">
        <f>IF(AND(Stamoplysninger!$B$26="Der er indgået lokalaftale omkring weekendtimer.(Kræver aftale med TR/FSL) Weekendtillæg afspadseres.",I21="X"),K21,0)</f>
        <v>0</v>
      </c>
      <c r="FW21" s="674">
        <f>IF(AND(AND(Stamoplysninger!$B$26="Der er indgået lokalaftale omkring weekendtimer.(Kræver aftale med TR/FSL) Weekendtillæg afspadseres.",I21="X",C21="ikke relevant")),K21,0)</f>
        <v>0</v>
      </c>
      <c r="FX21" s="283">
        <f>IF(AND(Stamoplysninger!$B$26="Der er indgået lokalaftale omkring weekendtimer(Kræver aftale med TR/FSL). Weekendtillæg udbetales.",I21="X"),K21,0)</f>
        <v>0</v>
      </c>
      <c r="FY21" s="674">
        <f>IF(AND(AND(Stamoplysninger!$B$26="Der er indgået lokalaftale omkring weekendtimer(Kræver aftale med TR/FSL). Weekendtillæg udbetales.",I21="X",C21="ikke relevant")),K21,0)</f>
        <v>0</v>
      </c>
      <c r="FZ21" s="283">
        <f>IF(AND(Stamoplysninger!$B$26="Der er indgået lokalaftale omkring weekendtillæg(Kræver aftale med TR/FSL). Weekendtimerne udbetales.",I21="X"),K21,0)</f>
        <v>0</v>
      </c>
      <c r="GA21" s="674">
        <f>IF(AND(AND(Stamoplysninger!$B$26="Der er indgået lokalaftale omkring weekendtillæg(Kræver aftale med TR/FSL). Weekendtimerne udbetales.",I21="X",C21="ikke relevant")),K21,0)</f>
        <v>0</v>
      </c>
      <c r="GB21" s="283">
        <f>IF(AND(Stamoplysninger!$B$26="Der er indgået lokalaftale omkring weekendtimer og weekendtillæg.(Kræver aftale med TR/FSL).",I21="X"),K21,0)</f>
        <v>0</v>
      </c>
      <c r="GC21" s="674">
        <f>IF(AND(AND(Stamoplysninger!$B$26="Der er indgået lokalaftale omkring weekendtimer og weekendtillæg.(Kræver aftale med TR/FSL).",I21="X",C21="ikke relevant")),K21,0)</f>
        <v>0</v>
      </c>
    </row>
    <row r="22" spans="1:185">
      <c r="A22" s="245">
        <f t="shared" si="18"/>
        <v>14</v>
      </c>
      <c r="B22" s="128" t="str">
        <f t="shared" si="0"/>
        <v>ma</v>
      </c>
      <c r="C22" s="129" t="s">
        <v>210</v>
      </c>
      <c r="D22" s="130">
        <f t="shared" si="1"/>
        <v>28.714285714285715</v>
      </c>
      <c r="E22" s="917" t="s">
        <v>113</v>
      </c>
      <c r="F22" s="918"/>
      <c r="G22" s="919"/>
      <c r="H22" s="297"/>
      <c r="I22" s="527"/>
      <c r="J22" s="413"/>
      <c r="K22" s="380"/>
      <c r="L22" s="380"/>
      <c r="M22" s="380"/>
      <c r="N22" s="318">
        <f t="shared" si="19"/>
        <v>0</v>
      </c>
      <c r="O22" s="318">
        <f t="shared" si="20"/>
        <v>0</v>
      </c>
      <c r="P22" s="318">
        <f>IF(Stamoplysninger!$H$29="JA",Juli!DG22,CX22)</f>
        <v>0</v>
      </c>
      <c r="Q22" s="318">
        <f t="shared" si="21"/>
        <v>0</v>
      </c>
      <c r="R22" s="319"/>
      <c r="S22" s="324"/>
      <c r="T22" s="325"/>
      <c r="U22" s="325"/>
      <c r="V22" s="435"/>
      <c r="W22" s="412"/>
      <c r="X22" s="642"/>
      <c r="Y22">
        <f t="shared" si="22"/>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9">
        <f t="shared" si="8"/>
        <v>0</v>
      </c>
      <c r="BC22" s="1">
        <f t="shared" si="24"/>
        <v>0</v>
      </c>
      <c r="BD22" s="1">
        <f t="shared" si="9"/>
        <v>0</v>
      </c>
      <c r="BE22" s="1">
        <f t="shared" si="10"/>
        <v>0</v>
      </c>
      <c r="BF22" s="1">
        <f t="shared" si="11"/>
        <v>0</v>
      </c>
      <c r="BG22" s="210" t="str">
        <f>IF(AND(C22="Skema 1",B22="ma"),Skemaoplysninger!$E$30,"")</f>
        <v/>
      </c>
      <c r="BH22" s="210" t="str">
        <f>IF(AND(C22="Skema 1",B22="ti"),Skemaoplysninger!$G$30,"")</f>
        <v/>
      </c>
      <c r="BI22" s="210" t="str">
        <f>IF(AND(C22="Skema 1",B22="on"),Skemaoplysninger!$I$30,"")</f>
        <v/>
      </c>
      <c r="BJ22" s="210" t="str">
        <f>IF(AND(C22="Skema 1",B22="to"),Skemaoplysninger!$K$30,"")</f>
        <v/>
      </c>
      <c r="BK22" s="210" t="str">
        <f>IF(AND(C22="Skema 1",B22="fr"),Skemaoplysninger!$M$30,"")</f>
        <v/>
      </c>
      <c r="BL22" s="210" t="str">
        <f>IF(AND(C22="Skema 2",B22="ma"),Skemaoplysninger!$S$30,"")</f>
        <v/>
      </c>
      <c r="BM22" s="210" t="str">
        <f>IF(AND(C22="Skema 2",B22="ti"),Skemaoplysninger!$U$30,"")</f>
        <v/>
      </c>
      <c r="BN22" s="210" t="str">
        <f>IF(AND(C22="Skema 2",B22="on"),Skemaoplysninger!$W$30,"")</f>
        <v/>
      </c>
      <c r="BO22" s="210" t="str">
        <f>IF(AND(C22="Skema 2",B22="to"),Skemaoplysninger!$Y$30,"")</f>
        <v/>
      </c>
      <c r="BP22" s="210" t="str">
        <f>IF(AND(C22="Skema 2",B22="fr"),Skemaoplysninger!$AA$30,"")</f>
        <v/>
      </c>
      <c r="BQ22" s="210" t="str">
        <f>IF(AND(C22="Skema 3",B22="ma"),Skemaoplysninger!$AG$30,"")</f>
        <v/>
      </c>
      <c r="BR22" s="210" t="str">
        <f>IF(AND(C22="Skema 3",B22="ti"),Skemaoplysninger!$AI$30,"")</f>
        <v/>
      </c>
      <c r="BS22" s="210" t="str">
        <f>IF(AND(C22="Skema 3",B22="on"),Skemaoplysninger!$AK$30,"")</f>
        <v/>
      </c>
      <c r="BT22" s="210" t="str">
        <f>IF(AND(C22="Skema 3",B22="to"),Skemaoplysninger!$AM$30,"")</f>
        <v/>
      </c>
      <c r="BU22" s="210" t="str">
        <f>IF(AND(C22="Skema 3",B22="fr"),Skemaoplysninger!$AO$30,"")</f>
        <v/>
      </c>
      <c r="BV22" s="210" t="str">
        <f>IF(AND(C22="Skema 4",B22="ma"),Skemaoplysninger!$AU$30,"")</f>
        <v/>
      </c>
      <c r="BW22" s="210" t="str">
        <f>IF(AND(C22="Skema 4",B22="ti"),Skemaoplysninger!$AW$30,"")</f>
        <v/>
      </c>
      <c r="BX22" s="210" t="str">
        <f>IF(AND(C22="Skema 4",B22="on"),Skemaoplysninger!$AY$30,"")</f>
        <v/>
      </c>
      <c r="BY22" s="210" t="str">
        <f>IF(AND(C22="Skema 4",B22="to"),Skemaoplysninger!$BA$30,"")</f>
        <v/>
      </c>
      <c r="BZ22" s="210" t="str">
        <f>IF(AND(C22="Skema 4",B22="fr"),Skemaoplysninger!$BC$30,"")</f>
        <v/>
      </c>
      <c r="CA22" s="1">
        <f t="shared" si="25"/>
        <v>0</v>
      </c>
      <c r="CB22" s="1">
        <f t="shared" si="12"/>
        <v>0</v>
      </c>
      <c r="CC22" s="1">
        <f t="shared" si="13"/>
        <v>0</v>
      </c>
      <c r="CD22" s="210" t="str">
        <f>IF(AND(C22="Skema 1",B22="ma"),Skemaoplysninger!$E$31,"")</f>
        <v/>
      </c>
      <c r="CE22" s="210" t="str">
        <f>IF(AND(C22="Skema 1",B22="ti"),Skemaoplysninger!$G$31,"")</f>
        <v/>
      </c>
      <c r="CF22" s="210" t="str">
        <f>IF(AND(C22="Skema 1",B22="on"),Skemaoplysninger!$I$31,"")</f>
        <v/>
      </c>
      <c r="CG22" s="210" t="str">
        <f>IF(AND(C22="Skema 1",B22="to"),Skemaoplysninger!$K$31,"")</f>
        <v/>
      </c>
      <c r="CH22" s="210" t="str">
        <f>IF(AND(C22="Skema 1",B22="fr"),Skemaoplysninger!$M$31,"")</f>
        <v/>
      </c>
      <c r="CI22" s="210" t="str">
        <f>IF(AND(C22="Skema 2",B22="ma"),Skemaoplysninger!$S$31,"")</f>
        <v/>
      </c>
      <c r="CJ22" s="210" t="str">
        <f>IF(AND(C22="Skema 2",B22="ti"),Skemaoplysninger!$U$31,"")</f>
        <v/>
      </c>
      <c r="CK22" s="210" t="str">
        <f>IF(AND(C22="Skema 2",B22="on"),Skemaoplysninger!$W$31,"")</f>
        <v/>
      </c>
      <c r="CL22" s="210" t="str">
        <f>IF(AND(C22="Skema 2",B22="to"),Skemaoplysninger!$Y$31,"")</f>
        <v/>
      </c>
      <c r="CM22" s="210" t="str">
        <f>IF(AND(C22="Skema 2",B22="fr"),Skemaoplysninger!$AA$31,"")</f>
        <v/>
      </c>
      <c r="CN22" s="210" t="str">
        <f>IF(AND(C22="Skema 3",B22="ma"),Skemaoplysninger!$AG$31,"")</f>
        <v/>
      </c>
      <c r="CO22" s="210" t="str">
        <f>IF(AND(C22="Skema 3",B22="ti"),Skemaoplysninger!$AI$31,"")</f>
        <v/>
      </c>
      <c r="CP22" s="210" t="str">
        <f>IF(AND(C22="Skema 3",B22="on"),Skemaoplysninger!$AK$31,"")</f>
        <v/>
      </c>
      <c r="CQ22" s="210" t="str">
        <f>IF(AND(C22="Skema 3",B22="to"),Skemaoplysninger!$AM$31,"")</f>
        <v/>
      </c>
      <c r="CR22" s="210" t="str">
        <f>IF(AND(C22="Skema 3",B22="fr"),Skemaoplysninger!$AO$31,"")</f>
        <v/>
      </c>
      <c r="CS22" s="210" t="str">
        <f>IF(AND(C22="Skema 4",B22="ma"),Skemaoplysninger!$AU$31,"")</f>
        <v/>
      </c>
      <c r="CT22" s="210" t="str">
        <f>IF(AND(C22="Skema 4",B22="ti"),Skemaoplysninger!$AW$31,"")</f>
        <v/>
      </c>
      <c r="CU22" s="210" t="str">
        <f>IF(AND(C22="Skema 4",B22="on"),Skemaoplysninger!$AY$31,"")</f>
        <v/>
      </c>
      <c r="CV22" s="210" t="str">
        <f>IF(AND(C22="Skema 4",B22="to"),Skemaoplysninger!$BA$31,"")</f>
        <v/>
      </c>
      <c r="CW22" s="210" t="str">
        <f>IF(AND(C22="Skema 4",B22="fr"),Skemaoplysninger!$BC$31,"")</f>
        <v/>
      </c>
      <c r="CX22" s="249">
        <f>IF(Stamoplysninger!$H$29="NEJ",SUM(CD22:CW22)*24+CB22+CC22,0)</f>
        <v>0</v>
      </c>
      <c r="CY22" s="249">
        <f>IF(C22="Skema 1",Stamoplysninger!$H$30/200,0)</f>
        <v>0</v>
      </c>
      <c r="CZ22" s="249">
        <f>IF(C22="Skema 2",Stamoplysninger!$H$30/200,0)</f>
        <v>0</v>
      </c>
      <c r="DA22" s="249">
        <f>IF(C22="Skema 3",Stamoplysninger!$H$30/200,0)</f>
        <v>0</v>
      </c>
      <c r="DB22" s="249">
        <f>IF(C22="Skema 4",Stamoplysninger!$H$30/200,0)</f>
        <v>0</v>
      </c>
      <c r="DC22" s="249">
        <f>IF(C22="fagdag",Stamoplysninger!$H$30/200,0)</f>
        <v>0</v>
      </c>
      <c r="DD22" s="249">
        <f>IF(C22="emnedag",Stamoplysninger!$H$30/200,0)</f>
        <v>0</v>
      </c>
      <c r="DE22" s="249">
        <f>IF(C22="lejrskole",Stamoplysninger!$H$30/200,0)</f>
        <v>0</v>
      </c>
      <c r="DF22" s="249">
        <f>IF(C22="ekskursion",Stamoplysninger!$H$30/200,0)</f>
        <v>0</v>
      </c>
      <c r="DG22" s="249">
        <f t="shared" si="26"/>
        <v>0</v>
      </c>
      <c r="DH22" t="str">
        <f t="shared" si="27"/>
        <v/>
      </c>
      <c r="DI22" t="str">
        <f t="shared" si="28"/>
        <v>Sommerferie</v>
      </c>
      <c r="DJ22" t="str">
        <f t="shared" si="29"/>
        <v/>
      </c>
      <c r="DK22" t="str">
        <f t="shared" si="14"/>
        <v/>
      </c>
      <c r="DL22" t="str">
        <f t="shared" si="14"/>
        <v>Sommerferie</v>
      </c>
      <c r="DM22" t="str">
        <f t="shared" si="14"/>
        <v/>
      </c>
      <c r="DN22" t="str">
        <f t="shared" si="30"/>
        <v>Sommerferie</v>
      </c>
      <c r="DO22" s="652">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71">
        <f>IF(AND(Stamoplysninger!$B$22="Ulempetillæg udbetales med 25% af nettotimelønnen.",C22="ikke relevant"),(R22)/4,0)</f>
        <v>0</v>
      </c>
      <c r="DT22" s="671">
        <f>IF(AND(AND(Stamoplysninger!$B$22="Ulempetillæg udbetales med 25% af nettotimelønnen.",I22="X",C22="Ikke relevant")),K22/4,0)</f>
        <v>0</v>
      </c>
      <c r="DU22" s="671">
        <f>IF(AND(AND(Stamoplysninger!$B$22="Ulempetillæg udbetales med 25% af nettotimelønnen.",C22="ikke relevant",U22="X")),(X22/4),0)</f>
        <v>0</v>
      </c>
      <c r="DV22" s="672">
        <f>IF(AND(AND(AND(Stamoplysninger!$B$22="Ulempetillæg udbetales med 25% af nettotimelønnen.",I22="X",C22="Ikke relevant",S22="X"))),V22/4,0)</f>
        <v>0</v>
      </c>
      <c r="DW22" s="652"/>
      <c r="DZ22" s="671"/>
      <c r="EA22" s="671"/>
      <c r="EB22" s="672"/>
      <c r="EC22" s="652">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71">
        <f>IF(AND(Stamoplysninger!$B$22="Ulempetillæg afspadseres med 25%(Kræver en aftale imellem ledelsen og den ansatte)",C22="ikke relevant"),(R22)/4,0)</f>
        <v>0</v>
      </c>
      <c r="EH22" s="671">
        <f>IF(AND(AND(Stamoplysninger!$B$22="Ulempetillæg afspadseres med 25%(Kræver en aftale imellem ledelsen og den ansatte)",I22="X",C22="Ikke relevant")),K22/4,0)</f>
        <v>0</v>
      </c>
      <c r="EI22" s="671">
        <f>IF(AND(AND(Stamoplysninger!$B$22="Ulempetillæg afspadseres med 25%(Kræver en aftale imellem ledelsen og den ansatte)",U22="X",C22="Ikke relevant")),X22/4,0)</f>
        <v>0</v>
      </c>
      <c r="EJ22" s="671">
        <f>IF(AND(AND(AND(Stamoplysninger!$B$22="Ulempetillæg afspadseres med 25%(Kræver en aftale imellem ledelsen og den ansatte)",I22="X",C22="Ikke relevant",S22="X"))),V22/4,0)</f>
        <v>0</v>
      </c>
      <c r="EK22" s="283">
        <f>IF(AND(Stamoplysninger!$B$26="Weekendtimer og weekendtillæg afspadseres.",I22="X"),K22*1.5,0)</f>
        <v>0</v>
      </c>
      <c r="EL22" s="251">
        <f>IF(AND(AND(Stamoplysninger!$B$26="Weekendtimer og weekendtillæg afspadseres.",I22="X",S22="X")),V22*1.5,0)</f>
        <v>0</v>
      </c>
      <c r="EM22" s="674">
        <f>IF(AND(AND(Stamoplysninger!$B$26="Weekendtimer og weekendtillæg afspadseres.",I22="X",C22="ikke relevant")),K22*1.5,0)</f>
        <v>0</v>
      </c>
      <c r="EN22" s="675">
        <f>IF(AND(AND(AND(Stamoplysninger!$B$26="Weekendtimer og weekendtillæg afspadseres.",I22="X",C22="ikke relevant",S22="X"))),(V22*1.5),0)</f>
        <v>0</v>
      </c>
      <c r="EO22" s="283">
        <f>IF(AND(Stamoplysninger!$B$26="Weekendtimer og weekendtillæg udbetales.",I22="X"),K22*1.5,0)</f>
        <v>0</v>
      </c>
      <c r="EP22" s="251">
        <f>IF(AND(AND(Stamoplysninger!$B$26="Weekendtimer og weekendtillæg udbetales.",I22="X",S22="X")),V22*1.5,0)</f>
        <v>0</v>
      </c>
      <c r="EQ22" s="674">
        <f>IF(AND(AND(Stamoplysninger!$B$26="Weekendtimer og weekendtillæg udbetales.",I22="X",C22="ikke relevant")),K22*1.5,0)</f>
        <v>0</v>
      </c>
      <c r="ER22" s="675">
        <f>IF(AND(AND(AND(Stamoplysninger!$B$26="Weekendtimer og weekendtillæg udbetales.",I22="X",C22="ikke relevant",S22="X"))),(V22*1.5),0)</f>
        <v>0</v>
      </c>
      <c r="ES22" s="283">
        <f>IF(AND(Stamoplysninger!$B$26="Der er indgået lokalaftale omkring weekendtimer.(Kræver aftale med TR/FSL) Weekendtillæg afspadseres.",I22="X"),K22*0.5,0)</f>
        <v>0</v>
      </c>
      <c r="ET22" s="251">
        <f>IF(AND(AND(Stamoplysninger!$B$26="Der er indgået lokalaftale omkring weekendtimer.(Kræver aftale med TR/FSL) Weekendtillæg afspadseres.",I22="X",S22="X")),V22*0.5,0)</f>
        <v>0</v>
      </c>
      <c r="EU22" s="674">
        <f>IF(AND(AND(Stamoplysninger!$B$26="Der er indgået lokalaftale omkring weekendtimer.(Kræver aftale med TR/FSL) Weekendtillæg afspadseres.",I22="X",C22="ikke relevant")),K22*0.5,0)</f>
        <v>0</v>
      </c>
      <c r="EV22" s="675">
        <f>IF(AND(AND(AND(Stamoplysninger!$B$26="Der er indgået lokalaftale omkring weekendtimer.(Kræver aftale med TR/FSL) Weekendtillæg afspadseres.",I22="X",C22="ikke relevant",S22="X"))),(V22*0.5),0)</f>
        <v>0</v>
      </c>
      <c r="EW22" s="283">
        <f>IF(AND(Stamoplysninger!$B$26="Der er indgået lokalaftale omkring weekendtimer(Kræver aftale med TR/FSL). Weekendtillæg udbetales.",I22="X"),K22*0.5,0)</f>
        <v>0</v>
      </c>
      <c r="EX22" s="251">
        <f>IF(AND(AND(Stamoplysninger!$B$26="Der er indgået lokalaftale omkring weekendtimer(Kræver aftale med TR/FSL). Weekendtillæg udbetales.",I22="X",S22="X")),V22*0.5,0)</f>
        <v>0</v>
      </c>
      <c r="EY22" s="674">
        <f>IF(AND(AND(Stamoplysninger!$B$26="Der er indgået lokalaftale omkring weekendtimer(Kræver aftale med TR/FSL). Weekendtillæg udbetales.",I22="X",C22="ikke relevant")),K22*0.5,0)</f>
        <v>0</v>
      </c>
      <c r="EZ22" s="675">
        <f>IF(AND(AND(AND(Stamoplysninger!$B$26="Der er indgået lokalaftale omkring weekendtimer(Kræver aftale med TR/FSL). Weekendtillæg udbetales.",I22="X",C22="ikke relevant",S22="X"))),(V22*0.5),0)</f>
        <v>0</v>
      </c>
      <c r="FA22" s="283">
        <f>IF(AND(Stamoplysninger!$B$26="Der er indgået lokalaftale omkring weekendtillæg(Kræver aftale med TR/FSL). Weekendtimerne afspadseres.",I22="X"),K22,0)</f>
        <v>0</v>
      </c>
      <c r="FB22" s="251">
        <f>IF(AND(AND(Stamoplysninger!$B$26="Der er indgået lokalaftale omkring weekendtillæg(Kræver aftale med TR/FSL). Weekendtimerne afspadseres.",I22="X",S22="X")),V22,0)</f>
        <v>0</v>
      </c>
      <c r="FC22" s="674">
        <f>IF(AND(AND(Stamoplysninger!$B$26="Der er indgået lokalaftale omkring weekendtillæg(Kræver aftale med TR/FSL). Weekendtimerne afspadseres..",I22="X",C22="ikke relevant")),K22,0)</f>
        <v>0</v>
      </c>
      <c r="FD22" s="675">
        <f>IF(AND(AND(AND(Stamoplysninger!$B$26="Der er indgået lokalaftale omkring weekendtillæg(Kræver aftale med TR/FSL). Weekendtimerne afspadseres.",I22="X",C22="ikke relevant",S22="X"))),(V22),0)</f>
        <v>0</v>
      </c>
      <c r="FE22" s="283">
        <f>IF(AND(Stamoplysninger!$B$26="Der er indgået lokalaftale omkring weekendtillæg(Kræver aftale med TR/FSL). Weekendtimerne udbetales.",I22="X"),K22,0)</f>
        <v>0</v>
      </c>
      <c r="FF22" s="251">
        <f>IF(AND(AND(Stamoplysninger!$B$26="Der er indgået lokalaftale omkring weekendtillæg(Kræver aftale med TR/FSL). Weekendtimerne udbetales.",I22="X",S22="X")),V22,0)</f>
        <v>0</v>
      </c>
      <c r="FG22" s="674">
        <f>IF(AND(AND(Stamoplysninger!$B$26="Der er indgået lokalaftale omkring weekendtillæg(Kræver aftale med TR/FSL). Weekendtimerne udbetales.",I22="X",C22="ikke relevant")),K22,0)</f>
        <v>0</v>
      </c>
      <c r="FH22" s="675">
        <f>IF(AND(AND(AND(Stamoplysninger!$B$26="Der er indgået lokalaftale omkring weekendtillæg(Kræver aftale med TR/FSL). Weekendtimerne udbetales.",I22="X",C22="ikke relevant",S22="X"))),(V22),0)</f>
        <v>0</v>
      </c>
      <c r="FI22" s="283">
        <f>IF(AND(Stamoplysninger!$B$26="Weekendtimer og weekendtillæg afspadseres.",I22="X"),K22,0)</f>
        <v>0</v>
      </c>
      <c r="FJ22" s="251">
        <f>IF(AND(Stamoplysninger!$B$26="Weekendtimer og weekendtillæg afspadseres.",Y22="X"),(AA22+AL22)/2,0)</f>
        <v>0</v>
      </c>
      <c r="FK22" s="674">
        <f>IF(AND(AND(Stamoplysninger!$B$26="Weekendtimer og weekendtillæg afspadseres.",I22="X",C22="ikke relevant")),K22,0)</f>
        <v>0</v>
      </c>
      <c r="FL22" s="675">
        <f>IF(AND(AND(Stamoplysninger!$B$26="Weekendtimer og weekendtillæg afspadseres.",Y22="X",S22="ikke relevant")),(AA22+AL22)/2,0)</f>
        <v>0</v>
      </c>
      <c r="FM22" s="283">
        <f>IF(AND(Stamoplysninger!$B$26="Der er indgået lokalaftale omkring weekendtillæg(Kræver aftale med TR/FSL). Weekendtimerne afspadseres.",I22="X"),K22,0)</f>
        <v>0</v>
      </c>
      <c r="FN22" s="674">
        <f>IF(AND(AND(Stamoplysninger!$B$26="Der er indgået lokalaftale omkring weekendtillæg(Kræver aftale med TR/FSL). Weekendtimerne afspadseres.",I22="X",C22="ikke relevant")),K22,0)</f>
        <v>0</v>
      </c>
      <c r="FO22" s="283">
        <f>IF(AND(Stamoplysninger!$B$26="Weekendtimer og weekendtillæg udbetales.",I22="X"),K22,0)</f>
        <v>0</v>
      </c>
      <c r="FP22" s="251">
        <f>IF(AND(Stamoplysninger!$B$26="Weekendtimer og weekendtillæg udbetales.",AA22="X"),(AC22+AN22)/2,0)</f>
        <v>0</v>
      </c>
      <c r="FQ22" s="674">
        <f>IF(AND(AND(Stamoplysninger!$B$26="Weekendtimer og weekendtillæg udbetales.",I22="X",C22="ikke relevant")),K22,0)</f>
        <v>0</v>
      </c>
      <c r="FR22" s="688">
        <f>IF(AND(AND(Stamoplysninger!$B$26="Weekendtimer og weekendtillæg udbetales.",AA22="X",U22="ikke relevant")),(AC22+AN22)/2,0)</f>
        <v>0</v>
      </c>
      <c r="FS22" s="283">
        <f t="shared" si="15"/>
        <v>0</v>
      </c>
      <c r="FT22" s="658">
        <f t="shared" si="16"/>
        <v>0</v>
      </c>
      <c r="FU22">
        <f t="shared" si="17"/>
        <v>0</v>
      </c>
      <c r="FV22" s="283">
        <f>IF(AND(Stamoplysninger!$B$26="Der er indgået lokalaftale omkring weekendtimer.(Kræver aftale med TR/FSL) Weekendtillæg afspadseres.",I22="X"),K22,0)</f>
        <v>0</v>
      </c>
      <c r="FW22" s="674">
        <f>IF(AND(AND(Stamoplysninger!$B$26="Der er indgået lokalaftale omkring weekendtimer.(Kræver aftale med TR/FSL) Weekendtillæg afspadseres.",I22="X",C22="ikke relevant")),K22,0)</f>
        <v>0</v>
      </c>
      <c r="FX22" s="283">
        <f>IF(AND(Stamoplysninger!$B$26="Der er indgået lokalaftale omkring weekendtimer(Kræver aftale med TR/FSL). Weekendtillæg udbetales.",I22="X"),K22,0)</f>
        <v>0</v>
      </c>
      <c r="FY22" s="674">
        <f>IF(AND(AND(Stamoplysninger!$B$26="Der er indgået lokalaftale omkring weekendtimer(Kræver aftale med TR/FSL). Weekendtillæg udbetales.",I22="X",C22="ikke relevant")),K22,0)</f>
        <v>0</v>
      </c>
      <c r="FZ22" s="283">
        <f>IF(AND(Stamoplysninger!$B$26="Der er indgået lokalaftale omkring weekendtillæg(Kræver aftale med TR/FSL). Weekendtimerne udbetales.",I22="X"),K22,0)</f>
        <v>0</v>
      </c>
      <c r="GA22" s="674">
        <f>IF(AND(AND(Stamoplysninger!$B$26="Der er indgået lokalaftale omkring weekendtillæg(Kræver aftale med TR/FSL). Weekendtimerne udbetales.",I22="X",C22="ikke relevant")),K22,0)</f>
        <v>0</v>
      </c>
      <c r="GB22" s="283">
        <f>IF(AND(Stamoplysninger!$B$26="Der er indgået lokalaftale omkring weekendtimer og weekendtillæg.(Kræver aftale med TR/FSL).",I22="X"),K22,0)</f>
        <v>0</v>
      </c>
      <c r="GC22" s="674">
        <f>IF(AND(AND(Stamoplysninger!$B$26="Der er indgået lokalaftale omkring weekendtimer og weekendtillæg.(Kræver aftale med TR/FSL).",I22="X",C22="ikke relevant")),K22,0)</f>
        <v>0</v>
      </c>
    </row>
    <row r="23" spans="1:185">
      <c r="A23" s="245">
        <f t="shared" si="18"/>
        <v>15</v>
      </c>
      <c r="B23" s="128" t="str">
        <f t="shared" si="0"/>
        <v>ti</v>
      </c>
      <c r="C23" s="129" t="s">
        <v>210</v>
      </c>
      <c r="D23" s="130" t="str">
        <f t="shared" si="1"/>
        <v/>
      </c>
      <c r="E23" s="917" t="s">
        <v>113</v>
      </c>
      <c r="F23" s="918"/>
      <c r="G23" s="919"/>
      <c r="H23" s="297"/>
      <c r="I23" s="527"/>
      <c r="J23" s="413"/>
      <c r="K23" s="380"/>
      <c r="L23" s="380"/>
      <c r="M23" s="380"/>
      <c r="N23" s="318">
        <f t="shared" si="19"/>
        <v>0</v>
      </c>
      <c r="O23" s="318">
        <f t="shared" si="20"/>
        <v>0</v>
      </c>
      <c r="P23" s="318">
        <f>IF(Stamoplysninger!$H$29="JA",Juli!DG23,CX23)</f>
        <v>0</v>
      </c>
      <c r="Q23" s="318">
        <f t="shared" si="21"/>
        <v>0</v>
      </c>
      <c r="R23" s="319"/>
      <c r="S23" s="324"/>
      <c r="T23" s="325"/>
      <c r="U23" s="325"/>
      <c r="V23" s="435"/>
      <c r="W23" s="412"/>
      <c r="X23" s="642"/>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9">
        <f t="shared" si="8"/>
        <v>0</v>
      </c>
      <c r="BC23" s="1">
        <f t="shared" si="24"/>
        <v>0</v>
      </c>
      <c r="BD23" s="1">
        <f t="shared" si="9"/>
        <v>0</v>
      </c>
      <c r="BE23" s="1">
        <f t="shared" si="10"/>
        <v>0</v>
      </c>
      <c r="BF23" s="1">
        <f t="shared" si="11"/>
        <v>0</v>
      </c>
      <c r="BG23" s="210" t="str">
        <f>IF(AND(C23="Skema 1",B23="ma"),Skemaoplysninger!$E$30,"")</f>
        <v/>
      </c>
      <c r="BH23" s="210" t="str">
        <f>IF(AND(C23="Skema 1",B23="ti"),Skemaoplysninger!$G$30,"")</f>
        <v/>
      </c>
      <c r="BI23" s="210" t="str">
        <f>IF(AND(C23="Skema 1",B23="on"),Skemaoplysninger!$I$30,"")</f>
        <v/>
      </c>
      <c r="BJ23" s="210" t="str">
        <f>IF(AND(C23="Skema 1",B23="to"),Skemaoplysninger!$K$30,"")</f>
        <v/>
      </c>
      <c r="BK23" s="210" t="str">
        <f>IF(AND(C23="Skema 1",B23="fr"),Skemaoplysninger!$M$30,"")</f>
        <v/>
      </c>
      <c r="BL23" s="210" t="str">
        <f>IF(AND(C23="Skema 2",B23="ma"),Skemaoplysninger!$S$30,"")</f>
        <v/>
      </c>
      <c r="BM23" s="210" t="str">
        <f>IF(AND(C23="Skema 2",B23="ti"),Skemaoplysninger!$U$30,"")</f>
        <v/>
      </c>
      <c r="BN23" s="210" t="str">
        <f>IF(AND(C23="Skema 2",B23="on"),Skemaoplysninger!$W$30,"")</f>
        <v/>
      </c>
      <c r="BO23" s="210" t="str">
        <f>IF(AND(C23="Skema 2",B23="to"),Skemaoplysninger!$Y$30,"")</f>
        <v/>
      </c>
      <c r="BP23" s="210" t="str">
        <f>IF(AND(C23="Skema 2",B23="fr"),Skemaoplysninger!$AA$30,"")</f>
        <v/>
      </c>
      <c r="BQ23" s="210" t="str">
        <f>IF(AND(C23="Skema 3",B23="ma"),Skemaoplysninger!$AG$30,"")</f>
        <v/>
      </c>
      <c r="BR23" s="210" t="str">
        <f>IF(AND(C23="Skema 3",B23="ti"),Skemaoplysninger!$AI$30,"")</f>
        <v/>
      </c>
      <c r="BS23" s="210" t="str">
        <f>IF(AND(C23="Skema 3",B23="on"),Skemaoplysninger!$AK$30,"")</f>
        <v/>
      </c>
      <c r="BT23" s="210" t="str">
        <f>IF(AND(C23="Skema 3",B23="to"),Skemaoplysninger!$AM$30,"")</f>
        <v/>
      </c>
      <c r="BU23" s="210" t="str">
        <f>IF(AND(C23="Skema 3",B23="fr"),Skemaoplysninger!$AO$30,"")</f>
        <v/>
      </c>
      <c r="BV23" s="210" t="str">
        <f>IF(AND(C23="Skema 4",B23="ma"),Skemaoplysninger!$AU$30,"")</f>
        <v/>
      </c>
      <c r="BW23" s="210" t="str">
        <f>IF(AND(C23="Skema 4",B23="ti"),Skemaoplysninger!$AW$30,"")</f>
        <v/>
      </c>
      <c r="BX23" s="210" t="str">
        <f>IF(AND(C23="Skema 4",B23="on"),Skemaoplysninger!$AY$30,"")</f>
        <v/>
      </c>
      <c r="BY23" s="210" t="str">
        <f>IF(AND(C23="Skema 4",B23="to"),Skemaoplysninger!$BA$30,"")</f>
        <v/>
      </c>
      <c r="BZ23" s="210" t="str">
        <f>IF(AND(C23="Skema 4",B23="fr"),Skemaoplysninger!$BC$30,"")</f>
        <v/>
      </c>
      <c r="CA23" s="1">
        <f t="shared" si="25"/>
        <v>0</v>
      </c>
      <c r="CB23" s="1">
        <f t="shared" si="12"/>
        <v>0</v>
      </c>
      <c r="CC23" s="1">
        <f t="shared" si="13"/>
        <v>0</v>
      </c>
      <c r="CD23" s="210" t="str">
        <f>IF(AND(C23="Skema 1",B23="ma"),Skemaoplysninger!$E$31,"")</f>
        <v/>
      </c>
      <c r="CE23" s="210" t="str">
        <f>IF(AND(C23="Skema 1",B23="ti"),Skemaoplysninger!$G$31,"")</f>
        <v/>
      </c>
      <c r="CF23" s="210" t="str">
        <f>IF(AND(C23="Skema 1",B23="on"),Skemaoplysninger!$I$31,"")</f>
        <v/>
      </c>
      <c r="CG23" s="210" t="str">
        <f>IF(AND(C23="Skema 1",B23="to"),Skemaoplysninger!$K$31,"")</f>
        <v/>
      </c>
      <c r="CH23" s="210" t="str">
        <f>IF(AND(C23="Skema 1",B23="fr"),Skemaoplysninger!$M$31,"")</f>
        <v/>
      </c>
      <c r="CI23" s="210" t="str">
        <f>IF(AND(C23="Skema 2",B23="ma"),Skemaoplysninger!$S$31,"")</f>
        <v/>
      </c>
      <c r="CJ23" s="210" t="str">
        <f>IF(AND(C23="Skema 2",B23="ti"),Skemaoplysninger!$U$31,"")</f>
        <v/>
      </c>
      <c r="CK23" s="210" t="str">
        <f>IF(AND(C23="Skema 2",B23="on"),Skemaoplysninger!$W$31,"")</f>
        <v/>
      </c>
      <c r="CL23" s="210" t="str">
        <f>IF(AND(C23="Skema 2",B23="to"),Skemaoplysninger!$Y$31,"")</f>
        <v/>
      </c>
      <c r="CM23" s="210" t="str">
        <f>IF(AND(C23="Skema 2",B23="fr"),Skemaoplysninger!$AA$31,"")</f>
        <v/>
      </c>
      <c r="CN23" s="210" t="str">
        <f>IF(AND(C23="Skema 3",B23="ma"),Skemaoplysninger!$AG$31,"")</f>
        <v/>
      </c>
      <c r="CO23" s="210" t="str">
        <f>IF(AND(C23="Skema 3",B23="ti"),Skemaoplysninger!$AI$31,"")</f>
        <v/>
      </c>
      <c r="CP23" s="210" t="str">
        <f>IF(AND(C23="Skema 3",B23="on"),Skemaoplysninger!$AK$31,"")</f>
        <v/>
      </c>
      <c r="CQ23" s="210" t="str">
        <f>IF(AND(C23="Skema 3",B23="to"),Skemaoplysninger!$AM$31,"")</f>
        <v/>
      </c>
      <c r="CR23" s="210" t="str">
        <f>IF(AND(C23="Skema 3",B23="fr"),Skemaoplysninger!$AO$31,"")</f>
        <v/>
      </c>
      <c r="CS23" s="210" t="str">
        <f>IF(AND(C23="Skema 4",B23="ma"),Skemaoplysninger!$AU$31,"")</f>
        <v/>
      </c>
      <c r="CT23" s="210" t="str">
        <f>IF(AND(C23="Skema 4",B23="ti"),Skemaoplysninger!$AW$31,"")</f>
        <v/>
      </c>
      <c r="CU23" s="210" t="str">
        <f>IF(AND(C23="Skema 4",B23="on"),Skemaoplysninger!$AY$31,"")</f>
        <v/>
      </c>
      <c r="CV23" s="210" t="str">
        <f>IF(AND(C23="Skema 4",B23="to"),Skemaoplysninger!$BA$31,"")</f>
        <v/>
      </c>
      <c r="CW23" s="210" t="str">
        <f>IF(AND(C23="Skema 4",B23="fr"),Skemaoplysninger!$BC$31,"")</f>
        <v/>
      </c>
      <c r="CX23" s="249">
        <f>IF(Stamoplysninger!$H$29="NEJ",SUM(CD23:CW23)*24+CB23+CC23,0)</f>
        <v>0</v>
      </c>
      <c r="CY23" s="249">
        <f>IF(C23="Skema 1",Stamoplysninger!$H$30/200,0)</f>
        <v>0</v>
      </c>
      <c r="CZ23" s="249">
        <f>IF(C23="Skema 2",Stamoplysninger!$H$30/200,0)</f>
        <v>0</v>
      </c>
      <c r="DA23" s="249">
        <f>IF(C23="Skema 3",Stamoplysninger!$H$30/200,0)</f>
        <v>0</v>
      </c>
      <c r="DB23" s="249">
        <f>IF(C23="Skema 4",Stamoplysninger!$H$30/200,0)</f>
        <v>0</v>
      </c>
      <c r="DC23" s="249">
        <f>IF(C23="fagdag",Stamoplysninger!$H$30/200,0)</f>
        <v>0</v>
      </c>
      <c r="DD23" s="249">
        <f>IF(C23="emnedag",Stamoplysninger!$H$30/200,0)</f>
        <v>0</v>
      </c>
      <c r="DE23" s="249">
        <f>IF(C23="lejrskole",Stamoplysninger!$H$30/200,0)</f>
        <v>0</v>
      </c>
      <c r="DF23" s="249">
        <f>IF(C23="ekskursion",Stamoplysninger!$H$30/200,0)</f>
        <v>0</v>
      </c>
      <c r="DG23" s="249">
        <f t="shared" si="26"/>
        <v>0</v>
      </c>
      <c r="DH23" t="str">
        <f t="shared" si="27"/>
        <v/>
      </c>
      <c r="DI23" t="str">
        <f t="shared" si="28"/>
        <v>Sommerferie</v>
      </c>
      <c r="DJ23" t="str">
        <f t="shared" si="29"/>
        <v/>
      </c>
      <c r="DK23" t="str">
        <f t="shared" si="14"/>
        <v/>
      </c>
      <c r="DL23" t="str">
        <f t="shared" si="14"/>
        <v>Sommerferie</v>
      </c>
      <c r="DM23" t="str">
        <f t="shared" si="14"/>
        <v/>
      </c>
      <c r="DN23" t="str">
        <f t="shared" si="30"/>
        <v>Sommerferie</v>
      </c>
      <c r="DO23" s="652">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71">
        <f>IF(AND(Stamoplysninger!$B$22="Ulempetillæg udbetales med 25% af nettotimelønnen.",C23="ikke relevant"),(R23)/4,0)</f>
        <v>0</v>
      </c>
      <c r="DT23" s="671">
        <f>IF(AND(AND(Stamoplysninger!$B$22="Ulempetillæg udbetales med 25% af nettotimelønnen.",I23="X",C23="Ikke relevant")),K23/4,0)</f>
        <v>0</v>
      </c>
      <c r="DU23" s="671">
        <f>IF(AND(AND(Stamoplysninger!$B$22="Ulempetillæg udbetales med 25% af nettotimelønnen.",C23="ikke relevant",U23="X")),(X23/4),0)</f>
        <v>0</v>
      </c>
      <c r="DV23" s="672">
        <f>IF(AND(AND(AND(Stamoplysninger!$B$22="Ulempetillæg udbetales med 25% af nettotimelønnen.",I23="X",C23="Ikke relevant",S23="X"))),V23/4,0)</f>
        <v>0</v>
      </c>
      <c r="DW23" s="652"/>
      <c r="DZ23" s="671"/>
      <c r="EA23" s="671"/>
      <c r="EB23" s="672"/>
      <c r="EC23" s="652">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71">
        <f>IF(AND(Stamoplysninger!$B$22="Ulempetillæg afspadseres med 25%(Kræver en aftale imellem ledelsen og den ansatte)",C23="ikke relevant"),(R23)/4,0)</f>
        <v>0</v>
      </c>
      <c r="EH23" s="671">
        <f>IF(AND(AND(Stamoplysninger!$B$22="Ulempetillæg afspadseres med 25%(Kræver en aftale imellem ledelsen og den ansatte)",I23="X",C23="Ikke relevant")),K23/4,0)</f>
        <v>0</v>
      </c>
      <c r="EI23" s="671">
        <f>IF(AND(AND(Stamoplysninger!$B$22="Ulempetillæg afspadseres med 25%(Kræver en aftale imellem ledelsen og den ansatte)",U23="X",C23="Ikke relevant")),X23/4,0)</f>
        <v>0</v>
      </c>
      <c r="EJ23" s="671">
        <f>IF(AND(AND(AND(Stamoplysninger!$B$22="Ulempetillæg afspadseres med 25%(Kræver en aftale imellem ledelsen og den ansatte)",I23="X",C23="Ikke relevant",S23="X"))),V23/4,0)</f>
        <v>0</v>
      </c>
      <c r="EK23" s="283">
        <f>IF(AND(Stamoplysninger!$B$26="Weekendtimer og weekendtillæg afspadseres.",I23="X"),K23*1.5,0)</f>
        <v>0</v>
      </c>
      <c r="EL23" s="251">
        <f>IF(AND(AND(Stamoplysninger!$B$26="Weekendtimer og weekendtillæg afspadseres.",I23="X",S23="X")),V23*1.5,0)</f>
        <v>0</v>
      </c>
      <c r="EM23" s="674">
        <f>IF(AND(AND(Stamoplysninger!$B$26="Weekendtimer og weekendtillæg afspadseres.",I23="X",C23="ikke relevant")),K23*1.5,0)</f>
        <v>0</v>
      </c>
      <c r="EN23" s="675">
        <f>IF(AND(AND(AND(Stamoplysninger!$B$26="Weekendtimer og weekendtillæg afspadseres.",I23="X",C23="ikke relevant",S23="X"))),(V23*1.5),0)</f>
        <v>0</v>
      </c>
      <c r="EO23" s="283">
        <f>IF(AND(Stamoplysninger!$B$26="Weekendtimer og weekendtillæg udbetales.",I23="X"),K23*1.5,0)</f>
        <v>0</v>
      </c>
      <c r="EP23" s="251">
        <f>IF(AND(AND(Stamoplysninger!$B$26="Weekendtimer og weekendtillæg udbetales.",I23="X",S23="X")),V23*1.5,0)</f>
        <v>0</v>
      </c>
      <c r="EQ23" s="674">
        <f>IF(AND(AND(Stamoplysninger!$B$26="Weekendtimer og weekendtillæg udbetales.",I23="X",C23="ikke relevant")),K23*1.5,0)</f>
        <v>0</v>
      </c>
      <c r="ER23" s="675">
        <f>IF(AND(AND(AND(Stamoplysninger!$B$26="Weekendtimer og weekendtillæg udbetales.",I23="X",C23="ikke relevant",S23="X"))),(V23*1.5),0)</f>
        <v>0</v>
      </c>
      <c r="ES23" s="283">
        <f>IF(AND(Stamoplysninger!$B$26="Der er indgået lokalaftale omkring weekendtimer.(Kræver aftale med TR/FSL) Weekendtillæg afspadseres.",I23="X"),K23*0.5,0)</f>
        <v>0</v>
      </c>
      <c r="ET23" s="251">
        <f>IF(AND(AND(Stamoplysninger!$B$26="Der er indgået lokalaftale omkring weekendtimer.(Kræver aftale med TR/FSL) Weekendtillæg afspadseres.",I23="X",S23="X")),V23*0.5,0)</f>
        <v>0</v>
      </c>
      <c r="EU23" s="674">
        <f>IF(AND(AND(Stamoplysninger!$B$26="Der er indgået lokalaftale omkring weekendtimer.(Kræver aftale med TR/FSL) Weekendtillæg afspadseres.",I23="X",C23="ikke relevant")),K23*0.5,0)</f>
        <v>0</v>
      </c>
      <c r="EV23" s="675">
        <f>IF(AND(AND(AND(Stamoplysninger!$B$26="Der er indgået lokalaftale omkring weekendtimer.(Kræver aftale med TR/FSL) Weekendtillæg afspadseres.",I23="X",C23="ikke relevant",S23="X"))),(V23*0.5),0)</f>
        <v>0</v>
      </c>
      <c r="EW23" s="283">
        <f>IF(AND(Stamoplysninger!$B$26="Der er indgået lokalaftale omkring weekendtimer(Kræver aftale med TR/FSL). Weekendtillæg udbetales.",I23="X"),K23*0.5,0)</f>
        <v>0</v>
      </c>
      <c r="EX23" s="251">
        <f>IF(AND(AND(Stamoplysninger!$B$26="Der er indgået lokalaftale omkring weekendtimer(Kræver aftale med TR/FSL). Weekendtillæg udbetales.",I23="X",S23="X")),V23*0.5,0)</f>
        <v>0</v>
      </c>
      <c r="EY23" s="674">
        <f>IF(AND(AND(Stamoplysninger!$B$26="Der er indgået lokalaftale omkring weekendtimer(Kræver aftale med TR/FSL). Weekendtillæg udbetales.",I23="X",C23="ikke relevant")),K23*0.5,0)</f>
        <v>0</v>
      </c>
      <c r="EZ23" s="675">
        <f>IF(AND(AND(AND(Stamoplysninger!$B$26="Der er indgået lokalaftale omkring weekendtimer(Kræver aftale med TR/FSL). Weekendtillæg udbetales.",I23="X",C23="ikke relevant",S23="X"))),(V23*0.5),0)</f>
        <v>0</v>
      </c>
      <c r="FA23" s="283">
        <f>IF(AND(Stamoplysninger!$B$26="Der er indgået lokalaftale omkring weekendtillæg(Kræver aftale med TR/FSL). Weekendtimerne afspadseres.",I23="X"),K23,0)</f>
        <v>0</v>
      </c>
      <c r="FB23" s="251">
        <f>IF(AND(AND(Stamoplysninger!$B$26="Der er indgået lokalaftale omkring weekendtillæg(Kræver aftale med TR/FSL). Weekendtimerne afspadseres.",I23="X",S23="X")),V23,0)</f>
        <v>0</v>
      </c>
      <c r="FC23" s="674">
        <f>IF(AND(AND(Stamoplysninger!$B$26="Der er indgået lokalaftale omkring weekendtillæg(Kræver aftale med TR/FSL). Weekendtimerne afspadseres..",I23="X",C23="ikke relevant")),K23,0)</f>
        <v>0</v>
      </c>
      <c r="FD23" s="675">
        <f>IF(AND(AND(AND(Stamoplysninger!$B$26="Der er indgået lokalaftale omkring weekendtillæg(Kræver aftale med TR/FSL). Weekendtimerne afspadseres.",I23="X",C23="ikke relevant",S23="X"))),(V23),0)</f>
        <v>0</v>
      </c>
      <c r="FE23" s="283">
        <f>IF(AND(Stamoplysninger!$B$26="Der er indgået lokalaftale omkring weekendtillæg(Kræver aftale med TR/FSL). Weekendtimerne udbetales.",I23="X"),K23,0)</f>
        <v>0</v>
      </c>
      <c r="FF23" s="251">
        <f>IF(AND(AND(Stamoplysninger!$B$26="Der er indgået lokalaftale omkring weekendtillæg(Kræver aftale med TR/FSL). Weekendtimerne udbetales.",I23="X",S23="X")),V23,0)</f>
        <v>0</v>
      </c>
      <c r="FG23" s="674">
        <f>IF(AND(AND(Stamoplysninger!$B$26="Der er indgået lokalaftale omkring weekendtillæg(Kræver aftale med TR/FSL). Weekendtimerne udbetales.",I23="X",C23="ikke relevant")),K23,0)</f>
        <v>0</v>
      </c>
      <c r="FH23" s="675">
        <f>IF(AND(AND(AND(Stamoplysninger!$B$26="Der er indgået lokalaftale omkring weekendtillæg(Kræver aftale med TR/FSL). Weekendtimerne udbetales.",I23="X",C23="ikke relevant",S23="X"))),(V23),0)</f>
        <v>0</v>
      </c>
      <c r="FI23" s="283">
        <f>IF(AND(Stamoplysninger!$B$26="Weekendtimer og weekendtillæg afspadseres.",I23="X"),K23,0)</f>
        <v>0</v>
      </c>
      <c r="FJ23" s="251">
        <f>IF(AND(Stamoplysninger!$B$26="Weekendtimer og weekendtillæg afspadseres.",Y23="X"),(AA23+AL23)/2,0)</f>
        <v>0</v>
      </c>
      <c r="FK23" s="674">
        <f>IF(AND(AND(Stamoplysninger!$B$26="Weekendtimer og weekendtillæg afspadseres.",I23="X",C23="ikke relevant")),K23,0)</f>
        <v>0</v>
      </c>
      <c r="FL23" s="675">
        <f>IF(AND(AND(Stamoplysninger!$B$26="Weekendtimer og weekendtillæg afspadseres.",Y23="X",S23="ikke relevant")),(AA23+AL23)/2,0)</f>
        <v>0</v>
      </c>
      <c r="FM23" s="283">
        <f>IF(AND(Stamoplysninger!$B$26="Der er indgået lokalaftale omkring weekendtillæg(Kræver aftale med TR/FSL). Weekendtimerne afspadseres.",I23="X"),K23,0)</f>
        <v>0</v>
      </c>
      <c r="FN23" s="674">
        <f>IF(AND(AND(Stamoplysninger!$B$26="Der er indgået lokalaftale omkring weekendtillæg(Kræver aftale med TR/FSL). Weekendtimerne afspadseres.",I23="X",C23="ikke relevant")),K23,0)</f>
        <v>0</v>
      </c>
      <c r="FO23" s="283">
        <f>IF(AND(Stamoplysninger!$B$26="Weekendtimer og weekendtillæg udbetales.",I23="X"),K23,0)</f>
        <v>0</v>
      </c>
      <c r="FP23" s="251">
        <f>IF(AND(Stamoplysninger!$B$26="Weekendtimer og weekendtillæg udbetales.",AA23="X"),(AC23+AN23)/2,0)</f>
        <v>0</v>
      </c>
      <c r="FQ23" s="674">
        <f>IF(AND(AND(Stamoplysninger!$B$26="Weekendtimer og weekendtillæg udbetales.",I23="X",C23="ikke relevant")),K23,0)</f>
        <v>0</v>
      </c>
      <c r="FR23" s="688">
        <f>IF(AND(AND(Stamoplysninger!$B$26="Weekendtimer og weekendtillæg udbetales.",AA23="X",U23="ikke relevant")),(AC23+AN23)/2,0)</f>
        <v>0</v>
      </c>
      <c r="FS23" s="283">
        <f t="shared" si="15"/>
        <v>0</v>
      </c>
      <c r="FT23" s="658">
        <f t="shared" si="16"/>
        <v>0</v>
      </c>
      <c r="FU23">
        <f t="shared" si="17"/>
        <v>0</v>
      </c>
      <c r="FV23" s="283">
        <f>IF(AND(Stamoplysninger!$B$26="Der er indgået lokalaftale omkring weekendtimer.(Kræver aftale med TR/FSL) Weekendtillæg afspadseres.",I23="X"),K23,0)</f>
        <v>0</v>
      </c>
      <c r="FW23" s="674">
        <f>IF(AND(AND(Stamoplysninger!$B$26="Der er indgået lokalaftale omkring weekendtimer.(Kræver aftale med TR/FSL) Weekendtillæg afspadseres.",I23="X",C23="ikke relevant")),K23,0)</f>
        <v>0</v>
      </c>
      <c r="FX23" s="283">
        <f>IF(AND(Stamoplysninger!$B$26="Der er indgået lokalaftale omkring weekendtimer(Kræver aftale med TR/FSL). Weekendtillæg udbetales.",I23="X"),K23,0)</f>
        <v>0</v>
      </c>
      <c r="FY23" s="674">
        <f>IF(AND(AND(Stamoplysninger!$B$26="Der er indgået lokalaftale omkring weekendtimer(Kræver aftale med TR/FSL). Weekendtillæg udbetales.",I23="X",C23="ikke relevant")),K23,0)</f>
        <v>0</v>
      </c>
      <c r="FZ23" s="283">
        <f>IF(AND(Stamoplysninger!$B$26="Der er indgået lokalaftale omkring weekendtillæg(Kræver aftale med TR/FSL). Weekendtimerne udbetales.",I23="X"),K23,0)</f>
        <v>0</v>
      </c>
      <c r="GA23" s="674">
        <f>IF(AND(AND(Stamoplysninger!$B$26="Der er indgået lokalaftale omkring weekendtillæg(Kræver aftale med TR/FSL). Weekendtimerne udbetales.",I23="X",C23="ikke relevant")),K23,0)</f>
        <v>0</v>
      </c>
      <c r="GB23" s="283">
        <f>IF(AND(Stamoplysninger!$B$26="Der er indgået lokalaftale omkring weekendtimer og weekendtillæg.(Kræver aftale med TR/FSL).",I23="X"),K23,0)</f>
        <v>0</v>
      </c>
      <c r="GC23" s="674">
        <f>IF(AND(AND(Stamoplysninger!$B$26="Der er indgået lokalaftale omkring weekendtimer og weekendtillæg.(Kræver aftale med TR/FSL).",I23="X",C23="ikke relevant")),K23,0)</f>
        <v>0</v>
      </c>
    </row>
    <row r="24" spans="1:185">
      <c r="A24" s="245">
        <f>IF(ISNUMBER(A23),A23+1,1)</f>
        <v>16</v>
      </c>
      <c r="B24" s="128" t="str">
        <f t="shared" si="0"/>
        <v>on</v>
      </c>
      <c r="C24" s="129" t="s">
        <v>210</v>
      </c>
      <c r="D24" s="130" t="str">
        <f t="shared" si="1"/>
        <v/>
      </c>
      <c r="E24" s="917" t="s">
        <v>113</v>
      </c>
      <c r="F24" s="918"/>
      <c r="G24" s="919"/>
      <c r="H24" s="298"/>
      <c r="I24" s="527"/>
      <c r="J24" s="413"/>
      <c r="K24" s="380"/>
      <c r="L24" s="380"/>
      <c r="M24" s="380"/>
      <c r="N24" s="318">
        <f t="shared" si="19"/>
        <v>0</v>
      </c>
      <c r="O24" s="318">
        <f t="shared" si="20"/>
        <v>0</v>
      </c>
      <c r="P24" s="318">
        <f>IF(Stamoplysninger!$H$29="JA",Juli!DG24,CX24)</f>
        <v>0</v>
      </c>
      <c r="Q24" s="318">
        <f t="shared" si="21"/>
        <v>0</v>
      </c>
      <c r="R24" s="319"/>
      <c r="S24" s="324"/>
      <c r="T24" s="325"/>
      <c r="U24" s="325"/>
      <c r="V24" s="435"/>
      <c r="W24" s="412"/>
      <c r="X24" s="642"/>
      <c r="Y24">
        <f t="shared" si="22"/>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9">
        <f t="shared" si="8"/>
        <v>0</v>
      </c>
      <c r="BC24" s="1">
        <f t="shared" si="24"/>
        <v>0</v>
      </c>
      <c r="BD24" s="1">
        <f t="shared" si="9"/>
        <v>0</v>
      </c>
      <c r="BE24" s="1">
        <f t="shared" si="10"/>
        <v>0</v>
      </c>
      <c r="BF24" s="1">
        <f t="shared" si="11"/>
        <v>0</v>
      </c>
      <c r="BG24" s="210" t="str">
        <f>IF(AND(C24="Skema 1",B24="ma"),Skemaoplysninger!$E$30,"")</f>
        <v/>
      </c>
      <c r="BH24" s="210" t="str">
        <f>IF(AND(C24="Skema 1",B24="ti"),Skemaoplysninger!$G$30,"")</f>
        <v/>
      </c>
      <c r="BI24" s="210" t="str">
        <f>IF(AND(C24="Skema 1",B24="on"),Skemaoplysninger!$I$30,"")</f>
        <v/>
      </c>
      <c r="BJ24" s="210" t="str">
        <f>IF(AND(C24="Skema 1",B24="to"),Skemaoplysninger!$K$30,"")</f>
        <v/>
      </c>
      <c r="BK24" s="210" t="str">
        <f>IF(AND(C24="Skema 1",B24="fr"),Skemaoplysninger!$M$30,"")</f>
        <v/>
      </c>
      <c r="BL24" s="210" t="str">
        <f>IF(AND(C24="Skema 2",B24="ma"),Skemaoplysninger!$S$30,"")</f>
        <v/>
      </c>
      <c r="BM24" s="210" t="str">
        <f>IF(AND(C24="Skema 2",B24="ti"),Skemaoplysninger!$U$30,"")</f>
        <v/>
      </c>
      <c r="BN24" s="210" t="str">
        <f>IF(AND(C24="Skema 2",B24="on"),Skemaoplysninger!$W$30,"")</f>
        <v/>
      </c>
      <c r="BO24" s="210" t="str">
        <f>IF(AND(C24="Skema 2",B24="to"),Skemaoplysninger!$Y$30,"")</f>
        <v/>
      </c>
      <c r="BP24" s="210" t="str">
        <f>IF(AND(C24="Skema 2",B24="fr"),Skemaoplysninger!$AA$30,"")</f>
        <v/>
      </c>
      <c r="BQ24" s="210" t="str">
        <f>IF(AND(C24="Skema 3",B24="ma"),Skemaoplysninger!$AG$30,"")</f>
        <v/>
      </c>
      <c r="BR24" s="210" t="str">
        <f>IF(AND(C24="Skema 3",B24="ti"),Skemaoplysninger!$AI$30,"")</f>
        <v/>
      </c>
      <c r="BS24" s="210" t="str">
        <f>IF(AND(C24="Skema 3",B24="on"),Skemaoplysninger!$AK$30,"")</f>
        <v/>
      </c>
      <c r="BT24" s="210" t="str">
        <f>IF(AND(C24="Skema 3",B24="to"),Skemaoplysninger!$AM$30,"")</f>
        <v/>
      </c>
      <c r="BU24" s="210" t="str">
        <f>IF(AND(C24="Skema 3",B24="fr"),Skemaoplysninger!$AO$30,"")</f>
        <v/>
      </c>
      <c r="BV24" s="210" t="str">
        <f>IF(AND(C24="Skema 4",B24="ma"),Skemaoplysninger!$AU$30,"")</f>
        <v/>
      </c>
      <c r="BW24" s="210" t="str">
        <f>IF(AND(C24="Skema 4",B24="ti"),Skemaoplysninger!$AW$30,"")</f>
        <v/>
      </c>
      <c r="BX24" s="210" t="str">
        <f>IF(AND(C24="Skema 4",B24="on"),Skemaoplysninger!$AY$30,"")</f>
        <v/>
      </c>
      <c r="BY24" s="210" t="str">
        <f>IF(AND(C24="Skema 4",B24="to"),Skemaoplysninger!$BA$30,"")</f>
        <v/>
      </c>
      <c r="BZ24" s="210" t="str">
        <f>IF(AND(C24="Skema 4",B24="fr"),Skemaoplysninger!$BC$30,"")</f>
        <v/>
      </c>
      <c r="CA24" s="1">
        <f t="shared" si="25"/>
        <v>0</v>
      </c>
      <c r="CB24" s="1">
        <f t="shared" si="12"/>
        <v>0</v>
      </c>
      <c r="CC24" s="1">
        <f t="shared" si="13"/>
        <v>0</v>
      </c>
      <c r="CD24" s="210" t="str">
        <f>IF(AND(C24="Skema 1",B24="ma"),Skemaoplysninger!$E$31,"")</f>
        <v/>
      </c>
      <c r="CE24" s="210" t="str">
        <f>IF(AND(C24="Skema 1",B24="ti"),Skemaoplysninger!$G$31,"")</f>
        <v/>
      </c>
      <c r="CF24" s="210" t="str">
        <f>IF(AND(C24="Skema 1",B24="on"),Skemaoplysninger!$I$31,"")</f>
        <v/>
      </c>
      <c r="CG24" s="210" t="str">
        <f>IF(AND(C24="Skema 1",B24="to"),Skemaoplysninger!$K$31,"")</f>
        <v/>
      </c>
      <c r="CH24" s="210" t="str">
        <f>IF(AND(C24="Skema 1",B24="fr"),Skemaoplysninger!$M$31,"")</f>
        <v/>
      </c>
      <c r="CI24" s="210" t="str">
        <f>IF(AND(C24="Skema 2",B24="ma"),Skemaoplysninger!$S$31,"")</f>
        <v/>
      </c>
      <c r="CJ24" s="210" t="str">
        <f>IF(AND(C24="Skema 2",B24="ti"),Skemaoplysninger!$U$31,"")</f>
        <v/>
      </c>
      <c r="CK24" s="210" t="str">
        <f>IF(AND(C24="Skema 2",B24="on"),Skemaoplysninger!$W$31,"")</f>
        <v/>
      </c>
      <c r="CL24" s="210" t="str">
        <f>IF(AND(C24="Skema 2",B24="to"),Skemaoplysninger!$Y$31,"")</f>
        <v/>
      </c>
      <c r="CM24" s="210" t="str">
        <f>IF(AND(C24="Skema 2",B24="fr"),Skemaoplysninger!$AA$31,"")</f>
        <v/>
      </c>
      <c r="CN24" s="210" t="str">
        <f>IF(AND(C24="Skema 3",B24="ma"),Skemaoplysninger!$AG$31,"")</f>
        <v/>
      </c>
      <c r="CO24" s="210" t="str">
        <f>IF(AND(C24="Skema 3",B24="ti"),Skemaoplysninger!$AI$31,"")</f>
        <v/>
      </c>
      <c r="CP24" s="210" t="str">
        <f>IF(AND(C24="Skema 3",B24="on"),Skemaoplysninger!$AK$31,"")</f>
        <v/>
      </c>
      <c r="CQ24" s="210" t="str">
        <f>IF(AND(C24="Skema 3",B24="to"),Skemaoplysninger!$AM$31,"")</f>
        <v/>
      </c>
      <c r="CR24" s="210" t="str">
        <f>IF(AND(C24="Skema 3",B24="fr"),Skemaoplysninger!$AO$31,"")</f>
        <v/>
      </c>
      <c r="CS24" s="210" t="str">
        <f>IF(AND(C24="Skema 4",B24="ma"),Skemaoplysninger!$AU$31,"")</f>
        <v/>
      </c>
      <c r="CT24" s="210" t="str">
        <f>IF(AND(C24="Skema 4",B24="ti"),Skemaoplysninger!$AW$31,"")</f>
        <v/>
      </c>
      <c r="CU24" s="210" t="str">
        <f>IF(AND(C24="Skema 4",B24="on"),Skemaoplysninger!$AY$31,"")</f>
        <v/>
      </c>
      <c r="CV24" s="210" t="str">
        <f>IF(AND(C24="Skema 4",B24="to"),Skemaoplysninger!$BA$31,"")</f>
        <v/>
      </c>
      <c r="CW24" s="210" t="str">
        <f>IF(AND(C24="Skema 4",B24="fr"),Skemaoplysninger!$BC$31,"")</f>
        <v/>
      </c>
      <c r="CX24" s="249">
        <f>IF(Stamoplysninger!$H$29="NEJ",SUM(CD24:CW24)*24+CB24+CC24,0)</f>
        <v>0</v>
      </c>
      <c r="CY24" s="249">
        <f>IF(C24="Skema 1",Stamoplysninger!$H$30/200,0)</f>
        <v>0</v>
      </c>
      <c r="CZ24" s="249">
        <f>IF(C24="Skema 2",Stamoplysninger!$H$30/200,0)</f>
        <v>0</v>
      </c>
      <c r="DA24" s="249">
        <f>IF(C24="Skema 3",Stamoplysninger!$H$30/200,0)</f>
        <v>0</v>
      </c>
      <c r="DB24" s="249">
        <f>IF(C24="Skema 4",Stamoplysninger!$H$30/200,0)</f>
        <v>0</v>
      </c>
      <c r="DC24" s="249">
        <f>IF(C24="fagdag",Stamoplysninger!$H$30/200,0)</f>
        <v>0</v>
      </c>
      <c r="DD24" s="249">
        <f>IF(C24="emnedag",Stamoplysninger!$H$30/200,0)</f>
        <v>0</v>
      </c>
      <c r="DE24" s="249">
        <f>IF(C24="lejrskole",Stamoplysninger!$H$30/200,0)</f>
        <v>0</v>
      </c>
      <c r="DF24" s="249">
        <f>IF(C24="ekskursion",Stamoplysninger!$H$30/200,0)</f>
        <v>0</v>
      </c>
      <c r="DG24" s="249">
        <f t="shared" si="26"/>
        <v>0</v>
      </c>
      <c r="DH24" t="str">
        <f t="shared" si="27"/>
        <v/>
      </c>
      <c r="DI24" t="str">
        <f t="shared" si="28"/>
        <v>Sommerferie</v>
      </c>
      <c r="DJ24" t="str">
        <f t="shared" si="29"/>
        <v/>
      </c>
      <c r="DK24" t="str">
        <f t="shared" si="14"/>
        <v/>
      </c>
      <c r="DL24" t="str">
        <f t="shared" si="14"/>
        <v>Sommerferie</v>
      </c>
      <c r="DM24" t="str">
        <f t="shared" si="14"/>
        <v/>
      </c>
      <c r="DN24" t="str">
        <f t="shared" si="30"/>
        <v>Sommerferie</v>
      </c>
      <c r="DO24" s="652">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71">
        <f>IF(AND(Stamoplysninger!$B$22="Ulempetillæg udbetales med 25% af nettotimelønnen.",C24="ikke relevant"),(R24)/4,0)</f>
        <v>0</v>
      </c>
      <c r="DT24" s="671">
        <f>IF(AND(AND(Stamoplysninger!$B$22="Ulempetillæg udbetales med 25% af nettotimelønnen.",I24="X",C24="Ikke relevant")),K24/4,0)</f>
        <v>0</v>
      </c>
      <c r="DU24" s="671">
        <f>IF(AND(AND(Stamoplysninger!$B$22="Ulempetillæg udbetales med 25% af nettotimelønnen.",C24="ikke relevant",U24="X")),(X24/4),0)</f>
        <v>0</v>
      </c>
      <c r="DV24" s="672">
        <f>IF(AND(AND(AND(Stamoplysninger!$B$22="Ulempetillæg udbetales med 25% af nettotimelønnen.",I24="X",C24="Ikke relevant",S24="X"))),V24/4,0)</f>
        <v>0</v>
      </c>
      <c r="DW24" s="652"/>
      <c r="DZ24" s="671"/>
      <c r="EA24" s="671"/>
      <c r="EB24" s="672"/>
      <c r="EC24" s="652">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71">
        <f>IF(AND(Stamoplysninger!$B$22="Ulempetillæg afspadseres med 25%(Kræver en aftale imellem ledelsen og den ansatte)",C24="ikke relevant"),(R24)/4,0)</f>
        <v>0</v>
      </c>
      <c r="EH24" s="671">
        <f>IF(AND(AND(Stamoplysninger!$B$22="Ulempetillæg afspadseres med 25%(Kræver en aftale imellem ledelsen og den ansatte)",I24="X",C24="Ikke relevant")),K24/4,0)</f>
        <v>0</v>
      </c>
      <c r="EI24" s="671">
        <f>IF(AND(AND(Stamoplysninger!$B$22="Ulempetillæg afspadseres med 25%(Kræver en aftale imellem ledelsen og den ansatte)",U24="X",C24="Ikke relevant")),X24/4,0)</f>
        <v>0</v>
      </c>
      <c r="EJ24" s="671">
        <f>IF(AND(AND(AND(Stamoplysninger!$B$22="Ulempetillæg afspadseres med 25%(Kræver en aftale imellem ledelsen og den ansatte)",I24="X",C24="Ikke relevant",S24="X"))),V24/4,0)</f>
        <v>0</v>
      </c>
      <c r="EK24" s="283">
        <f>IF(AND(Stamoplysninger!$B$26="Weekendtimer og weekendtillæg afspadseres.",I24="X"),K24*1.5,0)</f>
        <v>0</v>
      </c>
      <c r="EL24" s="251">
        <f>IF(AND(AND(Stamoplysninger!$B$26="Weekendtimer og weekendtillæg afspadseres.",I24="X",S24="X")),V24*1.5,0)</f>
        <v>0</v>
      </c>
      <c r="EM24" s="674">
        <f>IF(AND(AND(Stamoplysninger!$B$26="Weekendtimer og weekendtillæg afspadseres.",I24="X",C24="ikke relevant")),K24*1.5,0)</f>
        <v>0</v>
      </c>
      <c r="EN24" s="675">
        <f>IF(AND(AND(AND(Stamoplysninger!$B$26="Weekendtimer og weekendtillæg afspadseres.",I24="X",C24="ikke relevant",S24="X"))),(V24*1.5),0)</f>
        <v>0</v>
      </c>
      <c r="EO24" s="283">
        <f>IF(AND(Stamoplysninger!$B$26="Weekendtimer og weekendtillæg udbetales.",I24="X"),K24*1.5,0)</f>
        <v>0</v>
      </c>
      <c r="EP24" s="251">
        <f>IF(AND(AND(Stamoplysninger!$B$26="Weekendtimer og weekendtillæg udbetales.",I24="X",S24="X")),V24*1.5,0)</f>
        <v>0</v>
      </c>
      <c r="EQ24" s="674">
        <f>IF(AND(AND(Stamoplysninger!$B$26="Weekendtimer og weekendtillæg udbetales.",I24="X",C24="ikke relevant")),K24*1.5,0)</f>
        <v>0</v>
      </c>
      <c r="ER24" s="675">
        <f>IF(AND(AND(AND(Stamoplysninger!$B$26="Weekendtimer og weekendtillæg udbetales.",I24="X",C24="ikke relevant",S24="X"))),(V24*1.5),0)</f>
        <v>0</v>
      </c>
      <c r="ES24" s="283">
        <f>IF(AND(Stamoplysninger!$B$26="Der er indgået lokalaftale omkring weekendtimer.(Kræver aftale med TR/FSL) Weekendtillæg afspadseres.",I24="X"),K24*0.5,0)</f>
        <v>0</v>
      </c>
      <c r="ET24" s="251">
        <f>IF(AND(AND(Stamoplysninger!$B$26="Der er indgået lokalaftale omkring weekendtimer.(Kræver aftale med TR/FSL) Weekendtillæg afspadseres.",I24="X",S24="X")),V24*0.5,0)</f>
        <v>0</v>
      </c>
      <c r="EU24" s="674">
        <f>IF(AND(AND(Stamoplysninger!$B$26="Der er indgået lokalaftale omkring weekendtimer.(Kræver aftale med TR/FSL) Weekendtillæg afspadseres.",I24="X",C24="ikke relevant")),K24*0.5,0)</f>
        <v>0</v>
      </c>
      <c r="EV24" s="675">
        <f>IF(AND(AND(AND(Stamoplysninger!$B$26="Der er indgået lokalaftale omkring weekendtimer.(Kræver aftale med TR/FSL) Weekendtillæg afspadseres.",I24="X",C24="ikke relevant",S24="X"))),(V24*0.5),0)</f>
        <v>0</v>
      </c>
      <c r="EW24" s="283">
        <f>IF(AND(Stamoplysninger!$B$26="Der er indgået lokalaftale omkring weekendtimer(Kræver aftale med TR/FSL). Weekendtillæg udbetales.",I24="X"),K24*0.5,0)</f>
        <v>0</v>
      </c>
      <c r="EX24" s="251">
        <f>IF(AND(AND(Stamoplysninger!$B$26="Der er indgået lokalaftale omkring weekendtimer(Kræver aftale med TR/FSL). Weekendtillæg udbetales.",I24="X",S24="X")),V24*0.5,0)</f>
        <v>0</v>
      </c>
      <c r="EY24" s="674">
        <f>IF(AND(AND(Stamoplysninger!$B$26="Der er indgået lokalaftale omkring weekendtimer(Kræver aftale med TR/FSL). Weekendtillæg udbetales.",I24="X",C24="ikke relevant")),K24*0.5,0)</f>
        <v>0</v>
      </c>
      <c r="EZ24" s="675">
        <f>IF(AND(AND(AND(Stamoplysninger!$B$26="Der er indgået lokalaftale omkring weekendtimer(Kræver aftale med TR/FSL). Weekendtillæg udbetales.",I24="X",C24="ikke relevant",S24="X"))),(V24*0.5),0)</f>
        <v>0</v>
      </c>
      <c r="FA24" s="283">
        <f>IF(AND(Stamoplysninger!$B$26="Der er indgået lokalaftale omkring weekendtillæg(Kræver aftale med TR/FSL). Weekendtimerne afspadseres.",I24="X"),K24,0)</f>
        <v>0</v>
      </c>
      <c r="FB24" s="251">
        <f>IF(AND(AND(Stamoplysninger!$B$26="Der er indgået lokalaftale omkring weekendtillæg(Kræver aftale med TR/FSL). Weekendtimerne afspadseres.",I24="X",S24="X")),V24,0)</f>
        <v>0</v>
      </c>
      <c r="FC24" s="674">
        <f>IF(AND(AND(Stamoplysninger!$B$26="Der er indgået lokalaftale omkring weekendtillæg(Kræver aftale med TR/FSL). Weekendtimerne afspadseres..",I24="X",C24="ikke relevant")),K24,0)</f>
        <v>0</v>
      </c>
      <c r="FD24" s="675">
        <f>IF(AND(AND(AND(Stamoplysninger!$B$26="Der er indgået lokalaftale omkring weekendtillæg(Kræver aftale med TR/FSL). Weekendtimerne afspadseres.",I24="X",C24="ikke relevant",S24="X"))),(V24),0)</f>
        <v>0</v>
      </c>
      <c r="FE24" s="283">
        <f>IF(AND(Stamoplysninger!$B$26="Der er indgået lokalaftale omkring weekendtillæg(Kræver aftale med TR/FSL). Weekendtimerne udbetales.",I24="X"),K24,0)</f>
        <v>0</v>
      </c>
      <c r="FF24" s="251">
        <f>IF(AND(AND(Stamoplysninger!$B$26="Der er indgået lokalaftale omkring weekendtillæg(Kræver aftale med TR/FSL). Weekendtimerne udbetales.",I24="X",S24="X")),V24,0)</f>
        <v>0</v>
      </c>
      <c r="FG24" s="674">
        <f>IF(AND(AND(Stamoplysninger!$B$26="Der er indgået lokalaftale omkring weekendtillæg(Kræver aftale med TR/FSL). Weekendtimerne udbetales.",I24="X",C24="ikke relevant")),K24,0)</f>
        <v>0</v>
      </c>
      <c r="FH24" s="675">
        <f>IF(AND(AND(AND(Stamoplysninger!$B$26="Der er indgået lokalaftale omkring weekendtillæg(Kræver aftale med TR/FSL). Weekendtimerne udbetales.",I24="X",C24="ikke relevant",S24="X"))),(V24),0)</f>
        <v>0</v>
      </c>
      <c r="FI24" s="283">
        <f>IF(AND(Stamoplysninger!$B$26="Weekendtimer og weekendtillæg afspadseres.",I24="X"),K24,0)</f>
        <v>0</v>
      </c>
      <c r="FJ24" s="251">
        <f>IF(AND(Stamoplysninger!$B$26="Weekendtimer og weekendtillæg afspadseres.",Y24="X"),(AA24+AL24)/2,0)</f>
        <v>0</v>
      </c>
      <c r="FK24" s="674">
        <f>IF(AND(AND(Stamoplysninger!$B$26="Weekendtimer og weekendtillæg afspadseres.",I24="X",C24="ikke relevant")),K24,0)</f>
        <v>0</v>
      </c>
      <c r="FL24" s="675">
        <f>IF(AND(AND(Stamoplysninger!$B$26="Weekendtimer og weekendtillæg afspadseres.",Y24="X",S24="ikke relevant")),(AA24+AL24)/2,0)</f>
        <v>0</v>
      </c>
      <c r="FM24" s="283">
        <f>IF(AND(Stamoplysninger!$B$26="Der er indgået lokalaftale omkring weekendtillæg(Kræver aftale med TR/FSL). Weekendtimerne afspadseres.",I24="X"),K24,0)</f>
        <v>0</v>
      </c>
      <c r="FN24" s="674">
        <f>IF(AND(AND(Stamoplysninger!$B$26="Der er indgået lokalaftale omkring weekendtillæg(Kræver aftale med TR/FSL). Weekendtimerne afspadseres.",I24="X",C24="ikke relevant")),K24,0)</f>
        <v>0</v>
      </c>
      <c r="FO24" s="283">
        <f>IF(AND(Stamoplysninger!$B$26="Weekendtimer og weekendtillæg udbetales.",I24="X"),K24,0)</f>
        <v>0</v>
      </c>
      <c r="FP24" s="251">
        <f>IF(AND(Stamoplysninger!$B$26="Weekendtimer og weekendtillæg udbetales.",AA24="X"),(AC24+AN24)/2,0)</f>
        <v>0</v>
      </c>
      <c r="FQ24" s="674">
        <f>IF(AND(AND(Stamoplysninger!$B$26="Weekendtimer og weekendtillæg udbetales.",I24="X",C24="ikke relevant")),K24,0)</f>
        <v>0</v>
      </c>
      <c r="FR24" s="688">
        <f>IF(AND(AND(Stamoplysninger!$B$26="Weekendtimer og weekendtillæg udbetales.",AA24="X",U24="ikke relevant")),(AC24+AN24)/2,0)</f>
        <v>0</v>
      </c>
      <c r="FS24" s="283">
        <f t="shared" si="15"/>
        <v>0</v>
      </c>
      <c r="FT24" s="658">
        <f t="shared" si="16"/>
        <v>0</v>
      </c>
      <c r="FU24">
        <f t="shared" si="17"/>
        <v>0</v>
      </c>
      <c r="FV24" s="283">
        <f>IF(AND(Stamoplysninger!$B$26="Der er indgået lokalaftale omkring weekendtimer.(Kræver aftale med TR/FSL) Weekendtillæg afspadseres.",I24="X"),K24,0)</f>
        <v>0</v>
      </c>
      <c r="FW24" s="674">
        <f>IF(AND(AND(Stamoplysninger!$B$26="Der er indgået lokalaftale omkring weekendtimer.(Kræver aftale med TR/FSL) Weekendtillæg afspadseres.",I24="X",C24="ikke relevant")),K24,0)</f>
        <v>0</v>
      </c>
      <c r="FX24" s="283">
        <f>IF(AND(Stamoplysninger!$B$26="Der er indgået lokalaftale omkring weekendtimer(Kræver aftale med TR/FSL). Weekendtillæg udbetales.",I24="X"),K24,0)</f>
        <v>0</v>
      </c>
      <c r="FY24" s="674">
        <f>IF(AND(AND(Stamoplysninger!$B$26="Der er indgået lokalaftale omkring weekendtimer(Kræver aftale med TR/FSL). Weekendtillæg udbetales.",I24="X",C24="ikke relevant")),K24,0)</f>
        <v>0</v>
      </c>
      <c r="FZ24" s="283">
        <f>IF(AND(Stamoplysninger!$B$26="Der er indgået lokalaftale omkring weekendtillæg(Kræver aftale med TR/FSL). Weekendtimerne udbetales.",I24="X"),K24,0)</f>
        <v>0</v>
      </c>
      <c r="GA24" s="674">
        <f>IF(AND(AND(Stamoplysninger!$B$26="Der er indgået lokalaftale omkring weekendtillæg(Kræver aftale med TR/FSL). Weekendtimerne udbetales.",I24="X",C24="ikke relevant")),K24,0)</f>
        <v>0</v>
      </c>
      <c r="GB24" s="283">
        <f>IF(AND(Stamoplysninger!$B$26="Der er indgået lokalaftale omkring weekendtimer og weekendtillæg.(Kræver aftale med TR/FSL).",I24="X"),K24,0)</f>
        <v>0</v>
      </c>
      <c r="GC24" s="674">
        <f>IF(AND(AND(Stamoplysninger!$B$26="Der er indgået lokalaftale omkring weekendtimer og weekendtillæg.(Kræver aftale med TR/FSL).",I24="X",C24="ikke relevant")),K24,0)</f>
        <v>0</v>
      </c>
    </row>
    <row r="25" spans="1:185">
      <c r="A25" s="245">
        <f t="shared" si="18"/>
        <v>17</v>
      </c>
      <c r="B25" s="128" t="str">
        <f t="shared" si="0"/>
        <v>to</v>
      </c>
      <c r="C25" s="129" t="s">
        <v>210</v>
      </c>
      <c r="D25" s="130" t="str">
        <f t="shared" si="1"/>
        <v/>
      </c>
      <c r="E25" s="917" t="s">
        <v>113</v>
      </c>
      <c r="F25" s="918"/>
      <c r="G25" s="919"/>
      <c r="H25" s="298"/>
      <c r="I25" s="527"/>
      <c r="J25" s="413"/>
      <c r="K25" s="380"/>
      <c r="L25" s="380"/>
      <c r="M25" s="380"/>
      <c r="N25" s="318">
        <f t="shared" si="19"/>
        <v>0</v>
      </c>
      <c r="O25" s="318">
        <f t="shared" si="20"/>
        <v>0</v>
      </c>
      <c r="P25" s="318">
        <f>IF(Stamoplysninger!$H$29="JA",Juli!DG25,CX25)</f>
        <v>0</v>
      </c>
      <c r="Q25" s="318">
        <f t="shared" si="21"/>
        <v>0</v>
      </c>
      <c r="R25" s="319"/>
      <c r="S25" s="324"/>
      <c r="T25" s="325"/>
      <c r="U25" s="325"/>
      <c r="V25" s="435"/>
      <c r="W25" s="412"/>
      <c r="X25" s="642"/>
      <c r="Y25">
        <f t="shared" si="22"/>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9">
        <f t="shared" si="8"/>
        <v>0</v>
      </c>
      <c r="BC25" s="1">
        <f t="shared" si="24"/>
        <v>0</v>
      </c>
      <c r="BD25" s="1">
        <f t="shared" si="9"/>
        <v>0</v>
      </c>
      <c r="BE25" s="1">
        <f t="shared" si="10"/>
        <v>0</v>
      </c>
      <c r="BF25" s="1">
        <f t="shared" si="11"/>
        <v>0</v>
      </c>
      <c r="BG25" s="210" t="str">
        <f>IF(AND(C25="Skema 1",B25="ma"),Skemaoplysninger!$E$30,"")</f>
        <v/>
      </c>
      <c r="BH25" s="210" t="str">
        <f>IF(AND(C25="Skema 1",B25="ti"),Skemaoplysninger!$G$30,"")</f>
        <v/>
      </c>
      <c r="BI25" s="210" t="str">
        <f>IF(AND(C25="Skema 1",B25="on"),Skemaoplysninger!$I$30,"")</f>
        <v/>
      </c>
      <c r="BJ25" s="210" t="str">
        <f>IF(AND(C25="Skema 1",B25="to"),Skemaoplysninger!$K$30,"")</f>
        <v/>
      </c>
      <c r="BK25" s="210" t="str">
        <f>IF(AND(C25="Skema 1",B25="fr"),Skemaoplysninger!$M$30,"")</f>
        <v/>
      </c>
      <c r="BL25" s="210" t="str">
        <f>IF(AND(C25="Skema 2",B25="ma"),Skemaoplysninger!$S$30,"")</f>
        <v/>
      </c>
      <c r="BM25" s="210" t="str">
        <f>IF(AND(C25="Skema 2",B25="ti"),Skemaoplysninger!$U$30,"")</f>
        <v/>
      </c>
      <c r="BN25" s="210" t="str">
        <f>IF(AND(C25="Skema 2",B25="on"),Skemaoplysninger!$W$30,"")</f>
        <v/>
      </c>
      <c r="BO25" s="210" t="str">
        <f>IF(AND(C25="Skema 2",B25="to"),Skemaoplysninger!$Y$30,"")</f>
        <v/>
      </c>
      <c r="BP25" s="210" t="str">
        <f>IF(AND(C25="Skema 2",B25="fr"),Skemaoplysninger!$AA$30,"")</f>
        <v/>
      </c>
      <c r="BQ25" s="210" t="str">
        <f>IF(AND(C25="Skema 3",B25="ma"),Skemaoplysninger!$AG$30,"")</f>
        <v/>
      </c>
      <c r="BR25" s="210" t="str">
        <f>IF(AND(C25="Skema 3",B25="ti"),Skemaoplysninger!$AI$30,"")</f>
        <v/>
      </c>
      <c r="BS25" s="210" t="str">
        <f>IF(AND(C25="Skema 3",B25="on"),Skemaoplysninger!$AK$30,"")</f>
        <v/>
      </c>
      <c r="BT25" s="210" t="str">
        <f>IF(AND(C25="Skema 3",B25="to"),Skemaoplysninger!$AM$30,"")</f>
        <v/>
      </c>
      <c r="BU25" s="210" t="str">
        <f>IF(AND(C25="Skema 3",B25="fr"),Skemaoplysninger!$AO$30,"")</f>
        <v/>
      </c>
      <c r="BV25" s="210" t="str">
        <f>IF(AND(C25="Skema 4",B25="ma"),Skemaoplysninger!$AU$30,"")</f>
        <v/>
      </c>
      <c r="BW25" s="210" t="str">
        <f>IF(AND(C25="Skema 4",B25="ti"),Skemaoplysninger!$AW$30,"")</f>
        <v/>
      </c>
      <c r="BX25" s="210" t="str">
        <f>IF(AND(C25="Skema 4",B25="on"),Skemaoplysninger!$AY$30,"")</f>
        <v/>
      </c>
      <c r="BY25" s="210" t="str">
        <f>IF(AND(C25="Skema 4",B25="to"),Skemaoplysninger!$BA$30,"")</f>
        <v/>
      </c>
      <c r="BZ25" s="210" t="str">
        <f>IF(AND(C25="Skema 4",B25="fr"),Skemaoplysninger!$BC$30,"")</f>
        <v/>
      </c>
      <c r="CA25" s="1">
        <f t="shared" si="25"/>
        <v>0</v>
      </c>
      <c r="CB25" s="1">
        <f t="shared" si="12"/>
        <v>0</v>
      </c>
      <c r="CC25" s="1">
        <f t="shared" si="13"/>
        <v>0</v>
      </c>
      <c r="CD25" s="210" t="str">
        <f>IF(AND(C25="Skema 1",B25="ma"),Skemaoplysninger!$E$31,"")</f>
        <v/>
      </c>
      <c r="CE25" s="210" t="str">
        <f>IF(AND(C25="Skema 1",B25="ti"),Skemaoplysninger!$G$31,"")</f>
        <v/>
      </c>
      <c r="CF25" s="210" t="str">
        <f>IF(AND(C25="Skema 1",B25="on"),Skemaoplysninger!$I$31,"")</f>
        <v/>
      </c>
      <c r="CG25" s="210" t="str">
        <f>IF(AND(C25="Skema 1",B25="to"),Skemaoplysninger!$K$31,"")</f>
        <v/>
      </c>
      <c r="CH25" s="210" t="str">
        <f>IF(AND(C25="Skema 1",B25="fr"),Skemaoplysninger!$M$31,"")</f>
        <v/>
      </c>
      <c r="CI25" s="210" t="str">
        <f>IF(AND(C25="Skema 2",B25="ma"),Skemaoplysninger!$S$31,"")</f>
        <v/>
      </c>
      <c r="CJ25" s="210" t="str">
        <f>IF(AND(C25="Skema 2",B25="ti"),Skemaoplysninger!$U$31,"")</f>
        <v/>
      </c>
      <c r="CK25" s="210" t="str">
        <f>IF(AND(C25="Skema 2",B25="on"),Skemaoplysninger!$W$31,"")</f>
        <v/>
      </c>
      <c r="CL25" s="210" t="str">
        <f>IF(AND(C25="Skema 2",B25="to"),Skemaoplysninger!$Y$31,"")</f>
        <v/>
      </c>
      <c r="CM25" s="210" t="str">
        <f>IF(AND(C25="Skema 2",B25="fr"),Skemaoplysninger!$AA$31,"")</f>
        <v/>
      </c>
      <c r="CN25" s="210" t="str">
        <f>IF(AND(C25="Skema 3",B25="ma"),Skemaoplysninger!$AG$31,"")</f>
        <v/>
      </c>
      <c r="CO25" s="210" t="str">
        <f>IF(AND(C25="Skema 3",B25="ti"),Skemaoplysninger!$AI$31,"")</f>
        <v/>
      </c>
      <c r="CP25" s="210" t="str">
        <f>IF(AND(C25="Skema 3",B25="on"),Skemaoplysninger!$AK$31,"")</f>
        <v/>
      </c>
      <c r="CQ25" s="210" t="str">
        <f>IF(AND(C25="Skema 3",B25="to"),Skemaoplysninger!$AM$31,"")</f>
        <v/>
      </c>
      <c r="CR25" s="210" t="str">
        <f>IF(AND(C25="Skema 3",B25="fr"),Skemaoplysninger!$AO$31,"")</f>
        <v/>
      </c>
      <c r="CS25" s="210" t="str">
        <f>IF(AND(C25="Skema 4",B25="ma"),Skemaoplysninger!$AU$31,"")</f>
        <v/>
      </c>
      <c r="CT25" s="210" t="str">
        <f>IF(AND(C25="Skema 4",B25="ti"),Skemaoplysninger!$AW$31,"")</f>
        <v/>
      </c>
      <c r="CU25" s="210" t="str">
        <f>IF(AND(C25="Skema 4",B25="on"),Skemaoplysninger!$AY$31,"")</f>
        <v/>
      </c>
      <c r="CV25" s="210" t="str">
        <f>IF(AND(C25="Skema 4",B25="to"),Skemaoplysninger!$BA$31,"")</f>
        <v/>
      </c>
      <c r="CW25" s="210" t="str">
        <f>IF(AND(C25="Skema 4",B25="fr"),Skemaoplysninger!$BC$31,"")</f>
        <v/>
      </c>
      <c r="CX25" s="249">
        <f>IF(Stamoplysninger!$H$29="NEJ",SUM(CD25:CW25)*24+CB25+CC25,0)</f>
        <v>0</v>
      </c>
      <c r="CY25" s="249">
        <f>IF(C25="Skema 1",Stamoplysninger!$H$30/200,0)</f>
        <v>0</v>
      </c>
      <c r="CZ25" s="249">
        <f>IF(C25="Skema 2",Stamoplysninger!$H$30/200,0)</f>
        <v>0</v>
      </c>
      <c r="DA25" s="249">
        <f>IF(C25="Skema 3",Stamoplysninger!$H$30/200,0)</f>
        <v>0</v>
      </c>
      <c r="DB25" s="249">
        <f>IF(C25="Skema 4",Stamoplysninger!$H$30/200,0)</f>
        <v>0</v>
      </c>
      <c r="DC25" s="249">
        <f>IF(C25="fagdag",Stamoplysninger!$H$30/200,0)</f>
        <v>0</v>
      </c>
      <c r="DD25" s="249">
        <f>IF(C25="emnedag",Stamoplysninger!$H$30/200,0)</f>
        <v>0</v>
      </c>
      <c r="DE25" s="249">
        <f>IF(C25="lejrskole",Stamoplysninger!$H$30/200,0)</f>
        <v>0</v>
      </c>
      <c r="DF25" s="249">
        <f>IF(C25="ekskursion",Stamoplysninger!$H$30/200,0)</f>
        <v>0</v>
      </c>
      <c r="DG25" s="249">
        <f t="shared" si="26"/>
        <v>0</v>
      </c>
      <c r="DH25" t="str">
        <f t="shared" si="27"/>
        <v/>
      </c>
      <c r="DI25" t="str">
        <f t="shared" si="28"/>
        <v>Sommerferie</v>
      </c>
      <c r="DJ25" t="str">
        <f t="shared" si="29"/>
        <v/>
      </c>
      <c r="DK25" t="str">
        <f t="shared" si="14"/>
        <v/>
      </c>
      <c r="DL25" t="str">
        <f t="shared" si="14"/>
        <v>Sommerferie</v>
      </c>
      <c r="DM25" t="str">
        <f t="shared" si="14"/>
        <v/>
      </c>
      <c r="DN25" t="str">
        <f t="shared" si="30"/>
        <v>Sommerferie</v>
      </c>
      <c r="DO25" s="652">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71">
        <f>IF(AND(Stamoplysninger!$B$22="Ulempetillæg udbetales med 25% af nettotimelønnen.",C25="ikke relevant"),(R25)/4,0)</f>
        <v>0</v>
      </c>
      <c r="DT25" s="671">
        <f>IF(AND(AND(Stamoplysninger!$B$22="Ulempetillæg udbetales med 25% af nettotimelønnen.",I25="X",C25="Ikke relevant")),K25/4,0)</f>
        <v>0</v>
      </c>
      <c r="DU25" s="671">
        <f>IF(AND(AND(Stamoplysninger!$B$22="Ulempetillæg udbetales med 25% af nettotimelønnen.",C25="ikke relevant",U25="X")),(X25/4),0)</f>
        <v>0</v>
      </c>
      <c r="DV25" s="672">
        <f>IF(AND(AND(AND(Stamoplysninger!$B$22="Ulempetillæg udbetales med 25% af nettotimelønnen.",I25="X",C25="Ikke relevant",S25="X"))),V25/4,0)</f>
        <v>0</v>
      </c>
      <c r="DW25" s="652"/>
      <c r="DZ25" s="671"/>
      <c r="EA25" s="671"/>
      <c r="EB25" s="672"/>
      <c r="EC25" s="652">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71">
        <f>IF(AND(Stamoplysninger!$B$22="Ulempetillæg afspadseres med 25%(Kræver en aftale imellem ledelsen og den ansatte)",C25="ikke relevant"),(R25)/4,0)</f>
        <v>0</v>
      </c>
      <c r="EH25" s="671">
        <f>IF(AND(AND(Stamoplysninger!$B$22="Ulempetillæg afspadseres med 25%(Kræver en aftale imellem ledelsen og den ansatte)",I25="X",C25="Ikke relevant")),K25/4,0)</f>
        <v>0</v>
      </c>
      <c r="EI25" s="671">
        <f>IF(AND(AND(Stamoplysninger!$B$22="Ulempetillæg afspadseres med 25%(Kræver en aftale imellem ledelsen og den ansatte)",U25="X",C25="Ikke relevant")),X25/4,0)</f>
        <v>0</v>
      </c>
      <c r="EJ25" s="671">
        <f>IF(AND(AND(AND(Stamoplysninger!$B$22="Ulempetillæg afspadseres med 25%(Kræver en aftale imellem ledelsen og den ansatte)",I25="X",C25="Ikke relevant",S25="X"))),V25/4,0)</f>
        <v>0</v>
      </c>
      <c r="EK25" s="283">
        <f>IF(AND(Stamoplysninger!$B$26="Weekendtimer og weekendtillæg afspadseres.",I25="X"),K25*1.5,0)</f>
        <v>0</v>
      </c>
      <c r="EL25" s="251">
        <f>IF(AND(AND(Stamoplysninger!$B$26="Weekendtimer og weekendtillæg afspadseres.",I25="X",S25="X")),V25*1.5,0)</f>
        <v>0</v>
      </c>
      <c r="EM25" s="674">
        <f>IF(AND(AND(Stamoplysninger!$B$26="Weekendtimer og weekendtillæg afspadseres.",I25="X",C25="ikke relevant")),K25*1.5,0)</f>
        <v>0</v>
      </c>
      <c r="EN25" s="675">
        <f>IF(AND(AND(AND(Stamoplysninger!$B$26="Weekendtimer og weekendtillæg afspadseres.",I25="X",C25="ikke relevant",S25="X"))),(V25*1.5),0)</f>
        <v>0</v>
      </c>
      <c r="EO25" s="283">
        <f>IF(AND(Stamoplysninger!$B$26="Weekendtimer og weekendtillæg udbetales.",I25="X"),K25*1.5,0)</f>
        <v>0</v>
      </c>
      <c r="EP25" s="251">
        <f>IF(AND(AND(Stamoplysninger!$B$26="Weekendtimer og weekendtillæg udbetales.",I25="X",S25="X")),V25*1.5,0)</f>
        <v>0</v>
      </c>
      <c r="EQ25" s="674">
        <f>IF(AND(AND(Stamoplysninger!$B$26="Weekendtimer og weekendtillæg udbetales.",I25="X",C25="ikke relevant")),K25*1.5,0)</f>
        <v>0</v>
      </c>
      <c r="ER25" s="675">
        <f>IF(AND(AND(AND(Stamoplysninger!$B$26="Weekendtimer og weekendtillæg udbetales.",I25="X",C25="ikke relevant",S25="X"))),(V25*1.5),0)</f>
        <v>0</v>
      </c>
      <c r="ES25" s="283">
        <f>IF(AND(Stamoplysninger!$B$26="Der er indgået lokalaftale omkring weekendtimer.(Kræver aftale med TR/FSL) Weekendtillæg afspadseres.",I25="X"),K25*0.5,0)</f>
        <v>0</v>
      </c>
      <c r="ET25" s="251">
        <f>IF(AND(AND(Stamoplysninger!$B$26="Der er indgået lokalaftale omkring weekendtimer.(Kræver aftale med TR/FSL) Weekendtillæg afspadseres.",I25="X",S25="X")),V25*0.5,0)</f>
        <v>0</v>
      </c>
      <c r="EU25" s="674">
        <f>IF(AND(AND(Stamoplysninger!$B$26="Der er indgået lokalaftale omkring weekendtimer.(Kræver aftale med TR/FSL) Weekendtillæg afspadseres.",I25="X",C25="ikke relevant")),K25*0.5,0)</f>
        <v>0</v>
      </c>
      <c r="EV25" s="675">
        <f>IF(AND(AND(AND(Stamoplysninger!$B$26="Der er indgået lokalaftale omkring weekendtimer.(Kræver aftale med TR/FSL) Weekendtillæg afspadseres.",I25="X",C25="ikke relevant",S25="X"))),(V25*0.5),0)</f>
        <v>0</v>
      </c>
      <c r="EW25" s="283">
        <f>IF(AND(Stamoplysninger!$B$26="Der er indgået lokalaftale omkring weekendtimer(Kræver aftale med TR/FSL). Weekendtillæg udbetales.",I25="X"),K25*0.5,0)</f>
        <v>0</v>
      </c>
      <c r="EX25" s="251">
        <f>IF(AND(AND(Stamoplysninger!$B$26="Der er indgået lokalaftale omkring weekendtimer(Kræver aftale med TR/FSL). Weekendtillæg udbetales.",I25="X",S25="X")),V25*0.5,0)</f>
        <v>0</v>
      </c>
      <c r="EY25" s="674">
        <f>IF(AND(AND(Stamoplysninger!$B$26="Der er indgået lokalaftale omkring weekendtimer(Kræver aftale med TR/FSL). Weekendtillæg udbetales.",I25="X",C25="ikke relevant")),K25*0.5,0)</f>
        <v>0</v>
      </c>
      <c r="EZ25" s="675">
        <f>IF(AND(AND(AND(Stamoplysninger!$B$26="Der er indgået lokalaftale omkring weekendtimer(Kræver aftale med TR/FSL). Weekendtillæg udbetales.",I25="X",C25="ikke relevant",S25="X"))),(V25*0.5),0)</f>
        <v>0</v>
      </c>
      <c r="FA25" s="283">
        <f>IF(AND(Stamoplysninger!$B$26="Der er indgået lokalaftale omkring weekendtillæg(Kræver aftale med TR/FSL). Weekendtimerne afspadseres.",I25="X"),K25,0)</f>
        <v>0</v>
      </c>
      <c r="FB25" s="251">
        <f>IF(AND(AND(Stamoplysninger!$B$26="Der er indgået lokalaftale omkring weekendtillæg(Kræver aftale med TR/FSL). Weekendtimerne afspadseres.",I25="X",S25="X")),V25,0)</f>
        <v>0</v>
      </c>
      <c r="FC25" s="674">
        <f>IF(AND(AND(Stamoplysninger!$B$26="Der er indgået lokalaftale omkring weekendtillæg(Kræver aftale med TR/FSL). Weekendtimerne afspadseres..",I25="X",C25="ikke relevant")),K25,0)</f>
        <v>0</v>
      </c>
      <c r="FD25" s="675">
        <f>IF(AND(AND(AND(Stamoplysninger!$B$26="Der er indgået lokalaftale omkring weekendtillæg(Kræver aftale med TR/FSL). Weekendtimerne afspadseres.",I25="X",C25="ikke relevant",S25="X"))),(V25),0)</f>
        <v>0</v>
      </c>
      <c r="FE25" s="283">
        <f>IF(AND(Stamoplysninger!$B$26="Der er indgået lokalaftale omkring weekendtillæg(Kræver aftale med TR/FSL). Weekendtimerne udbetales.",I25="X"),K25,0)</f>
        <v>0</v>
      </c>
      <c r="FF25" s="251">
        <f>IF(AND(AND(Stamoplysninger!$B$26="Der er indgået lokalaftale omkring weekendtillæg(Kræver aftale med TR/FSL). Weekendtimerne udbetales.",I25="X",S25="X")),V25,0)</f>
        <v>0</v>
      </c>
      <c r="FG25" s="674">
        <f>IF(AND(AND(Stamoplysninger!$B$26="Der er indgået lokalaftale omkring weekendtillæg(Kræver aftale med TR/FSL). Weekendtimerne udbetales.",I25="X",C25="ikke relevant")),K25,0)</f>
        <v>0</v>
      </c>
      <c r="FH25" s="675">
        <f>IF(AND(AND(AND(Stamoplysninger!$B$26="Der er indgået lokalaftale omkring weekendtillæg(Kræver aftale med TR/FSL). Weekendtimerne udbetales.",I25="X",C25="ikke relevant",S25="X"))),(V25),0)</f>
        <v>0</v>
      </c>
      <c r="FI25" s="283">
        <f>IF(AND(Stamoplysninger!$B$26="Weekendtimer og weekendtillæg afspadseres.",I25="X"),K25,0)</f>
        <v>0</v>
      </c>
      <c r="FJ25" s="251">
        <f>IF(AND(Stamoplysninger!$B$26="Weekendtimer og weekendtillæg afspadseres.",Y25="X"),(AA25+AL25)/2,0)</f>
        <v>0</v>
      </c>
      <c r="FK25" s="674">
        <f>IF(AND(AND(Stamoplysninger!$B$26="Weekendtimer og weekendtillæg afspadseres.",I25="X",C25="ikke relevant")),K25,0)</f>
        <v>0</v>
      </c>
      <c r="FL25" s="675">
        <f>IF(AND(AND(Stamoplysninger!$B$26="Weekendtimer og weekendtillæg afspadseres.",Y25="X",S25="ikke relevant")),(AA25+AL25)/2,0)</f>
        <v>0</v>
      </c>
      <c r="FM25" s="283">
        <f>IF(AND(Stamoplysninger!$B$26="Der er indgået lokalaftale omkring weekendtillæg(Kræver aftale med TR/FSL). Weekendtimerne afspadseres.",I25="X"),K25,0)</f>
        <v>0</v>
      </c>
      <c r="FN25" s="674">
        <f>IF(AND(AND(Stamoplysninger!$B$26="Der er indgået lokalaftale omkring weekendtillæg(Kræver aftale med TR/FSL). Weekendtimerne afspadseres.",I25="X",C25="ikke relevant")),K25,0)</f>
        <v>0</v>
      </c>
      <c r="FO25" s="283">
        <f>IF(AND(Stamoplysninger!$B$26="Weekendtimer og weekendtillæg udbetales.",I25="X"),K25,0)</f>
        <v>0</v>
      </c>
      <c r="FP25" s="251">
        <f>IF(AND(Stamoplysninger!$B$26="Weekendtimer og weekendtillæg udbetales.",AA25="X"),(AC25+AN25)/2,0)</f>
        <v>0</v>
      </c>
      <c r="FQ25" s="674">
        <f>IF(AND(AND(Stamoplysninger!$B$26="Weekendtimer og weekendtillæg udbetales.",I25="X",C25="ikke relevant")),K25,0)</f>
        <v>0</v>
      </c>
      <c r="FR25" s="688">
        <f>IF(AND(AND(Stamoplysninger!$B$26="Weekendtimer og weekendtillæg udbetales.",AA25="X",U25="ikke relevant")),(AC25+AN25)/2,0)</f>
        <v>0</v>
      </c>
      <c r="FS25" s="283">
        <f t="shared" si="15"/>
        <v>0</v>
      </c>
      <c r="FT25" s="658">
        <f t="shared" si="16"/>
        <v>0</v>
      </c>
      <c r="FU25">
        <f t="shared" si="17"/>
        <v>0</v>
      </c>
      <c r="FV25" s="283">
        <f>IF(AND(Stamoplysninger!$B$26="Der er indgået lokalaftale omkring weekendtimer.(Kræver aftale med TR/FSL) Weekendtillæg afspadseres.",I25="X"),K25,0)</f>
        <v>0</v>
      </c>
      <c r="FW25" s="674">
        <f>IF(AND(AND(Stamoplysninger!$B$26="Der er indgået lokalaftale omkring weekendtimer.(Kræver aftale med TR/FSL) Weekendtillæg afspadseres.",I25="X",C25="ikke relevant")),K25,0)</f>
        <v>0</v>
      </c>
      <c r="FX25" s="283">
        <f>IF(AND(Stamoplysninger!$B$26="Der er indgået lokalaftale omkring weekendtimer(Kræver aftale med TR/FSL). Weekendtillæg udbetales.",I25="X"),K25,0)</f>
        <v>0</v>
      </c>
      <c r="FY25" s="674">
        <f>IF(AND(AND(Stamoplysninger!$B$26="Der er indgået lokalaftale omkring weekendtimer(Kræver aftale med TR/FSL). Weekendtillæg udbetales.",I25="X",C25="ikke relevant")),K25,0)</f>
        <v>0</v>
      </c>
      <c r="FZ25" s="283">
        <f>IF(AND(Stamoplysninger!$B$26="Der er indgået lokalaftale omkring weekendtillæg(Kræver aftale med TR/FSL). Weekendtimerne udbetales.",I25="X"),K25,0)</f>
        <v>0</v>
      </c>
      <c r="GA25" s="674">
        <f>IF(AND(AND(Stamoplysninger!$B$26="Der er indgået lokalaftale omkring weekendtillæg(Kræver aftale med TR/FSL). Weekendtimerne udbetales.",I25="X",C25="ikke relevant")),K25,0)</f>
        <v>0</v>
      </c>
      <c r="GB25" s="283">
        <f>IF(AND(Stamoplysninger!$B$26="Der er indgået lokalaftale omkring weekendtimer og weekendtillæg.(Kræver aftale med TR/FSL).",I25="X"),K25,0)</f>
        <v>0</v>
      </c>
      <c r="GC25" s="674">
        <f>IF(AND(AND(Stamoplysninger!$B$26="Der er indgået lokalaftale omkring weekendtimer og weekendtillæg.(Kræver aftale med TR/FSL).",I25="X",C25="ikke relevant")),K25,0)</f>
        <v>0</v>
      </c>
    </row>
    <row r="26" spans="1:185">
      <c r="A26" s="245">
        <f t="shared" si="18"/>
        <v>18</v>
      </c>
      <c r="B26" s="128" t="str">
        <f t="shared" si="0"/>
        <v>fr</v>
      </c>
      <c r="C26" s="129" t="s">
        <v>210</v>
      </c>
      <c r="D26" s="130" t="str">
        <f t="shared" si="1"/>
        <v/>
      </c>
      <c r="E26" s="917" t="s">
        <v>113</v>
      </c>
      <c r="F26" s="918"/>
      <c r="G26" s="919"/>
      <c r="H26" s="298"/>
      <c r="I26" s="527"/>
      <c r="J26" s="413"/>
      <c r="K26" s="380"/>
      <c r="L26" s="380"/>
      <c r="M26" s="380"/>
      <c r="N26" s="318">
        <f t="shared" si="19"/>
        <v>0</v>
      </c>
      <c r="O26" s="318">
        <f t="shared" si="20"/>
        <v>0</v>
      </c>
      <c r="P26" s="318">
        <f>IF(Stamoplysninger!$H$29="JA",Juli!DG26,CX26)</f>
        <v>0</v>
      </c>
      <c r="Q26" s="318">
        <f t="shared" si="21"/>
        <v>0</v>
      </c>
      <c r="R26" s="319"/>
      <c r="S26" s="324"/>
      <c r="T26" s="325"/>
      <c r="U26" s="325"/>
      <c r="V26" s="435"/>
      <c r="W26" s="412"/>
      <c r="X26" s="642"/>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9">
        <f t="shared" si="8"/>
        <v>0</v>
      </c>
      <c r="BC26" s="1">
        <f t="shared" si="24"/>
        <v>0</v>
      </c>
      <c r="BD26" s="1">
        <f t="shared" si="9"/>
        <v>0</v>
      </c>
      <c r="BE26" s="1">
        <f t="shared" si="10"/>
        <v>0</v>
      </c>
      <c r="BF26" s="1">
        <f t="shared" si="11"/>
        <v>0</v>
      </c>
      <c r="BG26" s="210" t="str">
        <f>IF(AND(C26="Skema 1",B26="ma"),Skemaoplysninger!$E$30,"")</f>
        <v/>
      </c>
      <c r="BH26" s="210" t="str">
        <f>IF(AND(C26="Skema 1",B26="ti"),Skemaoplysninger!$G$30,"")</f>
        <v/>
      </c>
      <c r="BI26" s="210" t="str">
        <f>IF(AND(C26="Skema 1",B26="on"),Skemaoplysninger!$I$30,"")</f>
        <v/>
      </c>
      <c r="BJ26" s="210" t="str">
        <f>IF(AND(C26="Skema 1",B26="to"),Skemaoplysninger!$K$30,"")</f>
        <v/>
      </c>
      <c r="BK26" s="210" t="str">
        <f>IF(AND(C26="Skema 1",B26="fr"),Skemaoplysninger!$M$30,"")</f>
        <v/>
      </c>
      <c r="BL26" s="210" t="str">
        <f>IF(AND(C26="Skema 2",B26="ma"),Skemaoplysninger!$S$30,"")</f>
        <v/>
      </c>
      <c r="BM26" s="210" t="str">
        <f>IF(AND(C26="Skema 2",B26="ti"),Skemaoplysninger!$U$30,"")</f>
        <v/>
      </c>
      <c r="BN26" s="210" t="str">
        <f>IF(AND(C26="Skema 2",B26="on"),Skemaoplysninger!$W$30,"")</f>
        <v/>
      </c>
      <c r="BO26" s="210" t="str">
        <f>IF(AND(C26="Skema 2",B26="to"),Skemaoplysninger!$Y$30,"")</f>
        <v/>
      </c>
      <c r="BP26" s="210" t="str">
        <f>IF(AND(C26="Skema 2",B26="fr"),Skemaoplysninger!$AA$30,"")</f>
        <v/>
      </c>
      <c r="BQ26" s="210" t="str">
        <f>IF(AND(C26="Skema 3",B26="ma"),Skemaoplysninger!$AG$30,"")</f>
        <v/>
      </c>
      <c r="BR26" s="210" t="str">
        <f>IF(AND(C26="Skema 3",B26="ti"),Skemaoplysninger!$AI$30,"")</f>
        <v/>
      </c>
      <c r="BS26" s="210" t="str">
        <f>IF(AND(C26="Skema 3",B26="on"),Skemaoplysninger!$AK$30,"")</f>
        <v/>
      </c>
      <c r="BT26" s="210" t="str">
        <f>IF(AND(C26="Skema 3",B26="to"),Skemaoplysninger!$AM$30,"")</f>
        <v/>
      </c>
      <c r="BU26" s="210" t="str">
        <f>IF(AND(C26="Skema 3",B26="fr"),Skemaoplysninger!$AO$30,"")</f>
        <v/>
      </c>
      <c r="BV26" s="210" t="str">
        <f>IF(AND(C26="Skema 4",B26="ma"),Skemaoplysninger!$AU$30,"")</f>
        <v/>
      </c>
      <c r="BW26" s="210" t="str">
        <f>IF(AND(C26="Skema 4",B26="ti"),Skemaoplysninger!$AW$30,"")</f>
        <v/>
      </c>
      <c r="BX26" s="210" t="str">
        <f>IF(AND(C26="Skema 4",B26="on"),Skemaoplysninger!$AY$30,"")</f>
        <v/>
      </c>
      <c r="BY26" s="210" t="str">
        <f>IF(AND(C26="Skema 4",B26="to"),Skemaoplysninger!$BA$30,"")</f>
        <v/>
      </c>
      <c r="BZ26" s="210" t="str">
        <f>IF(AND(C26="Skema 4",B26="fr"),Skemaoplysninger!$BC$30,"")</f>
        <v/>
      </c>
      <c r="CA26" s="1">
        <f t="shared" si="25"/>
        <v>0</v>
      </c>
      <c r="CB26" s="1">
        <f t="shared" si="12"/>
        <v>0</v>
      </c>
      <c r="CC26" s="1">
        <f t="shared" si="13"/>
        <v>0</v>
      </c>
      <c r="CD26" s="210" t="str">
        <f>IF(AND(C26="Skema 1",B26="ma"),Skemaoplysninger!$E$31,"")</f>
        <v/>
      </c>
      <c r="CE26" s="210" t="str">
        <f>IF(AND(C26="Skema 1",B26="ti"),Skemaoplysninger!$G$31,"")</f>
        <v/>
      </c>
      <c r="CF26" s="210" t="str">
        <f>IF(AND(C26="Skema 1",B26="on"),Skemaoplysninger!$I$31,"")</f>
        <v/>
      </c>
      <c r="CG26" s="210" t="str">
        <f>IF(AND(C26="Skema 1",B26="to"),Skemaoplysninger!$K$31,"")</f>
        <v/>
      </c>
      <c r="CH26" s="210" t="str">
        <f>IF(AND(C26="Skema 1",B26="fr"),Skemaoplysninger!$M$31,"")</f>
        <v/>
      </c>
      <c r="CI26" s="210" t="str">
        <f>IF(AND(C26="Skema 2",B26="ma"),Skemaoplysninger!$S$31,"")</f>
        <v/>
      </c>
      <c r="CJ26" s="210" t="str">
        <f>IF(AND(C26="Skema 2",B26="ti"),Skemaoplysninger!$U$31,"")</f>
        <v/>
      </c>
      <c r="CK26" s="210" t="str">
        <f>IF(AND(C26="Skema 2",B26="on"),Skemaoplysninger!$W$31,"")</f>
        <v/>
      </c>
      <c r="CL26" s="210" t="str">
        <f>IF(AND(C26="Skema 2",B26="to"),Skemaoplysninger!$Y$31,"")</f>
        <v/>
      </c>
      <c r="CM26" s="210" t="str">
        <f>IF(AND(C26="Skema 2",B26="fr"),Skemaoplysninger!$AA$31,"")</f>
        <v/>
      </c>
      <c r="CN26" s="210" t="str">
        <f>IF(AND(C26="Skema 3",B26="ma"),Skemaoplysninger!$AG$31,"")</f>
        <v/>
      </c>
      <c r="CO26" s="210" t="str">
        <f>IF(AND(C26="Skema 3",B26="ti"),Skemaoplysninger!$AI$31,"")</f>
        <v/>
      </c>
      <c r="CP26" s="210" t="str">
        <f>IF(AND(C26="Skema 3",B26="on"),Skemaoplysninger!$AK$31,"")</f>
        <v/>
      </c>
      <c r="CQ26" s="210" t="str">
        <f>IF(AND(C26="Skema 3",B26="to"),Skemaoplysninger!$AM$31,"")</f>
        <v/>
      </c>
      <c r="CR26" s="210" t="str">
        <f>IF(AND(C26="Skema 3",B26="fr"),Skemaoplysninger!$AO$31,"")</f>
        <v/>
      </c>
      <c r="CS26" s="210" t="str">
        <f>IF(AND(C26="Skema 4",B26="ma"),Skemaoplysninger!$AU$31,"")</f>
        <v/>
      </c>
      <c r="CT26" s="210" t="str">
        <f>IF(AND(C26="Skema 4",B26="ti"),Skemaoplysninger!$AW$31,"")</f>
        <v/>
      </c>
      <c r="CU26" s="210" t="str">
        <f>IF(AND(C26="Skema 4",B26="on"),Skemaoplysninger!$AY$31,"")</f>
        <v/>
      </c>
      <c r="CV26" s="210" t="str">
        <f>IF(AND(C26="Skema 4",B26="to"),Skemaoplysninger!$BA$31,"")</f>
        <v/>
      </c>
      <c r="CW26" s="210" t="str">
        <f>IF(AND(C26="Skema 4",B26="fr"),Skemaoplysninger!$BC$31,"")</f>
        <v/>
      </c>
      <c r="CX26" s="249">
        <f>IF(Stamoplysninger!$H$29="NEJ",SUM(CD26:CW26)*24+CB26+CC26,0)</f>
        <v>0</v>
      </c>
      <c r="CY26" s="249">
        <f>IF(C26="Skema 1",Stamoplysninger!$H$30/200,0)</f>
        <v>0</v>
      </c>
      <c r="CZ26" s="249">
        <f>IF(C26="Skema 2",Stamoplysninger!$H$30/200,0)</f>
        <v>0</v>
      </c>
      <c r="DA26" s="249">
        <f>IF(C26="Skema 3",Stamoplysninger!$H$30/200,0)</f>
        <v>0</v>
      </c>
      <c r="DB26" s="249">
        <f>IF(C26="Skema 4",Stamoplysninger!$H$30/200,0)</f>
        <v>0</v>
      </c>
      <c r="DC26" s="249">
        <f>IF(C26="fagdag",Stamoplysninger!$H$30/200,0)</f>
        <v>0</v>
      </c>
      <c r="DD26" s="249">
        <f>IF(C26="emnedag",Stamoplysninger!$H$30/200,0)</f>
        <v>0</v>
      </c>
      <c r="DE26" s="249">
        <f>IF(C26="lejrskole",Stamoplysninger!$H$30/200,0)</f>
        <v>0</v>
      </c>
      <c r="DF26" s="249">
        <f>IF(C26="ekskursion",Stamoplysninger!$H$30/200,0)</f>
        <v>0</v>
      </c>
      <c r="DG26" s="249">
        <f t="shared" si="26"/>
        <v>0</v>
      </c>
      <c r="DH26" t="str">
        <f t="shared" si="27"/>
        <v/>
      </c>
      <c r="DI26" t="str">
        <f t="shared" si="28"/>
        <v>Sommerferie</v>
      </c>
      <c r="DJ26" t="str">
        <f t="shared" si="29"/>
        <v/>
      </c>
      <c r="DK26" t="str">
        <f t="shared" si="14"/>
        <v/>
      </c>
      <c r="DL26" t="str">
        <f t="shared" si="14"/>
        <v>Sommerferie</v>
      </c>
      <c r="DM26" t="str">
        <f t="shared" si="14"/>
        <v/>
      </c>
      <c r="DN26" t="str">
        <f t="shared" si="30"/>
        <v>Sommerferie</v>
      </c>
      <c r="DO26" s="652">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71">
        <f>IF(AND(Stamoplysninger!$B$22="Ulempetillæg udbetales med 25% af nettotimelønnen.",C26="ikke relevant"),(R26)/4,0)</f>
        <v>0</v>
      </c>
      <c r="DT26" s="671">
        <f>IF(AND(AND(Stamoplysninger!$B$22="Ulempetillæg udbetales med 25% af nettotimelønnen.",I26="X",C26="Ikke relevant")),K26/4,0)</f>
        <v>0</v>
      </c>
      <c r="DU26" s="671">
        <f>IF(AND(AND(Stamoplysninger!$B$22="Ulempetillæg udbetales med 25% af nettotimelønnen.",C26="ikke relevant",U26="X")),(X26/4),0)</f>
        <v>0</v>
      </c>
      <c r="DV26" s="672">
        <f>IF(AND(AND(AND(Stamoplysninger!$B$22="Ulempetillæg udbetales med 25% af nettotimelønnen.",I26="X",C26="Ikke relevant",S26="X"))),V26/4,0)</f>
        <v>0</v>
      </c>
      <c r="DW26" s="652"/>
      <c r="DZ26" s="671"/>
      <c r="EA26" s="671"/>
      <c r="EB26" s="672"/>
      <c r="EC26" s="652">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71">
        <f>IF(AND(Stamoplysninger!$B$22="Ulempetillæg afspadseres med 25%(Kræver en aftale imellem ledelsen og den ansatte)",C26="ikke relevant"),(R26)/4,0)</f>
        <v>0</v>
      </c>
      <c r="EH26" s="671">
        <f>IF(AND(AND(Stamoplysninger!$B$22="Ulempetillæg afspadseres med 25%(Kræver en aftale imellem ledelsen og den ansatte)",I26="X",C26="Ikke relevant")),K26/4,0)</f>
        <v>0</v>
      </c>
      <c r="EI26" s="671">
        <f>IF(AND(AND(Stamoplysninger!$B$22="Ulempetillæg afspadseres med 25%(Kræver en aftale imellem ledelsen og den ansatte)",U26="X",C26="Ikke relevant")),X26/4,0)</f>
        <v>0</v>
      </c>
      <c r="EJ26" s="671">
        <f>IF(AND(AND(AND(Stamoplysninger!$B$22="Ulempetillæg afspadseres med 25%(Kræver en aftale imellem ledelsen og den ansatte)",I26="X",C26="Ikke relevant",S26="X"))),V26/4,0)</f>
        <v>0</v>
      </c>
      <c r="EK26" s="283">
        <f>IF(AND(Stamoplysninger!$B$26="Weekendtimer og weekendtillæg afspadseres.",I26="X"),K26*1.5,0)</f>
        <v>0</v>
      </c>
      <c r="EL26" s="251">
        <f>IF(AND(AND(Stamoplysninger!$B$26="Weekendtimer og weekendtillæg afspadseres.",I26="X",S26="X")),V26*1.5,0)</f>
        <v>0</v>
      </c>
      <c r="EM26" s="674">
        <f>IF(AND(AND(Stamoplysninger!$B$26="Weekendtimer og weekendtillæg afspadseres.",I26="X",C26="ikke relevant")),K26*1.5,0)</f>
        <v>0</v>
      </c>
      <c r="EN26" s="675">
        <f>IF(AND(AND(AND(Stamoplysninger!$B$26="Weekendtimer og weekendtillæg afspadseres.",I26="X",C26="ikke relevant",S26="X"))),(V26*1.5),0)</f>
        <v>0</v>
      </c>
      <c r="EO26" s="283">
        <f>IF(AND(Stamoplysninger!$B$26="Weekendtimer og weekendtillæg udbetales.",I26="X"),K26*1.5,0)</f>
        <v>0</v>
      </c>
      <c r="EP26" s="251">
        <f>IF(AND(AND(Stamoplysninger!$B$26="Weekendtimer og weekendtillæg udbetales.",I26="X",S26="X")),V26*1.5,0)</f>
        <v>0</v>
      </c>
      <c r="EQ26" s="674">
        <f>IF(AND(AND(Stamoplysninger!$B$26="Weekendtimer og weekendtillæg udbetales.",I26="X",C26="ikke relevant")),K26*1.5,0)</f>
        <v>0</v>
      </c>
      <c r="ER26" s="675">
        <f>IF(AND(AND(AND(Stamoplysninger!$B$26="Weekendtimer og weekendtillæg udbetales.",I26="X",C26="ikke relevant",S26="X"))),(V26*1.5),0)</f>
        <v>0</v>
      </c>
      <c r="ES26" s="283">
        <f>IF(AND(Stamoplysninger!$B$26="Der er indgået lokalaftale omkring weekendtimer.(Kræver aftale med TR/FSL) Weekendtillæg afspadseres.",I26="X"),K26*0.5,0)</f>
        <v>0</v>
      </c>
      <c r="ET26" s="251">
        <f>IF(AND(AND(Stamoplysninger!$B$26="Der er indgået lokalaftale omkring weekendtimer.(Kræver aftale med TR/FSL) Weekendtillæg afspadseres.",I26="X",S26="X")),V26*0.5,0)</f>
        <v>0</v>
      </c>
      <c r="EU26" s="674">
        <f>IF(AND(AND(Stamoplysninger!$B$26="Der er indgået lokalaftale omkring weekendtimer.(Kræver aftale med TR/FSL) Weekendtillæg afspadseres.",I26="X",C26="ikke relevant")),K26*0.5,0)</f>
        <v>0</v>
      </c>
      <c r="EV26" s="675">
        <f>IF(AND(AND(AND(Stamoplysninger!$B$26="Der er indgået lokalaftale omkring weekendtimer.(Kræver aftale med TR/FSL) Weekendtillæg afspadseres.",I26="X",C26="ikke relevant",S26="X"))),(V26*0.5),0)</f>
        <v>0</v>
      </c>
      <c r="EW26" s="283">
        <f>IF(AND(Stamoplysninger!$B$26="Der er indgået lokalaftale omkring weekendtimer(Kræver aftale med TR/FSL). Weekendtillæg udbetales.",I26="X"),K26*0.5,0)</f>
        <v>0</v>
      </c>
      <c r="EX26" s="251">
        <f>IF(AND(AND(Stamoplysninger!$B$26="Der er indgået lokalaftale omkring weekendtimer(Kræver aftale med TR/FSL). Weekendtillæg udbetales.",I26="X",S26="X")),V26*0.5,0)</f>
        <v>0</v>
      </c>
      <c r="EY26" s="674">
        <f>IF(AND(AND(Stamoplysninger!$B$26="Der er indgået lokalaftale omkring weekendtimer(Kræver aftale med TR/FSL). Weekendtillæg udbetales.",I26="X",C26="ikke relevant")),K26*0.5,0)</f>
        <v>0</v>
      </c>
      <c r="EZ26" s="675">
        <f>IF(AND(AND(AND(Stamoplysninger!$B$26="Der er indgået lokalaftale omkring weekendtimer(Kræver aftale med TR/FSL). Weekendtillæg udbetales.",I26="X",C26="ikke relevant",S26="X"))),(V26*0.5),0)</f>
        <v>0</v>
      </c>
      <c r="FA26" s="283">
        <f>IF(AND(Stamoplysninger!$B$26="Der er indgået lokalaftale omkring weekendtillæg(Kræver aftale med TR/FSL). Weekendtimerne afspadseres.",I26="X"),K26,0)</f>
        <v>0</v>
      </c>
      <c r="FB26" s="251">
        <f>IF(AND(AND(Stamoplysninger!$B$26="Der er indgået lokalaftale omkring weekendtillæg(Kræver aftale med TR/FSL). Weekendtimerne afspadseres.",I26="X",S26="X")),V26,0)</f>
        <v>0</v>
      </c>
      <c r="FC26" s="674">
        <f>IF(AND(AND(Stamoplysninger!$B$26="Der er indgået lokalaftale omkring weekendtillæg(Kræver aftale med TR/FSL). Weekendtimerne afspadseres..",I26="X",C26="ikke relevant")),K26,0)</f>
        <v>0</v>
      </c>
      <c r="FD26" s="675">
        <f>IF(AND(AND(AND(Stamoplysninger!$B$26="Der er indgået lokalaftale omkring weekendtillæg(Kræver aftale med TR/FSL). Weekendtimerne afspadseres.",I26="X",C26="ikke relevant",S26="X"))),(V26),0)</f>
        <v>0</v>
      </c>
      <c r="FE26" s="283">
        <f>IF(AND(Stamoplysninger!$B$26="Der er indgået lokalaftale omkring weekendtillæg(Kræver aftale med TR/FSL). Weekendtimerne udbetales.",I26="X"),K26,0)</f>
        <v>0</v>
      </c>
      <c r="FF26" s="251">
        <f>IF(AND(AND(Stamoplysninger!$B$26="Der er indgået lokalaftale omkring weekendtillæg(Kræver aftale med TR/FSL). Weekendtimerne udbetales.",I26="X",S26="X")),V26,0)</f>
        <v>0</v>
      </c>
      <c r="FG26" s="674">
        <f>IF(AND(AND(Stamoplysninger!$B$26="Der er indgået lokalaftale omkring weekendtillæg(Kræver aftale med TR/FSL). Weekendtimerne udbetales.",I26="X",C26="ikke relevant")),K26,0)</f>
        <v>0</v>
      </c>
      <c r="FH26" s="675">
        <f>IF(AND(AND(AND(Stamoplysninger!$B$26="Der er indgået lokalaftale omkring weekendtillæg(Kræver aftale med TR/FSL). Weekendtimerne udbetales.",I26="X",C26="ikke relevant",S26="X"))),(V26),0)</f>
        <v>0</v>
      </c>
      <c r="FI26" s="283">
        <f>IF(AND(Stamoplysninger!$B$26="Weekendtimer og weekendtillæg afspadseres.",I26="X"),K26,0)</f>
        <v>0</v>
      </c>
      <c r="FJ26" s="251">
        <f>IF(AND(Stamoplysninger!$B$26="Weekendtimer og weekendtillæg afspadseres.",Y26="X"),(AA26+AL26)/2,0)</f>
        <v>0</v>
      </c>
      <c r="FK26" s="674">
        <f>IF(AND(AND(Stamoplysninger!$B$26="Weekendtimer og weekendtillæg afspadseres.",I26="X",C26="ikke relevant")),K26,0)</f>
        <v>0</v>
      </c>
      <c r="FL26" s="675">
        <f>IF(AND(AND(Stamoplysninger!$B$26="Weekendtimer og weekendtillæg afspadseres.",Y26="X",S26="ikke relevant")),(AA26+AL26)/2,0)</f>
        <v>0</v>
      </c>
      <c r="FM26" s="283">
        <f>IF(AND(Stamoplysninger!$B$26="Der er indgået lokalaftale omkring weekendtillæg(Kræver aftale med TR/FSL). Weekendtimerne afspadseres.",I26="X"),K26,0)</f>
        <v>0</v>
      </c>
      <c r="FN26" s="674">
        <f>IF(AND(AND(Stamoplysninger!$B$26="Der er indgået lokalaftale omkring weekendtillæg(Kræver aftale med TR/FSL). Weekendtimerne afspadseres.",I26="X",C26="ikke relevant")),K26,0)</f>
        <v>0</v>
      </c>
      <c r="FO26" s="283">
        <f>IF(AND(Stamoplysninger!$B$26="Weekendtimer og weekendtillæg udbetales.",I26="X"),K26,0)</f>
        <v>0</v>
      </c>
      <c r="FP26" s="251">
        <f>IF(AND(Stamoplysninger!$B$26="Weekendtimer og weekendtillæg udbetales.",AA26="X"),(AC26+AN26)/2,0)</f>
        <v>0</v>
      </c>
      <c r="FQ26" s="674">
        <f>IF(AND(AND(Stamoplysninger!$B$26="Weekendtimer og weekendtillæg udbetales.",I26="X",C26="ikke relevant")),K26,0)</f>
        <v>0</v>
      </c>
      <c r="FR26" s="688">
        <f>IF(AND(AND(Stamoplysninger!$B$26="Weekendtimer og weekendtillæg udbetales.",AA26="X",U26="ikke relevant")),(AC26+AN26)/2,0)</f>
        <v>0</v>
      </c>
      <c r="FS26" s="283">
        <f t="shared" si="15"/>
        <v>0</v>
      </c>
      <c r="FT26" s="658">
        <f t="shared" si="16"/>
        <v>0</v>
      </c>
      <c r="FU26">
        <f t="shared" si="17"/>
        <v>0</v>
      </c>
      <c r="FV26" s="283">
        <f>IF(AND(Stamoplysninger!$B$26="Der er indgået lokalaftale omkring weekendtimer.(Kræver aftale med TR/FSL) Weekendtillæg afspadseres.",I26="X"),K26,0)</f>
        <v>0</v>
      </c>
      <c r="FW26" s="674">
        <f>IF(AND(AND(Stamoplysninger!$B$26="Der er indgået lokalaftale omkring weekendtimer.(Kræver aftale med TR/FSL) Weekendtillæg afspadseres.",I26="X",C26="ikke relevant")),K26,0)</f>
        <v>0</v>
      </c>
      <c r="FX26" s="283">
        <f>IF(AND(Stamoplysninger!$B$26="Der er indgået lokalaftale omkring weekendtimer(Kræver aftale med TR/FSL). Weekendtillæg udbetales.",I26="X"),K26,0)</f>
        <v>0</v>
      </c>
      <c r="FY26" s="674">
        <f>IF(AND(AND(Stamoplysninger!$B$26="Der er indgået lokalaftale omkring weekendtimer(Kræver aftale med TR/FSL). Weekendtillæg udbetales.",I26="X",C26="ikke relevant")),K26,0)</f>
        <v>0</v>
      </c>
      <c r="FZ26" s="283">
        <f>IF(AND(Stamoplysninger!$B$26="Der er indgået lokalaftale omkring weekendtillæg(Kræver aftale med TR/FSL). Weekendtimerne udbetales.",I26="X"),K26,0)</f>
        <v>0</v>
      </c>
      <c r="GA26" s="674">
        <f>IF(AND(AND(Stamoplysninger!$B$26="Der er indgået lokalaftale omkring weekendtillæg(Kræver aftale med TR/FSL). Weekendtimerne udbetales.",I26="X",C26="ikke relevant")),K26,0)</f>
        <v>0</v>
      </c>
      <c r="GB26" s="283">
        <f>IF(AND(Stamoplysninger!$B$26="Der er indgået lokalaftale omkring weekendtimer og weekendtillæg.(Kræver aftale med TR/FSL).",I26="X"),K26,0)</f>
        <v>0</v>
      </c>
      <c r="GC26" s="674">
        <f>IF(AND(AND(Stamoplysninger!$B$26="Der er indgået lokalaftale omkring weekendtimer og weekendtillæg.(Kræver aftale med TR/FSL).",I26="X",C26="ikke relevant")),K26,0)</f>
        <v>0</v>
      </c>
    </row>
    <row r="27" spans="1:185">
      <c r="A27" s="245">
        <f t="shared" si="18"/>
        <v>19</v>
      </c>
      <c r="B27" s="128" t="str">
        <f t="shared" si="0"/>
        <v>lø</v>
      </c>
      <c r="C27" s="129" t="s">
        <v>120</v>
      </c>
      <c r="D27" s="130" t="str">
        <f t="shared" si="1"/>
        <v/>
      </c>
      <c r="E27" s="917"/>
      <c r="F27" s="918"/>
      <c r="G27" s="919"/>
      <c r="H27" s="298"/>
      <c r="I27" s="413"/>
      <c r="J27" s="413"/>
      <c r="K27" s="380"/>
      <c r="L27" s="380"/>
      <c r="M27" s="380"/>
      <c r="N27" s="318">
        <f t="shared" si="19"/>
        <v>0</v>
      </c>
      <c r="O27" s="318">
        <f t="shared" si="20"/>
        <v>0</v>
      </c>
      <c r="P27" s="318">
        <f>IF(Stamoplysninger!$H$29="JA",Juli!DG27,CX27)</f>
        <v>0</v>
      </c>
      <c r="Q27" s="318">
        <f t="shared" si="21"/>
        <v>0</v>
      </c>
      <c r="R27" s="319"/>
      <c r="S27" s="324"/>
      <c r="T27" s="325"/>
      <c r="U27" s="325"/>
      <c r="V27" s="435"/>
      <c r="W27" s="412"/>
      <c r="X27" s="642"/>
      <c r="Y27">
        <f t="shared" si="22"/>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9">
        <f t="shared" si="8"/>
        <v>0</v>
      </c>
      <c r="BC27" s="1">
        <f t="shared" si="24"/>
        <v>0</v>
      </c>
      <c r="BD27" s="1">
        <f t="shared" si="9"/>
        <v>0</v>
      </c>
      <c r="BE27" s="1">
        <f t="shared" si="10"/>
        <v>0</v>
      </c>
      <c r="BF27" s="1">
        <f t="shared" si="11"/>
        <v>0</v>
      </c>
      <c r="BG27" s="210" t="str">
        <f>IF(AND(C27="Skema 1",B27="ma"),Skemaoplysninger!$E$30,"")</f>
        <v/>
      </c>
      <c r="BH27" s="210" t="str">
        <f>IF(AND(C27="Skema 1",B27="ti"),Skemaoplysninger!$G$30,"")</f>
        <v/>
      </c>
      <c r="BI27" s="210" t="str">
        <f>IF(AND(C27="Skema 1",B27="on"),Skemaoplysninger!$I$30,"")</f>
        <v/>
      </c>
      <c r="BJ27" s="210" t="str">
        <f>IF(AND(C27="Skema 1",B27="to"),Skemaoplysninger!$K$30,"")</f>
        <v/>
      </c>
      <c r="BK27" s="210" t="str">
        <f>IF(AND(C27="Skema 1",B27="fr"),Skemaoplysninger!$M$30,"")</f>
        <v/>
      </c>
      <c r="BL27" s="210" t="str">
        <f>IF(AND(C27="Skema 2",B27="ma"),Skemaoplysninger!$S$30,"")</f>
        <v/>
      </c>
      <c r="BM27" s="210" t="str">
        <f>IF(AND(C27="Skema 2",B27="ti"),Skemaoplysninger!$U$30,"")</f>
        <v/>
      </c>
      <c r="BN27" s="210" t="str">
        <f>IF(AND(C27="Skema 2",B27="on"),Skemaoplysninger!$W$30,"")</f>
        <v/>
      </c>
      <c r="BO27" s="210" t="str">
        <f>IF(AND(C27="Skema 2",B27="to"),Skemaoplysninger!$Y$30,"")</f>
        <v/>
      </c>
      <c r="BP27" s="210" t="str">
        <f>IF(AND(C27="Skema 2",B27="fr"),Skemaoplysninger!$AA$30,"")</f>
        <v/>
      </c>
      <c r="BQ27" s="210" t="str">
        <f>IF(AND(C27="Skema 3",B27="ma"),Skemaoplysninger!$AG$30,"")</f>
        <v/>
      </c>
      <c r="BR27" s="210" t="str">
        <f>IF(AND(C27="Skema 3",B27="ti"),Skemaoplysninger!$AI$30,"")</f>
        <v/>
      </c>
      <c r="BS27" s="210" t="str">
        <f>IF(AND(C27="Skema 3",B27="on"),Skemaoplysninger!$AK$30,"")</f>
        <v/>
      </c>
      <c r="BT27" s="210" t="str">
        <f>IF(AND(C27="Skema 3",B27="to"),Skemaoplysninger!$AM$30,"")</f>
        <v/>
      </c>
      <c r="BU27" s="210" t="str">
        <f>IF(AND(C27="Skema 3",B27="fr"),Skemaoplysninger!$AO$30,"")</f>
        <v/>
      </c>
      <c r="BV27" s="210" t="str">
        <f>IF(AND(C27="Skema 4",B27="ma"),Skemaoplysninger!$AU$30,"")</f>
        <v/>
      </c>
      <c r="BW27" s="210" t="str">
        <f>IF(AND(C27="Skema 4",B27="ti"),Skemaoplysninger!$AW$30,"")</f>
        <v/>
      </c>
      <c r="BX27" s="210" t="str">
        <f>IF(AND(C27="Skema 4",B27="on"),Skemaoplysninger!$AY$30,"")</f>
        <v/>
      </c>
      <c r="BY27" s="210" t="str">
        <f>IF(AND(C27="Skema 4",B27="to"),Skemaoplysninger!$BA$30,"")</f>
        <v/>
      </c>
      <c r="BZ27" s="210" t="str">
        <f>IF(AND(C27="Skema 4",B27="fr"),Skemaoplysninger!$BC$30,"")</f>
        <v/>
      </c>
      <c r="CA27" s="1">
        <f t="shared" si="25"/>
        <v>0</v>
      </c>
      <c r="CB27" s="1">
        <f t="shared" si="12"/>
        <v>0</v>
      </c>
      <c r="CC27" s="1">
        <f t="shared" si="13"/>
        <v>0</v>
      </c>
      <c r="CD27" s="210" t="str">
        <f>IF(AND(C27="Skema 1",B27="ma"),Skemaoplysninger!$E$31,"")</f>
        <v/>
      </c>
      <c r="CE27" s="210" t="str">
        <f>IF(AND(C27="Skema 1",B27="ti"),Skemaoplysninger!$G$31,"")</f>
        <v/>
      </c>
      <c r="CF27" s="210" t="str">
        <f>IF(AND(C27="Skema 1",B27="on"),Skemaoplysninger!$I$31,"")</f>
        <v/>
      </c>
      <c r="CG27" s="210" t="str">
        <f>IF(AND(C27="Skema 1",B27="to"),Skemaoplysninger!$K$31,"")</f>
        <v/>
      </c>
      <c r="CH27" s="210" t="str">
        <f>IF(AND(C27="Skema 1",B27="fr"),Skemaoplysninger!$M$31,"")</f>
        <v/>
      </c>
      <c r="CI27" s="210" t="str">
        <f>IF(AND(C27="Skema 2",B27="ma"),Skemaoplysninger!$S$31,"")</f>
        <v/>
      </c>
      <c r="CJ27" s="210" t="str">
        <f>IF(AND(C27="Skema 2",B27="ti"),Skemaoplysninger!$U$31,"")</f>
        <v/>
      </c>
      <c r="CK27" s="210" t="str">
        <f>IF(AND(C27="Skema 2",B27="on"),Skemaoplysninger!$W$31,"")</f>
        <v/>
      </c>
      <c r="CL27" s="210" t="str">
        <f>IF(AND(C27="Skema 2",B27="to"),Skemaoplysninger!$Y$31,"")</f>
        <v/>
      </c>
      <c r="CM27" s="210" t="str">
        <f>IF(AND(C27="Skema 2",B27="fr"),Skemaoplysninger!$AA$31,"")</f>
        <v/>
      </c>
      <c r="CN27" s="210" t="str">
        <f>IF(AND(C27="Skema 3",B27="ma"),Skemaoplysninger!$AG$31,"")</f>
        <v/>
      </c>
      <c r="CO27" s="210" t="str">
        <f>IF(AND(C27="Skema 3",B27="ti"),Skemaoplysninger!$AI$31,"")</f>
        <v/>
      </c>
      <c r="CP27" s="210" t="str">
        <f>IF(AND(C27="Skema 3",B27="on"),Skemaoplysninger!$AK$31,"")</f>
        <v/>
      </c>
      <c r="CQ27" s="210" t="str">
        <f>IF(AND(C27="Skema 3",B27="to"),Skemaoplysninger!$AM$31,"")</f>
        <v/>
      </c>
      <c r="CR27" s="210" t="str">
        <f>IF(AND(C27="Skema 3",B27="fr"),Skemaoplysninger!$AO$31,"")</f>
        <v/>
      </c>
      <c r="CS27" s="210" t="str">
        <f>IF(AND(C27="Skema 4",B27="ma"),Skemaoplysninger!$AU$31,"")</f>
        <v/>
      </c>
      <c r="CT27" s="210" t="str">
        <f>IF(AND(C27="Skema 4",B27="ti"),Skemaoplysninger!$AW$31,"")</f>
        <v/>
      </c>
      <c r="CU27" s="210" t="str">
        <f>IF(AND(C27="Skema 4",B27="on"),Skemaoplysninger!$AY$31,"")</f>
        <v/>
      </c>
      <c r="CV27" s="210" t="str">
        <f>IF(AND(C27="Skema 4",B27="to"),Skemaoplysninger!$BA$31,"")</f>
        <v/>
      </c>
      <c r="CW27" s="210" t="str">
        <f>IF(AND(C27="Skema 4",B27="fr"),Skemaoplysninger!$BC$31,"")</f>
        <v/>
      </c>
      <c r="CX27" s="249">
        <f>IF(Stamoplysninger!$H$29="NEJ",SUM(CD27:CW27)*24+CB27+CC27,0)</f>
        <v>0</v>
      </c>
      <c r="CY27" s="249">
        <f>IF(C27="Skema 1",Stamoplysninger!$H$30/200,0)</f>
        <v>0</v>
      </c>
      <c r="CZ27" s="249">
        <f>IF(C27="Skema 2",Stamoplysninger!$H$30/200,0)</f>
        <v>0</v>
      </c>
      <c r="DA27" s="249">
        <f>IF(C27="Skema 3",Stamoplysninger!$H$30/200,0)</f>
        <v>0</v>
      </c>
      <c r="DB27" s="249">
        <f>IF(C27="Skema 4",Stamoplysninger!$H$30/200,0)</f>
        <v>0</v>
      </c>
      <c r="DC27" s="249">
        <f>IF(C27="fagdag",Stamoplysninger!$H$30/200,0)</f>
        <v>0</v>
      </c>
      <c r="DD27" s="249">
        <f>IF(C27="emnedag",Stamoplysninger!$H$30/200,0)</f>
        <v>0</v>
      </c>
      <c r="DE27" s="249">
        <f>IF(C27="lejrskole",Stamoplysninger!$H$30/200,0)</f>
        <v>0</v>
      </c>
      <c r="DF27" s="249">
        <f>IF(C27="ekskursion",Stamoplysninger!$H$30/200,0)</f>
        <v>0</v>
      </c>
      <c r="DG27" s="249">
        <f t="shared" si="26"/>
        <v>0</v>
      </c>
      <c r="DH27" t="str">
        <f t="shared" si="27"/>
        <v/>
      </c>
      <c r="DI27">
        <f t="shared" si="28"/>
        <v>0</v>
      </c>
      <c r="DJ27">
        <f t="shared" si="29"/>
        <v>0</v>
      </c>
      <c r="DK27" t="str">
        <f t="shared" si="14"/>
        <v/>
      </c>
      <c r="DL27" t="str">
        <f t="shared" si="14"/>
        <v/>
      </c>
      <c r="DM27" t="str">
        <f t="shared" si="14"/>
        <v/>
      </c>
      <c r="DN27" t="str">
        <f t="shared" si="30"/>
        <v/>
      </c>
      <c r="DO27" s="652">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71">
        <f>IF(AND(Stamoplysninger!$B$22="Ulempetillæg udbetales med 25% af nettotimelønnen.",C27="ikke relevant"),(R27)/4,0)</f>
        <v>0</v>
      </c>
      <c r="DT27" s="671">
        <f>IF(AND(AND(Stamoplysninger!$B$22="Ulempetillæg udbetales med 25% af nettotimelønnen.",I27="X",C27="Ikke relevant")),K27/4,0)</f>
        <v>0</v>
      </c>
      <c r="DU27" s="671">
        <f>IF(AND(AND(Stamoplysninger!$B$22="Ulempetillæg udbetales med 25% af nettotimelønnen.",C27="ikke relevant",U27="X")),(X27/4),0)</f>
        <v>0</v>
      </c>
      <c r="DV27" s="672">
        <f>IF(AND(AND(AND(Stamoplysninger!$B$22="Ulempetillæg udbetales med 25% af nettotimelønnen.",I27="X",C27="Ikke relevant",S27="X"))),V27/4,0)</f>
        <v>0</v>
      </c>
      <c r="DW27" s="652"/>
      <c r="DZ27" s="671"/>
      <c r="EA27" s="671"/>
      <c r="EB27" s="672"/>
      <c r="EC27" s="652">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71">
        <f>IF(AND(Stamoplysninger!$B$22="Ulempetillæg afspadseres med 25%(Kræver en aftale imellem ledelsen og den ansatte)",C27="ikke relevant"),(R27)/4,0)</f>
        <v>0</v>
      </c>
      <c r="EH27" s="671">
        <f>IF(AND(AND(Stamoplysninger!$B$22="Ulempetillæg afspadseres med 25%(Kræver en aftale imellem ledelsen og den ansatte)",I27="X",C27="Ikke relevant")),K27/4,0)</f>
        <v>0</v>
      </c>
      <c r="EI27" s="671">
        <f>IF(AND(AND(Stamoplysninger!$B$22="Ulempetillæg afspadseres med 25%(Kræver en aftale imellem ledelsen og den ansatte)",U27="X",C27="Ikke relevant")),X27/4,0)</f>
        <v>0</v>
      </c>
      <c r="EJ27" s="671">
        <f>IF(AND(AND(AND(Stamoplysninger!$B$22="Ulempetillæg afspadseres med 25%(Kræver en aftale imellem ledelsen og den ansatte)",I27="X",C27="Ikke relevant",S27="X"))),V27/4,0)</f>
        <v>0</v>
      </c>
      <c r="EK27" s="283">
        <f>IF(AND(Stamoplysninger!$B$26="Weekendtimer og weekendtillæg afspadseres.",I27="X"),K27*1.5,0)</f>
        <v>0</v>
      </c>
      <c r="EL27" s="251">
        <f>IF(AND(AND(Stamoplysninger!$B$26="Weekendtimer og weekendtillæg afspadseres.",I27="X",S27="X")),V27*1.5,0)</f>
        <v>0</v>
      </c>
      <c r="EM27" s="674">
        <f>IF(AND(AND(Stamoplysninger!$B$26="Weekendtimer og weekendtillæg afspadseres.",I27="X",C27="ikke relevant")),K27*1.5,0)</f>
        <v>0</v>
      </c>
      <c r="EN27" s="675">
        <f>IF(AND(AND(AND(Stamoplysninger!$B$26="Weekendtimer og weekendtillæg afspadseres.",I27="X",C27="ikke relevant",S27="X"))),(V27*1.5),0)</f>
        <v>0</v>
      </c>
      <c r="EO27" s="283">
        <f>IF(AND(Stamoplysninger!$B$26="Weekendtimer og weekendtillæg udbetales.",I27="X"),K27*1.5,0)</f>
        <v>0</v>
      </c>
      <c r="EP27" s="251">
        <f>IF(AND(AND(Stamoplysninger!$B$26="Weekendtimer og weekendtillæg udbetales.",I27="X",S27="X")),V27*1.5,0)</f>
        <v>0</v>
      </c>
      <c r="EQ27" s="674">
        <f>IF(AND(AND(Stamoplysninger!$B$26="Weekendtimer og weekendtillæg udbetales.",I27="X",C27="ikke relevant")),K27*1.5,0)</f>
        <v>0</v>
      </c>
      <c r="ER27" s="675">
        <f>IF(AND(AND(AND(Stamoplysninger!$B$26="Weekendtimer og weekendtillæg udbetales.",I27="X",C27="ikke relevant",S27="X"))),(V27*1.5),0)</f>
        <v>0</v>
      </c>
      <c r="ES27" s="283">
        <f>IF(AND(Stamoplysninger!$B$26="Der er indgået lokalaftale omkring weekendtimer.(Kræver aftale med TR/FSL) Weekendtillæg afspadseres.",I27="X"),K27*0.5,0)</f>
        <v>0</v>
      </c>
      <c r="ET27" s="251">
        <f>IF(AND(AND(Stamoplysninger!$B$26="Der er indgået lokalaftale omkring weekendtimer.(Kræver aftale med TR/FSL) Weekendtillæg afspadseres.",I27="X",S27="X")),V27*0.5,0)</f>
        <v>0</v>
      </c>
      <c r="EU27" s="674">
        <f>IF(AND(AND(Stamoplysninger!$B$26="Der er indgået lokalaftale omkring weekendtimer.(Kræver aftale med TR/FSL) Weekendtillæg afspadseres.",I27="X",C27="ikke relevant")),K27*0.5,0)</f>
        <v>0</v>
      </c>
      <c r="EV27" s="675">
        <f>IF(AND(AND(AND(Stamoplysninger!$B$26="Der er indgået lokalaftale omkring weekendtimer.(Kræver aftale med TR/FSL) Weekendtillæg afspadseres.",I27="X",C27="ikke relevant",S27="X"))),(V27*0.5),0)</f>
        <v>0</v>
      </c>
      <c r="EW27" s="283">
        <f>IF(AND(Stamoplysninger!$B$26="Der er indgået lokalaftale omkring weekendtimer(Kræver aftale med TR/FSL). Weekendtillæg udbetales.",I27="X"),K27*0.5,0)</f>
        <v>0</v>
      </c>
      <c r="EX27" s="251">
        <f>IF(AND(AND(Stamoplysninger!$B$26="Der er indgået lokalaftale omkring weekendtimer(Kræver aftale med TR/FSL). Weekendtillæg udbetales.",I27="X",S27="X")),V27*0.5,0)</f>
        <v>0</v>
      </c>
      <c r="EY27" s="674">
        <f>IF(AND(AND(Stamoplysninger!$B$26="Der er indgået lokalaftale omkring weekendtimer(Kræver aftale med TR/FSL). Weekendtillæg udbetales.",I27="X",C27="ikke relevant")),K27*0.5,0)</f>
        <v>0</v>
      </c>
      <c r="EZ27" s="675">
        <f>IF(AND(AND(AND(Stamoplysninger!$B$26="Der er indgået lokalaftale omkring weekendtimer(Kræver aftale med TR/FSL). Weekendtillæg udbetales.",I27="X",C27="ikke relevant",S27="X"))),(V27*0.5),0)</f>
        <v>0</v>
      </c>
      <c r="FA27" s="283">
        <f>IF(AND(Stamoplysninger!$B$26="Der er indgået lokalaftale omkring weekendtillæg(Kræver aftale med TR/FSL). Weekendtimerne afspadseres.",I27="X"),K27,0)</f>
        <v>0</v>
      </c>
      <c r="FB27" s="251">
        <f>IF(AND(AND(Stamoplysninger!$B$26="Der er indgået lokalaftale omkring weekendtillæg(Kræver aftale med TR/FSL). Weekendtimerne afspadseres.",I27="X",S27="X")),V27,0)</f>
        <v>0</v>
      </c>
      <c r="FC27" s="674">
        <f>IF(AND(AND(Stamoplysninger!$B$26="Der er indgået lokalaftale omkring weekendtillæg(Kræver aftale med TR/FSL). Weekendtimerne afspadseres..",I27="X",C27="ikke relevant")),K27,0)</f>
        <v>0</v>
      </c>
      <c r="FD27" s="675">
        <f>IF(AND(AND(AND(Stamoplysninger!$B$26="Der er indgået lokalaftale omkring weekendtillæg(Kræver aftale med TR/FSL). Weekendtimerne afspadseres.",I27="X",C27="ikke relevant",S27="X"))),(V27),0)</f>
        <v>0</v>
      </c>
      <c r="FE27" s="283">
        <f>IF(AND(Stamoplysninger!$B$26="Der er indgået lokalaftale omkring weekendtillæg(Kræver aftale med TR/FSL). Weekendtimerne udbetales.",I27="X"),K27,0)</f>
        <v>0</v>
      </c>
      <c r="FF27" s="251">
        <f>IF(AND(AND(Stamoplysninger!$B$26="Der er indgået lokalaftale omkring weekendtillæg(Kræver aftale med TR/FSL). Weekendtimerne udbetales.",I27="X",S27="X")),V27,0)</f>
        <v>0</v>
      </c>
      <c r="FG27" s="674">
        <f>IF(AND(AND(Stamoplysninger!$B$26="Der er indgået lokalaftale omkring weekendtillæg(Kræver aftale med TR/FSL). Weekendtimerne udbetales.",I27="X",C27="ikke relevant")),K27,0)</f>
        <v>0</v>
      </c>
      <c r="FH27" s="675">
        <f>IF(AND(AND(AND(Stamoplysninger!$B$26="Der er indgået lokalaftale omkring weekendtillæg(Kræver aftale med TR/FSL). Weekendtimerne udbetales.",I27="X",C27="ikke relevant",S27="X"))),(V27),0)</f>
        <v>0</v>
      </c>
      <c r="FI27" s="283">
        <f>IF(AND(Stamoplysninger!$B$26="Weekendtimer og weekendtillæg afspadseres.",I27="X"),K27,0)</f>
        <v>0</v>
      </c>
      <c r="FJ27" s="251">
        <f>IF(AND(Stamoplysninger!$B$26="Weekendtimer og weekendtillæg afspadseres.",Y27="X"),(AA27+AL27)/2,0)</f>
        <v>0</v>
      </c>
      <c r="FK27" s="674">
        <f>IF(AND(AND(Stamoplysninger!$B$26="Weekendtimer og weekendtillæg afspadseres.",I27="X",C27="ikke relevant")),K27,0)</f>
        <v>0</v>
      </c>
      <c r="FL27" s="675">
        <f>IF(AND(AND(Stamoplysninger!$B$26="Weekendtimer og weekendtillæg afspadseres.",Y27="X",S27="ikke relevant")),(AA27+AL27)/2,0)</f>
        <v>0</v>
      </c>
      <c r="FM27" s="283">
        <f>IF(AND(Stamoplysninger!$B$26="Der er indgået lokalaftale omkring weekendtillæg(Kræver aftale med TR/FSL). Weekendtimerne afspadseres.",I27="X"),K27,0)</f>
        <v>0</v>
      </c>
      <c r="FN27" s="674">
        <f>IF(AND(AND(Stamoplysninger!$B$26="Der er indgået lokalaftale omkring weekendtillæg(Kræver aftale med TR/FSL). Weekendtimerne afspadseres.",I27="X",C27="ikke relevant")),K27,0)</f>
        <v>0</v>
      </c>
      <c r="FO27" s="283">
        <f>IF(AND(Stamoplysninger!$B$26="Weekendtimer og weekendtillæg udbetales.",I27="X"),K27,0)</f>
        <v>0</v>
      </c>
      <c r="FP27" s="251">
        <f>IF(AND(Stamoplysninger!$B$26="Weekendtimer og weekendtillæg udbetales.",AA27="X"),(AC27+AN27)/2,0)</f>
        <v>0</v>
      </c>
      <c r="FQ27" s="674">
        <f>IF(AND(AND(Stamoplysninger!$B$26="Weekendtimer og weekendtillæg udbetales.",I27="X",C27="ikke relevant")),K27,0)</f>
        <v>0</v>
      </c>
      <c r="FR27" s="688">
        <f>IF(AND(AND(Stamoplysninger!$B$26="Weekendtimer og weekendtillæg udbetales.",AA27="X",U27="ikke relevant")),(AC27+AN27)/2,0)</f>
        <v>0</v>
      </c>
      <c r="FS27" s="283">
        <f t="shared" si="15"/>
        <v>0</v>
      </c>
      <c r="FT27" s="658">
        <f t="shared" si="16"/>
        <v>0</v>
      </c>
      <c r="FU27">
        <f t="shared" si="17"/>
        <v>0</v>
      </c>
      <c r="FV27" s="283">
        <f>IF(AND(Stamoplysninger!$B$26="Der er indgået lokalaftale omkring weekendtimer.(Kræver aftale med TR/FSL) Weekendtillæg afspadseres.",I27="X"),K27,0)</f>
        <v>0</v>
      </c>
      <c r="FW27" s="674">
        <f>IF(AND(AND(Stamoplysninger!$B$26="Der er indgået lokalaftale omkring weekendtimer.(Kræver aftale med TR/FSL) Weekendtillæg afspadseres.",I27="X",C27="ikke relevant")),K27,0)</f>
        <v>0</v>
      </c>
      <c r="FX27" s="283">
        <f>IF(AND(Stamoplysninger!$B$26="Der er indgået lokalaftale omkring weekendtimer(Kræver aftale med TR/FSL). Weekendtillæg udbetales.",I27="X"),K27,0)</f>
        <v>0</v>
      </c>
      <c r="FY27" s="674">
        <f>IF(AND(AND(Stamoplysninger!$B$26="Der er indgået lokalaftale omkring weekendtimer(Kræver aftale med TR/FSL). Weekendtillæg udbetales.",I27="X",C27="ikke relevant")),K27,0)</f>
        <v>0</v>
      </c>
      <c r="FZ27" s="283">
        <f>IF(AND(Stamoplysninger!$B$26="Der er indgået lokalaftale omkring weekendtillæg(Kræver aftale med TR/FSL). Weekendtimerne udbetales.",I27="X"),K27,0)</f>
        <v>0</v>
      </c>
      <c r="GA27" s="674">
        <f>IF(AND(AND(Stamoplysninger!$B$26="Der er indgået lokalaftale omkring weekendtillæg(Kræver aftale med TR/FSL). Weekendtimerne udbetales.",I27="X",C27="ikke relevant")),K27,0)</f>
        <v>0</v>
      </c>
      <c r="GB27" s="283">
        <f>IF(AND(Stamoplysninger!$B$26="Der er indgået lokalaftale omkring weekendtimer og weekendtillæg.(Kræver aftale med TR/FSL).",I27="X"),K27,0)</f>
        <v>0</v>
      </c>
      <c r="GC27" s="674">
        <f>IF(AND(AND(Stamoplysninger!$B$26="Der er indgået lokalaftale omkring weekendtimer og weekendtillæg.(Kræver aftale med TR/FSL).",I27="X",C27="ikke relevant")),K27,0)</f>
        <v>0</v>
      </c>
    </row>
    <row r="28" spans="1:185">
      <c r="A28" s="245">
        <f t="shared" si="18"/>
        <v>20</v>
      </c>
      <c r="B28" s="128" t="str">
        <f t="shared" si="0"/>
        <v>sø</v>
      </c>
      <c r="C28" s="129" t="s">
        <v>120</v>
      </c>
      <c r="D28" s="130" t="str">
        <f t="shared" si="1"/>
        <v/>
      </c>
      <c r="E28" s="917"/>
      <c r="F28" s="918"/>
      <c r="G28" s="919"/>
      <c r="H28" s="298"/>
      <c r="I28" s="413"/>
      <c r="J28" s="413"/>
      <c r="K28" s="380"/>
      <c r="L28" s="380"/>
      <c r="M28" s="380"/>
      <c r="N28" s="318">
        <f t="shared" si="19"/>
        <v>0</v>
      </c>
      <c r="O28" s="318">
        <f t="shared" si="20"/>
        <v>0</v>
      </c>
      <c r="P28" s="318">
        <f>IF(Stamoplysninger!$H$29="JA",Juli!DG28,CX28)</f>
        <v>0</v>
      </c>
      <c r="Q28" s="318">
        <f t="shared" si="21"/>
        <v>0</v>
      </c>
      <c r="R28" s="319"/>
      <c r="S28" s="324"/>
      <c r="T28" s="325"/>
      <c r="U28" s="325"/>
      <c r="V28" s="435"/>
      <c r="W28" s="412"/>
      <c r="X28" s="642"/>
      <c r="Y28">
        <f t="shared" si="22"/>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9">
        <f t="shared" si="8"/>
        <v>0</v>
      </c>
      <c r="BC28" s="1">
        <f t="shared" si="24"/>
        <v>0</v>
      </c>
      <c r="BD28" s="1">
        <f t="shared" si="9"/>
        <v>0</v>
      </c>
      <c r="BE28" s="1">
        <f t="shared" si="10"/>
        <v>0</v>
      </c>
      <c r="BF28" s="1">
        <f t="shared" si="11"/>
        <v>0</v>
      </c>
      <c r="BG28" s="210" t="str">
        <f>IF(AND(C28="Skema 1",B28="ma"),Skemaoplysninger!$E$30,"")</f>
        <v/>
      </c>
      <c r="BH28" s="210" t="str">
        <f>IF(AND(C28="Skema 1",B28="ti"),Skemaoplysninger!$G$30,"")</f>
        <v/>
      </c>
      <c r="BI28" s="210" t="str">
        <f>IF(AND(C28="Skema 1",B28="on"),Skemaoplysninger!$I$30,"")</f>
        <v/>
      </c>
      <c r="BJ28" s="210" t="str">
        <f>IF(AND(C28="Skema 1",B28="to"),Skemaoplysninger!$K$30,"")</f>
        <v/>
      </c>
      <c r="BK28" s="210" t="str">
        <f>IF(AND(C28="Skema 1",B28="fr"),Skemaoplysninger!$M$30,"")</f>
        <v/>
      </c>
      <c r="BL28" s="210" t="str">
        <f>IF(AND(C28="Skema 2",B28="ma"),Skemaoplysninger!$S$30,"")</f>
        <v/>
      </c>
      <c r="BM28" s="210" t="str">
        <f>IF(AND(C28="Skema 2",B28="ti"),Skemaoplysninger!$U$30,"")</f>
        <v/>
      </c>
      <c r="BN28" s="210" t="str">
        <f>IF(AND(C28="Skema 2",B28="on"),Skemaoplysninger!$W$30,"")</f>
        <v/>
      </c>
      <c r="BO28" s="210" t="str">
        <f>IF(AND(C28="Skema 2",B28="to"),Skemaoplysninger!$Y$30,"")</f>
        <v/>
      </c>
      <c r="BP28" s="210" t="str">
        <f>IF(AND(C28="Skema 2",B28="fr"),Skemaoplysninger!$AA$30,"")</f>
        <v/>
      </c>
      <c r="BQ28" s="210" t="str">
        <f>IF(AND(C28="Skema 3",B28="ma"),Skemaoplysninger!$AG$30,"")</f>
        <v/>
      </c>
      <c r="BR28" s="210" t="str">
        <f>IF(AND(C28="Skema 3",B28="ti"),Skemaoplysninger!$AI$30,"")</f>
        <v/>
      </c>
      <c r="BS28" s="210" t="str">
        <f>IF(AND(C28="Skema 3",B28="on"),Skemaoplysninger!$AK$30,"")</f>
        <v/>
      </c>
      <c r="BT28" s="210" t="str">
        <f>IF(AND(C28="Skema 3",B28="to"),Skemaoplysninger!$AM$30,"")</f>
        <v/>
      </c>
      <c r="BU28" s="210" t="str">
        <f>IF(AND(C28="Skema 3",B28="fr"),Skemaoplysninger!$AO$30,"")</f>
        <v/>
      </c>
      <c r="BV28" s="210" t="str">
        <f>IF(AND(C28="Skema 4",B28="ma"),Skemaoplysninger!$AU$30,"")</f>
        <v/>
      </c>
      <c r="BW28" s="210" t="str">
        <f>IF(AND(C28="Skema 4",B28="ti"),Skemaoplysninger!$AW$30,"")</f>
        <v/>
      </c>
      <c r="BX28" s="210" t="str">
        <f>IF(AND(C28="Skema 4",B28="on"),Skemaoplysninger!$AY$30,"")</f>
        <v/>
      </c>
      <c r="BY28" s="210" t="str">
        <f>IF(AND(C28="Skema 4",B28="to"),Skemaoplysninger!$BA$30,"")</f>
        <v/>
      </c>
      <c r="BZ28" s="210" t="str">
        <f>IF(AND(C28="Skema 4",B28="fr"),Skemaoplysninger!$BC$30,"")</f>
        <v/>
      </c>
      <c r="CA28" s="1">
        <f t="shared" si="25"/>
        <v>0</v>
      </c>
      <c r="CB28" s="1">
        <f t="shared" si="12"/>
        <v>0</v>
      </c>
      <c r="CC28" s="1">
        <f t="shared" si="13"/>
        <v>0</v>
      </c>
      <c r="CD28" s="210" t="str">
        <f>IF(AND(C28="Skema 1",B28="ma"),Skemaoplysninger!$E$31,"")</f>
        <v/>
      </c>
      <c r="CE28" s="210" t="str">
        <f>IF(AND(C28="Skema 1",B28="ti"),Skemaoplysninger!$G$31,"")</f>
        <v/>
      </c>
      <c r="CF28" s="210" t="str">
        <f>IF(AND(C28="Skema 1",B28="on"),Skemaoplysninger!$I$31,"")</f>
        <v/>
      </c>
      <c r="CG28" s="210" t="str">
        <f>IF(AND(C28="Skema 1",B28="to"),Skemaoplysninger!$K$31,"")</f>
        <v/>
      </c>
      <c r="CH28" s="210" t="str">
        <f>IF(AND(C28="Skema 1",B28="fr"),Skemaoplysninger!$M$31,"")</f>
        <v/>
      </c>
      <c r="CI28" s="210" t="str">
        <f>IF(AND(C28="Skema 2",B28="ma"),Skemaoplysninger!$S$31,"")</f>
        <v/>
      </c>
      <c r="CJ28" s="210" t="str">
        <f>IF(AND(C28="Skema 2",B28="ti"),Skemaoplysninger!$U$31,"")</f>
        <v/>
      </c>
      <c r="CK28" s="210" t="str">
        <f>IF(AND(C28="Skema 2",B28="on"),Skemaoplysninger!$W$31,"")</f>
        <v/>
      </c>
      <c r="CL28" s="210" t="str">
        <f>IF(AND(C28="Skema 2",B28="to"),Skemaoplysninger!$Y$31,"")</f>
        <v/>
      </c>
      <c r="CM28" s="210" t="str">
        <f>IF(AND(C28="Skema 2",B28="fr"),Skemaoplysninger!$AA$31,"")</f>
        <v/>
      </c>
      <c r="CN28" s="210" t="str">
        <f>IF(AND(C28="Skema 3",B28="ma"),Skemaoplysninger!$AG$31,"")</f>
        <v/>
      </c>
      <c r="CO28" s="210" t="str">
        <f>IF(AND(C28="Skema 3",B28="ti"),Skemaoplysninger!$AI$31,"")</f>
        <v/>
      </c>
      <c r="CP28" s="210" t="str">
        <f>IF(AND(C28="Skema 3",B28="on"),Skemaoplysninger!$AK$31,"")</f>
        <v/>
      </c>
      <c r="CQ28" s="210" t="str">
        <f>IF(AND(C28="Skema 3",B28="to"),Skemaoplysninger!$AM$31,"")</f>
        <v/>
      </c>
      <c r="CR28" s="210" t="str">
        <f>IF(AND(C28="Skema 3",B28="fr"),Skemaoplysninger!$AO$31,"")</f>
        <v/>
      </c>
      <c r="CS28" s="210" t="str">
        <f>IF(AND(C28="Skema 4",B28="ma"),Skemaoplysninger!$AU$31,"")</f>
        <v/>
      </c>
      <c r="CT28" s="210" t="str">
        <f>IF(AND(C28="Skema 4",B28="ti"),Skemaoplysninger!$AW$31,"")</f>
        <v/>
      </c>
      <c r="CU28" s="210" t="str">
        <f>IF(AND(C28="Skema 4",B28="on"),Skemaoplysninger!$AY$31,"")</f>
        <v/>
      </c>
      <c r="CV28" s="210" t="str">
        <f>IF(AND(C28="Skema 4",B28="to"),Skemaoplysninger!$BA$31,"")</f>
        <v/>
      </c>
      <c r="CW28" s="210" t="str">
        <f>IF(AND(C28="Skema 4",B28="fr"),Skemaoplysninger!$BC$31,"")</f>
        <v/>
      </c>
      <c r="CX28" s="249">
        <f>IF(Stamoplysninger!$H$29="NEJ",SUM(CD28:CW28)*24+CB28+CC28,0)</f>
        <v>0</v>
      </c>
      <c r="CY28" s="249">
        <f>IF(C28="Skema 1",Stamoplysninger!$H$30/200,0)</f>
        <v>0</v>
      </c>
      <c r="CZ28" s="249">
        <f>IF(C28="Skema 2",Stamoplysninger!$H$30/200,0)</f>
        <v>0</v>
      </c>
      <c r="DA28" s="249">
        <f>IF(C28="Skema 3",Stamoplysninger!$H$30/200,0)</f>
        <v>0</v>
      </c>
      <c r="DB28" s="249">
        <f>IF(C28="Skema 4",Stamoplysninger!$H$30/200,0)</f>
        <v>0</v>
      </c>
      <c r="DC28" s="249">
        <f>IF(C28="fagdag",Stamoplysninger!$H$30/200,0)</f>
        <v>0</v>
      </c>
      <c r="DD28" s="249">
        <f>IF(C28="emnedag",Stamoplysninger!$H$30/200,0)</f>
        <v>0</v>
      </c>
      <c r="DE28" s="249">
        <f>IF(C28="lejrskole",Stamoplysninger!$H$30/200,0)</f>
        <v>0</v>
      </c>
      <c r="DF28" s="249">
        <f>IF(C28="ekskursion",Stamoplysninger!$H$30/200,0)</f>
        <v>0</v>
      </c>
      <c r="DG28" s="249">
        <f t="shared" si="26"/>
        <v>0</v>
      </c>
      <c r="DH28" t="str">
        <f t="shared" si="27"/>
        <v/>
      </c>
      <c r="DI28">
        <f t="shared" si="28"/>
        <v>0</v>
      </c>
      <c r="DJ28">
        <f t="shared" si="29"/>
        <v>0</v>
      </c>
      <c r="DK28" t="str">
        <f t="shared" si="14"/>
        <v/>
      </c>
      <c r="DL28" t="str">
        <f t="shared" si="14"/>
        <v/>
      </c>
      <c r="DM28" t="str">
        <f t="shared" si="14"/>
        <v/>
      </c>
      <c r="DN28" t="str">
        <f t="shared" si="30"/>
        <v/>
      </c>
      <c r="DO28" s="652">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71">
        <f>IF(AND(Stamoplysninger!$B$22="Ulempetillæg udbetales med 25% af nettotimelønnen.",C28="ikke relevant"),(R28)/4,0)</f>
        <v>0</v>
      </c>
      <c r="DT28" s="671">
        <f>IF(AND(AND(Stamoplysninger!$B$22="Ulempetillæg udbetales med 25% af nettotimelønnen.",I28="X",C28="Ikke relevant")),K28/4,0)</f>
        <v>0</v>
      </c>
      <c r="DU28" s="671">
        <f>IF(AND(AND(Stamoplysninger!$B$22="Ulempetillæg udbetales med 25% af nettotimelønnen.",C28="ikke relevant",U28="X")),(X28/4),0)</f>
        <v>0</v>
      </c>
      <c r="DV28" s="672">
        <f>IF(AND(AND(AND(Stamoplysninger!$B$22="Ulempetillæg udbetales med 25% af nettotimelønnen.",I28="X",C28="Ikke relevant",S28="X"))),V28/4,0)</f>
        <v>0</v>
      </c>
      <c r="DW28" s="652"/>
      <c r="DZ28" s="671"/>
      <c r="EA28" s="671"/>
      <c r="EB28" s="672"/>
      <c r="EC28" s="652">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71">
        <f>IF(AND(Stamoplysninger!$B$22="Ulempetillæg afspadseres med 25%(Kræver en aftale imellem ledelsen og den ansatte)",C28="ikke relevant"),(R28)/4,0)</f>
        <v>0</v>
      </c>
      <c r="EH28" s="671">
        <f>IF(AND(AND(Stamoplysninger!$B$22="Ulempetillæg afspadseres med 25%(Kræver en aftale imellem ledelsen og den ansatte)",I28="X",C28="Ikke relevant")),K28/4,0)</f>
        <v>0</v>
      </c>
      <c r="EI28" s="671">
        <f>IF(AND(AND(Stamoplysninger!$B$22="Ulempetillæg afspadseres med 25%(Kræver en aftale imellem ledelsen og den ansatte)",U28="X",C28="Ikke relevant")),X28/4,0)</f>
        <v>0</v>
      </c>
      <c r="EJ28" s="671">
        <f>IF(AND(AND(AND(Stamoplysninger!$B$22="Ulempetillæg afspadseres med 25%(Kræver en aftale imellem ledelsen og den ansatte)",I28="X",C28="Ikke relevant",S28="X"))),V28/4,0)</f>
        <v>0</v>
      </c>
      <c r="EK28" s="283">
        <f>IF(AND(Stamoplysninger!$B$26="Weekendtimer og weekendtillæg afspadseres.",I28="X"),K28*1.5,0)</f>
        <v>0</v>
      </c>
      <c r="EL28" s="251">
        <f>IF(AND(AND(Stamoplysninger!$B$26="Weekendtimer og weekendtillæg afspadseres.",I28="X",S28="X")),V28*1.5,0)</f>
        <v>0</v>
      </c>
      <c r="EM28" s="674">
        <f>IF(AND(AND(Stamoplysninger!$B$26="Weekendtimer og weekendtillæg afspadseres.",I28="X",C28="ikke relevant")),K28*1.5,0)</f>
        <v>0</v>
      </c>
      <c r="EN28" s="675">
        <f>IF(AND(AND(AND(Stamoplysninger!$B$26="Weekendtimer og weekendtillæg afspadseres.",I28="X",C28="ikke relevant",S28="X"))),(V28*1.5),0)</f>
        <v>0</v>
      </c>
      <c r="EO28" s="283">
        <f>IF(AND(Stamoplysninger!$B$26="Weekendtimer og weekendtillæg udbetales.",I28="X"),K28*1.5,0)</f>
        <v>0</v>
      </c>
      <c r="EP28" s="251">
        <f>IF(AND(AND(Stamoplysninger!$B$26="Weekendtimer og weekendtillæg udbetales.",I28="X",S28="X")),V28*1.5,0)</f>
        <v>0</v>
      </c>
      <c r="EQ28" s="674">
        <f>IF(AND(AND(Stamoplysninger!$B$26="Weekendtimer og weekendtillæg udbetales.",I28="X",C28="ikke relevant")),K28*1.5,0)</f>
        <v>0</v>
      </c>
      <c r="ER28" s="675">
        <f>IF(AND(AND(AND(Stamoplysninger!$B$26="Weekendtimer og weekendtillæg udbetales.",I28="X",C28="ikke relevant",S28="X"))),(V28*1.5),0)</f>
        <v>0</v>
      </c>
      <c r="ES28" s="283">
        <f>IF(AND(Stamoplysninger!$B$26="Der er indgået lokalaftale omkring weekendtimer.(Kræver aftale med TR/FSL) Weekendtillæg afspadseres.",I28="X"),K28*0.5,0)</f>
        <v>0</v>
      </c>
      <c r="ET28" s="251">
        <f>IF(AND(AND(Stamoplysninger!$B$26="Der er indgået lokalaftale omkring weekendtimer.(Kræver aftale med TR/FSL) Weekendtillæg afspadseres.",I28="X",S28="X")),V28*0.5,0)</f>
        <v>0</v>
      </c>
      <c r="EU28" s="674">
        <f>IF(AND(AND(Stamoplysninger!$B$26="Der er indgået lokalaftale omkring weekendtimer.(Kræver aftale med TR/FSL) Weekendtillæg afspadseres.",I28="X",C28="ikke relevant")),K28*0.5,0)</f>
        <v>0</v>
      </c>
      <c r="EV28" s="675">
        <f>IF(AND(AND(AND(Stamoplysninger!$B$26="Der er indgået lokalaftale omkring weekendtimer.(Kræver aftale med TR/FSL) Weekendtillæg afspadseres.",I28="X",C28="ikke relevant",S28="X"))),(V28*0.5),0)</f>
        <v>0</v>
      </c>
      <c r="EW28" s="283">
        <f>IF(AND(Stamoplysninger!$B$26="Der er indgået lokalaftale omkring weekendtimer(Kræver aftale med TR/FSL). Weekendtillæg udbetales.",I28="X"),K28*0.5,0)</f>
        <v>0</v>
      </c>
      <c r="EX28" s="251">
        <f>IF(AND(AND(Stamoplysninger!$B$26="Der er indgået lokalaftale omkring weekendtimer(Kræver aftale med TR/FSL). Weekendtillæg udbetales.",I28="X",S28="X")),V28*0.5,0)</f>
        <v>0</v>
      </c>
      <c r="EY28" s="674">
        <f>IF(AND(AND(Stamoplysninger!$B$26="Der er indgået lokalaftale omkring weekendtimer(Kræver aftale med TR/FSL). Weekendtillæg udbetales.",I28="X",C28="ikke relevant")),K28*0.5,0)</f>
        <v>0</v>
      </c>
      <c r="EZ28" s="675">
        <f>IF(AND(AND(AND(Stamoplysninger!$B$26="Der er indgået lokalaftale omkring weekendtimer(Kræver aftale med TR/FSL). Weekendtillæg udbetales.",I28="X",C28="ikke relevant",S28="X"))),(V28*0.5),0)</f>
        <v>0</v>
      </c>
      <c r="FA28" s="283">
        <f>IF(AND(Stamoplysninger!$B$26="Der er indgået lokalaftale omkring weekendtillæg(Kræver aftale med TR/FSL). Weekendtimerne afspadseres.",I28="X"),K28,0)</f>
        <v>0</v>
      </c>
      <c r="FB28" s="251">
        <f>IF(AND(AND(Stamoplysninger!$B$26="Der er indgået lokalaftale omkring weekendtillæg(Kræver aftale med TR/FSL). Weekendtimerne afspadseres.",I28="X",S28="X")),V28,0)</f>
        <v>0</v>
      </c>
      <c r="FC28" s="674">
        <f>IF(AND(AND(Stamoplysninger!$B$26="Der er indgået lokalaftale omkring weekendtillæg(Kræver aftale med TR/FSL). Weekendtimerne afspadseres..",I28="X",C28="ikke relevant")),K28,0)</f>
        <v>0</v>
      </c>
      <c r="FD28" s="675">
        <f>IF(AND(AND(AND(Stamoplysninger!$B$26="Der er indgået lokalaftale omkring weekendtillæg(Kræver aftale med TR/FSL). Weekendtimerne afspadseres.",I28="X",C28="ikke relevant",S28="X"))),(V28),0)</f>
        <v>0</v>
      </c>
      <c r="FE28" s="283">
        <f>IF(AND(Stamoplysninger!$B$26="Der er indgået lokalaftale omkring weekendtillæg(Kræver aftale med TR/FSL). Weekendtimerne udbetales.",I28="X"),K28,0)</f>
        <v>0</v>
      </c>
      <c r="FF28" s="251">
        <f>IF(AND(AND(Stamoplysninger!$B$26="Der er indgået lokalaftale omkring weekendtillæg(Kræver aftale med TR/FSL). Weekendtimerne udbetales.",I28="X",S28="X")),V28,0)</f>
        <v>0</v>
      </c>
      <c r="FG28" s="674">
        <f>IF(AND(AND(Stamoplysninger!$B$26="Der er indgået lokalaftale omkring weekendtillæg(Kræver aftale med TR/FSL). Weekendtimerne udbetales.",I28="X",C28="ikke relevant")),K28,0)</f>
        <v>0</v>
      </c>
      <c r="FH28" s="675">
        <f>IF(AND(AND(AND(Stamoplysninger!$B$26="Der er indgået lokalaftale omkring weekendtillæg(Kræver aftale med TR/FSL). Weekendtimerne udbetales.",I28="X",C28="ikke relevant",S28="X"))),(V28),0)</f>
        <v>0</v>
      </c>
      <c r="FI28" s="283">
        <f>IF(AND(Stamoplysninger!$B$26="Weekendtimer og weekendtillæg afspadseres.",I28="X"),K28,0)</f>
        <v>0</v>
      </c>
      <c r="FJ28" s="251">
        <f>IF(AND(Stamoplysninger!$B$26="Weekendtimer og weekendtillæg afspadseres.",Y28="X"),(AA28+AL28)/2,0)</f>
        <v>0</v>
      </c>
      <c r="FK28" s="674">
        <f>IF(AND(AND(Stamoplysninger!$B$26="Weekendtimer og weekendtillæg afspadseres.",I28="X",C28="ikke relevant")),K28,0)</f>
        <v>0</v>
      </c>
      <c r="FL28" s="675">
        <f>IF(AND(AND(Stamoplysninger!$B$26="Weekendtimer og weekendtillæg afspadseres.",Y28="X",S28="ikke relevant")),(AA28+AL28)/2,0)</f>
        <v>0</v>
      </c>
      <c r="FM28" s="283">
        <f>IF(AND(Stamoplysninger!$B$26="Der er indgået lokalaftale omkring weekendtillæg(Kræver aftale med TR/FSL). Weekendtimerne afspadseres.",I28="X"),K28,0)</f>
        <v>0</v>
      </c>
      <c r="FN28" s="674">
        <f>IF(AND(AND(Stamoplysninger!$B$26="Der er indgået lokalaftale omkring weekendtillæg(Kræver aftale med TR/FSL). Weekendtimerne afspadseres.",I28="X",C28="ikke relevant")),K28,0)</f>
        <v>0</v>
      </c>
      <c r="FO28" s="283">
        <f>IF(AND(Stamoplysninger!$B$26="Weekendtimer og weekendtillæg udbetales.",I28="X"),K28,0)</f>
        <v>0</v>
      </c>
      <c r="FP28" s="251">
        <f>IF(AND(Stamoplysninger!$B$26="Weekendtimer og weekendtillæg udbetales.",AA28="X"),(AC28+AN28)/2,0)</f>
        <v>0</v>
      </c>
      <c r="FQ28" s="674">
        <f>IF(AND(AND(Stamoplysninger!$B$26="Weekendtimer og weekendtillæg udbetales.",I28="X",C28="ikke relevant")),K28,0)</f>
        <v>0</v>
      </c>
      <c r="FR28" s="688">
        <f>IF(AND(AND(Stamoplysninger!$B$26="Weekendtimer og weekendtillæg udbetales.",AA28="X",U28="ikke relevant")),(AC28+AN28)/2,0)</f>
        <v>0</v>
      </c>
      <c r="FS28" s="283">
        <f t="shared" si="15"/>
        <v>0</v>
      </c>
      <c r="FT28" s="658">
        <f t="shared" si="16"/>
        <v>0</v>
      </c>
      <c r="FU28">
        <f t="shared" si="17"/>
        <v>0</v>
      </c>
      <c r="FV28" s="283">
        <f>IF(AND(Stamoplysninger!$B$26="Der er indgået lokalaftale omkring weekendtimer.(Kræver aftale med TR/FSL) Weekendtillæg afspadseres.",I28="X"),K28,0)</f>
        <v>0</v>
      </c>
      <c r="FW28" s="674">
        <f>IF(AND(AND(Stamoplysninger!$B$26="Der er indgået lokalaftale omkring weekendtimer.(Kræver aftale med TR/FSL) Weekendtillæg afspadseres.",I28="X",C28="ikke relevant")),K28,0)</f>
        <v>0</v>
      </c>
      <c r="FX28" s="283">
        <f>IF(AND(Stamoplysninger!$B$26="Der er indgået lokalaftale omkring weekendtimer(Kræver aftale med TR/FSL). Weekendtillæg udbetales.",I28="X"),K28,0)</f>
        <v>0</v>
      </c>
      <c r="FY28" s="674">
        <f>IF(AND(AND(Stamoplysninger!$B$26="Der er indgået lokalaftale omkring weekendtimer(Kræver aftale med TR/FSL). Weekendtillæg udbetales.",I28="X",C28="ikke relevant")),K28,0)</f>
        <v>0</v>
      </c>
      <c r="FZ28" s="283">
        <f>IF(AND(Stamoplysninger!$B$26="Der er indgået lokalaftale omkring weekendtillæg(Kræver aftale med TR/FSL). Weekendtimerne udbetales.",I28="X"),K28,0)</f>
        <v>0</v>
      </c>
      <c r="GA28" s="674">
        <f>IF(AND(AND(Stamoplysninger!$B$26="Der er indgået lokalaftale omkring weekendtillæg(Kræver aftale med TR/FSL). Weekendtimerne udbetales.",I28="X",C28="ikke relevant")),K28,0)</f>
        <v>0</v>
      </c>
      <c r="GB28" s="283">
        <f>IF(AND(Stamoplysninger!$B$26="Der er indgået lokalaftale omkring weekendtimer og weekendtillæg.(Kræver aftale med TR/FSL).",I28="X"),K28,0)</f>
        <v>0</v>
      </c>
      <c r="GC28" s="674">
        <f>IF(AND(AND(Stamoplysninger!$B$26="Der er indgået lokalaftale omkring weekendtimer og weekendtillæg.(Kræver aftale med TR/FSL).",I28="X",C28="ikke relevant")),K28,0)</f>
        <v>0</v>
      </c>
    </row>
    <row r="29" spans="1:185">
      <c r="A29" s="245">
        <f t="shared" si="18"/>
        <v>21</v>
      </c>
      <c r="B29" s="128" t="str">
        <f t="shared" si="0"/>
        <v>ma</v>
      </c>
      <c r="C29" s="129" t="s">
        <v>210</v>
      </c>
      <c r="D29" s="130">
        <f t="shared" si="1"/>
        <v>29.714285714285715</v>
      </c>
      <c r="E29" s="917" t="s">
        <v>113</v>
      </c>
      <c r="F29" s="918"/>
      <c r="G29" s="919"/>
      <c r="H29" s="298"/>
      <c r="I29" s="527"/>
      <c r="J29" s="413"/>
      <c r="K29" s="380"/>
      <c r="L29" s="380"/>
      <c r="M29" s="380"/>
      <c r="N29" s="318">
        <f t="shared" si="19"/>
        <v>0</v>
      </c>
      <c r="O29" s="318">
        <f t="shared" si="20"/>
        <v>0</v>
      </c>
      <c r="P29" s="318">
        <f>IF(Stamoplysninger!$H$29="JA",Juli!DG29,CX29)</f>
        <v>0</v>
      </c>
      <c r="Q29" s="318">
        <f t="shared" si="21"/>
        <v>0</v>
      </c>
      <c r="R29" s="319"/>
      <c r="S29" s="324"/>
      <c r="T29" s="325"/>
      <c r="U29" s="325"/>
      <c r="V29" s="435"/>
      <c r="W29" s="412"/>
      <c r="X29" s="642"/>
      <c r="Y29">
        <f t="shared" si="22"/>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9">
        <f t="shared" si="8"/>
        <v>0</v>
      </c>
      <c r="BC29" s="1">
        <f t="shared" si="24"/>
        <v>0</v>
      </c>
      <c r="BD29" s="1">
        <f t="shared" si="9"/>
        <v>0</v>
      </c>
      <c r="BE29" s="1">
        <f t="shared" si="10"/>
        <v>0</v>
      </c>
      <c r="BF29" s="1">
        <f t="shared" si="11"/>
        <v>0</v>
      </c>
      <c r="BG29" s="210" t="str">
        <f>IF(AND(C29="Skema 1",B29="ma"),Skemaoplysninger!$E$30,"")</f>
        <v/>
      </c>
      <c r="BH29" s="210" t="str">
        <f>IF(AND(C29="Skema 1",B29="ti"),Skemaoplysninger!$G$30,"")</f>
        <v/>
      </c>
      <c r="BI29" s="210" t="str">
        <f>IF(AND(C29="Skema 1",B29="on"),Skemaoplysninger!$I$30,"")</f>
        <v/>
      </c>
      <c r="BJ29" s="210" t="str">
        <f>IF(AND(C29="Skema 1",B29="to"),Skemaoplysninger!$K$30,"")</f>
        <v/>
      </c>
      <c r="BK29" s="210" t="str">
        <f>IF(AND(C29="Skema 1",B29="fr"),Skemaoplysninger!$M$30,"")</f>
        <v/>
      </c>
      <c r="BL29" s="210" t="str">
        <f>IF(AND(C29="Skema 2",B29="ma"),Skemaoplysninger!$S$30,"")</f>
        <v/>
      </c>
      <c r="BM29" s="210" t="str">
        <f>IF(AND(C29="Skema 2",B29="ti"),Skemaoplysninger!$U$30,"")</f>
        <v/>
      </c>
      <c r="BN29" s="210" t="str">
        <f>IF(AND(C29="Skema 2",B29="on"),Skemaoplysninger!$W$30,"")</f>
        <v/>
      </c>
      <c r="BO29" s="210" t="str">
        <f>IF(AND(C29="Skema 2",B29="to"),Skemaoplysninger!$Y$30,"")</f>
        <v/>
      </c>
      <c r="BP29" s="210" t="str">
        <f>IF(AND(C29="Skema 2",B29="fr"),Skemaoplysninger!$AA$30,"")</f>
        <v/>
      </c>
      <c r="BQ29" s="210" t="str">
        <f>IF(AND(C29="Skema 3",B29="ma"),Skemaoplysninger!$AG$30,"")</f>
        <v/>
      </c>
      <c r="BR29" s="210" t="str">
        <f>IF(AND(C29="Skema 3",B29="ti"),Skemaoplysninger!$AI$30,"")</f>
        <v/>
      </c>
      <c r="BS29" s="210" t="str">
        <f>IF(AND(C29="Skema 3",B29="on"),Skemaoplysninger!$AK$30,"")</f>
        <v/>
      </c>
      <c r="BT29" s="210" t="str">
        <f>IF(AND(C29="Skema 3",B29="to"),Skemaoplysninger!$AM$30,"")</f>
        <v/>
      </c>
      <c r="BU29" s="210" t="str">
        <f>IF(AND(C29="Skema 3",B29="fr"),Skemaoplysninger!$AO$30,"")</f>
        <v/>
      </c>
      <c r="BV29" s="210" t="str">
        <f>IF(AND(C29="Skema 4",B29="ma"),Skemaoplysninger!$AU$30,"")</f>
        <v/>
      </c>
      <c r="BW29" s="210" t="str">
        <f>IF(AND(C29="Skema 4",B29="ti"),Skemaoplysninger!$AW$30,"")</f>
        <v/>
      </c>
      <c r="BX29" s="210" t="str">
        <f>IF(AND(C29="Skema 4",B29="on"),Skemaoplysninger!$AY$30,"")</f>
        <v/>
      </c>
      <c r="BY29" s="210" t="str">
        <f>IF(AND(C29="Skema 4",B29="to"),Skemaoplysninger!$BA$30,"")</f>
        <v/>
      </c>
      <c r="BZ29" s="210" t="str">
        <f>IF(AND(C29="Skema 4",B29="fr"),Skemaoplysninger!$BC$30,"")</f>
        <v/>
      </c>
      <c r="CA29" s="1">
        <f t="shared" si="25"/>
        <v>0</v>
      </c>
      <c r="CB29" s="1">
        <f t="shared" si="12"/>
        <v>0</v>
      </c>
      <c r="CC29" s="1">
        <f t="shared" si="13"/>
        <v>0</v>
      </c>
      <c r="CD29" s="210" t="str">
        <f>IF(AND(C29="Skema 1",B29="ma"),Skemaoplysninger!$E$31,"")</f>
        <v/>
      </c>
      <c r="CE29" s="210" t="str">
        <f>IF(AND(C29="Skema 1",B29="ti"),Skemaoplysninger!$G$31,"")</f>
        <v/>
      </c>
      <c r="CF29" s="210" t="str">
        <f>IF(AND(C29="Skema 1",B29="on"),Skemaoplysninger!$I$31,"")</f>
        <v/>
      </c>
      <c r="CG29" s="210" t="str">
        <f>IF(AND(C29="Skema 1",B29="to"),Skemaoplysninger!$K$31,"")</f>
        <v/>
      </c>
      <c r="CH29" s="210" t="str">
        <f>IF(AND(C29="Skema 1",B29="fr"),Skemaoplysninger!$M$31,"")</f>
        <v/>
      </c>
      <c r="CI29" s="210" t="str">
        <f>IF(AND(C29="Skema 2",B29="ma"),Skemaoplysninger!$S$31,"")</f>
        <v/>
      </c>
      <c r="CJ29" s="210" t="str">
        <f>IF(AND(C29="Skema 2",B29="ti"),Skemaoplysninger!$U$31,"")</f>
        <v/>
      </c>
      <c r="CK29" s="210" t="str">
        <f>IF(AND(C29="Skema 2",B29="on"),Skemaoplysninger!$W$31,"")</f>
        <v/>
      </c>
      <c r="CL29" s="210" t="str">
        <f>IF(AND(C29="Skema 2",B29="to"),Skemaoplysninger!$Y$31,"")</f>
        <v/>
      </c>
      <c r="CM29" s="210" t="str">
        <f>IF(AND(C29="Skema 2",B29="fr"),Skemaoplysninger!$AA$31,"")</f>
        <v/>
      </c>
      <c r="CN29" s="210" t="str">
        <f>IF(AND(C29="Skema 3",B29="ma"),Skemaoplysninger!$AG$31,"")</f>
        <v/>
      </c>
      <c r="CO29" s="210" t="str">
        <f>IF(AND(C29="Skema 3",B29="ti"),Skemaoplysninger!$AI$31,"")</f>
        <v/>
      </c>
      <c r="CP29" s="210" t="str">
        <f>IF(AND(C29="Skema 3",B29="on"),Skemaoplysninger!$AK$31,"")</f>
        <v/>
      </c>
      <c r="CQ29" s="210" t="str">
        <f>IF(AND(C29="Skema 3",B29="to"),Skemaoplysninger!$AM$31,"")</f>
        <v/>
      </c>
      <c r="CR29" s="210" t="str">
        <f>IF(AND(C29="Skema 3",B29="fr"),Skemaoplysninger!$AO$31,"")</f>
        <v/>
      </c>
      <c r="CS29" s="210" t="str">
        <f>IF(AND(C29="Skema 4",B29="ma"),Skemaoplysninger!$AU$31,"")</f>
        <v/>
      </c>
      <c r="CT29" s="210" t="str">
        <f>IF(AND(C29="Skema 4",B29="ti"),Skemaoplysninger!$AW$31,"")</f>
        <v/>
      </c>
      <c r="CU29" s="210" t="str">
        <f>IF(AND(C29="Skema 4",B29="on"),Skemaoplysninger!$AY$31,"")</f>
        <v/>
      </c>
      <c r="CV29" s="210" t="str">
        <f>IF(AND(C29="Skema 4",B29="to"),Skemaoplysninger!$BA$31,"")</f>
        <v/>
      </c>
      <c r="CW29" s="210" t="str">
        <f>IF(AND(C29="Skema 4",B29="fr"),Skemaoplysninger!$BC$31,"")</f>
        <v/>
      </c>
      <c r="CX29" s="249">
        <f>IF(Stamoplysninger!$H$29="NEJ",SUM(CD29:CW29)*24+CB29+CC29,0)</f>
        <v>0</v>
      </c>
      <c r="CY29" s="249">
        <f>IF(C29="Skema 1",Stamoplysninger!$H$30/200,0)</f>
        <v>0</v>
      </c>
      <c r="CZ29" s="249">
        <f>IF(C29="Skema 2",Stamoplysninger!$H$30/200,0)</f>
        <v>0</v>
      </c>
      <c r="DA29" s="249">
        <f>IF(C29="Skema 3",Stamoplysninger!$H$30/200,0)</f>
        <v>0</v>
      </c>
      <c r="DB29" s="249">
        <f>IF(C29="Skema 4",Stamoplysninger!$H$30/200,0)</f>
        <v>0</v>
      </c>
      <c r="DC29" s="249">
        <f>IF(C29="fagdag",Stamoplysninger!$H$30/200,0)</f>
        <v>0</v>
      </c>
      <c r="DD29" s="249">
        <f>IF(C29="emnedag",Stamoplysninger!$H$30/200,0)</f>
        <v>0</v>
      </c>
      <c r="DE29" s="249">
        <f>IF(C29="lejrskole",Stamoplysninger!$H$30/200,0)</f>
        <v>0</v>
      </c>
      <c r="DF29" s="249">
        <f>IF(C29="ekskursion",Stamoplysninger!$H$30/200,0)</f>
        <v>0</v>
      </c>
      <c r="DG29" s="249">
        <f t="shared" si="26"/>
        <v>0</v>
      </c>
      <c r="DH29" t="str">
        <f t="shared" si="27"/>
        <v/>
      </c>
      <c r="DI29" t="str">
        <f t="shared" si="28"/>
        <v>Sommerferie</v>
      </c>
      <c r="DJ29" t="str">
        <f t="shared" si="29"/>
        <v/>
      </c>
      <c r="DK29" t="str">
        <f t="shared" si="14"/>
        <v/>
      </c>
      <c r="DL29" t="str">
        <f t="shared" si="14"/>
        <v>Sommerferie</v>
      </c>
      <c r="DM29" t="str">
        <f t="shared" si="14"/>
        <v/>
      </c>
      <c r="DN29" t="str">
        <f t="shared" si="30"/>
        <v>Sommerferie</v>
      </c>
      <c r="DO29" s="652">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71">
        <f>IF(AND(Stamoplysninger!$B$22="Ulempetillæg udbetales med 25% af nettotimelønnen.",C29="ikke relevant"),(R29)/4,0)</f>
        <v>0</v>
      </c>
      <c r="DT29" s="671">
        <f>IF(AND(AND(Stamoplysninger!$B$22="Ulempetillæg udbetales med 25% af nettotimelønnen.",I29="X",C29="Ikke relevant")),K29/4,0)</f>
        <v>0</v>
      </c>
      <c r="DU29" s="671">
        <f>IF(AND(AND(Stamoplysninger!$B$22="Ulempetillæg udbetales med 25% af nettotimelønnen.",C29="ikke relevant",U29="X")),(X29/4),0)</f>
        <v>0</v>
      </c>
      <c r="DV29" s="672">
        <f>IF(AND(AND(AND(Stamoplysninger!$B$22="Ulempetillæg udbetales med 25% af nettotimelønnen.",I29="X",C29="Ikke relevant",S29="X"))),V29/4,0)</f>
        <v>0</v>
      </c>
      <c r="DW29" s="652"/>
      <c r="DZ29" s="671"/>
      <c r="EA29" s="671"/>
      <c r="EB29" s="672"/>
      <c r="EC29" s="652">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71">
        <f>IF(AND(Stamoplysninger!$B$22="Ulempetillæg afspadseres med 25%(Kræver en aftale imellem ledelsen og den ansatte)",C29="ikke relevant"),(R29)/4,0)</f>
        <v>0</v>
      </c>
      <c r="EH29" s="671">
        <f>IF(AND(AND(Stamoplysninger!$B$22="Ulempetillæg afspadseres med 25%(Kræver en aftale imellem ledelsen og den ansatte)",I29="X",C29="Ikke relevant")),K29/4,0)</f>
        <v>0</v>
      </c>
      <c r="EI29" s="671">
        <f>IF(AND(AND(Stamoplysninger!$B$22="Ulempetillæg afspadseres med 25%(Kræver en aftale imellem ledelsen og den ansatte)",U29="X",C29="Ikke relevant")),X29/4,0)</f>
        <v>0</v>
      </c>
      <c r="EJ29" s="671">
        <f>IF(AND(AND(AND(Stamoplysninger!$B$22="Ulempetillæg afspadseres med 25%(Kræver en aftale imellem ledelsen og den ansatte)",I29="X",C29="Ikke relevant",S29="X"))),V29/4,0)</f>
        <v>0</v>
      </c>
      <c r="EK29" s="283">
        <f>IF(AND(Stamoplysninger!$B$26="Weekendtimer og weekendtillæg afspadseres.",I29="X"),K29*1.5,0)</f>
        <v>0</v>
      </c>
      <c r="EL29" s="251">
        <f>IF(AND(AND(Stamoplysninger!$B$26="Weekendtimer og weekendtillæg afspadseres.",I29="X",S29="X")),V29*1.5,0)</f>
        <v>0</v>
      </c>
      <c r="EM29" s="674">
        <f>IF(AND(AND(Stamoplysninger!$B$26="Weekendtimer og weekendtillæg afspadseres.",I29="X",C29="ikke relevant")),K29*1.5,0)</f>
        <v>0</v>
      </c>
      <c r="EN29" s="675">
        <f>IF(AND(AND(AND(Stamoplysninger!$B$26="Weekendtimer og weekendtillæg afspadseres.",I29="X",C29="ikke relevant",S29="X"))),(V29*1.5),0)</f>
        <v>0</v>
      </c>
      <c r="EO29" s="283">
        <f>IF(AND(Stamoplysninger!$B$26="Weekendtimer og weekendtillæg udbetales.",I29="X"),K29*1.5,0)</f>
        <v>0</v>
      </c>
      <c r="EP29" s="251">
        <f>IF(AND(AND(Stamoplysninger!$B$26="Weekendtimer og weekendtillæg udbetales.",I29="X",S29="X")),V29*1.5,0)</f>
        <v>0</v>
      </c>
      <c r="EQ29" s="674">
        <f>IF(AND(AND(Stamoplysninger!$B$26="Weekendtimer og weekendtillæg udbetales.",I29="X",C29="ikke relevant")),K29*1.5,0)</f>
        <v>0</v>
      </c>
      <c r="ER29" s="675">
        <f>IF(AND(AND(AND(Stamoplysninger!$B$26="Weekendtimer og weekendtillæg udbetales.",I29="X",C29="ikke relevant",S29="X"))),(V29*1.5),0)</f>
        <v>0</v>
      </c>
      <c r="ES29" s="283">
        <f>IF(AND(Stamoplysninger!$B$26="Der er indgået lokalaftale omkring weekendtimer.(Kræver aftale med TR/FSL) Weekendtillæg afspadseres.",I29="X"),K29*0.5,0)</f>
        <v>0</v>
      </c>
      <c r="ET29" s="251">
        <f>IF(AND(AND(Stamoplysninger!$B$26="Der er indgået lokalaftale omkring weekendtimer.(Kræver aftale med TR/FSL) Weekendtillæg afspadseres.",I29="X",S29="X")),V29*0.5,0)</f>
        <v>0</v>
      </c>
      <c r="EU29" s="674">
        <f>IF(AND(AND(Stamoplysninger!$B$26="Der er indgået lokalaftale omkring weekendtimer.(Kræver aftale med TR/FSL) Weekendtillæg afspadseres.",I29="X",C29="ikke relevant")),K29*0.5,0)</f>
        <v>0</v>
      </c>
      <c r="EV29" s="675">
        <f>IF(AND(AND(AND(Stamoplysninger!$B$26="Der er indgået lokalaftale omkring weekendtimer.(Kræver aftale med TR/FSL) Weekendtillæg afspadseres.",I29="X",C29="ikke relevant",S29="X"))),(V29*0.5),0)</f>
        <v>0</v>
      </c>
      <c r="EW29" s="283">
        <f>IF(AND(Stamoplysninger!$B$26="Der er indgået lokalaftale omkring weekendtimer(Kræver aftale med TR/FSL). Weekendtillæg udbetales.",I29="X"),K29*0.5,0)</f>
        <v>0</v>
      </c>
      <c r="EX29" s="251">
        <f>IF(AND(AND(Stamoplysninger!$B$26="Der er indgået lokalaftale omkring weekendtimer(Kræver aftale med TR/FSL). Weekendtillæg udbetales.",I29="X",S29="X")),V29*0.5,0)</f>
        <v>0</v>
      </c>
      <c r="EY29" s="674">
        <f>IF(AND(AND(Stamoplysninger!$B$26="Der er indgået lokalaftale omkring weekendtimer(Kræver aftale med TR/FSL). Weekendtillæg udbetales.",I29="X",C29="ikke relevant")),K29*0.5,0)</f>
        <v>0</v>
      </c>
      <c r="EZ29" s="675">
        <f>IF(AND(AND(AND(Stamoplysninger!$B$26="Der er indgået lokalaftale omkring weekendtimer(Kræver aftale med TR/FSL). Weekendtillæg udbetales.",I29="X",C29="ikke relevant",S29="X"))),(V29*0.5),0)</f>
        <v>0</v>
      </c>
      <c r="FA29" s="283">
        <f>IF(AND(Stamoplysninger!$B$26="Der er indgået lokalaftale omkring weekendtillæg(Kræver aftale med TR/FSL). Weekendtimerne afspadseres.",I29="X"),K29,0)</f>
        <v>0</v>
      </c>
      <c r="FB29" s="251">
        <f>IF(AND(AND(Stamoplysninger!$B$26="Der er indgået lokalaftale omkring weekendtillæg(Kræver aftale med TR/FSL). Weekendtimerne afspadseres.",I29="X",S29="X")),V29,0)</f>
        <v>0</v>
      </c>
      <c r="FC29" s="674">
        <f>IF(AND(AND(Stamoplysninger!$B$26="Der er indgået lokalaftale omkring weekendtillæg(Kræver aftale med TR/FSL). Weekendtimerne afspadseres..",I29="X",C29="ikke relevant")),K29,0)</f>
        <v>0</v>
      </c>
      <c r="FD29" s="675">
        <f>IF(AND(AND(AND(Stamoplysninger!$B$26="Der er indgået lokalaftale omkring weekendtillæg(Kræver aftale med TR/FSL). Weekendtimerne afspadseres.",I29="X",C29="ikke relevant",S29="X"))),(V29),0)</f>
        <v>0</v>
      </c>
      <c r="FE29" s="283">
        <f>IF(AND(Stamoplysninger!$B$26="Der er indgået lokalaftale omkring weekendtillæg(Kræver aftale med TR/FSL). Weekendtimerne udbetales.",I29="X"),K29,0)</f>
        <v>0</v>
      </c>
      <c r="FF29" s="251">
        <f>IF(AND(AND(Stamoplysninger!$B$26="Der er indgået lokalaftale omkring weekendtillæg(Kræver aftale med TR/FSL). Weekendtimerne udbetales.",I29="X",S29="X")),V29,0)</f>
        <v>0</v>
      </c>
      <c r="FG29" s="674">
        <f>IF(AND(AND(Stamoplysninger!$B$26="Der er indgået lokalaftale omkring weekendtillæg(Kræver aftale med TR/FSL). Weekendtimerne udbetales.",I29="X",C29="ikke relevant")),K29,0)</f>
        <v>0</v>
      </c>
      <c r="FH29" s="675">
        <f>IF(AND(AND(AND(Stamoplysninger!$B$26="Der er indgået lokalaftale omkring weekendtillæg(Kræver aftale med TR/FSL). Weekendtimerne udbetales.",I29="X",C29="ikke relevant",S29="X"))),(V29),0)</f>
        <v>0</v>
      </c>
      <c r="FI29" s="283">
        <f>IF(AND(Stamoplysninger!$B$26="Weekendtimer og weekendtillæg afspadseres.",I29="X"),K29,0)</f>
        <v>0</v>
      </c>
      <c r="FJ29" s="251">
        <f>IF(AND(Stamoplysninger!$B$26="Weekendtimer og weekendtillæg afspadseres.",Y29="X"),(AA29+AL29)/2,0)</f>
        <v>0</v>
      </c>
      <c r="FK29" s="674">
        <f>IF(AND(AND(Stamoplysninger!$B$26="Weekendtimer og weekendtillæg afspadseres.",I29="X",C29="ikke relevant")),K29,0)</f>
        <v>0</v>
      </c>
      <c r="FL29" s="675">
        <f>IF(AND(AND(Stamoplysninger!$B$26="Weekendtimer og weekendtillæg afspadseres.",Y29="X",S29="ikke relevant")),(AA29+AL29)/2,0)</f>
        <v>0</v>
      </c>
      <c r="FM29" s="283">
        <f>IF(AND(Stamoplysninger!$B$26="Der er indgået lokalaftale omkring weekendtillæg(Kræver aftale med TR/FSL). Weekendtimerne afspadseres.",I29="X"),K29,0)</f>
        <v>0</v>
      </c>
      <c r="FN29" s="674">
        <f>IF(AND(AND(Stamoplysninger!$B$26="Der er indgået lokalaftale omkring weekendtillæg(Kræver aftale med TR/FSL). Weekendtimerne afspadseres.",I29="X",C29="ikke relevant")),K29,0)</f>
        <v>0</v>
      </c>
      <c r="FO29" s="283">
        <f>IF(AND(Stamoplysninger!$B$26="Weekendtimer og weekendtillæg udbetales.",I29="X"),K29,0)</f>
        <v>0</v>
      </c>
      <c r="FP29" s="251">
        <f>IF(AND(Stamoplysninger!$B$26="Weekendtimer og weekendtillæg udbetales.",AA29="X"),(AC29+AN29)/2,0)</f>
        <v>0</v>
      </c>
      <c r="FQ29" s="674">
        <f>IF(AND(AND(Stamoplysninger!$B$26="Weekendtimer og weekendtillæg udbetales.",I29="X",C29="ikke relevant")),K29,0)</f>
        <v>0</v>
      </c>
      <c r="FR29" s="688">
        <f>IF(AND(AND(Stamoplysninger!$B$26="Weekendtimer og weekendtillæg udbetales.",AA29="X",U29="ikke relevant")),(AC29+AN29)/2,0)</f>
        <v>0</v>
      </c>
      <c r="FS29" s="283">
        <f t="shared" si="15"/>
        <v>0</v>
      </c>
      <c r="FT29" s="658">
        <f t="shared" si="16"/>
        <v>0</v>
      </c>
      <c r="FU29">
        <f>IF(AND(C29="weekend",I29="X"),K29,0)</f>
        <v>0</v>
      </c>
      <c r="FV29" s="283">
        <f>IF(AND(Stamoplysninger!$B$26="Der er indgået lokalaftale omkring weekendtimer.(Kræver aftale med TR/FSL) Weekendtillæg afspadseres.",I29="X"),K29,0)</f>
        <v>0</v>
      </c>
      <c r="FW29" s="674">
        <f>IF(AND(AND(Stamoplysninger!$B$26="Der er indgået lokalaftale omkring weekendtimer.(Kræver aftale med TR/FSL) Weekendtillæg afspadseres.",I29="X",C29="ikke relevant")),K29,0)</f>
        <v>0</v>
      </c>
      <c r="FX29" s="283">
        <f>IF(AND(Stamoplysninger!$B$26="Der er indgået lokalaftale omkring weekendtimer(Kræver aftale med TR/FSL). Weekendtillæg udbetales.",I29="X"),K29,0)</f>
        <v>0</v>
      </c>
      <c r="FY29" s="674">
        <f>IF(AND(AND(Stamoplysninger!$B$26="Der er indgået lokalaftale omkring weekendtimer(Kræver aftale med TR/FSL). Weekendtillæg udbetales.",I29="X",C29="ikke relevant")),K29,0)</f>
        <v>0</v>
      </c>
      <c r="FZ29" s="283">
        <f>IF(AND(Stamoplysninger!$B$26="Der er indgået lokalaftale omkring weekendtillæg(Kræver aftale med TR/FSL). Weekendtimerne udbetales.",I29="X"),K29,0)</f>
        <v>0</v>
      </c>
      <c r="GA29" s="674">
        <f>IF(AND(AND(Stamoplysninger!$B$26="Der er indgået lokalaftale omkring weekendtillæg(Kræver aftale med TR/FSL). Weekendtimerne udbetales.",I29="X",C29="ikke relevant")),K29,0)</f>
        <v>0</v>
      </c>
      <c r="GB29" s="283">
        <f>IF(AND(Stamoplysninger!$B$26="Der er indgået lokalaftale omkring weekendtimer og weekendtillæg.(Kræver aftale med TR/FSL).",I29="X"),K29,0)</f>
        <v>0</v>
      </c>
      <c r="GC29" s="674">
        <f>IF(AND(AND(Stamoplysninger!$B$26="Der er indgået lokalaftale omkring weekendtimer og weekendtillæg.(Kræver aftale med TR/FSL).",I29="X",C29="ikke relevant")),K29,0)</f>
        <v>0</v>
      </c>
    </row>
    <row r="30" spans="1:185">
      <c r="A30" s="245">
        <f t="shared" si="18"/>
        <v>22</v>
      </c>
      <c r="B30" s="128" t="str">
        <f t="shared" si="0"/>
        <v>ti</v>
      </c>
      <c r="C30" s="129" t="s">
        <v>210</v>
      </c>
      <c r="D30" s="130" t="str">
        <f t="shared" si="1"/>
        <v/>
      </c>
      <c r="E30" s="917" t="s">
        <v>113</v>
      </c>
      <c r="F30" s="918"/>
      <c r="G30" s="919"/>
      <c r="H30" s="298"/>
      <c r="I30" s="527"/>
      <c r="J30" s="413"/>
      <c r="K30" s="380"/>
      <c r="L30" s="380"/>
      <c r="M30" s="380"/>
      <c r="N30" s="318">
        <f t="shared" si="19"/>
        <v>0</v>
      </c>
      <c r="O30" s="318">
        <f t="shared" si="20"/>
        <v>0</v>
      </c>
      <c r="P30" s="318">
        <f>IF(Stamoplysninger!$H$29="JA",Juli!DG30,CX30)</f>
        <v>0</v>
      </c>
      <c r="Q30" s="318">
        <f t="shared" si="21"/>
        <v>0</v>
      </c>
      <c r="R30" s="319"/>
      <c r="S30" s="324"/>
      <c r="T30" s="325"/>
      <c r="U30" s="325"/>
      <c r="V30" s="435"/>
      <c r="W30" s="412"/>
      <c r="X30" s="642"/>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9">
        <f t="shared" si="8"/>
        <v>0</v>
      </c>
      <c r="BC30" s="1">
        <f t="shared" si="24"/>
        <v>0</v>
      </c>
      <c r="BD30" s="1">
        <f t="shared" si="9"/>
        <v>0</v>
      </c>
      <c r="BE30" s="1">
        <f t="shared" si="10"/>
        <v>0</v>
      </c>
      <c r="BF30" s="1">
        <f t="shared" si="11"/>
        <v>0</v>
      </c>
      <c r="BG30" s="210" t="str">
        <f>IF(AND(C30="Skema 1",B30="ma"),Skemaoplysninger!$E$30,"")</f>
        <v/>
      </c>
      <c r="BH30" s="210" t="str">
        <f>IF(AND(C30="Skema 1",B30="ti"),Skemaoplysninger!$G$30,"")</f>
        <v/>
      </c>
      <c r="BI30" s="210" t="str">
        <f>IF(AND(C30="Skema 1",B30="on"),Skemaoplysninger!$I$30,"")</f>
        <v/>
      </c>
      <c r="BJ30" s="210" t="str">
        <f>IF(AND(C30="Skema 1",B30="to"),Skemaoplysninger!$K$30,"")</f>
        <v/>
      </c>
      <c r="BK30" s="210" t="str">
        <f>IF(AND(C30="Skema 1",B30="fr"),Skemaoplysninger!$M$30,"")</f>
        <v/>
      </c>
      <c r="BL30" s="210" t="str">
        <f>IF(AND(C30="Skema 2",B30="ma"),Skemaoplysninger!$S$30,"")</f>
        <v/>
      </c>
      <c r="BM30" s="210" t="str">
        <f>IF(AND(C30="Skema 2",B30="ti"),Skemaoplysninger!$U$30,"")</f>
        <v/>
      </c>
      <c r="BN30" s="210" t="str">
        <f>IF(AND(C30="Skema 2",B30="on"),Skemaoplysninger!$W$30,"")</f>
        <v/>
      </c>
      <c r="BO30" s="210" t="str">
        <f>IF(AND(C30="Skema 2",B30="to"),Skemaoplysninger!$Y$30,"")</f>
        <v/>
      </c>
      <c r="BP30" s="210" t="str">
        <f>IF(AND(C30="Skema 2",B30="fr"),Skemaoplysninger!$AA$30,"")</f>
        <v/>
      </c>
      <c r="BQ30" s="210" t="str">
        <f>IF(AND(C30="Skema 3",B30="ma"),Skemaoplysninger!$AG$30,"")</f>
        <v/>
      </c>
      <c r="BR30" s="210" t="str">
        <f>IF(AND(C30="Skema 3",B30="ti"),Skemaoplysninger!$AI$30,"")</f>
        <v/>
      </c>
      <c r="BS30" s="210" t="str">
        <f>IF(AND(C30="Skema 3",B30="on"),Skemaoplysninger!$AK$30,"")</f>
        <v/>
      </c>
      <c r="BT30" s="210" t="str">
        <f>IF(AND(C30="Skema 3",B30="to"),Skemaoplysninger!$AM$30,"")</f>
        <v/>
      </c>
      <c r="BU30" s="210" t="str">
        <f>IF(AND(C30="Skema 3",B30="fr"),Skemaoplysninger!$AO$30,"")</f>
        <v/>
      </c>
      <c r="BV30" s="210" t="str">
        <f>IF(AND(C30="Skema 4",B30="ma"),Skemaoplysninger!$AU$30,"")</f>
        <v/>
      </c>
      <c r="BW30" s="210" t="str">
        <f>IF(AND(C30="Skema 4",B30="ti"),Skemaoplysninger!$AW$30,"")</f>
        <v/>
      </c>
      <c r="BX30" s="210" t="str">
        <f>IF(AND(C30="Skema 4",B30="on"),Skemaoplysninger!$AY$30,"")</f>
        <v/>
      </c>
      <c r="BY30" s="210" t="str">
        <f>IF(AND(C30="Skema 4",B30="to"),Skemaoplysninger!$BA$30,"")</f>
        <v/>
      </c>
      <c r="BZ30" s="210" t="str">
        <f>IF(AND(C30="Skema 4",B30="fr"),Skemaoplysninger!$BC$30,"")</f>
        <v/>
      </c>
      <c r="CA30" s="1">
        <f t="shared" si="25"/>
        <v>0</v>
      </c>
      <c r="CB30" s="1">
        <f t="shared" si="12"/>
        <v>0</v>
      </c>
      <c r="CC30" s="1">
        <f t="shared" si="13"/>
        <v>0</v>
      </c>
      <c r="CD30" s="210" t="str">
        <f>IF(AND(C30="Skema 1",B30="ma"),Skemaoplysninger!$E$31,"")</f>
        <v/>
      </c>
      <c r="CE30" s="210" t="str">
        <f>IF(AND(C30="Skema 1",B30="ti"),Skemaoplysninger!$G$31,"")</f>
        <v/>
      </c>
      <c r="CF30" s="210" t="str">
        <f>IF(AND(C30="Skema 1",B30="on"),Skemaoplysninger!$I$31,"")</f>
        <v/>
      </c>
      <c r="CG30" s="210" t="str">
        <f>IF(AND(C30="Skema 1",B30="to"),Skemaoplysninger!$K$31,"")</f>
        <v/>
      </c>
      <c r="CH30" s="210" t="str">
        <f>IF(AND(C30="Skema 1",B30="fr"),Skemaoplysninger!$M$31,"")</f>
        <v/>
      </c>
      <c r="CI30" s="210" t="str">
        <f>IF(AND(C30="Skema 2",B30="ma"),Skemaoplysninger!$S$31,"")</f>
        <v/>
      </c>
      <c r="CJ30" s="210" t="str">
        <f>IF(AND(C30="Skema 2",B30="ti"),Skemaoplysninger!$U$31,"")</f>
        <v/>
      </c>
      <c r="CK30" s="210" t="str">
        <f>IF(AND(C30="Skema 2",B30="on"),Skemaoplysninger!$W$31,"")</f>
        <v/>
      </c>
      <c r="CL30" s="210" t="str">
        <f>IF(AND(C30="Skema 2",B30="to"),Skemaoplysninger!$Y$31,"")</f>
        <v/>
      </c>
      <c r="CM30" s="210" t="str">
        <f>IF(AND(C30="Skema 2",B30="fr"),Skemaoplysninger!$AA$31,"")</f>
        <v/>
      </c>
      <c r="CN30" s="210" t="str">
        <f>IF(AND(C30="Skema 3",B30="ma"),Skemaoplysninger!$AG$31,"")</f>
        <v/>
      </c>
      <c r="CO30" s="210" t="str">
        <f>IF(AND(C30="Skema 3",B30="ti"),Skemaoplysninger!$AI$31,"")</f>
        <v/>
      </c>
      <c r="CP30" s="210" t="str">
        <f>IF(AND(C30="Skema 3",B30="on"),Skemaoplysninger!$AK$31,"")</f>
        <v/>
      </c>
      <c r="CQ30" s="210" t="str">
        <f>IF(AND(C30="Skema 3",B30="to"),Skemaoplysninger!$AM$31,"")</f>
        <v/>
      </c>
      <c r="CR30" s="210" t="str">
        <f>IF(AND(C30="Skema 3",B30="fr"),Skemaoplysninger!$AO$31,"")</f>
        <v/>
      </c>
      <c r="CS30" s="210" t="str">
        <f>IF(AND(C30="Skema 4",B30="ma"),Skemaoplysninger!$AU$31,"")</f>
        <v/>
      </c>
      <c r="CT30" s="210" t="str">
        <f>IF(AND(C30="Skema 4",B30="ti"),Skemaoplysninger!$AW$31,"")</f>
        <v/>
      </c>
      <c r="CU30" s="210" t="str">
        <f>IF(AND(C30="Skema 4",B30="on"),Skemaoplysninger!$AY$31,"")</f>
        <v/>
      </c>
      <c r="CV30" s="210" t="str">
        <f>IF(AND(C30="Skema 4",B30="to"),Skemaoplysninger!$BA$31,"")</f>
        <v/>
      </c>
      <c r="CW30" s="210" t="str">
        <f>IF(AND(C30="Skema 4",B30="fr"),Skemaoplysninger!$BC$31,"")</f>
        <v/>
      </c>
      <c r="CX30" s="249">
        <f>IF(Stamoplysninger!$H$29="NEJ",SUM(CD30:CW30)*24+CB30+CC30,0)</f>
        <v>0</v>
      </c>
      <c r="CY30" s="249">
        <f>IF(C30="Skema 1",Stamoplysninger!$H$30/200,0)</f>
        <v>0</v>
      </c>
      <c r="CZ30" s="249">
        <f>IF(C30="Skema 2",Stamoplysninger!$H$30/200,0)</f>
        <v>0</v>
      </c>
      <c r="DA30" s="249">
        <f>IF(C30="Skema 3",Stamoplysninger!$H$30/200,0)</f>
        <v>0</v>
      </c>
      <c r="DB30" s="249">
        <f>IF(C30="Skema 4",Stamoplysninger!$H$30/200,0)</f>
        <v>0</v>
      </c>
      <c r="DC30" s="249">
        <f>IF(C30="fagdag",Stamoplysninger!$H$30/200,0)</f>
        <v>0</v>
      </c>
      <c r="DD30" s="249">
        <f>IF(C30="emnedag",Stamoplysninger!$H$30/200,0)</f>
        <v>0</v>
      </c>
      <c r="DE30" s="249">
        <f>IF(C30="lejrskole",Stamoplysninger!$H$30/200,0)</f>
        <v>0</v>
      </c>
      <c r="DF30" s="249">
        <f>IF(C30="ekskursion",Stamoplysninger!$H$30/200,0)</f>
        <v>0</v>
      </c>
      <c r="DG30" s="249">
        <f t="shared" si="26"/>
        <v>0</v>
      </c>
      <c r="DH30" t="str">
        <f t="shared" si="27"/>
        <v/>
      </c>
      <c r="DI30" t="str">
        <f t="shared" si="28"/>
        <v>Sommerferie</v>
      </c>
      <c r="DJ30" t="str">
        <f t="shared" si="29"/>
        <v/>
      </c>
      <c r="DK30" t="str">
        <f t="shared" si="14"/>
        <v/>
      </c>
      <c r="DL30" t="str">
        <f t="shared" si="14"/>
        <v>Sommerferie</v>
      </c>
      <c r="DM30" t="str">
        <f t="shared" si="14"/>
        <v/>
      </c>
      <c r="DN30" t="str">
        <f t="shared" si="30"/>
        <v>Sommerferie</v>
      </c>
      <c r="DO30" s="652">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71">
        <f>IF(AND(Stamoplysninger!$B$22="Ulempetillæg udbetales med 25% af nettotimelønnen.",C30="ikke relevant"),(R30)/4,0)</f>
        <v>0</v>
      </c>
      <c r="DT30" s="671">
        <f>IF(AND(AND(Stamoplysninger!$B$22="Ulempetillæg udbetales med 25% af nettotimelønnen.",I30="X",C30="Ikke relevant")),K30/4,0)</f>
        <v>0</v>
      </c>
      <c r="DU30" s="671">
        <f>IF(AND(AND(Stamoplysninger!$B$22="Ulempetillæg udbetales med 25% af nettotimelønnen.",C30="ikke relevant",U30="X")),(X30/4),0)</f>
        <v>0</v>
      </c>
      <c r="DV30" s="672">
        <f>IF(AND(AND(AND(Stamoplysninger!$B$22="Ulempetillæg udbetales med 25% af nettotimelønnen.",I30="X",C30="Ikke relevant",S30="X"))),V30/4,0)</f>
        <v>0</v>
      </c>
      <c r="DW30" s="652"/>
      <c r="DZ30" s="671"/>
      <c r="EA30" s="671"/>
      <c r="EB30" s="672"/>
      <c r="EC30" s="652">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71">
        <f>IF(AND(Stamoplysninger!$B$22="Ulempetillæg afspadseres med 25%(Kræver en aftale imellem ledelsen og den ansatte)",C30="ikke relevant"),(R30)/4,0)</f>
        <v>0</v>
      </c>
      <c r="EH30" s="671">
        <f>IF(AND(AND(Stamoplysninger!$B$22="Ulempetillæg afspadseres med 25%(Kræver en aftale imellem ledelsen og den ansatte)",I30="X",C30="Ikke relevant")),K30/4,0)</f>
        <v>0</v>
      </c>
      <c r="EI30" s="671">
        <f>IF(AND(AND(Stamoplysninger!$B$22="Ulempetillæg afspadseres med 25%(Kræver en aftale imellem ledelsen og den ansatte)",U30="X",C30="Ikke relevant")),X30/4,0)</f>
        <v>0</v>
      </c>
      <c r="EJ30" s="671">
        <f>IF(AND(AND(AND(Stamoplysninger!$B$22="Ulempetillæg afspadseres med 25%(Kræver en aftale imellem ledelsen og den ansatte)",I30="X",C30="Ikke relevant",S30="X"))),V30/4,0)</f>
        <v>0</v>
      </c>
      <c r="EK30" s="283">
        <f>IF(AND(Stamoplysninger!$B$26="Weekendtimer og weekendtillæg afspadseres.",I30="X"),K30*1.5,0)</f>
        <v>0</v>
      </c>
      <c r="EL30" s="251">
        <f>IF(AND(AND(Stamoplysninger!$B$26="Weekendtimer og weekendtillæg afspadseres.",I30="X",S30="X")),V30*1.5,0)</f>
        <v>0</v>
      </c>
      <c r="EM30" s="674">
        <f>IF(AND(AND(Stamoplysninger!$B$26="Weekendtimer og weekendtillæg afspadseres.",I30="X",C30="ikke relevant")),K30*1.5,0)</f>
        <v>0</v>
      </c>
      <c r="EN30" s="675">
        <f>IF(AND(AND(AND(Stamoplysninger!$B$26="Weekendtimer og weekendtillæg afspadseres.",I30="X",C30="ikke relevant",S30="X"))),(V30*1.5),0)</f>
        <v>0</v>
      </c>
      <c r="EO30" s="283">
        <f>IF(AND(Stamoplysninger!$B$26="Weekendtimer og weekendtillæg udbetales.",I30="X"),K30*1.5,0)</f>
        <v>0</v>
      </c>
      <c r="EP30" s="251">
        <f>IF(AND(AND(Stamoplysninger!$B$26="Weekendtimer og weekendtillæg udbetales.",I30="X",S30="X")),V30*1.5,0)</f>
        <v>0</v>
      </c>
      <c r="EQ30" s="674">
        <f>IF(AND(AND(Stamoplysninger!$B$26="Weekendtimer og weekendtillæg udbetales.",I30="X",C30="ikke relevant")),K30*1.5,0)</f>
        <v>0</v>
      </c>
      <c r="ER30" s="675">
        <f>IF(AND(AND(AND(Stamoplysninger!$B$26="Weekendtimer og weekendtillæg udbetales.",I30="X",C30="ikke relevant",S30="X"))),(V30*1.5),0)</f>
        <v>0</v>
      </c>
      <c r="ES30" s="283">
        <f>IF(AND(Stamoplysninger!$B$26="Der er indgået lokalaftale omkring weekendtimer.(Kræver aftale med TR/FSL) Weekendtillæg afspadseres.",I30="X"),K30*0.5,0)</f>
        <v>0</v>
      </c>
      <c r="ET30" s="251">
        <f>IF(AND(AND(Stamoplysninger!$B$26="Der er indgået lokalaftale omkring weekendtimer.(Kræver aftale med TR/FSL) Weekendtillæg afspadseres.",I30="X",S30="X")),V30*0.5,0)</f>
        <v>0</v>
      </c>
      <c r="EU30" s="674">
        <f>IF(AND(AND(Stamoplysninger!$B$26="Der er indgået lokalaftale omkring weekendtimer.(Kræver aftale med TR/FSL) Weekendtillæg afspadseres.",I30="X",C30="ikke relevant")),K30*0.5,0)</f>
        <v>0</v>
      </c>
      <c r="EV30" s="675">
        <f>IF(AND(AND(AND(Stamoplysninger!$B$26="Der er indgået lokalaftale omkring weekendtimer.(Kræver aftale med TR/FSL) Weekendtillæg afspadseres.",I30="X",C30="ikke relevant",S30="X"))),(V30*0.5),0)</f>
        <v>0</v>
      </c>
      <c r="EW30" s="283">
        <f>IF(AND(Stamoplysninger!$B$26="Der er indgået lokalaftale omkring weekendtimer(Kræver aftale med TR/FSL). Weekendtillæg udbetales.",I30="X"),K30*0.5,0)</f>
        <v>0</v>
      </c>
      <c r="EX30" s="251">
        <f>IF(AND(AND(Stamoplysninger!$B$26="Der er indgået lokalaftale omkring weekendtimer(Kræver aftale med TR/FSL). Weekendtillæg udbetales.",I30="X",S30="X")),V30*0.5,0)</f>
        <v>0</v>
      </c>
      <c r="EY30" s="674">
        <f>IF(AND(AND(Stamoplysninger!$B$26="Der er indgået lokalaftale omkring weekendtimer(Kræver aftale med TR/FSL). Weekendtillæg udbetales.",I30="X",C30="ikke relevant")),K30*0.5,0)</f>
        <v>0</v>
      </c>
      <c r="EZ30" s="675">
        <f>IF(AND(AND(AND(Stamoplysninger!$B$26="Der er indgået lokalaftale omkring weekendtimer(Kræver aftale med TR/FSL). Weekendtillæg udbetales.",I30="X",C30="ikke relevant",S30="X"))),(V30*0.5),0)</f>
        <v>0</v>
      </c>
      <c r="FA30" s="283">
        <f>IF(AND(Stamoplysninger!$B$26="Der er indgået lokalaftale omkring weekendtillæg(Kræver aftale med TR/FSL). Weekendtimerne afspadseres.",I30="X"),K30,0)</f>
        <v>0</v>
      </c>
      <c r="FB30" s="251">
        <f>IF(AND(AND(Stamoplysninger!$B$26="Der er indgået lokalaftale omkring weekendtillæg(Kræver aftale med TR/FSL). Weekendtimerne afspadseres.",I30="X",S30="X")),V30,0)</f>
        <v>0</v>
      </c>
      <c r="FC30" s="674">
        <f>IF(AND(AND(Stamoplysninger!$B$26="Der er indgået lokalaftale omkring weekendtillæg(Kræver aftale med TR/FSL). Weekendtimerne afspadseres..",I30="X",C30="ikke relevant")),K30,0)</f>
        <v>0</v>
      </c>
      <c r="FD30" s="675">
        <f>IF(AND(AND(AND(Stamoplysninger!$B$26="Der er indgået lokalaftale omkring weekendtillæg(Kræver aftale med TR/FSL). Weekendtimerne afspadseres.",I30="X",C30="ikke relevant",S30="X"))),(V30),0)</f>
        <v>0</v>
      </c>
      <c r="FE30" s="283">
        <f>IF(AND(Stamoplysninger!$B$26="Der er indgået lokalaftale omkring weekendtillæg(Kræver aftale med TR/FSL). Weekendtimerne udbetales.",I30="X"),K30,0)</f>
        <v>0</v>
      </c>
      <c r="FF30" s="251">
        <f>IF(AND(AND(Stamoplysninger!$B$26="Der er indgået lokalaftale omkring weekendtillæg(Kræver aftale med TR/FSL). Weekendtimerne udbetales.",I30="X",S30="X")),V30,0)</f>
        <v>0</v>
      </c>
      <c r="FG30" s="674">
        <f>IF(AND(AND(Stamoplysninger!$B$26="Der er indgået lokalaftale omkring weekendtillæg(Kræver aftale med TR/FSL). Weekendtimerne udbetales.",I30="X",C30="ikke relevant")),K30,0)</f>
        <v>0</v>
      </c>
      <c r="FH30" s="675">
        <f>IF(AND(AND(AND(Stamoplysninger!$B$26="Der er indgået lokalaftale omkring weekendtillæg(Kræver aftale med TR/FSL). Weekendtimerne udbetales.",I30="X",C30="ikke relevant",S30="X"))),(V30),0)</f>
        <v>0</v>
      </c>
      <c r="FI30" s="283">
        <f>IF(AND(Stamoplysninger!$B$26="Weekendtimer og weekendtillæg afspadseres.",I30="X"),K30,0)</f>
        <v>0</v>
      </c>
      <c r="FJ30" s="251">
        <f>IF(AND(Stamoplysninger!$B$26="Weekendtimer og weekendtillæg afspadseres.",Y30="X"),(AA30+AL30)/2,0)</f>
        <v>0</v>
      </c>
      <c r="FK30" s="674">
        <f>IF(AND(AND(Stamoplysninger!$B$26="Weekendtimer og weekendtillæg afspadseres.",I30="X",C30="ikke relevant")),K30,0)</f>
        <v>0</v>
      </c>
      <c r="FL30" s="675">
        <f>IF(AND(AND(Stamoplysninger!$B$26="Weekendtimer og weekendtillæg afspadseres.",Y30="X",S30="ikke relevant")),(AA30+AL30)/2,0)</f>
        <v>0</v>
      </c>
      <c r="FM30" s="283">
        <f>IF(AND(Stamoplysninger!$B$26="Der er indgået lokalaftale omkring weekendtillæg(Kræver aftale med TR/FSL). Weekendtimerne afspadseres.",I30="X"),K30,0)</f>
        <v>0</v>
      </c>
      <c r="FN30" s="674">
        <f>IF(AND(AND(Stamoplysninger!$B$26="Der er indgået lokalaftale omkring weekendtillæg(Kræver aftale med TR/FSL). Weekendtimerne afspadseres.",I30="X",C30="ikke relevant")),K30,0)</f>
        <v>0</v>
      </c>
      <c r="FO30" s="283">
        <f>IF(AND(Stamoplysninger!$B$26="Weekendtimer og weekendtillæg udbetales.",I30="X"),K30,0)</f>
        <v>0</v>
      </c>
      <c r="FP30" s="251">
        <f>IF(AND(Stamoplysninger!$B$26="Weekendtimer og weekendtillæg udbetales.",AA30="X"),(AC30+AN30)/2,0)</f>
        <v>0</v>
      </c>
      <c r="FQ30" s="674">
        <f>IF(AND(AND(Stamoplysninger!$B$26="Weekendtimer og weekendtillæg udbetales.",I30="X",C30="ikke relevant")),K30,0)</f>
        <v>0</v>
      </c>
      <c r="FR30" s="688">
        <f>IF(AND(AND(Stamoplysninger!$B$26="Weekendtimer og weekendtillæg udbetales.",AA30="X",U30="ikke relevant")),(AC30+AN30)/2,0)</f>
        <v>0</v>
      </c>
      <c r="FS30" s="283">
        <f t="shared" si="15"/>
        <v>0</v>
      </c>
      <c r="FT30" s="658">
        <f t="shared" si="16"/>
        <v>0</v>
      </c>
      <c r="FU30">
        <f t="shared" ref="FU30:FU39" si="31">IF(AND(C30="weekend",I30="X"),K30,0)</f>
        <v>0</v>
      </c>
      <c r="FV30" s="283">
        <f>IF(AND(Stamoplysninger!$B$26="Der er indgået lokalaftale omkring weekendtimer.(Kræver aftale med TR/FSL) Weekendtillæg afspadseres.",I30="X"),K30,0)</f>
        <v>0</v>
      </c>
      <c r="FW30" s="674">
        <f>IF(AND(AND(Stamoplysninger!$B$26="Der er indgået lokalaftale omkring weekendtimer.(Kræver aftale med TR/FSL) Weekendtillæg afspadseres.",I30="X",C30="ikke relevant")),K30,0)</f>
        <v>0</v>
      </c>
      <c r="FX30" s="283">
        <f>IF(AND(Stamoplysninger!$B$26="Der er indgået lokalaftale omkring weekendtimer(Kræver aftale med TR/FSL). Weekendtillæg udbetales.",I30="X"),K30,0)</f>
        <v>0</v>
      </c>
      <c r="FY30" s="674">
        <f>IF(AND(AND(Stamoplysninger!$B$26="Der er indgået lokalaftale omkring weekendtimer(Kræver aftale med TR/FSL). Weekendtillæg udbetales.",I30="X",C30="ikke relevant")),K30,0)</f>
        <v>0</v>
      </c>
      <c r="FZ30" s="283">
        <f>IF(AND(Stamoplysninger!$B$26="Der er indgået lokalaftale omkring weekendtillæg(Kræver aftale med TR/FSL). Weekendtimerne udbetales.",I30="X"),K30,0)</f>
        <v>0</v>
      </c>
      <c r="GA30" s="674">
        <f>IF(AND(AND(Stamoplysninger!$B$26="Der er indgået lokalaftale omkring weekendtillæg(Kræver aftale med TR/FSL). Weekendtimerne udbetales.",I30="X",C30="ikke relevant")),K30,0)</f>
        <v>0</v>
      </c>
      <c r="GB30" s="283">
        <f>IF(AND(Stamoplysninger!$B$26="Der er indgået lokalaftale omkring weekendtimer og weekendtillæg.(Kræver aftale med TR/FSL).",I30="X"),K30,0)</f>
        <v>0</v>
      </c>
      <c r="GC30" s="674">
        <f>IF(AND(AND(Stamoplysninger!$B$26="Der er indgået lokalaftale omkring weekendtimer og weekendtillæg.(Kræver aftale med TR/FSL).",I30="X",C30="ikke relevant")),K30,0)</f>
        <v>0</v>
      </c>
    </row>
    <row r="31" spans="1:185">
      <c r="A31" s="245">
        <f t="shared" si="18"/>
        <v>23</v>
      </c>
      <c r="B31" s="128" t="str">
        <f t="shared" si="0"/>
        <v>on</v>
      </c>
      <c r="C31" s="129" t="s">
        <v>210</v>
      </c>
      <c r="D31" s="130" t="str">
        <f t="shared" si="1"/>
        <v/>
      </c>
      <c r="E31" s="917" t="s">
        <v>113</v>
      </c>
      <c r="F31" s="918"/>
      <c r="G31" s="919"/>
      <c r="H31" s="298"/>
      <c r="I31" s="527"/>
      <c r="J31" s="413"/>
      <c r="K31" s="380"/>
      <c r="L31" s="380"/>
      <c r="M31" s="380"/>
      <c r="N31" s="318">
        <f t="shared" si="19"/>
        <v>0</v>
      </c>
      <c r="O31" s="318">
        <f t="shared" si="20"/>
        <v>0</v>
      </c>
      <c r="P31" s="318">
        <f>IF(Stamoplysninger!$H$29="JA",Juli!DG31,CX31)</f>
        <v>0</v>
      </c>
      <c r="Q31" s="318">
        <f t="shared" si="21"/>
        <v>0</v>
      </c>
      <c r="R31" s="319"/>
      <c r="S31" s="324"/>
      <c r="T31" s="325"/>
      <c r="U31" s="325"/>
      <c r="V31" s="435"/>
      <c r="W31" s="412"/>
      <c r="X31" s="642"/>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9">
        <f t="shared" si="8"/>
        <v>0</v>
      </c>
      <c r="BC31" s="1">
        <f t="shared" si="24"/>
        <v>0</v>
      </c>
      <c r="BD31" s="1">
        <f t="shared" si="9"/>
        <v>0</v>
      </c>
      <c r="BE31" s="1">
        <f t="shared" si="10"/>
        <v>0</v>
      </c>
      <c r="BF31" s="1">
        <f t="shared" si="11"/>
        <v>0</v>
      </c>
      <c r="BG31" s="210" t="str">
        <f>IF(AND(C31="Skema 1",B31="ma"),Skemaoplysninger!$E$30,"")</f>
        <v/>
      </c>
      <c r="BH31" s="210" t="str">
        <f>IF(AND(C31="Skema 1",B31="ti"),Skemaoplysninger!$G$30,"")</f>
        <v/>
      </c>
      <c r="BI31" s="210" t="str">
        <f>IF(AND(C31="Skema 1",B31="on"),Skemaoplysninger!$I$30,"")</f>
        <v/>
      </c>
      <c r="BJ31" s="210" t="str">
        <f>IF(AND(C31="Skema 1",B31="to"),Skemaoplysninger!$K$30,"")</f>
        <v/>
      </c>
      <c r="BK31" s="210" t="str">
        <f>IF(AND(C31="Skema 1",B31="fr"),Skemaoplysninger!$M$30,"")</f>
        <v/>
      </c>
      <c r="BL31" s="210" t="str">
        <f>IF(AND(C31="Skema 2",B31="ma"),Skemaoplysninger!$S$30,"")</f>
        <v/>
      </c>
      <c r="BM31" s="210" t="str">
        <f>IF(AND(C31="Skema 2",B31="ti"),Skemaoplysninger!$U$30,"")</f>
        <v/>
      </c>
      <c r="BN31" s="210" t="str">
        <f>IF(AND(C31="Skema 2",B31="on"),Skemaoplysninger!$W$30,"")</f>
        <v/>
      </c>
      <c r="BO31" s="210" t="str">
        <f>IF(AND(C31="Skema 2",B31="to"),Skemaoplysninger!$Y$30,"")</f>
        <v/>
      </c>
      <c r="BP31" s="210" t="str">
        <f>IF(AND(C31="Skema 2",B31="fr"),Skemaoplysninger!$AA$30,"")</f>
        <v/>
      </c>
      <c r="BQ31" s="210" t="str">
        <f>IF(AND(C31="Skema 3",B31="ma"),Skemaoplysninger!$AG$30,"")</f>
        <v/>
      </c>
      <c r="BR31" s="210" t="str">
        <f>IF(AND(C31="Skema 3",B31="ti"),Skemaoplysninger!$AI$30,"")</f>
        <v/>
      </c>
      <c r="BS31" s="210" t="str">
        <f>IF(AND(C31="Skema 3",B31="on"),Skemaoplysninger!$AK$30,"")</f>
        <v/>
      </c>
      <c r="BT31" s="210" t="str">
        <f>IF(AND(C31="Skema 3",B31="to"),Skemaoplysninger!$AM$30,"")</f>
        <v/>
      </c>
      <c r="BU31" s="210" t="str">
        <f>IF(AND(C31="Skema 3",B31="fr"),Skemaoplysninger!$AO$30,"")</f>
        <v/>
      </c>
      <c r="BV31" s="210" t="str">
        <f>IF(AND(C31="Skema 4",B31="ma"),Skemaoplysninger!$AU$30,"")</f>
        <v/>
      </c>
      <c r="BW31" s="210" t="str">
        <f>IF(AND(C31="Skema 4",B31="ti"),Skemaoplysninger!$AW$30,"")</f>
        <v/>
      </c>
      <c r="BX31" s="210" t="str">
        <f>IF(AND(C31="Skema 4",B31="on"),Skemaoplysninger!$AY$30,"")</f>
        <v/>
      </c>
      <c r="BY31" s="210" t="str">
        <f>IF(AND(C31="Skema 4",B31="to"),Skemaoplysninger!$BA$30,"")</f>
        <v/>
      </c>
      <c r="BZ31" s="210" t="str">
        <f>IF(AND(C31="Skema 4",B31="fr"),Skemaoplysninger!$BC$30,"")</f>
        <v/>
      </c>
      <c r="CA31" s="1">
        <f t="shared" si="25"/>
        <v>0</v>
      </c>
      <c r="CB31" s="1">
        <f t="shared" si="12"/>
        <v>0</v>
      </c>
      <c r="CC31" s="1">
        <f t="shared" si="13"/>
        <v>0</v>
      </c>
      <c r="CD31" s="210" t="str">
        <f>IF(AND(C31="Skema 1",B31="ma"),Skemaoplysninger!$E$31,"")</f>
        <v/>
      </c>
      <c r="CE31" s="210" t="str">
        <f>IF(AND(C31="Skema 1",B31="ti"),Skemaoplysninger!$G$31,"")</f>
        <v/>
      </c>
      <c r="CF31" s="210" t="str">
        <f>IF(AND(C31="Skema 1",B31="on"),Skemaoplysninger!$I$31,"")</f>
        <v/>
      </c>
      <c r="CG31" s="210" t="str">
        <f>IF(AND(C31="Skema 1",B31="to"),Skemaoplysninger!$K$31,"")</f>
        <v/>
      </c>
      <c r="CH31" s="210" t="str">
        <f>IF(AND(C31="Skema 1",B31="fr"),Skemaoplysninger!$M$31,"")</f>
        <v/>
      </c>
      <c r="CI31" s="210" t="str">
        <f>IF(AND(C31="Skema 2",B31="ma"),Skemaoplysninger!$S$31,"")</f>
        <v/>
      </c>
      <c r="CJ31" s="210" t="str">
        <f>IF(AND(C31="Skema 2",B31="ti"),Skemaoplysninger!$U$31,"")</f>
        <v/>
      </c>
      <c r="CK31" s="210" t="str">
        <f>IF(AND(C31="Skema 2",B31="on"),Skemaoplysninger!$W$31,"")</f>
        <v/>
      </c>
      <c r="CL31" s="210" t="str">
        <f>IF(AND(C31="Skema 2",B31="to"),Skemaoplysninger!$Y$31,"")</f>
        <v/>
      </c>
      <c r="CM31" s="210" t="str">
        <f>IF(AND(C31="Skema 2",B31="fr"),Skemaoplysninger!$AA$31,"")</f>
        <v/>
      </c>
      <c r="CN31" s="210" t="str">
        <f>IF(AND(C31="Skema 3",B31="ma"),Skemaoplysninger!$AG$31,"")</f>
        <v/>
      </c>
      <c r="CO31" s="210" t="str">
        <f>IF(AND(C31="Skema 3",B31="ti"),Skemaoplysninger!$AI$31,"")</f>
        <v/>
      </c>
      <c r="CP31" s="210" t="str">
        <f>IF(AND(C31="Skema 3",B31="on"),Skemaoplysninger!$AK$31,"")</f>
        <v/>
      </c>
      <c r="CQ31" s="210" t="str">
        <f>IF(AND(C31="Skema 3",B31="to"),Skemaoplysninger!$AM$31,"")</f>
        <v/>
      </c>
      <c r="CR31" s="210" t="str">
        <f>IF(AND(C31="Skema 3",B31="fr"),Skemaoplysninger!$AO$31,"")</f>
        <v/>
      </c>
      <c r="CS31" s="210" t="str">
        <f>IF(AND(C31="Skema 4",B31="ma"),Skemaoplysninger!$AU$31,"")</f>
        <v/>
      </c>
      <c r="CT31" s="210" t="str">
        <f>IF(AND(C31="Skema 4",B31="ti"),Skemaoplysninger!$AW$31,"")</f>
        <v/>
      </c>
      <c r="CU31" s="210" t="str">
        <f>IF(AND(C31="Skema 4",B31="on"),Skemaoplysninger!$AY$31,"")</f>
        <v/>
      </c>
      <c r="CV31" s="210" t="str">
        <f>IF(AND(C31="Skema 4",B31="to"),Skemaoplysninger!$BA$31,"")</f>
        <v/>
      </c>
      <c r="CW31" s="210" t="str">
        <f>IF(AND(C31="Skema 4",B31="fr"),Skemaoplysninger!$BC$31,"")</f>
        <v/>
      </c>
      <c r="CX31" s="249">
        <f>IF(Stamoplysninger!$H$29="NEJ",SUM(CD31:CW31)*24+CB31+CC31,0)</f>
        <v>0</v>
      </c>
      <c r="CY31" s="249">
        <f>IF(C31="Skema 1",Stamoplysninger!$H$30/200,0)</f>
        <v>0</v>
      </c>
      <c r="CZ31" s="249">
        <f>IF(C31="Skema 2",Stamoplysninger!$H$30/200,0)</f>
        <v>0</v>
      </c>
      <c r="DA31" s="249">
        <f>IF(C31="Skema 3",Stamoplysninger!$H$30/200,0)</f>
        <v>0</v>
      </c>
      <c r="DB31" s="249">
        <f>IF(C31="Skema 4",Stamoplysninger!$H$30/200,0)</f>
        <v>0</v>
      </c>
      <c r="DC31" s="249">
        <f>IF(C31="fagdag",Stamoplysninger!$H$30/200,0)</f>
        <v>0</v>
      </c>
      <c r="DD31" s="249">
        <f>IF(C31="emnedag",Stamoplysninger!$H$30/200,0)</f>
        <v>0</v>
      </c>
      <c r="DE31" s="249">
        <f>IF(C31="lejrskole",Stamoplysninger!$H$30/200,0)</f>
        <v>0</v>
      </c>
      <c r="DF31" s="249">
        <f>IF(C31="ekskursion",Stamoplysninger!$H$30/200,0)</f>
        <v>0</v>
      </c>
      <c r="DG31" s="249">
        <f t="shared" si="26"/>
        <v>0</v>
      </c>
      <c r="DH31" t="str">
        <f t="shared" si="27"/>
        <v/>
      </c>
      <c r="DI31" t="str">
        <f t="shared" si="28"/>
        <v>Sommerferie</v>
      </c>
      <c r="DJ31" t="str">
        <f t="shared" si="29"/>
        <v/>
      </c>
      <c r="DK31" t="str">
        <f t="shared" si="14"/>
        <v/>
      </c>
      <c r="DL31" t="str">
        <f t="shared" si="14"/>
        <v>Sommerferie</v>
      </c>
      <c r="DM31" t="str">
        <f t="shared" si="14"/>
        <v/>
      </c>
      <c r="DN31" t="str">
        <f t="shared" si="30"/>
        <v>Sommerferie</v>
      </c>
      <c r="DO31" s="652">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71">
        <f>IF(AND(Stamoplysninger!$B$22="Ulempetillæg udbetales med 25% af nettotimelønnen.",C31="ikke relevant"),(R31)/4,0)</f>
        <v>0</v>
      </c>
      <c r="DT31" s="671">
        <f>IF(AND(AND(Stamoplysninger!$B$22="Ulempetillæg udbetales med 25% af nettotimelønnen.",I31="X",C31="Ikke relevant")),K31/4,0)</f>
        <v>0</v>
      </c>
      <c r="DU31" s="671">
        <f>IF(AND(AND(Stamoplysninger!$B$22="Ulempetillæg udbetales med 25% af nettotimelønnen.",C31="ikke relevant",U31="X")),(X31/4),0)</f>
        <v>0</v>
      </c>
      <c r="DV31" s="672">
        <f>IF(AND(AND(AND(Stamoplysninger!$B$22="Ulempetillæg udbetales med 25% af nettotimelønnen.",I31="X",C31="Ikke relevant",S31="X"))),V31/4,0)</f>
        <v>0</v>
      </c>
      <c r="DW31" s="652"/>
      <c r="DZ31" s="671"/>
      <c r="EA31" s="671"/>
      <c r="EB31" s="672"/>
      <c r="EC31" s="652">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71">
        <f>IF(AND(Stamoplysninger!$B$22="Ulempetillæg afspadseres med 25%(Kræver en aftale imellem ledelsen og den ansatte)",C31="ikke relevant"),(R31)/4,0)</f>
        <v>0</v>
      </c>
      <c r="EH31" s="671">
        <f>IF(AND(AND(Stamoplysninger!$B$22="Ulempetillæg afspadseres med 25%(Kræver en aftale imellem ledelsen og den ansatte)",I31="X",C31="Ikke relevant")),K31/4,0)</f>
        <v>0</v>
      </c>
      <c r="EI31" s="671">
        <f>IF(AND(AND(Stamoplysninger!$B$22="Ulempetillæg afspadseres med 25%(Kræver en aftale imellem ledelsen og den ansatte)",U31="X",C31="Ikke relevant")),X31/4,0)</f>
        <v>0</v>
      </c>
      <c r="EJ31" s="671">
        <f>IF(AND(AND(AND(Stamoplysninger!$B$22="Ulempetillæg afspadseres med 25%(Kræver en aftale imellem ledelsen og den ansatte)",I31="X",C31="Ikke relevant",S31="X"))),V31/4,0)</f>
        <v>0</v>
      </c>
      <c r="EK31" s="283">
        <f>IF(AND(Stamoplysninger!$B$26="Weekendtimer og weekendtillæg afspadseres.",I31="X"),K31*1.5,0)</f>
        <v>0</v>
      </c>
      <c r="EL31" s="251">
        <f>IF(AND(AND(Stamoplysninger!$B$26="Weekendtimer og weekendtillæg afspadseres.",I31="X",S31="X")),V31*1.5,0)</f>
        <v>0</v>
      </c>
      <c r="EM31" s="674">
        <f>IF(AND(AND(Stamoplysninger!$B$26="Weekendtimer og weekendtillæg afspadseres.",I31="X",C31="ikke relevant")),K31*1.5,0)</f>
        <v>0</v>
      </c>
      <c r="EN31" s="675">
        <f>IF(AND(AND(AND(Stamoplysninger!$B$26="Weekendtimer og weekendtillæg afspadseres.",I31="X",C31="ikke relevant",S31="X"))),(V31*1.5),0)</f>
        <v>0</v>
      </c>
      <c r="EO31" s="283">
        <f>IF(AND(Stamoplysninger!$B$26="Weekendtimer og weekendtillæg udbetales.",I31="X"),K31*1.5,0)</f>
        <v>0</v>
      </c>
      <c r="EP31" s="251">
        <f>IF(AND(AND(Stamoplysninger!$B$26="Weekendtimer og weekendtillæg udbetales.",I31="X",S31="X")),V31*1.5,0)</f>
        <v>0</v>
      </c>
      <c r="EQ31" s="674">
        <f>IF(AND(AND(Stamoplysninger!$B$26="Weekendtimer og weekendtillæg udbetales.",I31="X",C31="ikke relevant")),K31*1.5,0)</f>
        <v>0</v>
      </c>
      <c r="ER31" s="675">
        <f>IF(AND(AND(AND(Stamoplysninger!$B$26="Weekendtimer og weekendtillæg udbetales.",I31="X",C31="ikke relevant",S31="X"))),(V31*1.5),0)</f>
        <v>0</v>
      </c>
      <c r="ES31" s="283">
        <f>IF(AND(Stamoplysninger!$B$26="Der er indgået lokalaftale omkring weekendtimer.(Kræver aftale med TR/FSL) Weekendtillæg afspadseres.",I31="X"),K31*0.5,0)</f>
        <v>0</v>
      </c>
      <c r="ET31" s="251">
        <f>IF(AND(AND(Stamoplysninger!$B$26="Der er indgået lokalaftale omkring weekendtimer.(Kræver aftale med TR/FSL) Weekendtillæg afspadseres.",I31="X",S31="X")),V31*0.5,0)</f>
        <v>0</v>
      </c>
      <c r="EU31" s="674">
        <f>IF(AND(AND(Stamoplysninger!$B$26="Der er indgået lokalaftale omkring weekendtimer.(Kræver aftale med TR/FSL) Weekendtillæg afspadseres.",I31="X",C31="ikke relevant")),K31*0.5,0)</f>
        <v>0</v>
      </c>
      <c r="EV31" s="675">
        <f>IF(AND(AND(AND(Stamoplysninger!$B$26="Der er indgået lokalaftale omkring weekendtimer.(Kræver aftale med TR/FSL) Weekendtillæg afspadseres.",I31="X",C31="ikke relevant",S31="X"))),(V31*0.5),0)</f>
        <v>0</v>
      </c>
      <c r="EW31" s="283">
        <f>IF(AND(Stamoplysninger!$B$26="Der er indgået lokalaftale omkring weekendtimer(Kræver aftale med TR/FSL). Weekendtillæg udbetales.",I31="X"),K31*0.5,0)</f>
        <v>0</v>
      </c>
      <c r="EX31" s="251">
        <f>IF(AND(AND(Stamoplysninger!$B$26="Der er indgået lokalaftale omkring weekendtimer(Kræver aftale med TR/FSL). Weekendtillæg udbetales.",I31="X",S31="X")),V31*0.5,0)</f>
        <v>0</v>
      </c>
      <c r="EY31" s="674">
        <f>IF(AND(AND(Stamoplysninger!$B$26="Der er indgået lokalaftale omkring weekendtimer(Kræver aftale med TR/FSL). Weekendtillæg udbetales.",I31="X",C31="ikke relevant")),K31*0.5,0)</f>
        <v>0</v>
      </c>
      <c r="EZ31" s="675">
        <f>IF(AND(AND(AND(Stamoplysninger!$B$26="Der er indgået lokalaftale omkring weekendtimer(Kræver aftale med TR/FSL). Weekendtillæg udbetales.",I31="X",C31="ikke relevant",S31="X"))),(V31*0.5),0)</f>
        <v>0</v>
      </c>
      <c r="FA31" s="283">
        <f>IF(AND(Stamoplysninger!$B$26="Der er indgået lokalaftale omkring weekendtillæg(Kræver aftale med TR/FSL). Weekendtimerne afspadseres.",I31="X"),K31,0)</f>
        <v>0</v>
      </c>
      <c r="FB31" s="251">
        <f>IF(AND(AND(Stamoplysninger!$B$26="Der er indgået lokalaftale omkring weekendtillæg(Kræver aftale med TR/FSL). Weekendtimerne afspadseres.",I31="X",S31="X")),V31,0)</f>
        <v>0</v>
      </c>
      <c r="FC31" s="674">
        <f>IF(AND(AND(Stamoplysninger!$B$26="Der er indgået lokalaftale omkring weekendtillæg(Kræver aftale med TR/FSL). Weekendtimerne afspadseres..",I31="X",C31="ikke relevant")),K31,0)</f>
        <v>0</v>
      </c>
      <c r="FD31" s="675">
        <f>IF(AND(AND(AND(Stamoplysninger!$B$26="Der er indgået lokalaftale omkring weekendtillæg(Kræver aftale med TR/FSL). Weekendtimerne afspadseres.",I31="X",C31="ikke relevant",S31="X"))),(V31),0)</f>
        <v>0</v>
      </c>
      <c r="FE31" s="283">
        <f>IF(AND(Stamoplysninger!$B$26="Der er indgået lokalaftale omkring weekendtillæg(Kræver aftale med TR/FSL). Weekendtimerne udbetales.",I31="X"),K31,0)</f>
        <v>0</v>
      </c>
      <c r="FF31" s="251">
        <f>IF(AND(AND(Stamoplysninger!$B$26="Der er indgået lokalaftale omkring weekendtillæg(Kræver aftale med TR/FSL). Weekendtimerne udbetales.",I31="X",S31="X")),V31,0)</f>
        <v>0</v>
      </c>
      <c r="FG31" s="674">
        <f>IF(AND(AND(Stamoplysninger!$B$26="Der er indgået lokalaftale omkring weekendtillæg(Kræver aftale med TR/FSL). Weekendtimerne udbetales.",I31="X",C31="ikke relevant")),K31,0)</f>
        <v>0</v>
      </c>
      <c r="FH31" s="675">
        <f>IF(AND(AND(AND(Stamoplysninger!$B$26="Der er indgået lokalaftale omkring weekendtillæg(Kræver aftale med TR/FSL). Weekendtimerne udbetales.",I31="X",C31="ikke relevant",S31="X"))),(V31),0)</f>
        <v>0</v>
      </c>
      <c r="FI31" s="283">
        <f>IF(AND(Stamoplysninger!$B$26="Weekendtimer og weekendtillæg afspadseres.",I31="X"),K31,0)</f>
        <v>0</v>
      </c>
      <c r="FJ31" s="251">
        <f>IF(AND(Stamoplysninger!$B$26="Weekendtimer og weekendtillæg afspadseres.",Y31="X"),(AA31+AL31)/2,0)</f>
        <v>0</v>
      </c>
      <c r="FK31" s="674">
        <f>IF(AND(AND(Stamoplysninger!$B$26="Weekendtimer og weekendtillæg afspadseres.",I31="X",C31="ikke relevant")),K31,0)</f>
        <v>0</v>
      </c>
      <c r="FL31" s="675">
        <f>IF(AND(AND(Stamoplysninger!$B$26="Weekendtimer og weekendtillæg afspadseres.",Y31="X",S31="ikke relevant")),(AA31+AL31)/2,0)</f>
        <v>0</v>
      </c>
      <c r="FM31" s="283">
        <f>IF(AND(Stamoplysninger!$B$26="Der er indgået lokalaftale omkring weekendtillæg(Kræver aftale med TR/FSL). Weekendtimerne afspadseres.",I31="X"),K31,0)</f>
        <v>0</v>
      </c>
      <c r="FN31" s="674">
        <f>IF(AND(AND(Stamoplysninger!$B$26="Der er indgået lokalaftale omkring weekendtillæg(Kræver aftale med TR/FSL). Weekendtimerne afspadseres.",I31="X",C31="ikke relevant")),K31,0)</f>
        <v>0</v>
      </c>
      <c r="FO31" s="283">
        <f>IF(AND(Stamoplysninger!$B$26="Weekendtimer og weekendtillæg udbetales.",I31="X"),K31,0)</f>
        <v>0</v>
      </c>
      <c r="FP31" s="251">
        <f>IF(AND(Stamoplysninger!$B$26="Weekendtimer og weekendtillæg udbetales.",AA31="X"),(AC31+AN31)/2,0)</f>
        <v>0</v>
      </c>
      <c r="FQ31" s="674">
        <f>IF(AND(AND(Stamoplysninger!$B$26="Weekendtimer og weekendtillæg udbetales.",I31="X",C31="ikke relevant")),K31,0)</f>
        <v>0</v>
      </c>
      <c r="FR31" s="688">
        <f>IF(AND(AND(Stamoplysninger!$B$26="Weekendtimer og weekendtillæg udbetales.",AA31="X",U31="ikke relevant")),(AC31+AN31)/2,0)</f>
        <v>0</v>
      </c>
      <c r="FS31" s="283">
        <f t="shared" si="15"/>
        <v>0</v>
      </c>
      <c r="FT31" s="658">
        <f t="shared" si="16"/>
        <v>0</v>
      </c>
      <c r="FU31">
        <f t="shared" si="31"/>
        <v>0</v>
      </c>
      <c r="FV31" s="283">
        <f>IF(AND(Stamoplysninger!$B$26="Der er indgået lokalaftale omkring weekendtimer.(Kræver aftale med TR/FSL) Weekendtillæg afspadseres.",I31="X"),K31,0)</f>
        <v>0</v>
      </c>
      <c r="FW31" s="674">
        <f>IF(AND(AND(Stamoplysninger!$B$26="Der er indgået lokalaftale omkring weekendtimer.(Kræver aftale med TR/FSL) Weekendtillæg afspadseres.",I31="X",C31="ikke relevant")),K31,0)</f>
        <v>0</v>
      </c>
      <c r="FX31" s="283">
        <f>IF(AND(Stamoplysninger!$B$26="Der er indgået lokalaftale omkring weekendtimer(Kræver aftale med TR/FSL). Weekendtillæg udbetales.",I31="X"),K31,0)</f>
        <v>0</v>
      </c>
      <c r="FY31" s="674">
        <f>IF(AND(AND(Stamoplysninger!$B$26="Der er indgået lokalaftale omkring weekendtimer(Kræver aftale med TR/FSL). Weekendtillæg udbetales.",I31="X",C31="ikke relevant")),K31,0)</f>
        <v>0</v>
      </c>
      <c r="FZ31" s="283">
        <f>IF(AND(Stamoplysninger!$B$26="Der er indgået lokalaftale omkring weekendtillæg(Kræver aftale med TR/FSL). Weekendtimerne udbetales.",I31="X"),K31,0)</f>
        <v>0</v>
      </c>
      <c r="GA31" s="674">
        <f>IF(AND(AND(Stamoplysninger!$B$26="Der er indgået lokalaftale omkring weekendtillæg(Kræver aftale med TR/FSL). Weekendtimerne udbetales.",I31="X",C31="ikke relevant")),K31,0)</f>
        <v>0</v>
      </c>
      <c r="GB31" s="283">
        <f>IF(AND(Stamoplysninger!$B$26="Der er indgået lokalaftale omkring weekendtimer og weekendtillæg.(Kræver aftale med TR/FSL).",I31="X"),K31,0)</f>
        <v>0</v>
      </c>
      <c r="GC31" s="674">
        <f>IF(AND(AND(Stamoplysninger!$B$26="Der er indgået lokalaftale omkring weekendtimer og weekendtillæg.(Kræver aftale med TR/FSL).",I31="X",C31="ikke relevant")),K31,0)</f>
        <v>0</v>
      </c>
    </row>
    <row r="32" spans="1:185">
      <c r="A32" s="245">
        <f t="shared" si="18"/>
        <v>24</v>
      </c>
      <c r="B32" s="128" t="str">
        <f t="shared" si="0"/>
        <v>to</v>
      </c>
      <c r="C32" s="129" t="s">
        <v>210</v>
      </c>
      <c r="D32" s="130" t="str">
        <f t="shared" si="1"/>
        <v/>
      </c>
      <c r="E32" s="949" t="s">
        <v>113</v>
      </c>
      <c r="F32" s="950"/>
      <c r="G32" s="951"/>
      <c r="H32" s="298"/>
      <c r="I32" s="527"/>
      <c r="J32" s="413"/>
      <c r="K32" s="380"/>
      <c r="L32" s="380"/>
      <c r="M32" s="380"/>
      <c r="N32" s="318">
        <f t="shared" si="19"/>
        <v>0</v>
      </c>
      <c r="O32" s="318">
        <f t="shared" si="20"/>
        <v>0</v>
      </c>
      <c r="P32" s="318">
        <f>IF(Stamoplysninger!$H$29="JA",Juli!DG32,CX32)</f>
        <v>0</v>
      </c>
      <c r="Q32" s="318">
        <f t="shared" si="21"/>
        <v>0</v>
      </c>
      <c r="R32" s="319"/>
      <c r="S32" s="324"/>
      <c r="T32" s="325"/>
      <c r="U32" s="325"/>
      <c r="V32" s="435"/>
      <c r="W32" s="412"/>
      <c r="X32" s="642"/>
      <c r="Y32">
        <f t="shared" si="22"/>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9">
        <f t="shared" si="8"/>
        <v>0</v>
      </c>
      <c r="BC32" s="1">
        <f t="shared" si="24"/>
        <v>0</v>
      </c>
      <c r="BD32" s="1">
        <f t="shared" si="9"/>
        <v>0</v>
      </c>
      <c r="BE32" s="1">
        <f t="shared" si="10"/>
        <v>0</v>
      </c>
      <c r="BF32" s="1">
        <f t="shared" si="11"/>
        <v>0</v>
      </c>
      <c r="BG32" s="210" t="str">
        <f>IF(AND(C32="Skema 1",B32="ma"),Skemaoplysninger!$E$30,"")</f>
        <v/>
      </c>
      <c r="BH32" s="210" t="str">
        <f>IF(AND(C32="Skema 1",B32="ti"),Skemaoplysninger!$G$30,"")</f>
        <v/>
      </c>
      <c r="BI32" s="210" t="str">
        <f>IF(AND(C32="Skema 1",B32="on"),Skemaoplysninger!$I$30,"")</f>
        <v/>
      </c>
      <c r="BJ32" s="210" t="str">
        <f>IF(AND(C32="Skema 1",B32="to"),Skemaoplysninger!$K$30,"")</f>
        <v/>
      </c>
      <c r="BK32" s="210" t="str">
        <f>IF(AND(C32="Skema 1",B32="fr"),Skemaoplysninger!$M$30,"")</f>
        <v/>
      </c>
      <c r="BL32" s="210" t="str">
        <f>IF(AND(C32="Skema 2",B32="ma"),Skemaoplysninger!$S$30,"")</f>
        <v/>
      </c>
      <c r="BM32" s="210" t="str">
        <f>IF(AND(C32="Skema 2",B32="ti"),Skemaoplysninger!$U$30,"")</f>
        <v/>
      </c>
      <c r="BN32" s="210" t="str">
        <f>IF(AND(C32="Skema 2",B32="on"),Skemaoplysninger!$W$30,"")</f>
        <v/>
      </c>
      <c r="BO32" s="210" t="str">
        <f>IF(AND(C32="Skema 2",B32="to"),Skemaoplysninger!$Y$30,"")</f>
        <v/>
      </c>
      <c r="BP32" s="210" t="str">
        <f>IF(AND(C32="Skema 2",B32="fr"),Skemaoplysninger!$AA$30,"")</f>
        <v/>
      </c>
      <c r="BQ32" s="210" t="str">
        <f>IF(AND(C32="Skema 3",B32="ma"),Skemaoplysninger!$AG$30,"")</f>
        <v/>
      </c>
      <c r="BR32" s="210" t="str">
        <f>IF(AND(C32="Skema 3",B32="ti"),Skemaoplysninger!$AI$30,"")</f>
        <v/>
      </c>
      <c r="BS32" s="210" t="str">
        <f>IF(AND(C32="Skema 3",B32="on"),Skemaoplysninger!$AK$30,"")</f>
        <v/>
      </c>
      <c r="BT32" s="210" t="str">
        <f>IF(AND(C32="Skema 3",B32="to"),Skemaoplysninger!$AM$30,"")</f>
        <v/>
      </c>
      <c r="BU32" s="210" t="str">
        <f>IF(AND(C32="Skema 3",B32="fr"),Skemaoplysninger!$AO$30,"")</f>
        <v/>
      </c>
      <c r="BV32" s="210" t="str">
        <f>IF(AND(C32="Skema 4",B32="ma"),Skemaoplysninger!$AU$30,"")</f>
        <v/>
      </c>
      <c r="BW32" s="210" t="str">
        <f>IF(AND(C32="Skema 4",B32="ti"),Skemaoplysninger!$AW$30,"")</f>
        <v/>
      </c>
      <c r="BX32" s="210" t="str">
        <f>IF(AND(C32="Skema 4",B32="on"),Skemaoplysninger!$AY$30,"")</f>
        <v/>
      </c>
      <c r="BY32" s="210" t="str">
        <f>IF(AND(C32="Skema 4",B32="to"),Skemaoplysninger!$BA$30,"")</f>
        <v/>
      </c>
      <c r="BZ32" s="210" t="str">
        <f>IF(AND(C32="Skema 4",B32="fr"),Skemaoplysninger!$BC$30,"")</f>
        <v/>
      </c>
      <c r="CA32" s="1">
        <f t="shared" si="25"/>
        <v>0</v>
      </c>
      <c r="CB32" s="1">
        <f t="shared" si="12"/>
        <v>0</v>
      </c>
      <c r="CC32" s="1">
        <f t="shared" si="13"/>
        <v>0</v>
      </c>
      <c r="CD32" s="210" t="str">
        <f>IF(AND(C32="Skema 1",B32="ma"),Skemaoplysninger!$E$31,"")</f>
        <v/>
      </c>
      <c r="CE32" s="210" t="str">
        <f>IF(AND(C32="Skema 1",B32="ti"),Skemaoplysninger!$G$31,"")</f>
        <v/>
      </c>
      <c r="CF32" s="210" t="str">
        <f>IF(AND(C32="Skema 1",B32="on"),Skemaoplysninger!$I$31,"")</f>
        <v/>
      </c>
      <c r="CG32" s="210" t="str">
        <f>IF(AND(C32="Skema 1",B32="to"),Skemaoplysninger!$K$31,"")</f>
        <v/>
      </c>
      <c r="CH32" s="210" t="str">
        <f>IF(AND(C32="Skema 1",B32="fr"),Skemaoplysninger!$M$31,"")</f>
        <v/>
      </c>
      <c r="CI32" s="210" t="str">
        <f>IF(AND(C32="Skema 2",B32="ma"),Skemaoplysninger!$S$31,"")</f>
        <v/>
      </c>
      <c r="CJ32" s="210" t="str">
        <f>IF(AND(C32="Skema 2",B32="ti"),Skemaoplysninger!$U$31,"")</f>
        <v/>
      </c>
      <c r="CK32" s="210" t="str">
        <f>IF(AND(C32="Skema 2",B32="on"),Skemaoplysninger!$W$31,"")</f>
        <v/>
      </c>
      <c r="CL32" s="210" t="str">
        <f>IF(AND(C32="Skema 2",B32="to"),Skemaoplysninger!$Y$31,"")</f>
        <v/>
      </c>
      <c r="CM32" s="210" t="str">
        <f>IF(AND(C32="Skema 2",B32="fr"),Skemaoplysninger!$AA$31,"")</f>
        <v/>
      </c>
      <c r="CN32" s="210" t="str">
        <f>IF(AND(C32="Skema 3",B32="ma"),Skemaoplysninger!$AG$31,"")</f>
        <v/>
      </c>
      <c r="CO32" s="210" t="str">
        <f>IF(AND(C32="Skema 3",B32="ti"),Skemaoplysninger!$AI$31,"")</f>
        <v/>
      </c>
      <c r="CP32" s="210" t="str">
        <f>IF(AND(C32="Skema 3",B32="on"),Skemaoplysninger!$AK$31,"")</f>
        <v/>
      </c>
      <c r="CQ32" s="210" t="str">
        <f>IF(AND(C32="Skema 3",B32="to"),Skemaoplysninger!$AM$31,"")</f>
        <v/>
      </c>
      <c r="CR32" s="210" t="str">
        <f>IF(AND(C32="Skema 3",B32="fr"),Skemaoplysninger!$AO$31,"")</f>
        <v/>
      </c>
      <c r="CS32" s="210" t="str">
        <f>IF(AND(C32="Skema 4",B32="ma"),Skemaoplysninger!$AU$31,"")</f>
        <v/>
      </c>
      <c r="CT32" s="210" t="str">
        <f>IF(AND(C32="Skema 4",B32="ti"),Skemaoplysninger!$AW$31,"")</f>
        <v/>
      </c>
      <c r="CU32" s="210" t="str">
        <f>IF(AND(C32="Skema 4",B32="on"),Skemaoplysninger!$AY$31,"")</f>
        <v/>
      </c>
      <c r="CV32" s="210" t="str">
        <f>IF(AND(C32="Skema 4",B32="to"),Skemaoplysninger!$BA$31,"")</f>
        <v/>
      </c>
      <c r="CW32" s="210" t="str">
        <f>IF(AND(C32="Skema 4",B32="fr"),Skemaoplysninger!$BC$31,"")</f>
        <v/>
      </c>
      <c r="CX32" s="249">
        <f>IF(Stamoplysninger!$H$29="NEJ",SUM(CD32:CW32)*24+CB32+CC32,0)</f>
        <v>0</v>
      </c>
      <c r="CY32" s="249">
        <f>IF(C32="Skema 1",Stamoplysninger!$H$30/200,0)</f>
        <v>0</v>
      </c>
      <c r="CZ32" s="249">
        <f>IF(C32="Skema 2",Stamoplysninger!$H$30/200,0)</f>
        <v>0</v>
      </c>
      <c r="DA32" s="249">
        <f>IF(C32="Skema 3",Stamoplysninger!$H$30/200,0)</f>
        <v>0</v>
      </c>
      <c r="DB32" s="249">
        <f>IF(C32="Skema 4",Stamoplysninger!$H$30/200,0)</f>
        <v>0</v>
      </c>
      <c r="DC32" s="249">
        <f>IF(C32="fagdag",Stamoplysninger!$H$30/200,0)</f>
        <v>0</v>
      </c>
      <c r="DD32" s="249">
        <f>IF(C32="emnedag",Stamoplysninger!$H$30/200,0)</f>
        <v>0</v>
      </c>
      <c r="DE32" s="249">
        <f>IF(C32="lejrskole",Stamoplysninger!$H$30/200,0)</f>
        <v>0</v>
      </c>
      <c r="DF32" s="249">
        <f>IF(C32="ekskursion",Stamoplysninger!$H$30/200,0)</f>
        <v>0</v>
      </c>
      <c r="DG32" s="249">
        <f t="shared" si="26"/>
        <v>0</v>
      </c>
      <c r="DH32" t="str">
        <f t="shared" si="27"/>
        <v/>
      </c>
      <c r="DI32" t="str">
        <f t="shared" si="28"/>
        <v>Sommerferie</v>
      </c>
      <c r="DJ32" t="str">
        <f t="shared" si="29"/>
        <v/>
      </c>
      <c r="DK32" t="str">
        <f t="shared" si="14"/>
        <v/>
      </c>
      <c r="DL32" t="str">
        <f t="shared" si="14"/>
        <v>Sommerferie</v>
      </c>
      <c r="DM32" t="str">
        <f t="shared" si="14"/>
        <v/>
      </c>
      <c r="DN32" t="str">
        <f t="shared" si="30"/>
        <v>Sommerferie</v>
      </c>
      <c r="DO32" s="652">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71">
        <f>IF(AND(Stamoplysninger!$B$22="Ulempetillæg udbetales med 25% af nettotimelønnen.",C32="ikke relevant"),(R32)/4,0)</f>
        <v>0</v>
      </c>
      <c r="DT32" s="671">
        <f>IF(AND(AND(Stamoplysninger!$B$22="Ulempetillæg udbetales med 25% af nettotimelønnen.",I32="X",C32="Ikke relevant")),K32/4,0)</f>
        <v>0</v>
      </c>
      <c r="DU32" s="671">
        <f>IF(AND(AND(Stamoplysninger!$B$22="Ulempetillæg udbetales med 25% af nettotimelønnen.",C32="ikke relevant",U32="X")),(X32/4),0)</f>
        <v>0</v>
      </c>
      <c r="DV32" s="672">
        <f>IF(AND(AND(AND(Stamoplysninger!$B$22="Ulempetillæg udbetales med 25% af nettotimelønnen.",I32="X",C32="Ikke relevant",S32="X"))),V32/4,0)</f>
        <v>0</v>
      </c>
      <c r="DW32" s="652"/>
      <c r="DZ32" s="671"/>
      <c r="EA32" s="671"/>
      <c r="EB32" s="672"/>
      <c r="EC32" s="652">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71">
        <f>IF(AND(Stamoplysninger!$B$22="Ulempetillæg afspadseres med 25%(Kræver en aftale imellem ledelsen og den ansatte)",C32="ikke relevant"),(R32)/4,0)</f>
        <v>0</v>
      </c>
      <c r="EH32" s="671">
        <f>IF(AND(AND(Stamoplysninger!$B$22="Ulempetillæg afspadseres med 25%(Kræver en aftale imellem ledelsen og den ansatte)",I32="X",C32="Ikke relevant")),K32/4,0)</f>
        <v>0</v>
      </c>
      <c r="EI32" s="671">
        <f>IF(AND(AND(Stamoplysninger!$B$22="Ulempetillæg afspadseres med 25%(Kræver en aftale imellem ledelsen og den ansatte)",U32="X",C32="Ikke relevant")),X32/4,0)</f>
        <v>0</v>
      </c>
      <c r="EJ32" s="671">
        <f>IF(AND(AND(AND(Stamoplysninger!$B$22="Ulempetillæg afspadseres med 25%(Kræver en aftale imellem ledelsen og den ansatte)",I32="X",C32="Ikke relevant",S32="X"))),V32/4,0)</f>
        <v>0</v>
      </c>
      <c r="EK32" s="283">
        <f>IF(AND(Stamoplysninger!$B$26="Weekendtimer og weekendtillæg afspadseres.",I32="X"),K32*1.5,0)</f>
        <v>0</v>
      </c>
      <c r="EL32" s="251">
        <f>IF(AND(AND(Stamoplysninger!$B$26="Weekendtimer og weekendtillæg afspadseres.",I32="X",S32="X")),V32*1.5,0)</f>
        <v>0</v>
      </c>
      <c r="EM32" s="674">
        <f>IF(AND(AND(Stamoplysninger!$B$26="Weekendtimer og weekendtillæg afspadseres.",I32="X",C32="ikke relevant")),K32*1.5,0)</f>
        <v>0</v>
      </c>
      <c r="EN32" s="675">
        <f>IF(AND(AND(AND(Stamoplysninger!$B$26="Weekendtimer og weekendtillæg afspadseres.",I32="X",C32="ikke relevant",S32="X"))),(V32*1.5),0)</f>
        <v>0</v>
      </c>
      <c r="EO32" s="283">
        <f>IF(AND(Stamoplysninger!$B$26="Weekendtimer og weekendtillæg udbetales.",I32="X"),K32*1.5,0)</f>
        <v>0</v>
      </c>
      <c r="EP32" s="251">
        <f>IF(AND(AND(Stamoplysninger!$B$26="Weekendtimer og weekendtillæg udbetales.",I32="X",S32="X")),V32*1.5,0)</f>
        <v>0</v>
      </c>
      <c r="EQ32" s="674">
        <f>IF(AND(AND(Stamoplysninger!$B$26="Weekendtimer og weekendtillæg udbetales.",I32="X",C32="ikke relevant")),K32*1.5,0)</f>
        <v>0</v>
      </c>
      <c r="ER32" s="675">
        <f>IF(AND(AND(AND(Stamoplysninger!$B$26="Weekendtimer og weekendtillæg udbetales.",I32="X",C32="ikke relevant",S32="X"))),(V32*1.5),0)</f>
        <v>0</v>
      </c>
      <c r="ES32" s="283">
        <f>IF(AND(Stamoplysninger!$B$26="Der er indgået lokalaftale omkring weekendtimer.(Kræver aftale med TR/FSL) Weekendtillæg afspadseres.",I32="X"),K32*0.5,0)</f>
        <v>0</v>
      </c>
      <c r="ET32" s="251">
        <f>IF(AND(AND(Stamoplysninger!$B$26="Der er indgået lokalaftale omkring weekendtimer.(Kræver aftale med TR/FSL) Weekendtillæg afspadseres.",I32="X",S32="X")),V32*0.5,0)</f>
        <v>0</v>
      </c>
      <c r="EU32" s="674">
        <f>IF(AND(AND(Stamoplysninger!$B$26="Der er indgået lokalaftale omkring weekendtimer.(Kræver aftale med TR/FSL) Weekendtillæg afspadseres.",I32="X",C32="ikke relevant")),K32*0.5,0)</f>
        <v>0</v>
      </c>
      <c r="EV32" s="675">
        <f>IF(AND(AND(AND(Stamoplysninger!$B$26="Der er indgået lokalaftale omkring weekendtimer.(Kræver aftale med TR/FSL) Weekendtillæg afspadseres.",I32="X",C32="ikke relevant",S32="X"))),(V32*0.5),0)</f>
        <v>0</v>
      </c>
      <c r="EW32" s="283">
        <f>IF(AND(Stamoplysninger!$B$26="Der er indgået lokalaftale omkring weekendtimer(Kræver aftale med TR/FSL). Weekendtillæg udbetales.",I32="X"),K32*0.5,0)</f>
        <v>0</v>
      </c>
      <c r="EX32" s="251">
        <f>IF(AND(AND(Stamoplysninger!$B$26="Der er indgået lokalaftale omkring weekendtimer(Kræver aftale med TR/FSL). Weekendtillæg udbetales.",I32="X",S32="X")),V32*0.5,0)</f>
        <v>0</v>
      </c>
      <c r="EY32" s="674">
        <f>IF(AND(AND(Stamoplysninger!$B$26="Der er indgået lokalaftale omkring weekendtimer(Kræver aftale med TR/FSL). Weekendtillæg udbetales.",I32="X",C32="ikke relevant")),K32*0.5,0)</f>
        <v>0</v>
      </c>
      <c r="EZ32" s="675">
        <f>IF(AND(AND(AND(Stamoplysninger!$B$26="Der er indgået lokalaftale omkring weekendtimer(Kræver aftale med TR/FSL). Weekendtillæg udbetales.",I32="X",C32="ikke relevant",S32="X"))),(V32*0.5),0)</f>
        <v>0</v>
      </c>
      <c r="FA32" s="283">
        <f>IF(AND(Stamoplysninger!$B$26="Der er indgået lokalaftale omkring weekendtillæg(Kræver aftale med TR/FSL). Weekendtimerne afspadseres.",I32="X"),K32,0)</f>
        <v>0</v>
      </c>
      <c r="FB32" s="251">
        <f>IF(AND(AND(Stamoplysninger!$B$26="Der er indgået lokalaftale omkring weekendtillæg(Kræver aftale med TR/FSL). Weekendtimerne afspadseres.",I32="X",S32="X")),V32,0)</f>
        <v>0</v>
      </c>
      <c r="FC32" s="674">
        <f>IF(AND(AND(Stamoplysninger!$B$26="Der er indgået lokalaftale omkring weekendtillæg(Kræver aftale med TR/FSL). Weekendtimerne afspadseres..",I32="X",C32="ikke relevant")),K32,0)</f>
        <v>0</v>
      </c>
      <c r="FD32" s="675">
        <f>IF(AND(AND(AND(Stamoplysninger!$B$26="Der er indgået lokalaftale omkring weekendtillæg(Kræver aftale med TR/FSL). Weekendtimerne afspadseres.",I32="X",C32="ikke relevant",S32="X"))),(V32),0)</f>
        <v>0</v>
      </c>
      <c r="FE32" s="283">
        <f>IF(AND(Stamoplysninger!$B$26="Der er indgået lokalaftale omkring weekendtillæg(Kræver aftale med TR/FSL). Weekendtimerne udbetales.",I32="X"),K32,0)</f>
        <v>0</v>
      </c>
      <c r="FF32" s="251">
        <f>IF(AND(AND(Stamoplysninger!$B$26="Der er indgået lokalaftale omkring weekendtillæg(Kræver aftale med TR/FSL). Weekendtimerne udbetales.",I32="X",S32="X")),V32,0)</f>
        <v>0</v>
      </c>
      <c r="FG32" s="674">
        <f>IF(AND(AND(Stamoplysninger!$B$26="Der er indgået lokalaftale omkring weekendtillæg(Kræver aftale med TR/FSL). Weekendtimerne udbetales.",I32="X",C32="ikke relevant")),K32,0)</f>
        <v>0</v>
      </c>
      <c r="FH32" s="675">
        <f>IF(AND(AND(AND(Stamoplysninger!$B$26="Der er indgået lokalaftale omkring weekendtillæg(Kræver aftale med TR/FSL). Weekendtimerne udbetales.",I32="X",C32="ikke relevant",S32="X"))),(V32),0)</f>
        <v>0</v>
      </c>
      <c r="FI32" s="283">
        <f>IF(AND(Stamoplysninger!$B$26="Weekendtimer og weekendtillæg afspadseres.",I32="X"),K32,0)</f>
        <v>0</v>
      </c>
      <c r="FJ32" s="251">
        <f>IF(AND(Stamoplysninger!$B$26="Weekendtimer og weekendtillæg afspadseres.",Y32="X"),(AA32+AL32)/2,0)</f>
        <v>0</v>
      </c>
      <c r="FK32" s="674">
        <f>IF(AND(AND(Stamoplysninger!$B$26="Weekendtimer og weekendtillæg afspadseres.",I32="X",C32="ikke relevant")),K32,0)</f>
        <v>0</v>
      </c>
      <c r="FL32" s="675">
        <f>IF(AND(AND(Stamoplysninger!$B$26="Weekendtimer og weekendtillæg afspadseres.",Y32="X",S32="ikke relevant")),(AA32+AL32)/2,0)</f>
        <v>0</v>
      </c>
      <c r="FM32" s="283">
        <f>IF(AND(Stamoplysninger!$B$26="Der er indgået lokalaftale omkring weekendtillæg(Kræver aftale med TR/FSL). Weekendtimerne afspadseres.",I32="X"),K32,0)</f>
        <v>0</v>
      </c>
      <c r="FN32" s="674">
        <f>IF(AND(AND(Stamoplysninger!$B$26="Der er indgået lokalaftale omkring weekendtillæg(Kræver aftale med TR/FSL). Weekendtimerne afspadseres.",I32="X",C32="ikke relevant")),K32,0)</f>
        <v>0</v>
      </c>
      <c r="FO32" s="283">
        <f>IF(AND(Stamoplysninger!$B$26="Weekendtimer og weekendtillæg udbetales.",I32="X"),K32,0)</f>
        <v>0</v>
      </c>
      <c r="FP32" s="251">
        <f>IF(AND(Stamoplysninger!$B$26="Weekendtimer og weekendtillæg udbetales.",AA32="X"),(AC32+AN32)/2,0)</f>
        <v>0</v>
      </c>
      <c r="FQ32" s="674">
        <f>IF(AND(AND(Stamoplysninger!$B$26="Weekendtimer og weekendtillæg udbetales.",I32="X",C32="ikke relevant")),K32,0)</f>
        <v>0</v>
      </c>
      <c r="FR32" s="688">
        <f>IF(AND(AND(Stamoplysninger!$B$26="Weekendtimer og weekendtillæg udbetales.",AA32="X",U32="ikke relevant")),(AC32+AN32)/2,0)</f>
        <v>0</v>
      </c>
      <c r="FS32" s="283">
        <f t="shared" si="15"/>
        <v>0</v>
      </c>
      <c r="FT32" s="658">
        <f t="shared" si="16"/>
        <v>0</v>
      </c>
      <c r="FU32">
        <f t="shared" si="31"/>
        <v>0</v>
      </c>
      <c r="FV32" s="283">
        <f>IF(AND(Stamoplysninger!$B$26="Der er indgået lokalaftale omkring weekendtimer.(Kræver aftale med TR/FSL) Weekendtillæg afspadseres.",I32="X"),K32,0)</f>
        <v>0</v>
      </c>
      <c r="FW32" s="674">
        <f>IF(AND(AND(Stamoplysninger!$B$26="Der er indgået lokalaftale omkring weekendtimer.(Kræver aftale med TR/FSL) Weekendtillæg afspadseres.",I32="X",C32="ikke relevant")),K32,0)</f>
        <v>0</v>
      </c>
      <c r="FX32" s="283">
        <f>IF(AND(Stamoplysninger!$B$26="Der er indgået lokalaftale omkring weekendtimer(Kræver aftale med TR/FSL). Weekendtillæg udbetales.",I32="X"),K32,0)</f>
        <v>0</v>
      </c>
      <c r="FY32" s="674">
        <f>IF(AND(AND(Stamoplysninger!$B$26="Der er indgået lokalaftale omkring weekendtimer(Kræver aftale med TR/FSL). Weekendtillæg udbetales.",I32="X",C32="ikke relevant")),K32,0)</f>
        <v>0</v>
      </c>
      <c r="FZ32" s="283">
        <f>IF(AND(Stamoplysninger!$B$26="Der er indgået lokalaftale omkring weekendtillæg(Kræver aftale med TR/FSL). Weekendtimerne udbetales.",I32="X"),K32,0)</f>
        <v>0</v>
      </c>
      <c r="GA32" s="674">
        <f>IF(AND(AND(Stamoplysninger!$B$26="Der er indgået lokalaftale omkring weekendtillæg(Kræver aftale med TR/FSL). Weekendtimerne udbetales.",I32="X",C32="ikke relevant")),K32,0)</f>
        <v>0</v>
      </c>
      <c r="GB32" s="283">
        <f>IF(AND(Stamoplysninger!$B$26="Der er indgået lokalaftale omkring weekendtimer og weekendtillæg.(Kræver aftale med TR/FSL).",I32="X"),K32,0)</f>
        <v>0</v>
      </c>
      <c r="GC32" s="674">
        <f>IF(AND(AND(Stamoplysninger!$B$26="Der er indgået lokalaftale omkring weekendtimer og weekendtillæg.(Kræver aftale med TR/FSL).",I32="X",C32="ikke relevant")),K32,0)</f>
        <v>0</v>
      </c>
    </row>
    <row r="33" spans="1:185">
      <c r="A33" s="245">
        <f t="shared" si="18"/>
        <v>25</v>
      </c>
      <c r="B33" s="128" t="str">
        <f t="shared" si="0"/>
        <v>fr</v>
      </c>
      <c r="C33" s="129" t="s">
        <v>210</v>
      </c>
      <c r="D33" s="130" t="str">
        <f t="shared" si="1"/>
        <v/>
      </c>
      <c r="E33" s="917" t="s">
        <v>113</v>
      </c>
      <c r="F33" s="918"/>
      <c r="G33" s="919"/>
      <c r="H33" s="298"/>
      <c r="I33" s="527"/>
      <c r="J33" s="413"/>
      <c r="K33" s="380"/>
      <c r="L33" s="380"/>
      <c r="M33" s="380"/>
      <c r="N33" s="318">
        <f t="shared" si="19"/>
        <v>0</v>
      </c>
      <c r="O33" s="318">
        <f t="shared" si="20"/>
        <v>0</v>
      </c>
      <c r="P33" s="318">
        <f>IF(Stamoplysninger!$H$29="JA",Juli!DG33,CX33)</f>
        <v>0</v>
      </c>
      <c r="Q33" s="318">
        <f t="shared" si="21"/>
        <v>0</v>
      </c>
      <c r="R33" s="319"/>
      <c r="S33" s="324"/>
      <c r="T33" s="325"/>
      <c r="U33" s="325"/>
      <c r="V33" s="435"/>
      <c r="W33" s="412"/>
      <c r="X33" s="642"/>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9">
        <f t="shared" si="8"/>
        <v>0</v>
      </c>
      <c r="BC33" s="1">
        <f t="shared" si="24"/>
        <v>0</v>
      </c>
      <c r="BD33" s="1">
        <f t="shared" si="9"/>
        <v>0</v>
      </c>
      <c r="BE33" s="1">
        <f t="shared" si="10"/>
        <v>0</v>
      </c>
      <c r="BF33" s="1">
        <f t="shared" si="11"/>
        <v>0</v>
      </c>
      <c r="BG33" s="210" t="str">
        <f>IF(AND(C33="Skema 1",B33="ma"),Skemaoplysninger!$E$30,"")</f>
        <v/>
      </c>
      <c r="BH33" s="210" t="str">
        <f>IF(AND(C33="Skema 1",B33="ti"),Skemaoplysninger!$G$30,"")</f>
        <v/>
      </c>
      <c r="BI33" s="210" t="str">
        <f>IF(AND(C33="Skema 1",B33="on"),Skemaoplysninger!$I$30,"")</f>
        <v/>
      </c>
      <c r="BJ33" s="210" t="str">
        <f>IF(AND(C33="Skema 1",B33="to"),Skemaoplysninger!$K$30,"")</f>
        <v/>
      </c>
      <c r="BK33" s="210" t="str">
        <f>IF(AND(C33="Skema 1",B33="fr"),Skemaoplysninger!$M$30,"")</f>
        <v/>
      </c>
      <c r="BL33" s="210" t="str">
        <f>IF(AND(C33="Skema 2",B33="ma"),Skemaoplysninger!$S$30,"")</f>
        <v/>
      </c>
      <c r="BM33" s="210" t="str">
        <f>IF(AND(C33="Skema 2",B33="ti"),Skemaoplysninger!$U$30,"")</f>
        <v/>
      </c>
      <c r="BN33" s="210" t="str">
        <f>IF(AND(C33="Skema 2",B33="on"),Skemaoplysninger!$W$30,"")</f>
        <v/>
      </c>
      <c r="BO33" s="210" t="str">
        <f>IF(AND(C33="Skema 2",B33="to"),Skemaoplysninger!$Y$30,"")</f>
        <v/>
      </c>
      <c r="BP33" s="210" t="str">
        <f>IF(AND(C33="Skema 2",B33="fr"),Skemaoplysninger!$AA$30,"")</f>
        <v/>
      </c>
      <c r="BQ33" s="210" t="str">
        <f>IF(AND(C33="Skema 3",B33="ma"),Skemaoplysninger!$AG$30,"")</f>
        <v/>
      </c>
      <c r="BR33" s="210" t="str">
        <f>IF(AND(C33="Skema 3",B33="ti"),Skemaoplysninger!$AI$30,"")</f>
        <v/>
      </c>
      <c r="BS33" s="210" t="str">
        <f>IF(AND(C33="Skema 3",B33="on"),Skemaoplysninger!$AK$30,"")</f>
        <v/>
      </c>
      <c r="BT33" s="210" t="str">
        <f>IF(AND(C33="Skema 3",B33="to"),Skemaoplysninger!$AM$30,"")</f>
        <v/>
      </c>
      <c r="BU33" s="210" t="str">
        <f>IF(AND(C33="Skema 3",B33="fr"),Skemaoplysninger!$AO$30,"")</f>
        <v/>
      </c>
      <c r="BV33" s="210" t="str">
        <f>IF(AND(C33="Skema 4",B33="ma"),Skemaoplysninger!$AU$30,"")</f>
        <v/>
      </c>
      <c r="BW33" s="210" t="str">
        <f>IF(AND(C33="Skema 4",B33="ti"),Skemaoplysninger!$AW$30,"")</f>
        <v/>
      </c>
      <c r="BX33" s="210" t="str">
        <f>IF(AND(C33="Skema 4",B33="on"),Skemaoplysninger!$AY$30,"")</f>
        <v/>
      </c>
      <c r="BY33" s="210" t="str">
        <f>IF(AND(C33="Skema 4",B33="to"),Skemaoplysninger!$BA$30,"")</f>
        <v/>
      </c>
      <c r="BZ33" s="210" t="str">
        <f>IF(AND(C33="Skema 4",B33="fr"),Skemaoplysninger!$BC$30,"")</f>
        <v/>
      </c>
      <c r="CA33" s="1">
        <f t="shared" si="25"/>
        <v>0</v>
      </c>
      <c r="CB33" s="1">
        <f t="shared" si="12"/>
        <v>0</v>
      </c>
      <c r="CC33" s="1">
        <f t="shared" si="13"/>
        <v>0</v>
      </c>
      <c r="CD33" s="210" t="str">
        <f>IF(AND(C33="Skema 1",B33="ma"),Skemaoplysninger!$E$31,"")</f>
        <v/>
      </c>
      <c r="CE33" s="210" t="str">
        <f>IF(AND(C33="Skema 1",B33="ti"),Skemaoplysninger!$G$31,"")</f>
        <v/>
      </c>
      <c r="CF33" s="210" t="str">
        <f>IF(AND(C33="Skema 1",B33="on"),Skemaoplysninger!$I$31,"")</f>
        <v/>
      </c>
      <c r="CG33" s="210" t="str">
        <f>IF(AND(C33="Skema 1",B33="to"),Skemaoplysninger!$K$31,"")</f>
        <v/>
      </c>
      <c r="CH33" s="210" t="str">
        <f>IF(AND(C33="Skema 1",B33="fr"),Skemaoplysninger!$M$31,"")</f>
        <v/>
      </c>
      <c r="CI33" s="210" t="str">
        <f>IF(AND(C33="Skema 2",B33="ma"),Skemaoplysninger!$S$31,"")</f>
        <v/>
      </c>
      <c r="CJ33" s="210" t="str">
        <f>IF(AND(C33="Skema 2",B33="ti"),Skemaoplysninger!$U$31,"")</f>
        <v/>
      </c>
      <c r="CK33" s="210" t="str">
        <f>IF(AND(C33="Skema 2",B33="on"),Skemaoplysninger!$W$31,"")</f>
        <v/>
      </c>
      <c r="CL33" s="210" t="str">
        <f>IF(AND(C33="Skema 2",B33="to"),Skemaoplysninger!$Y$31,"")</f>
        <v/>
      </c>
      <c r="CM33" s="210" t="str">
        <f>IF(AND(C33="Skema 2",B33="fr"),Skemaoplysninger!$AA$31,"")</f>
        <v/>
      </c>
      <c r="CN33" s="210" t="str">
        <f>IF(AND(C33="Skema 3",B33="ma"),Skemaoplysninger!$AG$31,"")</f>
        <v/>
      </c>
      <c r="CO33" s="210" t="str">
        <f>IF(AND(C33="Skema 3",B33="ti"),Skemaoplysninger!$AI$31,"")</f>
        <v/>
      </c>
      <c r="CP33" s="210" t="str">
        <f>IF(AND(C33="Skema 3",B33="on"),Skemaoplysninger!$AK$31,"")</f>
        <v/>
      </c>
      <c r="CQ33" s="210" t="str">
        <f>IF(AND(C33="Skema 3",B33="to"),Skemaoplysninger!$AM$31,"")</f>
        <v/>
      </c>
      <c r="CR33" s="210" t="str">
        <f>IF(AND(C33="Skema 3",B33="fr"),Skemaoplysninger!$AO$31,"")</f>
        <v/>
      </c>
      <c r="CS33" s="210" t="str">
        <f>IF(AND(C33="Skema 4",B33="ma"),Skemaoplysninger!$AU$31,"")</f>
        <v/>
      </c>
      <c r="CT33" s="210" t="str">
        <f>IF(AND(C33="Skema 4",B33="ti"),Skemaoplysninger!$AW$31,"")</f>
        <v/>
      </c>
      <c r="CU33" s="210" t="str">
        <f>IF(AND(C33="Skema 4",B33="on"),Skemaoplysninger!$AY$31,"")</f>
        <v/>
      </c>
      <c r="CV33" s="210" t="str">
        <f>IF(AND(C33="Skema 4",B33="to"),Skemaoplysninger!$BA$31,"")</f>
        <v/>
      </c>
      <c r="CW33" s="210" t="str">
        <f>IF(AND(C33="Skema 4",B33="fr"),Skemaoplysninger!$BC$31,"")</f>
        <v/>
      </c>
      <c r="CX33" s="249">
        <f>IF(Stamoplysninger!$H$29="NEJ",SUM(CD33:CW33)*24+CB33+CC33,0)</f>
        <v>0</v>
      </c>
      <c r="CY33" s="249">
        <f>IF(C33="Skema 1",Stamoplysninger!$H$30/200,0)</f>
        <v>0</v>
      </c>
      <c r="CZ33" s="249">
        <f>IF(C33="Skema 2",Stamoplysninger!$H$30/200,0)</f>
        <v>0</v>
      </c>
      <c r="DA33" s="249">
        <f>IF(C33="Skema 3",Stamoplysninger!$H$30/200,0)</f>
        <v>0</v>
      </c>
      <c r="DB33" s="249">
        <f>IF(C33="Skema 4",Stamoplysninger!$H$30/200,0)</f>
        <v>0</v>
      </c>
      <c r="DC33" s="249">
        <f>IF(C33="fagdag",Stamoplysninger!$H$30/200,0)</f>
        <v>0</v>
      </c>
      <c r="DD33" s="249">
        <f>IF(C33="emnedag",Stamoplysninger!$H$30/200,0)</f>
        <v>0</v>
      </c>
      <c r="DE33" s="249">
        <f>IF(C33="lejrskole",Stamoplysninger!$H$30/200,0)</f>
        <v>0</v>
      </c>
      <c r="DF33" s="249">
        <f>IF(C33="ekskursion",Stamoplysninger!$H$30/200,0)</f>
        <v>0</v>
      </c>
      <c r="DG33" s="249">
        <f t="shared" si="26"/>
        <v>0</v>
      </c>
      <c r="DH33" t="str">
        <f t="shared" si="27"/>
        <v/>
      </c>
      <c r="DI33" t="str">
        <f t="shared" si="28"/>
        <v>Sommerferie</v>
      </c>
      <c r="DJ33" t="str">
        <f t="shared" si="29"/>
        <v/>
      </c>
      <c r="DK33" t="str">
        <f t="shared" si="14"/>
        <v/>
      </c>
      <c r="DL33" t="str">
        <f t="shared" si="14"/>
        <v>Sommerferie</v>
      </c>
      <c r="DM33" t="str">
        <f t="shared" si="14"/>
        <v/>
      </c>
      <c r="DN33" t="str">
        <f t="shared" si="30"/>
        <v>Sommerferie</v>
      </c>
      <c r="DO33" s="652">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71">
        <f>IF(AND(Stamoplysninger!$B$22="Ulempetillæg udbetales med 25% af nettotimelønnen.",C33="ikke relevant"),(R33)/4,0)</f>
        <v>0</v>
      </c>
      <c r="DT33" s="671">
        <f>IF(AND(AND(Stamoplysninger!$B$22="Ulempetillæg udbetales med 25% af nettotimelønnen.",I33="X",C33="Ikke relevant")),K33/4,0)</f>
        <v>0</v>
      </c>
      <c r="DU33" s="671">
        <f>IF(AND(AND(Stamoplysninger!$B$22="Ulempetillæg udbetales med 25% af nettotimelønnen.",C33="ikke relevant",U33="X")),(X33/4),0)</f>
        <v>0</v>
      </c>
      <c r="DV33" s="672">
        <f>IF(AND(AND(AND(Stamoplysninger!$B$22="Ulempetillæg udbetales med 25% af nettotimelønnen.",I33="X",C33="Ikke relevant",S33="X"))),V33/4,0)</f>
        <v>0</v>
      </c>
      <c r="DW33" s="652"/>
      <c r="DZ33" s="671"/>
      <c r="EA33" s="671"/>
      <c r="EB33" s="672"/>
      <c r="EC33" s="652">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71">
        <f>IF(AND(Stamoplysninger!$B$22="Ulempetillæg afspadseres med 25%(Kræver en aftale imellem ledelsen og den ansatte)",C33="ikke relevant"),(R33)/4,0)</f>
        <v>0</v>
      </c>
      <c r="EH33" s="671">
        <f>IF(AND(AND(Stamoplysninger!$B$22="Ulempetillæg afspadseres med 25%(Kræver en aftale imellem ledelsen og den ansatte)",I33="X",C33="Ikke relevant")),K33/4,0)</f>
        <v>0</v>
      </c>
      <c r="EI33" s="671">
        <f>IF(AND(AND(Stamoplysninger!$B$22="Ulempetillæg afspadseres med 25%(Kræver en aftale imellem ledelsen og den ansatte)",U33="X",C33="Ikke relevant")),X33/4,0)</f>
        <v>0</v>
      </c>
      <c r="EJ33" s="671">
        <f>IF(AND(AND(AND(Stamoplysninger!$B$22="Ulempetillæg afspadseres med 25%(Kræver en aftale imellem ledelsen og den ansatte)",I33="X",C33="Ikke relevant",S33="X"))),V33/4,0)</f>
        <v>0</v>
      </c>
      <c r="EK33" s="283">
        <f>IF(AND(Stamoplysninger!$B$26="Weekendtimer og weekendtillæg afspadseres.",I33="X"),K33*1.5,0)</f>
        <v>0</v>
      </c>
      <c r="EL33" s="251">
        <f>IF(AND(AND(Stamoplysninger!$B$26="Weekendtimer og weekendtillæg afspadseres.",I33="X",S33="X")),V33*1.5,0)</f>
        <v>0</v>
      </c>
      <c r="EM33" s="674">
        <f>IF(AND(AND(Stamoplysninger!$B$26="Weekendtimer og weekendtillæg afspadseres.",I33="X",C33="ikke relevant")),K33*1.5,0)</f>
        <v>0</v>
      </c>
      <c r="EN33" s="675">
        <f>IF(AND(AND(AND(Stamoplysninger!$B$26="Weekendtimer og weekendtillæg afspadseres.",I33="X",C33="ikke relevant",S33="X"))),(V33*1.5),0)</f>
        <v>0</v>
      </c>
      <c r="EO33" s="283">
        <f>IF(AND(Stamoplysninger!$B$26="Weekendtimer og weekendtillæg udbetales.",I33="X"),K33*1.5,0)</f>
        <v>0</v>
      </c>
      <c r="EP33" s="251">
        <f>IF(AND(AND(Stamoplysninger!$B$26="Weekendtimer og weekendtillæg udbetales.",I33="X",S33="X")),V33*1.5,0)</f>
        <v>0</v>
      </c>
      <c r="EQ33" s="674">
        <f>IF(AND(AND(Stamoplysninger!$B$26="Weekendtimer og weekendtillæg udbetales.",I33="X",C33="ikke relevant")),K33*1.5,0)</f>
        <v>0</v>
      </c>
      <c r="ER33" s="675">
        <f>IF(AND(AND(AND(Stamoplysninger!$B$26="Weekendtimer og weekendtillæg udbetales.",I33="X",C33="ikke relevant",S33="X"))),(V33*1.5),0)</f>
        <v>0</v>
      </c>
      <c r="ES33" s="283">
        <f>IF(AND(Stamoplysninger!$B$26="Der er indgået lokalaftale omkring weekendtimer.(Kræver aftale med TR/FSL) Weekendtillæg afspadseres.",I33="X"),K33*0.5,0)</f>
        <v>0</v>
      </c>
      <c r="ET33" s="251">
        <f>IF(AND(AND(Stamoplysninger!$B$26="Der er indgået lokalaftale omkring weekendtimer.(Kræver aftale med TR/FSL) Weekendtillæg afspadseres.",I33="X",S33="X")),V33*0.5,0)</f>
        <v>0</v>
      </c>
      <c r="EU33" s="674">
        <f>IF(AND(AND(Stamoplysninger!$B$26="Der er indgået lokalaftale omkring weekendtimer.(Kræver aftale med TR/FSL) Weekendtillæg afspadseres.",I33="X",C33="ikke relevant")),K33*0.5,0)</f>
        <v>0</v>
      </c>
      <c r="EV33" s="675">
        <f>IF(AND(AND(AND(Stamoplysninger!$B$26="Der er indgået lokalaftale omkring weekendtimer.(Kræver aftale med TR/FSL) Weekendtillæg afspadseres.",I33="X",C33="ikke relevant",S33="X"))),(V33*0.5),0)</f>
        <v>0</v>
      </c>
      <c r="EW33" s="283">
        <f>IF(AND(Stamoplysninger!$B$26="Der er indgået lokalaftale omkring weekendtimer(Kræver aftale med TR/FSL). Weekendtillæg udbetales.",I33="X"),K33*0.5,0)</f>
        <v>0</v>
      </c>
      <c r="EX33" s="251">
        <f>IF(AND(AND(Stamoplysninger!$B$26="Der er indgået lokalaftale omkring weekendtimer(Kræver aftale med TR/FSL). Weekendtillæg udbetales.",I33="X",S33="X")),V33*0.5,0)</f>
        <v>0</v>
      </c>
      <c r="EY33" s="674">
        <f>IF(AND(AND(Stamoplysninger!$B$26="Der er indgået lokalaftale omkring weekendtimer(Kræver aftale med TR/FSL). Weekendtillæg udbetales.",I33="X",C33="ikke relevant")),K33*0.5,0)</f>
        <v>0</v>
      </c>
      <c r="EZ33" s="675">
        <f>IF(AND(AND(AND(Stamoplysninger!$B$26="Der er indgået lokalaftale omkring weekendtimer(Kræver aftale med TR/FSL). Weekendtillæg udbetales.",I33="X",C33="ikke relevant",S33="X"))),(V33*0.5),0)</f>
        <v>0</v>
      </c>
      <c r="FA33" s="283">
        <f>IF(AND(Stamoplysninger!$B$26="Der er indgået lokalaftale omkring weekendtillæg(Kræver aftale med TR/FSL). Weekendtimerne afspadseres.",I33="X"),K33,0)</f>
        <v>0</v>
      </c>
      <c r="FB33" s="251">
        <f>IF(AND(AND(Stamoplysninger!$B$26="Der er indgået lokalaftale omkring weekendtillæg(Kræver aftale med TR/FSL). Weekendtimerne afspadseres.",I33="X",S33="X")),V33,0)</f>
        <v>0</v>
      </c>
      <c r="FC33" s="674">
        <f>IF(AND(AND(Stamoplysninger!$B$26="Der er indgået lokalaftale omkring weekendtillæg(Kræver aftale med TR/FSL). Weekendtimerne afspadseres..",I33="X",C33="ikke relevant")),K33,0)</f>
        <v>0</v>
      </c>
      <c r="FD33" s="675">
        <f>IF(AND(AND(AND(Stamoplysninger!$B$26="Der er indgået lokalaftale omkring weekendtillæg(Kræver aftale med TR/FSL). Weekendtimerne afspadseres.",I33="X",C33="ikke relevant",S33="X"))),(V33),0)</f>
        <v>0</v>
      </c>
      <c r="FE33" s="283">
        <f>IF(AND(Stamoplysninger!$B$26="Der er indgået lokalaftale omkring weekendtillæg(Kræver aftale med TR/FSL). Weekendtimerne udbetales.",I33="X"),K33,0)</f>
        <v>0</v>
      </c>
      <c r="FF33" s="251">
        <f>IF(AND(AND(Stamoplysninger!$B$26="Der er indgået lokalaftale omkring weekendtillæg(Kræver aftale med TR/FSL). Weekendtimerne udbetales.",I33="X",S33="X")),V33,0)</f>
        <v>0</v>
      </c>
      <c r="FG33" s="674">
        <f>IF(AND(AND(Stamoplysninger!$B$26="Der er indgået lokalaftale omkring weekendtillæg(Kræver aftale med TR/FSL). Weekendtimerne udbetales.",I33="X",C33="ikke relevant")),K33,0)</f>
        <v>0</v>
      </c>
      <c r="FH33" s="675">
        <f>IF(AND(AND(AND(Stamoplysninger!$B$26="Der er indgået lokalaftale omkring weekendtillæg(Kræver aftale med TR/FSL). Weekendtimerne udbetales.",I33="X",C33="ikke relevant",S33="X"))),(V33),0)</f>
        <v>0</v>
      </c>
      <c r="FI33" s="283">
        <f>IF(AND(Stamoplysninger!$B$26="Weekendtimer og weekendtillæg afspadseres.",I33="X"),K33,0)</f>
        <v>0</v>
      </c>
      <c r="FJ33" s="251">
        <f>IF(AND(Stamoplysninger!$B$26="Weekendtimer og weekendtillæg afspadseres.",Y33="X"),(AA33+AL33)/2,0)</f>
        <v>0</v>
      </c>
      <c r="FK33" s="674">
        <f>IF(AND(AND(Stamoplysninger!$B$26="Weekendtimer og weekendtillæg afspadseres.",I33="X",C33="ikke relevant")),K33,0)</f>
        <v>0</v>
      </c>
      <c r="FL33" s="675">
        <f>IF(AND(AND(Stamoplysninger!$B$26="Weekendtimer og weekendtillæg afspadseres.",Y33="X",S33="ikke relevant")),(AA33+AL33)/2,0)</f>
        <v>0</v>
      </c>
      <c r="FM33" s="283">
        <f>IF(AND(Stamoplysninger!$B$26="Der er indgået lokalaftale omkring weekendtillæg(Kræver aftale med TR/FSL). Weekendtimerne afspadseres.",I33="X"),K33,0)</f>
        <v>0</v>
      </c>
      <c r="FN33" s="674">
        <f>IF(AND(AND(Stamoplysninger!$B$26="Der er indgået lokalaftale omkring weekendtillæg(Kræver aftale med TR/FSL). Weekendtimerne afspadseres.",I33="X",C33="ikke relevant")),K33,0)</f>
        <v>0</v>
      </c>
      <c r="FO33" s="283">
        <f>IF(AND(Stamoplysninger!$B$26="Weekendtimer og weekendtillæg udbetales.",I33="X"),K33,0)</f>
        <v>0</v>
      </c>
      <c r="FP33" s="251">
        <f>IF(AND(Stamoplysninger!$B$26="Weekendtimer og weekendtillæg udbetales.",AA33="X"),(AC33+AN33)/2,0)</f>
        <v>0</v>
      </c>
      <c r="FQ33" s="674">
        <f>IF(AND(AND(Stamoplysninger!$B$26="Weekendtimer og weekendtillæg udbetales.",I33="X",C33="ikke relevant")),K33,0)</f>
        <v>0</v>
      </c>
      <c r="FR33" s="688">
        <f>IF(AND(AND(Stamoplysninger!$B$26="Weekendtimer og weekendtillæg udbetales.",AA33="X",U33="ikke relevant")),(AC33+AN33)/2,0)</f>
        <v>0</v>
      </c>
      <c r="FS33" s="283">
        <f t="shared" si="15"/>
        <v>0</v>
      </c>
      <c r="FT33" s="658">
        <f t="shared" si="16"/>
        <v>0</v>
      </c>
      <c r="FU33">
        <f t="shared" si="31"/>
        <v>0</v>
      </c>
      <c r="FV33" s="283">
        <f>IF(AND(Stamoplysninger!$B$26="Der er indgået lokalaftale omkring weekendtimer.(Kræver aftale med TR/FSL) Weekendtillæg afspadseres.",I33="X"),K33,0)</f>
        <v>0</v>
      </c>
      <c r="FW33" s="674">
        <f>IF(AND(AND(Stamoplysninger!$B$26="Der er indgået lokalaftale omkring weekendtimer.(Kræver aftale med TR/FSL) Weekendtillæg afspadseres.",I33="X",C33="ikke relevant")),K33,0)</f>
        <v>0</v>
      </c>
      <c r="FX33" s="283">
        <f>IF(AND(Stamoplysninger!$B$26="Der er indgået lokalaftale omkring weekendtimer(Kræver aftale med TR/FSL). Weekendtillæg udbetales.",I33="X"),K33,0)</f>
        <v>0</v>
      </c>
      <c r="FY33" s="674">
        <f>IF(AND(AND(Stamoplysninger!$B$26="Der er indgået lokalaftale omkring weekendtimer(Kræver aftale med TR/FSL). Weekendtillæg udbetales.",I33="X",C33="ikke relevant")),K33,0)</f>
        <v>0</v>
      </c>
      <c r="FZ33" s="283">
        <f>IF(AND(Stamoplysninger!$B$26="Der er indgået lokalaftale omkring weekendtillæg(Kræver aftale med TR/FSL). Weekendtimerne udbetales.",I33="X"),K33,0)</f>
        <v>0</v>
      </c>
      <c r="GA33" s="674">
        <f>IF(AND(AND(Stamoplysninger!$B$26="Der er indgået lokalaftale omkring weekendtillæg(Kræver aftale med TR/FSL). Weekendtimerne udbetales.",I33="X",C33="ikke relevant")),K33,0)</f>
        <v>0</v>
      </c>
      <c r="GB33" s="283">
        <f>IF(AND(Stamoplysninger!$B$26="Der er indgået lokalaftale omkring weekendtimer og weekendtillæg.(Kræver aftale med TR/FSL).",I33="X"),K33,0)</f>
        <v>0</v>
      </c>
      <c r="GC33" s="674">
        <f>IF(AND(AND(Stamoplysninger!$B$26="Der er indgået lokalaftale omkring weekendtimer og weekendtillæg.(Kræver aftale med TR/FSL).",I33="X",C33="ikke relevant")),K33,0)</f>
        <v>0</v>
      </c>
    </row>
    <row r="34" spans="1:185">
      <c r="A34" s="245">
        <f t="shared" si="18"/>
        <v>26</v>
      </c>
      <c r="B34" s="128" t="str">
        <f t="shared" si="0"/>
        <v>lø</v>
      </c>
      <c r="C34" s="129" t="s">
        <v>120</v>
      </c>
      <c r="D34" s="130" t="str">
        <f t="shared" si="1"/>
        <v/>
      </c>
      <c r="E34" s="917"/>
      <c r="F34" s="918"/>
      <c r="G34" s="919"/>
      <c r="H34" s="298"/>
      <c r="I34" s="413"/>
      <c r="J34" s="413"/>
      <c r="K34" s="380"/>
      <c r="L34" s="380"/>
      <c r="M34" s="380"/>
      <c r="N34" s="318">
        <f t="shared" si="19"/>
        <v>0</v>
      </c>
      <c r="O34" s="318">
        <f t="shared" si="20"/>
        <v>0</v>
      </c>
      <c r="P34" s="318">
        <f>IF(Stamoplysninger!$H$29="JA",Juli!DG34,CX34)</f>
        <v>0</v>
      </c>
      <c r="Q34" s="318">
        <f t="shared" si="21"/>
        <v>0</v>
      </c>
      <c r="R34" s="319"/>
      <c r="S34" s="324"/>
      <c r="T34" s="325"/>
      <c r="U34" s="325"/>
      <c r="V34" s="435"/>
      <c r="W34" s="412"/>
      <c r="X34" s="642"/>
      <c r="Y34">
        <f t="shared" si="22"/>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9">
        <f t="shared" si="8"/>
        <v>0</v>
      </c>
      <c r="BC34" s="1">
        <f t="shared" si="24"/>
        <v>0</v>
      </c>
      <c r="BD34" s="1">
        <f t="shared" si="9"/>
        <v>0</v>
      </c>
      <c r="BE34" s="1">
        <f t="shared" si="10"/>
        <v>0</v>
      </c>
      <c r="BF34" s="1">
        <f t="shared" si="11"/>
        <v>0</v>
      </c>
      <c r="BG34" s="210" t="str">
        <f>IF(AND(C34="Skema 1",B34="ma"),Skemaoplysninger!$E$30,"")</f>
        <v/>
      </c>
      <c r="BH34" s="210" t="str">
        <f>IF(AND(C34="Skema 1",B34="ti"),Skemaoplysninger!$G$30,"")</f>
        <v/>
      </c>
      <c r="BI34" s="210" t="str">
        <f>IF(AND(C34="Skema 1",B34="on"),Skemaoplysninger!$I$30,"")</f>
        <v/>
      </c>
      <c r="BJ34" s="210" t="str">
        <f>IF(AND(C34="Skema 1",B34="to"),Skemaoplysninger!$K$30,"")</f>
        <v/>
      </c>
      <c r="BK34" s="210" t="str">
        <f>IF(AND(C34="Skema 1",B34="fr"),Skemaoplysninger!$M$30,"")</f>
        <v/>
      </c>
      <c r="BL34" s="210" t="str">
        <f>IF(AND(C34="Skema 2",B34="ma"),Skemaoplysninger!$S$30,"")</f>
        <v/>
      </c>
      <c r="BM34" s="210" t="str">
        <f>IF(AND(C34="Skema 2",B34="ti"),Skemaoplysninger!$U$30,"")</f>
        <v/>
      </c>
      <c r="BN34" s="210" t="str">
        <f>IF(AND(C34="Skema 2",B34="on"),Skemaoplysninger!$W$30,"")</f>
        <v/>
      </c>
      <c r="BO34" s="210" t="str">
        <f>IF(AND(C34="Skema 2",B34="to"),Skemaoplysninger!$Y$30,"")</f>
        <v/>
      </c>
      <c r="BP34" s="210" t="str">
        <f>IF(AND(C34="Skema 2",B34="fr"),Skemaoplysninger!$AA$30,"")</f>
        <v/>
      </c>
      <c r="BQ34" s="210" t="str">
        <f>IF(AND(C34="Skema 3",B34="ma"),Skemaoplysninger!$AG$30,"")</f>
        <v/>
      </c>
      <c r="BR34" s="210" t="str">
        <f>IF(AND(C34="Skema 3",B34="ti"),Skemaoplysninger!$AI$30,"")</f>
        <v/>
      </c>
      <c r="BS34" s="210" t="str">
        <f>IF(AND(C34="Skema 3",B34="on"),Skemaoplysninger!$AK$30,"")</f>
        <v/>
      </c>
      <c r="BT34" s="210" t="str">
        <f>IF(AND(C34="Skema 3",B34="to"),Skemaoplysninger!$AM$30,"")</f>
        <v/>
      </c>
      <c r="BU34" s="210" t="str">
        <f>IF(AND(C34="Skema 3",B34="fr"),Skemaoplysninger!$AO$30,"")</f>
        <v/>
      </c>
      <c r="BV34" s="210" t="str">
        <f>IF(AND(C34="Skema 4",B34="ma"),Skemaoplysninger!$AU$30,"")</f>
        <v/>
      </c>
      <c r="BW34" s="210" t="str">
        <f>IF(AND(C34="Skema 4",B34="ti"),Skemaoplysninger!$AW$30,"")</f>
        <v/>
      </c>
      <c r="BX34" s="210" t="str">
        <f>IF(AND(C34="Skema 4",B34="on"),Skemaoplysninger!$AY$30,"")</f>
        <v/>
      </c>
      <c r="BY34" s="210" t="str">
        <f>IF(AND(C34="Skema 4",B34="to"),Skemaoplysninger!$BA$30,"")</f>
        <v/>
      </c>
      <c r="BZ34" s="210" t="str">
        <f>IF(AND(C34="Skema 4",B34="fr"),Skemaoplysninger!$BC$30,"")</f>
        <v/>
      </c>
      <c r="CA34" s="1">
        <f t="shared" si="25"/>
        <v>0</v>
      </c>
      <c r="CB34" s="1">
        <f t="shared" si="12"/>
        <v>0</v>
      </c>
      <c r="CC34" s="1">
        <f t="shared" si="13"/>
        <v>0</v>
      </c>
      <c r="CD34" s="210" t="str">
        <f>IF(AND(C34="Skema 1",B34="ma"),Skemaoplysninger!$E$31,"")</f>
        <v/>
      </c>
      <c r="CE34" s="210" t="str">
        <f>IF(AND(C34="Skema 1",B34="ti"),Skemaoplysninger!$G$31,"")</f>
        <v/>
      </c>
      <c r="CF34" s="210" t="str">
        <f>IF(AND(C34="Skema 1",B34="on"),Skemaoplysninger!$I$31,"")</f>
        <v/>
      </c>
      <c r="CG34" s="210" t="str">
        <f>IF(AND(C34="Skema 1",B34="to"),Skemaoplysninger!$K$31,"")</f>
        <v/>
      </c>
      <c r="CH34" s="210" t="str">
        <f>IF(AND(C34="Skema 1",B34="fr"),Skemaoplysninger!$M$31,"")</f>
        <v/>
      </c>
      <c r="CI34" s="210" t="str">
        <f>IF(AND(C34="Skema 2",B34="ma"),Skemaoplysninger!$S$31,"")</f>
        <v/>
      </c>
      <c r="CJ34" s="210" t="str">
        <f>IF(AND(C34="Skema 2",B34="ti"),Skemaoplysninger!$U$31,"")</f>
        <v/>
      </c>
      <c r="CK34" s="210" t="str">
        <f>IF(AND(C34="Skema 2",B34="on"),Skemaoplysninger!$W$31,"")</f>
        <v/>
      </c>
      <c r="CL34" s="210" t="str">
        <f>IF(AND(C34="Skema 2",B34="to"),Skemaoplysninger!$Y$31,"")</f>
        <v/>
      </c>
      <c r="CM34" s="210" t="str">
        <f>IF(AND(C34="Skema 2",B34="fr"),Skemaoplysninger!$AA$31,"")</f>
        <v/>
      </c>
      <c r="CN34" s="210" t="str">
        <f>IF(AND(C34="Skema 3",B34="ma"),Skemaoplysninger!$AG$31,"")</f>
        <v/>
      </c>
      <c r="CO34" s="210" t="str">
        <f>IF(AND(C34="Skema 3",B34="ti"),Skemaoplysninger!$AI$31,"")</f>
        <v/>
      </c>
      <c r="CP34" s="210" t="str">
        <f>IF(AND(C34="Skema 3",B34="on"),Skemaoplysninger!$AK$31,"")</f>
        <v/>
      </c>
      <c r="CQ34" s="210" t="str">
        <f>IF(AND(C34="Skema 3",B34="to"),Skemaoplysninger!$AM$31,"")</f>
        <v/>
      </c>
      <c r="CR34" s="210" t="str">
        <f>IF(AND(C34="Skema 3",B34="fr"),Skemaoplysninger!$AO$31,"")</f>
        <v/>
      </c>
      <c r="CS34" s="210" t="str">
        <f>IF(AND(C34="Skema 4",B34="ma"),Skemaoplysninger!$AU$31,"")</f>
        <v/>
      </c>
      <c r="CT34" s="210" t="str">
        <f>IF(AND(C34="Skema 4",B34="ti"),Skemaoplysninger!$AW$31,"")</f>
        <v/>
      </c>
      <c r="CU34" s="210" t="str">
        <f>IF(AND(C34="Skema 4",B34="on"),Skemaoplysninger!$AY$31,"")</f>
        <v/>
      </c>
      <c r="CV34" s="210" t="str">
        <f>IF(AND(C34="Skema 4",B34="to"),Skemaoplysninger!$BA$31,"")</f>
        <v/>
      </c>
      <c r="CW34" s="210" t="str">
        <f>IF(AND(C34="Skema 4",B34="fr"),Skemaoplysninger!$BC$31,"")</f>
        <v/>
      </c>
      <c r="CX34" s="249">
        <f>IF(Stamoplysninger!$H$29="NEJ",SUM(CD34:CW34)*24+CB34+CC34,0)</f>
        <v>0</v>
      </c>
      <c r="CY34" s="249">
        <f>IF(C34="Skema 1",Stamoplysninger!$H$30/200,0)</f>
        <v>0</v>
      </c>
      <c r="CZ34" s="249">
        <f>IF(C34="Skema 2",Stamoplysninger!$H$30/200,0)</f>
        <v>0</v>
      </c>
      <c r="DA34" s="249">
        <f>IF(C34="Skema 3",Stamoplysninger!$H$30/200,0)</f>
        <v>0</v>
      </c>
      <c r="DB34" s="249">
        <f>IF(C34="Skema 4",Stamoplysninger!$H$30/200,0)</f>
        <v>0</v>
      </c>
      <c r="DC34" s="249">
        <f>IF(C34="fagdag",Stamoplysninger!$H$30/200,0)</f>
        <v>0</v>
      </c>
      <c r="DD34" s="249">
        <f>IF(C34="emnedag",Stamoplysninger!$H$30/200,0)</f>
        <v>0</v>
      </c>
      <c r="DE34" s="249">
        <f>IF(C34="lejrskole",Stamoplysninger!$H$30/200,0)</f>
        <v>0</v>
      </c>
      <c r="DF34" s="249">
        <f>IF(C34="ekskursion",Stamoplysninger!$H$30/200,0)</f>
        <v>0</v>
      </c>
      <c r="DG34" s="249">
        <f t="shared" si="26"/>
        <v>0</v>
      </c>
      <c r="DH34" t="str">
        <f t="shared" si="27"/>
        <v/>
      </c>
      <c r="DI34">
        <f t="shared" si="28"/>
        <v>0</v>
      </c>
      <c r="DJ34">
        <f t="shared" si="29"/>
        <v>0</v>
      </c>
      <c r="DK34" t="str">
        <f t="shared" si="14"/>
        <v/>
      </c>
      <c r="DL34" t="str">
        <f t="shared" si="14"/>
        <v/>
      </c>
      <c r="DM34" t="str">
        <f t="shared" si="14"/>
        <v/>
      </c>
      <c r="DN34" t="str">
        <f t="shared" si="30"/>
        <v/>
      </c>
      <c r="DO34" s="652">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71">
        <f>IF(AND(Stamoplysninger!$B$22="Ulempetillæg udbetales med 25% af nettotimelønnen.",C34="ikke relevant"),(R34)/4,0)</f>
        <v>0</v>
      </c>
      <c r="DT34" s="671">
        <f>IF(AND(AND(Stamoplysninger!$B$22="Ulempetillæg udbetales med 25% af nettotimelønnen.",I34="X",C34="Ikke relevant")),K34/4,0)</f>
        <v>0</v>
      </c>
      <c r="DU34" s="671">
        <f>IF(AND(AND(Stamoplysninger!$B$22="Ulempetillæg udbetales med 25% af nettotimelønnen.",C34="ikke relevant",U34="X")),(X34/4),0)</f>
        <v>0</v>
      </c>
      <c r="DV34" s="672">
        <f>IF(AND(AND(AND(Stamoplysninger!$B$22="Ulempetillæg udbetales med 25% af nettotimelønnen.",I34="X",C34="Ikke relevant",S34="X"))),V34/4,0)</f>
        <v>0</v>
      </c>
      <c r="DW34" s="652"/>
      <c r="DZ34" s="671"/>
      <c r="EA34" s="671"/>
      <c r="EB34" s="672"/>
      <c r="EC34" s="652">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71">
        <f>IF(AND(Stamoplysninger!$B$22="Ulempetillæg afspadseres med 25%(Kræver en aftale imellem ledelsen og den ansatte)",C34="ikke relevant"),(R34)/4,0)</f>
        <v>0</v>
      </c>
      <c r="EH34" s="671">
        <f>IF(AND(AND(Stamoplysninger!$B$22="Ulempetillæg afspadseres med 25%(Kræver en aftale imellem ledelsen og den ansatte)",I34="X",C34="Ikke relevant")),K34/4,0)</f>
        <v>0</v>
      </c>
      <c r="EI34" s="671">
        <f>IF(AND(AND(Stamoplysninger!$B$22="Ulempetillæg afspadseres med 25%(Kræver en aftale imellem ledelsen og den ansatte)",U34="X",C34="Ikke relevant")),X34/4,0)</f>
        <v>0</v>
      </c>
      <c r="EJ34" s="671">
        <f>IF(AND(AND(AND(Stamoplysninger!$B$22="Ulempetillæg afspadseres med 25%(Kræver en aftale imellem ledelsen og den ansatte)",I34="X",C34="Ikke relevant",S34="X"))),V34/4,0)</f>
        <v>0</v>
      </c>
      <c r="EK34" s="283">
        <f>IF(AND(Stamoplysninger!$B$26="Weekendtimer og weekendtillæg afspadseres.",I34="X"),K34*1.5,0)</f>
        <v>0</v>
      </c>
      <c r="EL34" s="251">
        <f>IF(AND(AND(Stamoplysninger!$B$26="Weekendtimer og weekendtillæg afspadseres.",I34="X",S34="X")),V34*1.5,0)</f>
        <v>0</v>
      </c>
      <c r="EM34" s="674">
        <f>IF(AND(AND(Stamoplysninger!$B$26="Weekendtimer og weekendtillæg afspadseres.",I34="X",C34="ikke relevant")),K34*1.5,0)</f>
        <v>0</v>
      </c>
      <c r="EN34" s="675">
        <f>IF(AND(AND(AND(Stamoplysninger!$B$26="Weekendtimer og weekendtillæg afspadseres.",I34="X",C34="ikke relevant",S34="X"))),(V34*1.5),0)</f>
        <v>0</v>
      </c>
      <c r="EO34" s="283">
        <f>IF(AND(Stamoplysninger!$B$26="Weekendtimer og weekendtillæg udbetales.",I34="X"),K34*1.5,0)</f>
        <v>0</v>
      </c>
      <c r="EP34" s="251">
        <f>IF(AND(AND(Stamoplysninger!$B$26="Weekendtimer og weekendtillæg udbetales.",I34="X",S34="X")),V34*1.5,0)</f>
        <v>0</v>
      </c>
      <c r="EQ34" s="674">
        <f>IF(AND(AND(Stamoplysninger!$B$26="Weekendtimer og weekendtillæg udbetales.",I34="X",C34="ikke relevant")),K34*1.5,0)</f>
        <v>0</v>
      </c>
      <c r="ER34" s="675">
        <f>IF(AND(AND(AND(Stamoplysninger!$B$26="Weekendtimer og weekendtillæg udbetales.",I34="X",C34="ikke relevant",S34="X"))),(V34*1.5),0)</f>
        <v>0</v>
      </c>
      <c r="ES34" s="283">
        <f>IF(AND(Stamoplysninger!$B$26="Der er indgået lokalaftale omkring weekendtimer.(Kræver aftale med TR/FSL) Weekendtillæg afspadseres.",I34="X"),K34*0.5,0)</f>
        <v>0</v>
      </c>
      <c r="ET34" s="251">
        <f>IF(AND(AND(Stamoplysninger!$B$26="Der er indgået lokalaftale omkring weekendtimer.(Kræver aftale med TR/FSL) Weekendtillæg afspadseres.",I34="X",S34="X")),V34*0.5,0)</f>
        <v>0</v>
      </c>
      <c r="EU34" s="674">
        <f>IF(AND(AND(Stamoplysninger!$B$26="Der er indgået lokalaftale omkring weekendtimer.(Kræver aftale med TR/FSL) Weekendtillæg afspadseres.",I34="X",C34="ikke relevant")),K34*0.5,0)</f>
        <v>0</v>
      </c>
      <c r="EV34" s="675">
        <f>IF(AND(AND(AND(Stamoplysninger!$B$26="Der er indgået lokalaftale omkring weekendtimer.(Kræver aftale med TR/FSL) Weekendtillæg afspadseres.",I34="X",C34="ikke relevant",S34="X"))),(V34*0.5),0)</f>
        <v>0</v>
      </c>
      <c r="EW34" s="283">
        <f>IF(AND(Stamoplysninger!$B$26="Der er indgået lokalaftale omkring weekendtimer(Kræver aftale med TR/FSL). Weekendtillæg udbetales.",I34="X"),K34*0.5,0)</f>
        <v>0</v>
      </c>
      <c r="EX34" s="251">
        <f>IF(AND(AND(Stamoplysninger!$B$26="Der er indgået lokalaftale omkring weekendtimer(Kræver aftale med TR/FSL). Weekendtillæg udbetales.",I34="X",S34="X")),V34*0.5,0)</f>
        <v>0</v>
      </c>
      <c r="EY34" s="674">
        <f>IF(AND(AND(Stamoplysninger!$B$26="Der er indgået lokalaftale omkring weekendtimer(Kræver aftale med TR/FSL). Weekendtillæg udbetales.",I34="X",C34="ikke relevant")),K34*0.5,0)</f>
        <v>0</v>
      </c>
      <c r="EZ34" s="675">
        <f>IF(AND(AND(AND(Stamoplysninger!$B$26="Der er indgået lokalaftale omkring weekendtimer(Kræver aftale med TR/FSL). Weekendtillæg udbetales.",I34="X",C34="ikke relevant",S34="X"))),(V34*0.5),0)</f>
        <v>0</v>
      </c>
      <c r="FA34" s="283">
        <f>IF(AND(Stamoplysninger!$B$26="Der er indgået lokalaftale omkring weekendtillæg(Kræver aftale med TR/FSL). Weekendtimerne afspadseres.",I34="X"),K34,0)</f>
        <v>0</v>
      </c>
      <c r="FB34" s="251">
        <f>IF(AND(AND(Stamoplysninger!$B$26="Der er indgået lokalaftale omkring weekendtillæg(Kræver aftale med TR/FSL). Weekendtimerne afspadseres.",I34="X",S34="X")),V34,0)</f>
        <v>0</v>
      </c>
      <c r="FC34" s="674">
        <f>IF(AND(AND(Stamoplysninger!$B$26="Der er indgået lokalaftale omkring weekendtillæg(Kræver aftale med TR/FSL). Weekendtimerne afspadseres..",I34="X",C34="ikke relevant")),K34,0)</f>
        <v>0</v>
      </c>
      <c r="FD34" s="675">
        <f>IF(AND(AND(AND(Stamoplysninger!$B$26="Der er indgået lokalaftale omkring weekendtillæg(Kræver aftale med TR/FSL). Weekendtimerne afspadseres.",I34="X",C34="ikke relevant",S34="X"))),(V34),0)</f>
        <v>0</v>
      </c>
      <c r="FE34" s="283">
        <f>IF(AND(Stamoplysninger!$B$26="Der er indgået lokalaftale omkring weekendtillæg(Kræver aftale med TR/FSL). Weekendtimerne udbetales.",I34="X"),K34,0)</f>
        <v>0</v>
      </c>
      <c r="FF34" s="251">
        <f>IF(AND(AND(Stamoplysninger!$B$26="Der er indgået lokalaftale omkring weekendtillæg(Kræver aftale med TR/FSL). Weekendtimerne udbetales.",I34="X",S34="X")),V34,0)</f>
        <v>0</v>
      </c>
      <c r="FG34" s="674">
        <f>IF(AND(AND(Stamoplysninger!$B$26="Der er indgået lokalaftale omkring weekendtillæg(Kræver aftale med TR/FSL). Weekendtimerne udbetales.",I34="X",C34="ikke relevant")),K34,0)</f>
        <v>0</v>
      </c>
      <c r="FH34" s="675">
        <f>IF(AND(AND(AND(Stamoplysninger!$B$26="Der er indgået lokalaftale omkring weekendtillæg(Kræver aftale med TR/FSL). Weekendtimerne udbetales.",I34="X",C34="ikke relevant",S34="X"))),(V34),0)</f>
        <v>0</v>
      </c>
      <c r="FI34" s="283">
        <f>IF(AND(Stamoplysninger!$B$26="Weekendtimer og weekendtillæg afspadseres.",I34="X"),K34,0)</f>
        <v>0</v>
      </c>
      <c r="FJ34" s="251">
        <f>IF(AND(Stamoplysninger!$B$26="Weekendtimer og weekendtillæg afspadseres.",Y34="X"),(AA34+AL34)/2,0)</f>
        <v>0</v>
      </c>
      <c r="FK34" s="674">
        <f>IF(AND(AND(Stamoplysninger!$B$26="Weekendtimer og weekendtillæg afspadseres.",I34="X",C34="ikke relevant")),K34,0)</f>
        <v>0</v>
      </c>
      <c r="FL34" s="675">
        <f>IF(AND(AND(Stamoplysninger!$B$26="Weekendtimer og weekendtillæg afspadseres.",Y34="X",S34="ikke relevant")),(AA34+AL34)/2,0)</f>
        <v>0</v>
      </c>
      <c r="FM34" s="283">
        <f>IF(AND(Stamoplysninger!$B$26="Der er indgået lokalaftale omkring weekendtillæg(Kræver aftale med TR/FSL). Weekendtimerne afspadseres.",I34="X"),K34,0)</f>
        <v>0</v>
      </c>
      <c r="FN34" s="674">
        <f>IF(AND(AND(Stamoplysninger!$B$26="Der er indgået lokalaftale omkring weekendtillæg(Kræver aftale med TR/FSL). Weekendtimerne afspadseres.",I34="X",C34="ikke relevant")),K34,0)</f>
        <v>0</v>
      </c>
      <c r="FO34" s="283">
        <f>IF(AND(Stamoplysninger!$B$26="Weekendtimer og weekendtillæg udbetales.",I34="X"),K34,0)</f>
        <v>0</v>
      </c>
      <c r="FP34" s="251">
        <f>IF(AND(Stamoplysninger!$B$26="Weekendtimer og weekendtillæg udbetales.",AA34="X"),(AC34+AN34)/2,0)</f>
        <v>0</v>
      </c>
      <c r="FQ34" s="674">
        <f>IF(AND(AND(Stamoplysninger!$B$26="Weekendtimer og weekendtillæg udbetales.",I34="X",C34="ikke relevant")),K34,0)</f>
        <v>0</v>
      </c>
      <c r="FR34" s="688">
        <f>IF(AND(AND(Stamoplysninger!$B$26="Weekendtimer og weekendtillæg udbetales.",AA34="X",U34="ikke relevant")),(AC34+AN34)/2,0)</f>
        <v>0</v>
      </c>
      <c r="FS34" s="283">
        <f t="shared" si="15"/>
        <v>0</v>
      </c>
      <c r="FT34" s="658">
        <f t="shared" si="16"/>
        <v>0</v>
      </c>
      <c r="FU34">
        <f>IF(AND(C34="weekend",I34="X"),K34,0)</f>
        <v>0</v>
      </c>
      <c r="FV34" s="283">
        <f>IF(AND(Stamoplysninger!$B$26="Der er indgået lokalaftale omkring weekendtimer.(Kræver aftale med TR/FSL) Weekendtillæg afspadseres.",I34="X"),K34,0)</f>
        <v>0</v>
      </c>
      <c r="FW34" s="674">
        <f>IF(AND(AND(Stamoplysninger!$B$26="Der er indgået lokalaftale omkring weekendtimer.(Kræver aftale med TR/FSL) Weekendtillæg afspadseres.",I34="X",C34="ikke relevant")),K34,0)</f>
        <v>0</v>
      </c>
      <c r="FX34" s="283">
        <f>IF(AND(Stamoplysninger!$B$26="Der er indgået lokalaftale omkring weekendtimer(Kræver aftale med TR/FSL). Weekendtillæg udbetales.",I34="X"),K34,0)</f>
        <v>0</v>
      </c>
      <c r="FY34" s="674">
        <f>IF(AND(AND(Stamoplysninger!$B$26="Der er indgået lokalaftale omkring weekendtimer(Kræver aftale med TR/FSL). Weekendtillæg udbetales.",I34="X",C34="ikke relevant")),K34,0)</f>
        <v>0</v>
      </c>
      <c r="FZ34" s="283">
        <f>IF(AND(Stamoplysninger!$B$26="Der er indgået lokalaftale omkring weekendtillæg(Kræver aftale med TR/FSL). Weekendtimerne udbetales.",I34="X"),K34,0)</f>
        <v>0</v>
      </c>
      <c r="GA34" s="674">
        <f>IF(AND(AND(Stamoplysninger!$B$26="Der er indgået lokalaftale omkring weekendtillæg(Kræver aftale med TR/FSL). Weekendtimerne udbetales.",I34="X",C34="ikke relevant")),K34,0)</f>
        <v>0</v>
      </c>
      <c r="GB34" s="283">
        <f>IF(AND(Stamoplysninger!$B$26="Der er indgået lokalaftale omkring weekendtimer og weekendtillæg.(Kræver aftale med TR/FSL).",I34="X"),K34,0)</f>
        <v>0</v>
      </c>
      <c r="GC34" s="674">
        <f>IF(AND(AND(Stamoplysninger!$B$26="Der er indgået lokalaftale omkring weekendtimer og weekendtillæg.(Kræver aftale med TR/FSL).",I34="X",C34="ikke relevant")),K34,0)</f>
        <v>0</v>
      </c>
    </row>
    <row r="35" spans="1:185">
      <c r="A35" s="245">
        <f t="shared" si="18"/>
        <v>27</v>
      </c>
      <c r="B35" s="128" t="str">
        <f t="shared" si="0"/>
        <v>sø</v>
      </c>
      <c r="C35" s="129" t="s">
        <v>120</v>
      </c>
      <c r="D35" s="130" t="str">
        <f t="shared" si="1"/>
        <v/>
      </c>
      <c r="E35" s="917"/>
      <c r="F35" s="918"/>
      <c r="G35" s="919"/>
      <c r="H35" s="298"/>
      <c r="I35" s="413"/>
      <c r="J35" s="413"/>
      <c r="K35" s="380"/>
      <c r="L35" s="380"/>
      <c r="M35" s="380"/>
      <c r="N35" s="318">
        <f t="shared" si="19"/>
        <v>0</v>
      </c>
      <c r="O35" s="318">
        <f t="shared" si="20"/>
        <v>0</v>
      </c>
      <c r="P35" s="318">
        <f>IF(Stamoplysninger!$H$29="JA",Juli!DG35,CX35)</f>
        <v>0</v>
      </c>
      <c r="Q35" s="318">
        <f t="shared" si="21"/>
        <v>0</v>
      </c>
      <c r="R35" s="319"/>
      <c r="S35" s="324"/>
      <c r="T35" s="325"/>
      <c r="U35" s="325"/>
      <c r="V35" s="435"/>
      <c r="W35" s="412"/>
      <c r="X35" s="642"/>
      <c r="Y35">
        <f t="shared" si="22"/>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9">
        <f t="shared" si="8"/>
        <v>0</v>
      </c>
      <c r="BC35" s="1">
        <f t="shared" si="24"/>
        <v>0</v>
      </c>
      <c r="BD35" s="1">
        <f t="shared" si="9"/>
        <v>0</v>
      </c>
      <c r="BE35" s="1">
        <f t="shared" si="10"/>
        <v>0</v>
      </c>
      <c r="BF35" s="1">
        <f t="shared" si="11"/>
        <v>0</v>
      </c>
      <c r="BG35" s="210" t="str">
        <f>IF(AND(C35="Skema 1",B35="ma"),Skemaoplysninger!$E$30,"")</f>
        <v/>
      </c>
      <c r="BH35" s="210" t="str">
        <f>IF(AND(C35="Skema 1",B35="ti"),Skemaoplysninger!$G$30,"")</f>
        <v/>
      </c>
      <c r="BI35" s="210" t="str">
        <f>IF(AND(C35="Skema 1",B35="on"),Skemaoplysninger!$I$30,"")</f>
        <v/>
      </c>
      <c r="BJ35" s="210" t="str">
        <f>IF(AND(C35="Skema 1",B35="to"),Skemaoplysninger!$K$30,"")</f>
        <v/>
      </c>
      <c r="BK35" s="210" t="str">
        <f>IF(AND(C35="Skema 1",B35="fr"),Skemaoplysninger!$M$30,"")</f>
        <v/>
      </c>
      <c r="BL35" s="210" t="str">
        <f>IF(AND(C35="Skema 2",B35="ma"),Skemaoplysninger!$S$30,"")</f>
        <v/>
      </c>
      <c r="BM35" s="210" t="str">
        <f>IF(AND(C35="Skema 2",B35="ti"),Skemaoplysninger!$U$30,"")</f>
        <v/>
      </c>
      <c r="BN35" s="210" t="str">
        <f>IF(AND(C35="Skema 2",B35="on"),Skemaoplysninger!$W$30,"")</f>
        <v/>
      </c>
      <c r="BO35" s="210" t="str">
        <f>IF(AND(C35="Skema 2",B35="to"),Skemaoplysninger!$Y$30,"")</f>
        <v/>
      </c>
      <c r="BP35" s="210" t="str">
        <f>IF(AND(C35="Skema 2",B35="fr"),Skemaoplysninger!$AA$30,"")</f>
        <v/>
      </c>
      <c r="BQ35" s="210" t="str">
        <f>IF(AND(C35="Skema 3",B35="ma"),Skemaoplysninger!$AG$30,"")</f>
        <v/>
      </c>
      <c r="BR35" s="210" t="str">
        <f>IF(AND(C35="Skema 3",B35="ti"),Skemaoplysninger!$AI$30,"")</f>
        <v/>
      </c>
      <c r="BS35" s="210" t="str">
        <f>IF(AND(C35="Skema 3",B35="on"),Skemaoplysninger!$AK$30,"")</f>
        <v/>
      </c>
      <c r="BT35" s="210" t="str">
        <f>IF(AND(C35="Skema 3",B35="to"),Skemaoplysninger!$AM$30,"")</f>
        <v/>
      </c>
      <c r="BU35" s="210" t="str">
        <f>IF(AND(C35="Skema 3",B35="fr"),Skemaoplysninger!$AO$30,"")</f>
        <v/>
      </c>
      <c r="BV35" s="210" t="str">
        <f>IF(AND(C35="Skema 4",B35="ma"),Skemaoplysninger!$AU$30,"")</f>
        <v/>
      </c>
      <c r="BW35" s="210" t="str">
        <f>IF(AND(C35="Skema 4",B35="ti"),Skemaoplysninger!$AW$30,"")</f>
        <v/>
      </c>
      <c r="BX35" s="210" t="str">
        <f>IF(AND(C35="Skema 4",B35="on"),Skemaoplysninger!$AY$30,"")</f>
        <v/>
      </c>
      <c r="BY35" s="210" t="str">
        <f>IF(AND(C35="Skema 4",B35="to"),Skemaoplysninger!$BA$30,"")</f>
        <v/>
      </c>
      <c r="BZ35" s="210" t="str">
        <f>IF(AND(C35="Skema 4",B35="fr"),Skemaoplysninger!$BC$30,"")</f>
        <v/>
      </c>
      <c r="CA35" s="1">
        <f t="shared" si="25"/>
        <v>0</v>
      </c>
      <c r="CB35" s="1">
        <f t="shared" si="12"/>
        <v>0</v>
      </c>
      <c r="CC35" s="1">
        <f t="shared" si="13"/>
        <v>0</v>
      </c>
      <c r="CD35" s="210" t="str">
        <f>IF(AND(C35="Skema 1",B35="ma"),Skemaoplysninger!$E$31,"")</f>
        <v/>
      </c>
      <c r="CE35" s="210" t="str">
        <f>IF(AND(C35="Skema 1",B35="ti"),Skemaoplysninger!$G$31,"")</f>
        <v/>
      </c>
      <c r="CF35" s="210" t="str">
        <f>IF(AND(C35="Skema 1",B35="on"),Skemaoplysninger!$I$31,"")</f>
        <v/>
      </c>
      <c r="CG35" s="210" t="str">
        <f>IF(AND(C35="Skema 1",B35="to"),Skemaoplysninger!$K$31,"")</f>
        <v/>
      </c>
      <c r="CH35" s="210" t="str">
        <f>IF(AND(C35="Skema 1",B35="fr"),Skemaoplysninger!$M$31,"")</f>
        <v/>
      </c>
      <c r="CI35" s="210" t="str">
        <f>IF(AND(C35="Skema 2",B35="ma"),Skemaoplysninger!$S$31,"")</f>
        <v/>
      </c>
      <c r="CJ35" s="210" t="str">
        <f>IF(AND(C35="Skema 2",B35="ti"),Skemaoplysninger!$U$31,"")</f>
        <v/>
      </c>
      <c r="CK35" s="210" t="str">
        <f>IF(AND(C35="Skema 2",B35="on"),Skemaoplysninger!$W$31,"")</f>
        <v/>
      </c>
      <c r="CL35" s="210" t="str">
        <f>IF(AND(C35="Skema 2",B35="to"),Skemaoplysninger!$Y$31,"")</f>
        <v/>
      </c>
      <c r="CM35" s="210" t="str">
        <f>IF(AND(C35="Skema 2",B35="fr"),Skemaoplysninger!$AA$31,"")</f>
        <v/>
      </c>
      <c r="CN35" s="210" t="str">
        <f>IF(AND(C35="Skema 3",B35="ma"),Skemaoplysninger!$AG$31,"")</f>
        <v/>
      </c>
      <c r="CO35" s="210" t="str">
        <f>IF(AND(C35="Skema 3",B35="ti"),Skemaoplysninger!$AI$31,"")</f>
        <v/>
      </c>
      <c r="CP35" s="210" t="str">
        <f>IF(AND(C35="Skema 3",B35="on"),Skemaoplysninger!$AK$31,"")</f>
        <v/>
      </c>
      <c r="CQ35" s="210" t="str">
        <f>IF(AND(C35="Skema 3",B35="to"),Skemaoplysninger!$AM$31,"")</f>
        <v/>
      </c>
      <c r="CR35" s="210" t="str">
        <f>IF(AND(C35="Skema 3",B35="fr"),Skemaoplysninger!$AO$31,"")</f>
        <v/>
      </c>
      <c r="CS35" s="210" t="str">
        <f>IF(AND(C35="Skema 4",B35="ma"),Skemaoplysninger!$AU$31,"")</f>
        <v/>
      </c>
      <c r="CT35" s="210" t="str">
        <f>IF(AND(C35="Skema 4",B35="ti"),Skemaoplysninger!$AW$31,"")</f>
        <v/>
      </c>
      <c r="CU35" s="210" t="str">
        <f>IF(AND(C35="Skema 4",B35="on"),Skemaoplysninger!$AY$31,"")</f>
        <v/>
      </c>
      <c r="CV35" s="210" t="str">
        <f>IF(AND(C35="Skema 4",B35="to"),Skemaoplysninger!$BA$31,"")</f>
        <v/>
      </c>
      <c r="CW35" s="210" t="str">
        <f>IF(AND(C35="Skema 4",B35="fr"),Skemaoplysninger!$BC$31,"")</f>
        <v/>
      </c>
      <c r="CX35" s="249">
        <f>IF(Stamoplysninger!$H$29="NEJ",SUM(CD35:CW35)*24+CB35+CC35,0)</f>
        <v>0</v>
      </c>
      <c r="CY35" s="249">
        <f>IF(C35="Skema 1",Stamoplysninger!$H$30/200,0)</f>
        <v>0</v>
      </c>
      <c r="CZ35" s="249">
        <f>IF(C35="Skema 2",Stamoplysninger!$H$30/200,0)</f>
        <v>0</v>
      </c>
      <c r="DA35" s="249">
        <f>IF(C35="Skema 3",Stamoplysninger!$H$30/200,0)</f>
        <v>0</v>
      </c>
      <c r="DB35" s="249">
        <f>IF(C35="Skema 4",Stamoplysninger!$H$30/200,0)</f>
        <v>0</v>
      </c>
      <c r="DC35" s="249">
        <f>IF(C35="fagdag",Stamoplysninger!$H$30/200,0)</f>
        <v>0</v>
      </c>
      <c r="DD35" s="249">
        <f>IF(C35="emnedag",Stamoplysninger!$H$30/200,0)</f>
        <v>0</v>
      </c>
      <c r="DE35" s="249">
        <f>IF(C35="lejrskole",Stamoplysninger!$H$30/200,0)</f>
        <v>0</v>
      </c>
      <c r="DF35" s="249">
        <f>IF(C35="ekskursion",Stamoplysninger!$H$30/200,0)</f>
        <v>0</v>
      </c>
      <c r="DG35" s="249">
        <f t="shared" si="26"/>
        <v>0</v>
      </c>
      <c r="DH35" t="str">
        <f t="shared" si="27"/>
        <v/>
      </c>
      <c r="DI35">
        <f t="shared" si="28"/>
        <v>0</v>
      </c>
      <c r="DJ35">
        <f t="shared" si="29"/>
        <v>0</v>
      </c>
      <c r="DK35" t="str">
        <f t="shared" si="14"/>
        <v/>
      </c>
      <c r="DL35" t="str">
        <f t="shared" si="14"/>
        <v/>
      </c>
      <c r="DM35" t="str">
        <f t="shared" si="14"/>
        <v/>
      </c>
      <c r="DN35" t="str">
        <f t="shared" si="30"/>
        <v/>
      </c>
      <c r="DO35" s="652">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71">
        <f>IF(AND(Stamoplysninger!$B$22="Ulempetillæg udbetales med 25% af nettotimelønnen.",C35="ikke relevant"),(R35)/4,0)</f>
        <v>0</v>
      </c>
      <c r="DT35" s="671">
        <f>IF(AND(AND(Stamoplysninger!$B$22="Ulempetillæg udbetales med 25% af nettotimelønnen.",I35="X",C35="Ikke relevant")),K35/4,0)</f>
        <v>0</v>
      </c>
      <c r="DU35" s="671">
        <f>IF(AND(AND(Stamoplysninger!$B$22="Ulempetillæg udbetales med 25% af nettotimelønnen.",C35="ikke relevant",U35="X")),(X35/4),0)</f>
        <v>0</v>
      </c>
      <c r="DV35" s="672">
        <f>IF(AND(AND(AND(Stamoplysninger!$B$22="Ulempetillæg udbetales med 25% af nettotimelønnen.",I35="X",C35="Ikke relevant",S35="X"))),V35/4,0)</f>
        <v>0</v>
      </c>
      <c r="DW35" s="652"/>
      <c r="DZ35" s="671"/>
      <c r="EA35" s="671"/>
      <c r="EB35" s="672"/>
      <c r="EC35" s="652">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71">
        <f>IF(AND(Stamoplysninger!$B$22="Ulempetillæg afspadseres med 25%(Kræver en aftale imellem ledelsen og den ansatte)",C35="ikke relevant"),(R35)/4,0)</f>
        <v>0</v>
      </c>
      <c r="EH35" s="671">
        <f>IF(AND(AND(Stamoplysninger!$B$22="Ulempetillæg afspadseres med 25%(Kræver en aftale imellem ledelsen og den ansatte)",I35="X",C35="Ikke relevant")),K35/4,0)</f>
        <v>0</v>
      </c>
      <c r="EI35" s="671">
        <f>IF(AND(AND(Stamoplysninger!$B$22="Ulempetillæg afspadseres med 25%(Kræver en aftale imellem ledelsen og den ansatte)",U35="X",C35="Ikke relevant")),X35/4,0)</f>
        <v>0</v>
      </c>
      <c r="EJ35" s="671">
        <f>IF(AND(AND(AND(Stamoplysninger!$B$22="Ulempetillæg afspadseres med 25%(Kræver en aftale imellem ledelsen og den ansatte)",I35="X",C35="Ikke relevant",S35="X"))),V35/4,0)</f>
        <v>0</v>
      </c>
      <c r="EK35" s="283">
        <f>IF(AND(Stamoplysninger!$B$26="Weekendtimer og weekendtillæg afspadseres.",I35="X"),K35*1.5,0)</f>
        <v>0</v>
      </c>
      <c r="EL35" s="251">
        <f>IF(AND(AND(Stamoplysninger!$B$26="Weekendtimer og weekendtillæg afspadseres.",I35="X",S35="X")),V35*1.5,0)</f>
        <v>0</v>
      </c>
      <c r="EM35" s="674">
        <f>IF(AND(AND(Stamoplysninger!$B$26="Weekendtimer og weekendtillæg afspadseres.",I35="X",C35="ikke relevant")),K35*1.5,0)</f>
        <v>0</v>
      </c>
      <c r="EN35" s="675">
        <f>IF(AND(AND(AND(Stamoplysninger!$B$26="Weekendtimer og weekendtillæg afspadseres.",I35="X",C35="ikke relevant",S35="X"))),(V35*1.5),0)</f>
        <v>0</v>
      </c>
      <c r="EO35" s="283">
        <f>IF(AND(Stamoplysninger!$B$26="Weekendtimer og weekendtillæg udbetales.",I35="X"),K35*1.5,0)</f>
        <v>0</v>
      </c>
      <c r="EP35" s="251">
        <f>IF(AND(AND(Stamoplysninger!$B$26="Weekendtimer og weekendtillæg udbetales.",I35="X",S35="X")),V35*1.5,0)</f>
        <v>0</v>
      </c>
      <c r="EQ35" s="674">
        <f>IF(AND(AND(Stamoplysninger!$B$26="Weekendtimer og weekendtillæg udbetales.",I35="X",C35="ikke relevant")),K35*1.5,0)</f>
        <v>0</v>
      </c>
      <c r="ER35" s="675">
        <f>IF(AND(AND(AND(Stamoplysninger!$B$26="Weekendtimer og weekendtillæg udbetales.",I35="X",C35="ikke relevant",S35="X"))),(V35*1.5),0)</f>
        <v>0</v>
      </c>
      <c r="ES35" s="283">
        <f>IF(AND(Stamoplysninger!$B$26="Der er indgået lokalaftale omkring weekendtimer.(Kræver aftale med TR/FSL) Weekendtillæg afspadseres.",I35="X"),K35*0.5,0)</f>
        <v>0</v>
      </c>
      <c r="ET35" s="251">
        <f>IF(AND(AND(Stamoplysninger!$B$26="Der er indgået lokalaftale omkring weekendtimer.(Kræver aftale med TR/FSL) Weekendtillæg afspadseres.",I35="X",S35="X")),V35*0.5,0)</f>
        <v>0</v>
      </c>
      <c r="EU35" s="674">
        <f>IF(AND(AND(Stamoplysninger!$B$26="Der er indgået lokalaftale omkring weekendtimer.(Kræver aftale med TR/FSL) Weekendtillæg afspadseres.",I35="X",C35="ikke relevant")),K35*0.5,0)</f>
        <v>0</v>
      </c>
      <c r="EV35" s="675">
        <f>IF(AND(AND(AND(Stamoplysninger!$B$26="Der er indgået lokalaftale omkring weekendtimer.(Kræver aftale med TR/FSL) Weekendtillæg afspadseres.",I35="X",C35="ikke relevant",S35="X"))),(V35*0.5),0)</f>
        <v>0</v>
      </c>
      <c r="EW35" s="283">
        <f>IF(AND(Stamoplysninger!$B$26="Der er indgået lokalaftale omkring weekendtimer(Kræver aftale med TR/FSL). Weekendtillæg udbetales.",I35="X"),K35*0.5,0)</f>
        <v>0</v>
      </c>
      <c r="EX35" s="251">
        <f>IF(AND(AND(Stamoplysninger!$B$26="Der er indgået lokalaftale omkring weekendtimer(Kræver aftale med TR/FSL). Weekendtillæg udbetales.",I35="X",S35="X")),V35*0.5,0)</f>
        <v>0</v>
      </c>
      <c r="EY35" s="674">
        <f>IF(AND(AND(Stamoplysninger!$B$26="Der er indgået lokalaftale omkring weekendtimer(Kræver aftale med TR/FSL). Weekendtillæg udbetales.",I35="X",C35="ikke relevant")),K35*0.5,0)</f>
        <v>0</v>
      </c>
      <c r="EZ35" s="675">
        <f>IF(AND(AND(AND(Stamoplysninger!$B$26="Der er indgået lokalaftale omkring weekendtimer(Kræver aftale med TR/FSL). Weekendtillæg udbetales.",I35="X",C35="ikke relevant",S35="X"))),(V35*0.5),0)</f>
        <v>0</v>
      </c>
      <c r="FA35" s="283">
        <f>IF(AND(Stamoplysninger!$B$26="Der er indgået lokalaftale omkring weekendtillæg(Kræver aftale med TR/FSL). Weekendtimerne afspadseres.",I35="X"),K35,0)</f>
        <v>0</v>
      </c>
      <c r="FB35" s="251">
        <f>IF(AND(AND(Stamoplysninger!$B$26="Der er indgået lokalaftale omkring weekendtillæg(Kræver aftale med TR/FSL). Weekendtimerne afspadseres.",I35="X",S35="X")),V35,0)</f>
        <v>0</v>
      </c>
      <c r="FC35" s="674">
        <f>IF(AND(AND(Stamoplysninger!$B$26="Der er indgået lokalaftale omkring weekendtillæg(Kræver aftale med TR/FSL). Weekendtimerne afspadseres..",I35="X",C35="ikke relevant")),K35,0)</f>
        <v>0</v>
      </c>
      <c r="FD35" s="675">
        <f>IF(AND(AND(AND(Stamoplysninger!$B$26="Der er indgået lokalaftale omkring weekendtillæg(Kræver aftale med TR/FSL). Weekendtimerne afspadseres.",I35="X",C35="ikke relevant",S35="X"))),(V35),0)</f>
        <v>0</v>
      </c>
      <c r="FE35" s="283">
        <f>IF(AND(Stamoplysninger!$B$26="Der er indgået lokalaftale omkring weekendtillæg(Kræver aftale med TR/FSL). Weekendtimerne udbetales.",I35="X"),K35,0)</f>
        <v>0</v>
      </c>
      <c r="FF35" s="251">
        <f>IF(AND(AND(Stamoplysninger!$B$26="Der er indgået lokalaftale omkring weekendtillæg(Kræver aftale med TR/FSL). Weekendtimerne udbetales.",I35="X",S35="X")),V35,0)</f>
        <v>0</v>
      </c>
      <c r="FG35" s="674">
        <f>IF(AND(AND(Stamoplysninger!$B$26="Der er indgået lokalaftale omkring weekendtillæg(Kræver aftale med TR/FSL). Weekendtimerne udbetales.",I35="X",C35="ikke relevant")),K35,0)</f>
        <v>0</v>
      </c>
      <c r="FH35" s="675">
        <f>IF(AND(AND(AND(Stamoplysninger!$B$26="Der er indgået lokalaftale omkring weekendtillæg(Kræver aftale med TR/FSL). Weekendtimerne udbetales.",I35="X",C35="ikke relevant",S35="X"))),(V35),0)</f>
        <v>0</v>
      </c>
      <c r="FI35" s="283">
        <f>IF(AND(Stamoplysninger!$B$26="Weekendtimer og weekendtillæg afspadseres.",I35="X"),K35,0)</f>
        <v>0</v>
      </c>
      <c r="FJ35" s="251">
        <f>IF(AND(Stamoplysninger!$B$26="Weekendtimer og weekendtillæg afspadseres.",Y35="X"),(AA35+AL35)/2,0)</f>
        <v>0</v>
      </c>
      <c r="FK35" s="674">
        <f>IF(AND(AND(Stamoplysninger!$B$26="Weekendtimer og weekendtillæg afspadseres.",I35="X",C35="ikke relevant")),K35,0)</f>
        <v>0</v>
      </c>
      <c r="FL35" s="675">
        <f>IF(AND(AND(Stamoplysninger!$B$26="Weekendtimer og weekendtillæg afspadseres.",Y35="X",S35="ikke relevant")),(AA35+AL35)/2,0)</f>
        <v>0</v>
      </c>
      <c r="FM35" s="283">
        <f>IF(AND(Stamoplysninger!$B$26="Der er indgået lokalaftale omkring weekendtillæg(Kræver aftale med TR/FSL). Weekendtimerne afspadseres.",I35="X"),K35,0)</f>
        <v>0</v>
      </c>
      <c r="FN35" s="674">
        <f>IF(AND(AND(Stamoplysninger!$B$26="Der er indgået lokalaftale omkring weekendtillæg(Kræver aftale med TR/FSL). Weekendtimerne afspadseres.",I35="X",C35="ikke relevant")),K35,0)</f>
        <v>0</v>
      </c>
      <c r="FO35" s="283">
        <f>IF(AND(Stamoplysninger!$B$26="Weekendtimer og weekendtillæg udbetales.",I35="X"),K35,0)</f>
        <v>0</v>
      </c>
      <c r="FP35" s="251">
        <f>IF(AND(Stamoplysninger!$B$26="Weekendtimer og weekendtillæg udbetales.",AA35="X"),(AC35+AN35)/2,0)</f>
        <v>0</v>
      </c>
      <c r="FQ35" s="674">
        <f>IF(AND(AND(Stamoplysninger!$B$26="Weekendtimer og weekendtillæg udbetales.",I35="X",C35="ikke relevant")),K35,0)</f>
        <v>0</v>
      </c>
      <c r="FR35" s="688">
        <f>IF(AND(AND(Stamoplysninger!$B$26="Weekendtimer og weekendtillæg udbetales.",AA35="X",U35="ikke relevant")),(AC35+AN35)/2,0)</f>
        <v>0</v>
      </c>
      <c r="FS35" s="283">
        <f t="shared" si="15"/>
        <v>0</v>
      </c>
      <c r="FT35" s="658">
        <f t="shared" si="16"/>
        <v>0</v>
      </c>
      <c r="FU35">
        <f t="shared" si="31"/>
        <v>0</v>
      </c>
      <c r="FV35" s="283">
        <f>IF(AND(Stamoplysninger!$B$26="Der er indgået lokalaftale omkring weekendtimer.(Kræver aftale med TR/FSL) Weekendtillæg afspadseres.",I35="X"),K35,0)</f>
        <v>0</v>
      </c>
      <c r="FW35" s="674">
        <f>IF(AND(AND(Stamoplysninger!$B$26="Der er indgået lokalaftale omkring weekendtimer.(Kræver aftale med TR/FSL) Weekendtillæg afspadseres.",I35="X",C35="ikke relevant")),K35,0)</f>
        <v>0</v>
      </c>
      <c r="FX35" s="283">
        <f>IF(AND(Stamoplysninger!$B$26="Der er indgået lokalaftale omkring weekendtimer(Kræver aftale med TR/FSL). Weekendtillæg udbetales.",I35="X"),K35,0)</f>
        <v>0</v>
      </c>
      <c r="FY35" s="674">
        <f>IF(AND(AND(Stamoplysninger!$B$26="Der er indgået lokalaftale omkring weekendtimer(Kræver aftale med TR/FSL). Weekendtillæg udbetales.",I35="X",C35="ikke relevant")),K35,0)</f>
        <v>0</v>
      </c>
      <c r="FZ35" s="283">
        <f>IF(AND(Stamoplysninger!$B$26="Der er indgået lokalaftale omkring weekendtillæg(Kræver aftale med TR/FSL). Weekendtimerne udbetales.",I35="X"),K35,0)</f>
        <v>0</v>
      </c>
      <c r="GA35" s="674">
        <f>IF(AND(AND(Stamoplysninger!$B$26="Der er indgået lokalaftale omkring weekendtillæg(Kræver aftale med TR/FSL). Weekendtimerne udbetales.",I35="X",C35="ikke relevant")),K35,0)</f>
        <v>0</v>
      </c>
      <c r="GB35" s="283">
        <f>IF(AND(Stamoplysninger!$B$26="Der er indgået lokalaftale omkring weekendtimer og weekendtillæg.(Kræver aftale med TR/FSL).",I35="X"),K35,0)</f>
        <v>0</v>
      </c>
      <c r="GC35" s="674">
        <f>IF(AND(AND(Stamoplysninger!$B$26="Der er indgået lokalaftale omkring weekendtimer og weekendtillæg.(Kræver aftale med TR/FSL).",I35="X",C35="ikke relevant")),K35,0)</f>
        <v>0</v>
      </c>
    </row>
    <row r="36" spans="1:185">
      <c r="A36" s="245">
        <f t="shared" si="18"/>
        <v>28</v>
      </c>
      <c r="B36" s="128" t="str">
        <f t="shared" si="0"/>
        <v>ma</v>
      </c>
      <c r="C36" s="129" t="s">
        <v>210</v>
      </c>
      <c r="D36" s="130">
        <f t="shared" si="1"/>
        <v>30.714285714285715</v>
      </c>
      <c r="E36" s="917" t="s">
        <v>113</v>
      </c>
      <c r="F36" s="918"/>
      <c r="G36" s="919"/>
      <c r="H36" s="298"/>
      <c r="I36" s="527"/>
      <c r="J36" s="413"/>
      <c r="K36" s="380"/>
      <c r="L36" s="380"/>
      <c r="M36" s="380"/>
      <c r="N36" s="318">
        <f t="shared" si="19"/>
        <v>0</v>
      </c>
      <c r="O36" s="318">
        <f t="shared" si="20"/>
        <v>0</v>
      </c>
      <c r="P36" s="318">
        <f>IF(Stamoplysninger!$H$29="JA",Juli!DG36,CX36)</f>
        <v>0</v>
      </c>
      <c r="Q36" s="318">
        <f t="shared" si="21"/>
        <v>0</v>
      </c>
      <c r="R36" s="319"/>
      <c r="S36" s="324"/>
      <c r="T36" s="325"/>
      <c r="U36" s="325"/>
      <c r="V36" s="435"/>
      <c r="W36" s="412"/>
      <c r="X36" s="642"/>
      <c r="Y36">
        <f t="shared" si="22"/>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9">
        <f t="shared" si="8"/>
        <v>0</v>
      </c>
      <c r="BC36" s="1">
        <f t="shared" si="24"/>
        <v>0</v>
      </c>
      <c r="BD36" s="1">
        <f t="shared" si="9"/>
        <v>0</v>
      </c>
      <c r="BE36" s="1">
        <f t="shared" si="10"/>
        <v>0</v>
      </c>
      <c r="BF36" s="1">
        <f t="shared" si="11"/>
        <v>0</v>
      </c>
      <c r="BG36" s="210" t="str">
        <f>IF(AND(C36="Skema 1",B36="ma"),Skemaoplysninger!$E$30,"")</f>
        <v/>
      </c>
      <c r="BH36" s="210" t="str">
        <f>IF(AND(C36="Skema 1",B36="ti"),Skemaoplysninger!$G$30,"")</f>
        <v/>
      </c>
      <c r="BI36" s="210" t="str">
        <f>IF(AND(C36="Skema 1",B36="on"),Skemaoplysninger!$I$30,"")</f>
        <v/>
      </c>
      <c r="BJ36" s="210" t="str">
        <f>IF(AND(C36="Skema 1",B36="to"),Skemaoplysninger!$K$30,"")</f>
        <v/>
      </c>
      <c r="BK36" s="210" t="str">
        <f>IF(AND(C36="Skema 1",B36="fr"),Skemaoplysninger!$M$30,"")</f>
        <v/>
      </c>
      <c r="BL36" s="210" t="str">
        <f>IF(AND(C36="Skema 2",B36="ma"),Skemaoplysninger!$S$30,"")</f>
        <v/>
      </c>
      <c r="BM36" s="210" t="str">
        <f>IF(AND(C36="Skema 2",B36="ti"),Skemaoplysninger!$U$30,"")</f>
        <v/>
      </c>
      <c r="BN36" s="210" t="str">
        <f>IF(AND(C36="Skema 2",B36="on"),Skemaoplysninger!$W$30,"")</f>
        <v/>
      </c>
      <c r="BO36" s="210" t="str">
        <f>IF(AND(C36="Skema 2",B36="to"),Skemaoplysninger!$Y$30,"")</f>
        <v/>
      </c>
      <c r="BP36" s="210" t="str">
        <f>IF(AND(C36="Skema 2",B36="fr"),Skemaoplysninger!$AA$30,"")</f>
        <v/>
      </c>
      <c r="BQ36" s="210" t="str">
        <f>IF(AND(C36="Skema 3",B36="ma"),Skemaoplysninger!$AG$30,"")</f>
        <v/>
      </c>
      <c r="BR36" s="210" t="str">
        <f>IF(AND(C36="Skema 3",B36="ti"),Skemaoplysninger!$AI$30,"")</f>
        <v/>
      </c>
      <c r="BS36" s="210" t="str">
        <f>IF(AND(C36="Skema 3",B36="on"),Skemaoplysninger!$AK$30,"")</f>
        <v/>
      </c>
      <c r="BT36" s="210" t="str">
        <f>IF(AND(C36="Skema 3",B36="to"),Skemaoplysninger!$AM$30,"")</f>
        <v/>
      </c>
      <c r="BU36" s="210" t="str">
        <f>IF(AND(C36="Skema 3",B36="fr"),Skemaoplysninger!$AO$30,"")</f>
        <v/>
      </c>
      <c r="BV36" s="210" t="str">
        <f>IF(AND(C36="Skema 4",B36="ma"),Skemaoplysninger!$AU$30,"")</f>
        <v/>
      </c>
      <c r="BW36" s="210" t="str">
        <f>IF(AND(C36="Skema 4",B36="ti"),Skemaoplysninger!$AW$30,"")</f>
        <v/>
      </c>
      <c r="BX36" s="210" t="str">
        <f>IF(AND(C36="Skema 4",B36="on"),Skemaoplysninger!$AY$30,"")</f>
        <v/>
      </c>
      <c r="BY36" s="210" t="str">
        <f>IF(AND(C36="Skema 4",B36="to"),Skemaoplysninger!$BA$30,"")</f>
        <v/>
      </c>
      <c r="BZ36" s="210" t="str">
        <f>IF(AND(C36="Skema 4",B36="fr"),Skemaoplysninger!$BC$30,"")</f>
        <v/>
      </c>
      <c r="CA36" s="1">
        <f t="shared" si="25"/>
        <v>0</v>
      </c>
      <c r="CB36" s="1">
        <f t="shared" si="12"/>
        <v>0</v>
      </c>
      <c r="CC36" s="1">
        <f t="shared" si="13"/>
        <v>0</v>
      </c>
      <c r="CD36" s="210" t="str">
        <f>IF(AND(C36="Skema 1",B36="ma"),Skemaoplysninger!$E$31,"")</f>
        <v/>
      </c>
      <c r="CE36" s="210" t="str">
        <f>IF(AND(C36="Skema 1",B36="ti"),Skemaoplysninger!$G$31,"")</f>
        <v/>
      </c>
      <c r="CF36" s="210" t="str">
        <f>IF(AND(C36="Skema 1",B36="on"),Skemaoplysninger!$I$31,"")</f>
        <v/>
      </c>
      <c r="CG36" s="210" t="str">
        <f>IF(AND(C36="Skema 1",B36="to"),Skemaoplysninger!$K$31,"")</f>
        <v/>
      </c>
      <c r="CH36" s="210" t="str">
        <f>IF(AND(C36="Skema 1",B36="fr"),Skemaoplysninger!$M$31,"")</f>
        <v/>
      </c>
      <c r="CI36" s="210" t="str">
        <f>IF(AND(C36="Skema 2",B36="ma"),Skemaoplysninger!$S$31,"")</f>
        <v/>
      </c>
      <c r="CJ36" s="210" t="str">
        <f>IF(AND(C36="Skema 2",B36="ti"),Skemaoplysninger!$U$31,"")</f>
        <v/>
      </c>
      <c r="CK36" s="210" t="str">
        <f>IF(AND(C36="Skema 2",B36="on"),Skemaoplysninger!$W$31,"")</f>
        <v/>
      </c>
      <c r="CL36" s="210" t="str">
        <f>IF(AND(C36="Skema 2",B36="to"),Skemaoplysninger!$Y$31,"")</f>
        <v/>
      </c>
      <c r="CM36" s="210" t="str">
        <f>IF(AND(C36="Skema 2",B36="fr"),Skemaoplysninger!$AA$31,"")</f>
        <v/>
      </c>
      <c r="CN36" s="210" t="str">
        <f>IF(AND(C36="Skema 3",B36="ma"),Skemaoplysninger!$AG$31,"")</f>
        <v/>
      </c>
      <c r="CO36" s="210" t="str">
        <f>IF(AND(C36="Skema 3",B36="ti"),Skemaoplysninger!$AI$31,"")</f>
        <v/>
      </c>
      <c r="CP36" s="210" t="str">
        <f>IF(AND(C36="Skema 3",B36="on"),Skemaoplysninger!$AK$31,"")</f>
        <v/>
      </c>
      <c r="CQ36" s="210" t="str">
        <f>IF(AND(C36="Skema 3",B36="to"),Skemaoplysninger!$AM$31,"")</f>
        <v/>
      </c>
      <c r="CR36" s="210" t="str">
        <f>IF(AND(C36="Skema 3",B36="fr"),Skemaoplysninger!$AO$31,"")</f>
        <v/>
      </c>
      <c r="CS36" s="210" t="str">
        <f>IF(AND(C36="Skema 4",B36="ma"),Skemaoplysninger!$AU$31,"")</f>
        <v/>
      </c>
      <c r="CT36" s="210" t="str">
        <f>IF(AND(C36="Skema 4",B36="ti"),Skemaoplysninger!$AW$31,"")</f>
        <v/>
      </c>
      <c r="CU36" s="210" t="str">
        <f>IF(AND(C36="Skema 4",B36="on"),Skemaoplysninger!$AY$31,"")</f>
        <v/>
      </c>
      <c r="CV36" s="210" t="str">
        <f>IF(AND(C36="Skema 4",B36="to"),Skemaoplysninger!$BA$31,"")</f>
        <v/>
      </c>
      <c r="CW36" s="210" t="str">
        <f>IF(AND(C36="Skema 4",B36="fr"),Skemaoplysninger!$BC$31,"")</f>
        <v/>
      </c>
      <c r="CX36" s="249">
        <f>IF(Stamoplysninger!$H$29="NEJ",SUM(CD36:CW36)*24+CB36+CC36,0)</f>
        <v>0</v>
      </c>
      <c r="CY36" s="249">
        <f>IF(C36="Skema 1",Stamoplysninger!$H$30/200,0)</f>
        <v>0</v>
      </c>
      <c r="CZ36" s="249">
        <f>IF(C36="Skema 2",Stamoplysninger!$H$30/200,0)</f>
        <v>0</v>
      </c>
      <c r="DA36" s="249">
        <f>IF(C36="Skema 3",Stamoplysninger!$H$30/200,0)</f>
        <v>0</v>
      </c>
      <c r="DB36" s="249">
        <f>IF(C36="Skema 4",Stamoplysninger!$H$30/200,0)</f>
        <v>0</v>
      </c>
      <c r="DC36" s="249">
        <f>IF(C36="fagdag",Stamoplysninger!$H$30/200,0)</f>
        <v>0</v>
      </c>
      <c r="DD36" s="249">
        <f>IF(C36="emnedag",Stamoplysninger!$H$30/200,0)</f>
        <v>0</v>
      </c>
      <c r="DE36" s="249">
        <f>IF(C36="lejrskole",Stamoplysninger!$H$30/200,0)</f>
        <v>0</v>
      </c>
      <c r="DF36" s="249">
        <f>IF(C36="ekskursion",Stamoplysninger!$H$30/200,0)</f>
        <v>0</v>
      </c>
      <c r="DG36" s="249">
        <f t="shared" si="26"/>
        <v>0</v>
      </c>
      <c r="DH36" t="str">
        <f t="shared" si="27"/>
        <v/>
      </c>
      <c r="DI36" t="str">
        <f t="shared" si="28"/>
        <v>Sommerferie</v>
      </c>
      <c r="DJ36" t="str">
        <f t="shared" si="29"/>
        <v/>
      </c>
      <c r="DK36" t="str">
        <f t="shared" si="14"/>
        <v/>
      </c>
      <c r="DL36" t="str">
        <f t="shared" si="14"/>
        <v>Sommerferie</v>
      </c>
      <c r="DM36" t="str">
        <f t="shared" si="14"/>
        <v/>
      </c>
      <c r="DN36" t="str">
        <f t="shared" si="30"/>
        <v>Sommerferie</v>
      </c>
      <c r="DO36" s="652">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71">
        <f>IF(AND(Stamoplysninger!$B$22="Ulempetillæg udbetales med 25% af nettotimelønnen.",C36="ikke relevant"),(R36)/4,0)</f>
        <v>0</v>
      </c>
      <c r="DT36" s="671">
        <f>IF(AND(AND(Stamoplysninger!$B$22="Ulempetillæg udbetales med 25% af nettotimelønnen.",I36="X",C36="Ikke relevant")),K36/4,0)</f>
        <v>0</v>
      </c>
      <c r="DU36" s="671">
        <f>IF(AND(AND(Stamoplysninger!$B$22="Ulempetillæg udbetales med 25% af nettotimelønnen.",C36="ikke relevant",U36="X")),(X36/4),0)</f>
        <v>0</v>
      </c>
      <c r="DV36" s="672">
        <f>IF(AND(AND(AND(Stamoplysninger!$B$22="Ulempetillæg udbetales med 25% af nettotimelønnen.",I36="X",C36="Ikke relevant",S36="X"))),V36/4,0)</f>
        <v>0</v>
      </c>
      <c r="DW36" s="652"/>
      <c r="DZ36" s="671"/>
      <c r="EA36" s="671"/>
      <c r="EB36" s="672"/>
      <c r="EC36" s="652">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71">
        <f>IF(AND(Stamoplysninger!$B$22="Ulempetillæg afspadseres med 25%(Kræver en aftale imellem ledelsen og den ansatte)",C36="ikke relevant"),(R36)/4,0)</f>
        <v>0</v>
      </c>
      <c r="EH36" s="671">
        <f>IF(AND(AND(Stamoplysninger!$B$22="Ulempetillæg afspadseres med 25%(Kræver en aftale imellem ledelsen og den ansatte)",I36="X",C36="Ikke relevant")),K36/4,0)</f>
        <v>0</v>
      </c>
      <c r="EI36" s="671">
        <f>IF(AND(AND(Stamoplysninger!$B$22="Ulempetillæg afspadseres med 25%(Kræver en aftale imellem ledelsen og den ansatte)",U36="X",C36="Ikke relevant")),X36/4,0)</f>
        <v>0</v>
      </c>
      <c r="EJ36" s="671">
        <f>IF(AND(AND(AND(Stamoplysninger!$B$22="Ulempetillæg afspadseres med 25%(Kræver en aftale imellem ledelsen og den ansatte)",I36="X",C36="Ikke relevant",S36="X"))),V36/4,0)</f>
        <v>0</v>
      </c>
      <c r="EK36" s="283">
        <f>IF(AND(Stamoplysninger!$B$26="Weekendtimer og weekendtillæg afspadseres.",I36="X"),K36*1.5,0)</f>
        <v>0</v>
      </c>
      <c r="EL36" s="251">
        <f>IF(AND(AND(Stamoplysninger!$B$26="Weekendtimer og weekendtillæg afspadseres.",I36="X",S36="X")),V36*1.5,0)</f>
        <v>0</v>
      </c>
      <c r="EM36" s="674">
        <f>IF(AND(AND(Stamoplysninger!$B$26="Weekendtimer og weekendtillæg afspadseres.",I36="X",C36="ikke relevant")),K36*1.5,0)</f>
        <v>0</v>
      </c>
      <c r="EN36" s="675">
        <f>IF(AND(AND(AND(Stamoplysninger!$B$26="Weekendtimer og weekendtillæg afspadseres.",I36="X",C36="ikke relevant",S36="X"))),(V36*1.5),0)</f>
        <v>0</v>
      </c>
      <c r="EO36" s="283">
        <f>IF(AND(Stamoplysninger!$B$26="Weekendtimer og weekendtillæg udbetales.",I36="X"),K36*1.5,0)</f>
        <v>0</v>
      </c>
      <c r="EP36" s="251">
        <f>IF(AND(AND(Stamoplysninger!$B$26="Weekendtimer og weekendtillæg udbetales.",I36="X",S36="X")),V36*1.5,0)</f>
        <v>0</v>
      </c>
      <c r="EQ36" s="674">
        <f>IF(AND(AND(Stamoplysninger!$B$26="Weekendtimer og weekendtillæg udbetales.",I36="X",C36="ikke relevant")),K36*1.5,0)</f>
        <v>0</v>
      </c>
      <c r="ER36" s="675">
        <f>IF(AND(AND(AND(Stamoplysninger!$B$26="Weekendtimer og weekendtillæg udbetales.",I36="X",C36="ikke relevant",S36="X"))),(V36*1.5),0)</f>
        <v>0</v>
      </c>
      <c r="ES36" s="283">
        <f>IF(AND(Stamoplysninger!$B$26="Der er indgået lokalaftale omkring weekendtimer.(Kræver aftale med TR/FSL) Weekendtillæg afspadseres.",I36="X"),K36*0.5,0)</f>
        <v>0</v>
      </c>
      <c r="ET36" s="251">
        <f>IF(AND(AND(Stamoplysninger!$B$26="Der er indgået lokalaftale omkring weekendtimer.(Kræver aftale med TR/FSL) Weekendtillæg afspadseres.",I36="X",S36="X")),V36*0.5,0)</f>
        <v>0</v>
      </c>
      <c r="EU36" s="674">
        <f>IF(AND(AND(Stamoplysninger!$B$26="Der er indgået lokalaftale omkring weekendtimer.(Kræver aftale med TR/FSL) Weekendtillæg afspadseres.",I36="X",C36="ikke relevant")),K36*0.5,0)</f>
        <v>0</v>
      </c>
      <c r="EV36" s="675">
        <f>IF(AND(AND(AND(Stamoplysninger!$B$26="Der er indgået lokalaftale omkring weekendtimer.(Kræver aftale med TR/FSL) Weekendtillæg afspadseres.",I36="X",C36="ikke relevant",S36="X"))),(V36*0.5),0)</f>
        <v>0</v>
      </c>
      <c r="EW36" s="283">
        <f>IF(AND(Stamoplysninger!$B$26="Der er indgået lokalaftale omkring weekendtimer(Kræver aftale med TR/FSL). Weekendtillæg udbetales.",I36="X"),K36*0.5,0)</f>
        <v>0</v>
      </c>
      <c r="EX36" s="251">
        <f>IF(AND(AND(Stamoplysninger!$B$26="Der er indgået lokalaftale omkring weekendtimer(Kræver aftale med TR/FSL). Weekendtillæg udbetales.",I36="X",S36="X")),V36*0.5,0)</f>
        <v>0</v>
      </c>
      <c r="EY36" s="674">
        <f>IF(AND(AND(Stamoplysninger!$B$26="Der er indgået lokalaftale omkring weekendtimer(Kræver aftale med TR/FSL). Weekendtillæg udbetales.",I36="X",C36="ikke relevant")),K36*0.5,0)</f>
        <v>0</v>
      </c>
      <c r="EZ36" s="675">
        <f>IF(AND(AND(AND(Stamoplysninger!$B$26="Der er indgået lokalaftale omkring weekendtimer(Kræver aftale med TR/FSL). Weekendtillæg udbetales.",I36="X",C36="ikke relevant",S36="X"))),(V36*0.5),0)</f>
        <v>0</v>
      </c>
      <c r="FA36" s="283">
        <f>IF(AND(Stamoplysninger!$B$26="Der er indgået lokalaftale omkring weekendtillæg(Kræver aftale med TR/FSL). Weekendtimerne afspadseres.",I36="X"),K36,0)</f>
        <v>0</v>
      </c>
      <c r="FB36" s="251">
        <f>IF(AND(AND(Stamoplysninger!$B$26="Der er indgået lokalaftale omkring weekendtillæg(Kræver aftale med TR/FSL). Weekendtimerne afspadseres.",I36="X",S36="X")),V36,0)</f>
        <v>0</v>
      </c>
      <c r="FC36" s="674">
        <f>IF(AND(AND(Stamoplysninger!$B$26="Der er indgået lokalaftale omkring weekendtillæg(Kræver aftale med TR/FSL). Weekendtimerne afspadseres..",I36="X",C36="ikke relevant")),K36,0)</f>
        <v>0</v>
      </c>
      <c r="FD36" s="675">
        <f>IF(AND(AND(AND(Stamoplysninger!$B$26="Der er indgået lokalaftale omkring weekendtillæg(Kræver aftale med TR/FSL). Weekendtimerne afspadseres.",I36="X",C36="ikke relevant",S36="X"))),(V36),0)</f>
        <v>0</v>
      </c>
      <c r="FE36" s="283">
        <f>IF(AND(Stamoplysninger!$B$26="Der er indgået lokalaftale omkring weekendtillæg(Kræver aftale med TR/FSL). Weekendtimerne udbetales.",I36="X"),K36,0)</f>
        <v>0</v>
      </c>
      <c r="FF36" s="251">
        <f>IF(AND(AND(Stamoplysninger!$B$26="Der er indgået lokalaftale omkring weekendtillæg(Kræver aftale med TR/FSL). Weekendtimerne udbetales.",I36="X",S36="X")),V36,0)</f>
        <v>0</v>
      </c>
      <c r="FG36" s="674">
        <f>IF(AND(AND(Stamoplysninger!$B$26="Der er indgået lokalaftale omkring weekendtillæg(Kræver aftale med TR/FSL). Weekendtimerne udbetales.",I36="X",C36="ikke relevant")),K36,0)</f>
        <v>0</v>
      </c>
      <c r="FH36" s="675">
        <f>IF(AND(AND(AND(Stamoplysninger!$B$26="Der er indgået lokalaftale omkring weekendtillæg(Kræver aftale med TR/FSL). Weekendtimerne udbetales.",I36="X",C36="ikke relevant",S36="X"))),(V36),0)</f>
        <v>0</v>
      </c>
      <c r="FI36" s="283">
        <f>IF(AND(Stamoplysninger!$B$26="Weekendtimer og weekendtillæg afspadseres.",I36="X"),K36,0)</f>
        <v>0</v>
      </c>
      <c r="FJ36" s="251">
        <f>IF(AND(Stamoplysninger!$B$26="Weekendtimer og weekendtillæg afspadseres.",Y36="X"),(AA36+AL36)/2,0)</f>
        <v>0</v>
      </c>
      <c r="FK36" s="674">
        <f>IF(AND(AND(Stamoplysninger!$B$26="Weekendtimer og weekendtillæg afspadseres.",I36="X",C36="ikke relevant")),K36,0)</f>
        <v>0</v>
      </c>
      <c r="FL36" s="675">
        <f>IF(AND(AND(Stamoplysninger!$B$26="Weekendtimer og weekendtillæg afspadseres.",Y36="X",S36="ikke relevant")),(AA36+AL36)/2,0)</f>
        <v>0</v>
      </c>
      <c r="FM36" s="283">
        <f>IF(AND(Stamoplysninger!$B$26="Der er indgået lokalaftale omkring weekendtillæg(Kræver aftale med TR/FSL). Weekendtimerne afspadseres.",I36="X"),K36,0)</f>
        <v>0</v>
      </c>
      <c r="FN36" s="674">
        <f>IF(AND(AND(Stamoplysninger!$B$26="Der er indgået lokalaftale omkring weekendtillæg(Kræver aftale med TR/FSL). Weekendtimerne afspadseres.",I36="X",C36="ikke relevant")),K36,0)</f>
        <v>0</v>
      </c>
      <c r="FO36" s="283">
        <f>IF(AND(Stamoplysninger!$B$26="Weekendtimer og weekendtillæg udbetales.",I36="X"),K36,0)</f>
        <v>0</v>
      </c>
      <c r="FP36" s="251">
        <f>IF(AND(Stamoplysninger!$B$26="Weekendtimer og weekendtillæg udbetales.",AA36="X"),(AC36+AN36)/2,0)</f>
        <v>0</v>
      </c>
      <c r="FQ36" s="674">
        <f>IF(AND(AND(Stamoplysninger!$B$26="Weekendtimer og weekendtillæg udbetales.",I36="X",C36="ikke relevant")),K36,0)</f>
        <v>0</v>
      </c>
      <c r="FR36" s="688">
        <f>IF(AND(AND(Stamoplysninger!$B$26="Weekendtimer og weekendtillæg udbetales.",AA36="X",U36="ikke relevant")),(AC36+AN36)/2,0)</f>
        <v>0</v>
      </c>
      <c r="FS36" s="283">
        <f t="shared" si="15"/>
        <v>0</v>
      </c>
      <c r="FT36" s="658">
        <f t="shared" si="16"/>
        <v>0</v>
      </c>
      <c r="FU36">
        <f t="shared" si="31"/>
        <v>0</v>
      </c>
      <c r="FV36" s="283">
        <f>IF(AND(Stamoplysninger!$B$26="Der er indgået lokalaftale omkring weekendtimer.(Kræver aftale med TR/FSL) Weekendtillæg afspadseres.",I36="X"),K36,0)</f>
        <v>0</v>
      </c>
      <c r="FW36" s="674">
        <f>IF(AND(AND(Stamoplysninger!$B$26="Der er indgået lokalaftale omkring weekendtimer.(Kræver aftale med TR/FSL) Weekendtillæg afspadseres.",I36="X",C36="ikke relevant")),K36,0)</f>
        <v>0</v>
      </c>
      <c r="FX36" s="283">
        <f>IF(AND(Stamoplysninger!$B$26="Der er indgået lokalaftale omkring weekendtimer(Kræver aftale med TR/FSL). Weekendtillæg udbetales.",I36="X"),K36,0)</f>
        <v>0</v>
      </c>
      <c r="FY36" s="674">
        <f>IF(AND(AND(Stamoplysninger!$B$26="Der er indgået lokalaftale omkring weekendtimer(Kræver aftale med TR/FSL). Weekendtillæg udbetales.",I36="X",C36="ikke relevant")),K36,0)</f>
        <v>0</v>
      </c>
      <c r="FZ36" s="283">
        <f>IF(AND(Stamoplysninger!$B$26="Der er indgået lokalaftale omkring weekendtillæg(Kræver aftale med TR/FSL). Weekendtimerne udbetales.",I36="X"),K36,0)</f>
        <v>0</v>
      </c>
      <c r="GA36" s="674">
        <f>IF(AND(AND(Stamoplysninger!$B$26="Der er indgået lokalaftale omkring weekendtillæg(Kræver aftale med TR/FSL). Weekendtimerne udbetales.",I36="X",C36="ikke relevant")),K36,0)</f>
        <v>0</v>
      </c>
      <c r="GB36" s="283">
        <f>IF(AND(Stamoplysninger!$B$26="Der er indgået lokalaftale omkring weekendtimer og weekendtillæg.(Kræver aftale med TR/FSL).",I36="X"),K36,0)</f>
        <v>0</v>
      </c>
      <c r="GC36" s="674">
        <f>IF(AND(AND(Stamoplysninger!$B$26="Der er indgået lokalaftale omkring weekendtimer og weekendtillæg.(Kræver aftale med TR/FSL).",I36="X",C36="ikke relevant")),K36,0)</f>
        <v>0</v>
      </c>
    </row>
    <row r="37" spans="1:185">
      <c r="A37" s="245">
        <f>IF(ISNUMBER(A36),A36+1,1)</f>
        <v>29</v>
      </c>
      <c r="B37" s="128" t="str">
        <f t="shared" si="0"/>
        <v>ti</v>
      </c>
      <c r="C37" s="129" t="s">
        <v>210</v>
      </c>
      <c r="D37" s="130" t="str">
        <f t="shared" si="1"/>
        <v/>
      </c>
      <c r="E37" s="917" t="s">
        <v>113</v>
      </c>
      <c r="F37" s="918"/>
      <c r="G37" s="919"/>
      <c r="H37" s="298"/>
      <c r="I37" s="527"/>
      <c r="J37" s="413"/>
      <c r="K37" s="380"/>
      <c r="L37" s="380"/>
      <c r="M37" s="380"/>
      <c r="N37" s="318">
        <f t="shared" si="19"/>
        <v>0</v>
      </c>
      <c r="O37" s="318">
        <f t="shared" si="20"/>
        <v>0</v>
      </c>
      <c r="P37" s="318">
        <f>IF(Stamoplysninger!$H$29="JA",Juli!DG37,CX37)</f>
        <v>0</v>
      </c>
      <c r="Q37" s="318">
        <f t="shared" si="21"/>
        <v>0</v>
      </c>
      <c r="R37" s="319"/>
      <c r="S37" s="324"/>
      <c r="T37" s="325"/>
      <c r="U37" s="325"/>
      <c r="V37" s="435"/>
      <c r="W37" s="412"/>
      <c r="X37" s="642"/>
      <c r="Y37">
        <f t="shared" si="22"/>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9">
        <f t="shared" si="8"/>
        <v>0</v>
      </c>
      <c r="BC37" s="1">
        <f t="shared" si="24"/>
        <v>0</v>
      </c>
      <c r="BD37" s="1">
        <f t="shared" si="9"/>
        <v>0</v>
      </c>
      <c r="BE37" s="1">
        <f t="shared" si="10"/>
        <v>0</v>
      </c>
      <c r="BF37" s="1">
        <f t="shared" si="11"/>
        <v>0</v>
      </c>
      <c r="BG37" s="210" t="str">
        <f>IF(AND(C37="Skema 1",B37="ma"),Skemaoplysninger!$E$30,"")</f>
        <v/>
      </c>
      <c r="BH37" s="210" t="str">
        <f>IF(AND(C37="Skema 1",B37="ti"),Skemaoplysninger!$G$30,"")</f>
        <v/>
      </c>
      <c r="BI37" s="210" t="str">
        <f>IF(AND(C37="Skema 1",B37="on"),Skemaoplysninger!$I$30,"")</f>
        <v/>
      </c>
      <c r="BJ37" s="210" t="str">
        <f>IF(AND(C37="Skema 1",B37="to"),Skemaoplysninger!$K$30,"")</f>
        <v/>
      </c>
      <c r="BK37" s="210" t="str">
        <f>IF(AND(C37="Skema 1",B37="fr"),Skemaoplysninger!$M$30,"")</f>
        <v/>
      </c>
      <c r="BL37" s="210" t="str">
        <f>IF(AND(C37="Skema 2",B37="ma"),Skemaoplysninger!$S$30,"")</f>
        <v/>
      </c>
      <c r="BM37" s="210" t="str">
        <f>IF(AND(C37="Skema 2",B37="ti"),Skemaoplysninger!$U$30,"")</f>
        <v/>
      </c>
      <c r="BN37" s="210" t="str">
        <f>IF(AND(C37="Skema 2",B37="on"),Skemaoplysninger!$W$30,"")</f>
        <v/>
      </c>
      <c r="BO37" s="210" t="str">
        <f>IF(AND(C37="Skema 2",B37="to"),Skemaoplysninger!$Y$30,"")</f>
        <v/>
      </c>
      <c r="BP37" s="210" t="str">
        <f>IF(AND(C37="Skema 2",B37="fr"),Skemaoplysninger!$AA$30,"")</f>
        <v/>
      </c>
      <c r="BQ37" s="210" t="str">
        <f>IF(AND(C37="Skema 3",B37="ma"),Skemaoplysninger!$AG$30,"")</f>
        <v/>
      </c>
      <c r="BR37" s="210" t="str">
        <f>IF(AND(C37="Skema 3",B37="ti"),Skemaoplysninger!$AI$30,"")</f>
        <v/>
      </c>
      <c r="BS37" s="210" t="str">
        <f>IF(AND(C37="Skema 3",B37="on"),Skemaoplysninger!$AK$30,"")</f>
        <v/>
      </c>
      <c r="BT37" s="210" t="str">
        <f>IF(AND(C37="Skema 3",B37="to"),Skemaoplysninger!$AM$30,"")</f>
        <v/>
      </c>
      <c r="BU37" s="210" t="str">
        <f>IF(AND(C37="Skema 3",B37="fr"),Skemaoplysninger!$AO$30,"")</f>
        <v/>
      </c>
      <c r="BV37" s="210" t="str">
        <f>IF(AND(C37="Skema 4",B37="ma"),Skemaoplysninger!$AU$30,"")</f>
        <v/>
      </c>
      <c r="BW37" s="210" t="str">
        <f>IF(AND(C37="Skema 4",B37="ti"),Skemaoplysninger!$AW$30,"")</f>
        <v/>
      </c>
      <c r="BX37" s="210" t="str">
        <f>IF(AND(C37="Skema 4",B37="on"),Skemaoplysninger!$AY$30,"")</f>
        <v/>
      </c>
      <c r="BY37" s="210" t="str">
        <f>IF(AND(C37="Skema 4",B37="to"),Skemaoplysninger!$BA$30,"")</f>
        <v/>
      </c>
      <c r="BZ37" s="210" t="str">
        <f>IF(AND(C37="Skema 4",B37="fr"),Skemaoplysninger!$BC$30,"")</f>
        <v/>
      </c>
      <c r="CA37" s="1">
        <f t="shared" si="25"/>
        <v>0</v>
      </c>
      <c r="CB37" s="1">
        <f t="shared" si="12"/>
        <v>0</v>
      </c>
      <c r="CC37" s="1">
        <f t="shared" si="13"/>
        <v>0</v>
      </c>
      <c r="CD37" s="210" t="str">
        <f>IF(AND(C37="Skema 1",B37="ma"),Skemaoplysninger!$E$31,"")</f>
        <v/>
      </c>
      <c r="CE37" s="210" t="str">
        <f>IF(AND(C37="Skema 1",B37="ti"),Skemaoplysninger!$G$31,"")</f>
        <v/>
      </c>
      <c r="CF37" s="210" t="str">
        <f>IF(AND(C37="Skema 1",B37="on"),Skemaoplysninger!$I$31,"")</f>
        <v/>
      </c>
      <c r="CG37" s="210" t="str">
        <f>IF(AND(C37="Skema 1",B37="to"),Skemaoplysninger!$K$31,"")</f>
        <v/>
      </c>
      <c r="CH37" s="210" t="str">
        <f>IF(AND(C37="Skema 1",B37="fr"),Skemaoplysninger!$M$31,"")</f>
        <v/>
      </c>
      <c r="CI37" s="210" t="str">
        <f>IF(AND(C37="Skema 2",B37="ma"),Skemaoplysninger!$S$31,"")</f>
        <v/>
      </c>
      <c r="CJ37" s="210" t="str">
        <f>IF(AND(C37="Skema 2",B37="ti"),Skemaoplysninger!$U$31,"")</f>
        <v/>
      </c>
      <c r="CK37" s="210" t="str">
        <f>IF(AND(C37="Skema 2",B37="on"),Skemaoplysninger!$W$31,"")</f>
        <v/>
      </c>
      <c r="CL37" s="210" t="str">
        <f>IF(AND(C37="Skema 2",B37="to"),Skemaoplysninger!$Y$31,"")</f>
        <v/>
      </c>
      <c r="CM37" s="210" t="str">
        <f>IF(AND(C37="Skema 2",B37="fr"),Skemaoplysninger!$AA$31,"")</f>
        <v/>
      </c>
      <c r="CN37" s="210" t="str">
        <f>IF(AND(C37="Skema 3",B37="ma"),Skemaoplysninger!$AG$31,"")</f>
        <v/>
      </c>
      <c r="CO37" s="210" t="str">
        <f>IF(AND(C37="Skema 3",B37="ti"),Skemaoplysninger!$AI$31,"")</f>
        <v/>
      </c>
      <c r="CP37" s="210" t="str">
        <f>IF(AND(C37="Skema 3",B37="on"),Skemaoplysninger!$AK$31,"")</f>
        <v/>
      </c>
      <c r="CQ37" s="210" t="str">
        <f>IF(AND(C37="Skema 3",B37="to"),Skemaoplysninger!$AM$31,"")</f>
        <v/>
      </c>
      <c r="CR37" s="210" t="str">
        <f>IF(AND(C37="Skema 3",B37="fr"),Skemaoplysninger!$AO$31,"")</f>
        <v/>
      </c>
      <c r="CS37" s="210" t="str">
        <f>IF(AND(C37="Skema 4",B37="ma"),Skemaoplysninger!$AU$31,"")</f>
        <v/>
      </c>
      <c r="CT37" s="210" t="str">
        <f>IF(AND(C37="Skema 4",B37="ti"),Skemaoplysninger!$AW$31,"")</f>
        <v/>
      </c>
      <c r="CU37" s="210" t="str">
        <f>IF(AND(C37="Skema 4",B37="on"),Skemaoplysninger!$AY$31,"")</f>
        <v/>
      </c>
      <c r="CV37" s="210" t="str">
        <f>IF(AND(C37="Skema 4",B37="to"),Skemaoplysninger!$BA$31,"")</f>
        <v/>
      </c>
      <c r="CW37" s="210" t="str">
        <f>IF(AND(C37="Skema 4",B37="fr"),Skemaoplysninger!$BC$31,"")</f>
        <v/>
      </c>
      <c r="CX37" s="249">
        <f>IF(Stamoplysninger!$H$29="NEJ",SUM(CD37:CW37)*24+CB37+CC37,0)</f>
        <v>0</v>
      </c>
      <c r="CY37" s="249">
        <f>IF(C37="Skema 1",Stamoplysninger!$H$30/200,0)</f>
        <v>0</v>
      </c>
      <c r="CZ37" s="249">
        <f>IF(C37="Skema 2",Stamoplysninger!$H$30/200,0)</f>
        <v>0</v>
      </c>
      <c r="DA37" s="249">
        <f>IF(C37="Skema 3",Stamoplysninger!$H$30/200,0)</f>
        <v>0</v>
      </c>
      <c r="DB37" s="249">
        <f>IF(C37="Skema 4",Stamoplysninger!$H$30/200,0)</f>
        <v>0</v>
      </c>
      <c r="DC37" s="249">
        <f>IF(C37="fagdag",Stamoplysninger!$H$30/200,0)</f>
        <v>0</v>
      </c>
      <c r="DD37" s="249">
        <f>IF(C37="emnedag",Stamoplysninger!$H$30/200,0)</f>
        <v>0</v>
      </c>
      <c r="DE37" s="249">
        <f>IF(C37="lejrskole",Stamoplysninger!$H$30/200,0)</f>
        <v>0</v>
      </c>
      <c r="DF37" s="249">
        <f>IF(C37="ekskursion",Stamoplysninger!$H$30/200,0)</f>
        <v>0</v>
      </c>
      <c r="DG37" s="249">
        <f t="shared" si="26"/>
        <v>0</v>
      </c>
      <c r="DH37" t="str">
        <f t="shared" si="27"/>
        <v/>
      </c>
      <c r="DI37" t="str">
        <f t="shared" si="28"/>
        <v>Sommerferie</v>
      </c>
      <c r="DJ37" t="str">
        <f t="shared" si="29"/>
        <v/>
      </c>
      <c r="DK37" t="str">
        <f t="shared" si="14"/>
        <v/>
      </c>
      <c r="DL37" t="str">
        <f t="shared" si="14"/>
        <v>Sommerferie</v>
      </c>
      <c r="DM37" t="str">
        <f t="shared" si="14"/>
        <v/>
      </c>
      <c r="DN37" t="str">
        <f t="shared" si="30"/>
        <v>Sommerferie</v>
      </c>
      <c r="DO37" s="652">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71">
        <f>IF(AND(Stamoplysninger!$B$22="Ulempetillæg udbetales med 25% af nettotimelønnen.",C37="ikke relevant"),(R37)/4,0)</f>
        <v>0</v>
      </c>
      <c r="DT37" s="671">
        <f>IF(AND(AND(Stamoplysninger!$B$22="Ulempetillæg udbetales med 25% af nettotimelønnen.",I37="X",C37="Ikke relevant")),K37/4,0)</f>
        <v>0</v>
      </c>
      <c r="DU37" s="671">
        <f>IF(AND(AND(Stamoplysninger!$B$22="Ulempetillæg udbetales med 25% af nettotimelønnen.",C37="ikke relevant",U37="X")),(X37/4),0)</f>
        <v>0</v>
      </c>
      <c r="DV37" s="672">
        <f>IF(AND(AND(AND(Stamoplysninger!$B$22="Ulempetillæg udbetales med 25% af nettotimelønnen.",I37="X",C37="Ikke relevant",U37="X"))),X37/4,0)</f>
        <v>0</v>
      </c>
      <c r="DW37" s="652"/>
      <c r="DZ37" s="671"/>
      <c r="EA37" s="671"/>
      <c r="EB37" s="672"/>
      <c r="EC37" s="652">
        <f>IF(Stamoplysninger!$B$22="Ulempetillæg afspadseres med 25%(Kræver en aftale imellem ledelsen og den ansatte)",(R37+X37)/4,0)</f>
        <v>0</v>
      </c>
      <c r="ED37">
        <f>IF(AND(Stamoplysninger!$B$22="Ulempetillæg afspadseres med 25%(Kræver en aftale imellem ledelsen og den ansatte)",I37="X"),K37/4,0)</f>
        <v>0</v>
      </c>
      <c r="EE37">
        <f>IF(AND(Stamoplysninger!$B$22="Ulempetillæg afspadseres med 25%(Kræver en aftale imellem ledelsen og den ansatte)",I37="X"),V37/4,0)</f>
        <v>0</v>
      </c>
      <c r="EF37">
        <f>IF(AND(AND(Stamoplysninger!$B$22="Ulempetillæg udbetales med 25% af nettotimelønnen.",AG37="X",W37="X")),AJ37/4,0)</f>
        <v>0</v>
      </c>
      <c r="EG37" s="671">
        <f>IF(AND(Stamoplysninger!$B$22="Ulempetillæg afspadseres med 25%(Kræver en aftale imellem ledelsen og den ansatte)",C37="ikke relevant"),(R37+X37)/4,0)</f>
        <v>0</v>
      </c>
      <c r="EH37" s="671">
        <f>IF(AND(AND(Stamoplysninger!$B$22="Ulempetillæg afspadseres med 25%(Kræver en aftale imellem ledelsen og den ansatte)",I37="X",C37="Ikke relevant")),K37/4,0)</f>
        <v>0</v>
      </c>
      <c r="EI37" s="671">
        <f>IF(AND(AND(Stamoplysninger!$B$22="Ulempetillæg afspadseres med 25%(Kræver en aftale imellem ledelsen og den ansatte)",I37="X",C37="Ikke relevant")),V37/4,0)</f>
        <v>0</v>
      </c>
      <c r="EJ37" s="671">
        <f>IF(AND(AND(Stamoplysninger!$B$22="Ulempetillæg afspadseres med 25%(Kræver en aftale imellem ledelsen og den ansatte)",J37="X",D37="Ikke relevant")),W37/4,0)</f>
        <v>0</v>
      </c>
      <c r="EK37" s="283">
        <f>IF(AND(Stamoplysninger!$B$26="Weekendtimer og weekendtillæg afspadseres.",I37="X"),K37+V37,0)</f>
        <v>0</v>
      </c>
      <c r="EL37" s="251">
        <f>IF(AND(Stamoplysninger!$B$26="Weekendtimer og weekendtillæg afspadseres.",J37="X"),(L37+W37)/2,0)</f>
        <v>0</v>
      </c>
      <c r="EM37" s="674">
        <f>IF(AND(AND(Stamoplysninger!$B$26="Weekendtimer og weekendtillæg afspadseres.",I37="X",C37="ikke relevant")),K37+V37,0)</f>
        <v>0</v>
      </c>
      <c r="EN37" s="675">
        <f>IF(AND(AND(Stamoplysninger!$B$26="Weekendtimer og weekendtillæg afspadseres.",I37="X",C37="ikke relevant")),(K37+V37)/2,0)</f>
        <v>0</v>
      </c>
      <c r="EO37" s="283">
        <f>IF(AND(Stamoplysninger!$B$26="Weekendtimer og weekendtillæg udbetales.",I37="X"),K37+V37,0)</f>
        <v>0</v>
      </c>
      <c r="EP37" s="251">
        <f>IF(AND(Stamoplysninger!$B$26="Weekendtimer og weekendtillæg udbetales.",I37="X"),(K37+V37)/2,0)</f>
        <v>0</v>
      </c>
      <c r="EQ37" s="674">
        <f>IF(AND(AND(Stamoplysninger!$B$26="Weekendtimer og weekendtillæg udbetales.",I37="X",C37="ikke relevant")),K37+V37,0)</f>
        <v>0</v>
      </c>
      <c r="ER37" s="675">
        <f>IF(AND(AND(Stamoplysninger!$B$26="Weekendtimer og weekendtillæg udbetales.",I37="X",C37="ikke relevant")),(K37+V37)/2,0)</f>
        <v>0</v>
      </c>
      <c r="ES37" s="283">
        <f>IF(AND(Stamoplysninger!$B$26="Weekendtimer og weekendtillæg udbetales.",M37="X"),O37+Z37,0)</f>
        <v>0</v>
      </c>
      <c r="ET37" s="251">
        <f>IF(AND(Stamoplysninger!$B$26="Weekendtimer og weekendtillæg udbetales.",M37="X"),(O37+Z37)/2,0)</f>
        <v>0</v>
      </c>
      <c r="EU37" s="674">
        <f>IF(AND(AND(Stamoplysninger!$B$26="Weekendtimer og weekendtillæg udbetales.",M37="X",G37="ikke relevant")),O37+Z37,0)</f>
        <v>0</v>
      </c>
      <c r="EV37" s="675">
        <f>IF(AND(AND(Stamoplysninger!$B$26="Weekendtimer og weekendtillæg udbetales.",M37="X",G37="ikke relevant")),(O37+Z37)/2,0)</f>
        <v>0</v>
      </c>
      <c r="EW37" s="283">
        <f>IF(AND(Stamoplysninger!$B$26="Der er indgået lokalaftale omkring weekendtimer(Kræver aftale med TR/FSL). Weekendtillæg udbetales.",I37="X"),K37*0.5,0)</f>
        <v>0</v>
      </c>
      <c r="EX37" s="251">
        <f>IF(AND(AND(Stamoplysninger!$B$26="Der er indgået lokalaftale omkring weekendtimer(Kræver aftale med TR/FSL). Weekendtillæg udbetales.",I37="X",S37="X")),V37*0.5,0)</f>
        <v>0</v>
      </c>
      <c r="EY37" s="674">
        <f>IF(AND(AND(Stamoplysninger!$B$26="Der er indgået lokalaftale omkring weekendtimer(Kræver aftale med TR/FSL). Weekendtillæg udbetales.",I37="X",C37="ikke relevant")),K37*0.5,0)</f>
        <v>0</v>
      </c>
      <c r="EZ37" s="675">
        <f>IF(AND(AND(AND(Stamoplysninger!$B$26="Der er indgået lokalaftale omkring weekendtimer(Kræver aftale med TR/FSL). Weekendtillæg udbetales.",I37="X",C37="ikke relevant",S37="X"))),(V37*0.5),0)</f>
        <v>0</v>
      </c>
      <c r="FA37" s="283">
        <f>IF(AND(Stamoplysninger!$B$26="Der er indgået lokalaftale omkring weekendtimer(Kræver aftale med TR/FSL). Weekendtillæg udbetales.",M37="X"),O37*0.5,0)</f>
        <v>0</v>
      </c>
      <c r="FB37" s="251">
        <f>IF(AND(AND(Stamoplysninger!$B$26="Der er indgået lokalaftale omkring weekendtimer(Kræver aftale med TR/FSL). Weekendtillæg udbetales.",M37="X",W37="X")),Z37*0.5,0)</f>
        <v>0</v>
      </c>
      <c r="FC37" s="674">
        <f>IF(AND(AND(Stamoplysninger!$B$26="Der er indgået lokalaftale omkring weekendtimer(Kræver aftale med TR/FSL). Weekendtillæg udbetales.",M37="X",G37="ikke relevant")),O37*0.5,0)</f>
        <v>0</v>
      </c>
      <c r="FD37" s="675">
        <f>IF(AND(AND(AND(Stamoplysninger!$B$26="Der er indgået lokalaftale omkring weekendtimer(Kræver aftale med TR/FSL). Weekendtillæg udbetales.",M37="X",G37="ikke relevant",W37="X"))),(Z37*0.5),0)</f>
        <v>0</v>
      </c>
      <c r="FE37" s="283">
        <f>IF(AND(Stamoplysninger!$B$26="Der er indgået lokalaftale omkring weekendtimer(Kræver aftale med TR/FSL). Weekendtillæg udbetales.",Q37="X"),S37*0.5,0)</f>
        <v>0</v>
      </c>
      <c r="FF37" s="251">
        <f>IF(AND(AND(Stamoplysninger!$B$26="Der er indgået lokalaftale omkring weekendtimer(Kræver aftale med TR/FSL). Weekendtillæg udbetales.",Q37="X",AA37="X")),AD37*0.5,0)</f>
        <v>0</v>
      </c>
      <c r="FG37" s="674">
        <f>IF(AND(AND(Stamoplysninger!$B$26="Der er indgået lokalaftale omkring weekendtimer(Kræver aftale med TR/FSL). Weekendtillæg udbetales.",Q37="X",K37="ikke relevant")),S37*0.5,0)</f>
        <v>0</v>
      </c>
      <c r="FH37" s="675">
        <f>IF(AND(AND(AND(Stamoplysninger!$B$26="Der er indgået lokalaftale omkring weekendtimer(Kræver aftale med TR/FSL). Weekendtillæg udbetales.",Q37="X",K37="ikke relevant",AA37="X"))),(AD37*0.5),0)</f>
        <v>0</v>
      </c>
      <c r="FI37" s="283">
        <f>IF(AND(Stamoplysninger!$B$26="Weekendtimer og weekendtillæg afspadseres.",I37="X"),K37,0)</f>
        <v>0</v>
      </c>
      <c r="FJ37" s="251">
        <f>IF(AND(Stamoplysninger!$B$26="Weekendtimer og weekendtillæg afspadseres.",Y37="X"),(AA37+AL37)/2,0)</f>
        <v>0</v>
      </c>
      <c r="FK37" s="674">
        <f>IF(AND(AND(Stamoplysninger!$B$26="Weekendtimer og weekendtillæg afspadseres.",I37="X",C37="ikke relevant")),K37,0)</f>
        <v>0</v>
      </c>
      <c r="FL37" s="675">
        <f>IF(AND(AND(Stamoplysninger!$B$26="Weekendtimer og weekendtillæg afspadseres.",Y37="X",S37="ikke relevant")),(AA37+AL37)/2,0)</f>
        <v>0</v>
      </c>
      <c r="FM37" s="283">
        <f>IF(AND(Stamoplysninger!$B$26="Der er indgået lokalaftale omkring weekendtillæg(Kræver aftale med TR/FSL). Weekendtimerne afspadseres.",I37="X"),K37,0)</f>
        <v>0</v>
      </c>
      <c r="FN37" s="674">
        <f>IF(AND(AND(Stamoplysninger!$B$26="Der er indgået lokalaftale omkring weekendtillæg(Kræver aftale med TR/FSL). Weekendtimerne afspadseres.",I37="X",C37="ikke relevant")),K37,0)</f>
        <v>0</v>
      </c>
      <c r="FO37" s="283">
        <f>IF(AND(Stamoplysninger!$B$26="Weekendtimer og weekendtillæg udbetales.",I37="X"),K37,0)</f>
        <v>0</v>
      </c>
      <c r="FP37" s="251">
        <f>IF(AND(Stamoplysninger!$B$26="Weekendtimer og weekendtillæg udbetales.",AA37="X"),(AC37+AN37)/2,0)</f>
        <v>0</v>
      </c>
      <c r="FQ37" s="674">
        <f>IF(AND(AND(Stamoplysninger!$B$26="Weekendtimer og weekendtillæg udbetales.",I37="X",C37="ikke relevant")),K37,0)</f>
        <v>0</v>
      </c>
      <c r="FR37" s="688">
        <f>IF(AND(AND(Stamoplysninger!$B$26="Weekendtimer og weekendtillæg udbetales.",AA37="X",U37="ikke relevant")),(AC37+AN37)/2,0)</f>
        <v>0</v>
      </c>
      <c r="FS37" s="283">
        <f t="shared" si="15"/>
        <v>0</v>
      </c>
      <c r="FT37" s="658">
        <f t="shared" si="16"/>
        <v>0</v>
      </c>
      <c r="FU37">
        <f t="shared" si="31"/>
        <v>0</v>
      </c>
      <c r="FV37" s="283">
        <f>IF(AND(Stamoplysninger!$B$26="Der er indgået lokalaftale omkring weekendtimer.(Kræver aftale med TR/FSL) Weekendtillæg afspadseres.",I37="X"),K37,0)</f>
        <v>0</v>
      </c>
      <c r="FW37" s="674">
        <f>IF(AND(AND(Stamoplysninger!$B$26="Der er indgået lokalaftale omkring weekendtimer.(Kræver aftale med TR/FSL) Weekendtillæg afspadseres.",I37="X",C37="ikke relevant")),K37,0)</f>
        <v>0</v>
      </c>
      <c r="FX37" s="283">
        <f>IF(AND(Stamoplysninger!$B$26="Der er indgået lokalaftale omkring weekendtimer(Kræver aftale med TR/FSL). Weekendtillæg udbetales.",I37="X"),K37,0)</f>
        <v>0</v>
      </c>
      <c r="FY37" s="674">
        <f>IF(AND(AND(Stamoplysninger!$B$26="Der er indgået lokalaftale omkring weekendtimer(Kræver aftale med TR/FSL). Weekendtillæg udbetales.",I37="X",C37="ikke relevant")),K37,0)</f>
        <v>0</v>
      </c>
      <c r="FZ37" s="283">
        <f>IF(AND(Stamoplysninger!$B$26="Der er indgået lokalaftale omkring weekendtillæg(Kræver aftale med TR/FSL). Weekendtimerne udbetales.",I37="X"),K37,0)</f>
        <v>0</v>
      </c>
      <c r="GA37" s="674">
        <f>IF(AND(AND(Stamoplysninger!$B$26="Der er indgået lokalaftale omkring weekendtillæg(Kræver aftale med TR/FSL). Weekendtimerne udbetales.",I37="X",C37="ikke relevant")),K37,0)</f>
        <v>0</v>
      </c>
      <c r="GB37" s="283">
        <f>IF(AND(Stamoplysninger!$B$26="Der er indgået lokalaftale omkring weekendtimer og weekendtillæg.(Kræver aftale med TR/FSL).",I37="X"),K37,0)</f>
        <v>0</v>
      </c>
      <c r="GC37" s="674">
        <f>IF(AND(AND(Stamoplysninger!$B$26="Der er indgået lokalaftale omkring weekendtimer og weekendtillæg.(Kræver aftale med TR/FSL).",I37="X",C37="ikke relevant")),K37,0)</f>
        <v>0</v>
      </c>
    </row>
    <row r="38" spans="1:185">
      <c r="A38" s="245">
        <f t="shared" si="18"/>
        <v>30</v>
      </c>
      <c r="B38" s="128" t="str">
        <f t="shared" si="0"/>
        <v>on</v>
      </c>
      <c r="C38" s="129" t="s">
        <v>210</v>
      </c>
      <c r="D38" s="130" t="str">
        <f t="shared" si="1"/>
        <v/>
      </c>
      <c r="E38" s="917" t="s">
        <v>113</v>
      </c>
      <c r="F38" s="918"/>
      <c r="G38" s="919"/>
      <c r="H38" s="298"/>
      <c r="I38" s="527"/>
      <c r="J38" s="413"/>
      <c r="K38" s="380"/>
      <c r="L38" s="380"/>
      <c r="M38" s="380"/>
      <c r="N38" s="318">
        <f t="shared" si="19"/>
        <v>0</v>
      </c>
      <c r="O38" s="318">
        <f t="shared" si="20"/>
        <v>0</v>
      </c>
      <c r="P38" s="318">
        <f>IF(Stamoplysninger!$H$29="JA",Juli!DG38,CX38)</f>
        <v>0</v>
      </c>
      <c r="Q38" s="318">
        <f t="shared" si="21"/>
        <v>0</v>
      </c>
      <c r="R38" s="319"/>
      <c r="S38" s="324"/>
      <c r="T38" s="325"/>
      <c r="U38" s="441"/>
      <c r="V38" s="435"/>
      <c r="W38" s="412"/>
      <c r="X38" s="642"/>
      <c r="Y38">
        <f t="shared" si="22"/>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9">
        <f t="shared" si="8"/>
        <v>0</v>
      </c>
      <c r="BC38" s="1">
        <f t="shared" si="24"/>
        <v>0</v>
      </c>
      <c r="BD38" s="1">
        <f t="shared" si="9"/>
        <v>0</v>
      </c>
      <c r="BE38" s="1">
        <f t="shared" si="10"/>
        <v>0</v>
      </c>
      <c r="BF38" s="1">
        <f t="shared" si="11"/>
        <v>0</v>
      </c>
      <c r="BG38" s="210" t="str">
        <f>IF(AND(C38="Skema 1",B38="ma"),Skemaoplysninger!$E$30,"")</f>
        <v/>
      </c>
      <c r="BH38" s="210" t="str">
        <f>IF(AND(C38="Skema 1",B38="ti"),Skemaoplysninger!$G$30,"")</f>
        <v/>
      </c>
      <c r="BI38" s="210" t="str">
        <f>IF(AND(C38="Skema 1",B38="on"),Skemaoplysninger!$I$30,"")</f>
        <v/>
      </c>
      <c r="BJ38" s="210" t="str">
        <f>IF(AND(C38="Skema 1",B38="to"),Skemaoplysninger!$K$30,"")</f>
        <v/>
      </c>
      <c r="BK38" s="210" t="str">
        <f>IF(AND(C38="Skema 1",B38="fr"),Skemaoplysninger!$M$30,"")</f>
        <v/>
      </c>
      <c r="BL38" s="210" t="str">
        <f>IF(AND(C38="Skema 2",B38="ma"),Skemaoplysninger!$S$30,"")</f>
        <v/>
      </c>
      <c r="BM38" s="210" t="str">
        <f>IF(AND(C38="Skema 2",B38="ti"),Skemaoplysninger!$U$30,"")</f>
        <v/>
      </c>
      <c r="BN38" s="210" t="str">
        <f>IF(AND(C38="Skema 2",B38="on"),Skemaoplysninger!$W$30,"")</f>
        <v/>
      </c>
      <c r="BO38" s="210" t="str">
        <f>IF(AND(C38="Skema 2",B38="to"),Skemaoplysninger!$Y$30,"")</f>
        <v/>
      </c>
      <c r="BP38" s="210" t="str">
        <f>IF(AND(C38="Skema 2",B38="fr"),Skemaoplysninger!$AA$30,"")</f>
        <v/>
      </c>
      <c r="BQ38" s="210" t="str">
        <f>IF(AND(C38="Skema 3",B38="ma"),Skemaoplysninger!$AG$30,"")</f>
        <v/>
      </c>
      <c r="BR38" s="210" t="str">
        <f>IF(AND(C38="Skema 3",B38="ti"),Skemaoplysninger!$AI$30,"")</f>
        <v/>
      </c>
      <c r="BS38" s="210" t="str">
        <f>IF(AND(C38="Skema 3",B38="on"),Skemaoplysninger!$AK$30,"")</f>
        <v/>
      </c>
      <c r="BT38" s="210" t="str">
        <f>IF(AND(C38="Skema 3",B38="to"),Skemaoplysninger!$AM$30,"")</f>
        <v/>
      </c>
      <c r="BU38" s="210" t="str">
        <f>IF(AND(C38="Skema 3",B38="fr"),Skemaoplysninger!$AO$30,"")</f>
        <v/>
      </c>
      <c r="BV38" s="210" t="str">
        <f>IF(AND(C38="Skema 4",B38="ma"),Skemaoplysninger!$AU$30,"")</f>
        <v/>
      </c>
      <c r="BW38" s="210" t="str">
        <f>IF(AND(C38="Skema 4",B38="ti"),Skemaoplysninger!$AW$30,"")</f>
        <v/>
      </c>
      <c r="BX38" s="210" t="str">
        <f>IF(AND(C38="Skema 4",B38="on"),Skemaoplysninger!$AY$30,"")</f>
        <v/>
      </c>
      <c r="BY38" s="210" t="str">
        <f>IF(AND(C38="Skema 4",B38="to"),Skemaoplysninger!$BA$30,"")</f>
        <v/>
      </c>
      <c r="BZ38" s="210" t="str">
        <f>IF(AND(C38="Skema 4",B38="fr"),Skemaoplysninger!$BC$30,"")</f>
        <v/>
      </c>
      <c r="CA38" s="1">
        <f t="shared" si="25"/>
        <v>0</v>
      </c>
      <c r="CB38" s="1">
        <f t="shared" si="12"/>
        <v>0</v>
      </c>
      <c r="CC38" s="1">
        <f t="shared" si="13"/>
        <v>0</v>
      </c>
      <c r="CD38" s="210" t="str">
        <f>IF(AND(C38="Skema 1",B38="ma"),Skemaoplysninger!$E$31,"")</f>
        <v/>
      </c>
      <c r="CE38" s="210" t="str">
        <f>IF(AND(C38="Skema 1",B38="ti"),Skemaoplysninger!$G$31,"")</f>
        <v/>
      </c>
      <c r="CF38" s="210" t="str">
        <f>IF(AND(C38="Skema 1",B38="on"),Skemaoplysninger!$I$31,"")</f>
        <v/>
      </c>
      <c r="CG38" s="210" t="str">
        <f>IF(AND(C38="Skema 1",B38="to"),Skemaoplysninger!$K$31,"")</f>
        <v/>
      </c>
      <c r="CH38" s="210" t="str">
        <f>IF(AND(C38="Skema 1",B38="fr"),Skemaoplysninger!$M$31,"")</f>
        <v/>
      </c>
      <c r="CI38" s="210" t="str">
        <f>IF(AND(C38="Skema 2",B38="ma"),Skemaoplysninger!$S$31,"")</f>
        <v/>
      </c>
      <c r="CJ38" s="210" t="str">
        <f>IF(AND(C38="Skema 2",B38="ti"),Skemaoplysninger!$U$31,"")</f>
        <v/>
      </c>
      <c r="CK38" s="210" t="str">
        <f>IF(AND(C38="Skema 2",B38="on"),Skemaoplysninger!$W$31,"")</f>
        <v/>
      </c>
      <c r="CL38" s="210" t="str">
        <f>IF(AND(C38="Skema 2",B38="to"),Skemaoplysninger!$Y$31,"")</f>
        <v/>
      </c>
      <c r="CM38" s="210" t="str">
        <f>IF(AND(C38="Skema 2",B38="fr"),Skemaoplysninger!$AA$31,"")</f>
        <v/>
      </c>
      <c r="CN38" s="210" t="str">
        <f>IF(AND(C38="Skema 3",B38="ma"),Skemaoplysninger!$AG$31,"")</f>
        <v/>
      </c>
      <c r="CO38" s="210" t="str">
        <f>IF(AND(C38="Skema 3",B38="ti"),Skemaoplysninger!$AI$31,"")</f>
        <v/>
      </c>
      <c r="CP38" s="210" t="str">
        <f>IF(AND(C38="Skema 3",B38="on"),Skemaoplysninger!$AK$31,"")</f>
        <v/>
      </c>
      <c r="CQ38" s="210" t="str">
        <f>IF(AND(C38="Skema 3",B38="to"),Skemaoplysninger!$AM$31,"")</f>
        <v/>
      </c>
      <c r="CR38" s="210" t="str">
        <f>IF(AND(C38="Skema 3",B38="fr"),Skemaoplysninger!$AO$31,"")</f>
        <v/>
      </c>
      <c r="CS38" s="210" t="str">
        <f>IF(AND(C38="Skema 4",B38="ma"),Skemaoplysninger!$AU$31,"")</f>
        <v/>
      </c>
      <c r="CT38" s="210" t="str">
        <f>IF(AND(C38="Skema 4",B38="ti"),Skemaoplysninger!$AW$31,"")</f>
        <v/>
      </c>
      <c r="CU38" s="210" t="str">
        <f>IF(AND(C38="Skema 4",B38="on"),Skemaoplysninger!$AY$31,"")</f>
        <v/>
      </c>
      <c r="CV38" s="210" t="str">
        <f>IF(AND(C38="Skema 4",B38="to"),Skemaoplysninger!$BA$31,"")</f>
        <v/>
      </c>
      <c r="CW38" s="210" t="str">
        <f>IF(AND(C38="Skema 4",B38="fr"),Skemaoplysninger!$BC$31,"")</f>
        <v/>
      </c>
      <c r="CX38" s="249">
        <f>IF(Stamoplysninger!$H$29="NEJ",SUM(CD38:CW38)*24+CB38+CC38,0)</f>
        <v>0</v>
      </c>
      <c r="CY38" s="249">
        <f>IF(C38="Skema 1",Stamoplysninger!$H$30/200,0)</f>
        <v>0</v>
      </c>
      <c r="CZ38" s="249">
        <f>IF(C38="Skema 2",Stamoplysninger!$H$30/200,0)</f>
        <v>0</v>
      </c>
      <c r="DA38" s="249">
        <f>IF(C38="Skema 3",Stamoplysninger!$H$30/200,0)</f>
        <v>0</v>
      </c>
      <c r="DB38" s="249">
        <f>IF(C38="Skema 4",Stamoplysninger!$H$30/200,0)</f>
        <v>0</v>
      </c>
      <c r="DC38" s="249">
        <f>IF(C38="fagdag",Stamoplysninger!$H$30/200,0)</f>
        <v>0</v>
      </c>
      <c r="DD38" s="249">
        <f>IF(C38="emnedag",Stamoplysninger!$H$30/200,0)</f>
        <v>0</v>
      </c>
      <c r="DE38" s="249">
        <f>IF(C38="lejrskole",Stamoplysninger!$H$30/200,0)</f>
        <v>0</v>
      </c>
      <c r="DF38" s="249">
        <f>IF(C38="ekskursion",Stamoplysninger!$H$30/200,0)</f>
        <v>0</v>
      </c>
      <c r="DG38" s="249">
        <f t="shared" si="26"/>
        <v>0</v>
      </c>
      <c r="DH38" t="str">
        <f t="shared" si="27"/>
        <v/>
      </c>
      <c r="DI38" t="str">
        <f t="shared" si="28"/>
        <v>Sommerferie</v>
      </c>
      <c r="DJ38" t="str">
        <f t="shared" si="29"/>
        <v/>
      </c>
      <c r="DK38" t="str">
        <f t="shared" si="14"/>
        <v/>
      </c>
      <c r="DL38" t="str">
        <f t="shared" si="14"/>
        <v>Sommerferie</v>
      </c>
      <c r="DM38" t="str">
        <f t="shared" si="14"/>
        <v/>
      </c>
      <c r="DN38" t="str">
        <f t="shared" si="30"/>
        <v>Sommerferie</v>
      </c>
      <c r="DO38" s="652">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71">
        <f>IF(AND(Stamoplysninger!$B$22="Ulempetillæg udbetales med 25% af nettotimelønnen.",C38="ikke relevant"),(R38)/4,0)</f>
        <v>0</v>
      </c>
      <c r="DT38" s="671">
        <f>IF(AND(AND(Stamoplysninger!$B$22="Ulempetillæg udbetales med 25% af nettotimelønnen.",I38="X",C38="Ikke relevant")),K38/4,0)</f>
        <v>0</v>
      </c>
      <c r="DU38" s="671">
        <f>IF(AND(AND(Stamoplysninger!$B$22="Ulempetillæg udbetales med 25% af nettotimelønnen.",C38="ikke relevant",U38="X")),(X38/4),0)</f>
        <v>0</v>
      </c>
      <c r="DV38" s="672">
        <f>IF(AND(AND(AND(Stamoplysninger!$B$22="Ulempetillæg udbetales med 25% af nettotimelønnen.",I38="X",C38="Ikke relevant",U38="X"))),X38/4,0)</f>
        <v>0</v>
      </c>
      <c r="DW38" s="652"/>
      <c r="DZ38" s="671"/>
      <c r="EA38" s="671"/>
      <c r="EB38" s="672"/>
      <c r="EC38" s="652">
        <f>IF(Stamoplysninger!$B$22="Ulempetillæg afspadseres med 25%(Kræver en aftale imellem ledelsen og den ansatte)",(R38+X38)/4,0)</f>
        <v>0</v>
      </c>
      <c r="ED38">
        <f>IF(AND(Stamoplysninger!$B$22="Ulempetillæg afspadseres med 25%(Kræver en aftale imellem ledelsen og den ansatte)",I38="X"),K38/4,0)</f>
        <v>0</v>
      </c>
      <c r="EE38">
        <f>IF(AND(Stamoplysninger!$B$22="Ulempetillæg afspadseres med 25%(Kræver en aftale imellem ledelsen og den ansatte)",I38="X"),V38/4,0)</f>
        <v>0</v>
      </c>
      <c r="EF38">
        <f>IF(AND(AND(Stamoplysninger!$B$22="Ulempetillæg udbetales med 25% af nettotimelønnen.",AG38="X",W38="X")),AJ38/4,0)</f>
        <v>0</v>
      </c>
      <c r="EG38" s="671">
        <f>IF(AND(Stamoplysninger!$B$22="Ulempetillæg afspadseres med 25%(Kræver en aftale imellem ledelsen og den ansatte)",C38="ikke relevant"),(R38+X38)/4,0)</f>
        <v>0</v>
      </c>
      <c r="EH38" s="671">
        <f>IF(AND(AND(Stamoplysninger!$B$22="Ulempetillæg afspadseres med 25%(Kræver en aftale imellem ledelsen og den ansatte)",I38="X",C38="Ikke relevant")),K38/4,0)</f>
        <v>0</v>
      </c>
      <c r="EI38" s="671">
        <f>IF(AND(AND(Stamoplysninger!$B$22="Ulempetillæg afspadseres med 25%(Kræver en aftale imellem ledelsen og den ansatte)",I38="X",C38="Ikke relevant")),V38/4,0)</f>
        <v>0</v>
      </c>
      <c r="EJ38" s="671">
        <f>IF(AND(AND(Stamoplysninger!$B$22="Ulempetillæg afspadseres med 25%(Kræver en aftale imellem ledelsen og den ansatte)",J38="X",D38="Ikke relevant")),W38/4,0)</f>
        <v>0</v>
      </c>
      <c r="EK38" s="283">
        <f>IF(AND(Stamoplysninger!$B$26="Weekendtimer og weekendtillæg afspadseres.",I38="X"),K38+V38,0)</f>
        <v>0</v>
      </c>
      <c r="EL38" s="251">
        <f>IF(AND(Stamoplysninger!$B$26="Weekendtimer og weekendtillæg afspadseres.",J38="X"),(L38+W38)/2,0)</f>
        <v>0</v>
      </c>
      <c r="EM38" s="674">
        <f>IF(AND(AND(Stamoplysninger!$B$26="Weekendtimer og weekendtillæg afspadseres.",I38="X",C38="ikke relevant")),K38+V38,0)</f>
        <v>0</v>
      </c>
      <c r="EN38" s="675">
        <f>IF(AND(AND(Stamoplysninger!$B$26="Weekendtimer og weekendtillæg afspadseres.",I38="X",C38="ikke relevant")),(K38+V38)/2,0)</f>
        <v>0</v>
      </c>
      <c r="EO38" s="283">
        <f>IF(AND(Stamoplysninger!$B$26="Weekendtimer og weekendtillæg udbetales.",I38="X"),K38+V38,0)</f>
        <v>0</v>
      </c>
      <c r="EP38" s="251">
        <f>IF(AND(Stamoplysninger!$B$26="Weekendtimer og weekendtillæg udbetales.",I38="X"),(K38+V38)/2,0)</f>
        <v>0</v>
      </c>
      <c r="EQ38" s="674">
        <f>IF(AND(AND(Stamoplysninger!$B$26="Weekendtimer og weekendtillæg udbetales.",I38="X",C38="ikke relevant")),K38+V38,0)</f>
        <v>0</v>
      </c>
      <c r="ER38" s="675">
        <f>IF(AND(AND(Stamoplysninger!$B$26="Weekendtimer og weekendtillæg udbetales.",I38="X",C38="ikke relevant")),(K38+V38)/2,0)</f>
        <v>0</v>
      </c>
      <c r="ES38" s="283">
        <f>IF(AND(Stamoplysninger!$B$26="Weekendtimer og weekendtillæg udbetales.",M38="X"),O38+Z38,0)</f>
        <v>0</v>
      </c>
      <c r="ET38" s="251">
        <f>IF(AND(Stamoplysninger!$B$26="Weekendtimer og weekendtillæg udbetales.",M38="X"),(O38+Z38)/2,0)</f>
        <v>0</v>
      </c>
      <c r="EU38" s="674">
        <f>IF(AND(AND(Stamoplysninger!$B$26="Weekendtimer og weekendtillæg udbetales.",M38="X",G38="ikke relevant")),O38+Z38,0)</f>
        <v>0</v>
      </c>
      <c r="EV38" s="675">
        <f>IF(AND(AND(Stamoplysninger!$B$26="Weekendtimer og weekendtillæg udbetales.",M38="X",G38="ikke relevant")),(O38+Z38)/2,0)</f>
        <v>0</v>
      </c>
      <c r="EW38" s="283">
        <f>IF(AND(Stamoplysninger!$B$26="Der er indgået lokalaftale omkring weekendtimer(Kræver aftale med TR/FSL). Weekendtillæg udbetales.",I38="X"),K38*0.5,0)</f>
        <v>0</v>
      </c>
      <c r="EX38" s="251">
        <f>IF(AND(AND(Stamoplysninger!$B$26="Der er indgået lokalaftale omkring weekendtimer(Kræver aftale med TR/FSL). Weekendtillæg udbetales.",I38="X",S38="X")),V38*0.5,0)</f>
        <v>0</v>
      </c>
      <c r="EY38" s="674">
        <f>IF(AND(AND(Stamoplysninger!$B$26="Der er indgået lokalaftale omkring weekendtimer(Kræver aftale med TR/FSL). Weekendtillæg udbetales.",I38="X",C38="ikke relevant")),K38*0.5,0)</f>
        <v>0</v>
      </c>
      <c r="EZ38" s="675">
        <f>IF(AND(AND(AND(Stamoplysninger!$B$26="Der er indgået lokalaftale omkring weekendtimer(Kræver aftale med TR/FSL). Weekendtillæg udbetales.",I38="X",C38="ikke relevant",S38="X"))),(V38*0.5),0)</f>
        <v>0</v>
      </c>
      <c r="FA38" s="283">
        <f>IF(AND(Stamoplysninger!$B$26="Der er indgået lokalaftale omkring weekendtimer(Kræver aftale med TR/FSL). Weekendtillæg udbetales.",M38="X"),O38*0.5,0)</f>
        <v>0</v>
      </c>
      <c r="FB38" s="251">
        <f>IF(AND(AND(Stamoplysninger!$B$26="Der er indgået lokalaftale omkring weekendtimer(Kræver aftale med TR/FSL). Weekendtillæg udbetales.",M38="X",W38="X")),Z38*0.5,0)</f>
        <v>0</v>
      </c>
      <c r="FC38" s="674">
        <f>IF(AND(AND(Stamoplysninger!$B$26="Der er indgået lokalaftale omkring weekendtimer(Kræver aftale med TR/FSL). Weekendtillæg udbetales.",M38="X",G38="ikke relevant")),O38*0.5,0)</f>
        <v>0</v>
      </c>
      <c r="FD38" s="675">
        <f>IF(AND(AND(AND(Stamoplysninger!$B$26="Der er indgået lokalaftale omkring weekendtimer(Kræver aftale med TR/FSL). Weekendtillæg udbetales.",M38="X",G38="ikke relevant",W38="X"))),(Z38*0.5),0)</f>
        <v>0</v>
      </c>
      <c r="FE38" s="283">
        <f>IF(AND(Stamoplysninger!$B$26="Der er indgået lokalaftale omkring weekendtimer(Kræver aftale med TR/FSL). Weekendtillæg udbetales.",Q38="X"),S38*0.5,0)</f>
        <v>0</v>
      </c>
      <c r="FF38" s="251">
        <f>IF(AND(AND(Stamoplysninger!$B$26="Der er indgået lokalaftale omkring weekendtimer(Kræver aftale med TR/FSL). Weekendtillæg udbetales.",Q38="X",AA38="X")),AD38*0.5,0)</f>
        <v>0</v>
      </c>
      <c r="FG38" s="674">
        <f>IF(AND(AND(Stamoplysninger!$B$26="Der er indgået lokalaftale omkring weekendtimer(Kræver aftale med TR/FSL). Weekendtillæg udbetales.",Q38="X",K38="ikke relevant")),S38*0.5,0)</f>
        <v>0</v>
      </c>
      <c r="FH38" s="675">
        <f>IF(AND(AND(AND(Stamoplysninger!$B$26="Der er indgået lokalaftale omkring weekendtimer(Kræver aftale med TR/FSL). Weekendtillæg udbetales.",Q38="X",K38="ikke relevant",AA38="X"))),(AD38*0.5),0)</f>
        <v>0</v>
      </c>
      <c r="FI38" s="283">
        <f>IF(AND(Stamoplysninger!$B$26="Weekendtimer og weekendtillæg afspadseres.",I38="X"),K38,0)</f>
        <v>0</v>
      </c>
      <c r="FJ38" s="251">
        <f>IF(AND(Stamoplysninger!$B$26="Weekendtimer og weekendtillæg afspadseres.",Y38="X"),(AA38+AL38)/2,0)</f>
        <v>0</v>
      </c>
      <c r="FK38" s="674">
        <f>IF(AND(AND(Stamoplysninger!$B$26="Weekendtimer og weekendtillæg afspadseres.",I38="X",C38="ikke relevant")),K38,0)</f>
        <v>0</v>
      </c>
      <c r="FL38" s="675">
        <f>IF(AND(AND(Stamoplysninger!$B$26="Weekendtimer og weekendtillæg afspadseres.",Y38="X",S38="ikke relevant")),(AA38+AL38)/2,0)</f>
        <v>0</v>
      </c>
      <c r="FM38" s="283">
        <f>IF(AND(Stamoplysninger!$B$26="Der er indgået lokalaftale omkring weekendtillæg(Kræver aftale med TR/FSL). Weekendtimerne afspadseres.",I38="X"),K38,0)</f>
        <v>0</v>
      </c>
      <c r="FN38" s="674">
        <f>IF(AND(AND(Stamoplysninger!$B$26="Der er indgået lokalaftale omkring weekendtillæg(Kræver aftale med TR/FSL). Weekendtimerne afspadseres.",I38="X",C38="ikke relevant")),K38,0)</f>
        <v>0</v>
      </c>
      <c r="FO38" s="283">
        <f>IF(AND(Stamoplysninger!$B$26="Weekendtimer og weekendtillæg udbetales.",I38="X"),K38,0)</f>
        <v>0</v>
      </c>
      <c r="FP38" s="251">
        <f>IF(AND(Stamoplysninger!$B$26="Weekendtimer og weekendtillæg udbetales.",AA38="X"),(AC38+AN38)/2,0)</f>
        <v>0</v>
      </c>
      <c r="FQ38" s="674">
        <f>IF(AND(AND(Stamoplysninger!$B$26="Weekendtimer og weekendtillæg udbetales.",I38="X",C38="ikke relevant")),K38,0)</f>
        <v>0</v>
      </c>
      <c r="FR38" s="688">
        <f>IF(AND(AND(Stamoplysninger!$B$26="Weekendtimer og weekendtillæg udbetales.",AA38="X",U38="ikke relevant")),(AC38+AN38)/2,0)</f>
        <v>0</v>
      </c>
      <c r="FS38" s="283">
        <f>IF(AND(I38="X",S38="X"),V38,0)</f>
        <v>0</v>
      </c>
      <c r="FT38" s="658">
        <f>IF(AND(AND(C38="ikke relevant",I38="X",S38="X")),V38,0)</f>
        <v>0</v>
      </c>
      <c r="FU38">
        <f t="shared" si="31"/>
        <v>0</v>
      </c>
      <c r="FV38" s="283">
        <f>IF(AND(Stamoplysninger!$B$26="Der er indgået lokalaftale omkring weekendtimer.(Kræver aftale med TR/FSL) Weekendtillæg afspadseres.",I38="X"),K38,0)</f>
        <v>0</v>
      </c>
      <c r="FW38" s="674">
        <f>IF(AND(AND(Stamoplysninger!$B$26="Der er indgået lokalaftale omkring weekendtimer.(Kræver aftale med TR/FSL) Weekendtillæg afspadseres.",I38="X",C38="ikke relevant")),K38,0)</f>
        <v>0</v>
      </c>
      <c r="FX38" s="283">
        <f>IF(AND(Stamoplysninger!$B$26="Der er indgået lokalaftale omkring weekendtimer(Kræver aftale med TR/FSL). Weekendtillæg udbetales.",I38="X"),K38,0)</f>
        <v>0</v>
      </c>
      <c r="FY38" s="674">
        <f>IF(AND(AND(Stamoplysninger!$B$26="Der er indgået lokalaftale omkring weekendtimer(Kræver aftale med TR/FSL). Weekendtillæg udbetales.",I38="X",C38="ikke relevant")),K38,0)</f>
        <v>0</v>
      </c>
      <c r="FZ38" s="283">
        <f>IF(AND(Stamoplysninger!$B$26="Der er indgået lokalaftale omkring weekendtillæg(Kræver aftale med TR/FSL). Weekendtimerne udbetales.",I38="X"),K38,0)</f>
        <v>0</v>
      </c>
      <c r="GA38" s="674">
        <f>IF(AND(AND(Stamoplysninger!$B$26="Der er indgået lokalaftale omkring weekendtillæg(Kræver aftale med TR/FSL). Weekendtimerne udbetales.",I38="X",C38="ikke relevant")),K38,0)</f>
        <v>0</v>
      </c>
      <c r="GB38" s="283">
        <f>IF(AND(Stamoplysninger!$B$26="Der er indgået lokalaftale omkring weekendtimer og weekendtillæg.(Kræver aftale med TR/FSL).",I38="X"),K38,0)</f>
        <v>0</v>
      </c>
      <c r="GC38" s="674">
        <f>IF(AND(AND(Stamoplysninger!$B$26="Der er indgået lokalaftale omkring weekendtimer og weekendtillæg.(Kræver aftale med TR/FSL).",I38="X",C38="ikke relevant")),K38,0)</f>
        <v>0</v>
      </c>
    </row>
    <row r="39" spans="1:185" ht="17" thickBot="1">
      <c r="A39" s="245">
        <f>IF(ISNUMBER(A38),A38+1,1)</f>
        <v>31</v>
      </c>
      <c r="B39" s="128" t="str">
        <f t="shared" si="0"/>
        <v>to</v>
      </c>
      <c r="C39" s="129" t="s">
        <v>210</v>
      </c>
      <c r="D39" s="130" t="str">
        <f t="shared" si="1"/>
        <v/>
      </c>
      <c r="E39" s="949" t="s">
        <v>113</v>
      </c>
      <c r="F39" s="950"/>
      <c r="G39" s="951"/>
      <c r="H39" s="297"/>
      <c r="I39" s="527"/>
      <c r="J39" s="413"/>
      <c r="K39" s="380"/>
      <c r="L39" s="380"/>
      <c r="M39" s="380"/>
      <c r="N39" s="318">
        <f t="shared" si="19"/>
        <v>0</v>
      </c>
      <c r="O39" s="318">
        <f t="shared" si="20"/>
        <v>0</v>
      </c>
      <c r="P39" s="318">
        <f>IF(Stamoplysninger!$H$29="JA",Juli!DG39,CX39)</f>
        <v>0</v>
      </c>
      <c r="Q39" s="318">
        <f t="shared" si="21"/>
        <v>0</v>
      </c>
      <c r="R39" s="319"/>
      <c r="S39" s="324"/>
      <c r="T39" s="325"/>
      <c r="U39" s="214"/>
      <c r="V39" s="435"/>
      <c r="W39" s="412"/>
      <c r="X39" s="643"/>
      <c r="Y39">
        <f t="shared" si="22"/>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1",B39="ma"),Arbejdstidsoversigt!$E$72,"")</f>
        <v/>
      </c>
      <c r="AH39" t="str">
        <f>IF(AND(C39="Skema 1",B39="ti"),Arbejdstidsoversigt!$E$73,"")</f>
        <v/>
      </c>
      <c r="AI39" t="str">
        <f>IF(AND(C39="Skema 1",B39="on"),Arbejdstidsoversigt!$E$74,"")</f>
        <v/>
      </c>
      <c r="AJ39" t="str">
        <f>IF(AND(C39="Skema 1",B39="to"),Arbejdstidsoversigt!$E$75,"")</f>
        <v/>
      </c>
      <c r="AK39" t="str">
        <f>IF(AND(C39="Skema 1",B39="fr"),Arbejdstidsoversigt!$E$76,"")</f>
        <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23"/>
        <v>0</v>
      </c>
      <c r="BB39" s="229">
        <f t="shared" si="8"/>
        <v>0</v>
      </c>
      <c r="BC39" s="1">
        <f t="shared" si="24"/>
        <v>0</v>
      </c>
      <c r="BD39" s="1">
        <f t="shared" si="9"/>
        <v>0</v>
      </c>
      <c r="BE39" s="1">
        <f t="shared" si="10"/>
        <v>0</v>
      </c>
      <c r="BF39" s="1">
        <f t="shared" si="11"/>
        <v>0</v>
      </c>
      <c r="BG39" s="210" t="str">
        <f>IF(AND(C39="Skema 1",B39="ma"),Skemaoplysninger!$E$30,"")</f>
        <v/>
      </c>
      <c r="BH39" s="210" t="str">
        <f>IF(AND(C39="Skema 1",B39="ti"),Skemaoplysninger!$G$30,"")</f>
        <v/>
      </c>
      <c r="BI39" s="210" t="str">
        <f>IF(AND(C39="Skema 1",B39="on"),Skemaoplysninger!$I$30,"")</f>
        <v/>
      </c>
      <c r="BJ39" s="210" t="str">
        <f>IF(AND(C39="Skema 1",B39="to"),Skemaoplysninger!$K$30,"")</f>
        <v/>
      </c>
      <c r="BK39" s="210" t="str">
        <f>IF(AND(C39="Skema 1",B39="fr"),Skemaoplysninger!$M$30,"")</f>
        <v/>
      </c>
      <c r="BL39" s="210" t="str">
        <f>IF(AND(C39="Skema 2",B39="ma"),Skemaoplysninger!$S$30,"")</f>
        <v/>
      </c>
      <c r="BM39" s="210" t="str">
        <f>IF(AND(C39="Skema 2",B39="ti"),Skemaoplysninger!$U$30,"")</f>
        <v/>
      </c>
      <c r="BN39" s="210" t="str">
        <f>IF(AND(C39="Skema 2",B39="on"),Skemaoplysninger!$W$30,"")</f>
        <v/>
      </c>
      <c r="BO39" s="210" t="str">
        <f>IF(AND(C39="Skema 2",B39="to"),Skemaoplysninger!$Y$30,"")</f>
        <v/>
      </c>
      <c r="BP39" s="210" t="str">
        <f>IF(AND(C39="Skema 2",B39="fr"),Skemaoplysninger!$AA$30,"")</f>
        <v/>
      </c>
      <c r="BQ39" s="210" t="str">
        <f>IF(AND(C39="Skema 3",B39="ma"),Skemaoplysninger!$AG$30,"")</f>
        <v/>
      </c>
      <c r="BR39" s="210" t="str">
        <f>IF(AND(C39="Skema 3",B39="ti"),Skemaoplysninger!$AI$30,"")</f>
        <v/>
      </c>
      <c r="BS39" s="210" t="str">
        <f>IF(AND(C39="Skema 3",B39="on"),Skemaoplysninger!$AK$30,"")</f>
        <v/>
      </c>
      <c r="BT39" s="210" t="str">
        <f>IF(AND(C39="Skema 3",B39="to"),Skemaoplysninger!$AM$30,"")</f>
        <v/>
      </c>
      <c r="BU39" s="210" t="str">
        <f>IF(AND(C39="Skema 3",B39="fr"),Skemaoplysninger!$AO$30,"")</f>
        <v/>
      </c>
      <c r="BV39" s="210" t="str">
        <f>IF(AND(C39="Skema 4",B39="ma"),Skemaoplysninger!$AU$30,"")</f>
        <v/>
      </c>
      <c r="BW39" s="210" t="str">
        <f>IF(AND(C39="Skema 4",B39="ti"),Skemaoplysninger!$AW$30,"")</f>
        <v/>
      </c>
      <c r="BX39" s="210" t="str">
        <f>IF(AND(C39="Skema 4",B39="on"),Skemaoplysninger!$AY$30,"")</f>
        <v/>
      </c>
      <c r="BY39" s="210" t="str">
        <f>IF(AND(C39="Skema 4",B39="to"),Skemaoplysninger!$BA$30,"")</f>
        <v/>
      </c>
      <c r="BZ39" s="210" t="str">
        <f>IF(AND(C39="Skema 4",B39="fr"),Skemaoplysninger!$BC$30,"")</f>
        <v/>
      </c>
      <c r="CA39" s="1">
        <f t="shared" si="25"/>
        <v>0</v>
      </c>
      <c r="CB39" s="1">
        <f t="shared" si="12"/>
        <v>0</v>
      </c>
      <c r="CC39" s="1">
        <f t="shared" si="13"/>
        <v>0</v>
      </c>
      <c r="CD39" s="210" t="str">
        <f>IF(AND(C39="Skema 1",B39="ma"),Skemaoplysninger!$E$31,"")</f>
        <v/>
      </c>
      <c r="CE39" s="210" t="str">
        <f>IF(AND(C39="Skema 1",B39="ti"),Skemaoplysninger!$G$31,"")</f>
        <v/>
      </c>
      <c r="CF39" s="210" t="str">
        <f>IF(AND(C39="Skema 1",B39="on"),Skemaoplysninger!$I$31,"")</f>
        <v/>
      </c>
      <c r="CG39" s="210" t="str">
        <f>IF(AND(C39="Skema 1",B39="to"),Skemaoplysninger!$K$31,"")</f>
        <v/>
      </c>
      <c r="CH39" s="210" t="str">
        <f>IF(AND(C39="Skema 1",B39="fr"),Skemaoplysninger!$M$31,"")</f>
        <v/>
      </c>
      <c r="CI39" s="210" t="str">
        <f>IF(AND(C39="Skema 2",B39="ma"),Skemaoplysninger!$S$31,"")</f>
        <v/>
      </c>
      <c r="CJ39" s="210" t="str">
        <f>IF(AND(C39="Skema 2",B39="ti"),Skemaoplysninger!$U$31,"")</f>
        <v/>
      </c>
      <c r="CK39" s="210" t="str">
        <f>IF(AND(C39="Skema 2",B39="on"),Skemaoplysninger!$W$31,"")</f>
        <v/>
      </c>
      <c r="CL39" s="210" t="str">
        <f>IF(AND(C39="Skema 2",B39="to"),Skemaoplysninger!$Y$31,"")</f>
        <v/>
      </c>
      <c r="CM39" s="210" t="str">
        <f>IF(AND(C39="Skema 2",B39="fr"),Skemaoplysninger!$AA$31,"")</f>
        <v/>
      </c>
      <c r="CN39" s="210" t="str">
        <f>IF(AND(C39="Skema 3",B39="ma"),Skemaoplysninger!$AG$31,"")</f>
        <v/>
      </c>
      <c r="CO39" s="210" t="str">
        <f>IF(AND(C39="Skema 3",B39="ti"),Skemaoplysninger!$AI$31,"")</f>
        <v/>
      </c>
      <c r="CP39" s="210" t="str">
        <f>IF(AND(C39="Skema 3",B39="on"),Skemaoplysninger!$AK$31,"")</f>
        <v/>
      </c>
      <c r="CQ39" s="210" t="str">
        <f>IF(AND(C39="Skema 3",B39="to"),Skemaoplysninger!$AM$31,"")</f>
        <v/>
      </c>
      <c r="CR39" s="210" t="str">
        <f>IF(AND(C39="Skema 3",B39="fr"),Skemaoplysninger!$AO$31,"")</f>
        <v/>
      </c>
      <c r="CS39" s="210" t="str">
        <f>IF(AND(C39="Skema 4",B39="ma"),Skemaoplysninger!$AU$31,"")</f>
        <v/>
      </c>
      <c r="CT39" s="210" t="str">
        <f>IF(AND(C39="Skema 4",B39="ti"),Skemaoplysninger!$AW$31,"")</f>
        <v/>
      </c>
      <c r="CU39" s="210" t="str">
        <f>IF(AND(C39="Skema 4",B39="on"),Skemaoplysninger!$AY$31,"")</f>
        <v/>
      </c>
      <c r="CV39" s="210" t="str">
        <f>IF(AND(C39="Skema 4",B39="to"),Skemaoplysninger!$BA$31,"")</f>
        <v/>
      </c>
      <c r="CW39" s="210" t="str">
        <f>IF(AND(C39="Skema 4",B39="fr"),Skemaoplysninger!$BC$31,"")</f>
        <v/>
      </c>
      <c r="CX39" s="249">
        <f>IF(Stamoplysninger!$H$29="NEJ",SUM(CD39:CW39)*24+CB39+CC39,0)</f>
        <v>0</v>
      </c>
      <c r="CY39" s="249">
        <f>IF(C39="Skema 1",Stamoplysninger!$H$30/200,0)</f>
        <v>0</v>
      </c>
      <c r="CZ39" s="249">
        <f>IF(C39="Skema 2",Stamoplysninger!$H$30/200,0)</f>
        <v>0</v>
      </c>
      <c r="DA39" s="249">
        <f>IF(C39="Skema 3",Stamoplysninger!$H$30/200,0)</f>
        <v>0</v>
      </c>
      <c r="DB39" s="249">
        <f>IF(C39="Skema 4",Stamoplysninger!$H$30/200,0)</f>
        <v>0</v>
      </c>
      <c r="DC39" s="249">
        <f>IF(C39="fagdag",Stamoplysninger!$H$30/200,0)</f>
        <v>0</v>
      </c>
      <c r="DD39" s="249">
        <f>IF(C39="emnedag",Stamoplysninger!$H$30/200,0)</f>
        <v>0</v>
      </c>
      <c r="DE39" s="249">
        <f>IF(C39="lejrskole",Stamoplysninger!$H$30/200,0)</f>
        <v>0</v>
      </c>
      <c r="DF39" s="249">
        <f>IF(C39="ekskursion",Stamoplysninger!$H$30/200,0)</f>
        <v>0</v>
      </c>
      <c r="DG39" s="249">
        <f t="shared" si="26"/>
        <v>0</v>
      </c>
      <c r="DH39" t="str">
        <f t="shared" si="27"/>
        <v/>
      </c>
      <c r="DI39" t="str">
        <f t="shared" si="28"/>
        <v>Sommerferie</v>
      </c>
      <c r="DJ39" t="str">
        <f t="shared" si="29"/>
        <v/>
      </c>
      <c r="DK39" t="str">
        <f>IF(DH39=0,"",DH39)</f>
        <v/>
      </c>
      <c r="DL39" t="str">
        <f>IF(DI39=0,"",DI39)</f>
        <v>Sommerferie</v>
      </c>
      <c r="DM39" t="str">
        <f>IF(DJ39=0,"",DJ39)</f>
        <v/>
      </c>
      <c r="DN39" t="str">
        <f t="shared" si="30"/>
        <v>Sommerferie</v>
      </c>
      <c r="DO39" s="652">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71">
        <f>IF(AND(Stamoplysninger!$B$22="Ulempetillæg udbetales med 25% af nettotimelønnen.",C39="ikke relevant"),(R39)/4,0)</f>
        <v>0</v>
      </c>
      <c r="DT39" s="671">
        <f>IF(AND(AND(Stamoplysninger!$B$22="Ulempetillæg udbetales med 25% af nettotimelønnen.",I39="X",C39="Ikke relevant")),K39/4,0)</f>
        <v>0</v>
      </c>
      <c r="DU39" s="671">
        <f>IF(AND(AND(Stamoplysninger!$B$22="Ulempetillæg udbetales med 25% af nettotimelønnen.",C39="ikke relevant",U39="X")),(X39/4),0)</f>
        <v>0</v>
      </c>
      <c r="DV39" s="672">
        <f>IF(AND(AND(AND(Stamoplysninger!$B$22="Ulempetillæg udbetales med 25% af nettotimelønnen.",I39="X",C39="Ikke relevant",U39="X"))),X39/4,0)</f>
        <v>0</v>
      </c>
      <c r="DW39" s="652"/>
      <c r="DZ39" s="671"/>
      <c r="EA39" s="671"/>
      <c r="EB39" s="672"/>
      <c r="EC39" s="652">
        <f>IF(Stamoplysninger!$B$22="Ulempetillæg afspadseres med 25%(Kræver en aftale imellem ledelsen og den ansatte)",(R39+X39)/4,0)</f>
        <v>0</v>
      </c>
      <c r="ED39">
        <f>IF(AND(Stamoplysninger!$B$22="Ulempetillæg afspadseres med 25%(Kræver en aftale imellem ledelsen og den ansatte)",I39="X"),K39/4,0)</f>
        <v>0</v>
      </c>
      <c r="EE39">
        <f>IF(AND(Stamoplysninger!$B$22="Ulempetillæg afspadseres med 25%(Kræver en aftale imellem ledelsen og den ansatte)",I39="X"),V39/4,0)</f>
        <v>0</v>
      </c>
      <c r="EF39">
        <f>IF(AND(AND(Stamoplysninger!$B$22="Ulempetillæg udbetales med 25% af nettotimelønnen.",AG39="X",W39="X")),AJ39/4,0)</f>
        <v>0</v>
      </c>
      <c r="EG39" s="671">
        <f>IF(AND(Stamoplysninger!$B$22="Ulempetillæg afspadseres med 25%(Kræver en aftale imellem ledelsen og den ansatte)",C39="ikke relevant"),(R39+X39)/4,0)</f>
        <v>0</v>
      </c>
      <c r="EH39" s="671">
        <f>IF(AND(AND(Stamoplysninger!$B$22="Ulempetillæg afspadseres med 25%(Kræver en aftale imellem ledelsen og den ansatte)",I39="X",C39="Ikke relevant")),K39/4,0)</f>
        <v>0</v>
      </c>
      <c r="EI39" s="671">
        <f>IF(AND(AND(Stamoplysninger!$B$22="Ulempetillæg afspadseres med 25%(Kræver en aftale imellem ledelsen og den ansatte)",I39="X",C39="Ikke relevant")),V39/4,0)</f>
        <v>0</v>
      </c>
      <c r="EJ39" s="671">
        <f>IF(AND(AND(Stamoplysninger!$B$22="Ulempetillæg afspadseres med 25%(Kræver en aftale imellem ledelsen og den ansatte)",J39="X",D39="Ikke relevant")),W39/4,0)</f>
        <v>0</v>
      </c>
      <c r="EK39" s="283">
        <f>IF(AND(Stamoplysninger!$B$26="Weekendtimer og weekendtillæg afspadseres.",I39="X"),K39+V39,0)</f>
        <v>0</v>
      </c>
      <c r="EL39" s="251">
        <f>IF(AND(Stamoplysninger!$B$26="Weekendtimer og weekendtillæg afspadseres.",J39="X"),(L39+W39)/2,0)</f>
        <v>0</v>
      </c>
      <c r="EM39" s="674">
        <f>IF(AND(AND(Stamoplysninger!$B$26="Weekendtimer og weekendtillæg afspadseres.",I39="X",C39="ikke relevant")),K39+V39,0)</f>
        <v>0</v>
      </c>
      <c r="EN39" s="675">
        <f>IF(AND(AND(Stamoplysninger!$B$26="Weekendtimer og weekendtillæg afspadseres.",I39="X",C39="ikke relevant")),(K39+V39)/2,0)</f>
        <v>0</v>
      </c>
      <c r="EO39" s="283">
        <f>IF(AND(Stamoplysninger!$B$26="Weekendtimer og weekendtillæg udbetales.",I39="X"),K39+V39,0)</f>
        <v>0</v>
      </c>
      <c r="EP39" s="251">
        <f>IF(AND(Stamoplysninger!$B$26="Weekendtimer og weekendtillæg udbetales.",I39="X"),(K39+V39)/2,0)</f>
        <v>0</v>
      </c>
      <c r="EQ39" s="674">
        <f>IF(AND(AND(Stamoplysninger!$B$26="Weekendtimer og weekendtillæg udbetales.",I39="X",C39="ikke relevant")),K39+V39,0)</f>
        <v>0</v>
      </c>
      <c r="ER39" s="675">
        <f>IF(AND(AND(Stamoplysninger!$B$26="Weekendtimer og weekendtillæg udbetales.",I39="X",C39="ikke relevant")),(K39+V39)/2,0)</f>
        <v>0</v>
      </c>
      <c r="ES39" s="283">
        <f>IF(AND(Stamoplysninger!$B$26="Weekendtimer og weekendtillæg udbetales.",M39="X"),O39+Z39,0)</f>
        <v>0</v>
      </c>
      <c r="ET39" s="251">
        <f>IF(AND(Stamoplysninger!$B$26="Weekendtimer og weekendtillæg udbetales.",M39="X"),(O39+Z39)/2,0)</f>
        <v>0</v>
      </c>
      <c r="EU39" s="674">
        <f>IF(AND(AND(Stamoplysninger!$B$26="Weekendtimer og weekendtillæg udbetales.",M39="X",G39="ikke relevant")),O39+Z39,0)</f>
        <v>0</v>
      </c>
      <c r="EV39" s="675">
        <f>IF(AND(AND(Stamoplysninger!$B$26="Weekendtimer og weekendtillæg udbetales.",M39="X",G39="ikke relevant")),(O39+Z39)/2,0)</f>
        <v>0</v>
      </c>
      <c r="EW39" s="283">
        <f>IF(AND(Stamoplysninger!$B$26="Der er indgået lokalaftale omkring weekendtimer(Kræver aftale med TR/FSL). Weekendtillæg udbetales.",I39="X"),K39*0.5,0)</f>
        <v>0</v>
      </c>
      <c r="EX39" s="251">
        <f>IF(AND(AND(Stamoplysninger!$B$26="Der er indgået lokalaftale omkring weekendtimer(Kræver aftale med TR/FSL). Weekendtillæg udbetales.",I39="X",S39="X")),V39*0.5,0)</f>
        <v>0</v>
      </c>
      <c r="EY39" s="674">
        <f>IF(AND(AND(Stamoplysninger!$B$26="Der er indgået lokalaftale omkring weekendtimer(Kræver aftale med TR/FSL). Weekendtillæg udbetales.",I39="X",C39="ikke relevant")),K39*0.5,0)</f>
        <v>0</v>
      </c>
      <c r="EZ39" s="675">
        <f>IF(AND(AND(AND(Stamoplysninger!$B$26="Der er indgået lokalaftale omkring weekendtimer(Kræver aftale med TR/FSL). Weekendtillæg udbetales.",I39="X",C39="ikke relevant",S39="X"))),(V39*0.5),0)</f>
        <v>0</v>
      </c>
      <c r="FA39" s="283">
        <f>IF(AND(Stamoplysninger!$B$26="Der er indgået lokalaftale omkring weekendtimer(Kræver aftale med TR/FSL). Weekendtillæg udbetales.",M39="X"),O39*0.5,0)</f>
        <v>0</v>
      </c>
      <c r="FB39" s="251">
        <f>IF(AND(AND(Stamoplysninger!$B$26="Der er indgået lokalaftale omkring weekendtimer(Kræver aftale med TR/FSL). Weekendtillæg udbetales.",M39="X",W39="X")),Z39*0.5,0)</f>
        <v>0</v>
      </c>
      <c r="FC39" s="674">
        <f>IF(AND(AND(Stamoplysninger!$B$26="Der er indgået lokalaftale omkring weekendtimer(Kræver aftale med TR/FSL). Weekendtillæg udbetales.",M39="X",G39="ikke relevant")),O39*0.5,0)</f>
        <v>0</v>
      </c>
      <c r="FD39" s="675">
        <f>IF(AND(AND(AND(Stamoplysninger!$B$26="Der er indgået lokalaftale omkring weekendtimer(Kræver aftale med TR/FSL). Weekendtillæg udbetales.",M39="X",G39="ikke relevant",W39="X"))),(Z39*0.5),0)</f>
        <v>0</v>
      </c>
      <c r="FE39" s="283">
        <f>IF(AND(Stamoplysninger!$B$26="Der er indgået lokalaftale omkring weekendtimer(Kræver aftale med TR/FSL). Weekendtillæg udbetales.",Q39="X"),S39*0.5,0)</f>
        <v>0</v>
      </c>
      <c r="FF39" s="251">
        <f>IF(AND(AND(Stamoplysninger!$B$26="Der er indgået lokalaftale omkring weekendtimer(Kræver aftale med TR/FSL). Weekendtillæg udbetales.",Q39="X",AA39="X")),AD39*0.5,0)</f>
        <v>0</v>
      </c>
      <c r="FG39" s="674">
        <f>IF(AND(AND(Stamoplysninger!$B$26="Der er indgået lokalaftale omkring weekendtimer(Kræver aftale med TR/FSL). Weekendtillæg udbetales.",Q39="X",K39="ikke relevant")),S39*0.5,0)</f>
        <v>0</v>
      </c>
      <c r="FH39" s="675">
        <f>IF(AND(AND(AND(Stamoplysninger!$B$26="Der er indgået lokalaftale omkring weekendtimer(Kræver aftale med TR/FSL). Weekendtillæg udbetales.",Q39="X",K39="ikke relevant",AA39="X"))),(AD39*0.5),0)</f>
        <v>0</v>
      </c>
      <c r="FI39" s="283">
        <f>IF(AND(Stamoplysninger!$B$26="Weekendtimer og weekendtillæg afspadseres.",I39="X"),K39,0)</f>
        <v>0</v>
      </c>
      <c r="FJ39" s="251">
        <f>IF(AND(Stamoplysninger!$B$26="Weekendtimer og weekendtillæg afspadseres.",Y39="X"),(AA39+AL39)/2,0)</f>
        <v>0</v>
      </c>
      <c r="FK39" s="674">
        <f>IF(AND(AND(Stamoplysninger!$B$26="Weekendtimer og weekendtillæg afspadseres.",I39="X",C39="ikke relevant")),K39,0)</f>
        <v>0</v>
      </c>
      <c r="FL39" s="675">
        <f>IF(AND(AND(Stamoplysninger!$B$26="Weekendtimer og weekendtillæg afspadseres.",Y39="X",S39="ikke relevant")),(AA39+AL39)/2,0)</f>
        <v>0</v>
      </c>
      <c r="FM39" s="283">
        <f>IF(AND(Stamoplysninger!$B$26="Der er indgået lokalaftale omkring weekendtillæg(Kræver aftale med TR/FSL). Weekendtimerne afspadseres.",I39="X"),K39,0)</f>
        <v>0</v>
      </c>
      <c r="FN39" s="674">
        <f>IF(AND(AND(Stamoplysninger!$B$26="Der er indgået lokalaftale omkring weekendtillæg(Kræver aftale med TR/FSL). Weekendtimerne afspadseres.",I39="X",C39="ikke relevant")),K39,0)</f>
        <v>0</v>
      </c>
      <c r="FO39" s="283">
        <f>IF(AND(Stamoplysninger!$B$26="Weekendtimer og weekendtillæg udbetales.",I39="X"),K39,0)</f>
        <v>0</v>
      </c>
      <c r="FP39" s="251">
        <f>IF(AND(Stamoplysninger!$B$26="Weekendtimer og weekendtillæg udbetales.",AA39="X"),(AC39+AN39)/2,0)</f>
        <v>0</v>
      </c>
      <c r="FQ39" s="674">
        <f>IF(AND(AND(Stamoplysninger!$B$26="Weekendtimer og weekendtillæg udbetales.",I39="X",C39="ikke relevant")),K39,0)</f>
        <v>0</v>
      </c>
      <c r="FR39" s="688">
        <f>IF(AND(AND(Stamoplysninger!$B$26="Weekendtimer og weekendtillæg udbetales.",AA39="X",U39="ikke relevant")),(AC39+AN39)/2,0)</f>
        <v>0</v>
      </c>
      <c r="FS39" s="283">
        <f>IF(AND(I39="X",S39="X"),V39,0)</f>
        <v>0</v>
      </c>
      <c r="FT39" s="658">
        <f>IF(AND(AND(C39="ikke relevant",I39="X",S39="X")),V39,0)</f>
        <v>0</v>
      </c>
      <c r="FU39">
        <f t="shared" si="31"/>
        <v>0</v>
      </c>
      <c r="FV39" s="283">
        <f>IF(AND(Stamoplysninger!$B$26="Der er indgået lokalaftale omkring weekendtimer.(Kræver aftale med TR/FSL) Weekendtillæg afspadseres.",I39="X"),K39,0)</f>
        <v>0</v>
      </c>
      <c r="FW39" s="674">
        <f>IF(AND(AND(Stamoplysninger!$B$26="Der er indgået lokalaftale omkring weekendtimer.(Kræver aftale med TR/FSL) Weekendtillæg afspadseres.",I39="X",C39="ikke relevant")),K39,0)</f>
        <v>0</v>
      </c>
      <c r="FX39" s="283">
        <f>IF(AND(Stamoplysninger!$B$26="Der er indgået lokalaftale omkring weekendtimer(Kræver aftale med TR/FSL). Weekendtillæg udbetales.",I39="X"),K39,0)</f>
        <v>0</v>
      </c>
      <c r="FY39" s="674">
        <f>IF(AND(AND(Stamoplysninger!$B$26="Der er indgået lokalaftale omkring weekendtimer(Kræver aftale med TR/FSL). Weekendtillæg udbetales.",I39="X",C39="ikke relevant")),K39,0)</f>
        <v>0</v>
      </c>
      <c r="FZ39" s="283">
        <f>IF(AND(Stamoplysninger!$B$26="Der er indgået lokalaftale omkring weekendtillæg(Kræver aftale med TR/FSL). Weekendtimerne udbetales.",I39="X"),K39,0)</f>
        <v>0</v>
      </c>
      <c r="GA39" s="674">
        <f>IF(AND(AND(Stamoplysninger!$B$26="Der er indgået lokalaftale omkring weekendtillæg(Kræver aftale med TR/FSL). Weekendtimerne udbetales.",I39="X",C39="ikke relevant")),K39,0)</f>
        <v>0</v>
      </c>
      <c r="GB39" s="283">
        <f>IF(AND(Stamoplysninger!$B$26="Der er indgået lokalaftale omkring weekendtimer og weekendtillæg.(Kræver aftale med TR/FSL).",I39="X"),K39,0)</f>
        <v>0</v>
      </c>
      <c r="GC39" s="674">
        <f>IF(AND(AND(Stamoplysninger!$B$26="Der er indgået lokalaftale omkring weekendtimer og weekendtillæg.(Kræver aftale med TR/FSL).",I39="X",C39="ikke relevant")),K39,0)</f>
        <v>0</v>
      </c>
    </row>
    <row r="40" spans="1:185" ht="17" thickBot="1">
      <c r="A40" s="972" t="s">
        <v>260</v>
      </c>
      <c r="B40" s="973"/>
      <c r="C40" s="973"/>
      <c r="D40" s="973"/>
      <c r="E40" s="973"/>
      <c r="F40" s="973"/>
      <c r="G40" s="973"/>
      <c r="H40" s="973"/>
      <c r="I40" s="974"/>
      <c r="J40" s="313"/>
      <c r="K40" s="321"/>
      <c r="L40" s="321"/>
      <c r="M40" s="321"/>
      <c r="N40" s="322">
        <f>SUM(N9:N39)</f>
        <v>6</v>
      </c>
      <c r="O40" s="322">
        <f>SUM(O9:O39)</f>
        <v>0</v>
      </c>
      <c r="P40" s="322">
        <f>SUM(P9:P39)</f>
        <v>0</v>
      </c>
      <c r="Q40" s="322">
        <f>SUM(Q9:Q39)</f>
        <v>6</v>
      </c>
      <c r="R40" s="32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32"/>
      <c r="T40" s="433"/>
      <c r="U40" s="433"/>
      <c r="V40" s="43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3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3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1">
        <f>SUM(Y9:Y39)</f>
        <v>0</v>
      </c>
      <c r="Z40" s="398">
        <f>Z9+Z10+Z11+Z12+Z13+Z14+Z15+Z16+Z17+Z18+Z19+Z20+Z21+Z22+Z23+Z24+Z25+Z26+Z27+Z28+Z29+Z30+Z31+Z32+Z33+Z34+Z35+Z36+Z37+Z38+Z39</f>
        <v>0</v>
      </c>
      <c r="AA40" s="235">
        <f t="shared" ref="AA40:AF40" si="32">SUM(AA9:AA39)</f>
        <v>0</v>
      </c>
      <c r="AB40" s="235">
        <f t="shared" si="32"/>
        <v>0</v>
      </c>
      <c r="AC40" s="235">
        <f t="shared" si="32"/>
        <v>6</v>
      </c>
      <c r="AD40" s="235">
        <f t="shared" si="32"/>
        <v>0</v>
      </c>
      <c r="AE40" s="235">
        <f t="shared" si="32"/>
        <v>0</v>
      </c>
      <c r="AF40" s="235">
        <f t="shared" si="32"/>
        <v>0</v>
      </c>
      <c r="BA40" s="1">
        <f>SUM(BA9:BA39)</f>
        <v>6</v>
      </c>
      <c r="BB40" s="112"/>
      <c r="BC40" s="235">
        <f>SUM(BC9:BC39)</f>
        <v>0</v>
      </c>
      <c r="BD40" s="235">
        <f>SUM(BD9:BD39)</f>
        <v>0</v>
      </c>
      <c r="BE40" s="235">
        <f>SUM(BE9:BE39)</f>
        <v>0</v>
      </c>
      <c r="BF40" s="235">
        <f>SUM(BF9:BF39)</f>
        <v>0</v>
      </c>
      <c r="CA40" s="235">
        <f>SUM(CA9:CA39)</f>
        <v>0</v>
      </c>
      <c r="CB40" s="235">
        <f>SUM(CB9:CB39)</f>
        <v>0</v>
      </c>
      <c r="CC40" s="235">
        <f>SUM(CC9:CC39)</f>
        <v>0</v>
      </c>
      <c r="CX40" s="249"/>
      <c r="CY40" s="249">
        <f t="shared" ref="CY40:DG40" si="33">SUM(CY9:CY39)</f>
        <v>0</v>
      </c>
      <c r="CZ40" s="249">
        <f t="shared" si="33"/>
        <v>0</v>
      </c>
      <c r="DA40" s="249">
        <f t="shared" si="33"/>
        <v>0</v>
      </c>
      <c r="DB40" s="249">
        <f t="shared" si="33"/>
        <v>0</v>
      </c>
      <c r="DC40" s="249">
        <f t="shared" si="33"/>
        <v>0</v>
      </c>
      <c r="DD40" s="249">
        <f t="shared" si="33"/>
        <v>0</v>
      </c>
      <c r="DE40" s="249">
        <f t="shared" si="33"/>
        <v>0</v>
      </c>
      <c r="DF40" s="249">
        <f t="shared" si="33"/>
        <v>0</v>
      </c>
      <c r="DG40" s="249">
        <f t="shared" si="33"/>
        <v>0</v>
      </c>
      <c r="DO40" s="669">
        <f>SUM(DO9:DO39)</f>
        <v>0</v>
      </c>
      <c r="DP40" s="670">
        <f t="shared" ref="DP40:GC40" si="34">SUM(DP9:DP39)</f>
        <v>0</v>
      </c>
      <c r="DQ40" s="670">
        <f t="shared" si="34"/>
        <v>0</v>
      </c>
      <c r="DR40" s="670">
        <f t="shared" si="34"/>
        <v>0</v>
      </c>
      <c r="DS40" s="673">
        <f t="shared" si="34"/>
        <v>0</v>
      </c>
      <c r="DT40" s="673">
        <f t="shared" si="34"/>
        <v>0</v>
      </c>
      <c r="DU40" s="670">
        <f t="shared" si="34"/>
        <v>0</v>
      </c>
      <c r="DV40" s="673">
        <f t="shared" si="34"/>
        <v>0</v>
      </c>
      <c r="DW40" s="669">
        <f t="shared" ref="DW40:EB40" si="35">SUM(DW9:DW39)</f>
        <v>0</v>
      </c>
      <c r="DX40" s="670">
        <f t="shared" si="35"/>
        <v>0</v>
      </c>
      <c r="DY40" s="670">
        <f t="shared" si="35"/>
        <v>0</v>
      </c>
      <c r="DZ40" s="673">
        <f t="shared" si="35"/>
        <v>0</v>
      </c>
      <c r="EA40" s="673">
        <f t="shared" si="35"/>
        <v>0</v>
      </c>
      <c r="EB40" s="673">
        <f t="shared" si="35"/>
        <v>0</v>
      </c>
      <c r="EC40" s="670">
        <f t="shared" si="34"/>
        <v>0</v>
      </c>
      <c r="ED40" s="670">
        <f t="shared" si="34"/>
        <v>0</v>
      </c>
      <c r="EE40" s="670">
        <f t="shared" si="34"/>
        <v>0</v>
      </c>
      <c r="EF40" s="670">
        <f t="shared" si="34"/>
        <v>0</v>
      </c>
      <c r="EG40" s="673">
        <f t="shared" si="34"/>
        <v>0</v>
      </c>
      <c r="EH40" s="673">
        <f t="shared" si="34"/>
        <v>0</v>
      </c>
      <c r="EI40" s="673">
        <f t="shared" si="34"/>
        <v>0</v>
      </c>
      <c r="EJ40" s="673">
        <f t="shared" si="34"/>
        <v>0</v>
      </c>
      <c r="EK40" s="670">
        <f t="shared" si="34"/>
        <v>0</v>
      </c>
      <c r="EL40" s="670">
        <f t="shared" si="34"/>
        <v>0</v>
      </c>
      <c r="EM40" s="673">
        <f t="shared" si="34"/>
        <v>0</v>
      </c>
      <c r="EN40" s="673">
        <f t="shared" si="34"/>
        <v>0</v>
      </c>
      <c r="EO40" s="670">
        <f t="shared" si="34"/>
        <v>0</v>
      </c>
      <c r="EP40" s="670">
        <f t="shared" si="34"/>
        <v>0</v>
      </c>
      <c r="EQ40" s="673">
        <f t="shared" si="34"/>
        <v>0</v>
      </c>
      <c r="ER40" s="676">
        <f t="shared" si="34"/>
        <v>0</v>
      </c>
      <c r="ES40" s="670">
        <f t="shared" si="34"/>
        <v>0</v>
      </c>
      <c r="ET40" s="670">
        <f t="shared" si="34"/>
        <v>0</v>
      </c>
      <c r="EU40" s="673">
        <f t="shared" si="34"/>
        <v>0</v>
      </c>
      <c r="EV40" s="676">
        <f t="shared" si="34"/>
        <v>0</v>
      </c>
      <c r="EW40" s="670">
        <f t="shared" si="34"/>
        <v>0</v>
      </c>
      <c r="EX40" s="670">
        <f t="shared" si="34"/>
        <v>0</v>
      </c>
      <c r="EY40" s="673">
        <f t="shared" si="34"/>
        <v>0</v>
      </c>
      <c r="EZ40" s="676">
        <f t="shared" si="34"/>
        <v>0</v>
      </c>
      <c r="FA40" s="670">
        <f t="shared" si="34"/>
        <v>0</v>
      </c>
      <c r="FB40" s="670">
        <f t="shared" si="34"/>
        <v>0</v>
      </c>
      <c r="FC40" s="673">
        <f t="shared" si="34"/>
        <v>0</v>
      </c>
      <c r="FD40" s="676">
        <f t="shared" si="34"/>
        <v>0</v>
      </c>
      <c r="FE40" s="670">
        <f t="shared" si="34"/>
        <v>0</v>
      </c>
      <c r="FF40" s="670">
        <f t="shared" si="34"/>
        <v>0</v>
      </c>
      <c r="FG40" s="673">
        <f t="shared" si="34"/>
        <v>0</v>
      </c>
      <c r="FH40" s="676">
        <f t="shared" si="34"/>
        <v>0</v>
      </c>
      <c r="FI40" s="685">
        <f t="shared" si="34"/>
        <v>0</v>
      </c>
      <c r="FJ40" s="670">
        <f t="shared" si="34"/>
        <v>0</v>
      </c>
      <c r="FK40" s="685">
        <f t="shared" si="34"/>
        <v>0</v>
      </c>
      <c r="FL40" s="673">
        <f t="shared" si="34"/>
        <v>0</v>
      </c>
      <c r="FM40" s="685">
        <f t="shared" si="34"/>
        <v>0</v>
      </c>
      <c r="FN40" s="685">
        <f t="shared" si="34"/>
        <v>0</v>
      </c>
      <c r="FO40" s="685">
        <f t="shared" si="34"/>
        <v>0</v>
      </c>
      <c r="FP40" s="670">
        <f t="shared" si="34"/>
        <v>0</v>
      </c>
      <c r="FQ40" s="685">
        <f t="shared" si="34"/>
        <v>0</v>
      </c>
      <c r="FR40" s="676">
        <f t="shared" si="34"/>
        <v>0</v>
      </c>
      <c r="FS40" s="689">
        <f t="shared" si="34"/>
        <v>0</v>
      </c>
      <c r="FT40" s="690">
        <f t="shared" si="34"/>
        <v>0</v>
      </c>
      <c r="FU40" s="690">
        <f t="shared" si="34"/>
        <v>0</v>
      </c>
      <c r="FV40" s="689">
        <f>SUM(FV9:FV39)</f>
        <v>0</v>
      </c>
      <c r="FW40" s="690">
        <f t="shared" si="34"/>
        <v>0</v>
      </c>
      <c r="FX40" s="689">
        <f t="shared" si="34"/>
        <v>0</v>
      </c>
      <c r="FY40" s="690">
        <f t="shared" si="34"/>
        <v>0</v>
      </c>
      <c r="FZ40" s="685">
        <f t="shared" si="34"/>
        <v>0</v>
      </c>
      <c r="GA40" s="685">
        <f t="shared" si="34"/>
        <v>0</v>
      </c>
      <c r="GB40" s="685">
        <f t="shared" si="34"/>
        <v>0</v>
      </c>
      <c r="GC40" s="685">
        <f t="shared" si="34"/>
        <v>0</v>
      </c>
    </row>
    <row r="41" spans="1:185" ht="26" thickBot="1">
      <c r="A41" s="232"/>
      <c r="B41" s="232"/>
      <c r="C41" s="232"/>
      <c r="D41" s="232"/>
      <c r="E41" s="232"/>
      <c r="F41" s="232"/>
      <c r="G41" s="232"/>
      <c r="H41" s="232"/>
      <c r="I41" s="232"/>
      <c r="J41" s="232"/>
      <c r="K41" s="239"/>
      <c r="L41" s="239"/>
      <c r="M41" s="239"/>
      <c r="N41" s="239"/>
      <c r="O41" s="239"/>
      <c r="P41" s="239"/>
      <c r="Q41" s="239"/>
      <c r="R41" s="239"/>
      <c r="S41" s="446"/>
      <c r="T41" s="446"/>
      <c r="U41" s="446"/>
      <c r="V41" s="446"/>
      <c r="W41" s="446"/>
      <c r="X41" s="446"/>
      <c r="Y41" s="235"/>
      <c r="Z41" s="211"/>
      <c r="AA41" s="235"/>
      <c r="AB41" s="211"/>
      <c r="AC41" s="211"/>
      <c r="AD41" s="235"/>
      <c r="AE41" s="235"/>
      <c r="AG41" s="235"/>
      <c r="BC41" s="235"/>
      <c r="BD41" s="235"/>
      <c r="BE41" s="235"/>
      <c r="BF41" s="235"/>
      <c r="BG41" s="112"/>
      <c r="CB41" s="235"/>
      <c r="CC41" s="235"/>
      <c r="CD41" s="112"/>
      <c r="CX41" s="248"/>
      <c r="CZ41"/>
    </row>
    <row r="42" spans="1:185" ht="70" customHeight="1">
      <c r="A42" s="958" t="str">
        <f>"Arbejdstid for "&amp;A7&amp;" måned:"</f>
        <v>Arbejdstid for Juli måned:</v>
      </c>
      <c r="B42" s="959"/>
      <c r="C42" s="959"/>
      <c r="D42" s="959"/>
      <c r="E42" s="959"/>
      <c r="F42" s="959"/>
      <c r="G42" s="959"/>
      <c r="H42" s="330" t="s">
        <v>255</v>
      </c>
      <c r="I42" s="959" t="s">
        <v>221</v>
      </c>
      <c r="J42" s="960"/>
      <c r="K42" s="961"/>
      <c r="L42" s="262"/>
      <c r="M42" s="1011" t="str">
        <f>"Ulempetimer og weekendtimer i "&amp;A5&amp;""</f>
        <v>Ulempetimer og weekendtimer i Juli måneds kalender for: Beate Simonsen. Måneden vedr. normperioden: 01.08.2024 - 31.07.2025.</v>
      </c>
      <c r="N42" s="989"/>
      <c r="O42" s="989"/>
      <c r="P42" s="989"/>
      <c r="Q42" s="989"/>
      <c r="R42" s="989"/>
      <c r="S42" s="989"/>
      <c r="T42" s="989"/>
      <c r="U42" s="989"/>
      <c r="V42" s="989"/>
      <c r="W42" s="989"/>
      <c r="X42" s="990"/>
      <c r="Y42" s="239"/>
      <c r="Z42" s="239"/>
      <c r="AD42" s="90"/>
      <c r="AE42" s="90"/>
      <c r="BM42" s="1"/>
      <c r="CJ42" s="1"/>
      <c r="CU42" s="248"/>
      <c r="CV42" s="248"/>
      <c r="CY42"/>
      <c r="CZ42"/>
    </row>
    <row r="43" spans="1:185">
      <c r="A43" s="962" t="s">
        <v>534</v>
      </c>
      <c r="B43" s="963"/>
      <c r="C43" s="963"/>
      <c r="D43" s="963"/>
      <c r="E43" s="963"/>
      <c r="F43" s="963"/>
      <c r="G43" s="963"/>
      <c r="H43" s="256">
        <f>D78</f>
        <v>23</v>
      </c>
      <c r="I43" s="975">
        <f>IF(Stamoplysninger!$E$12="Ja",1924/Arbejdstidsoversigt!$K$9*Stamoplysninger!$E$15*H43,H43*7.4*Stamoplysninger!$E$15)</f>
        <v>169.54789272030652</v>
      </c>
      <c r="J43" s="976"/>
      <c r="K43" s="977"/>
      <c r="L43" s="258"/>
      <c r="M43" s="1012" t="s">
        <v>497</v>
      </c>
      <c r="N43" s="1013"/>
      <c r="O43" s="1013"/>
      <c r="P43" s="1013"/>
      <c r="Q43" s="1013"/>
      <c r="R43" s="1013"/>
      <c r="S43" s="1013"/>
      <c r="T43" s="1013"/>
      <c r="U43" s="1014"/>
      <c r="V43" s="1093">
        <f>P65+P69+P72+P74</f>
        <v>0</v>
      </c>
      <c r="W43" s="1093"/>
      <c r="X43" s="1094"/>
      <c r="Y43" s="239"/>
      <c r="Z43" s="239"/>
      <c r="AD43" s="90"/>
      <c r="AE43" s="90"/>
      <c r="BM43" s="1"/>
      <c r="CJ43" s="1"/>
      <c r="CU43" s="248"/>
      <c r="CV43" s="248"/>
      <c r="CY43"/>
      <c r="CZ43"/>
    </row>
    <row r="44" spans="1:185">
      <c r="A44" s="962" t="str">
        <f>"Ferie "&amp;A7&amp;" måned"</f>
        <v>Ferie Juli måned</v>
      </c>
      <c r="B44" s="963"/>
      <c r="C44" s="963"/>
      <c r="D44" s="963"/>
      <c r="E44" s="963"/>
      <c r="F44" s="963"/>
      <c r="G44" s="963"/>
      <c r="H44" s="257">
        <f>IF(D73&gt;0,$D$73,"0")</f>
        <v>18</v>
      </c>
      <c r="I44" s="964">
        <f>H44*7.4*Stamoplysninger!$E$15</f>
        <v>133.20000000000002</v>
      </c>
      <c r="J44" s="965"/>
      <c r="K44" s="966"/>
      <c r="L44" s="258"/>
      <c r="M44" s="1018" t="s">
        <v>259</v>
      </c>
      <c r="N44" s="1019"/>
      <c r="O44" s="1019"/>
      <c r="P44" s="1019"/>
      <c r="Q44" s="1019"/>
      <c r="R44" s="1019"/>
      <c r="S44" s="1019"/>
      <c r="T44" s="1019"/>
      <c r="U44" s="1020"/>
      <c r="V44" s="1095">
        <f>Q66+Q68+Q71+Q73</f>
        <v>0</v>
      </c>
      <c r="W44" s="1095"/>
      <c r="X44" s="1096"/>
      <c r="Y44" s="239"/>
      <c r="Z44" s="239"/>
      <c r="AD44" s="90"/>
      <c r="AE44" s="90"/>
      <c r="BM44" s="1"/>
      <c r="CJ44" s="1"/>
      <c r="CU44" s="248"/>
      <c r="CV44" s="248"/>
      <c r="CY44"/>
      <c r="CZ44"/>
    </row>
    <row r="45" spans="1:185">
      <c r="A45" s="962" t="str">
        <f>"Søgnehelligdage i "&amp;A7&amp;" måned"</f>
        <v>Søgnehelligdage i Juli måned</v>
      </c>
      <c r="B45" s="963"/>
      <c r="C45" s="963"/>
      <c r="D45" s="963"/>
      <c r="E45" s="963"/>
      <c r="F45" s="963"/>
      <c r="G45" s="963"/>
      <c r="H45" s="257">
        <f>IF(D72&gt;0,D72,0)</f>
        <v>0</v>
      </c>
      <c r="I45" s="964">
        <f>H45*7.4*Stamoplysninger!$E$15</f>
        <v>0</v>
      </c>
      <c r="J45" s="965"/>
      <c r="K45" s="966"/>
      <c r="L45" s="259"/>
      <c r="M45" s="1128" t="s">
        <v>295</v>
      </c>
      <c r="N45" s="1129"/>
      <c r="O45" s="1129"/>
      <c r="P45" s="1129"/>
      <c r="Q45" s="1129"/>
      <c r="R45" s="1129"/>
      <c r="S45" s="1129"/>
      <c r="T45" s="1129"/>
      <c r="U45" s="1130"/>
      <c r="V45" s="1133">
        <f>Juni!V52</f>
        <v>0</v>
      </c>
      <c r="W45" s="1134"/>
      <c r="X45" s="1137"/>
      <c r="Y45" s="239"/>
      <c r="Z45" s="239"/>
      <c r="AD45" s="90"/>
      <c r="AE45" s="90"/>
      <c r="BM45" s="1"/>
      <c r="CJ45" s="1"/>
      <c r="CU45" s="248"/>
      <c r="CV45" s="248"/>
      <c r="CY45"/>
      <c r="CZ45"/>
    </row>
    <row r="46" spans="1:185">
      <c r="A46" s="962" t="str">
        <f>"Nettoarbejdstid ialt i "&amp;A7&amp;" måned"</f>
        <v>Nettoarbejdstid ialt i Juli måned</v>
      </c>
      <c r="B46" s="963"/>
      <c r="C46" s="963"/>
      <c r="D46" s="963"/>
      <c r="E46" s="963"/>
      <c r="F46" s="963"/>
      <c r="G46" s="963"/>
      <c r="H46" s="260">
        <f>H43-H44-H45</f>
        <v>5</v>
      </c>
      <c r="I46" s="964">
        <f>I43-I44-I45</f>
        <v>36.347892720306504</v>
      </c>
      <c r="J46" s="965"/>
      <c r="K46" s="966"/>
      <c r="L46" s="387"/>
      <c r="M46" s="1026" t="s">
        <v>302</v>
      </c>
      <c r="N46" s="1027"/>
      <c r="O46" s="1027"/>
      <c r="P46" s="1027"/>
      <c r="Q46" s="1027"/>
      <c r="R46" s="1027"/>
      <c r="S46" s="1027"/>
      <c r="T46" s="1027"/>
      <c r="U46" s="1028"/>
      <c r="V46" s="1029">
        <f>SUM(V44:X45)</f>
        <v>0</v>
      </c>
      <c r="W46" s="1030"/>
      <c r="X46" s="1031"/>
      <c r="Y46" s="239"/>
      <c r="Z46" s="239"/>
      <c r="AD46" s="90"/>
      <c r="AE46" s="90"/>
      <c r="BM46" s="1"/>
      <c r="CJ46" s="1"/>
      <c r="CU46" s="248"/>
      <c r="CV46" s="248"/>
      <c r="CY46"/>
      <c r="CZ46"/>
    </row>
    <row r="47" spans="1:185">
      <c r="A47" s="978" t="str">
        <f>"Planlagt arbejdstid efter ovennstående "&amp;A7&amp;" måned kalender"</f>
        <v>Planlagt arbejdstid efter ovennstående Juli måned kalender</v>
      </c>
      <c r="B47" s="979"/>
      <c r="C47" s="979"/>
      <c r="D47" s="979"/>
      <c r="E47" s="979"/>
      <c r="F47" s="979"/>
      <c r="G47" s="979"/>
      <c r="H47" s="475">
        <f>D64+D65+D66+D67+D68+D69+D70</f>
        <v>1</v>
      </c>
      <c r="I47" s="980">
        <f>N40+R40+V106</f>
        <v>6</v>
      </c>
      <c r="J47" s="981"/>
      <c r="K47" s="982"/>
      <c r="L47" s="387"/>
      <c r="M47" s="1038" t="s">
        <v>293</v>
      </c>
      <c r="N47" s="1039"/>
      <c r="O47" s="1039"/>
      <c r="P47" s="1039"/>
      <c r="Q47" s="1039"/>
      <c r="R47" s="1039"/>
      <c r="S47" s="1039"/>
      <c r="T47" s="1039"/>
      <c r="U47" s="1039"/>
      <c r="V47" s="1039"/>
      <c r="W47" s="1039"/>
      <c r="X47" s="1040"/>
      <c r="Y47" s="239"/>
      <c r="Z47" s="239"/>
      <c r="AD47" s="90"/>
      <c r="AE47" s="90"/>
      <c r="BM47" s="1"/>
      <c r="CJ47" s="1"/>
      <c r="CU47" s="248"/>
      <c r="CV47" s="248"/>
      <c r="CY47"/>
      <c r="CZ47"/>
    </row>
    <row r="48" spans="1:185">
      <c r="A48" s="986" t="s">
        <v>452</v>
      </c>
      <c r="B48" s="987"/>
      <c r="C48" s="987"/>
      <c r="D48" s="987"/>
      <c r="E48" s="987"/>
      <c r="F48" s="987"/>
      <c r="G48" s="987"/>
      <c r="H48" s="988"/>
      <c r="I48" s="983">
        <f>(FI40+FM40+FO40+FV40+FX40+FZ40+GB40)*-1+FK40+FN40+FQ40+FW40+FY40+GA40+GC40+FU40</f>
        <v>0</v>
      </c>
      <c r="J48" s="984"/>
      <c r="K48" s="985"/>
      <c r="L48" s="388"/>
      <c r="M48" s="1041" t="s">
        <v>463</v>
      </c>
      <c r="N48" s="1042"/>
      <c r="O48" s="1042"/>
      <c r="P48" s="1042"/>
      <c r="Q48" s="1042"/>
      <c r="R48" s="1042"/>
      <c r="S48" s="1042"/>
      <c r="T48" s="1042"/>
      <c r="U48" s="1043"/>
      <c r="V48" s="1044" t="s">
        <v>221</v>
      </c>
      <c r="W48" s="1045"/>
      <c r="X48" s="1046"/>
      <c r="Y48" s="239"/>
      <c r="Z48" s="239"/>
      <c r="AD48" s="90"/>
      <c r="AE48" s="90"/>
      <c r="BM48" s="1"/>
      <c r="CJ48" s="1"/>
      <c r="CU48" s="248"/>
      <c r="CV48" s="248"/>
      <c r="CY48"/>
      <c r="CZ48"/>
    </row>
    <row r="49" spans="1:110">
      <c r="A49" s="1005" t="str">
        <f>"Arbejde særligt planlagt for "&amp;A7&amp;" måned efter fanen skemaoplysninger"</f>
        <v>Arbejde særligt planlagt for Juli måned efter fanen skemaoplysninger</v>
      </c>
      <c r="B49" s="1006"/>
      <c r="C49" s="1006"/>
      <c r="D49" s="1006"/>
      <c r="E49" s="1006"/>
      <c r="F49" s="1006"/>
      <c r="G49" s="1006"/>
      <c r="H49" s="1007"/>
      <c r="I49" s="981">
        <f>Skemaoplysninger!V91</f>
        <v>0</v>
      </c>
      <c r="J49" s="1003"/>
      <c r="K49" s="1004"/>
      <c r="L49" s="241"/>
      <c r="M49" s="867"/>
      <c r="N49" s="868"/>
      <c r="O49" s="868"/>
      <c r="P49" s="868"/>
      <c r="Q49" s="868"/>
      <c r="R49" s="868"/>
      <c r="S49" s="868"/>
      <c r="T49" s="868"/>
      <c r="U49" s="869"/>
      <c r="V49" s="1047"/>
      <c r="W49" s="1047"/>
      <c r="X49" s="1048"/>
      <c r="Y49"/>
      <c r="Z49" s="239"/>
      <c r="AA49" s="239"/>
      <c r="AG49" s="90"/>
      <c r="AH49" s="90"/>
      <c r="BA49" s="239"/>
      <c r="BO49" s="1"/>
      <c r="CL49" s="1"/>
      <c r="CV49" s="248"/>
      <c r="CW49" s="248"/>
      <c r="CY49"/>
      <c r="CZ49"/>
    </row>
    <row r="50" spans="1:110">
      <c r="A50" s="967" t="s">
        <v>291</v>
      </c>
      <c r="B50" s="968"/>
      <c r="C50" s="968"/>
      <c r="D50" s="968"/>
      <c r="E50" s="968"/>
      <c r="F50" s="968"/>
      <c r="G50" s="968"/>
      <c r="H50" s="968"/>
      <c r="I50" s="969">
        <f>V40+X40-FA40+V106</f>
        <v>0</v>
      </c>
      <c r="J50" s="970"/>
      <c r="K50" s="971"/>
      <c r="L50" s="241"/>
      <c r="M50" s="867"/>
      <c r="N50" s="868"/>
      <c r="O50" s="868"/>
      <c r="P50" s="868"/>
      <c r="Q50" s="868"/>
      <c r="R50" s="868"/>
      <c r="S50" s="868"/>
      <c r="T50" s="868"/>
      <c r="U50" s="869"/>
      <c r="V50" s="870"/>
      <c r="W50" s="871"/>
      <c r="X50" s="872"/>
      <c r="Y50"/>
      <c r="Z50" s="239"/>
      <c r="AA50" s="239"/>
      <c r="AE50" s="90"/>
      <c r="AF50" s="247"/>
      <c r="AG50" s="90"/>
      <c r="BN50" s="1"/>
      <c r="CK50" s="1"/>
      <c r="CV50" s="248"/>
      <c r="CW50" s="248"/>
      <c r="CY50"/>
      <c r="CZ50"/>
    </row>
    <row r="51" spans="1:110" ht="17" thickBot="1">
      <c r="A51" s="261" t="str">
        <f>"Faktisk arbejdstid ialt i "&amp;A7&amp;" måned"</f>
        <v>Faktisk arbejdstid ialt i Juli måned</v>
      </c>
      <c r="B51" s="314"/>
      <c r="C51" s="315"/>
      <c r="D51" s="315"/>
      <c r="E51" s="315"/>
      <c r="F51" s="315"/>
      <c r="G51" s="315"/>
      <c r="H51" s="316"/>
      <c r="I51" s="1008">
        <f>I47+I50+I49+I48</f>
        <v>6</v>
      </c>
      <c r="J51" s="1009"/>
      <c r="K51" s="1010"/>
      <c r="L51" s="335"/>
      <c r="M51" s="867"/>
      <c r="N51" s="868"/>
      <c r="O51" s="868"/>
      <c r="P51" s="868"/>
      <c r="Q51" s="868"/>
      <c r="R51" s="868"/>
      <c r="S51" s="868"/>
      <c r="T51" s="868"/>
      <c r="U51" s="869"/>
      <c r="V51" s="870"/>
      <c r="W51" s="871"/>
      <c r="X51" s="872"/>
      <c r="Y51" s="239"/>
      <c r="Z51" s="239"/>
      <c r="AA51" s="214"/>
      <c r="AB51" s="247"/>
      <c r="AC51" s="247"/>
      <c r="AD51" s="247"/>
      <c r="AE51" s="239"/>
      <c r="AF51" s="247"/>
      <c r="AH51" s="239"/>
      <c r="AI51" s="239"/>
      <c r="AM51" s="90"/>
      <c r="AN51" s="90"/>
      <c r="BU51" s="1"/>
      <c r="CR51" s="1"/>
      <c r="CY51"/>
      <c r="CZ51"/>
      <c r="DC51" s="248"/>
      <c r="DD51" s="248"/>
    </row>
    <row r="52" spans="1:110" ht="17" thickBot="1">
      <c r="A52" s="255"/>
      <c r="B52" s="255"/>
      <c r="C52" s="255"/>
      <c r="D52" s="255"/>
      <c r="E52" s="255"/>
      <c r="F52" s="255"/>
      <c r="G52" s="255"/>
      <c r="H52" s="255"/>
      <c r="I52" s="522"/>
      <c r="J52" s="522"/>
      <c r="K52" s="522"/>
      <c r="L52" s="500"/>
      <c r="M52" s="867"/>
      <c r="N52" s="868"/>
      <c r="O52" s="868"/>
      <c r="P52" s="868"/>
      <c r="Q52" s="868"/>
      <c r="R52" s="868"/>
      <c r="S52" s="868"/>
      <c r="T52" s="868"/>
      <c r="U52" s="869"/>
      <c r="V52" s="870"/>
      <c r="W52" s="871"/>
      <c r="X52" s="872"/>
      <c r="Y52" s="239"/>
      <c r="Z52" s="239"/>
      <c r="AA52" s="239"/>
      <c r="AB52" s="239"/>
      <c r="AC52" s="214"/>
      <c r="AD52" s="247"/>
      <c r="AE52" s="247"/>
      <c r="AF52" s="247"/>
      <c r="AG52" s="247"/>
      <c r="AH52" s="239"/>
      <c r="AJ52" s="239"/>
      <c r="AK52" s="239"/>
      <c r="AO52" s="90"/>
      <c r="AP52" s="90"/>
      <c r="BW52" s="1"/>
      <c r="CT52" s="1"/>
      <c r="CY52"/>
      <c r="CZ52"/>
      <c r="DE52" s="248"/>
      <c r="DF52" s="248"/>
    </row>
    <row r="53" spans="1:110" ht="26" thickBot="1">
      <c r="A53" s="958" t="s">
        <v>479</v>
      </c>
      <c r="B53" s="959"/>
      <c r="C53" s="959"/>
      <c r="D53" s="959"/>
      <c r="E53" s="959"/>
      <c r="F53" s="959"/>
      <c r="G53" s="959"/>
      <c r="H53" s="707" t="s">
        <v>740</v>
      </c>
      <c r="I53" s="959" t="s">
        <v>478</v>
      </c>
      <c r="J53" s="959"/>
      <c r="K53" s="961"/>
      <c r="L53" s="500"/>
      <c r="M53" s="1032" t="s">
        <v>294</v>
      </c>
      <c r="N53" s="1033"/>
      <c r="O53" s="1033"/>
      <c r="P53" s="1033"/>
      <c r="Q53" s="1033"/>
      <c r="R53" s="1033"/>
      <c r="S53" s="1033"/>
      <c r="T53" s="1033"/>
      <c r="U53" s="1034"/>
      <c r="V53" s="1081">
        <f>V46-SUM(V49:X52)</f>
        <v>0</v>
      </c>
      <c r="W53" s="1082"/>
      <c r="X53" s="1083"/>
      <c r="Y53" s="239"/>
      <c r="Z53" s="239"/>
      <c r="AA53" s="239"/>
      <c r="AB53" s="239"/>
      <c r="AC53" s="214"/>
      <c r="AD53" s="247"/>
      <c r="AE53" s="247"/>
      <c r="AF53" s="247"/>
      <c r="AG53" s="247"/>
      <c r="AH53" s="239"/>
      <c r="AJ53" s="239"/>
      <c r="AK53" s="239"/>
      <c r="AO53" s="90"/>
      <c r="AP53" s="90"/>
      <c r="BW53" s="1"/>
      <c r="CT53" s="1"/>
      <c r="CY53"/>
      <c r="CZ53"/>
      <c r="DE53" s="248"/>
      <c r="DF53" s="248"/>
    </row>
    <row r="54" spans="1:110" ht="16" customHeight="1">
      <c r="A54" s="993"/>
      <c r="B54" s="994"/>
      <c r="C54" s="994"/>
      <c r="D54" s="994"/>
      <c r="E54" s="994"/>
      <c r="F54" s="994"/>
      <c r="G54" s="994"/>
      <c r="H54" s="605">
        <f>Juni!H61</f>
        <v>0</v>
      </c>
      <c r="I54" s="1084">
        <f>Juni!I61</f>
        <v>0</v>
      </c>
      <c r="J54" s="1084"/>
      <c r="K54" s="1085"/>
      <c r="L54" s="500"/>
      <c r="M54" s="523"/>
      <c r="N54" s="523"/>
      <c r="O54" s="523"/>
      <c r="P54" s="523"/>
      <c r="Q54" s="524"/>
      <c r="R54" s="525"/>
      <c r="S54" s="525"/>
      <c r="T54" s="525"/>
      <c r="U54" s="525"/>
      <c r="V54" s="523"/>
      <c r="W54" s="526"/>
      <c r="X54" s="523"/>
      <c r="Y54" s="239"/>
      <c r="Z54" s="239"/>
      <c r="AA54" s="239"/>
      <c r="AB54" s="239"/>
      <c r="AC54" s="214"/>
      <c r="AD54" s="247"/>
      <c r="AE54" s="247"/>
      <c r="AF54" s="247"/>
      <c r="AG54" s="247"/>
      <c r="AH54" s="239"/>
      <c r="AJ54" s="239"/>
      <c r="AK54" s="239"/>
      <c r="AO54" s="90"/>
      <c r="AP54" s="90"/>
      <c r="BW54" s="1"/>
      <c r="CT54" s="1"/>
      <c r="CY54"/>
      <c r="CZ54"/>
      <c r="DE54" s="248"/>
      <c r="DF54" s="248"/>
    </row>
    <row r="55" spans="1:110" ht="16" customHeight="1">
      <c r="A55" s="1069" t="s">
        <v>482</v>
      </c>
      <c r="B55" s="1070"/>
      <c r="C55" s="1070"/>
      <c r="D55" s="1070"/>
      <c r="E55" s="1070"/>
      <c r="F55" s="1070"/>
      <c r="G55" s="1071"/>
      <c r="H55" s="603"/>
      <c r="I55" s="1072"/>
      <c r="J55" s="1073"/>
      <c r="K55" s="1074"/>
      <c r="L55" s="500"/>
      <c r="M55" s="523"/>
      <c r="N55" s="523"/>
      <c r="O55" s="523"/>
      <c r="P55" s="523"/>
      <c r="Q55" s="524"/>
      <c r="R55" s="525"/>
      <c r="S55" s="525"/>
      <c r="T55" s="525"/>
      <c r="U55" s="525"/>
      <c r="V55" s="523"/>
      <c r="W55" s="526"/>
      <c r="X55" s="523"/>
      <c r="Y55" s="239"/>
      <c r="Z55" s="239"/>
      <c r="AA55" s="239"/>
      <c r="AB55" s="239"/>
      <c r="AC55" s="214"/>
      <c r="AD55" s="247"/>
      <c r="AE55" s="247"/>
      <c r="AF55" s="247"/>
      <c r="AG55" s="247"/>
      <c r="AH55" s="239"/>
      <c r="AJ55" s="239"/>
      <c r="AK55" s="239"/>
      <c r="AO55" s="90"/>
      <c r="AP55" s="90"/>
      <c r="BW55" s="1"/>
      <c r="CT55" s="1"/>
      <c r="CY55"/>
      <c r="CZ55"/>
      <c r="DE55" s="248"/>
      <c r="DF55" s="248"/>
    </row>
    <row r="56" spans="1:110" ht="37" customHeight="1">
      <c r="A56" s="864" t="s">
        <v>741</v>
      </c>
      <c r="B56" s="865"/>
      <c r="C56" s="865"/>
      <c r="D56" s="865"/>
      <c r="E56" s="865"/>
      <c r="F56" s="865"/>
      <c r="G56" s="865"/>
      <c r="H56" s="865"/>
      <c r="I56" s="865"/>
      <c r="J56" s="865"/>
      <c r="K56" s="866"/>
      <c r="L56" s="500"/>
      <c r="M56" s="523"/>
      <c r="N56" s="523"/>
      <c r="O56" s="523"/>
      <c r="P56" s="523"/>
      <c r="Q56" s="524"/>
      <c r="R56" s="525"/>
      <c r="S56" s="525"/>
      <c r="T56" s="525"/>
      <c r="U56" s="525"/>
      <c r="V56" s="523"/>
      <c r="W56" s="526"/>
      <c r="X56" s="523"/>
      <c r="Y56" s="239"/>
      <c r="Z56" s="239"/>
      <c r="AA56" s="239"/>
      <c r="AB56" s="239"/>
      <c r="AC56" s="214"/>
      <c r="AD56" s="247"/>
      <c r="AE56" s="247"/>
      <c r="AF56" s="247"/>
      <c r="AG56" s="247"/>
      <c r="AH56" s="239"/>
      <c r="AJ56" s="239"/>
      <c r="AK56" s="239"/>
      <c r="AO56" s="90"/>
      <c r="AP56" s="90"/>
      <c r="BW56" s="1"/>
      <c r="CT56" s="1"/>
      <c r="CY56"/>
      <c r="CZ56"/>
      <c r="DE56" s="248"/>
      <c r="DF56" s="248"/>
    </row>
    <row r="57" spans="1:110" ht="35" customHeight="1">
      <c r="A57" s="995" t="s">
        <v>742</v>
      </c>
      <c r="B57" s="996"/>
      <c r="C57" s="898" t="s">
        <v>510</v>
      </c>
      <c r="D57" s="899"/>
      <c r="E57" s="900" t="s">
        <v>511</v>
      </c>
      <c r="F57" s="865"/>
      <c r="G57" s="901"/>
      <c r="H57" s="910" t="s">
        <v>480</v>
      </c>
      <c r="I57" s="910"/>
      <c r="J57" s="910"/>
      <c r="K57" s="911"/>
      <c r="L57" s="500"/>
      <c r="M57" s="523"/>
      <c r="N57" s="523"/>
      <c r="O57" s="523"/>
      <c r="P57" s="523"/>
      <c r="Q57" s="524"/>
      <c r="R57" s="525"/>
      <c r="S57" s="525"/>
      <c r="T57" s="525"/>
      <c r="U57" s="525"/>
      <c r="V57" s="523"/>
      <c r="W57" s="526"/>
      <c r="X57" s="523"/>
      <c r="Y57" s="239"/>
      <c r="Z57" s="239"/>
      <c r="AA57" s="239"/>
      <c r="AB57" s="239"/>
      <c r="AC57" s="214"/>
      <c r="AD57" s="247"/>
      <c r="AE57" s="247"/>
      <c r="AF57" s="247"/>
      <c r="AG57" s="247"/>
      <c r="AH57" s="239"/>
      <c r="AJ57" s="239"/>
      <c r="AK57" s="239"/>
      <c r="AO57" s="90"/>
      <c r="AP57" s="90"/>
      <c r="BW57" s="1"/>
      <c r="CT57" s="1"/>
      <c r="CY57"/>
      <c r="CZ57"/>
      <c r="DE57" s="248"/>
      <c r="DF57" s="248"/>
    </row>
    <row r="58" spans="1:110">
      <c r="A58" s="902"/>
      <c r="B58" s="903"/>
      <c r="C58" s="906"/>
      <c r="D58" s="905"/>
      <c r="E58" s="907"/>
      <c r="F58" s="908"/>
      <c r="G58" s="909"/>
      <c r="H58" s="604"/>
      <c r="I58" s="896"/>
      <c r="J58" s="896"/>
      <c r="K58" s="897"/>
      <c r="L58" s="500"/>
      <c r="M58" s="523"/>
      <c r="N58" s="523"/>
      <c r="O58" s="523"/>
      <c r="P58" s="523"/>
      <c r="Q58" s="524"/>
      <c r="R58" s="525"/>
      <c r="S58" s="525"/>
      <c r="T58" s="525"/>
      <c r="U58" s="525"/>
      <c r="V58" s="523"/>
      <c r="W58" s="526"/>
      <c r="X58" s="523"/>
      <c r="Y58" s="239"/>
      <c r="Z58" s="239"/>
      <c r="AA58" s="239"/>
      <c r="AB58" s="239"/>
      <c r="AC58" s="214"/>
      <c r="AD58" s="247"/>
      <c r="AE58" s="247"/>
      <c r="AF58" s="247"/>
      <c r="AG58" s="247"/>
      <c r="AH58" s="239"/>
      <c r="AJ58" s="239"/>
      <c r="AK58" s="239"/>
      <c r="AO58" s="90"/>
      <c r="AP58" s="90"/>
      <c r="BW58" s="1"/>
      <c r="CT58" s="1"/>
      <c r="CY58"/>
      <c r="CZ58"/>
      <c r="DE58" s="248"/>
      <c r="DF58" s="248"/>
    </row>
    <row r="59" spans="1:110">
      <c r="A59" s="904"/>
      <c r="B59" s="905"/>
      <c r="C59" s="906"/>
      <c r="D59" s="905"/>
      <c r="E59" s="907"/>
      <c r="F59" s="908"/>
      <c r="G59" s="909"/>
      <c r="H59" s="604"/>
      <c r="I59" s="896"/>
      <c r="J59" s="896"/>
      <c r="K59" s="897"/>
      <c r="L59" s="500"/>
      <c r="M59" s="523"/>
      <c r="N59" s="523"/>
      <c r="O59" s="523"/>
      <c r="P59" s="523"/>
      <c r="Q59" s="524"/>
      <c r="R59" s="525"/>
      <c r="S59" s="525"/>
      <c r="T59" s="525"/>
      <c r="U59" s="525"/>
      <c r="V59" s="523"/>
      <c r="W59" s="526"/>
      <c r="X59" s="523"/>
      <c r="Y59" s="239"/>
      <c r="Z59" s="239"/>
      <c r="AA59" s="239"/>
      <c r="AB59" s="239"/>
      <c r="AC59" s="214"/>
      <c r="AD59" s="247"/>
      <c r="AE59" s="247"/>
      <c r="AF59" s="247"/>
      <c r="AG59" s="247"/>
      <c r="AH59" s="239"/>
      <c r="AJ59" s="239"/>
      <c r="AK59" s="239"/>
      <c r="AO59" s="90"/>
      <c r="AP59" s="90"/>
      <c r="BW59" s="1"/>
      <c r="CT59" s="1"/>
      <c r="CY59"/>
      <c r="CZ59"/>
      <c r="DE59" s="248"/>
      <c r="DF59" s="248"/>
    </row>
    <row r="60" spans="1:110">
      <c r="A60" s="904"/>
      <c r="B60" s="905"/>
      <c r="C60" s="906"/>
      <c r="D60" s="905"/>
      <c r="E60" s="907"/>
      <c r="F60" s="908"/>
      <c r="G60" s="909"/>
      <c r="H60" s="604"/>
      <c r="I60" s="896"/>
      <c r="J60" s="896"/>
      <c r="K60" s="897"/>
      <c r="L60" s="500"/>
      <c r="M60" s="523"/>
      <c r="N60" s="523"/>
      <c r="O60" s="523"/>
      <c r="P60" s="523"/>
      <c r="Q60" s="524"/>
      <c r="R60" s="525"/>
      <c r="S60" s="525"/>
      <c r="T60" s="525"/>
      <c r="U60" s="525"/>
      <c r="V60" s="523"/>
      <c r="W60" s="526"/>
      <c r="X60" s="523"/>
      <c r="Y60" s="239"/>
      <c r="Z60" s="239"/>
      <c r="AA60" s="239"/>
      <c r="AB60" s="239"/>
      <c r="AC60" s="214"/>
      <c r="AD60" s="247"/>
      <c r="AE60" s="247"/>
      <c r="AF60" s="247"/>
      <c r="AG60" s="247"/>
      <c r="AH60" s="239"/>
      <c r="AJ60" s="239"/>
      <c r="AK60" s="239"/>
      <c r="AO60" s="90"/>
      <c r="AP60" s="90"/>
      <c r="BW60" s="1"/>
      <c r="CT60" s="1"/>
      <c r="CY60"/>
      <c r="CZ60"/>
      <c r="DE60" s="248"/>
      <c r="DF60" s="248"/>
    </row>
    <row r="61" spans="1:110">
      <c r="A61" s="904"/>
      <c r="B61" s="905"/>
      <c r="C61" s="906"/>
      <c r="D61" s="905"/>
      <c r="E61" s="907"/>
      <c r="F61" s="908"/>
      <c r="G61" s="909"/>
      <c r="H61" s="604"/>
      <c r="I61" s="896"/>
      <c r="J61" s="896"/>
      <c r="K61" s="897"/>
      <c r="L61" s="500"/>
      <c r="M61" s="523"/>
      <c r="N61" s="523"/>
      <c r="O61" s="523"/>
      <c r="P61" s="523"/>
      <c r="Q61" s="524"/>
      <c r="R61" s="525"/>
      <c r="S61" s="525"/>
      <c r="T61" s="525"/>
      <c r="U61" s="525"/>
      <c r="V61" s="523"/>
      <c r="W61" s="526"/>
      <c r="X61" s="523"/>
      <c r="Y61" s="239"/>
      <c r="Z61" s="239"/>
      <c r="AA61" s="239"/>
      <c r="AB61" s="239"/>
      <c r="AC61" s="214"/>
      <c r="AD61" s="247"/>
      <c r="AE61" s="247"/>
      <c r="AF61" s="247"/>
      <c r="AG61" s="247"/>
      <c r="AH61" s="239"/>
      <c r="AJ61" s="239"/>
      <c r="AK61" s="239"/>
      <c r="AO61" s="90"/>
      <c r="AP61" s="90"/>
      <c r="BW61" s="1"/>
      <c r="CT61" s="1"/>
      <c r="CY61"/>
      <c r="CZ61"/>
      <c r="DE61" s="248"/>
      <c r="DF61" s="248"/>
    </row>
    <row r="62" spans="1:110" ht="17" thickBot="1">
      <c r="A62" s="893" t="s">
        <v>481</v>
      </c>
      <c r="B62" s="894"/>
      <c r="C62" s="895"/>
      <c r="D62" s="895"/>
      <c r="E62" s="895"/>
      <c r="F62" s="895"/>
      <c r="G62" s="895"/>
      <c r="H62" s="606">
        <f>H55+H54-SUM(H58:H61)</f>
        <v>0</v>
      </c>
      <c r="I62" s="912">
        <f>I54+I55-SUM(I58:K61)</f>
        <v>0</v>
      </c>
      <c r="J62" s="913"/>
      <c r="K62" s="914"/>
      <c r="L62" s="500"/>
      <c r="M62" s="523"/>
      <c r="N62" s="523"/>
      <c r="O62" s="523"/>
      <c r="P62" s="523"/>
      <c r="Q62" s="524"/>
      <c r="R62" s="525"/>
      <c r="S62" s="525"/>
      <c r="T62" s="525"/>
      <c r="U62" s="525"/>
      <c r="V62" s="523"/>
      <c r="W62" s="526"/>
      <c r="X62" s="523"/>
      <c r="Y62" s="239"/>
      <c r="Z62" s="239"/>
      <c r="AA62" s="239"/>
      <c r="AB62" s="239"/>
      <c r="AC62" s="214"/>
      <c r="AD62" s="247"/>
      <c r="AE62" s="247"/>
      <c r="AF62" s="247"/>
      <c r="AG62" s="247"/>
      <c r="AH62" s="239"/>
      <c r="AJ62" s="239"/>
      <c r="AK62" s="239"/>
      <c r="AO62" s="90"/>
      <c r="AP62" s="90"/>
      <c r="BW62" s="1"/>
      <c r="CT62" s="1"/>
      <c r="CY62"/>
      <c r="CZ62"/>
      <c r="DE62" s="248"/>
      <c r="DF62" s="248"/>
    </row>
    <row r="63" spans="1:110" hidden="1">
      <c r="A63" s="440"/>
      <c r="B63" s="440"/>
      <c r="C63" s="440"/>
      <c r="D63" s="440"/>
      <c r="E63" s="440"/>
      <c r="F63" s="440"/>
      <c r="G63" s="440"/>
      <c r="H63" s="450"/>
      <c r="I63" s="506"/>
      <c r="J63" s="506"/>
      <c r="K63" s="496"/>
      <c r="L63" s="659"/>
      <c r="M63" s="659"/>
      <c r="N63" s="659"/>
      <c r="O63" s="659"/>
      <c r="P63" s="659"/>
      <c r="Q63" s="524"/>
      <c r="R63" s="525"/>
      <c r="S63" s="525"/>
      <c r="T63" s="525"/>
      <c r="U63" s="525"/>
      <c r="V63" s="523" t="s">
        <v>583</v>
      </c>
      <c r="W63" s="526"/>
      <c r="X63" s="523"/>
      <c r="Y63"/>
      <c r="Z63"/>
      <c r="AA63" s="90"/>
      <c r="AB63" s="90"/>
      <c r="BI63" s="1"/>
      <c r="CF63" s="1"/>
      <c r="CQ63" s="248"/>
      <c r="CR63" s="248"/>
      <c r="CY63"/>
      <c r="CZ63"/>
    </row>
    <row r="64" spans="1:110" hidden="1">
      <c r="A64" s="123" t="s">
        <v>206</v>
      </c>
      <c r="B64" s="123"/>
      <c r="C64" s="123"/>
      <c r="D64" s="123">
        <f>COUNTIF([0]!Juli,"Skema 1")</f>
        <v>0</v>
      </c>
      <c r="E64" s="395"/>
      <c r="F64" s="123" t="s">
        <v>186</v>
      </c>
      <c r="G64" s="123">
        <f>COUNTIFS($B$9:$B$39,"ma",[0]!Juli,"Skema 1")</f>
        <v>0</v>
      </c>
      <c r="H64" s="123"/>
      <c r="I64" s="511"/>
      <c r="J64" s="659"/>
      <c r="K64" s="659"/>
      <c r="L64" s="511"/>
      <c r="M64" s="660"/>
      <c r="N64" s="659"/>
      <c r="O64" s="660"/>
      <c r="P64" s="678" t="s">
        <v>601</v>
      </c>
      <c r="Q64" s="680" t="s">
        <v>612</v>
      </c>
      <c r="R64" s="230"/>
      <c r="S64" s="230"/>
      <c r="T64" s="230"/>
      <c r="U64" s="230"/>
      <c r="V64" s="230"/>
      <c r="W64" s="118"/>
      <c r="X64" s="118"/>
      <c r="Y64"/>
      <c r="Z64"/>
      <c r="AA64" s="90"/>
      <c r="AB64" s="90"/>
      <c r="BI64" s="1"/>
      <c r="CF64" s="1"/>
      <c r="CQ64" s="248"/>
      <c r="CR64" s="248"/>
      <c r="CY64"/>
      <c r="CZ64"/>
    </row>
    <row r="65" spans="1:109" hidden="1">
      <c r="A65" s="1113" t="s">
        <v>207</v>
      </c>
      <c r="B65" s="1113"/>
      <c r="C65" s="1113"/>
      <c r="D65" s="498">
        <f>COUNTIF([0]!Juli,"Skema 2")</f>
        <v>0</v>
      </c>
      <c r="E65" s="499"/>
      <c r="F65" s="498" t="s">
        <v>187</v>
      </c>
      <c r="G65" s="498">
        <f>COUNTIFS($B$9:$B$39,"ti",[0]!Juli,"Skema 1")</f>
        <v>0</v>
      </c>
      <c r="H65" s="123"/>
      <c r="I65" s="511" t="s">
        <v>602</v>
      </c>
      <c r="J65" s="659"/>
      <c r="K65" s="511"/>
      <c r="L65" s="662"/>
      <c r="M65" s="660"/>
      <c r="N65" s="660"/>
      <c r="O65" s="663"/>
      <c r="P65" s="678">
        <f>IF(Stamoplysninger!$B$22="Ulempetillæg udbetales med 25% af nettotimelønnen.",SUM(DO40:DR40)-SUM(DS40:DV40),0)</f>
        <v>0</v>
      </c>
      <c r="Q65" s="680"/>
      <c r="R65" s="230"/>
      <c r="S65" s="230"/>
      <c r="T65" s="230"/>
      <c r="U65" s="230"/>
      <c r="V65" s="230"/>
      <c r="W65" s="118"/>
      <c r="X65" s="118"/>
      <c r="Y65"/>
      <c r="Z65"/>
      <c r="AA65" s="90"/>
      <c r="AB65" s="90"/>
      <c r="BI65" s="1"/>
      <c r="CF65" s="1"/>
      <c r="CQ65" s="248"/>
      <c r="CR65" s="248"/>
      <c r="CY65"/>
      <c r="CZ65"/>
    </row>
    <row r="66" spans="1:109" hidden="1">
      <c r="A66" s="1113" t="s">
        <v>208</v>
      </c>
      <c r="B66" s="1113"/>
      <c r="C66" s="1113"/>
      <c r="D66" s="498">
        <f>COUNTIF([0]!Juli,"Skema 3")</f>
        <v>0</v>
      </c>
      <c r="E66" s="499"/>
      <c r="F66" s="498" t="s">
        <v>188</v>
      </c>
      <c r="G66" s="498">
        <f>COUNTIFS($B$9:$B$39,"on",[0]!Juli,"Skema 1")</f>
        <v>0</v>
      </c>
      <c r="H66" s="498"/>
      <c r="I66" s="677" t="s">
        <v>603</v>
      </c>
      <c r="J66" s="659"/>
      <c r="K66" s="511"/>
      <c r="L66" s="662"/>
      <c r="M66" s="660"/>
      <c r="N66" s="660"/>
      <c r="O66" s="660"/>
      <c r="P66" s="678"/>
      <c r="Q66" s="680">
        <f>IF(Stamoplysninger!$B$22="Ulempetillæg afspadseres med 25%(Kræver en aftale imellem ledelsen og den ansatte)",EC40+ED40+EE40+EF40-EG40-EH40-EI40-EJ40,0)</f>
        <v>0</v>
      </c>
      <c r="R66" s="230"/>
      <c r="S66" s="230"/>
      <c r="T66" s="230"/>
      <c r="U66" s="230"/>
      <c r="V66" s="230"/>
      <c r="W66" s="118"/>
      <c r="X66" s="118"/>
      <c r="Y66"/>
      <c r="Z66"/>
      <c r="AA66" s="90"/>
      <c r="AB66" s="90"/>
      <c r="BI66" s="1"/>
      <c r="CF66" s="1"/>
      <c r="CQ66" s="248"/>
      <c r="CR66" s="248"/>
      <c r="CY66"/>
      <c r="CZ66"/>
    </row>
    <row r="67" spans="1:109" hidden="1">
      <c r="A67" s="1113" t="s">
        <v>209</v>
      </c>
      <c r="B67" s="1113"/>
      <c r="C67" s="1113"/>
      <c r="D67" s="498">
        <f>COUNTIF([0]!Juli,"Skema 4")</f>
        <v>0</v>
      </c>
      <c r="E67" s="499"/>
      <c r="F67" s="498" t="s">
        <v>190</v>
      </c>
      <c r="G67" s="498">
        <f>COUNTIFS($B$9:$B$39,"to",[0]!Juli,"Skema 1")</f>
        <v>0</v>
      </c>
      <c r="H67" s="498"/>
      <c r="I67" s="677" t="s">
        <v>604</v>
      </c>
      <c r="J67" s="659"/>
      <c r="K67" s="511"/>
      <c r="L67" s="662"/>
      <c r="M67" s="665"/>
      <c r="N67" s="665"/>
      <c r="O67" s="4"/>
      <c r="P67" s="678"/>
      <c r="Q67" s="680"/>
      <c r="R67" s="230"/>
      <c r="S67" s="230"/>
      <c r="T67" s="230"/>
      <c r="U67" s="230"/>
      <c r="V67" s="230"/>
      <c r="W67" s="118"/>
      <c r="X67" s="118"/>
      <c r="Y67" s="239"/>
      <c r="Z67" s="239"/>
      <c r="AA67" s="239"/>
      <c r="AB67" s="214"/>
      <c r="AC67" s="247"/>
      <c r="AD67" s="247"/>
      <c r="AE67" s="247"/>
      <c r="AF67" s="214"/>
      <c r="AG67" s="239"/>
      <c r="AI67" s="239"/>
      <c r="AJ67" s="239"/>
      <c r="AN67" s="90"/>
      <c r="AO67" s="90"/>
      <c r="BV67" s="1"/>
      <c r="CS67" s="1"/>
      <c r="CY67"/>
      <c r="CZ67"/>
      <c r="DD67" s="248"/>
      <c r="DE67" s="248"/>
    </row>
    <row r="68" spans="1:109" hidden="1">
      <c r="A68" s="498" t="s">
        <v>112</v>
      </c>
      <c r="B68" s="498"/>
      <c r="C68" s="498"/>
      <c r="D68" s="498">
        <f>COUNTIF([0]!Juli,"Fagdag")+COUNTIF([0]!Juli,"emnedag")</f>
        <v>0</v>
      </c>
      <c r="E68" s="499"/>
      <c r="F68" s="498" t="s">
        <v>189</v>
      </c>
      <c r="G68" s="498">
        <f>COUNTIFS($B$9:$B$39,"fr",[0]!Juli,"Skema 1")</f>
        <v>0</v>
      </c>
      <c r="H68" s="498"/>
      <c r="I68" s="662" t="s">
        <v>605</v>
      </c>
      <c r="J68" s="659"/>
      <c r="K68" s="511"/>
      <c r="L68" s="662"/>
      <c r="M68" s="665"/>
      <c r="N68" s="665"/>
      <c r="O68" s="4"/>
      <c r="P68" s="678"/>
      <c r="Q68" s="680">
        <f>IF(Stamoplysninger!$B$26="Weekendtimer og weekendtillæg afspadseres.",EK40+EL40-EM40-EN40,0)</f>
        <v>0</v>
      </c>
      <c r="R68" s="230"/>
      <c r="S68" s="230"/>
      <c r="T68" s="230"/>
      <c r="U68" s="230"/>
      <c r="V68" s="230"/>
      <c r="W68" s="118"/>
      <c r="X68" s="118"/>
      <c r="Y68" s="239"/>
      <c r="Z68" s="239"/>
      <c r="AA68" s="239"/>
      <c r="AB68" s="214"/>
      <c r="AC68" s="247"/>
      <c r="AD68" s="247"/>
      <c r="AE68" s="247"/>
      <c r="AF68" s="214"/>
      <c r="AG68" s="239"/>
      <c r="AI68" s="239"/>
      <c r="AJ68" s="239"/>
      <c r="AN68" s="90"/>
      <c r="AO68" s="90"/>
      <c r="BV68" s="1"/>
      <c r="CS68" s="1"/>
      <c r="CY68"/>
      <c r="CZ68"/>
      <c r="DD68" s="248"/>
      <c r="DE68" s="248"/>
    </row>
    <row r="69" spans="1:109" hidden="1">
      <c r="A69" s="502" t="s">
        <v>111</v>
      </c>
      <c r="B69" s="498"/>
      <c r="C69" s="498"/>
      <c r="D69" s="498">
        <f>COUNTIF([0]!Juli,"Lejrskole")+COUNTIF([0]!Juli,"Ekskursion")</f>
        <v>0</v>
      </c>
      <c r="E69" s="499"/>
      <c r="F69" s="498"/>
      <c r="G69" s="498"/>
      <c r="H69" s="498"/>
      <c r="I69" s="662" t="s">
        <v>606</v>
      </c>
      <c r="J69" s="662"/>
      <c r="K69" s="662"/>
      <c r="L69" s="662"/>
      <c r="M69" s="666"/>
      <c r="N69" s="666"/>
      <c r="O69" s="4"/>
      <c r="P69" s="679">
        <f>IF(Stamoplysninger!$B$26="Weekendtimer og weekendtillæg udbetales.",EO40+EP40-EQ40-ER40,0)</f>
        <v>0</v>
      </c>
      <c r="Q69" s="680"/>
      <c r="R69" s="230"/>
      <c r="S69" s="230"/>
      <c r="T69" s="230"/>
      <c r="U69" s="230"/>
      <c r="V69" s="230"/>
      <c r="W69" s="118"/>
      <c r="X69" s="118"/>
      <c r="Y69" s="239"/>
      <c r="Z69" s="239"/>
      <c r="AA69" s="239"/>
      <c r="AB69" s="214"/>
      <c r="AC69" s="247"/>
      <c r="AD69" s="247"/>
      <c r="AE69" s="247"/>
      <c r="AF69" s="214"/>
      <c r="AG69" s="239"/>
      <c r="AI69" s="239"/>
      <c r="AJ69" s="239"/>
      <c r="AN69" s="90"/>
      <c r="AO69" s="90"/>
      <c r="BV69" s="1"/>
      <c r="CS69" s="1"/>
      <c r="CY69"/>
      <c r="CZ69"/>
      <c r="DD69" s="248"/>
      <c r="DE69" s="248"/>
    </row>
    <row r="70" spans="1:109" hidden="1">
      <c r="A70" s="498" t="s">
        <v>110</v>
      </c>
      <c r="B70" s="498"/>
      <c r="C70" s="498"/>
      <c r="D70" s="498">
        <f>COUNTIF([0]!Juli,"Pæd.dag")</f>
        <v>1</v>
      </c>
      <c r="E70" s="499"/>
      <c r="F70" s="498" t="s">
        <v>191</v>
      </c>
      <c r="G70" s="498">
        <f>COUNTIFS($B$9:$B$39,"ma",[0]!Juli,"Skema 2")</f>
        <v>0</v>
      </c>
      <c r="H70" s="498"/>
      <c r="I70" s="662" t="s">
        <v>607</v>
      </c>
      <c r="J70" s="662"/>
      <c r="K70" s="662"/>
      <c r="L70" s="662"/>
      <c r="M70" s="666"/>
      <c r="N70" s="666"/>
      <c r="O70" s="4"/>
      <c r="P70" s="678"/>
      <c r="Q70" s="680"/>
      <c r="R70" s="230"/>
      <c r="S70" s="230"/>
      <c r="T70" s="230"/>
      <c r="U70" s="230"/>
      <c r="V70" s="230"/>
      <c r="W70" s="118"/>
      <c r="X70" s="118"/>
      <c r="Y70" s="239"/>
      <c r="Z70" s="239"/>
      <c r="AA70" s="239"/>
      <c r="AB70" s="214"/>
      <c r="AC70" s="247"/>
      <c r="AD70" s="247"/>
      <c r="AE70" s="247"/>
      <c r="AG70" s="239"/>
      <c r="AI70" s="239"/>
      <c r="AJ70" s="239"/>
      <c r="AN70" s="90"/>
      <c r="AO70" s="90"/>
      <c r="BV70" s="1"/>
      <c r="CS70" s="1"/>
      <c r="CY70"/>
      <c r="CZ70"/>
      <c r="DD70" s="248"/>
      <c r="DE70" s="248"/>
    </row>
    <row r="71" spans="1:109" hidden="1">
      <c r="A71" s="498" t="s">
        <v>120</v>
      </c>
      <c r="B71" s="498"/>
      <c r="C71" s="498"/>
      <c r="D71" s="498">
        <f>COUNTIF([0]!Juli,"Weekend")</f>
        <v>8</v>
      </c>
      <c r="E71" s="499"/>
      <c r="F71" s="498" t="s">
        <v>192</v>
      </c>
      <c r="G71" s="498">
        <f>COUNTIFS($B$9:$B$39,"ti",[0]!Juli,"Skema 2")</f>
        <v>0</v>
      </c>
      <c r="H71" s="498"/>
      <c r="I71" s="662" t="s">
        <v>608</v>
      </c>
      <c r="J71" s="662"/>
      <c r="K71" s="662"/>
      <c r="L71" s="662"/>
      <c r="M71" s="667"/>
      <c r="N71" s="667"/>
      <c r="O71" s="4"/>
      <c r="P71" s="678"/>
      <c r="Q71" s="681">
        <f>IF(Stamoplysninger!$B$26="Der er indgået lokalaftale omkring weekendtimer.(Kræver aftale med TR/FSL) Weekendtillæg afspadseres.",ES40+ET40-EU40-EV40,0)</f>
        <v>0</v>
      </c>
      <c r="R71" s="230"/>
      <c r="S71" s="230"/>
      <c r="T71" s="230"/>
      <c r="U71" s="230"/>
      <c r="V71" s="230"/>
      <c r="W71" s="118"/>
      <c r="X71" s="118"/>
      <c r="Y71"/>
      <c r="Z71"/>
      <c r="AM71" s="1"/>
      <c r="BJ71" s="1"/>
      <c r="BU71" s="248"/>
      <c r="BV71" s="248"/>
      <c r="CY71"/>
      <c r="CZ71"/>
    </row>
    <row r="72" spans="1:109" hidden="1">
      <c r="A72" s="498" t="s">
        <v>127</v>
      </c>
      <c r="B72" s="498"/>
      <c r="C72" s="498"/>
      <c r="D72" s="498">
        <f>COUNTIF([0]!Juli,"SH-dag")</f>
        <v>0</v>
      </c>
      <c r="E72" s="499"/>
      <c r="F72" s="498" t="s">
        <v>193</v>
      </c>
      <c r="G72" s="498">
        <f>COUNTIFS($B$9:$B$39,"on",[0]!Juli,"Skema 2")</f>
        <v>0</v>
      </c>
      <c r="H72" s="498"/>
      <c r="I72" s="662" t="s">
        <v>609</v>
      </c>
      <c r="J72" s="662"/>
      <c r="K72" s="662"/>
      <c r="L72" s="662"/>
      <c r="M72" s="667"/>
      <c r="N72" s="667"/>
      <c r="O72" s="4"/>
      <c r="P72" s="678">
        <f>IF(Stamoplysninger!$B$26="Der er indgået lokalaftale omkring weekendtimer(Kræver aftale med TR/FSL). Weekendtillæg udbetales.",EW40+EX40-EY40-EZ40,0)</f>
        <v>0</v>
      </c>
      <c r="Q72" s="680"/>
      <c r="R72" s="230"/>
      <c r="S72" s="230"/>
      <c r="T72" s="230"/>
      <c r="U72" s="230"/>
      <c r="V72" s="230"/>
      <c r="W72" s="118"/>
      <c r="X72" s="118"/>
      <c r="Y72"/>
      <c r="Z72"/>
      <c r="AM72" s="1"/>
      <c r="BJ72" s="1"/>
      <c r="BU72" s="248"/>
      <c r="BV72" s="248"/>
      <c r="CY72"/>
      <c r="CZ72"/>
    </row>
    <row r="73" spans="1:109" hidden="1">
      <c r="A73" s="498" t="s">
        <v>109</v>
      </c>
      <c r="B73" s="498"/>
      <c r="C73" s="498"/>
      <c r="D73" s="498">
        <f>COUNTIF([0]!Juli,"Feriedag")</f>
        <v>18</v>
      </c>
      <c r="E73" s="499"/>
      <c r="F73" s="498" t="s">
        <v>194</v>
      </c>
      <c r="G73" s="498">
        <f>COUNTIFS($B$9:$B$39,"to",[0]!Juli,"Skema 2")</f>
        <v>0</v>
      </c>
      <c r="H73" s="498"/>
      <c r="I73" s="662" t="s">
        <v>610</v>
      </c>
      <c r="J73" s="662"/>
      <c r="K73" s="662"/>
      <c r="L73" s="662"/>
      <c r="M73" s="667"/>
      <c r="N73" s="667"/>
      <c r="O73" s="4"/>
      <c r="P73" s="678"/>
      <c r="Q73" s="629">
        <f>IF(Stamoplysninger!$B$26="Der er indgået lokalaftale omkring weekendtillæg(Kræver aftale med TR/FSL). Weekendtimerne afspadseres.",FA40+FB40-FC40-FD40,0)</f>
        <v>0</v>
      </c>
      <c r="R73" s="41"/>
      <c r="S73" s="41"/>
      <c r="T73" s="41"/>
      <c r="Y73"/>
      <c r="Z73"/>
      <c r="AM73" s="1"/>
      <c r="BJ73" s="1"/>
      <c r="BU73" s="248"/>
      <c r="BV73" s="248"/>
      <c r="CY73"/>
      <c r="CZ73"/>
    </row>
    <row r="74" spans="1:109" hidden="1">
      <c r="A74" s="498" t="s">
        <v>178</v>
      </c>
      <c r="B74" s="498"/>
      <c r="C74" s="498"/>
      <c r="D74" s="498">
        <f>COUNTIF([0]!Juli,"Nul-dag")</f>
        <v>4</v>
      </c>
      <c r="E74" s="499"/>
      <c r="F74" s="498" t="s">
        <v>195</v>
      </c>
      <c r="G74" s="498">
        <f>COUNTIFS($B$9:$B$39,"fr",[0]!Juli,"Skema 2")</f>
        <v>0</v>
      </c>
      <c r="H74" s="498"/>
      <c r="I74" s="662" t="s">
        <v>611</v>
      </c>
      <c r="J74" s="662"/>
      <c r="K74" s="662"/>
      <c r="L74" s="662"/>
      <c r="M74" s="667"/>
      <c r="N74" s="667"/>
      <c r="O74" s="4"/>
      <c r="P74" s="678">
        <f>IF(Stamoplysninger!$B$26="Der er indgået lokalaftale omkring weekendtillæg(Kræver aftale med TR/FSL). Weekendtimerne udbetales.",FE40+FF40-FG40-FH40,0)</f>
        <v>0</v>
      </c>
      <c r="Q74" s="629"/>
      <c r="V74" t="s">
        <v>618</v>
      </c>
      <c r="Y74"/>
      <c r="Z74"/>
      <c r="AM74" s="1"/>
      <c r="BJ74" s="1"/>
      <c r="BU74" s="248"/>
      <c r="BV74" s="248"/>
      <c r="CY74"/>
      <c r="CZ74"/>
    </row>
    <row r="75" spans="1:109" hidden="1">
      <c r="A75" s="498" t="s">
        <v>416</v>
      </c>
      <c r="B75" s="498"/>
      <c r="C75" s="498"/>
      <c r="D75" s="498">
        <f>COUNTIF([0]!Juli,"Orlov")</f>
        <v>0</v>
      </c>
      <c r="E75" s="499"/>
      <c r="F75" s="504"/>
      <c r="G75" s="504"/>
      <c r="H75" s="504"/>
      <c r="I75" s="662" t="s">
        <v>617</v>
      </c>
      <c r="J75" s="662"/>
      <c r="K75" s="662"/>
      <c r="L75" s="662"/>
      <c r="M75" s="668"/>
      <c r="N75" s="668"/>
      <c r="O75" s="4"/>
      <c r="P75" s="661"/>
      <c r="R75">
        <f>IF(C10="ikke relevant",V10*-1+X10*-1,0)</f>
        <v>0</v>
      </c>
      <c r="S75" t="s">
        <v>623</v>
      </c>
      <c r="V75">
        <f>IF(C10="ikke relevant",R10*-1,0)</f>
        <v>0</v>
      </c>
      <c r="Y75" s="390">
        <f>IF(Stamoplysninger!B26="Der er indgået lokalaftale omkring weekendtillæg. Weekendtimerne afspadseres.",Juli!#REF!,0)</f>
        <v>0</v>
      </c>
      <c r="Z75" s="390"/>
      <c r="AA75" s="390"/>
      <c r="AB75" s="391"/>
      <c r="AC75" s="123"/>
      <c r="AD75" s="123"/>
      <c r="AE75" s="230"/>
      <c r="AG75" s="230"/>
      <c r="AH75" s="230"/>
      <c r="AI75" s="230"/>
      <c r="AJ75" s="118"/>
      <c r="AK75" s="118"/>
      <c r="BA75" s="1"/>
      <c r="BX75" s="1"/>
      <c r="CI75" s="248"/>
      <c r="CJ75" s="248"/>
      <c r="CY75"/>
      <c r="CZ75"/>
    </row>
    <row r="76" spans="1:109" hidden="1">
      <c r="A76" s="498" t="s">
        <v>160</v>
      </c>
      <c r="B76" s="498"/>
      <c r="C76" s="498"/>
      <c r="D76" s="498">
        <f>COUNTIF([0]!Juli,"Ikke relevant")</f>
        <v>0</v>
      </c>
      <c r="E76" s="499"/>
      <c r="F76" s="498" t="s">
        <v>196</v>
      </c>
      <c r="G76" s="498">
        <f>COUNTIFS($B$9:$B$39,"ma",[0]!Juli,"Skema 3")</f>
        <v>0</v>
      </c>
      <c r="H76" s="498"/>
      <c r="I76" s="662"/>
      <c r="J76" s="662"/>
      <c r="K76" s="662"/>
      <c r="L76" s="511"/>
      <c r="M76" s="668"/>
      <c r="N76" s="668"/>
      <c r="O76" s="4"/>
      <c r="P76" s="661"/>
      <c r="R76">
        <f>IF(C11="ikke relevant",V11*-1+X11*-1,0)</f>
        <v>0</v>
      </c>
      <c r="V76">
        <f>IF(C11="ikke relevant",R11*-1,0)</f>
        <v>0</v>
      </c>
      <c r="Y76" s="390">
        <f>IF(Stamoplysninger!B26="Der er indgået lokalaftale omkring weekendtillæg. Weekendtimerne udbetales.",Juli!#REF!,0)</f>
        <v>0</v>
      </c>
      <c r="Z76" s="390"/>
      <c r="AA76" s="390"/>
      <c r="AB76" s="391"/>
      <c r="AC76" s="123"/>
      <c r="AD76" s="123"/>
      <c r="AE76" s="230"/>
      <c r="AG76" s="230"/>
      <c r="AH76" s="230"/>
      <c r="AI76" s="230"/>
      <c r="AJ76" s="118"/>
      <c r="AK76" s="118"/>
      <c r="BA76" s="1"/>
      <c r="BX76" s="1"/>
      <c r="CI76" s="248"/>
      <c r="CJ76" s="248"/>
      <c r="CY76"/>
      <c r="CZ76"/>
    </row>
    <row r="77" spans="1:109" hidden="1">
      <c r="A77" s="498" t="s">
        <v>108</v>
      </c>
      <c r="B77" s="498"/>
      <c r="C77" s="498"/>
      <c r="D77" s="498">
        <f>SUM(D64:D76)</f>
        <v>31</v>
      </c>
      <c r="E77" s="498"/>
      <c r="F77" s="498" t="s">
        <v>197</v>
      </c>
      <c r="G77" s="498">
        <f>COUNTIFS($B$9:$B$39,"ti",[0]!Juli,"Skema 3")</f>
        <v>0</v>
      </c>
      <c r="H77" s="498"/>
      <c r="I77" s="662"/>
      <c r="J77" s="662"/>
      <c r="K77" s="662"/>
      <c r="L77" s="511"/>
      <c r="M77" s="668"/>
      <c r="N77" s="668"/>
      <c r="O77" s="4"/>
      <c r="P77" s="661"/>
      <c r="R77">
        <f t="shared" ref="R77:R105" si="36">IF(C12="ikke relevant",V12*-1+X12*-1,0)</f>
        <v>0</v>
      </c>
      <c r="V77">
        <f t="shared" ref="V77:V105" si="37">IF(C12="ikke relevant",R12*-1,0)</f>
        <v>0</v>
      </c>
      <c r="Y77" s="41"/>
      <c r="Z77" s="41"/>
      <c r="AA77" s="41"/>
      <c r="AB77" s="41"/>
      <c r="AC77" s="41"/>
      <c r="AD77" s="41"/>
      <c r="AE77" s="41"/>
      <c r="AG77" s="41"/>
      <c r="AM77" s="1"/>
      <c r="BA77" s="1"/>
      <c r="BX77" s="1"/>
      <c r="CI77" s="248"/>
      <c r="CJ77" s="248"/>
      <c r="CY77"/>
      <c r="CZ77"/>
    </row>
    <row r="78" spans="1:109" hidden="1">
      <c r="A78" s="498" t="s">
        <v>239</v>
      </c>
      <c r="B78" s="498"/>
      <c r="C78" s="498"/>
      <c r="D78" s="498">
        <f>D77-D71-A87-D76</f>
        <v>23</v>
      </c>
      <c r="E78" s="505"/>
      <c r="F78" s="498" t="s">
        <v>198</v>
      </c>
      <c r="G78" s="498">
        <f>COUNTIFS($B$9:$B$39,"on",[0]!Juli,"Skema 3")</f>
        <v>0</v>
      </c>
      <c r="H78" s="498"/>
      <c r="I78" s="662"/>
      <c r="J78" s="662"/>
      <c r="K78" s="662"/>
      <c r="L78" s="511"/>
      <c r="M78" s="668"/>
      <c r="N78" s="668"/>
      <c r="O78" s="4"/>
      <c r="P78" s="661"/>
      <c r="R78">
        <f t="shared" si="36"/>
        <v>0</v>
      </c>
      <c r="V78">
        <f t="shared" si="37"/>
        <v>0</v>
      </c>
      <c r="Y78"/>
      <c r="Z78" s="1"/>
      <c r="AO78" s="1"/>
      <c r="BL78" s="1"/>
      <c r="BW78" s="248"/>
      <c r="BX78" s="248"/>
      <c r="CY78"/>
      <c r="CZ78"/>
    </row>
    <row r="79" spans="1:109" hidden="1">
      <c r="A79" s="498"/>
      <c r="B79" s="498"/>
      <c r="C79" s="498"/>
      <c r="D79" s="498"/>
      <c r="E79" s="498"/>
      <c r="F79" s="498" t="s">
        <v>199</v>
      </c>
      <c r="G79" s="498">
        <f>COUNTIFS($B$9:$B$39,"to",[0]!Juli,"Skema 3")</f>
        <v>0</v>
      </c>
      <c r="H79" s="498"/>
      <c r="I79" s="664"/>
      <c r="J79" s="662"/>
      <c r="K79" s="662"/>
      <c r="L79" s="511"/>
      <c r="M79" s="660"/>
      <c r="N79" s="660"/>
      <c r="O79" s="4"/>
      <c r="P79" s="661"/>
      <c r="R79">
        <f t="shared" si="36"/>
        <v>0</v>
      </c>
      <c r="V79">
        <f t="shared" si="37"/>
        <v>0</v>
      </c>
      <c r="Y79"/>
      <c r="Z79" s="1"/>
      <c r="AO79" s="1"/>
      <c r="BL79" s="1"/>
      <c r="BW79" s="248"/>
      <c r="BX79" s="248"/>
      <c r="CY79"/>
      <c r="CZ79"/>
    </row>
    <row r="80" spans="1:109" hidden="1">
      <c r="A80" s="498"/>
      <c r="B80" s="498"/>
      <c r="C80" s="498"/>
      <c r="D80" s="498"/>
      <c r="E80" s="498"/>
      <c r="F80" s="498" t="s">
        <v>200</v>
      </c>
      <c r="G80" s="498">
        <f>COUNTIFS($B$9:$B$39,"fr",[0]!Juli,"Skema 3")</f>
        <v>0</v>
      </c>
      <c r="H80" s="498"/>
      <c r="I80" s="506"/>
      <c r="J80" s="511"/>
      <c r="K80" s="511"/>
      <c r="L80" s="511"/>
      <c r="M80" s="4"/>
      <c r="N80" s="4"/>
      <c r="O80" s="4"/>
      <c r="P80" s="4"/>
      <c r="R80">
        <f t="shared" si="36"/>
        <v>0</v>
      </c>
      <c r="V80">
        <f t="shared" si="37"/>
        <v>0</v>
      </c>
      <c r="Y80"/>
      <c r="Z80" s="1"/>
      <c r="AO80" s="1"/>
      <c r="BL80" s="1"/>
      <c r="BW80" s="248"/>
      <c r="BX80" s="248"/>
      <c r="CY80"/>
      <c r="CZ80"/>
    </row>
    <row r="81" spans="1:111" hidden="1">
      <c r="A81" s="498" t="s">
        <v>292</v>
      </c>
      <c r="B81" s="498"/>
      <c r="C81" s="498"/>
      <c r="D81" s="498"/>
      <c r="E81" s="498"/>
      <c r="F81" s="498"/>
      <c r="G81" s="498"/>
      <c r="H81" s="498"/>
      <c r="I81" s="506"/>
      <c r="J81" s="511"/>
      <c r="K81" s="511"/>
      <c r="L81" s="511"/>
      <c r="M81" s="4"/>
      <c r="N81" s="4"/>
      <c r="O81" s="4"/>
      <c r="P81" s="4"/>
      <c r="R81">
        <f t="shared" si="36"/>
        <v>0</v>
      </c>
      <c r="V81">
        <f t="shared" si="37"/>
        <v>0</v>
      </c>
      <c r="Y81"/>
      <c r="Z81" s="1"/>
      <c r="AO81" s="1"/>
      <c r="BL81" s="1"/>
      <c r="BW81" s="248"/>
      <c r="BX81" s="248"/>
      <c r="CY81"/>
      <c r="CZ81"/>
    </row>
    <row r="82" spans="1:111" hidden="1">
      <c r="A82" s="498">
        <f>COUNTIF(C13:C14,"Skema 1")+COUNTIF(C13:C14,"Skema 2")+COUNTIF(C13:C14,"Skema 3")+COUNTIF(C13:C14,"Skema 4")+COUNTIF(C13:C14,"Fagdag")+COUNTIF(C13:C14,"Emnedag")+COUNTIF(C13:C14,"Lejrskole")+COUNTIF(C13:C14,"Ekskursion")+COUNTIF(C13:C14,"Pæd.dag")</f>
        <v>0</v>
      </c>
      <c r="B82" s="498"/>
      <c r="C82" s="498"/>
      <c r="D82" s="498"/>
      <c r="E82" s="498"/>
      <c r="F82" s="498" t="s">
        <v>201</v>
      </c>
      <c r="G82" s="498">
        <f>COUNTIFS($B$9:$B$39,"ma",[0]!Juli,"Skema 4")</f>
        <v>0</v>
      </c>
      <c r="H82" s="498"/>
      <c r="I82" s="506"/>
      <c r="J82" s="511"/>
      <c r="K82" s="511"/>
      <c r="L82" s="511"/>
      <c r="M82" s="4"/>
      <c r="N82" s="4"/>
      <c r="O82" s="4"/>
      <c r="P82" s="4"/>
      <c r="R82">
        <f t="shared" si="36"/>
        <v>0</v>
      </c>
      <c r="V82">
        <f t="shared" si="37"/>
        <v>0</v>
      </c>
      <c r="Y82"/>
      <c r="Z82" s="1"/>
      <c r="AO82" s="1"/>
      <c r="BL82" s="1"/>
      <c r="BW82" s="248"/>
      <c r="BX82" s="248"/>
      <c r="CY82"/>
      <c r="CZ82"/>
    </row>
    <row r="83" spans="1:111" hidden="1">
      <c r="A83" s="498">
        <f>COUNTIF(C20:C21,"Skema 1")+COUNTIF(C20:C21,"Skema 2")+COUNTIF(C20:C21,"Skema 3")+COUNTIF(C20:C21,"Skema 4")+COUNTIF(C20:C21,"Fagdag")+COUNTIF(C20:C21,"Emnedag")+COUNTIF(C20:C21,"Lejrskole")+COUNTIF(C20:C21,"Ekskursion")+COUNTIF(C20:C21,"Pæd.dag")</f>
        <v>0</v>
      </c>
      <c r="B83" s="498"/>
      <c r="C83" s="498"/>
      <c r="D83" s="498"/>
      <c r="E83" s="498"/>
      <c r="F83" s="498" t="s">
        <v>202</v>
      </c>
      <c r="G83" s="498">
        <f>COUNTIFS($B$9:$B$39,"ti",[0]!Juli,"Skema 4")</f>
        <v>0</v>
      </c>
      <c r="H83" s="498"/>
      <c r="I83" s="506"/>
      <c r="J83" s="511"/>
      <c r="K83" s="511"/>
      <c r="L83" s="511"/>
      <c r="M83" s="4"/>
      <c r="N83" s="4"/>
      <c r="O83" s="4"/>
      <c r="P83" s="4"/>
      <c r="R83">
        <f t="shared" si="36"/>
        <v>0</v>
      </c>
      <c r="V83">
        <f t="shared" si="37"/>
        <v>0</v>
      </c>
      <c r="Y83"/>
      <c r="Z83" s="1"/>
      <c r="AO83" s="1"/>
      <c r="BL83" s="1"/>
      <c r="BW83" s="248"/>
      <c r="BX83" s="248"/>
      <c r="CY83"/>
      <c r="CZ83"/>
    </row>
    <row r="84" spans="1:111" hidden="1">
      <c r="A84" s="498">
        <f>COUNTIF(C27:C28,"Skema 1")+COUNTIF(C27:C28,"Skema 2")+COUNTIF(C27:C28,"Skema 3")+COUNTIF(C27:C28,"Skema 4")+COUNTIF(C27:C28,"Fagdag")+COUNTIF(C27:C28,"Emnedag")+COUNTIF(C27:C28,"Lejrskole")+COUNTIF(C27:C28,"Ekskursion")+COUNTIF(C27:C28,"Pæd.dag")</f>
        <v>0</v>
      </c>
      <c r="B84" s="498"/>
      <c r="C84" s="498"/>
      <c r="D84" s="498"/>
      <c r="E84" s="498"/>
      <c r="F84" s="498" t="s">
        <v>203</v>
      </c>
      <c r="G84" s="498">
        <f>COUNTIFS($B$9:$B$39,"on",[0]!Juli,"Skema 4")</f>
        <v>0</v>
      </c>
      <c r="H84" s="498"/>
      <c r="I84" s="506"/>
      <c r="J84" s="511"/>
      <c r="K84" s="511"/>
      <c r="L84" s="511"/>
      <c r="M84" s="4"/>
      <c r="N84" s="4"/>
      <c r="O84" s="4"/>
      <c r="P84" s="4"/>
      <c r="R84">
        <f t="shared" si="36"/>
        <v>0</v>
      </c>
      <c r="V84">
        <f t="shared" si="37"/>
        <v>0</v>
      </c>
      <c r="Y84"/>
      <c r="Z84" s="1"/>
      <c r="AO84" s="1"/>
      <c r="BL84" s="1"/>
      <c r="BW84" s="248"/>
      <c r="BX84" s="248"/>
      <c r="CY84"/>
      <c r="CZ84"/>
    </row>
    <row r="85" spans="1:111" hidden="1">
      <c r="A85" s="498">
        <f>COUNTIF(C34:C35,"Skema 1")+COUNTIF(C34:C35,"Skema 2")+COUNTIF(C34:C35,"Skema 3")+COUNTIF(C34:C35,"Skema 4")+COUNTIF(C34:C35,"Fagdag")+COUNTIF(C34:C35,"Emnedag")+COUNTIF(C34:C35,"Lejrskole")+COUNTIF(C34:C35,"Ekskursion")+COUNTIF(C34:C35,"Pæd.dag")</f>
        <v>0</v>
      </c>
      <c r="B85" s="498"/>
      <c r="C85" s="498"/>
      <c r="D85" s="498"/>
      <c r="E85" s="498"/>
      <c r="F85" s="498" t="s">
        <v>204</v>
      </c>
      <c r="G85" s="498">
        <f>COUNTIFS($B$9:$B$39,"to",[0]!Juli,"Skema 4")</f>
        <v>0</v>
      </c>
      <c r="H85" s="498"/>
      <c r="I85" s="506"/>
      <c r="J85" s="511"/>
      <c r="K85" s="511"/>
      <c r="L85" s="511"/>
      <c r="M85" s="4"/>
      <c r="N85" s="4"/>
      <c r="O85" s="4"/>
      <c r="P85" s="4"/>
      <c r="R85">
        <f t="shared" si="36"/>
        <v>0</v>
      </c>
      <c r="V85">
        <f t="shared" si="37"/>
        <v>0</v>
      </c>
      <c r="Y85"/>
      <c r="Z85"/>
      <c r="AO85" s="1">
        <f>SUM(N85:AN85)</f>
        <v>0</v>
      </c>
      <c r="BL85" s="1">
        <f>SUM(AI85:BK85)</f>
        <v>0</v>
      </c>
      <c r="BW85" s="248"/>
      <c r="BX85" s="248"/>
      <c r="CY85"/>
      <c r="CZ85"/>
    </row>
    <row r="86" spans="1:111" hidden="1">
      <c r="A86" s="498"/>
      <c r="B86" s="498"/>
      <c r="C86" s="498"/>
      <c r="D86" s="498"/>
      <c r="E86" s="498"/>
      <c r="F86" s="498" t="s">
        <v>205</v>
      </c>
      <c r="G86" s="498">
        <f>COUNTIFS($B$9:$B$39,"fr",[0]!Juli,"Skema 4")</f>
        <v>0</v>
      </c>
      <c r="H86" s="498"/>
      <c r="I86" s="498"/>
      <c r="J86" s="501"/>
      <c r="K86" s="501"/>
      <c r="L86" s="41"/>
      <c r="R86">
        <f t="shared" si="36"/>
        <v>0</v>
      </c>
      <c r="V86">
        <f t="shared" si="37"/>
        <v>0</v>
      </c>
      <c r="Y86"/>
      <c r="Z86"/>
      <c r="AO86" s="1">
        <f>SUM(N86:AN86)</f>
        <v>0</v>
      </c>
      <c r="BL86" s="1">
        <f>SUM(AI86:BK86)</f>
        <v>0</v>
      </c>
      <c r="BW86" s="248"/>
      <c r="BX86" s="248"/>
      <c r="CY86"/>
      <c r="CZ86"/>
    </row>
    <row r="87" spans="1:111" hidden="1">
      <c r="A87" s="498">
        <f>SUM(A82:A86)</f>
        <v>0</v>
      </c>
      <c r="B87" s="498"/>
      <c r="C87" s="498"/>
      <c r="D87" s="498"/>
      <c r="E87" s="498"/>
      <c r="F87" s="498"/>
      <c r="G87" s="503">
        <f>SUM(G64:G86)</f>
        <v>0</v>
      </c>
      <c r="H87" s="501"/>
      <c r="I87" s="498"/>
      <c r="J87" s="501"/>
      <c r="K87" s="501"/>
      <c r="L87" s="41"/>
      <c r="R87">
        <f t="shared" si="36"/>
        <v>0</v>
      </c>
      <c r="V87">
        <f t="shared" si="37"/>
        <v>0</v>
      </c>
      <c r="Y87"/>
      <c r="Z87"/>
      <c r="AO87" s="1">
        <f>SUM(N87:AN87)</f>
        <v>0</v>
      </c>
      <c r="BL87" s="1">
        <f>SUM(AI87:BK87)</f>
        <v>0</v>
      </c>
      <c r="BW87" s="248"/>
      <c r="BX87" s="248"/>
      <c r="CY87"/>
      <c r="CZ87"/>
    </row>
    <row r="88" spans="1:111" hidden="1">
      <c r="A88" s="501"/>
      <c r="B88" s="501"/>
      <c r="C88" s="501"/>
      <c r="D88" s="501"/>
      <c r="E88" s="498"/>
      <c r="F88" s="498"/>
      <c r="G88" s="498"/>
      <c r="H88" s="41"/>
      <c r="I88" s="501"/>
      <c r="J88" s="501"/>
      <c r="K88" s="501"/>
      <c r="L88" s="41"/>
      <c r="R88">
        <f t="shared" si="36"/>
        <v>0</v>
      </c>
      <c r="V88">
        <f t="shared" si="37"/>
        <v>0</v>
      </c>
      <c r="Y88"/>
      <c r="Z88"/>
      <c r="AO88" s="1">
        <f>SUM(N88:AN88)</f>
        <v>0</v>
      </c>
      <c r="BL88" s="1">
        <f>SUM(AI88:BK88)</f>
        <v>0</v>
      </c>
      <c r="BW88" s="248"/>
      <c r="BX88" s="248"/>
      <c r="CY88"/>
      <c r="CZ88"/>
    </row>
    <row r="89" spans="1:111" hidden="1">
      <c r="A89" s="501"/>
      <c r="B89" s="501"/>
      <c r="C89" s="501"/>
      <c r="D89" s="501"/>
      <c r="E89" s="498"/>
      <c r="F89" s="498"/>
      <c r="G89" s="498"/>
      <c r="H89" s="41"/>
      <c r="I89" s="41"/>
      <c r="J89" s="501"/>
      <c r="K89" s="501"/>
      <c r="L89" s="41"/>
      <c r="R89">
        <f t="shared" si="36"/>
        <v>0</v>
      </c>
      <c r="V89">
        <f t="shared" si="37"/>
        <v>0</v>
      </c>
      <c r="Y89"/>
      <c r="Z89"/>
      <c r="BW89" s="248"/>
      <c r="BX89" s="248"/>
      <c r="CY89"/>
      <c r="CZ89"/>
    </row>
    <row r="90" spans="1:111" hidden="1">
      <c r="A90" s="501"/>
      <c r="B90" s="501"/>
      <c r="C90" s="501"/>
      <c r="D90" s="501"/>
      <c r="E90" s="498"/>
      <c r="F90" s="498"/>
      <c r="G90" s="498"/>
      <c r="H90" s="41"/>
      <c r="I90" s="41"/>
      <c r="J90" s="41"/>
      <c r="K90" s="41"/>
      <c r="L90" s="41"/>
      <c r="R90">
        <f t="shared" si="36"/>
        <v>0</v>
      </c>
      <c r="V90">
        <f t="shared" si="37"/>
        <v>0</v>
      </c>
      <c r="Y90"/>
      <c r="Z90"/>
      <c r="BW90" s="248"/>
      <c r="BX90" s="248"/>
      <c r="CY90"/>
      <c r="CZ90"/>
    </row>
    <row r="91" spans="1:111" hidden="1">
      <c r="A91" s="501"/>
      <c r="B91" s="501"/>
      <c r="C91" s="501"/>
      <c r="D91" s="501"/>
      <c r="E91" s="498"/>
      <c r="F91" s="498"/>
      <c r="G91" s="498"/>
      <c r="H91" s="41"/>
      <c r="I91" s="41"/>
      <c r="J91" s="41"/>
      <c r="K91" s="41"/>
      <c r="L91" s="41"/>
      <c r="R91">
        <f t="shared" si="36"/>
        <v>0</v>
      </c>
      <c r="V91">
        <f t="shared" si="37"/>
        <v>0</v>
      </c>
      <c r="Y91"/>
      <c r="Z91"/>
      <c r="BW91" s="248"/>
      <c r="BX91" s="248"/>
      <c r="CY91"/>
      <c r="CZ91"/>
    </row>
    <row r="92" spans="1:111" hidden="1">
      <c r="A92" s="501"/>
      <c r="B92" s="501"/>
      <c r="C92" s="501"/>
      <c r="D92" s="501"/>
      <c r="E92" s="498"/>
      <c r="F92" s="498"/>
      <c r="G92" s="498"/>
      <c r="I92" s="41"/>
      <c r="J92" s="41"/>
      <c r="K92" s="41"/>
      <c r="L92" s="41"/>
      <c r="R92">
        <f t="shared" si="36"/>
        <v>0</v>
      </c>
      <c r="V92">
        <f t="shared" si="37"/>
        <v>0</v>
      </c>
      <c r="Y92"/>
      <c r="Z92"/>
      <c r="BW92" s="248"/>
      <c r="BX92" s="248"/>
      <c r="CY92"/>
      <c r="CZ92"/>
    </row>
    <row r="93" spans="1:111" hidden="1">
      <c r="A93" s="501"/>
      <c r="B93" s="501"/>
      <c r="C93" s="501"/>
      <c r="D93" s="501"/>
      <c r="E93" s="498"/>
      <c r="F93" s="498"/>
      <c r="G93" s="498"/>
      <c r="I93" s="41"/>
      <c r="J93" s="41"/>
      <c r="K93" s="41"/>
      <c r="L93" s="41"/>
      <c r="R93">
        <f t="shared" si="36"/>
        <v>0</v>
      </c>
      <c r="V93">
        <f t="shared" si="37"/>
        <v>0</v>
      </c>
      <c r="Y93"/>
      <c r="Z93"/>
      <c r="AF93" s="231"/>
      <c r="BW93" s="248"/>
      <c r="BX93" s="248"/>
      <c r="CY93"/>
      <c r="CZ93"/>
    </row>
    <row r="94" spans="1:111" hidden="1">
      <c r="A94" s="501"/>
      <c r="B94" s="501"/>
      <c r="C94" s="501"/>
      <c r="D94" s="501"/>
      <c r="E94" s="498"/>
      <c r="F94" s="498"/>
      <c r="G94" s="498"/>
      <c r="I94" s="41"/>
      <c r="J94" s="41"/>
      <c r="K94" s="41"/>
      <c r="L94" s="41"/>
      <c r="R94">
        <f t="shared" si="36"/>
        <v>0</v>
      </c>
      <c r="V94">
        <f t="shared" si="37"/>
        <v>0</v>
      </c>
      <c r="Y94"/>
      <c r="Z94"/>
      <c r="AD94" s="4"/>
      <c r="AE94" s="231"/>
      <c r="AF94" s="231"/>
      <c r="AG94" s="231"/>
      <c r="AH94" s="231"/>
      <c r="CY94"/>
      <c r="CZ94"/>
      <c r="DF94" s="248"/>
      <c r="DG94" s="248"/>
    </row>
    <row r="95" spans="1:111" hidden="1">
      <c r="A95" s="501"/>
      <c r="B95" s="501"/>
      <c r="C95" s="501"/>
      <c r="D95" s="501"/>
      <c r="E95" s="498"/>
      <c r="F95" s="498"/>
      <c r="G95" s="498"/>
      <c r="I95" s="41"/>
      <c r="J95" s="41"/>
      <c r="K95" s="41"/>
      <c r="L95" s="41"/>
      <c r="R95">
        <f t="shared" si="36"/>
        <v>0</v>
      </c>
      <c r="V95">
        <f t="shared" si="37"/>
        <v>0</v>
      </c>
      <c r="Y95"/>
      <c r="Z95"/>
      <c r="AD95" s="4"/>
      <c r="AE95" s="231"/>
      <c r="AG95" s="231"/>
      <c r="AH95" s="231"/>
      <c r="CY95"/>
      <c r="CZ95"/>
      <c r="DF95" s="248"/>
      <c r="DG95" s="248"/>
    </row>
    <row r="96" spans="1:111" hidden="1">
      <c r="A96" s="501"/>
      <c r="B96" s="501"/>
      <c r="C96" s="501"/>
      <c r="D96" s="501"/>
      <c r="E96" s="498"/>
      <c r="F96" s="498"/>
      <c r="G96" s="498"/>
      <c r="I96" s="41"/>
      <c r="J96" s="41"/>
      <c r="K96" s="41"/>
      <c r="L96" s="41"/>
      <c r="R96">
        <f t="shared" si="36"/>
        <v>0</v>
      </c>
      <c r="V96">
        <f t="shared" si="37"/>
        <v>0</v>
      </c>
    </row>
    <row r="97" spans="1:22" hidden="1">
      <c r="A97" s="501"/>
      <c r="B97" s="501"/>
      <c r="C97" s="501"/>
      <c r="D97" s="501"/>
      <c r="E97" s="498"/>
      <c r="F97" s="498"/>
      <c r="G97" s="498"/>
      <c r="I97" s="41"/>
      <c r="J97" s="41"/>
      <c r="K97" s="41"/>
      <c r="L97" s="41"/>
      <c r="R97">
        <f t="shared" si="36"/>
        <v>0</v>
      </c>
      <c r="V97">
        <f t="shared" si="37"/>
        <v>0</v>
      </c>
    </row>
    <row r="98" spans="1:22" hidden="1">
      <c r="A98" s="501"/>
      <c r="B98" s="501"/>
      <c r="C98" s="501"/>
      <c r="D98" s="501"/>
      <c r="E98" s="501"/>
      <c r="F98" s="501"/>
      <c r="G98" s="501"/>
      <c r="I98" s="41"/>
      <c r="J98" s="41"/>
      <c r="K98" s="41"/>
      <c r="L98" s="41"/>
      <c r="R98">
        <f t="shared" si="36"/>
        <v>0</v>
      </c>
      <c r="V98">
        <f t="shared" si="37"/>
        <v>0</v>
      </c>
    </row>
    <row r="99" spans="1:22" hidden="1">
      <c r="I99" s="41"/>
      <c r="J99" s="41"/>
      <c r="K99" s="41"/>
      <c r="L99" s="41"/>
      <c r="R99">
        <f t="shared" si="36"/>
        <v>0</v>
      </c>
      <c r="V99">
        <f t="shared" si="37"/>
        <v>0</v>
      </c>
    </row>
    <row r="100" spans="1:22" hidden="1">
      <c r="I100" s="41"/>
      <c r="J100" s="41"/>
      <c r="K100" s="41"/>
      <c r="L100" s="445"/>
      <c r="R100">
        <f t="shared" si="36"/>
        <v>0</v>
      </c>
      <c r="V100">
        <f t="shared" si="37"/>
        <v>0</v>
      </c>
    </row>
    <row r="101" spans="1:22" hidden="1">
      <c r="I101" s="41"/>
      <c r="J101" s="41"/>
      <c r="K101" s="41"/>
      <c r="L101" s="445"/>
      <c r="R101">
        <f t="shared" si="36"/>
        <v>0</v>
      </c>
      <c r="V101">
        <f t="shared" si="37"/>
        <v>0</v>
      </c>
    </row>
    <row r="102" spans="1:22" hidden="1">
      <c r="I102" s="41"/>
      <c r="J102" s="41"/>
      <c r="K102" s="41"/>
      <c r="L102" s="445"/>
      <c r="R102">
        <f t="shared" si="36"/>
        <v>0</v>
      </c>
      <c r="V102">
        <f t="shared" si="37"/>
        <v>0</v>
      </c>
    </row>
    <row r="103" spans="1:22" hidden="1">
      <c r="I103" s="445"/>
      <c r="J103" s="41"/>
      <c r="K103" s="41"/>
      <c r="L103" s="445"/>
      <c r="R103">
        <f t="shared" si="36"/>
        <v>0</v>
      </c>
      <c r="V103">
        <f t="shared" si="37"/>
        <v>0</v>
      </c>
    </row>
    <row r="104" spans="1:22" hidden="1">
      <c r="I104" s="445"/>
      <c r="J104" s="445"/>
      <c r="K104" s="445"/>
      <c r="L104" s="445"/>
      <c r="R104">
        <f t="shared" si="36"/>
        <v>0</v>
      </c>
      <c r="V104">
        <f t="shared" si="37"/>
        <v>0</v>
      </c>
    </row>
    <row r="105" spans="1:22" ht="17" hidden="1" thickBot="1">
      <c r="I105" s="445"/>
      <c r="J105" s="445"/>
      <c r="K105" s="445"/>
      <c r="L105" s="445"/>
      <c r="R105">
        <f t="shared" si="36"/>
        <v>0</v>
      </c>
      <c r="V105">
        <f t="shared" si="37"/>
        <v>0</v>
      </c>
    </row>
    <row r="106" spans="1:22" ht="17" hidden="1" thickBot="1">
      <c r="I106" s="445"/>
      <c r="J106" s="445"/>
      <c r="K106" s="445"/>
      <c r="L106" s="445"/>
      <c r="R106" s="693">
        <f>SUM(R75:R105)+FB40</f>
        <v>0</v>
      </c>
      <c r="V106">
        <f>SUM(V75:V105)</f>
        <v>0</v>
      </c>
    </row>
    <row r="107" spans="1:22" hidden="1">
      <c r="I107" s="445"/>
      <c r="J107" s="445"/>
      <c r="K107" s="445"/>
      <c r="L107" s="445"/>
    </row>
    <row r="108" spans="1:22" hidden="1"/>
    <row r="109" spans="1:22" hidden="1"/>
    <row r="110" spans="1:22" hidden="1"/>
    <row r="111" spans="1:22" hidden="1"/>
  </sheetData>
  <sheetProtection sheet="1" objects="1" scenarios="1"/>
  <mergeCells count="174">
    <mergeCell ref="FQ8:FR8"/>
    <mergeCell ref="DS8:DV8"/>
    <mergeCell ref="DZ8:EB8"/>
    <mergeCell ref="EG8:EI8"/>
    <mergeCell ref="EM8:EN8"/>
    <mergeCell ref="EQ8:ER8"/>
    <mergeCell ref="EU8:EV8"/>
    <mergeCell ref="FC8:FD8"/>
    <mergeCell ref="FG8:FH8"/>
    <mergeCell ref="FK8:FL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E30:G30"/>
    <mergeCell ref="E31:G31"/>
    <mergeCell ref="E33:G33"/>
    <mergeCell ref="E34:G34"/>
    <mergeCell ref="E35:G35"/>
    <mergeCell ref="E29:G29"/>
    <mergeCell ref="E26:G26"/>
    <mergeCell ref="S6:X6"/>
    <mergeCell ref="S8:U8"/>
    <mergeCell ref="V8:X8"/>
    <mergeCell ref="I6:I7"/>
    <mergeCell ref="J6:J7"/>
    <mergeCell ref="E17:G17"/>
    <mergeCell ref="E18:G18"/>
    <mergeCell ref="E19:G19"/>
    <mergeCell ref="E20:G20"/>
    <mergeCell ref="E21:G21"/>
    <mergeCell ref="E22:G22"/>
    <mergeCell ref="BG6:BK6"/>
    <mergeCell ref="BL6:BP6"/>
    <mergeCell ref="AG6:AK6"/>
    <mergeCell ref="E6:G8"/>
    <mergeCell ref="K6:L6"/>
    <mergeCell ref="N6:N7"/>
    <mergeCell ref="O6:O7"/>
    <mergeCell ref="E25:G25"/>
    <mergeCell ref="I8:J8"/>
    <mergeCell ref="AA6:AE6"/>
    <mergeCell ref="E15:G15"/>
    <mergeCell ref="E16:G16"/>
    <mergeCell ref="E23:G23"/>
    <mergeCell ref="E24:G24"/>
    <mergeCell ref="E11:G11"/>
    <mergeCell ref="K8:R8"/>
    <mergeCell ref="B2:E2"/>
    <mergeCell ref="E4:G4"/>
    <mergeCell ref="K4:L4"/>
    <mergeCell ref="A5:R5"/>
    <mergeCell ref="P6:P7"/>
    <mergeCell ref="Q6:Q7"/>
    <mergeCell ref="R6:R7"/>
    <mergeCell ref="A4:D4"/>
    <mergeCell ref="S5:X5"/>
    <mergeCell ref="A3:X3"/>
    <mergeCell ref="A7:D8"/>
    <mergeCell ref="H7:H8"/>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 ref="I53:K53"/>
    <mergeCell ref="M53:U53"/>
    <mergeCell ref="V53:X53"/>
    <mergeCell ref="I54:K54"/>
    <mergeCell ref="E12:G12"/>
    <mergeCell ref="E13:G13"/>
    <mergeCell ref="E14:G14"/>
    <mergeCell ref="EY8:EZ8"/>
    <mergeCell ref="EW6:EZ6"/>
    <mergeCell ref="M52:U52"/>
    <mergeCell ref="V52:X52"/>
    <mergeCell ref="DA6:DE6"/>
    <mergeCell ref="E9:G9"/>
    <mergeCell ref="E10:G10"/>
    <mergeCell ref="BQ6:BU6"/>
    <mergeCell ref="BV6:BZ6"/>
    <mergeCell ref="CD6:CH6"/>
    <mergeCell ref="CI6:CM6"/>
    <mergeCell ref="CN6:CR6"/>
    <mergeCell ref="CS6:CW6"/>
    <mergeCell ref="AL6:AP6"/>
    <mergeCell ref="AQ6:AU6"/>
    <mergeCell ref="AV6:AZ6"/>
    <mergeCell ref="BC6:BF6"/>
  </mergeCells>
  <conditionalFormatting sqref="A9:H9 D10:H31 A10:C39 D32:E32 H32 D33:H39">
    <cfRule type="expression" dxfId="441" priority="77">
      <formula>OR($C9="SH-dag")</formula>
    </cfRule>
    <cfRule type="expression" dxfId="440" priority="76">
      <formula>OR($C9="nul-dag")</formula>
    </cfRule>
    <cfRule type="expression" dxfId="439" priority="71">
      <formula>OR($C9="skema 2")</formula>
    </cfRule>
    <cfRule type="expression" dxfId="438" priority="72">
      <formula>OR($C9="Skema 3")</formula>
    </cfRule>
    <cfRule type="expression" dxfId="437" priority="73">
      <formula>OR($C9="Skema 4")</formula>
    </cfRule>
    <cfRule type="expression" dxfId="436" priority="74">
      <formula>OR($C9="Ikke relevant")</formula>
    </cfRule>
    <cfRule type="expression" dxfId="435" priority="84" stopIfTrue="1">
      <formula>OR($C9="Orlov")</formula>
    </cfRule>
    <cfRule type="expression" dxfId="434" priority="83">
      <formula>OR($C9="weekend")</formula>
    </cfRule>
    <cfRule type="expression" dxfId="433" priority="82">
      <formula>OR($C9="feriedag")</formula>
    </cfRule>
    <cfRule type="expression" dxfId="432" priority="81">
      <formula>OR($C9="fagdag")</formula>
    </cfRule>
    <cfRule type="expression" dxfId="431" priority="80">
      <formula>OR($C9="emnedag")</formula>
    </cfRule>
    <cfRule type="expression" dxfId="430" priority="79">
      <formula>OR($C9="lejrskole")</formula>
    </cfRule>
    <cfRule type="expression" dxfId="429" priority="78">
      <formula>OR($C9="ekskursion")</formula>
    </cfRule>
    <cfRule type="expression" dxfId="428" priority="75">
      <formula>OR($C9="pæd.dag")</formula>
    </cfRule>
  </conditionalFormatting>
  <conditionalFormatting sqref="D10:H31 D33:H39 A9:H9 A10:C39 D32:E32 H32">
    <cfRule type="expression" dxfId="427" priority="70">
      <formula>OR($C9="Skema 1")</formula>
    </cfRule>
  </conditionalFormatting>
  <conditionalFormatting sqref="E20">
    <cfRule type="expression" dxfId="426" priority="86">
      <formula>OR($D19="nul-dag")</formula>
    </cfRule>
    <cfRule type="expression" dxfId="425" priority="92">
      <formula>OR($D19="feriedag")</formula>
    </cfRule>
    <cfRule type="expression" dxfId="424" priority="93">
      <formula>OR($D19="weekend")</formula>
    </cfRule>
    <cfRule type="expression" dxfId="423" priority="94" stopIfTrue="1">
      <formula>OR($D19="skoledag")</formula>
    </cfRule>
    <cfRule type="expression" dxfId="422" priority="95">
      <formula>OR($D19="Ikke relevant")</formula>
    </cfRule>
    <cfRule type="expression" dxfId="421" priority="85">
      <formula>OR($D19="pæd.dag")</formula>
    </cfRule>
    <cfRule type="expression" dxfId="420" priority="87">
      <formula>OR($D19="SH-dag")</formula>
    </cfRule>
    <cfRule type="expression" dxfId="419" priority="88">
      <formula>OR($D19="ekskursion")</formula>
    </cfRule>
    <cfRule type="expression" dxfId="418" priority="89">
      <formula>OR($D19="lejrskole")</formula>
    </cfRule>
    <cfRule type="expression" dxfId="417" priority="90">
      <formula>OR($D19="emnedag")</formula>
    </cfRule>
    <cfRule type="expression" dxfId="416" priority="91">
      <formula>OR($D19="fagdag")</formula>
    </cfRule>
  </conditionalFormatting>
  <conditionalFormatting sqref="E27">
    <cfRule type="expression" dxfId="415" priority="31" stopIfTrue="1">
      <formula>OR($D26="skoledag")</formula>
    </cfRule>
    <cfRule type="expression" dxfId="414" priority="32">
      <formula>OR($D26="Ikke relevant")</formula>
    </cfRule>
    <cfRule type="expression" dxfId="413" priority="30">
      <formula>OR($D26="weekend")</formula>
    </cfRule>
    <cfRule type="expression" dxfId="412" priority="29">
      <formula>OR($D26="feriedag")</formula>
    </cfRule>
    <cfRule type="expression" dxfId="411" priority="28">
      <formula>OR($D26="fagdag")</formula>
    </cfRule>
    <cfRule type="expression" dxfId="410" priority="27">
      <formula>OR($D26="emnedag")</formula>
    </cfRule>
    <cfRule type="expression" dxfId="409" priority="26">
      <formula>OR($D26="lejrskole")</formula>
    </cfRule>
    <cfRule type="expression" dxfId="408" priority="25">
      <formula>OR($D26="ekskursion")</formula>
    </cfRule>
    <cfRule type="expression" dxfId="407" priority="24">
      <formula>OR($D26="SH-dag")</formula>
    </cfRule>
    <cfRule type="expression" dxfId="406" priority="23">
      <formula>OR($D26="nul-dag")</formula>
    </cfRule>
    <cfRule type="expression" dxfId="405" priority="22">
      <formula>OR($D26="pæd.dag")</formula>
    </cfRule>
  </conditionalFormatting>
  <conditionalFormatting sqref="E34">
    <cfRule type="expression" dxfId="404" priority="21">
      <formula>OR($D33="Ikke relevant")</formula>
    </cfRule>
    <cfRule type="expression" dxfId="403" priority="20" stopIfTrue="1">
      <formula>OR($D33="skoledag")</formula>
    </cfRule>
    <cfRule type="expression" dxfId="402" priority="19">
      <formula>OR($D33="weekend")</formula>
    </cfRule>
    <cfRule type="expression" dxfId="401" priority="18">
      <formula>OR($D33="feriedag")</formula>
    </cfRule>
    <cfRule type="expression" dxfId="400" priority="17">
      <formula>OR($D33="fagdag")</formula>
    </cfRule>
    <cfRule type="expression" dxfId="399" priority="16">
      <formula>OR($D33="emnedag")</formula>
    </cfRule>
    <cfRule type="expression" dxfId="398" priority="15">
      <formula>OR($D33="lejrskole")</formula>
    </cfRule>
    <cfRule type="expression" dxfId="397" priority="14">
      <formula>OR($D33="ekskursion")</formula>
    </cfRule>
    <cfRule type="expression" dxfId="396" priority="13">
      <formula>OR($D33="SH-dag")</formula>
    </cfRule>
    <cfRule type="expression" dxfId="395" priority="12">
      <formula>OR($D33="nul-dag")</formula>
    </cfRule>
    <cfRule type="expression" dxfId="394" priority="11">
      <formula>OR($D33="pæd.dag")</formula>
    </cfRule>
  </conditionalFormatting>
  <conditionalFormatting sqref="H58:H61">
    <cfRule type="expression" dxfId="393" priority="1">
      <formula>OR($A58&gt;0,)</formula>
    </cfRule>
  </conditionalFormatting>
  <conditionalFormatting sqref="I58:I61">
    <cfRule type="expression" dxfId="392" priority="2">
      <formula>OR($C58&gt;0,)</formula>
    </cfRule>
  </conditionalFormatting>
  <conditionalFormatting sqref="K9:K39">
    <cfRule type="expression" dxfId="391" priority="67">
      <formula>OR($C9="Pæd.dag",)</formula>
    </cfRule>
  </conditionalFormatting>
  <conditionalFormatting sqref="K9:L39">
    <cfRule type="expression" dxfId="390" priority="68">
      <formula>OR($C9="Lejrskole",)</formula>
    </cfRule>
    <cfRule type="expression" dxfId="389" priority="69">
      <formula>OR($C9="Ekskursion",)</formula>
    </cfRule>
  </conditionalFormatting>
  <conditionalFormatting sqref="K9:M39">
    <cfRule type="expression" dxfId="388" priority="66">
      <formula>OR($C9="emnedag",)</formula>
    </cfRule>
    <cfRule type="expression" dxfId="387" priority="65">
      <formula>OR($C9="fagdag",)</formula>
    </cfRule>
  </conditionalFormatting>
  <conditionalFormatting sqref="R9:R39">
    <cfRule type="expression" dxfId="386" priority="96">
      <formula>OR($H9&gt;"0",)</formula>
    </cfRule>
  </conditionalFormatting>
  <conditionalFormatting sqref="V9:V39">
    <cfRule type="expression" dxfId="385" priority="10">
      <formula>OR($S9="X",)</formula>
    </cfRule>
  </conditionalFormatting>
  <conditionalFormatting sqref="V49:X52">
    <cfRule type="expression" dxfId="384" priority="3">
      <formula>OR($M49&gt;0,)</formula>
    </cfRule>
  </conditionalFormatting>
  <conditionalFormatting sqref="W9:W39">
    <cfRule type="expression" dxfId="383" priority="9">
      <formula>OR($T9="X",)</formula>
    </cfRule>
  </conditionalFormatting>
  <conditionalFormatting sqref="X9:X39">
    <cfRule type="expression" dxfId="382" priority="8">
      <formula>OR($U9="X",)</formula>
    </cfRule>
  </conditionalFormatting>
  <dataValidations count="3">
    <dataValidation type="list" allowBlank="1" showInputMessage="1" showErrorMessage="1" sqref="S9:T39 U9:U37 A58:D61" xr:uid="{279D01AC-9297-1849-AEDD-544AB54087D2}">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7:I28 I20:I21 I13:I14 I34:I35" xr:uid="{BF62690F-D7E4-994D-B26B-7D9CA6925AAF}">
      <formula1>$W$1:$W$2</formula1>
    </dataValidation>
    <dataValidation type="list" allowBlank="1" showInputMessage="1" showErrorMessage="1" promptTitle="OBS:" prompt="Ved arrangementer med overnatning ydes istedet for ulempe- og weekendgodtgørelse på hhv. 25% og 50% faste tillæg pr. påbegyndt dag. " sqref="J9:J39" xr:uid="{4C52EC2B-5E1C-6C41-831F-B92E6925EDF6}">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6B559395-80F7-614F-A76F-E1929355EB28}">
          <x14:formula1>
            <xm:f>August!$A$89:$A$103</xm:f>
          </x14:formula1>
          <xm:sqref>C9:C39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N112"/>
  <sheetViews>
    <sheetView tabSelected="1" zoomScaleNormal="100" workbookViewId="0">
      <selection activeCell="B12" sqref="B12:F12"/>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customWidth="1"/>
    <col min="12" max="12" width="12.1640625" customWidth="1"/>
    <col min="13"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2" ht="37" customHeight="1">
      <c r="C1" s="799" t="s">
        <v>440</v>
      </c>
      <c r="D1" s="799"/>
      <c r="E1" s="799"/>
      <c r="F1" s="799"/>
      <c r="G1" s="799"/>
      <c r="H1" s="799"/>
      <c r="I1" s="799"/>
      <c r="J1" s="799"/>
      <c r="K1" s="360"/>
      <c r="L1" s="360"/>
    </row>
    <row r="2" spans="1:12" ht="56" customHeight="1">
      <c r="A2" s="13"/>
      <c r="B2" s="4"/>
      <c r="C2" s="1210" t="s">
        <v>343</v>
      </c>
      <c r="D2" s="1210"/>
      <c r="E2" s="1210"/>
      <c r="F2" s="1210"/>
      <c r="G2" s="1210"/>
      <c r="H2" s="1210"/>
      <c r="I2" s="1210"/>
      <c r="J2" s="1210"/>
      <c r="K2" s="359"/>
      <c r="L2" s="359"/>
    </row>
    <row r="3" spans="1:12" ht="43" customHeight="1">
      <c r="A3" s="13"/>
      <c r="B3" s="4"/>
      <c r="C3" s="1210" t="s">
        <v>441</v>
      </c>
      <c r="D3" s="1210"/>
      <c r="E3" s="1210"/>
      <c r="F3" s="1210"/>
      <c r="G3" s="1210"/>
      <c r="H3" s="1210"/>
      <c r="I3" s="1210"/>
      <c r="J3" s="1210"/>
      <c r="K3" s="359"/>
      <c r="L3" s="359"/>
    </row>
    <row r="4" spans="1:12" ht="56" customHeight="1">
      <c r="A4" s="13"/>
      <c r="B4" s="4"/>
      <c r="C4" s="1210" t="s">
        <v>768</v>
      </c>
      <c r="D4" s="1210"/>
      <c r="E4" s="1210"/>
      <c r="F4" s="1210"/>
      <c r="G4" s="1210"/>
      <c r="H4" s="1210"/>
      <c r="I4" s="1210"/>
      <c r="J4" s="1210"/>
      <c r="K4" s="359"/>
      <c r="L4" s="359"/>
    </row>
    <row r="5" spans="1:12" ht="62" customHeight="1">
      <c r="A5" s="13"/>
      <c r="B5" s="4"/>
      <c r="C5" s="1223" t="s">
        <v>767</v>
      </c>
      <c r="D5" s="1210"/>
      <c r="E5" s="1210"/>
      <c r="F5" s="1210"/>
      <c r="G5" s="1210"/>
      <c r="H5" s="1210"/>
      <c r="I5" s="1210"/>
      <c r="J5" s="1210"/>
      <c r="K5" s="359"/>
      <c r="L5" s="359"/>
    </row>
    <row r="6" spans="1:12" ht="81" customHeight="1">
      <c r="A6" s="13"/>
      <c r="B6" s="4"/>
      <c r="C6" s="1210" t="s">
        <v>769</v>
      </c>
      <c r="D6" s="1210"/>
      <c r="E6" s="1210"/>
      <c r="F6" s="1210"/>
      <c r="G6" s="1210"/>
      <c r="H6" s="1210"/>
      <c r="I6" s="1210"/>
      <c r="J6" s="1210"/>
      <c r="K6" s="359"/>
      <c r="L6" s="359"/>
    </row>
    <row r="7" spans="1:12" s="6" customFormat="1" ht="24" customHeight="1" thickBot="1">
      <c r="A7" s="1225" t="s">
        <v>442</v>
      </c>
      <c r="B7" s="1225"/>
      <c r="C7" s="1224" t="s">
        <v>443</v>
      </c>
      <c r="D7" s="1224"/>
      <c r="E7" s="1224"/>
      <c r="F7" s="1224"/>
      <c r="G7" s="1224"/>
      <c r="H7" s="1224"/>
      <c r="I7" s="1224"/>
      <c r="J7" s="1224"/>
      <c r="K7" s="474"/>
      <c r="L7" s="474"/>
    </row>
    <row r="8" spans="1:12" ht="28" customHeight="1">
      <c r="A8" s="1140">
        <v>1</v>
      </c>
      <c r="B8" s="1227" t="s">
        <v>25</v>
      </c>
      <c r="C8" s="1228"/>
      <c r="D8" s="1228"/>
      <c r="E8" s="1228"/>
      <c r="F8" s="1228"/>
      <c r="G8" s="1228"/>
      <c r="H8" s="1228"/>
      <c r="I8" s="1228"/>
      <c r="J8" s="1229"/>
    </row>
    <row r="9" spans="1:12" ht="20" customHeight="1">
      <c r="A9" s="1141"/>
      <c r="B9" s="1230" t="str">
        <f>"Der er for perioden: "&amp;Stamoplysninger!E11&amp;" - "&amp;Stamoplysninger!G11&amp;" planlagt følgende arbejdstid:"</f>
        <v>Der er for perioden: 01.08.2024 - 31.07.2025 planlagt følgende arbejdstid:</v>
      </c>
      <c r="C9" s="1231"/>
      <c r="D9" s="1231"/>
      <c r="E9" s="1231"/>
      <c r="F9" s="1231"/>
      <c r="G9" s="1231"/>
      <c r="H9" s="1231"/>
      <c r="I9" s="1231"/>
      <c r="J9" s="1232"/>
      <c r="K9" s="610">
        <v>261</v>
      </c>
    </row>
    <row r="10" spans="1:12" ht="26" customHeight="1">
      <c r="A10" s="1141"/>
      <c r="B10" s="1255" t="str">
        <f>IF(Stamoplysninger!E8&gt;0,Stamoplysninger!E8,"")</f>
        <v>Beate Simonsen</v>
      </c>
      <c r="C10" s="1256"/>
      <c r="D10" s="1256"/>
      <c r="E10" s="1256"/>
      <c r="F10" s="1256"/>
      <c r="G10" s="1256"/>
      <c r="H10" s="1256"/>
      <c r="I10" s="1256"/>
      <c r="J10" s="1257"/>
    </row>
    <row r="11" spans="1:12" ht="32" customHeight="1">
      <c r="A11" s="1141"/>
      <c r="B11" s="1220"/>
      <c r="C11" s="1221"/>
      <c r="D11" s="1221"/>
      <c r="E11" s="1221"/>
      <c r="F11" s="1222"/>
      <c r="G11" s="1226" t="s">
        <v>10</v>
      </c>
      <c r="H11" s="1226"/>
      <c r="I11" s="1214" t="s">
        <v>30</v>
      </c>
      <c r="J11" s="1215"/>
    </row>
    <row r="12" spans="1:12" ht="32" customHeight="1">
      <c r="A12" s="1141"/>
      <c r="B12" s="1234" t="s">
        <v>215</v>
      </c>
      <c r="C12" s="1186"/>
      <c r="D12" s="1186"/>
      <c r="E12" s="1186"/>
      <c r="F12" s="1187"/>
      <c r="G12" s="1212">
        <f>August!$D$78+September!$D$77+Oktober!$D$78+November!$D$77+December!$D$78+Januar!$D$78+Februar!$D$76+Marts!$D$78+April!$D$77+Maj!$D$78+Juni!$D$77+Juli!$D$78</f>
        <v>261</v>
      </c>
      <c r="H12" s="1212"/>
      <c r="I12" s="1216">
        <f>IF(Stamoplysninger!E12="Ja",1924/K9*G12*Stamoplysninger!E15,Arbejdstidsoversigt!G12*7.4*Stamoplysninger!E15)</f>
        <v>1924</v>
      </c>
      <c r="J12" s="1217"/>
    </row>
    <row r="13" spans="1:12" ht="32" customHeight="1">
      <c r="A13" s="1141"/>
      <c r="B13" s="1234" t="s">
        <v>216</v>
      </c>
      <c r="C13" s="1186"/>
      <c r="D13" s="1186"/>
      <c r="E13" s="1186"/>
      <c r="F13" s="1187"/>
      <c r="G13" s="1212">
        <f>August!$D$72+September!$D$71+Oktober!$D$72+November!$D$71+December!$D$72+Januar!$D$72+Februar!$D$70+Marts!$D$72+April!$D$71+Maj!$D$72+Juni!$D$71+Juli!$D$72</f>
        <v>8</v>
      </c>
      <c r="H13" s="1212"/>
      <c r="I13" s="1216">
        <f>G13*7.4*Stamoplysninger!E15</f>
        <v>59.2</v>
      </c>
      <c r="J13" s="1217"/>
    </row>
    <row r="14" spans="1:12" ht="32" customHeight="1">
      <c r="A14" s="1141"/>
      <c r="B14" s="1234" t="s">
        <v>217</v>
      </c>
      <c r="C14" s="1186"/>
      <c r="D14" s="1186"/>
      <c r="E14" s="1186"/>
      <c r="F14" s="1187"/>
      <c r="G14" s="1212">
        <f>August!$D$73+September!$D$72+Oktober!$D$73+November!$D$72+December!$D$73+Januar!$D$73+Februar!$D$71+Marts!$D$73+April!$D$72+Maj!$D$73+Juni!$D$72+Juli!$D$73</f>
        <v>25</v>
      </c>
      <c r="H14" s="1212"/>
      <c r="I14" s="1216">
        <f>G14*Stamoplysninger!E15*7.4</f>
        <v>185</v>
      </c>
      <c r="J14" s="1217"/>
    </row>
    <row r="15" spans="1:12" ht="32" customHeight="1" thickBot="1">
      <c r="A15" s="1141"/>
      <c r="B15" s="1235" t="s">
        <v>25</v>
      </c>
      <c r="C15" s="1236"/>
      <c r="D15" s="1236"/>
      <c r="E15" s="1236"/>
      <c r="F15" s="1237"/>
      <c r="G15" s="1213">
        <f>G12-G13-G14</f>
        <v>228</v>
      </c>
      <c r="H15" s="1213"/>
      <c r="I15" s="1218">
        <f>I12-I13-I14</f>
        <v>1679.8</v>
      </c>
      <c r="J15" s="1219"/>
    </row>
    <row r="16" spans="1:12" ht="26" customHeight="1" thickBot="1">
      <c r="A16" s="1142"/>
      <c r="B16" s="1156" t="str">
        <f>"Normperiodens "&amp;G15&amp;" dage fordeler sig således:"</f>
        <v>Normperiodens 228 dage fordeler sig således:</v>
      </c>
      <c r="C16" s="1157"/>
      <c r="D16" s="1157"/>
      <c r="E16" s="1157"/>
      <c r="F16" s="1157"/>
      <c r="G16" s="1157"/>
      <c r="H16" s="1157"/>
      <c r="I16" s="1157"/>
      <c r="J16" s="1158"/>
    </row>
    <row r="17" spans="1:14" ht="26" customHeight="1">
      <c r="A17" s="1142"/>
      <c r="B17" s="1143" t="s">
        <v>762</v>
      </c>
      <c r="C17" s="1144"/>
      <c r="D17" s="1144"/>
      <c r="E17" s="1144"/>
      <c r="F17" s="1144"/>
      <c r="G17" s="1144"/>
      <c r="H17" s="1144"/>
      <c r="I17" s="1145">
        <f>Aar!AE37</f>
        <v>6</v>
      </c>
      <c r="J17" s="1146" t="e">
        <f>H17=August!C23+#REF!+#REF!+#REF!+#REF!+#REF!+#REF!+#REF!+#REF!+#REF!+#REF!+#REF!</f>
        <v>#VALUE!</v>
      </c>
    </row>
    <row r="18" spans="1:14" ht="26" customHeight="1">
      <c r="A18" s="1142"/>
      <c r="B18" s="1147" t="s">
        <v>178</v>
      </c>
      <c r="C18" s="1148"/>
      <c r="D18" s="1148"/>
      <c r="E18" s="1148"/>
      <c r="F18" s="1148"/>
      <c r="G18" s="1148"/>
      <c r="H18" s="1148"/>
      <c r="I18" s="1149">
        <f>Aar!AM35</f>
        <v>23</v>
      </c>
      <c r="J18" s="1150" t="e">
        <f>H18=August!C24+#REF!+#REF!+#REF!+#REF!+#REF!+#REF!+#REF!+#REF!+#REF!+#REF!+#REF!</f>
        <v>#VALUE!</v>
      </c>
    </row>
    <row r="19" spans="1:14" ht="26" customHeight="1">
      <c r="A19" s="1142"/>
      <c r="B19" s="1147" t="s">
        <v>419</v>
      </c>
      <c r="C19" s="1148"/>
      <c r="D19" s="1148"/>
      <c r="E19" s="1148"/>
      <c r="F19" s="1148"/>
      <c r="G19" s="1148"/>
      <c r="H19" s="1148"/>
      <c r="I19" s="1149">
        <f>Aar!AV37</f>
        <v>0</v>
      </c>
      <c r="J19" s="1150" t="e">
        <f>H19=August!C25+#REF!+#REF!+#REF!+#REF!+#REF!+#REF!+#REF!+#REF!+#REF!+#REF!+#REF!</f>
        <v>#VALUE!</v>
      </c>
    </row>
    <row r="20" spans="1:14" ht="23" customHeight="1">
      <c r="A20" s="1142"/>
      <c r="B20" s="1159" t="s">
        <v>330</v>
      </c>
      <c r="C20" s="1160"/>
      <c r="D20" s="1160"/>
      <c r="E20" s="1160"/>
      <c r="F20" s="1160"/>
      <c r="G20" s="1160"/>
      <c r="H20" s="1160"/>
      <c r="I20" s="1161">
        <f>I39</f>
        <v>7</v>
      </c>
      <c r="J20" s="1162" t="e">
        <f>H20=August!C25+#REF!+#REF!+#REF!+#REF!+#REF!+#REF!+#REF!+#REF!+#REF!+#REF!+#REF!</f>
        <v>#VALUE!</v>
      </c>
    </row>
    <row r="21" spans="1:14" ht="29" customHeight="1">
      <c r="A21" s="1142"/>
      <c r="B21" s="1159" t="s">
        <v>244</v>
      </c>
      <c r="C21" s="1160"/>
      <c r="D21" s="1160"/>
      <c r="E21" s="1160"/>
      <c r="F21" s="1160"/>
      <c r="G21" s="1160"/>
      <c r="H21" s="1160"/>
      <c r="I21" s="1163">
        <f>I40</f>
        <v>177</v>
      </c>
      <c r="J21" s="1164"/>
    </row>
    <row r="22" spans="1:14" ht="29" customHeight="1">
      <c r="A22" s="1142"/>
      <c r="B22" s="1159" t="s">
        <v>245</v>
      </c>
      <c r="C22" s="1160"/>
      <c r="D22" s="1160"/>
      <c r="E22" s="1160"/>
      <c r="F22" s="1160"/>
      <c r="G22" s="1160"/>
      <c r="H22" s="1160"/>
      <c r="I22" s="1163">
        <f>I41</f>
        <v>15</v>
      </c>
      <c r="J22" s="1164"/>
    </row>
    <row r="23" spans="1:14" ht="21" customHeight="1" thickBot="1">
      <c r="A23" s="1142"/>
      <c r="B23" s="1165" t="s">
        <v>73</v>
      </c>
      <c r="C23" s="1166"/>
      <c r="D23" s="1166"/>
      <c r="E23" s="1166"/>
      <c r="F23" s="1166"/>
      <c r="G23" s="1166"/>
      <c r="H23" s="1166"/>
      <c r="I23" s="1167">
        <f>I20+I21+I22</f>
        <v>199</v>
      </c>
      <c r="J23" s="1168"/>
      <c r="K23" s="1151" t="str">
        <f>IF(I23&lt;&gt;200,"OBS der er normalt 200 skoledage i et skoleår"," ")</f>
        <v>OBS der er normalt 200 skoledage i et skoleår</v>
      </c>
      <c r="L23" s="1151"/>
      <c r="M23" s="1151"/>
      <c r="N23" s="1151"/>
    </row>
    <row r="24" spans="1:14" ht="16" customHeight="1" thickBot="1">
      <c r="A24" s="26"/>
      <c r="B24" s="4"/>
      <c r="C24" s="34"/>
      <c r="D24" s="34"/>
      <c r="E24" s="34"/>
      <c r="F24" s="34"/>
      <c r="G24" s="34"/>
      <c r="H24" s="34"/>
    </row>
    <row r="25" spans="1:14" ht="25" customHeight="1">
      <c r="A25" s="1177">
        <v>2</v>
      </c>
      <c r="B25" s="1179" t="str">
        <f>""&amp;Stamoplysninger!E8&amp;"'s arbejdstid for normperioden "&amp;Stamoplysninger!E11&amp;" - "&amp;Stamoplysninger!G11&amp;" fordeler sig således:"</f>
        <v>Beate Simonsen's arbejdstid for normperioden 01.08.2024 - 31.07.2025 fordeler sig således:</v>
      </c>
      <c r="C25" s="1180"/>
      <c r="D25" s="1180"/>
      <c r="E25" s="1180"/>
      <c r="F25" s="1180"/>
      <c r="G25" s="1180"/>
      <c r="H25" s="1180"/>
      <c r="I25" s="1180"/>
      <c r="J25" s="1181"/>
    </row>
    <row r="26" spans="1:14" ht="15" customHeight="1">
      <c r="A26" s="1178"/>
      <c r="B26" s="1182" t="s">
        <v>336</v>
      </c>
      <c r="C26" s="1183"/>
      <c r="D26" s="1183"/>
      <c r="E26" s="1183"/>
      <c r="F26" s="1183"/>
      <c r="G26" s="1183"/>
      <c r="H26" s="1183"/>
      <c r="I26" s="1183"/>
      <c r="J26" s="1184"/>
    </row>
    <row r="27" spans="1:14" ht="17" customHeight="1">
      <c r="A27" s="1178"/>
      <c r="B27" s="483"/>
      <c r="C27" s="361"/>
      <c r="D27" s="361"/>
      <c r="E27" s="361"/>
      <c r="F27" s="361"/>
      <c r="G27" s="361"/>
      <c r="H27" s="361"/>
      <c r="I27" s="362"/>
      <c r="J27" s="363" t="s">
        <v>30</v>
      </c>
    </row>
    <row r="28" spans="1:14" ht="17" customHeight="1">
      <c r="A28" s="1178"/>
      <c r="B28" s="1185" t="s">
        <v>56</v>
      </c>
      <c r="C28" s="1186"/>
      <c r="D28" s="1186"/>
      <c r="E28" s="1186"/>
      <c r="F28" s="1186"/>
      <c r="G28" s="1186"/>
      <c r="H28" s="1186"/>
      <c r="I28" s="1187"/>
      <c r="J28" s="364">
        <f>J48</f>
        <v>1679.8</v>
      </c>
    </row>
    <row r="29" spans="1:14" ht="17" customHeight="1">
      <c r="A29" s="1178"/>
      <c r="B29" s="1185" t="s">
        <v>317</v>
      </c>
      <c r="C29" s="1186"/>
      <c r="D29" s="1186"/>
      <c r="E29" s="1186"/>
      <c r="F29" s="1186"/>
      <c r="G29" s="1186"/>
      <c r="H29" s="1186"/>
      <c r="I29" s="1187"/>
      <c r="J29" s="364">
        <f>I67</f>
        <v>92</v>
      </c>
    </row>
    <row r="30" spans="1:14" ht="17" customHeight="1">
      <c r="A30" s="1178"/>
      <c r="B30" s="1188" t="s">
        <v>90</v>
      </c>
      <c r="C30" s="1189"/>
      <c r="D30" s="1189"/>
      <c r="E30" s="1189"/>
      <c r="F30" s="1189"/>
      <c r="G30" s="1189"/>
      <c r="H30" s="1189"/>
      <c r="I30" s="1190"/>
      <c r="J30" s="364">
        <f>J49</f>
        <v>39</v>
      </c>
    </row>
    <row r="31" spans="1:14" ht="17" customHeight="1">
      <c r="A31" s="1178"/>
      <c r="B31" s="1188" t="s">
        <v>123</v>
      </c>
      <c r="C31" s="1189"/>
      <c r="D31" s="1189"/>
      <c r="E31" s="1189"/>
      <c r="F31" s="1189"/>
      <c r="G31" s="1189"/>
      <c r="H31" s="1189"/>
      <c r="I31" s="1190"/>
      <c r="J31" s="364">
        <f>J50</f>
        <v>112.64999999999999</v>
      </c>
    </row>
    <row r="32" spans="1:14" ht="17" customHeight="1">
      <c r="A32" s="1178"/>
      <c r="B32" s="1188" t="s">
        <v>169</v>
      </c>
      <c r="C32" s="1189"/>
      <c r="D32" s="1189"/>
      <c r="E32" s="1189"/>
      <c r="F32" s="1189"/>
      <c r="G32" s="1189"/>
      <c r="H32" s="1189"/>
      <c r="I32" s="1190"/>
      <c r="J32" s="364">
        <f t="shared" ref="J32:J35" si="0">J51</f>
        <v>30</v>
      </c>
    </row>
    <row r="33" spans="1:14" ht="16" customHeight="1">
      <c r="A33" s="1178"/>
      <c r="B33" s="484" t="s">
        <v>417</v>
      </c>
      <c r="C33" s="451"/>
      <c r="D33" s="451"/>
      <c r="E33" s="451"/>
      <c r="F33" s="451"/>
      <c r="G33" s="451"/>
      <c r="H33" s="451"/>
      <c r="I33" s="452"/>
      <c r="J33" s="364">
        <f t="shared" si="0"/>
        <v>0</v>
      </c>
    </row>
    <row r="34" spans="1:14" ht="17" customHeight="1">
      <c r="A34" s="1178"/>
      <c r="B34" s="1188" t="s">
        <v>278</v>
      </c>
      <c r="C34" s="1189"/>
      <c r="D34" s="1189"/>
      <c r="E34" s="1189"/>
      <c r="F34" s="1189"/>
      <c r="G34" s="1189"/>
      <c r="H34" s="1189"/>
      <c r="I34" s="1190"/>
      <c r="J34" s="364">
        <f t="shared" si="0"/>
        <v>42</v>
      </c>
    </row>
    <row r="35" spans="1:14" ht="17" customHeight="1" thickBot="1">
      <c r="A35" s="1178"/>
      <c r="B35" s="1191" t="s">
        <v>453</v>
      </c>
      <c r="C35" s="1192"/>
      <c r="D35" s="1192"/>
      <c r="E35" s="1192"/>
      <c r="F35" s="1192"/>
      <c r="G35" s="1192"/>
      <c r="H35" s="1192"/>
      <c r="I35" s="1193"/>
      <c r="J35" s="364">
        <f t="shared" si="0"/>
        <v>0</v>
      </c>
    </row>
    <row r="36" spans="1:14" ht="17" customHeight="1">
      <c r="A36" s="1178"/>
      <c r="B36" s="1194" t="str">
        <f>"Rest arbejdstid til i alt "&amp;I40&amp;" skemadage"""</f>
        <v>Rest arbejdstid til i alt 177 skemadage"</v>
      </c>
      <c r="C36" s="1195"/>
      <c r="D36" s="1195"/>
      <c r="E36" s="1195"/>
      <c r="F36" s="1195"/>
      <c r="G36" s="1195"/>
      <c r="H36" s="1195"/>
      <c r="I36" s="1196"/>
      <c r="J36" s="223">
        <f>J28-J30-J31-J32-J33-J34-J35-J29</f>
        <v>1364.1499999999999</v>
      </c>
    </row>
    <row r="37" spans="1:14" ht="26" hidden="1" customHeight="1">
      <c r="A37" s="716"/>
      <c r="B37" s="1273" t="str">
        <f>"Arbejdstiden til skemadage der udgør "&amp;J36&amp;" fordeles på "&amp;I40&amp;" skemadage i skema 3."</f>
        <v>Arbejdstiden til skemadage der udgør 1364,15 fordeles på 177 skemadage i skema 3.</v>
      </c>
      <c r="C37" s="1180"/>
      <c r="D37" s="1180"/>
      <c r="E37" s="1180"/>
      <c r="F37" s="1180"/>
      <c r="G37" s="1180"/>
      <c r="H37" s="1180"/>
      <c r="I37" s="1180"/>
      <c r="J37" s="1181"/>
    </row>
    <row r="38" spans="1:14" ht="19" hidden="1" customHeight="1" thickBot="1">
      <c r="A38" s="716"/>
      <c r="B38" s="1262" t="s">
        <v>344</v>
      </c>
      <c r="C38" s="1263"/>
      <c r="D38" s="1263"/>
      <c r="E38" s="1263"/>
      <c r="F38" s="1263"/>
      <c r="G38" s="1263"/>
      <c r="H38" s="1263"/>
      <c r="I38" s="1263"/>
      <c r="J38" s="1264"/>
    </row>
    <row r="39" spans="1:14" ht="23" hidden="1" customHeight="1">
      <c r="A39" s="716"/>
      <c r="B39" s="1268" t="s">
        <v>330</v>
      </c>
      <c r="C39" s="1269"/>
      <c r="D39" s="1269"/>
      <c r="E39" s="1269"/>
      <c r="F39" s="1269"/>
      <c r="G39" s="1269"/>
      <c r="H39" s="1269"/>
      <c r="I39" s="1253">
        <f>I63</f>
        <v>7</v>
      </c>
      <c r="J39" s="1254" t="e">
        <f>H39=August!C44+#REF!+#REF!+#REF!+#REF!+#REF!+#REF!+#REF!+#REF!+#REF!+#REF!+#REF!</f>
        <v>#REF!</v>
      </c>
    </row>
    <row r="40" spans="1:14" ht="29" hidden="1" customHeight="1">
      <c r="A40" s="716"/>
      <c r="B40" s="1169" t="s">
        <v>244</v>
      </c>
      <c r="C40" s="1170"/>
      <c r="D40" s="1170"/>
      <c r="E40" s="1170"/>
      <c r="F40" s="1170"/>
      <c r="G40" s="1170"/>
      <c r="H40" s="1170"/>
      <c r="I40" s="1171">
        <f>I64</f>
        <v>177</v>
      </c>
      <c r="J40" s="1172"/>
    </row>
    <row r="41" spans="1:14" ht="29" hidden="1" customHeight="1">
      <c r="A41" s="716"/>
      <c r="B41" s="1169" t="s">
        <v>245</v>
      </c>
      <c r="C41" s="1170"/>
      <c r="D41" s="1170"/>
      <c r="E41" s="1170"/>
      <c r="F41" s="1170"/>
      <c r="G41" s="1170"/>
      <c r="H41" s="1170"/>
      <c r="I41" s="1171">
        <f>I65</f>
        <v>15</v>
      </c>
      <c r="J41" s="1172"/>
    </row>
    <row r="42" spans="1:14" ht="21" hidden="1" customHeight="1">
      <c r="A42" s="716"/>
      <c r="B42" s="1173" t="s">
        <v>73</v>
      </c>
      <c r="C42" s="1174"/>
      <c r="D42" s="1174"/>
      <c r="E42" s="1174"/>
      <c r="F42" s="1174"/>
      <c r="G42" s="1174"/>
      <c r="H42" s="1174"/>
      <c r="I42" s="1175">
        <f>I39+I40+I41</f>
        <v>199</v>
      </c>
      <c r="J42" s="1176"/>
      <c r="K42" s="1151" t="str">
        <f>IF(I42&lt;&gt;200,"OBS der er normalt 200 skoledage i et skoleår"," ")</f>
        <v>OBS der er normalt 200 skoledage i et skoleår</v>
      </c>
      <c r="L42" s="1151"/>
      <c r="M42" s="1151"/>
      <c r="N42" s="1151"/>
    </row>
    <row r="43" spans="1:14" ht="33" customHeight="1">
      <c r="A43" s="716"/>
      <c r="B43" s="1152" t="str">
        <f>"Gns. arbejdstid på "&amp;I40&amp;" skoleskemadage der fordeles herunder. (Check i række104 at timerne anvendes og rammesættes i skema 3)"</f>
        <v>Gns. arbejdstid på 177 skoleskemadage der fordeles herunder. (Check i række104 at timerne anvendes og rammesættes i skema 3)</v>
      </c>
      <c r="C43" s="1153"/>
      <c r="D43" s="1153"/>
      <c r="E43" s="1153"/>
      <c r="F43" s="1153"/>
      <c r="G43" s="1153"/>
      <c r="H43" s="1153"/>
      <c r="I43" s="1154">
        <f>I68</f>
        <v>7.707062146892655</v>
      </c>
      <c r="J43" s="1155"/>
    </row>
    <row r="44" spans="1:14" ht="16" customHeight="1" thickBot="1">
      <c r="A44" s="26"/>
      <c r="B44" s="4"/>
      <c r="C44" s="34"/>
      <c r="D44" s="34"/>
      <c r="E44" s="34"/>
      <c r="F44" s="34"/>
      <c r="G44" s="34"/>
      <c r="H44" s="34"/>
    </row>
    <row r="45" spans="1:14" ht="25" hidden="1" customHeight="1">
      <c r="A45" s="1177">
        <v>2</v>
      </c>
      <c r="B45" s="1238" t="s">
        <v>335</v>
      </c>
      <c r="C45" s="1239"/>
      <c r="D45" s="1239"/>
      <c r="E45" s="1239"/>
      <c r="F45" s="1239"/>
      <c r="G45" s="1239"/>
      <c r="H45" s="1239"/>
      <c r="I45" s="1239"/>
      <c r="J45" s="1240"/>
      <c r="K45" t="s">
        <v>765</v>
      </c>
    </row>
    <row r="46" spans="1:14" ht="15" hidden="1" customHeight="1">
      <c r="A46" s="1178"/>
      <c r="B46" s="1182" t="s">
        <v>336</v>
      </c>
      <c r="C46" s="1183"/>
      <c r="D46" s="1183"/>
      <c r="E46" s="1183"/>
      <c r="F46" s="1183"/>
      <c r="G46" s="1183"/>
      <c r="H46" s="1183"/>
      <c r="I46" s="1183"/>
      <c r="J46" s="1184"/>
    </row>
    <row r="47" spans="1:14" ht="17" hidden="1" customHeight="1">
      <c r="A47" s="1178"/>
      <c r="B47" s="483"/>
      <c r="C47" s="361"/>
      <c r="D47" s="361"/>
      <c r="E47" s="361"/>
      <c r="F47" s="361"/>
      <c r="G47" s="361"/>
      <c r="H47" s="361"/>
      <c r="I47" s="362"/>
      <c r="J47" s="363" t="s">
        <v>30</v>
      </c>
    </row>
    <row r="48" spans="1:14" ht="17" hidden="1" customHeight="1">
      <c r="A48" s="1178"/>
      <c r="B48" s="1185" t="s">
        <v>56</v>
      </c>
      <c r="C48" s="1186"/>
      <c r="D48" s="1186"/>
      <c r="E48" s="1186"/>
      <c r="F48" s="1186"/>
      <c r="G48" s="1186"/>
      <c r="H48" s="1186"/>
      <c r="I48" s="1187"/>
      <c r="J48" s="364">
        <f>I15</f>
        <v>1679.8</v>
      </c>
    </row>
    <row r="49" spans="1:11" ht="17" hidden="1" customHeight="1">
      <c r="A49" s="1178"/>
      <c r="B49" s="1188" t="s">
        <v>90</v>
      </c>
      <c r="C49" s="1189"/>
      <c r="D49" s="1189"/>
      <c r="E49" s="1189"/>
      <c r="F49" s="1189"/>
      <c r="G49" s="1189"/>
      <c r="H49" s="1189"/>
      <c r="I49" s="1190"/>
      <c r="J49" s="364">
        <f>August!AC41+September!AC39+Oktober!AC40+November!AC39+December!AC40+Januar!AC40+Februar!AC38+Marts!AC40+April!AC39+Maj!AC40+Juni!AC39+Juli!AC40</f>
        <v>39</v>
      </c>
    </row>
    <row r="50" spans="1:11" ht="17" hidden="1" customHeight="1">
      <c r="A50" s="1178"/>
      <c r="B50" s="1188" t="s">
        <v>123</v>
      </c>
      <c r="C50" s="1189"/>
      <c r="D50" s="1189"/>
      <c r="E50" s="1189"/>
      <c r="F50" s="1189"/>
      <c r="G50" s="1189"/>
      <c r="H50" s="1189"/>
      <c r="I50" s="1190"/>
      <c r="J50" s="364">
        <f>August!AD41+August!AE41+September!AD39+September!AE39+Oktober!AD40+Oktober!AE40+November!AD39+November!AE39+December!AD40+December!AE40+Januar!AD40+Januar!AE40+Februar!AD38+Februar!AE38+Marts!AD40+Marts!AE40+April!AD39+April!AE39+Maj!AD40+Maj!AE40+Juni!AD39+Juni!AE39+Juli!AD40+Juli!AE40</f>
        <v>112.64999999999999</v>
      </c>
    </row>
    <row r="51" spans="1:11" ht="17" hidden="1" customHeight="1">
      <c r="A51" s="1178"/>
      <c r="B51" s="1188" t="s">
        <v>169</v>
      </c>
      <c r="C51" s="1189"/>
      <c r="D51" s="1189"/>
      <c r="E51" s="1189"/>
      <c r="F51" s="1189"/>
      <c r="G51" s="1189"/>
      <c r="H51" s="1189"/>
      <c r="I51" s="1190"/>
      <c r="J51" s="364">
        <f>August!R41+September!R39+Oktober!R40+November!R39+December!R40+Januar!R40+Februar!R38+Marts!R40+April!R39+Maj!R40+Juni!R39+Juli!R40+August!V106+September!V105+Oktober!V106+November!V105+December!V106+Januar!V106+Februar!V104+Marts!V106+April!V105+Maj!V106+Juni!V105+Juli!V106</f>
        <v>30</v>
      </c>
    </row>
    <row r="52" spans="1:11" ht="16" hidden="1" customHeight="1">
      <c r="A52" s="1178"/>
      <c r="B52" s="484" t="s">
        <v>417</v>
      </c>
      <c r="C52" s="451"/>
      <c r="D52" s="451"/>
      <c r="E52" s="451"/>
      <c r="F52" s="451"/>
      <c r="G52" s="451"/>
      <c r="H52" s="451"/>
      <c r="I52" s="452"/>
      <c r="J52" s="453">
        <f>August!AF41+September!AF39+Oktober!AF40+November!AF39+December!AF40+Januar!AF40+Februar!AF38+Marts!AF40+April!AF39+Maj!AF40+Juni!AF39+Juli!AF40</f>
        <v>0</v>
      </c>
    </row>
    <row r="53" spans="1:11" ht="17" hidden="1" customHeight="1">
      <c r="A53" s="1178"/>
      <c r="B53" s="1188" t="s">
        <v>278</v>
      </c>
      <c r="C53" s="1189"/>
      <c r="D53" s="1189"/>
      <c r="E53" s="1189"/>
      <c r="F53" s="1189"/>
      <c r="G53" s="1189"/>
      <c r="H53" s="1189"/>
      <c r="I53" s="1190"/>
      <c r="J53" s="224">
        <f>Skemaoplysninger!I91</f>
        <v>42</v>
      </c>
    </row>
    <row r="54" spans="1:11" ht="17" hidden="1" customHeight="1" thickBot="1">
      <c r="A54" s="1178"/>
      <c r="B54" s="1191" t="s">
        <v>453</v>
      </c>
      <c r="C54" s="1192"/>
      <c r="D54" s="1192"/>
      <c r="E54" s="1192"/>
      <c r="F54" s="1192"/>
      <c r="G54" s="1192"/>
      <c r="H54" s="1192"/>
      <c r="I54" s="1193"/>
      <c r="J54" s="482">
        <f>August!I49+September!I47+Oktober!I48+November!I47+December!I48+Januar!I48+Februar!I46+Marts!I48+April!I47+Maj!I48+Juni!I47+Juli!I48</f>
        <v>0</v>
      </c>
    </row>
    <row r="55" spans="1:11" ht="17" hidden="1" customHeight="1">
      <c r="A55" s="1178"/>
      <c r="B55" s="1270" t="s">
        <v>337</v>
      </c>
      <c r="C55" s="1271"/>
      <c r="D55" s="1271"/>
      <c r="E55" s="1271"/>
      <c r="F55" s="1271"/>
      <c r="G55" s="1271"/>
      <c r="H55" s="1271"/>
      <c r="I55" s="1272"/>
      <c r="J55" s="223">
        <f>J48-J49-J50-J51-J52-J53-J54</f>
        <v>1456.1499999999999</v>
      </c>
    </row>
    <row r="56" spans="1:11" ht="17" hidden="1" customHeight="1">
      <c r="A56" s="1178"/>
      <c r="B56" s="1188" t="s">
        <v>246</v>
      </c>
      <c r="C56" s="1189"/>
      <c r="D56" s="1189"/>
      <c r="E56" s="1189"/>
      <c r="F56" s="1189"/>
      <c r="G56" s="1189"/>
      <c r="H56" s="1189"/>
      <c r="I56" s="1190"/>
      <c r="J56" s="340">
        <f>Skemaoplysninger!BD37</f>
        <v>649.58333333333337</v>
      </c>
    </row>
    <row r="57" spans="1:11" ht="17" hidden="1" customHeight="1">
      <c r="A57" s="1178"/>
      <c r="B57" s="1188" t="s">
        <v>338</v>
      </c>
      <c r="C57" s="1189"/>
      <c r="D57" s="1189"/>
      <c r="E57" s="1189"/>
      <c r="F57" s="1189"/>
      <c r="G57" s="1189"/>
      <c r="H57" s="1189"/>
      <c r="I57" s="1190"/>
      <c r="J57" s="224">
        <f>August!BE41+August!BF41+September!BE39+September!BF39+Oktober!BE40+Oktober!BF40+November!BE39+November!BF39+December!BE40+December!BF40+Januar!BE40+Januar!BF40+Februar!BE38+Februar!BF38+Marts!BE40+Marts!BF40+April!BE39+April!BF39+Maj!BE40+Maj!BF40+Juni!BE39+Juni!BF39+Juli!BE40+Juli!BF40</f>
        <v>59</v>
      </c>
      <c r="K57" s="112"/>
    </row>
    <row r="58" spans="1:11" ht="17" hidden="1" customHeight="1">
      <c r="A58" s="1178"/>
      <c r="B58" s="1188" t="s">
        <v>339</v>
      </c>
      <c r="C58" s="1189"/>
      <c r="D58" s="1189"/>
      <c r="E58" s="1189"/>
      <c r="F58" s="1189"/>
      <c r="G58" s="1189"/>
      <c r="H58" s="1189"/>
      <c r="I58" s="1190"/>
      <c r="J58" s="233">
        <f>IF(Stamoplysninger!H29="Ja",Stamoplysninger!H30,Skemaoplysninger!BD40+Skemaoplysninger!BD41)</f>
        <v>208.33333333333331</v>
      </c>
    </row>
    <row r="59" spans="1:11" ht="34" hidden="1" customHeight="1" thickBot="1">
      <c r="A59" s="1178"/>
      <c r="B59" s="1259" t="s">
        <v>454</v>
      </c>
      <c r="C59" s="1260"/>
      <c r="D59" s="1260"/>
      <c r="E59" s="1260"/>
      <c r="F59" s="1260"/>
      <c r="G59" s="1260"/>
      <c r="H59" s="1260"/>
      <c r="I59" s="1261"/>
      <c r="J59" s="485">
        <f>J55-J56-J57-J58</f>
        <v>539.23333333333312</v>
      </c>
    </row>
    <row r="60" spans="1:11" ht="34" hidden="1" customHeight="1" thickBot="1">
      <c r="A60" s="24"/>
      <c r="B60" s="225"/>
      <c r="C60" s="225"/>
      <c r="D60" s="225"/>
      <c r="E60" s="225"/>
      <c r="F60" s="225"/>
      <c r="G60" s="225"/>
      <c r="H60" s="225"/>
      <c r="I60" s="225"/>
      <c r="J60" s="351"/>
      <c r="K60" s="351"/>
    </row>
    <row r="61" spans="1:11" ht="26" hidden="1" customHeight="1">
      <c r="A61" s="1250" t="s">
        <v>413</v>
      </c>
      <c r="B61" s="1265" t="s">
        <v>340</v>
      </c>
      <c r="C61" s="1266"/>
      <c r="D61" s="1266"/>
      <c r="E61" s="1266"/>
      <c r="F61" s="1266"/>
      <c r="G61" s="1266"/>
      <c r="H61" s="1266"/>
      <c r="I61" s="1266"/>
      <c r="J61" s="1267"/>
      <c r="K61" t="s">
        <v>766</v>
      </c>
    </row>
    <row r="62" spans="1:11" ht="19" hidden="1" customHeight="1" thickBot="1">
      <c r="A62" s="1251"/>
      <c r="B62" s="1262" t="s">
        <v>344</v>
      </c>
      <c r="C62" s="1263"/>
      <c r="D62" s="1263"/>
      <c r="E62" s="1263"/>
      <c r="F62" s="1263"/>
      <c r="G62" s="1263"/>
      <c r="H62" s="1263"/>
      <c r="I62" s="1263"/>
      <c r="J62" s="1264"/>
    </row>
    <row r="63" spans="1:11" ht="23" hidden="1" customHeight="1">
      <c r="A63" s="1251"/>
      <c r="B63" s="1268" t="s">
        <v>330</v>
      </c>
      <c r="C63" s="1269"/>
      <c r="D63" s="1269"/>
      <c r="E63" s="1269"/>
      <c r="F63" s="1269"/>
      <c r="G63" s="1269"/>
      <c r="H63" s="1269"/>
      <c r="I63" s="1253">
        <f>August!D69+September!D68+Oktober!D69+November!D68+December!D69+Januar!D69+Februar!D67+Marts!D69+April!D68+Maj!D69+Juni!D68+Juli!D69</f>
        <v>7</v>
      </c>
      <c r="J63" s="1254" t="e">
        <f>H63=August!C69+#REF!+#REF!+#REF!+#REF!+#REF!+#REF!+#REF!+#REF!+#REF!+#REF!+#REF!</f>
        <v>#REF!</v>
      </c>
    </row>
    <row r="64" spans="1:11" ht="29" hidden="1" customHeight="1">
      <c r="A64" s="1251"/>
      <c r="B64" s="1169" t="s">
        <v>244</v>
      </c>
      <c r="C64" s="1170"/>
      <c r="D64" s="1170"/>
      <c r="E64" s="1170"/>
      <c r="F64" s="1170"/>
      <c r="G64" s="1170"/>
      <c r="H64" s="1170"/>
      <c r="I64" s="1171">
        <f>Skemaoplysninger!BD32</f>
        <v>177</v>
      </c>
      <c r="J64" s="1172"/>
    </row>
    <row r="65" spans="1:14" ht="29" hidden="1" customHeight="1">
      <c r="A65" s="1251"/>
      <c r="B65" s="1169" t="s">
        <v>245</v>
      </c>
      <c r="C65" s="1170"/>
      <c r="D65" s="1170"/>
      <c r="E65" s="1170"/>
      <c r="F65" s="1170"/>
      <c r="G65" s="1170"/>
      <c r="H65" s="1170"/>
      <c r="I65" s="1171">
        <f>August!D68+September!D67+Oktober!D68+November!D67+December!D68+Januar!D68+Februar!D66+Marts!D68+April!D67+Maj!D68+Juni!D67+Juli!D68</f>
        <v>15</v>
      </c>
      <c r="J65" s="1172"/>
    </row>
    <row r="66" spans="1:14" ht="21" hidden="1" customHeight="1">
      <c r="A66" s="1251"/>
      <c r="B66" s="1173" t="s">
        <v>73</v>
      </c>
      <c r="C66" s="1174"/>
      <c r="D66" s="1174"/>
      <c r="E66" s="1174"/>
      <c r="F66" s="1174"/>
      <c r="G66" s="1174"/>
      <c r="H66" s="1174"/>
      <c r="I66" s="1175">
        <f>I63+I64+I65</f>
        <v>199</v>
      </c>
      <c r="J66" s="1176"/>
      <c r="K66" s="1151" t="str">
        <f>IF(I66&lt;&gt;200,"OBS der er normalt 200 skoledage i et skoleår"," ")</f>
        <v>OBS der er normalt 200 skoledage i et skoleår</v>
      </c>
      <c r="L66" s="1151"/>
      <c r="M66" s="1151"/>
      <c r="N66" s="1151"/>
    </row>
    <row r="67" spans="1:14" ht="21" hidden="1" customHeight="1">
      <c r="A67" s="1251"/>
      <c r="B67" s="1173" t="s">
        <v>317</v>
      </c>
      <c r="C67" s="1174"/>
      <c r="D67" s="1174"/>
      <c r="E67" s="1174"/>
      <c r="F67" s="1174"/>
      <c r="G67" s="1174"/>
      <c r="H67" s="1174"/>
      <c r="I67" s="1205">
        <f>August!AA41+August!AB41+September!AA39+September!AB39+Oktober!AA40+Oktober!AB40+November!AA39+November!AB39+December!AA40+December!AB40+Januar!AA40+Januar!AB40+Februar!AA38+Februar!AB38+Marts!AA40+Marts!AB40+April!AA39+April!AB39+Maj!AA40+Maj!AB40+Juni!AA39+Juni!AB39+Juli!AA40+Juli!AB40</f>
        <v>92</v>
      </c>
      <c r="J67" s="862"/>
      <c r="K67" s="209"/>
      <c r="L67" s="209"/>
      <c r="M67" s="209"/>
      <c r="N67" s="209"/>
    </row>
    <row r="68" spans="1:14" ht="33" hidden="1" customHeight="1">
      <c r="A68" s="1251"/>
      <c r="B68" s="1206" t="s">
        <v>253</v>
      </c>
      <c r="C68" s="1207"/>
      <c r="D68" s="1207"/>
      <c r="E68" s="1207"/>
      <c r="F68" s="1207"/>
      <c r="G68" s="1207"/>
      <c r="H68" s="1207"/>
      <c r="I68" s="1197">
        <f>(J55-I67)/I64</f>
        <v>7.707062146892655</v>
      </c>
      <c r="J68" s="1198"/>
    </row>
    <row r="69" spans="1:14" ht="33" hidden="1" customHeight="1" thickBot="1">
      <c r="A69" s="1251"/>
      <c r="B69" s="1206" t="s">
        <v>358</v>
      </c>
      <c r="C69" s="1207"/>
      <c r="D69" s="1207"/>
      <c r="E69" s="1207"/>
      <c r="F69" s="1207"/>
      <c r="G69" s="1207"/>
      <c r="H69" s="1207"/>
      <c r="I69" s="1203">
        <f>J59/I66</f>
        <v>2.7097152428810709</v>
      </c>
      <c r="J69" s="1204"/>
    </row>
    <row r="70" spans="1:14" ht="17" customHeight="1">
      <c r="A70" s="1251"/>
      <c r="B70" s="1208" t="s">
        <v>546</v>
      </c>
      <c r="C70" s="1209"/>
      <c r="D70" s="1199" t="s">
        <v>70</v>
      </c>
      <c r="E70" s="1200"/>
      <c r="F70" s="83" t="str">
        <f>IF(Skemaoplysninger!F7&gt;0,Skemaoplysninger!$F$7,"")</f>
        <v>01.08.2024</v>
      </c>
      <c r="G70" s="83" t="str">
        <f>IF(Skemaoplysninger!J7&gt;0,Skemaoplysninger!$J$7,"")</f>
        <v>31.12.2024</v>
      </c>
      <c r="H70" s="82"/>
      <c r="I70" s="1201" t="s">
        <v>72</v>
      </c>
      <c r="J70" s="1202"/>
    </row>
    <row r="71" spans="1:14" ht="94" customHeight="1">
      <c r="A71" s="1251"/>
      <c r="B71" s="341" t="s">
        <v>74</v>
      </c>
      <c r="C71" s="342"/>
      <c r="D71" s="42" t="s">
        <v>9</v>
      </c>
      <c r="E71" s="226" t="s">
        <v>152</v>
      </c>
      <c r="F71" s="226" t="s">
        <v>69</v>
      </c>
      <c r="G71" s="236" t="s">
        <v>456</v>
      </c>
      <c r="H71" s="227" t="s">
        <v>386</v>
      </c>
      <c r="I71" s="44" t="s">
        <v>472</v>
      </c>
      <c r="J71" s="60" t="s">
        <v>71</v>
      </c>
      <c r="K71" s="41"/>
      <c r="L71" s="41"/>
    </row>
    <row r="72" spans="1:14" ht="17" customHeight="1">
      <c r="A72" s="1251"/>
      <c r="B72" s="341" t="s">
        <v>58</v>
      </c>
      <c r="C72" s="342"/>
      <c r="D72" s="35">
        <f>Skemaoplysninger!E$32</f>
        <v>14</v>
      </c>
      <c r="E72" s="39">
        <v>7.75</v>
      </c>
      <c r="F72" s="36">
        <f>IF(Skemaoplysninger!$E$32&gt;0,Skemaoplysninger!$E$30*24,0)</f>
        <v>3.916666666666667</v>
      </c>
      <c r="G72" s="640">
        <f>IF(K72&gt;0,K72,L72)</f>
        <v>0.83333333333333337</v>
      </c>
      <c r="H72" s="43">
        <f>E72-F72-G72</f>
        <v>2.9999999999999996</v>
      </c>
      <c r="I72" s="355">
        <v>0.33333333333333331</v>
      </c>
      <c r="J72" s="45">
        <f>I72+(E72/24)</f>
        <v>0.65625</v>
      </c>
      <c r="K72" s="41">
        <f>IF(AND(Stamoplysninger!$H$29="Ja",Skemaoplysninger!$E$32&gt;0),Stamoplysninger!$H$30/200,0)</f>
        <v>0</v>
      </c>
      <c r="L72" s="41">
        <f>IF(AND(Stamoplysninger!$H$29="nej",Skemaoplysninger!$E$32&gt;0),Skemaoplysninger!$E$39,0)</f>
        <v>0.83333333333333337</v>
      </c>
    </row>
    <row r="73" spans="1:14" ht="17" customHeight="1">
      <c r="A73" s="1251"/>
      <c r="B73" s="341" t="s">
        <v>59</v>
      </c>
      <c r="C73" s="342"/>
      <c r="D73" s="35">
        <f>Skemaoplysninger!G$32</f>
        <v>15</v>
      </c>
      <c r="E73" s="39">
        <v>7.75</v>
      </c>
      <c r="F73" s="36">
        <f>IF(Skemaoplysninger!$G$32&gt;0,Skemaoplysninger!$G$30*24,0)</f>
        <v>4.5</v>
      </c>
      <c r="G73" s="640">
        <f>IF(K73&gt;0,K73,L73)</f>
        <v>1</v>
      </c>
      <c r="H73" s="43">
        <f>E73-F73-G73</f>
        <v>2.25</v>
      </c>
      <c r="I73" s="355">
        <v>0.33333333333333331</v>
      </c>
      <c r="J73" s="45">
        <f>I73+(E73/24)</f>
        <v>0.65625</v>
      </c>
      <c r="K73" s="41">
        <f>IF(AND(Stamoplysninger!$H$29="Ja",Skemaoplysninger!$G$32&gt;0),Stamoplysninger!$H$30/200,0)</f>
        <v>0</v>
      </c>
      <c r="L73" s="41">
        <f>IF(AND(Stamoplysninger!$H$29="nej",Skemaoplysninger!$G$32&gt;0),Skemaoplysninger!$G$39,0)</f>
        <v>1</v>
      </c>
    </row>
    <row r="74" spans="1:14" ht="17" customHeight="1">
      <c r="A74" s="1251"/>
      <c r="B74" s="341" t="s">
        <v>60</v>
      </c>
      <c r="C74" s="342"/>
      <c r="D74" s="35">
        <f>Skemaoplysninger!I$32</f>
        <v>15</v>
      </c>
      <c r="E74" s="39">
        <v>7.75</v>
      </c>
      <c r="F74" s="36">
        <f>IF(Skemaoplysninger!$I$32&gt;0,Skemaoplysninger!$I$30*24,0)</f>
        <v>5</v>
      </c>
      <c r="G74" s="640">
        <f>IF(K74&gt;0,K74,L74)</f>
        <v>1.1666666666666665</v>
      </c>
      <c r="H74" s="43">
        <f>E74-F74-G74</f>
        <v>1.5833333333333335</v>
      </c>
      <c r="I74" s="355">
        <v>0.33333333333333331</v>
      </c>
      <c r="J74" s="45">
        <f>I74+(E74/24)</f>
        <v>0.65625</v>
      </c>
      <c r="K74" s="41">
        <f>IF(AND(Stamoplysninger!$H$29="Ja",Skemaoplysninger!$I$32&gt;0),Stamoplysninger!$H$30/200,0)</f>
        <v>0</v>
      </c>
      <c r="L74" s="41">
        <f>IF(AND(Stamoplysninger!$H$29="nej",Skemaoplysninger!$I$32&gt;0),Skemaoplysninger!$I$39,0)</f>
        <v>1.1666666666666665</v>
      </c>
    </row>
    <row r="75" spans="1:14" ht="17" customHeight="1">
      <c r="A75" s="1251"/>
      <c r="B75" s="341" t="s">
        <v>61</v>
      </c>
      <c r="C75" s="342"/>
      <c r="D75" s="35">
        <f>Skemaoplysninger!K$32</f>
        <v>16</v>
      </c>
      <c r="E75" s="39">
        <v>8.5</v>
      </c>
      <c r="F75" s="36">
        <f>IF(Skemaoplysninger!$K$32&gt;0,Skemaoplysninger!$K$30*24,0)</f>
        <v>3</v>
      </c>
      <c r="G75" s="640">
        <f>IF(K75&gt;0,K75,L75)</f>
        <v>1.5</v>
      </c>
      <c r="H75" s="43">
        <f>E75-F75-G75</f>
        <v>4</v>
      </c>
      <c r="I75" s="355">
        <v>0.33333333333333331</v>
      </c>
      <c r="J75" s="45">
        <f>I75+(E75/24)</f>
        <v>0.6875</v>
      </c>
      <c r="K75" s="41">
        <f>IF(AND(Stamoplysninger!$H$29="Ja",Skemaoplysninger!$K$32&gt;0),Stamoplysninger!$H$30/200,0)</f>
        <v>0</v>
      </c>
      <c r="L75" s="41">
        <f>IF(AND(Stamoplysninger!$H$29="nej",Skemaoplysninger!$K$32&gt;0),Skemaoplysninger!$K$39,0)</f>
        <v>1.5</v>
      </c>
    </row>
    <row r="76" spans="1:14" ht="17" customHeight="1" thickBot="1">
      <c r="A76" s="1251"/>
      <c r="B76" s="349" t="s">
        <v>62</v>
      </c>
      <c r="C76" s="350"/>
      <c r="D76" s="35">
        <f>Skemaoplysninger!M$32</f>
        <v>15</v>
      </c>
      <c r="E76" s="39">
        <v>6.75</v>
      </c>
      <c r="F76" s="36">
        <f>IF(Skemaoplysninger!$M$32&gt;0,Skemaoplysninger!$M$30*24,0)</f>
        <v>3</v>
      </c>
      <c r="G76" s="641">
        <f>IF(K76&gt;0,K76,L76)</f>
        <v>1.5</v>
      </c>
      <c r="H76" s="43">
        <f>E76-F76-G76</f>
        <v>2.25</v>
      </c>
      <c r="I76" s="355">
        <v>0.33333333333333331</v>
      </c>
      <c r="J76" s="356">
        <f>I76+(E76/24)</f>
        <v>0.61458333333333326</v>
      </c>
      <c r="K76" s="41">
        <f>IF(AND(Stamoplysninger!$H$29="Ja",Skemaoplysninger!$M$32&gt;0),Stamoplysninger!$H$30/200,0)</f>
        <v>0</v>
      </c>
      <c r="L76" s="41">
        <f>IF(AND(Stamoplysninger!$H$29="nej",Skemaoplysninger!$M$32&gt;0),Skemaoplysninger!$M$39,0)</f>
        <v>1.5</v>
      </c>
    </row>
    <row r="77" spans="1:14" ht="17" customHeight="1" thickBot="1">
      <c r="A77" s="1251"/>
      <c r="B77" s="343" t="s">
        <v>106</v>
      </c>
      <c r="C77" s="344"/>
      <c r="D77" s="345"/>
      <c r="E77" s="85">
        <f>SUM(E72:E76)</f>
        <v>38.5</v>
      </c>
      <c r="F77" s="85">
        <f>SUM(F72:F76)</f>
        <v>19.416666666666668</v>
      </c>
      <c r="G77" s="238">
        <f>SUM(G72:G76)</f>
        <v>6</v>
      </c>
      <c r="H77" s="88">
        <f>SUM(H72:H76)</f>
        <v>13.083333333333334</v>
      </c>
      <c r="I77" s="87"/>
      <c r="J77" s="86"/>
      <c r="K77" s="41"/>
      <c r="L77" s="41"/>
    </row>
    <row r="78" spans="1:14" ht="17" customHeight="1" thickBot="1">
      <c r="A78" s="1251"/>
      <c r="B78" s="346"/>
      <c r="C78" s="352"/>
      <c r="D78" s="352"/>
      <c r="E78" s="352"/>
      <c r="F78" s="352"/>
      <c r="G78" s="352"/>
      <c r="H78" s="352"/>
      <c r="I78" s="352"/>
      <c r="J78" s="353"/>
      <c r="K78" s="41"/>
      <c r="L78" s="41"/>
    </row>
    <row r="79" spans="1:14" ht="17" customHeight="1">
      <c r="A79" s="1251"/>
      <c r="B79" s="1208" t="s">
        <v>547</v>
      </c>
      <c r="C79" s="1209"/>
      <c r="D79" s="1211" t="s">
        <v>70</v>
      </c>
      <c r="E79" s="1211"/>
      <c r="F79" s="83" t="str">
        <f>IF(Skemaoplysninger!$T$7&gt;0,Skemaoplysninger!$T$7,"")</f>
        <v>01.01.2025</v>
      </c>
      <c r="G79" s="83" t="str">
        <f>IF(Skemaoplysninger!$X$7&gt;0,Skemaoplysninger!$X$7,"")</f>
        <v>31.07.2025</v>
      </c>
      <c r="H79" s="84"/>
      <c r="I79" s="1201" t="s">
        <v>72</v>
      </c>
      <c r="J79" s="1202"/>
      <c r="K79" s="41"/>
      <c r="L79" s="41"/>
    </row>
    <row r="80" spans="1:14" ht="91" customHeight="1">
      <c r="A80" s="1251"/>
      <c r="B80" s="341" t="s">
        <v>74</v>
      </c>
      <c r="C80" s="342"/>
      <c r="D80" s="42" t="s">
        <v>9</v>
      </c>
      <c r="E80" s="226" t="s">
        <v>152</v>
      </c>
      <c r="F80" s="226" t="s">
        <v>69</v>
      </c>
      <c r="G80" s="236" t="s">
        <v>456</v>
      </c>
      <c r="H80" s="227" t="s">
        <v>386</v>
      </c>
      <c r="I80" s="44" t="str">
        <f>I71</f>
        <v>Angiv her mødetids-punkt                  (07:45 =  07:45)</v>
      </c>
      <c r="J80" s="60" t="s">
        <v>71</v>
      </c>
      <c r="K80" s="41"/>
      <c r="L80" s="41"/>
    </row>
    <row r="81" spans="1:12" ht="17" customHeight="1">
      <c r="A81" s="1251"/>
      <c r="B81" s="341" t="s">
        <v>58</v>
      </c>
      <c r="C81" s="342"/>
      <c r="D81" s="35">
        <f>Skemaoplysninger!S$32</f>
        <v>21</v>
      </c>
      <c r="E81" s="39">
        <v>7.75</v>
      </c>
      <c r="F81" s="36">
        <f>IF(Skemaoplysninger!$S$32&gt;0,Skemaoplysninger!S$30*24,0)</f>
        <v>3.4999999999999996</v>
      </c>
      <c r="G81" s="237">
        <f>IF(K81&gt;0,K81,L81)</f>
        <v>1</v>
      </c>
      <c r="H81" s="43">
        <f>E81-F81-G81</f>
        <v>3.25</v>
      </c>
      <c r="I81" s="355">
        <v>0.33333333333333331</v>
      </c>
      <c r="J81" s="45">
        <f>I81+(E81/24)</f>
        <v>0.65625</v>
      </c>
      <c r="K81" s="41">
        <f>IF(AND(Stamoplysninger!$H$29="Ja",Skemaoplysninger!$S$32&gt;0),Stamoplysninger!$H$30/200,0)</f>
        <v>0</v>
      </c>
      <c r="L81" s="41">
        <f>IF(AND(Stamoplysninger!$H$29="nej",Skemaoplysninger!$S$32&gt;0),Skemaoplysninger!$S$39,0)</f>
        <v>1</v>
      </c>
    </row>
    <row r="82" spans="1:12" ht="17" customHeight="1">
      <c r="A82" s="1251"/>
      <c r="B82" s="341" t="s">
        <v>59</v>
      </c>
      <c r="C82" s="342"/>
      <c r="D82" s="35">
        <f>Skemaoplysninger!U$32</f>
        <v>22</v>
      </c>
      <c r="E82" s="39">
        <v>8.5</v>
      </c>
      <c r="F82" s="36">
        <f>IF(Skemaoplysninger!$U$32&gt;0,Skemaoplysninger!U$30*24,0)</f>
        <v>3.75</v>
      </c>
      <c r="G82" s="237">
        <f>IF(K82&gt;0,K82,L82)</f>
        <v>1.5</v>
      </c>
      <c r="H82" s="43">
        <f>E82-F82-G82</f>
        <v>3.25</v>
      </c>
      <c r="I82" s="355">
        <v>0.33333333333333331</v>
      </c>
      <c r="J82" s="45">
        <f>I82+(E82/24)</f>
        <v>0.6875</v>
      </c>
      <c r="K82" s="41">
        <f>IF(AND(Stamoplysninger!$H$29="Ja",Skemaoplysninger!$U$32&gt;0),Stamoplysninger!$H$30/200,0)</f>
        <v>0</v>
      </c>
      <c r="L82" s="41">
        <f>IF(AND(Stamoplysninger!$H$29="nej",Skemaoplysninger!$U$32&gt;0),Skemaoplysninger!$U$39,0)</f>
        <v>1.5</v>
      </c>
    </row>
    <row r="83" spans="1:12" ht="17" customHeight="1">
      <c r="A83" s="1251"/>
      <c r="B83" s="341" t="s">
        <v>60</v>
      </c>
      <c r="C83" s="342"/>
      <c r="D83" s="35">
        <f>Skemaoplysninger!W$32</f>
        <v>21</v>
      </c>
      <c r="E83" s="39">
        <v>7.75</v>
      </c>
      <c r="F83" s="36">
        <f>IF(Skemaoplysninger!$W$32&gt;0,Skemaoplysninger!W$30*24,0)</f>
        <v>4.25</v>
      </c>
      <c r="G83" s="237">
        <f>IF(K83&gt;0,K83,L83)</f>
        <v>1</v>
      </c>
      <c r="H83" s="43">
        <f>E83-F83-G83</f>
        <v>2.5</v>
      </c>
      <c r="I83" s="355">
        <v>0.33333333333333331</v>
      </c>
      <c r="J83" s="45">
        <f>I83+(E83/24)</f>
        <v>0.65625</v>
      </c>
      <c r="K83" s="41">
        <f>IF(AND(Stamoplysninger!$H$29="Ja",Skemaoplysninger!$W$32&gt;0),Stamoplysninger!$H$30/200,0)</f>
        <v>0</v>
      </c>
      <c r="L83" s="41">
        <f>IF(AND(Stamoplysninger!$H$29="nej",Skemaoplysninger!$W$32&gt;0),Skemaoplysninger!$W$39,0)</f>
        <v>1</v>
      </c>
    </row>
    <row r="84" spans="1:12" ht="17" customHeight="1">
      <c r="A84" s="1251"/>
      <c r="B84" s="341" t="s">
        <v>61</v>
      </c>
      <c r="C84" s="342"/>
      <c r="D84" s="35">
        <f>Skemaoplysninger!Y$32</f>
        <v>18</v>
      </c>
      <c r="E84" s="39">
        <v>7.75</v>
      </c>
      <c r="F84" s="36">
        <f>IF(Skemaoplysninger!$Y$32&gt;0,Skemaoplysninger!Y$30*24,0)</f>
        <v>3</v>
      </c>
      <c r="G84" s="237">
        <f>IF(K84&gt;0,K84,L84)</f>
        <v>0.83333333333333337</v>
      </c>
      <c r="H84" s="43">
        <f>E84-F84-G84</f>
        <v>3.9166666666666665</v>
      </c>
      <c r="I84" s="355">
        <v>0.33333333333333331</v>
      </c>
      <c r="J84" s="45">
        <f>I84+(E84/24)</f>
        <v>0.65625</v>
      </c>
      <c r="K84" s="41">
        <f>IF(AND(Stamoplysninger!$H$29="Ja",Skemaoplysninger!$Y$32&gt;0),Stamoplysninger!$H$30/200,0)</f>
        <v>0</v>
      </c>
      <c r="L84" s="41">
        <f>IF(AND(Stamoplysninger!$H$29="nej",Skemaoplysninger!$Y$32&gt;0),Skemaoplysninger!$Y$39,0)</f>
        <v>0.83333333333333337</v>
      </c>
    </row>
    <row r="85" spans="1:12" ht="17" customHeight="1" thickBot="1">
      <c r="A85" s="1251"/>
      <c r="B85" s="341" t="s">
        <v>62</v>
      </c>
      <c r="C85" s="342"/>
      <c r="D85" s="35">
        <f>Skemaoplysninger!AA$32</f>
        <v>20</v>
      </c>
      <c r="E85" s="39">
        <v>7</v>
      </c>
      <c r="F85" s="36">
        <f>IF(Skemaoplysninger!$AA$32&gt;0,Skemaoplysninger!AA$30*24,0)</f>
        <v>3</v>
      </c>
      <c r="G85" s="237">
        <f>IF(K85&gt;0,K85,L85)</f>
        <v>0.83333333333333337</v>
      </c>
      <c r="H85" s="43">
        <f>E85-F85-G85</f>
        <v>3.1666666666666665</v>
      </c>
      <c r="I85" s="355">
        <v>0.33333333333333331</v>
      </c>
      <c r="J85" s="46">
        <f>I85+(E85/24)</f>
        <v>0.625</v>
      </c>
      <c r="K85" s="41">
        <f>IF(AND(Stamoplysninger!$H$29="Ja",Skemaoplysninger!$AA$32&gt;0),Stamoplysninger!$H$30/200,0)</f>
        <v>0</v>
      </c>
      <c r="L85" s="41">
        <f>IF(AND(Stamoplysninger!$H$29="nej",Skemaoplysninger!$AA$32&gt;0),Skemaoplysninger!$AA$39,0)</f>
        <v>0.83333333333333337</v>
      </c>
    </row>
    <row r="86" spans="1:12" ht="17" customHeight="1" thickBot="1">
      <c r="A86" s="1251"/>
      <c r="B86" s="343" t="s">
        <v>106</v>
      </c>
      <c r="C86" s="344"/>
      <c r="D86" s="345"/>
      <c r="E86" s="85">
        <f>SUM(E81:E85)</f>
        <v>38.75</v>
      </c>
      <c r="F86" s="85">
        <f>SUM(F81:F85)</f>
        <v>17.5</v>
      </c>
      <c r="G86" s="238">
        <f>SUM(G81:G85)</f>
        <v>5.1666666666666661</v>
      </c>
      <c r="H86" s="88">
        <f>SUM(H81:H85)</f>
        <v>16.083333333333332</v>
      </c>
      <c r="I86" s="87"/>
      <c r="J86" s="86"/>
      <c r="K86" s="41"/>
      <c r="L86" s="41"/>
    </row>
    <row r="87" spans="1:12" ht="17" customHeight="1" thickBot="1">
      <c r="A87" s="1251"/>
      <c r="B87" s="346"/>
      <c r="C87" s="352"/>
      <c r="D87" s="352"/>
      <c r="E87" s="352"/>
      <c r="F87" s="352"/>
      <c r="G87" s="352"/>
      <c r="H87" s="352"/>
      <c r="I87" s="352"/>
      <c r="J87" s="353"/>
      <c r="K87" s="41"/>
      <c r="L87" s="41"/>
    </row>
    <row r="88" spans="1:12" ht="17" customHeight="1">
      <c r="A88" s="1251"/>
      <c r="B88" s="1208" t="s">
        <v>548</v>
      </c>
      <c r="C88" s="1209"/>
      <c r="D88" s="1211" t="s">
        <v>70</v>
      </c>
      <c r="E88" s="1211"/>
      <c r="F88" s="83" t="str">
        <f>IF(Skemaoplysninger!AH7&gt;0,Skemaoplysninger!$AH$7,"")</f>
        <v/>
      </c>
      <c r="G88" s="83" t="str">
        <f>IF(Skemaoplysninger!AL7&gt;0,Skemaoplysninger!$AL$7,"")</f>
        <v/>
      </c>
      <c r="H88" s="84"/>
      <c r="I88" s="1201" t="s">
        <v>72</v>
      </c>
      <c r="J88" s="1202"/>
      <c r="K88" s="41"/>
      <c r="L88" s="41"/>
    </row>
    <row r="89" spans="1:12" ht="91" customHeight="1">
      <c r="A89" s="1251"/>
      <c r="B89" s="341" t="s">
        <v>74</v>
      </c>
      <c r="C89" s="342"/>
      <c r="D89" s="42" t="s">
        <v>9</v>
      </c>
      <c r="E89" s="226" t="s">
        <v>152</v>
      </c>
      <c r="F89" s="226" t="s">
        <v>69</v>
      </c>
      <c r="G89" s="236" t="s">
        <v>456</v>
      </c>
      <c r="H89" s="227" t="s">
        <v>386</v>
      </c>
      <c r="I89" s="44" t="str">
        <f>I80</f>
        <v>Angiv her mødetids-punkt                  (07:45 =  07:45)</v>
      </c>
      <c r="J89" s="60" t="s">
        <v>71</v>
      </c>
      <c r="K89" s="41"/>
      <c r="L89" s="41"/>
    </row>
    <row r="90" spans="1:12" ht="17" customHeight="1">
      <c r="A90" s="1251"/>
      <c r="B90" s="341" t="s">
        <v>58</v>
      </c>
      <c r="C90" s="342"/>
      <c r="D90" s="35">
        <f>Skemaoplysninger!AG$32</f>
        <v>0</v>
      </c>
      <c r="E90" s="39"/>
      <c r="F90" s="36">
        <f>IF(Skemaoplysninger!$AG$32&gt;0,Skemaoplysninger!AG$30*24,0)</f>
        <v>0</v>
      </c>
      <c r="G90" s="237">
        <f>IF(K90&gt;0,K90,L90)</f>
        <v>0</v>
      </c>
      <c r="H90" s="43">
        <f>E90-F90-G90</f>
        <v>0</v>
      </c>
      <c r="I90" s="355"/>
      <c r="J90" s="45">
        <f>I90+(E90/24)</f>
        <v>0</v>
      </c>
      <c r="K90" s="41">
        <f>IF(AND(Stamoplysninger!$H$29="Ja",Skemaoplysninger!$AG$32&gt;0),Stamoplysninger!$H$30/200,0)</f>
        <v>0</v>
      </c>
      <c r="L90" s="41">
        <f>IF(AND(Stamoplysninger!$H$29="nej",Skemaoplysninger!$AG$32&gt;0),Skemaoplysninger!$AG$39,0)</f>
        <v>0</v>
      </c>
    </row>
    <row r="91" spans="1:12" ht="17" customHeight="1">
      <c r="A91" s="1251"/>
      <c r="B91" s="341" t="s">
        <v>59</v>
      </c>
      <c r="C91" s="342"/>
      <c r="D91" s="35">
        <f>Skemaoplysninger!AI$32</f>
        <v>0</v>
      </c>
      <c r="E91" s="39"/>
      <c r="F91" s="36">
        <f>IF(Skemaoplysninger!$AI$32&gt;0,Skemaoplysninger!AI$30*24,0)</f>
        <v>0</v>
      </c>
      <c r="G91" s="237">
        <f>IF(K91&gt;0,K91,L91)</f>
        <v>0</v>
      </c>
      <c r="H91" s="43">
        <f>E91-F91-G91</f>
        <v>0</v>
      </c>
      <c r="I91" s="355"/>
      <c r="J91" s="45">
        <f>I91+(E91/24)</f>
        <v>0</v>
      </c>
      <c r="K91" s="41">
        <f>IF(AND(Stamoplysninger!$H$29="Ja",Skemaoplysninger!$AI$32&gt;0),Stamoplysninger!$H$30/200,0)</f>
        <v>0</v>
      </c>
      <c r="L91" s="41">
        <f>IF(AND(Stamoplysninger!$H$29="nej",Skemaoplysninger!$AI$32&gt;0),Skemaoplysninger!$AI$39,0)</f>
        <v>0</v>
      </c>
    </row>
    <row r="92" spans="1:12" ht="17" customHeight="1">
      <c r="A92" s="1251"/>
      <c r="B92" s="341" t="s">
        <v>60</v>
      </c>
      <c r="C92" s="342"/>
      <c r="D92" s="35">
        <f>Skemaoplysninger!AK$32</f>
        <v>0</v>
      </c>
      <c r="E92" s="39"/>
      <c r="F92" s="36">
        <f>IF(Skemaoplysninger!$AK$32&gt;0,Skemaoplysninger!AK$30*24,0)</f>
        <v>0</v>
      </c>
      <c r="G92" s="237">
        <f>IF(K92&gt;0,K92,L92)</f>
        <v>0</v>
      </c>
      <c r="H92" s="43">
        <f>E92-F92-G92</f>
        <v>0</v>
      </c>
      <c r="I92" s="355"/>
      <c r="J92" s="45">
        <f>I92+(E92/24)</f>
        <v>0</v>
      </c>
      <c r="K92" s="41">
        <f>IF(AND(Stamoplysninger!$H$29="Ja",Skemaoplysninger!$AK$32&gt;0),Stamoplysninger!$H$30/200,0)</f>
        <v>0</v>
      </c>
      <c r="L92" s="41">
        <f>IF(AND(Stamoplysninger!$H$29="nej",Skemaoplysninger!$AK$32&gt;0),Skemaoplysninger!$AK$39,0)</f>
        <v>0</v>
      </c>
    </row>
    <row r="93" spans="1:12" ht="17" customHeight="1">
      <c r="A93" s="1251"/>
      <c r="B93" s="341" t="s">
        <v>61</v>
      </c>
      <c r="C93" s="342"/>
      <c r="D93" s="35">
        <f>Skemaoplysninger!AM$32</f>
        <v>0</v>
      </c>
      <c r="E93" s="39"/>
      <c r="F93" s="36">
        <f>IF(Skemaoplysninger!$AM$32&gt;0,Skemaoplysninger!AM$30*24,0)</f>
        <v>0</v>
      </c>
      <c r="G93" s="237">
        <f>IF(K93&gt;0,K93,L93)</f>
        <v>0</v>
      </c>
      <c r="H93" s="43">
        <f>E93-F93-G93</f>
        <v>0</v>
      </c>
      <c r="I93" s="355"/>
      <c r="J93" s="45">
        <f>I93+(E93/24)</f>
        <v>0</v>
      </c>
      <c r="K93" s="41">
        <f>IF(AND(Stamoplysninger!$H$29="Ja",Skemaoplysninger!$AM$32&gt;0),Stamoplysninger!$H$30/200,0)</f>
        <v>0</v>
      </c>
      <c r="L93" s="41">
        <f>IF(AND(Stamoplysninger!$H$29="nej",Skemaoplysninger!$AM$32&gt;0),Skemaoplysninger!$AM$39,0)</f>
        <v>0</v>
      </c>
    </row>
    <row r="94" spans="1:12" ht="17" customHeight="1" thickBot="1">
      <c r="A94" s="1251"/>
      <c r="B94" s="341" t="s">
        <v>62</v>
      </c>
      <c r="C94" s="342"/>
      <c r="D94" s="35">
        <f>Skemaoplysninger!AO$32</f>
        <v>0</v>
      </c>
      <c r="E94" s="39"/>
      <c r="F94" s="36">
        <f>IF(Skemaoplysninger!$AO$32&gt;0,Skemaoplysninger!AO$30*24,0)</f>
        <v>0</v>
      </c>
      <c r="G94" s="237">
        <f>IF(K94&gt;0,K94,L94)</f>
        <v>0</v>
      </c>
      <c r="H94" s="43">
        <f>E94-F94-G94</f>
        <v>0</v>
      </c>
      <c r="I94" s="355"/>
      <c r="J94" s="46">
        <f>I94+(E94/24)</f>
        <v>0</v>
      </c>
      <c r="K94" s="41">
        <f>IF(AND(Stamoplysninger!$H$29="Ja",Skemaoplysninger!$AO$32&gt;0),Stamoplysninger!$H$30/200,0)</f>
        <v>0</v>
      </c>
      <c r="L94" s="41">
        <f>IF(AND(Stamoplysninger!$H$29="nej",Skemaoplysninger!$AO$32&gt;0),Skemaoplysninger!$AO$39,0)</f>
        <v>0</v>
      </c>
    </row>
    <row r="95" spans="1:12" ht="17" customHeight="1" thickBot="1">
      <c r="A95" s="1251"/>
      <c r="B95" s="343" t="s">
        <v>106</v>
      </c>
      <c r="C95" s="344"/>
      <c r="D95" s="345"/>
      <c r="E95" s="85">
        <f>SUM(E90:E94)</f>
        <v>0</v>
      </c>
      <c r="F95" s="85">
        <f>SUM(F90:F94)</f>
        <v>0</v>
      </c>
      <c r="G95" s="238">
        <f>SUM(G90:G94)</f>
        <v>0</v>
      </c>
      <c r="H95" s="88">
        <f>SUM(H90:H94)</f>
        <v>0</v>
      </c>
      <c r="I95" s="87"/>
      <c r="J95" s="86"/>
      <c r="K95" s="41"/>
      <c r="L95" s="41"/>
    </row>
    <row r="96" spans="1:12" ht="17" customHeight="1" thickBot="1">
      <c r="A96" s="1251"/>
      <c r="B96" s="346"/>
      <c r="C96" s="352"/>
      <c r="D96" s="352"/>
      <c r="E96" s="352"/>
      <c r="F96" s="352"/>
      <c r="G96" s="352"/>
      <c r="H96" s="352"/>
      <c r="I96" s="352"/>
      <c r="J96" s="353"/>
      <c r="K96" s="41"/>
      <c r="L96" s="41"/>
    </row>
    <row r="97" spans="1:12" ht="17" customHeight="1">
      <c r="A97" s="1251"/>
      <c r="B97" s="1208" t="s">
        <v>549</v>
      </c>
      <c r="C97" s="1209"/>
      <c r="D97" s="1211" t="s">
        <v>70</v>
      </c>
      <c r="E97" s="1211"/>
      <c r="F97" s="83" t="str">
        <f>IF(Skemaoplysninger!AV7&gt;0,Skemaoplysninger!$AV$7,"")</f>
        <v/>
      </c>
      <c r="G97" s="83" t="str">
        <f>IF(Skemaoplysninger!AZ7&gt;0,Skemaoplysninger!$AZ$7,"")</f>
        <v/>
      </c>
      <c r="H97" s="84"/>
      <c r="I97" s="1201" t="s">
        <v>72</v>
      </c>
      <c r="J97" s="1202"/>
      <c r="K97" s="41"/>
      <c r="L97" s="41"/>
    </row>
    <row r="98" spans="1:12" ht="91" customHeight="1">
      <c r="A98" s="1251"/>
      <c r="B98" s="341" t="s">
        <v>74</v>
      </c>
      <c r="C98" s="342"/>
      <c r="D98" s="42" t="s">
        <v>9</v>
      </c>
      <c r="E98" s="226" t="s">
        <v>152</v>
      </c>
      <c r="F98" s="226" t="s">
        <v>69</v>
      </c>
      <c r="G98" s="236" t="s">
        <v>456</v>
      </c>
      <c r="H98" s="227" t="s">
        <v>386</v>
      </c>
      <c r="I98" s="44" t="str">
        <f>I89</f>
        <v>Angiv her mødetids-punkt                  (07:45 =  07:45)</v>
      </c>
      <c r="J98" s="60" t="s">
        <v>71</v>
      </c>
      <c r="K98" s="41"/>
      <c r="L98" s="41"/>
    </row>
    <row r="99" spans="1:12" ht="17" customHeight="1">
      <c r="A99" s="1251"/>
      <c r="B99" s="341" t="s">
        <v>58</v>
      </c>
      <c r="C99" s="342"/>
      <c r="D99" s="35">
        <f>Skemaoplysninger!AU$32</f>
        <v>0</v>
      </c>
      <c r="E99" s="39"/>
      <c r="F99" s="36">
        <f>IF(Skemaoplysninger!$AU$32&gt;0,Skemaoplysninger!AU$30*24,0)</f>
        <v>0</v>
      </c>
      <c r="G99" s="237">
        <f>IF(K99&gt;0,K99,L99)</f>
        <v>0</v>
      </c>
      <c r="H99" s="43">
        <f>E99-F99-G99</f>
        <v>0</v>
      </c>
      <c r="I99" s="355"/>
      <c r="J99" s="45">
        <f>I99+(E99/24)</f>
        <v>0</v>
      </c>
      <c r="K99" s="41">
        <f>IF(AND(Stamoplysninger!$H$29="Ja",Skemaoplysninger!AU32&gt;0),Stamoplysninger!$H$30/200,0)</f>
        <v>0</v>
      </c>
      <c r="L99" s="41">
        <f>IF(AND(Stamoplysninger!$H$29="nej",Skemaoplysninger!$AU$32&gt;0),Skemaoplysninger!$AU$39,0)</f>
        <v>0</v>
      </c>
    </row>
    <row r="100" spans="1:12" ht="17" customHeight="1">
      <c r="A100" s="1251"/>
      <c r="B100" s="341" t="s">
        <v>59</v>
      </c>
      <c r="C100" s="342"/>
      <c r="D100" s="35">
        <f>Skemaoplysninger!AW$32</f>
        <v>0</v>
      </c>
      <c r="E100" s="39"/>
      <c r="F100" s="36">
        <f>IF(Skemaoplysninger!$AW$32&gt;0,Skemaoplysninger!AW$30*24,0)</f>
        <v>0</v>
      </c>
      <c r="G100" s="237">
        <f>IF(K100&gt;0,K100,L100)</f>
        <v>0</v>
      </c>
      <c r="H100" s="43">
        <f>E100-F100-G100</f>
        <v>0</v>
      </c>
      <c r="I100" s="355"/>
      <c r="J100" s="45">
        <f>I100+(E100/24)</f>
        <v>0</v>
      </c>
      <c r="K100" s="41">
        <f>IF(AND(Stamoplysninger!$H$29="Ja",Skemaoplysninger!AW32&gt;0),Stamoplysninger!$H$30/200,0)</f>
        <v>0</v>
      </c>
      <c r="L100" s="41">
        <f>IF(AND(Stamoplysninger!$H$29="nej",Skemaoplysninger!$AW$32&gt;0),Skemaoplysninger!$AW$39,0)</f>
        <v>0</v>
      </c>
    </row>
    <row r="101" spans="1:12" ht="17" customHeight="1">
      <c r="A101" s="1251"/>
      <c r="B101" s="341" t="s">
        <v>60</v>
      </c>
      <c r="C101" s="342"/>
      <c r="D101" s="35">
        <f>Skemaoplysninger!AY$32</f>
        <v>0</v>
      </c>
      <c r="E101" s="39"/>
      <c r="F101" s="36">
        <f>IF(Skemaoplysninger!$AY$32&gt;0,Skemaoplysninger!AY$30*24,0)</f>
        <v>0</v>
      </c>
      <c r="G101" s="237">
        <f>IF(K101&gt;0,K101,L101)</f>
        <v>0</v>
      </c>
      <c r="H101" s="43">
        <f>E101-F101-G101</f>
        <v>0</v>
      </c>
      <c r="I101" s="355"/>
      <c r="J101" s="45">
        <f>I101+(E101/24)</f>
        <v>0</v>
      </c>
      <c r="K101" s="41">
        <f>IF(AND(Stamoplysninger!$H$29="Ja",Skemaoplysninger!AY32&gt;0),Stamoplysninger!$H$30/200,0)</f>
        <v>0</v>
      </c>
      <c r="L101" s="41">
        <f>IF(AND(Stamoplysninger!$H$29="nej",Skemaoplysninger!$AY$32&gt;0),Skemaoplysninger!$AY$39,0)</f>
        <v>0</v>
      </c>
    </row>
    <row r="102" spans="1:12" ht="17" customHeight="1">
      <c r="A102" s="1251"/>
      <c r="B102" s="341" t="s">
        <v>61</v>
      </c>
      <c r="C102" s="342"/>
      <c r="D102" s="35">
        <f>Skemaoplysninger!BA$32</f>
        <v>0</v>
      </c>
      <c r="E102" s="39"/>
      <c r="F102" s="36">
        <f>IF(Skemaoplysninger!$BA$32&gt;0,Skemaoplysninger!BA$30*24,0)</f>
        <v>0</v>
      </c>
      <c r="G102" s="237">
        <f>IF(K102&gt;0,K102,L102)</f>
        <v>0</v>
      </c>
      <c r="H102" s="43">
        <f>E102-F102-G102</f>
        <v>0</v>
      </c>
      <c r="I102" s="355"/>
      <c r="J102" s="45">
        <f>I102+(E102/24)</f>
        <v>0</v>
      </c>
      <c r="K102" s="41">
        <f>IF(AND(Stamoplysninger!$H$29="Ja",Skemaoplysninger!BA32&gt;0),Stamoplysninger!$H$30/200,0)</f>
        <v>0</v>
      </c>
      <c r="L102" s="41">
        <f>IF(AND(Stamoplysninger!$H$29="nej",Skemaoplysninger!$BA$32&gt;0),Skemaoplysninger!$BA$39,0)</f>
        <v>0</v>
      </c>
    </row>
    <row r="103" spans="1:12" ht="17" customHeight="1" thickBot="1">
      <c r="A103" s="1251"/>
      <c r="B103" s="341" t="s">
        <v>62</v>
      </c>
      <c r="C103" s="342"/>
      <c r="D103" s="35">
        <f>Skemaoplysninger!BC$32</f>
        <v>0</v>
      </c>
      <c r="E103" s="39"/>
      <c r="F103" s="36">
        <f>IF(Skemaoplysninger!$BC$32&gt;0,Skemaoplysninger!BC$30*24,0)</f>
        <v>0</v>
      </c>
      <c r="G103" s="237">
        <f>IF(K103&gt;0,K103,L103)</f>
        <v>0</v>
      </c>
      <c r="H103" s="43">
        <f>E103-F103-G103</f>
        <v>0</v>
      </c>
      <c r="I103" s="355"/>
      <c r="J103" s="46">
        <f>I103+(E103/24)</f>
        <v>0</v>
      </c>
      <c r="K103" s="41">
        <f>IF(AND(Stamoplysninger!$H$29="Ja",Skemaoplysninger!BC32&gt;0),Stamoplysninger!$H$30/200,0)</f>
        <v>0</v>
      </c>
      <c r="L103" s="41">
        <f>IF(AND(Stamoplysninger!$H$29="nej",Skemaoplysninger!$BC$32&gt;0),Skemaoplysninger!$BC$39,0)</f>
        <v>0</v>
      </c>
    </row>
    <row r="104" spans="1:12" ht="17" customHeight="1" thickBot="1">
      <c r="A104" s="1251"/>
      <c r="B104" s="343" t="s">
        <v>106</v>
      </c>
      <c r="C104" s="344"/>
      <c r="D104" s="345"/>
      <c r="E104" s="85">
        <f>SUM(E99:E103)</f>
        <v>0</v>
      </c>
      <c r="F104" s="85">
        <f>SUM(F99:F103)</f>
        <v>0</v>
      </c>
      <c r="G104" s="238">
        <f>SUM(G99:G103)</f>
        <v>0</v>
      </c>
      <c r="H104" s="88">
        <f>SUM(H99:H103)</f>
        <v>0</v>
      </c>
      <c r="I104" s="87"/>
      <c r="J104" s="86"/>
      <c r="K104" s="41"/>
      <c r="L104" s="41"/>
    </row>
    <row r="105" spans="1:12" ht="17" customHeight="1">
      <c r="A105" s="1251"/>
      <c r="B105" s="347"/>
      <c r="C105" s="348"/>
      <c r="D105" s="348"/>
      <c r="E105" s="348"/>
      <c r="F105" s="348"/>
      <c r="G105" s="348"/>
      <c r="H105" s="348"/>
      <c r="I105" s="348"/>
      <c r="J105" s="354"/>
      <c r="K105" s="41"/>
      <c r="L105" s="41"/>
    </row>
    <row r="106" spans="1:12" ht="32" customHeight="1">
      <c r="A106" s="1251"/>
      <c r="B106" s="1169" t="s">
        <v>341</v>
      </c>
      <c r="C106" s="1249"/>
      <c r="D106" s="1241">
        <f>(D72*E72)+(D73*E73)+(D74*E74)+(D75*E75)+(D76*E76)+(D81*E81)+(D82*E82)+(D83*E83)+(D84*E84)+(D85*E85)+(D90*E90)+(D91*E91)+(D92*E92)+(D93*E93)+(D94*E94)+(D99*E99)+(D100*E100)+(D101*E101)+(D102*E102)+(D103*E103)</f>
        <v>1370.25</v>
      </c>
      <c r="E106" s="1242"/>
      <c r="F106" s="1242"/>
      <c r="G106" s="1242"/>
      <c r="H106" s="1242"/>
      <c r="I106" s="1242"/>
      <c r="J106" s="1172"/>
      <c r="K106" s="41"/>
      <c r="L106" s="41"/>
    </row>
    <row r="107" spans="1:12" ht="17" customHeight="1">
      <c r="A107" s="1251"/>
      <c r="B107" s="1169" t="s">
        <v>63</v>
      </c>
      <c r="C107" s="1249"/>
      <c r="D107" s="1241">
        <f>D106+I67-J55</f>
        <v>6.1000000000001364</v>
      </c>
      <c r="E107" s="1242"/>
      <c r="F107" s="1242"/>
      <c r="G107" s="1242"/>
      <c r="H107" s="1242"/>
      <c r="I107" s="1242"/>
      <c r="J107" s="1172"/>
      <c r="K107" s="41"/>
      <c r="L107" s="41"/>
    </row>
    <row r="108" spans="1:12" ht="31" customHeight="1">
      <c r="A108" s="1251"/>
      <c r="B108" s="1243" t="s">
        <v>444</v>
      </c>
      <c r="C108" s="1244"/>
      <c r="D108" s="1244"/>
      <c r="E108" s="1244"/>
      <c r="F108" s="1244"/>
      <c r="G108" s="1244"/>
      <c r="H108" s="1244"/>
      <c r="I108" s="1244"/>
      <c r="J108" s="1245"/>
      <c r="K108" s="41"/>
      <c r="L108" s="41"/>
    </row>
    <row r="109" spans="1:12" ht="37" customHeight="1" thickBot="1">
      <c r="A109" s="1252"/>
      <c r="B109" s="1246"/>
      <c r="C109" s="1247"/>
      <c r="D109" s="1247"/>
      <c r="E109" s="1247"/>
      <c r="F109" s="1247"/>
      <c r="G109" s="1247"/>
      <c r="H109" s="1247"/>
      <c r="I109" s="1247"/>
      <c r="J109" s="1248"/>
      <c r="K109" s="41"/>
      <c r="L109" s="41"/>
    </row>
    <row r="110" spans="1:12" ht="44" customHeight="1">
      <c r="A110" s="1233"/>
      <c r="B110" s="1233"/>
      <c r="C110" s="1258" t="s">
        <v>359</v>
      </c>
      <c r="D110" s="1258"/>
      <c r="E110" s="1258"/>
      <c r="F110" s="1258"/>
      <c r="G110" s="1258"/>
      <c r="H110" s="1258"/>
      <c r="I110" s="1258"/>
      <c r="J110" s="1258"/>
      <c r="K110" s="713"/>
      <c r="L110" s="41"/>
    </row>
    <row r="111" spans="1:12" ht="63" customHeight="1">
      <c r="A111" s="730"/>
      <c r="B111" s="730"/>
      <c r="C111" s="799" t="s">
        <v>462</v>
      </c>
      <c r="D111" s="799"/>
      <c r="E111" s="799"/>
      <c r="F111" s="799"/>
      <c r="G111" s="799"/>
      <c r="H111" s="799"/>
      <c r="I111" s="799"/>
      <c r="J111" s="799"/>
      <c r="K111" s="713"/>
      <c r="L111" s="41"/>
    </row>
    <row r="112" spans="1:12" ht="10" customHeight="1">
      <c r="K112" s="41"/>
      <c r="L112" s="41"/>
    </row>
  </sheetData>
  <sheetProtection sheet="1" formatCells="0" formatColumns="0" formatRows="0"/>
  <dataConsolidate/>
  <mergeCells count="119">
    <mergeCell ref="B10:J10"/>
    <mergeCell ref="C110:J110"/>
    <mergeCell ref="B107:C107"/>
    <mergeCell ref="B79:C79"/>
    <mergeCell ref="B59:I59"/>
    <mergeCell ref="B64:H64"/>
    <mergeCell ref="B65:H65"/>
    <mergeCell ref="D79:E79"/>
    <mergeCell ref="D88:E88"/>
    <mergeCell ref="B62:J62"/>
    <mergeCell ref="B61:J61"/>
    <mergeCell ref="B63:H63"/>
    <mergeCell ref="I65:J65"/>
    <mergeCell ref="B51:I51"/>
    <mergeCell ref="B53:I53"/>
    <mergeCell ref="B55:I55"/>
    <mergeCell ref="B56:I56"/>
    <mergeCell ref="B54:I54"/>
    <mergeCell ref="B37:J37"/>
    <mergeCell ref="B38:J38"/>
    <mergeCell ref="B39:H39"/>
    <mergeCell ref="I39:J39"/>
    <mergeCell ref="B40:H40"/>
    <mergeCell ref="I40:J40"/>
    <mergeCell ref="C111:J111"/>
    <mergeCell ref="A110:B111"/>
    <mergeCell ref="B12:F12"/>
    <mergeCell ref="B13:F13"/>
    <mergeCell ref="B14:F14"/>
    <mergeCell ref="B15:F15"/>
    <mergeCell ref="B45:J45"/>
    <mergeCell ref="D107:J107"/>
    <mergeCell ref="D106:J106"/>
    <mergeCell ref="G12:H12"/>
    <mergeCell ref="B108:J109"/>
    <mergeCell ref="B106:C106"/>
    <mergeCell ref="B97:C97"/>
    <mergeCell ref="A61:A109"/>
    <mergeCell ref="A45:A59"/>
    <mergeCell ref="I63:J63"/>
    <mergeCell ref="I64:J64"/>
    <mergeCell ref="B88:C88"/>
    <mergeCell ref="B46:J46"/>
    <mergeCell ref="B48:I48"/>
    <mergeCell ref="B49:I49"/>
    <mergeCell ref="B57:I57"/>
    <mergeCell ref="B58:I58"/>
    <mergeCell ref="B50:I50"/>
    <mergeCell ref="C1:J1"/>
    <mergeCell ref="C2:J2"/>
    <mergeCell ref="C3:J3"/>
    <mergeCell ref="I88:J88"/>
    <mergeCell ref="D97:E97"/>
    <mergeCell ref="I97:J97"/>
    <mergeCell ref="G14:H14"/>
    <mergeCell ref="G15:H15"/>
    <mergeCell ref="I11:J11"/>
    <mergeCell ref="I14:J14"/>
    <mergeCell ref="I15:J15"/>
    <mergeCell ref="I12:J12"/>
    <mergeCell ref="I13:J13"/>
    <mergeCell ref="G13:H13"/>
    <mergeCell ref="B11:F11"/>
    <mergeCell ref="I79:J79"/>
    <mergeCell ref="C4:J4"/>
    <mergeCell ref="C5:J5"/>
    <mergeCell ref="C6:J6"/>
    <mergeCell ref="C7:J7"/>
    <mergeCell ref="A7:B7"/>
    <mergeCell ref="G11:H11"/>
    <mergeCell ref="B8:J8"/>
    <mergeCell ref="B9:J9"/>
    <mergeCell ref="K66:N66"/>
    <mergeCell ref="I66:J66"/>
    <mergeCell ref="B66:H66"/>
    <mergeCell ref="I68:J68"/>
    <mergeCell ref="D70:E70"/>
    <mergeCell ref="I70:J70"/>
    <mergeCell ref="I69:J69"/>
    <mergeCell ref="I67:J67"/>
    <mergeCell ref="B68:H68"/>
    <mergeCell ref="B69:H69"/>
    <mergeCell ref="B67:H67"/>
    <mergeCell ref="B70:C70"/>
    <mergeCell ref="A25:A36"/>
    <mergeCell ref="B25:J25"/>
    <mergeCell ref="B26:J26"/>
    <mergeCell ref="B28:I28"/>
    <mergeCell ref="B30:I30"/>
    <mergeCell ref="B31:I31"/>
    <mergeCell ref="B32:I32"/>
    <mergeCell ref="B34:I34"/>
    <mergeCell ref="B35:I35"/>
    <mergeCell ref="B36:I36"/>
    <mergeCell ref="B29:I29"/>
    <mergeCell ref="A8:A23"/>
    <mergeCell ref="B17:H17"/>
    <mergeCell ref="I17:J17"/>
    <mergeCell ref="B18:H18"/>
    <mergeCell ref="I18:J18"/>
    <mergeCell ref="B19:H19"/>
    <mergeCell ref="I19:J19"/>
    <mergeCell ref="K23:N23"/>
    <mergeCell ref="B43:H43"/>
    <mergeCell ref="I43:J43"/>
    <mergeCell ref="B16:J16"/>
    <mergeCell ref="B20:H20"/>
    <mergeCell ref="I20:J20"/>
    <mergeCell ref="B21:H21"/>
    <mergeCell ref="I21:J21"/>
    <mergeCell ref="B22:H22"/>
    <mergeCell ref="I22:J22"/>
    <mergeCell ref="B23:H23"/>
    <mergeCell ref="I23:J23"/>
    <mergeCell ref="B41:H41"/>
    <mergeCell ref="I41:J41"/>
    <mergeCell ref="B42:H42"/>
    <mergeCell ref="I42:J42"/>
    <mergeCell ref="K42:N42"/>
  </mergeCells>
  <phoneticPr fontId="5" type="noConversion"/>
  <printOptions horizontalCentered="1"/>
  <pageMargins left="0.25" right="0.25" top="0.75" bottom="0.75" header="0.3" footer="0.3"/>
  <pageSetup paperSize="9" scale="45" orientation="portrait" horizontalDpi="4294967292" verticalDpi="4294967292" r:id="rId1"/>
  <rowBreaks count="3" manualBreakCount="3">
    <brk id="23" max="16383" man="1"/>
    <brk id="59" max="16383" man="1"/>
    <brk id="64" max="9" man="1"/>
  </rowBreaks>
  <colBreaks count="2" manualBreakCount="2">
    <brk id="1" min="7" max="30" man="1"/>
    <brk id="19" max="1048575"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1401-5EA6-FC49-A282-861E98E14056}">
  <sheetPr>
    <tabColor rgb="FFFFFF00"/>
    <pageSetUpPr fitToPage="1"/>
  </sheetPr>
  <dimension ref="A1:I24"/>
  <sheetViews>
    <sheetView zoomScaleNormal="100" workbookViewId="0">
      <selection activeCell="A2" sqref="A2:I2"/>
    </sheetView>
  </sheetViews>
  <sheetFormatPr baseColWidth="10" defaultRowHeight="16"/>
  <sheetData>
    <row r="1" spans="1:9" ht="51" customHeight="1">
      <c r="A1" s="731" t="str">
        <f>"Ændringer i planlægningsværktøjet "&amp;Vejledning!B2&amp;" i forhold til sidste skoleår"</f>
        <v>Ændringer i planlægningsværktøjet 2024-2025 i forhold til sidste skoleår</v>
      </c>
      <c r="B1" s="731"/>
      <c r="C1" s="731"/>
      <c r="D1" s="731"/>
      <c r="E1" s="731"/>
      <c r="F1" s="731"/>
      <c r="G1" s="731"/>
      <c r="H1" s="731"/>
      <c r="I1" s="731"/>
    </row>
    <row r="2" spans="1:9">
      <c r="A2" s="730"/>
      <c r="B2" s="730"/>
      <c r="C2" s="730"/>
      <c r="D2" s="730"/>
      <c r="E2" s="730"/>
      <c r="F2" s="730"/>
      <c r="G2" s="730"/>
      <c r="H2" s="730"/>
      <c r="I2" s="730"/>
    </row>
    <row r="3" spans="1:9" ht="21">
      <c r="A3" s="727" t="s">
        <v>513</v>
      </c>
      <c r="B3" s="727"/>
      <c r="C3" s="727"/>
      <c r="D3" s="727"/>
      <c r="E3" s="727"/>
      <c r="F3" s="727"/>
      <c r="G3" s="727"/>
      <c r="H3" s="727"/>
      <c r="I3" s="727"/>
    </row>
    <row r="4" spans="1:9" ht="114" customHeight="1">
      <c r="A4" s="728" t="s">
        <v>676</v>
      </c>
      <c r="B4" s="728"/>
      <c r="C4" s="728"/>
      <c r="D4" s="728"/>
      <c r="E4" s="728"/>
      <c r="F4" s="728"/>
      <c r="G4" s="728"/>
      <c r="H4" s="728"/>
      <c r="I4" s="728"/>
    </row>
    <row r="5" spans="1:9" ht="20" customHeight="1">
      <c r="A5" s="726"/>
      <c r="B5" s="726"/>
      <c r="C5" s="726"/>
      <c r="D5" s="726"/>
      <c r="E5" s="726"/>
      <c r="F5" s="726"/>
      <c r="G5" s="726"/>
      <c r="H5" s="726"/>
      <c r="I5" s="726"/>
    </row>
    <row r="6" spans="1:9" ht="21">
      <c r="A6" s="727" t="s">
        <v>125</v>
      </c>
      <c r="B6" s="727"/>
      <c r="C6" s="727"/>
      <c r="D6" s="727"/>
      <c r="E6" s="727"/>
      <c r="F6" s="727"/>
      <c r="G6" s="727"/>
      <c r="H6" s="727"/>
      <c r="I6" s="727"/>
    </row>
    <row r="7" spans="1:9" ht="69" customHeight="1">
      <c r="A7" s="728" t="s">
        <v>572</v>
      </c>
      <c r="B7" s="728"/>
      <c r="C7" s="728"/>
      <c r="D7" s="728"/>
      <c r="E7" s="728"/>
      <c r="F7" s="728"/>
      <c r="G7" s="728"/>
      <c r="H7" s="728"/>
      <c r="I7" s="728"/>
    </row>
    <row r="8" spans="1:9" ht="20" customHeight="1">
      <c r="A8" s="730"/>
      <c r="B8" s="730"/>
      <c r="C8" s="730"/>
      <c r="D8" s="730"/>
      <c r="E8" s="730"/>
      <c r="F8" s="730"/>
      <c r="G8" s="730"/>
      <c r="H8" s="730"/>
      <c r="I8" s="730"/>
    </row>
    <row r="9" spans="1:9" ht="21">
      <c r="A9" s="727" t="s">
        <v>162</v>
      </c>
      <c r="B9" s="727"/>
      <c r="C9" s="727"/>
      <c r="D9" s="727"/>
      <c r="E9" s="727"/>
      <c r="F9" s="727"/>
      <c r="G9" s="727"/>
      <c r="H9" s="727"/>
      <c r="I9" s="727"/>
    </row>
    <row r="10" spans="1:9" ht="37" customHeight="1">
      <c r="A10" s="728" t="s">
        <v>647</v>
      </c>
      <c r="B10" s="728"/>
      <c r="C10" s="728"/>
      <c r="D10" s="728"/>
      <c r="E10" s="728"/>
      <c r="F10" s="728"/>
      <c r="G10" s="728"/>
      <c r="H10" s="728"/>
      <c r="I10" s="728"/>
    </row>
    <row r="11" spans="1:9" ht="23" customHeight="1">
      <c r="A11" s="726"/>
      <c r="B11" s="726"/>
      <c r="C11" s="726"/>
      <c r="D11" s="726"/>
      <c r="E11" s="726"/>
      <c r="F11" s="726"/>
      <c r="G11" s="726"/>
      <c r="H11" s="726"/>
      <c r="I11" s="726"/>
    </row>
    <row r="12" spans="1:9" ht="21">
      <c r="A12" s="727" t="s">
        <v>744</v>
      </c>
      <c r="B12" s="727"/>
      <c r="C12" s="727"/>
      <c r="D12" s="727"/>
      <c r="E12" s="727"/>
      <c r="F12" s="727"/>
      <c r="G12" s="727"/>
      <c r="H12" s="727"/>
      <c r="I12" s="727"/>
    </row>
    <row r="13" spans="1:9" ht="37" customHeight="1">
      <c r="A13" s="728" t="s">
        <v>745</v>
      </c>
      <c r="B13" s="728"/>
      <c r="C13" s="728"/>
      <c r="D13" s="728"/>
      <c r="E13" s="728"/>
      <c r="F13" s="728"/>
      <c r="G13" s="728"/>
      <c r="H13" s="728"/>
      <c r="I13" s="728"/>
    </row>
    <row r="14" spans="1:9" ht="20" customHeight="1">
      <c r="A14" s="730"/>
      <c r="B14" s="730"/>
      <c r="C14" s="730"/>
      <c r="D14" s="730"/>
      <c r="E14" s="730"/>
      <c r="F14" s="730"/>
      <c r="G14" s="730"/>
      <c r="H14" s="730"/>
      <c r="I14" s="730"/>
    </row>
    <row r="15" spans="1:9" ht="21">
      <c r="A15" s="727" t="s">
        <v>648</v>
      </c>
      <c r="B15" s="727"/>
      <c r="C15" s="727"/>
      <c r="D15" s="727"/>
      <c r="E15" s="727"/>
      <c r="F15" s="727"/>
      <c r="G15" s="727"/>
      <c r="H15" s="727"/>
      <c r="I15" s="727"/>
    </row>
    <row r="16" spans="1:9" ht="19" customHeight="1">
      <c r="A16" s="728" t="s">
        <v>649</v>
      </c>
      <c r="B16" s="728"/>
      <c r="C16" s="728"/>
      <c r="D16" s="728"/>
      <c r="E16" s="728"/>
      <c r="F16" s="728"/>
      <c r="G16" s="728"/>
      <c r="H16" s="728"/>
      <c r="I16" s="728"/>
    </row>
    <row r="17" spans="1:9" ht="20" customHeight="1">
      <c r="A17" s="730"/>
      <c r="B17" s="730"/>
      <c r="C17" s="730"/>
      <c r="D17" s="730"/>
      <c r="E17" s="730"/>
      <c r="F17" s="730"/>
      <c r="G17" s="730"/>
      <c r="H17" s="730"/>
      <c r="I17" s="730"/>
    </row>
    <row r="18" spans="1:9" ht="21">
      <c r="A18" s="727" t="s">
        <v>650</v>
      </c>
      <c r="B18" s="727"/>
      <c r="C18" s="727"/>
      <c r="D18" s="727"/>
      <c r="E18" s="727"/>
      <c r="F18" s="727"/>
      <c r="G18" s="727"/>
      <c r="H18" s="727"/>
      <c r="I18" s="727"/>
    </row>
    <row r="19" spans="1:9" ht="32" customHeight="1">
      <c r="A19" s="728" t="s">
        <v>651</v>
      </c>
      <c r="B19" s="728"/>
      <c r="C19" s="728"/>
      <c r="D19" s="728"/>
      <c r="E19" s="728"/>
      <c r="F19" s="728"/>
      <c r="G19" s="728"/>
      <c r="H19" s="728"/>
      <c r="I19" s="728"/>
    </row>
    <row r="20" spans="1:9" ht="20" customHeight="1">
      <c r="A20" s="726"/>
      <c r="B20" s="726"/>
      <c r="C20" s="726"/>
      <c r="D20" s="726"/>
      <c r="E20" s="726"/>
      <c r="F20" s="726"/>
      <c r="G20" s="726"/>
      <c r="H20" s="726"/>
      <c r="I20" s="726"/>
    </row>
    <row r="21" spans="1:9" ht="21">
      <c r="A21" s="727" t="s">
        <v>530</v>
      </c>
      <c r="B21" s="727"/>
      <c r="C21" s="727"/>
      <c r="D21" s="727"/>
      <c r="E21" s="727"/>
      <c r="F21" s="727"/>
      <c r="G21" s="727"/>
      <c r="H21" s="727"/>
      <c r="I21" s="727"/>
    </row>
    <row r="22" spans="1:9" ht="32" customHeight="1">
      <c r="A22" s="728" t="s">
        <v>531</v>
      </c>
      <c r="B22" s="728"/>
      <c r="C22" s="728"/>
      <c r="D22" s="728"/>
      <c r="E22" s="728"/>
      <c r="F22" s="728"/>
      <c r="G22" s="728"/>
      <c r="H22" s="728"/>
      <c r="I22" s="728"/>
    </row>
    <row r="24" spans="1:9" ht="21">
      <c r="A24" s="729" t="s">
        <v>532</v>
      </c>
      <c r="B24" s="729"/>
      <c r="C24" s="729"/>
      <c r="D24" s="729"/>
      <c r="E24" s="729"/>
      <c r="F24" s="729"/>
      <c r="G24" s="729"/>
      <c r="H24" s="729"/>
      <c r="I24" s="729"/>
    </row>
  </sheetData>
  <sheetProtection sheet="1" objects="1" scenarios="1"/>
  <mergeCells count="23">
    <mergeCell ref="A24:I24"/>
    <mergeCell ref="A17:I17"/>
    <mergeCell ref="A1:I1"/>
    <mergeCell ref="A6:I6"/>
    <mergeCell ref="A7:I7"/>
    <mergeCell ref="A10:I10"/>
    <mergeCell ref="A16:I16"/>
    <mergeCell ref="A15:I15"/>
    <mergeCell ref="A9:I9"/>
    <mergeCell ref="A2:I2"/>
    <mergeCell ref="A8:I8"/>
    <mergeCell ref="A14:I14"/>
    <mergeCell ref="A3:I3"/>
    <mergeCell ref="A4:I4"/>
    <mergeCell ref="A22:I22"/>
    <mergeCell ref="A21:I21"/>
    <mergeCell ref="A5:I5"/>
    <mergeCell ref="A12:I12"/>
    <mergeCell ref="A18:I18"/>
    <mergeCell ref="A19:I19"/>
    <mergeCell ref="A20:I20"/>
    <mergeCell ref="A13:I13"/>
    <mergeCell ref="A11:I11"/>
  </mergeCells>
  <pageMargins left="0.7" right="0.7" top="0.75" bottom="0.75" header="0.3" footer="0.3"/>
  <pageSetup paperSize="9" scale="84"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21262-29FD-1C4E-9405-DA2D546CED62}">
  <sheetPr>
    <tabColor theme="4" tint="-0.249977111117893"/>
    <pageSetUpPr fitToPage="1"/>
  </sheetPr>
  <dimension ref="A1:AO127"/>
  <sheetViews>
    <sheetView showZeros="0" zoomScale="94" zoomScaleNormal="100" workbookViewId="0">
      <selection activeCell="B59" sqref="B59:K59"/>
    </sheetView>
  </sheetViews>
  <sheetFormatPr baseColWidth="10" defaultRowHeight="16"/>
  <cols>
    <col min="9" max="9" width="10.83203125" customWidth="1"/>
    <col min="11" max="11" width="14.1640625" bestFit="1" customWidth="1"/>
  </cols>
  <sheetData>
    <row r="1" spans="1:12" ht="42" customHeight="1">
      <c r="C1" s="799" t="s">
        <v>770</v>
      </c>
      <c r="D1" s="799"/>
      <c r="E1" s="799"/>
      <c r="F1" s="799"/>
      <c r="G1" s="799"/>
      <c r="H1" s="799"/>
      <c r="I1" s="799"/>
      <c r="J1" s="799"/>
      <c r="K1" s="799"/>
    </row>
    <row r="2" spans="1:12" ht="47" customHeight="1">
      <c r="A2" s="730"/>
      <c r="B2" s="730"/>
      <c r="C2" s="799" t="s">
        <v>771</v>
      </c>
      <c r="D2" s="799"/>
      <c r="E2" s="799"/>
      <c r="F2" s="799"/>
      <c r="G2" s="799"/>
      <c r="H2" s="799"/>
      <c r="I2" s="799"/>
      <c r="J2" s="799"/>
      <c r="K2" s="799"/>
    </row>
    <row r="3" spans="1:12" ht="49" customHeight="1" thickBot="1">
      <c r="A3" s="730"/>
      <c r="B3" s="730"/>
      <c r="C3" s="800" t="s">
        <v>460</v>
      </c>
      <c r="D3" s="800"/>
      <c r="E3" s="800"/>
      <c r="F3" s="800"/>
      <c r="G3" s="800"/>
      <c r="H3" s="800"/>
      <c r="I3" s="800"/>
      <c r="J3" s="800"/>
      <c r="K3" s="799"/>
    </row>
    <row r="4" spans="1:12" ht="26" customHeight="1">
      <c r="A4" s="1274">
        <v>1</v>
      </c>
      <c r="B4" s="1238" t="s">
        <v>335</v>
      </c>
      <c r="C4" s="1239"/>
      <c r="D4" s="1239"/>
      <c r="E4" s="1239"/>
      <c r="F4" s="1239"/>
      <c r="G4" s="1239"/>
      <c r="H4" s="1239"/>
      <c r="I4" s="1239"/>
      <c r="J4" s="1240"/>
      <c r="K4" s="652"/>
    </row>
    <row r="5" spans="1:12" ht="19" customHeight="1">
      <c r="A5" s="1142"/>
      <c r="B5" s="1182" t="s">
        <v>336</v>
      </c>
      <c r="C5" s="1183"/>
      <c r="D5" s="1183"/>
      <c r="E5" s="1183"/>
      <c r="F5" s="1183"/>
      <c r="G5" s="1183"/>
      <c r="H5" s="1183"/>
      <c r="I5" s="1183"/>
      <c r="J5" s="1184"/>
    </row>
    <row r="6" spans="1:12" ht="16" customHeight="1">
      <c r="A6" s="1142"/>
      <c r="B6" s="483"/>
      <c r="C6" s="361"/>
      <c r="D6" s="361"/>
      <c r="E6" s="361"/>
      <c r="F6" s="361"/>
      <c r="G6" s="361"/>
      <c r="H6" s="361"/>
      <c r="I6" s="362"/>
      <c r="J6" s="363" t="s">
        <v>30</v>
      </c>
    </row>
    <row r="7" spans="1:12" ht="16" customHeight="1">
      <c r="A7" s="1142"/>
      <c r="B7" s="1185" t="s">
        <v>56</v>
      </c>
      <c r="C7" s="1186"/>
      <c r="D7" s="1186"/>
      <c r="E7" s="1186"/>
      <c r="F7" s="1186"/>
      <c r="G7" s="1186"/>
      <c r="H7" s="1186"/>
      <c r="I7" s="1187"/>
      <c r="J7" s="364">
        <f>Arbejdstidsoversigt!I15</f>
        <v>1679.8</v>
      </c>
    </row>
    <row r="8" spans="1:12" ht="16" customHeight="1">
      <c r="A8" s="1142"/>
      <c r="B8" s="1188" t="s">
        <v>90</v>
      </c>
      <c r="C8" s="1189"/>
      <c r="D8" s="1189"/>
      <c r="E8" s="1189"/>
      <c r="F8" s="1189"/>
      <c r="G8" s="1189"/>
      <c r="H8" s="1189"/>
      <c r="I8" s="1190"/>
      <c r="J8" s="364">
        <f>Arbejdstidsoversigt!J49</f>
        <v>39</v>
      </c>
    </row>
    <row r="9" spans="1:12" ht="16" customHeight="1">
      <c r="A9" s="1142"/>
      <c r="B9" s="1188" t="s">
        <v>123</v>
      </c>
      <c r="C9" s="1189"/>
      <c r="D9" s="1189"/>
      <c r="E9" s="1189"/>
      <c r="F9" s="1189"/>
      <c r="G9" s="1189"/>
      <c r="H9" s="1189"/>
      <c r="I9" s="1190"/>
      <c r="J9" s="364">
        <f>Arbejdstidsoversigt!J50</f>
        <v>112.64999999999999</v>
      </c>
    </row>
    <row r="10" spans="1:12" ht="16" customHeight="1">
      <c r="A10" s="1142"/>
      <c r="B10" s="1188" t="s">
        <v>169</v>
      </c>
      <c r="C10" s="1189"/>
      <c r="D10" s="1189"/>
      <c r="E10" s="1189"/>
      <c r="F10" s="1189"/>
      <c r="G10" s="1189"/>
      <c r="H10" s="1189"/>
      <c r="I10" s="1190"/>
      <c r="J10" s="364">
        <f>Arbejdstidsoversigt!J51</f>
        <v>30</v>
      </c>
    </row>
    <row r="11" spans="1:12" ht="16" customHeight="1">
      <c r="A11" s="1142"/>
      <c r="B11" s="484" t="s">
        <v>417</v>
      </c>
      <c r="C11" s="451"/>
      <c r="D11" s="451"/>
      <c r="E11" s="451"/>
      <c r="F11" s="451"/>
      <c r="G11" s="451"/>
      <c r="H11" s="451"/>
      <c r="I11" s="452"/>
      <c r="J11" s="364">
        <f>Arbejdstidsoversigt!J52</f>
        <v>0</v>
      </c>
    </row>
    <row r="12" spans="1:12" ht="16" customHeight="1">
      <c r="A12" s="1142"/>
      <c r="B12" s="1188" t="s">
        <v>278</v>
      </c>
      <c r="C12" s="1189"/>
      <c r="D12" s="1189"/>
      <c r="E12" s="1189"/>
      <c r="F12" s="1189"/>
      <c r="G12" s="1189"/>
      <c r="H12" s="1189"/>
      <c r="I12" s="1190"/>
      <c r="J12" s="364">
        <f>Arbejdstidsoversigt!J53</f>
        <v>42</v>
      </c>
    </row>
    <row r="13" spans="1:12" ht="17" customHeight="1" thickBot="1">
      <c r="A13" s="1142"/>
      <c r="B13" s="1191" t="s">
        <v>453</v>
      </c>
      <c r="C13" s="1192"/>
      <c r="D13" s="1192"/>
      <c r="E13" s="1192"/>
      <c r="F13" s="1192"/>
      <c r="G13" s="1192"/>
      <c r="H13" s="1192"/>
      <c r="I13" s="1193"/>
      <c r="J13" s="364">
        <f>Arbejdstidsoversigt!J54</f>
        <v>0</v>
      </c>
    </row>
    <row r="14" spans="1:12" ht="16" hidden="1" customHeight="1">
      <c r="A14" s="1142"/>
      <c r="B14" s="1270" t="s">
        <v>760</v>
      </c>
      <c r="C14" s="1271"/>
      <c r="D14" s="1271"/>
      <c r="E14" s="1271"/>
      <c r="F14" s="1271"/>
      <c r="G14" s="1271"/>
      <c r="H14" s="1271"/>
      <c r="I14" s="1272"/>
      <c r="J14" s="223">
        <f>J7-J8-J9-J10-J11-J12-J13</f>
        <v>1456.1499999999999</v>
      </c>
    </row>
    <row r="15" spans="1:12" ht="32" hidden="1" customHeight="1">
      <c r="A15" s="1142"/>
      <c r="B15" s="1169" t="s">
        <v>761</v>
      </c>
      <c r="C15" s="1170"/>
      <c r="D15" s="1170"/>
      <c r="E15" s="1170"/>
      <c r="F15" s="1170"/>
      <c r="G15" s="1170"/>
      <c r="H15" s="1170"/>
      <c r="I15" s="1170"/>
      <c r="J15" s="717">
        <f>Arbejdstidsoversigt!D100</f>
        <v>0</v>
      </c>
      <c r="K15" s="41"/>
      <c r="L15" s="41"/>
    </row>
    <row r="16" spans="1:12" ht="17" hidden="1" customHeight="1">
      <c r="A16" s="1142"/>
      <c r="B16" s="1275" t="s">
        <v>63</v>
      </c>
      <c r="C16" s="1276"/>
      <c r="D16" s="1276"/>
      <c r="E16" s="1276"/>
      <c r="F16" s="1276"/>
      <c r="G16" s="1276"/>
      <c r="H16" s="1276"/>
      <c r="I16" s="1276"/>
      <c r="J16" s="718">
        <f>Arbejdstidsoversigt!D101</f>
        <v>0</v>
      </c>
      <c r="K16" s="41"/>
      <c r="L16" s="41"/>
    </row>
    <row r="17" spans="1:41" ht="17" customHeight="1">
      <c r="A17" s="1142"/>
      <c r="B17" s="1270" t="s">
        <v>337</v>
      </c>
      <c r="C17" s="1271"/>
      <c r="D17" s="1271"/>
      <c r="E17" s="1271"/>
      <c r="F17" s="1271"/>
      <c r="G17" s="1271"/>
      <c r="H17" s="1271"/>
      <c r="I17" s="1272"/>
      <c r="J17" s="223">
        <f>J7-J8-J9-J10-J11-J12-J13</f>
        <v>1456.1499999999999</v>
      </c>
    </row>
    <row r="18" spans="1:41" ht="17" customHeight="1">
      <c r="A18" s="1142"/>
      <c r="B18" s="1188" t="s">
        <v>246</v>
      </c>
      <c r="C18" s="1189"/>
      <c r="D18" s="1189"/>
      <c r="E18" s="1189"/>
      <c r="F18" s="1189"/>
      <c r="G18" s="1189"/>
      <c r="H18" s="1189"/>
      <c r="I18" s="1190"/>
      <c r="J18" s="340">
        <f>Arbejdstidsoversigt!J56</f>
        <v>649.58333333333337</v>
      </c>
    </row>
    <row r="19" spans="1:41" ht="17" customHeight="1">
      <c r="A19" s="1142"/>
      <c r="B19" s="1188" t="s">
        <v>338</v>
      </c>
      <c r="C19" s="1189"/>
      <c r="D19" s="1189"/>
      <c r="E19" s="1189"/>
      <c r="F19" s="1189"/>
      <c r="G19" s="1189"/>
      <c r="H19" s="1189"/>
      <c r="I19" s="1190"/>
      <c r="J19" s="340">
        <f>Arbejdstidsoversigt!J57</f>
        <v>59</v>
      </c>
      <c r="K19" s="112"/>
    </row>
    <row r="20" spans="1:41" ht="17" customHeight="1">
      <c r="A20" s="1142"/>
      <c r="B20" s="1188" t="s">
        <v>339</v>
      </c>
      <c r="C20" s="1189"/>
      <c r="D20" s="1189"/>
      <c r="E20" s="1189"/>
      <c r="F20" s="1189"/>
      <c r="G20" s="1189"/>
      <c r="H20" s="1189"/>
      <c r="I20" s="1190"/>
      <c r="J20" s="340">
        <f>Arbejdstidsoversigt!J58</f>
        <v>208.33333333333331</v>
      </c>
    </row>
    <row r="21" spans="1:41" ht="34" customHeight="1" thickBot="1">
      <c r="A21" s="1142"/>
      <c r="B21" s="1259" t="s">
        <v>763</v>
      </c>
      <c r="C21" s="1260"/>
      <c r="D21" s="1260"/>
      <c r="E21" s="1260"/>
      <c r="F21" s="1260"/>
      <c r="G21" s="1260"/>
      <c r="H21" s="1260"/>
      <c r="I21" s="1261"/>
      <c r="J21" s="485">
        <f>J17-J18-J19-J20</f>
        <v>539.23333333333312</v>
      </c>
    </row>
    <row r="22" spans="1:41" ht="49" customHeight="1" thickBot="1">
      <c r="A22" s="299"/>
      <c r="B22" s="299"/>
      <c r="C22" s="715"/>
      <c r="D22" s="715"/>
      <c r="E22" s="715"/>
      <c r="F22" s="715"/>
      <c r="G22" s="715"/>
      <c r="H22" s="715"/>
      <c r="I22" s="715"/>
      <c r="J22" s="715"/>
      <c r="K22" s="715"/>
    </row>
    <row r="23" spans="1:41" ht="58" customHeight="1">
      <c r="A23" s="1329" t="s">
        <v>764</v>
      </c>
      <c r="B23" s="1284" t="str">
        <f>"Liste over øvrige opgaver til "&amp;Stamoplysninger!E8&amp;""</f>
        <v>Liste over øvrige opgaver til Beate Simonsen</v>
      </c>
      <c r="C23" s="1285"/>
      <c r="D23" s="1285"/>
      <c r="E23" s="1285"/>
      <c r="F23" s="1285"/>
      <c r="G23" s="1285"/>
      <c r="H23" s="1285"/>
      <c r="I23" s="1286"/>
      <c r="J23" s="1300" t="s">
        <v>477</v>
      </c>
      <c r="K23" s="1321" t="s">
        <v>68</v>
      </c>
      <c r="L23" s="1283"/>
      <c r="M23" s="41" t="s">
        <v>475</v>
      </c>
    </row>
    <row r="24" spans="1:41" ht="45" customHeight="1" thickBot="1">
      <c r="A24" s="1330"/>
      <c r="B24" s="1287" t="s">
        <v>490</v>
      </c>
      <c r="C24" s="1288"/>
      <c r="D24" s="1288"/>
      <c r="E24" s="1288"/>
      <c r="F24" s="1288"/>
      <c r="G24" s="1288"/>
      <c r="H24" s="1288"/>
      <c r="I24" s="1289"/>
      <c r="J24" s="1301"/>
      <c r="K24" s="1322"/>
      <c r="L24" s="1283"/>
      <c r="M24" s="41" t="s">
        <v>476</v>
      </c>
    </row>
    <row r="25" spans="1:41" s="4" customFormat="1" ht="40" customHeight="1">
      <c r="A25" s="1330"/>
      <c r="B25" s="1290" t="s">
        <v>489</v>
      </c>
      <c r="C25" s="1291"/>
      <c r="D25" s="1291"/>
      <c r="E25" s="1291"/>
      <c r="F25" s="1291"/>
      <c r="G25" s="1291"/>
      <c r="H25" s="1291"/>
      <c r="I25" s="1292"/>
      <c r="J25" s="1301"/>
      <c r="K25" s="1298">
        <f>Arbejdstidsoversigt!J59</f>
        <v>539.23333333333312</v>
      </c>
      <c r="L25" s="1283"/>
      <c r="M25" s="216"/>
      <c r="N25" s="217"/>
      <c r="O25" s="218"/>
      <c r="P25" s="218"/>
      <c r="Q25" s="215"/>
      <c r="R25" s="215"/>
      <c r="S25" s="215"/>
      <c r="T25" s="215"/>
      <c r="U25" s="215"/>
      <c r="W25" s="216"/>
      <c r="X25" s="217"/>
      <c r="Y25" s="218"/>
      <c r="Z25" s="218"/>
      <c r="AA25" s="215"/>
      <c r="AB25" s="215"/>
      <c r="AC25" s="215"/>
      <c r="AD25" s="215"/>
      <c r="AE25" s="215"/>
      <c r="AG25" s="216"/>
      <c r="AH25" s="217"/>
      <c r="AI25" s="218"/>
      <c r="AJ25" s="218"/>
      <c r="AK25" s="215"/>
      <c r="AL25" s="215"/>
      <c r="AM25" s="215"/>
      <c r="AN25" s="215"/>
      <c r="AO25" s="215"/>
    </row>
    <row r="26" spans="1:41" s="4" customFormat="1" ht="12" customHeight="1">
      <c r="A26" s="1330"/>
      <c r="B26" s="1303" t="s">
        <v>488</v>
      </c>
      <c r="C26" s="1304"/>
      <c r="D26" s="1304"/>
      <c r="E26" s="1304"/>
      <c r="F26" s="1304"/>
      <c r="G26" s="1304"/>
      <c r="H26" s="1304"/>
      <c r="I26" s="1305"/>
      <c r="J26" s="1301"/>
      <c r="K26" s="1298"/>
      <c r="L26" s="1283"/>
      <c r="M26" s="216"/>
      <c r="N26" s="217"/>
      <c r="O26" s="218"/>
      <c r="P26" s="218"/>
      <c r="Q26" s="215"/>
      <c r="R26" s="215"/>
      <c r="S26" s="215"/>
      <c r="T26" s="215"/>
      <c r="U26" s="215"/>
      <c r="W26" s="216"/>
      <c r="X26" s="217"/>
      <c r="Y26" s="218"/>
      <c r="Z26" s="218"/>
      <c r="AA26" s="215"/>
      <c r="AB26" s="215"/>
      <c r="AC26" s="215"/>
      <c r="AD26" s="215"/>
      <c r="AE26" s="215"/>
      <c r="AG26" s="216"/>
      <c r="AH26" s="217"/>
      <c r="AI26" s="218"/>
      <c r="AJ26" s="218"/>
      <c r="AK26" s="215"/>
      <c r="AL26" s="215"/>
      <c r="AM26" s="215"/>
      <c r="AN26" s="215"/>
      <c r="AO26" s="215"/>
    </row>
    <row r="27" spans="1:41" s="4" customFormat="1" ht="49" customHeight="1" thickBot="1">
      <c r="A27" s="1330"/>
      <c r="B27" s="1293" t="s">
        <v>491</v>
      </c>
      <c r="C27" s="1294"/>
      <c r="D27" s="1294"/>
      <c r="E27" s="1294"/>
      <c r="F27" s="1294"/>
      <c r="G27" s="1294"/>
      <c r="H27" s="1294"/>
      <c r="I27" s="1295"/>
      <c r="J27" s="1302"/>
      <c r="K27" s="1299"/>
      <c r="L27" s="1283"/>
    </row>
    <row r="28" spans="1:41" s="4" customFormat="1" ht="20" customHeight="1">
      <c r="A28" s="1330"/>
      <c r="B28" s="1277" t="s">
        <v>716</v>
      </c>
      <c r="C28" s="1296"/>
      <c r="D28" s="1296"/>
      <c r="E28" s="1296"/>
      <c r="F28" s="1296"/>
      <c r="G28" s="1296"/>
      <c r="H28" s="1296"/>
      <c r="I28" s="1297"/>
      <c r="J28" s="520" t="s">
        <v>475</v>
      </c>
      <c r="K28" s="521">
        <v>340</v>
      </c>
      <c r="L28" s="231"/>
      <c r="M28" s="216"/>
      <c r="N28" s="217"/>
      <c r="O28" s="218"/>
      <c r="P28" s="218"/>
      <c r="Q28" s="215"/>
      <c r="R28" s="215"/>
      <c r="S28" s="215"/>
      <c r="T28" s="215"/>
      <c r="U28" s="215"/>
      <c r="W28" s="216"/>
      <c r="X28" s="217"/>
      <c r="Y28" s="218"/>
      <c r="Z28" s="218"/>
      <c r="AA28" s="215"/>
      <c r="AB28" s="215"/>
      <c r="AC28" s="215"/>
      <c r="AD28" s="215"/>
      <c r="AE28" s="215"/>
      <c r="AG28" s="216"/>
      <c r="AH28" s="217"/>
      <c r="AI28" s="218"/>
      <c r="AJ28" s="218"/>
      <c r="AK28" s="215"/>
      <c r="AL28" s="215"/>
      <c r="AM28" s="215"/>
      <c r="AN28" s="215"/>
      <c r="AO28" s="215"/>
    </row>
    <row r="29" spans="1:41" s="4" customFormat="1" ht="20" customHeight="1">
      <c r="A29" s="1330"/>
      <c r="B29" s="1277" t="s">
        <v>18</v>
      </c>
      <c r="C29" s="1278"/>
      <c r="D29" s="1278"/>
      <c r="E29" s="1278"/>
      <c r="F29" s="1278"/>
      <c r="G29" s="1278"/>
      <c r="H29" s="1278"/>
      <c r="I29" s="1279"/>
      <c r="J29" s="520" t="s">
        <v>475</v>
      </c>
      <c r="K29" s="372">
        <v>75</v>
      </c>
      <c r="L29" s="231"/>
      <c r="M29" s="216"/>
      <c r="N29" s="217"/>
      <c r="O29" s="218"/>
      <c r="P29" s="218"/>
      <c r="Q29" s="215"/>
      <c r="R29" s="215"/>
      <c r="S29" s="215"/>
      <c r="T29" s="215"/>
      <c r="U29" s="215"/>
      <c r="W29" s="216"/>
      <c r="X29" s="217"/>
      <c r="Y29" s="218"/>
      <c r="Z29" s="218"/>
      <c r="AA29" s="215"/>
      <c r="AB29" s="215"/>
      <c r="AC29" s="215"/>
      <c r="AD29" s="215"/>
      <c r="AE29" s="215"/>
      <c r="AG29" s="216"/>
      <c r="AH29" s="217"/>
      <c r="AI29" s="218"/>
      <c r="AJ29" s="218"/>
      <c r="AK29" s="215"/>
      <c r="AL29" s="215"/>
      <c r="AM29" s="215"/>
      <c r="AN29" s="215"/>
      <c r="AO29" s="215"/>
    </row>
    <row r="30" spans="1:41" s="4" customFormat="1" ht="20" customHeight="1">
      <c r="A30" s="1330"/>
      <c r="B30" s="1277" t="s">
        <v>747</v>
      </c>
      <c r="C30" s="1278"/>
      <c r="D30" s="1278"/>
      <c r="E30" s="1278"/>
      <c r="F30" s="1278"/>
      <c r="G30" s="1278"/>
      <c r="H30" s="1278"/>
      <c r="I30" s="1279"/>
      <c r="J30" s="520" t="s">
        <v>475</v>
      </c>
      <c r="K30" s="372">
        <v>100</v>
      </c>
      <c r="L30" s="231"/>
      <c r="M30" s="216"/>
      <c r="N30" s="217"/>
      <c r="O30" s="218"/>
      <c r="P30" s="218"/>
      <c r="Q30" s="215"/>
      <c r="R30" s="215"/>
      <c r="S30" s="215"/>
      <c r="T30" s="215"/>
      <c r="U30" s="215"/>
      <c r="W30" s="216"/>
      <c r="X30" s="217"/>
      <c r="Y30" s="218"/>
      <c r="Z30" s="218"/>
      <c r="AA30" s="215"/>
      <c r="AB30" s="215"/>
      <c r="AC30" s="215"/>
      <c r="AD30" s="215"/>
      <c r="AE30" s="215"/>
      <c r="AG30" s="216"/>
      <c r="AH30" s="217"/>
      <c r="AI30" s="218"/>
      <c r="AJ30" s="218"/>
      <c r="AK30" s="215"/>
      <c r="AL30" s="215"/>
      <c r="AM30" s="215"/>
      <c r="AN30" s="215"/>
      <c r="AO30" s="215"/>
    </row>
    <row r="31" spans="1:41" s="4" customFormat="1" ht="20" customHeight="1">
      <c r="A31" s="1330"/>
      <c r="B31" s="1277"/>
      <c r="C31" s="1278"/>
      <c r="D31" s="1278"/>
      <c r="E31" s="1278"/>
      <c r="F31" s="1278"/>
      <c r="G31" s="1278"/>
      <c r="H31" s="1278"/>
      <c r="I31" s="1279"/>
      <c r="J31" s="520"/>
      <c r="K31" s="372"/>
      <c r="L31" s="231"/>
      <c r="M31" s="216"/>
      <c r="N31" s="217"/>
      <c r="O31" s="218"/>
      <c r="P31" s="218"/>
      <c r="Q31" s="215"/>
      <c r="R31" s="215"/>
      <c r="S31" s="215"/>
      <c r="T31" s="215"/>
      <c r="U31" s="215"/>
      <c r="W31" s="216"/>
      <c r="X31" s="217"/>
      <c r="Y31" s="218"/>
      <c r="Z31" s="218"/>
      <c r="AA31" s="215"/>
      <c r="AB31" s="215"/>
      <c r="AC31" s="215"/>
      <c r="AD31" s="215"/>
      <c r="AE31" s="215"/>
      <c r="AG31" s="216"/>
      <c r="AH31" s="217"/>
      <c r="AI31" s="218"/>
      <c r="AJ31" s="218"/>
      <c r="AK31" s="215"/>
      <c r="AL31" s="215"/>
      <c r="AM31" s="215"/>
      <c r="AN31" s="215"/>
      <c r="AO31" s="215"/>
    </row>
    <row r="32" spans="1:41" s="4" customFormat="1" ht="20" customHeight="1">
      <c r="A32" s="1330"/>
      <c r="B32" s="1277"/>
      <c r="C32" s="1278"/>
      <c r="D32" s="1278"/>
      <c r="E32" s="1278"/>
      <c r="F32" s="1278"/>
      <c r="G32" s="1278"/>
      <c r="H32" s="1278"/>
      <c r="I32" s="1279"/>
      <c r="J32" s="520"/>
      <c r="K32" s="372"/>
      <c r="L32" s="231"/>
      <c r="M32" s="216"/>
      <c r="N32" s="217"/>
      <c r="O32" s="218"/>
      <c r="P32" s="218"/>
      <c r="Q32" s="215"/>
      <c r="R32" s="215"/>
      <c r="S32" s="215"/>
      <c r="T32" s="215"/>
      <c r="U32" s="215"/>
      <c r="W32" s="216"/>
      <c r="X32" s="217"/>
      <c r="Y32" s="218"/>
      <c r="Z32" s="218"/>
      <c r="AA32" s="215"/>
      <c r="AB32" s="215"/>
      <c r="AC32" s="215"/>
      <c r="AD32" s="215"/>
      <c r="AE32" s="215"/>
      <c r="AG32" s="216"/>
      <c r="AH32" s="217"/>
      <c r="AI32" s="218"/>
      <c r="AJ32" s="218"/>
      <c r="AK32" s="215"/>
      <c r="AL32" s="215"/>
      <c r="AM32" s="215"/>
      <c r="AN32" s="215"/>
      <c r="AO32" s="215"/>
    </row>
    <row r="33" spans="1:41" s="4" customFormat="1" ht="20" customHeight="1">
      <c r="A33" s="1330"/>
      <c r="B33" s="1277"/>
      <c r="C33" s="1278"/>
      <c r="D33" s="1278"/>
      <c r="E33" s="1278"/>
      <c r="F33" s="1278"/>
      <c r="G33" s="1278"/>
      <c r="H33" s="1278"/>
      <c r="I33" s="1279"/>
      <c r="J33" s="520"/>
      <c r="K33" s="372"/>
      <c r="L33" s="231"/>
      <c r="M33" s="216"/>
      <c r="N33" s="217"/>
      <c r="O33" s="218"/>
      <c r="P33" s="218"/>
      <c r="Q33" s="215"/>
      <c r="R33" s="215"/>
      <c r="S33" s="215"/>
      <c r="T33" s="215"/>
      <c r="U33" s="215"/>
      <c r="W33" s="216"/>
      <c r="X33" s="217"/>
      <c r="Y33" s="218"/>
      <c r="Z33" s="218"/>
      <c r="AA33" s="215"/>
      <c r="AB33" s="215"/>
      <c r="AC33" s="215"/>
      <c r="AD33" s="215"/>
      <c r="AE33" s="215"/>
      <c r="AG33" s="216"/>
      <c r="AH33" s="217"/>
      <c r="AI33" s="218"/>
      <c r="AJ33" s="218"/>
      <c r="AK33" s="215"/>
      <c r="AL33" s="215"/>
      <c r="AM33" s="215"/>
      <c r="AN33" s="215"/>
      <c r="AO33" s="215"/>
    </row>
    <row r="34" spans="1:41" s="4" customFormat="1" ht="20" customHeight="1">
      <c r="A34" s="1330"/>
      <c r="B34" s="1277"/>
      <c r="C34" s="1278"/>
      <c r="D34" s="1278"/>
      <c r="E34" s="1278"/>
      <c r="F34" s="1278"/>
      <c r="G34" s="1278"/>
      <c r="H34" s="1278"/>
      <c r="I34" s="1279"/>
      <c r="J34" s="520"/>
      <c r="K34" s="372"/>
      <c r="L34" s="231"/>
      <c r="M34" s="216"/>
      <c r="N34" s="217"/>
      <c r="O34" s="218"/>
      <c r="P34" s="218"/>
      <c r="Q34" s="215"/>
      <c r="R34" s="215"/>
      <c r="S34" s="215"/>
      <c r="T34" s="215"/>
      <c r="U34" s="215"/>
      <c r="W34" s="216"/>
      <c r="X34" s="217"/>
      <c r="Y34" s="218"/>
      <c r="Z34" s="218"/>
      <c r="AA34" s="215"/>
      <c r="AB34" s="215"/>
      <c r="AC34" s="215"/>
      <c r="AD34" s="215"/>
      <c r="AE34" s="215"/>
      <c r="AG34" s="216"/>
      <c r="AH34" s="217"/>
      <c r="AI34" s="218"/>
      <c r="AJ34" s="218"/>
      <c r="AK34" s="215"/>
      <c r="AL34" s="215"/>
      <c r="AM34" s="215"/>
      <c r="AN34" s="215"/>
      <c r="AO34" s="215"/>
    </row>
    <row r="35" spans="1:41" s="4" customFormat="1" ht="20" customHeight="1">
      <c r="A35" s="1330"/>
      <c r="B35" s="1277"/>
      <c r="C35" s="1278"/>
      <c r="D35" s="1278"/>
      <c r="E35" s="1278"/>
      <c r="F35" s="1278"/>
      <c r="G35" s="1278"/>
      <c r="H35" s="1278"/>
      <c r="I35" s="1279"/>
      <c r="J35" s="520"/>
      <c r="K35" s="372"/>
      <c r="L35" s="231"/>
      <c r="M35" s="216"/>
      <c r="N35" s="217"/>
      <c r="O35" s="218"/>
      <c r="P35" s="218"/>
      <c r="Q35" s="215"/>
      <c r="R35" s="215"/>
      <c r="S35" s="215"/>
      <c r="T35" s="215"/>
      <c r="U35" s="215"/>
      <c r="W35" s="216"/>
      <c r="X35" s="217"/>
      <c r="Y35" s="218"/>
      <c r="Z35" s="218"/>
      <c r="AA35" s="215"/>
      <c r="AB35" s="215"/>
      <c r="AC35" s="215"/>
      <c r="AD35" s="215"/>
      <c r="AE35" s="215"/>
      <c r="AG35" s="216"/>
      <c r="AH35" s="217"/>
      <c r="AI35" s="218"/>
      <c r="AJ35" s="218"/>
      <c r="AK35" s="215"/>
      <c r="AL35" s="215"/>
      <c r="AM35" s="215"/>
      <c r="AN35" s="215"/>
      <c r="AO35" s="215"/>
    </row>
    <row r="36" spans="1:41" s="4" customFormat="1" ht="20" customHeight="1">
      <c r="A36" s="1330"/>
      <c r="B36" s="1277"/>
      <c r="C36" s="1278"/>
      <c r="D36" s="1278"/>
      <c r="E36" s="1278"/>
      <c r="F36" s="1278"/>
      <c r="G36" s="1278"/>
      <c r="H36" s="1278"/>
      <c r="I36" s="1279"/>
      <c r="J36" s="520"/>
      <c r="K36" s="372"/>
      <c r="L36" s="231"/>
      <c r="M36" s="216"/>
      <c r="N36" s="217"/>
      <c r="O36" s="218"/>
      <c r="P36" s="218"/>
      <c r="Q36" s="215"/>
      <c r="R36" s="215"/>
      <c r="S36" s="215"/>
      <c r="T36" s="215"/>
      <c r="U36" s="215"/>
      <c r="W36" s="216"/>
      <c r="X36" s="217"/>
      <c r="Y36" s="218"/>
      <c r="Z36" s="218"/>
      <c r="AA36" s="215"/>
      <c r="AB36" s="215"/>
      <c r="AC36" s="215"/>
      <c r="AD36" s="215"/>
      <c r="AE36" s="215"/>
      <c r="AG36" s="216"/>
      <c r="AH36" s="217"/>
      <c r="AI36" s="218"/>
      <c r="AJ36" s="218"/>
      <c r="AK36" s="215"/>
      <c r="AL36" s="215"/>
      <c r="AM36" s="215"/>
      <c r="AN36" s="215"/>
      <c r="AO36" s="215"/>
    </row>
    <row r="37" spans="1:41" s="4" customFormat="1" ht="20" customHeight="1">
      <c r="A37" s="1330"/>
      <c r="B37" s="1277"/>
      <c r="C37" s="1278"/>
      <c r="D37" s="1278"/>
      <c r="E37" s="1278"/>
      <c r="F37" s="1278"/>
      <c r="G37" s="1278"/>
      <c r="H37" s="1278"/>
      <c r="I37" s="1279"/>
      <c r="J37" s="520"/>
      <c r="K37" s="372"/>
      <c r="L37" s="231"/>
      <c r="M37" s="216"/>
      <c r="N37" s="217"/>
      <c r="O37" s="218"/>
      <c r="P37" s="218"/>
      <c r="Q37" s="215"/>
      <c r="R37" s="215"/>
      <c r="S37" s="215"/>
      <c r="T37" s="215"/>
      <c r="U37" s="215"/>
      <c r="W37" s="216"/>
      <c r="X37" s="217"/>
      <c r="Y37" s="218"/>
      <c r="Z37" s="218"/>
      <c r="AA37" s="215"/>
      <c r="AB37" s="215"/>
      <c r="AC37" s="215"/>
      <c r="AD37" s="215"/>
      <c r="AE37" s="215"/>
      <c r="AG37" s="216"/>
      <c r="AH37" s="217"/>
      <c r="AI37" s="218"/>
      <c r="AJ37" s="218"/>
      <c r="AK37" s="215"/>
      <c r="AL37" s="215"/>
      <c r="AM37" s="215"/>
      <c r="AN37" s="215"/>
      <c r="AO37" s="215"/>
    </row>
    <row r="38" spans="1:41" s="4" customFormat="1" ht="20" customHeight="1">
      <c r="A38" s="1330"/>
      <c r="B38" s="1277"/>
      <c r="C38" s="1278"/>
      <c r="D38" s="1278"/>
      <c r="E38" s="1278"/>
      <c r="F38" s="1278"/>
      <c r="G38" s="1278"/>
      <c r="H38" s="1278"/>
      <c r="I38" s="1279"/>
      <c r="J38" s="520"/>
      <c r="K38" s="372"/>
      <c r="L38" s="231"/>
      <c r="M38" s="216"/>
      <c r="N38" s="217"/>
      <c r="O38" s="218"/>
      <c r="P38" s="218"/>
      <c r="Q38" s="215"/>
      <c r="R38" s="215"/>
      <c r="S38" s="215"/>
      <c r="T38" s="215"/>
      <c r="U38" s="215"/>
      <c r="W38" s="216"/>
      <c r="X38" s="217"/>
      <c r="Y38" s="218"/>
      <c r="Z38" s="218"/>
      <c r="AA38" s="215"/>
      <c r="AB38" s="215"/>
      <c r="AC38" s="215"/>
      <c r="AD38" s="215"/>
      <c r="AE38" s="215"/>
      <c r="AG38" s="216"/>
      <c r="AH38" s="217"/>
      <c r="AI38" s="218"/>
      <c r="AJ38" s="218"/>
      <c r="AK38" s="215"/>
      <c r="AL38" s="215"/>
      <c r="AM38" s="215"/>
      <c r="AN38" s="215"/>
      <c r="AO38" s="215"/>
    </row>
    <row r="39" spans="1:41" s="4" customFormat="1" ht="20" customHeight="1">
      <c r="A39" s="1330"/>
      <c r="B39" s="1277"/>
      <c r="C39" s="1278"/>
      <c r="D39" s="1278"/>
      <c r="E39" s="1278"/>
      <c r="F39" s="1278"/>
      <c r="G39" s="1278"/>
      <c r="H39" s="1278"/>
      <c r="I39" s="1279"/>
      <c r="J39" s="520"/>
      <c r="K39" s="372"/>
      <c r="L39" s="231"/>
      <c r="M39" s="216"/>
      <c r="N39" s="217"/>
      <c r="O39" s="218"/>
      <c r="P39" s="218"/>
      <c r="Q39" s="215"/>
      <c r="R39" s="215"/>
      <c r="S39" s="215"/>
      <c r="T39" s="215"/>
      <c r="U39" s="215"/>
      <c r="W39" s="216"/>
      <c r="X39" s="217"/>
      <c r="Y39" s="218"/>
      <c r="Z39" s="218"/>
      <c r="AA39" s="215"/>
      <c r="AB39" s="215"/>
      <c r="AC39" s="215"/>
      <c r="AD39" s="215"/>
      <c r="AE39" s="215"/>
      <c r="AG39" s="216"/>
      <c r="AH39" s="217"/>
      <c r="AI39" s="218"/>
      <c r="AJ39" s="218"/>
      <c r="AK39" s="215"/>
      <c r="AL39" s="215"/>
      <c r="AM39" s="215"/>
      <c r="AN39" s="215"/>
      <c r="AO39" s="215"/>
    </row>
    <row r="40" spans="1:41" s="4" customFormat="1" ht="20" customHeight="1">
      <c r="A40" s="1330"/>
      <c r="B40" s="1277"/>
      <c r="C40" s="1278"/>
      <c r="D40" s="1278"/>
      <c r="E40" s="1278"/>
      <c r="F40" s="1278"/>
      <c r="G40" s="1278"/>
      <c r="H40" s="1278"/>
      <c r="I40" s="1279"/>
      <c r="J40" s="520"/>
      <c r="K40" s="372"/>
      <c r="L40" s="231"/>
      <c r="M40" s="216"/>
      <c r="N40" s="217"/>
      <c r="O40" s="218"/>
      <c r="P40" s="218"/>
      <c r="Q40" s="215"/>
      <c r="R40" s="215"/>
      <c r="S40" s="215"/>
      <c r="T40" s="215"/>
      <c r="U40" s="215"/>
      <c r="W40" s="216"/>
      <c r="X40" s="217"/>
      <c r="Y40" s="218"/>
      <c r="Z40" s="218"/>
      <c r="AA40" s="215"/>
      <c r="AB40" s="215"/>
      <c r="AC40" s="215"/>
      <c r="AD40" s="215"/>
      <c r="AE40" s="215"/>
      <c r="AG40" s="216"/>
      <c r="AH40" s="217"/>
      <c r="AI40" s="218"/>
      <c r="AJ40" s="218"/>
      <c r="AK40" s="215"/>
      <c r="AL40" s="215"/>
      <c r="AM40" s="215"/>
      <c r="AN40" s="215"/>
      <c r="AO40" s="215"/>
    </row>
    <row r="41" spans="1:41" s="4" customFormat="1" ht="20" customHeight="1">
      <c r="A41" s="1330"/>
      <c r="B41" s="1277"/>
      <c r="C41" s="1278"/>
      <c r="D41" s="1278"/>
      <c r="E41" s="1278"/>
      <c r="F41" s="1278"/>
      <c r="G41" s="1278"/>
      <c r="H41" s="1278"/>
      <c r="I41" s="1279"/>
      <c r="J41" s="520"/>
      <c r="K41" s="372"/>
      <c r="L41" s="231"/>
      <c r="M41" s="216"/>
      <c r="N41" s="217"/>
      <c r="O41" s="218"/>
      <c r="P41" s="218"/>
      <c r="Q41" s="215"/>
      <c r="R41" s="215"/>
      <c r="S41" s="215"/>
      <c r="T41" s="215"/>
      <c r="U41" s="215"/>
      <c r="W41" s="216"/>
      <c r="X41" s="217"/>
      <c r="Y41" s="218"/>
      <c r="Z41" s="218"/>
      <c r="AA41" s="215"/>
      <c r="AB41" s="215"/>
      <c r="AC41" s="215"/>
      <c r="AD41" s="215"/>
      <c r="AE41" s="215"/>
      <c r="AG41" s="216"/>
      <c r="AH41" s="217"/>
      <c r="AI41" s="218"/>
      <c r="AJ41" s="218"/>
      <c r="AK41" s="215"/>
      <c r="AL41" s="215"/>
      <c r="AM41" s="215"/>
      <c r="AN41" s="215"/>
      <c r="AO41" s="215"/>
    </row>
    <row r="42" spans="1:41" s="4" customFormat="1" ht="20" customHeight="1">
      <c r="A42" s="1330"/>
      <c r="B42" s="1277"/>
      <c r="C42" s="1278"/>
      <c r="D42" s="1278"/>
      <c r="E42" s="1278"/>
      <c r="F42" s="1278"/>
      <c r="G42" s="1278"/>
      <c r="H42" s="1278"/>
      <c r="I42" s="1279"/>
      <c r="J42" s="520"/>
      <c r="K42" s="372"/>
      <c r="L42" s="231"/>
      <c r="M42" s="216"/>
      <c r="N42" s="217"/>
      <c r="O42" s="218"/>
      <c r="P42" s="218"/>
      <c r="Q42" s="215"/>
      <c r="R42" s="215"/>
      <c r="S42" s="215"/>
      <c r="T42" s="215"/>
      <c r="U42" s="215"/>
      <c r="W42" s="216"/>
      <c r="X42" s="217"/>
      <c r="Y42" s="218"/>
      <c r="Z42" s="218"/>
      <c r="AA42" s="215"/>
      <c r="AB42" s="215"/>
      <c r="AC42" s="215"/>
      <c r="AD42" s="215"/>
      <c r="AE42" s="215"/>
      <c r="AG42" s="216"/>
      <c r="AH42" s="217"/>
      <c r="AI42" s="218"/>
      <c r="AJ42" s="218"/>
      <c r="AK42" s="215"/>
      <c r="AL42" s="215"/>
      <c r="AM42" s="215"/>
      <c r="AN42" s="215"/>
      <c r="AO42" s="215"/>
    </row>
    <row r="43" spans="1:41" s="4" customFormat="1" ht="20" customHeight="1">
      <c r="A43" s="1330"/>
      <c r="B43" s="1277"/>
      <c r="C43" s="1278"/>
      <c r="D43" s="1278"/>
      <c r="E43" s="1278"/>
      <c r="F43" s="1278"/>
      <c r="G43" s="1278"/>
      <c r="H43" s="1278"/>
      <c r="I43" s="1279"/>
      <c r="J43" s="520"/>
      <c r="K43" s="372"/>
      <c r="L43" s="231"/>
      <c r="M43" s="216"/>
      <c r="N43" s="217"/>
      <c r="O43" s="218"/>
      <c r="P43" s="218"/>
      <c r="Q43" s="215"/>
      <c r="R43" s="215"/>
      <c r="S43" s="215"/>
      <c r="T43" s="215"/>
      <c r="U43" s="215"/>
      <c r="W43" s="216"/>
      <c r="X43" s="217"/>
      <c r="Y43" s="218"/>
      <c r="Z43" s="218"/>
      <c r="AA43" s="215"/>
      <c r="AB43" s="215"/>
      <c r="AC43" s="215"/>
      <c r="AD43" s="215"/>
      <c r="AE43" s="215"/>
      <c r="AG43" s="216"/>
      <c r="AH43" s="217"/>
      <c r="AI43" s="218"/>
      <c r="AJ43" s="218"/>
      <c r="AK43" s="215"/>
      <c r="AL43" s="215"/>
      <c r="AM43" s="215"/>
      <c r="AN43" s="215"/>
      <c r="AO43" s="215"/>
    </row>
    <row r="44" spans="1:41" s="4" customFormat="1" ht="20" customHeight="1">
      <c r="A44" s="1330"/>
      <c r="B44" s="1277"/>
      <c r="C44" s="1278"/>
      <c r="D44" s="1278"/>
      <c r="E44" s="1278"/>
      <c r="F44" s="1278"/>
      <c r="G44" s="1278"/>
      <c r="H44" s="1278"/>
      <c r="I44" s="1279"/>
      <c r="J44" s="520"/>
      <c r="K44" s="372"/>
      <c r="L44" s="231"/>
      <c r="M44" s="216"/>
      <c r="N44" s="217"/>
      <c r="O44" s="218"/>
      <c r="P44" s="218"/>
      <c r="Q44" s="215"/>
      <c r="R44" s="215"/>
      <c r="S44" s="215"/>
      <c r="T44" s="215"/>
      <c r="U44" s="215"/>
      <c r="W44" s="216"/>
      <c r="X44" s="217"/>
      <c r="Y44" s="218"/>
      <c r="Z44" s="218"/>
      <c r="AA44" s="215"/>
      <c r="AB44" s="215"/>
      <c r="AC44" s="215"/>
      <c r="AD44" s="215"/>
      <c r="AE44" s="215"/>
      <c r="AG44" s="216"/>
      <c r="AH44" s="217"/>
      <c r="AI44" s="218"/>
      <c r="AJ44" s="218"/>
      <c r="AK44" s="215"/>
      <c r="AL44" s="215"/>
      <c r="AM44" s="215"/>
      <c r="AN44" s="215"/>
      <c r="AO44" s="215"/>
    </row>
    <row r="45" spans="1:41" s="4" customFormat="1" ht="20" customHeight="1">
      <c r="A45" s="1330"/>
      <c r="B45" s="1277"/>
      <c r="C45" s="1278"/>
      <c r="D45" s="1278"/>
      <c r="E45" s="1278"/>
      <c r="F45" s="1278"/>
      <c r="G45" s="1278"/>
      <c r="H45" s="1278"/>
      <c r="I45" s="1279"/>
      <c r="J45" s="520"/>
      <c r="K45" s="372"/>
      <c r="L45" s="231"/>
      <c r="M45" s="216"/>
      <c r="N45" s="217"/>
      <c r="O45" s="218"/>
      <c r="P45" s="218"/>
      <c r="Q45" s="215"/>
      <c r="R45" s="215"/>
      <c r="S45" s="215"/>
      <c r="T45" s="215"/>
      <c r="U45" s="215"/>
      <c r="W45" s="216"/>
      <c r="X45" s="217"/>
      <c r="Y45" s="218"/>
      <c r="Z45" s="218"/>
      <c r="AA45" s="215"/>
      <c r="AB45" s="215"/>
      <c r="AC45" s="215"/>
      <c r="AD45" s="215"/>
      <c r="AE45" s="215"/>
      <c r="AG45" s="216"/>
      <c r="AH45" s="217"/>
      <c r="AI45" s="218"/>
      <c r="AJ45" s="218"/>
      <c r="AK45" s="215"/>
      <c r="AL45" s="215"/>
      <c r="AM45" s="215"/>
      <c r="AN45" s="215"/>
      <c r="AO45" s="215"/>
    </row>
    <row r="46" spans="1:41" s="4" customFormat="1" ht="20" customHeight="1">
      <c r="A46" s="1330"/>
      <c r="B46" s="1277"/>
      <c r="C46" s="1278"/>
      <c r="D46" s="1278"/>
      <c r="E46" s="1278"/>
      <c r="F46" s="1278"/>
      <c r="G46" s="1278"/>
      <c r="H46" s="1278"/>
      <c r="I46" s="1279"/>
      <c r="J46" s="520"/>
      <c r="K46" s="372"/>
      <c r="L46" s="231"/>
      <c r="M46" s="216"/>
      <c r="N46" s="217"/>
      <c r="O46" s="218"/>
      <c r="P46" s="218"/>
      <c r="Q46" s="215"/>
      <c r="R46" s="215"/>
      <c r="S46" s="215"/>
      <c r="T46" s="215"/>
      <c r="U46" s="215"/>
      <c r="W46" s="216"/>
      <c r="X46" s="217"/>
      <c r="Y46" s="218"/>
      <c r="Z46" s="218"/>
      <c r="AA46" s="215"/>
      <c r="AB46" s="215"/>
      <c r="AC46" s="215"/>
      <c r="AD46" s="215"/>
      <c r="AE46" s="215"/>
      <c r="AG46" s="216"/>
      <c r="AH46" s="217"/>
      <c r="AI46" s="218"/>
      <c r="AJ46" s="218"/>
      <c r="AK46" s="215"/>
      <c r="AL46" s="215"/>
      <c r="AM46" s="215"/>
      <c r="AN46" s="215"/>
      <c r="AO46" s="215"/>
    </row>
    <row r="47" spans="1:41" s="4" customFormat="1" ht="20" customHeight="1">
      <c r="A47" s="1330"/>
      <c r="B47" s="1277"/>
      <c r="C47" s="1278"/>
      <c r="D47" s="1278"/>
      <c r="E47" s="1278"/>
      <c r="F47" s="1278"/>
      <c r="G47" s="1278"/>
      <c r="H47" s="1278"/>
      <c r="I47" s="1279"/>
      <c r="J47" s="520"/>
      <c r="K47" s="372"/>
      <c r="L47" s="231"/>
      <c r="M47" s="216"/>
      <c r="N47" s="217"/>
      <c r="O47" s="218"/>
      <c r="P47" s="218"/>
      <c r="Q47" s="215"/>
      <c r="R47" s="215"/>
      <c r="S47" s="215"/>
      <c r="T47" s="215"/>
      <c r="U47" s="215"/>
      <c r="W47" s="216"/>
      <c r="X47" s="217"/>
      <c r="Y47" s="218"/>
      <c r="Z47" s="218"/>
      <c r="AA47" s="215"/>
      <c r="AB47" s="215"/>
      <c r="AC47" s="215"/>
      <c r="AD47" s="215"/>
      <c r="AE47" s="215"/>
      <c r="AG47" s="216"/>
      <c r="AH47" s="217"/>
      <c r="AI47" s="218"/>
      <c r="AJ47" s="218"/>
      <c r="AK47" s="215"/>
      <c r="AL47" s="215"/>
      <c r="AM47" s="215"/>
      <c r="AN47" s="215"/>
      <c r="AO47" s="215"/>
    </row>
    <row r="48" spans="1:41" s="4" customFormat="1" ht="20" customHeight="1">
      <c r="A48" s="1330"/>
      <c r="B48" s="1277"/>
      <c r="C48" s="1278"/>
      <c r="D48" s="1278"/>
      <c r="E48" s="1278"/>
      <c r="F48" s="1278"/>
      <c r="G48" s="1278"/>
      <c r="H48" s="1278"/>
      <c r="I48" s="1279"/>
      <c r="J48" s="520"/>
      <c r="K48" s="372"/>
      <c r="L48" s="231"/>
      <c r="M48" s="216"/>
      <c r="N48" s="217"/>
      <c r="O48" s="218"/>
      <c r="P48" s="218"/>
      <c r="Q48" s="215"/>
      <c r="R48" s="215"/>
      <c r="S48" s="215"/>
      <c r="T48" s="215"/>
      <c r="U48" s="215"/>
      <c r="W48" s="216"/>
      <c r="X48" s="217"/>
      <c r="Y48" s="218"/>
      <c r="Z48" s="218"/>
      <c r="AA48" s="215"/>
      <c r="AB48" s="215"/>
      <c r="AC48" s="215"/>
      <c r="AD48" s="215"/>
      <c r="AE48" s="215"/>
      <c r="AG48" s="216"/>
      <c r="AH48" s="217"/>
      <c r="AI48" s="218"/>
      <c r="AJ48" s="218"/>
      <c r="AK48" s="215"/>
      <c r="AL48" s="215"/>
      <c r="AM48" s="215"/>
      <c r="AN48" s="215"/>
      <c r="AO48" s="215"/>
    </row>
    <row r="49" spans="1:41" s="4" customFormat="1" ht="20" customHeight="1">
      <c r="A49" s="1330"/>
      <c r="B49" s="1277"/>
      <c r="C49" s="1278"/>
      <c r="D49" s="1278"/>
      <c r="E49" s="1278"/>
      <c r="F49" s="1278"/>
      <c r="G49" s="1278"/>
      <c r="H49" s="1278"/>
      <c r="I49" s="1279"/>
      <c r="J49" s="520"/>
      <c r="K49" s="372"/>
      <c r="L49" s="231"/>
      <c r="M49" s="216"/>
      <c r="N49" s="217"/>
      <c r="O49" s="218"/>
      <c r="P49" s="218"/>
      <c r="Q49" s="215"/>
      <c r="R49" s="215"/>
      <c r="S49" s="215"/>
      <c r="T49" s="215"/>
      <c r="U49" s="215"/>
      <c r="W49" s="216"/>
      <c r="X49" s="217"/>
      <c r="Y49" s="218"/>
      <c r="Z49" s="218"/>
      <c r="AA49" s="215"/>
      <c r="AB49" s="215"/>
      <c r="AC49" s="215"/>
      <c r="AD49" s="215"/>
      <c r="AE49" s="215"/>
      <c r="AG49" s="216"/>
      <c r="AH49" s="217"/>
      <c r="AI49" s="218"/>
      <c r="AJ49" s="218"/>
      <c r="AK49" s="215"/>
      <c r="AL49" s="215"/>
      <c r="AM49" s="215"/>
      <c r="AN49" s="215"/>
      <c r="AO49" s="215"/>
    </row>
    <row r="50" spans="1:41" s="4" customFormat="1" ht="20" customHeight="1" thickBot="1">
      <c r="A50" s="1330"/>
      <c r="B50" s="1277"/>
      <c r="C50" s="1278"/>
      <c r="D50" s="1278"/>
      <c r="E50" s="1278"/>
      <c r="F50" s="1278"/>
      <c r="G50" s="1278"/>
      <c r="H50" s="1278"/>
      <c r="I50" s="1279"/>
      <c r="J50" s="520"/>
      <c r="K50" s="373"/>
      <c r="L50" s="231"/>
      <c r="M50" s="216"/>
      <c r="N50" s="217"/>
      <c r="O50" s="218"/>
      <c r="P50" s="218"/>
      <c r="Q50" s="215"/>
      <c r="R50" s="215"/>
      <c r="S50" s="215"/>
      <c r="T50" s="215"/>
      <c r="U50" s="215"/>
      <c r="W50" s="216"/>
      <c r="X50" s="217"/>
      <c r="Y50" s="218"/>
      <c r="Z50" s="218"/>
      <c r="AA50" s="215"/>
      <c r="AB50" s="215"/>
      <c r="AC50" s="215"/>
      <c r="AD50" s="215"/>
      <c r="AE50" s="215"/>
      <c r="AG50" s="216"/>
      <c r="AH50" s="217"/>
      <c r="AI50" s="218"/>
      <c r="AJ50" s="218"/>
      <c r="AK50" s="215"/>
      <c r="AL50" s="215"/>
      <c r="AM50" s="215"/>
      <c r="AN50" s="215"/>
      <c r="AO50" s="215"/>
    </row>
    <row r="51" spans="1:41" s="268" customFormat="1" ht="30" customHeight="1" thickBot="1">
      <c r="A51" s="1330"/>
      <c r="B51" s="1323" t="s">
        <v>241</v>
      </c>
      <c r="C51" s="1324"/>
      <c r="D51" s="1324"/>
      <c r="E51" s="1324"/>
      <c r="F51" s="1324"/>
      <c r="G51" s="1324"/>
      <c r="H51" s="1324"/>
      <c r="I51" s="1324"/>
      <c r="J51" s="1325"/>
      <c r="K51" s="417">
        <f>SUM(K28:K50)</f>
        <v>515</v>
      </c>
      <c r="L51" s="263"/>
      <c r="M51" s="264"/>
      <c r="N51" s="265"/>
      <c r="O51" s="266"/>
      <c r="P51" s="266"/>
      <c r="Q51" s="267"/>
      <c r="R51" s="267"/>
      <c r="S51" s="267"/>
      <c r="T51" s="267"/>
      <c r="U51" s="267"/>
      <c r="W51" s="264"/>
      <c r="X51" s="265"/>
      <c r="Y51" s="266"/>
      <c r="Z51" s="266"/>
      <c r="AA51" s="267"/>
      <c r="AB51" s="267"/>
      <c r="AC51" s="267"/>
      <c r="AD51" s="267"/>
      <c r="AE51" s="267"/>
      <c r="AG51" s="264"/>
      <c r="AH51" s="265"/>
      <c r="AI51" s="266"/>
      <c r="AJ51" s="266"/>
      <c r="AK51" s="267"/>
      <c r="AL51" s="267"/>
      <c r="AM51" s="267"/>
      <c r="AN51" s="267"/>
      <c r="AO51" s="267"/>
    </row>
    <row r="52" spans="1:41" s="4" customFormat="1" ht="47" customHeight="1" thickBot="1">
      <c r="A52" s="1330"/>
      <c r="B52" s="1317" t="s">
        <v>543</v>
      </c>
      <c r="C52" s="1318"/>
      <c r="D52" s="1318"/>
      <c r="E52" s="1318"/>
      <c r="F52" s="1318"/>
      <c r="G52" s="1318"/>
      <c r="H52" s="1318"/>
      <c r="I52" s="1319" t="s">
        <v>492</v>
      </c>
      <c r="J52" s="1320"/>
      <c r="K52" s="369">
        <f>K25-K51</f>
        <v>24.233333333333121</v>
      </c>
      <c r="L52" s="231"/>
      <c r="M52" s="216"/>
      <c r="N52" s="217"/>
      <c r="O52" s="218"/>
      <c r="P52" s="218"/>
      <c r="Q52" s="215"/>
      <c r="R52" s="215"/>
      <c r="S52" s="215"/>
      <c r="T52" s="215"/>
      <c r="U52" s="215"/>
      <c r="W52" s="216"/>
      <c r="X52" s="217"/>
      <c r="Y52" s="218"/>
      <c r="Z52" s="218"/>
      <c r="AA52" s="215"/>
      <c r="AB52" s="215"/>
      <c r="AC52" s="215"/>
      <c r="AD52" s="215"/>
      <c r="AE52" s="215"/>
      <c r="AG52" s="216"/>
      <c r="AH52" s="217"/>
      <c r="AI52" s="218"/>
      <c r="AJ52" s="218"/>
      <c r="AK52" s="215"/>
      <c r="AL52" s="215"/>
      <c r="AM52" s="215"/>
      <c r="AN52" s="215"/>
      <c r="AO52" s="215"/>
    </row>
    <row r="53" spans="1:41" s="4" customFormat="1" ht="137" customHeight="1" thickBot="1">
      <c r="A53" s="1330"/>
      <c r="B53" s="1332" t="s">
        <v>544</v>
      </c>
      <c r="C53" s="1333"/>
      <c r="D53" s="1333"/>
      <c r="E53" s="1333"/>
      <c r="F53" s="1333"/>
      <c r="G53" s="1333"/>
      <c r="H53" s="1333"/>
      <c r="I53" s="1333"/>
      <c r="J53" s="1333"/>
      <c r="K53" s="1334"/>
      <c r="L53" s="231"/>
      <c r="M53" s="216"/>
      <c r="N53" s="217"/>
      <c r="O53" s="218"/>
      <c r="P53" s="218"/>
      <c r="Q53" s="215"/>
      <c r="R53" s="215"/>
      <c r="S53" s="215"/>
      <c r="T53" s="215"/>
      <c r="U53" s="215"/>
      <c r="W53" s="216"/>
      <c r="X53" s="217"/>
      <c r="Y53" s="218"/>
      <c r="Z53" s="218"/>
      <c r="AA53" s="215"/>
      <c r="AB53" s="215"/>
      <c r="AC53" s="215"/>
      <c r="AD53" s="215"/>
      <c r="AE53" s="215"/>
      <c r="AG53" s="216"/>
      <c r="AH53" s="217"/>
      <c r="AI53" s="218"/>
      <c r="AJ53" s="218"/>
      <c r="AK53" s="215"/>
      <c r="AL53" s="215"/>
      <c r="AM53" s="215"/>
      <c r="AN53" s="215"/>
      <c r="AO53" s="215"/>
    </row>
    <row r="54" spans="1:41" s="4" customFormat="1" ht="20" customHeight="1">
      <c r="A54" s="1330"/>
      <c r="B54" s="1314" t="s">
        <v>717</v>
      </c>
      <c r="C54" s="1315"/>
      <c r="D54" s="1315"/>
      <c r="E54" s="1315"/>
      <c r="F54" s="1315"/>
      <c r="G54" s="1315"/>
      <c r="H54" s="1315"/>
      <c r="I54" s="1315"/>
      <c r="J54" s="1315"/>
      <c r="K54" s="1316"/>
      <c r="L54" s="231"/>
      <c r="M54" s="216"/>
      <c r="N54" s="217"/>
      <c r="O54" s="218"/>
      <c r="P54" s="218"/>
      <c r="Q54" s="215"/>
      <c r="R54" s="215"/>
      <c r="S54" s="215"/>
      <c r="T54" s="215"/>
      <c r="U54" s="215"/>
      <c r="W54" s="216"/>
      <c r="X54" s="217"/>
      <c r="Y54" s="218"/>
      <c r="Z54" s="218"/>
      <c r="AA54" s="215"/>
      <c r="AB54" s="215"/>
      <c r="AC54" s="215"/>
      <c r="AD54" s="215"/>
      <c r="AE54" s="215"/>
      <c r="AG54" s="216"/>
      <c r="AH54" s="217"/>
      <c r="AI54" s="218"/>
      <c r="AJ54" s="218"/>
      <c r="AK54" s="215"/>
      <c r="AL54" s="215"/>
      <c r="AM54" s="215"/>
      <c r="AN54" s="215"/>
      <c r="AO54" s="215"/>
    </row>
    <row r="55" spans="1:41" s="4" customFormat="1" ht="20" customHeight="1">
      <c r="A55" s="1330"/>
      <c r="B55" s="1280" t="s">
        <v>718</v>
      </c>
      <c r="C55" s="1281"/>
      <c r="D55" s="1281"/>
      <c r="E55" s="1281"/>
      <c r="F55" s="1281"/>
      <c r="G55" s="1281"/>
      <c r="H55" s="1281"/>
      <c r="I55" s="1281"/>
      <c r="J55" s="1281"/>
      <c r="K55" s="1282"/>
      <c r="L55" s="231"/>
      <c r="M55" s="216"/>
      <c r="N55" s="217"/>
      <c r="O55" s="218"/>
      <c r="P55" s="218"/>
      <c r="Q55" s="215"/>
      <c r="R55" s="215"/>
      <c r="S55" s="215"/>
      <c r="T55" s="215"/>
      <c r="U55" s="215"/>
      <c r="W55" s="216"/>
      <c r="X55" s="217"/>
      <c r="Y55" s="218"/>
      <c r="Z55" s="218"/>
      <c r="AA55" s="215"/>
      <c r="AB55" s="215"/>
      <c r="AC55" s="215"/>
      <c r="AD55" s="215"/>
      <c r="AE55" s="215"/>
      <c r="AG55" s="216"/>
      <c r="AH55" s="217"/>
      <c r="AI55" s="218"/>
      <c r="AJ55" s="218"/>
      <c r="AK55" s="215"/>
      <c r="AL55" s="215"/>
      <c r="AM55" s="215"/>
      <c r="AN55" s="215"/>
      <c r="AO55" s="215"/>
    </row>
    <row r="56" spans="1:41" s="4" customFormat="1" ht="20" customHeight="1">
      <c r="A56" s="1330"/>
      <c r="B56" s="1280" t="s">
        <v>719</v>
      </c>
      <c r="C56" s="1281"/>
      <c r="D56" s="1281"/>
      <c r="E56" s="1281"/>
      <c r="F56" s="1281"/>
      <c r="G56" s="1281"/>
      <c r="H56" s="1281"/>
      <c r="I56" s="1281"/>
      <c r="J56" s="1281"/>
      <c r="K56" s="1282"/>
      <c r="L56" s="231"/>
      <c r="M56" s="216"/>
      <c r="N56" s="217"/>
      <c r="O56" s="218"/>
      <c r="P56" s="218"/>
      <c r="Q56" s="215"/>
      <c r="R56" s="215"/>
      <c r="S56" s="215"/>
      <c r="T56" s="215"/>
      <c r="U56" s="215"/>
      <c r="W56" s="216"/>
      <c r="X56" s="217"/>
      <c r="Y56" s="218"/>
      <c r="Z56" s="218"/>
      <c r="AA56" s="215"/>
      <c r="AB56" s="215"/>
      <c r="AC56" s="215"/>
      <c r="AD56" s="215"/>
      <c r="AE56" s="215"/>
      <c r="AG56" s="216"/>
      <c r="AH56" s="217"/>
      <c r="AI56" s="218"/>
      <c r="AJ56" s="218"/>
      <c r="AK56" s="215"/>
      <c r="AL56" s="215"/>
      <c r="AM56" s="215"/>
      <c r="AN56" s="215"/>
      <c r="AO56" s="215"/>
    </row>
    <row r="57" spans="1:41" s="4" customFormat="1" ht="20" customHeight="1">
      <c r="A57" s="1330"/>
      <c r="B57" s="1280"/>
      <c r="C57" s="1281"/>
      <c r="D57" s="1281"/>
      <c r="E57" s="1281"/>
      <c r="F57" s="1281"/>
      <c r="G57" s="1281"/>
      <c r="H57" s="1281"/>
      <c r="I57" s="1281"/>
      <c r="J57" s="1281"/>
      <c r="K57" s="1282"/>
      <c r="L57" s="231"/>
      <c r="M57" s="216"/>
      <c r="N57" s="217"/>
      <c r="O57" s="218"/>
      <c r="P57" s="218"/>
      <c r="Q57" s="215"/>
      <c r="R57" s="215"/>
      <c r="S57" s="215"/>
      <c r="T57" s="215"/>
      <c r="U57" s="215"/>
      <c r="W57" s="216"/>
      <c r="X57" s="217"/>
      <c r="Y57" s="218"/>
      <c r="Z57" s="218"/>
      <c r="AA57" s="215"/>
      <c r="AB57" s="215"/>
      <c r="AC57" s="215"/>
      <c r="AD57" s="215"/>
      <c r="AE57" s="215"/>
      <c r="AG57" s="216"/>
      <c r="AH57" s="217"/>
      <c r="AI57" s="218"/>
      <c r="AJ57" s="218"/>
      <c r="AK57" s="215"/>
      <c r="AL57" s="215"/>
      <c r="AM57" s="215"/>
      <c r="AN57" s="215"/>
      <c r="AO57" s="215"/>
    </row>
    <row r="58" spans="1:41" s="4" customFormat="1" ht="20" customHeight="1">
      <c r="A58" s="1330"/>
      <c r="B58" s="1280"/>
      <c r="C58" s="1281"/>
      <c r="D58" s="1281"/>
      <c r="E58" s="1281"/>
      <c r="F58" s="1281"/>
      <c r="G58" s="1281"/>
      <c r="H58" s="1281"/>
      <c r="I58" s="1281"/>
      <c r="J58" s="1281"/>
      <c r="K58" s="1282"/>
      <c r="L58" s="231"/>
      <c r="M58" s="216"/>
      <c r="N58" s="217"/>
      <c r="O58" s="218"/>
      <c r="P58" s="218"/>
      <c r="Q58" s="215"/>
      <c r="R58" s="215"/>
      <c r="S58" s="215"/>
      <c r="T58" s="215"/>
      <c r="U58" s="215"/>
      <c r="W58" s="216"/>
      <c r="X58" s="217"/>
      <c r="Y58" s="218"/>
      <c r="Z58" s="218"/>
      <c r="AA58" s="215"/>
      <c r="AB58" s="215"/>
      <c r="AC58" s="215"/>
      <c r="AD58" s="215"/>
      <c r="AE58" s="215"/>
      <c r="AG58" s="216"/>
      <c r="AH58" s="217"/>
      <c r="AI58" s="218"/>
      <c r="AJ58" s="218"/>
      <c r="AK58" s="215"/>
      <c r="AL58" s="215"/>
      <c r="AM58" s="215"/>
      <c r="AN58" s="215"/>
      <c r="AO58" s="215"/>
    </row>
    <row r="59" spans="1:41" s="4" customFormat="1" ht="20" customHeight="1">
      <c r="A59" s="1330"/>
      <c r="B59" s="1280"/>
      <c r="C59" s="1281"/>
      <c r="D59" s="1281"/>
      <c r="E59" s="1281"/>
      <c r="F59" s="1281"/>
      <c r="G59" s="1281"/>
      <c r="H59" s="1281"/>
      <c r="I59" s="1281"/>
      <c r="J59" s="1281"/>
      <c r="K59" s="1282"/>
      <c r="L59" s="231"/>
      <c r="M59" s="216"/>
      <c r="N59" s="217"/>
      <c r="O59" s="218"/>
      <c r="P59" s="218"/>
      <c r="Q59" s="215"/>
      <c r="R59" s="215"/>
      <c r="S59" s="215"/>
      <c r="T59" s="215"/>
      <c r="U59" s="215"/>
      <c r="W59" s="216"/>
      <c r="X59" s="217"/>
      <c r="Y59" s="218"/>
      <c r="Z59" s="218"/>
      <c r="AA59" s="215"/>
      <c r="AB59" s="215"/>
      <c r="AC59" s="215"/>
      <c r="AD59" s="215"/>
      <c r="AE59" s="215"/>
      <c r="AG59" s="216"/>
      <c r="AH59" s="217"/>
      <c r="AI59" s="218"/>
      <c r="AJ59" s="218"/>
      <c r="AK59" s="215"/>
      <c r="AL59" s="215"/>
      <c r="AM59" s="215"/>
      <c r="AN59" s="215"/>
      <c r="AO59" s="215"/>
    </row>
    <row r="60" spans="1:41" s="4" customFormat="1" ht="20" customHeight="1">
      <c r="A60" s="1330"/>
      <c r="B60" s="1280"/>
      <c r="C60" s="1281"/>
      <c r="D60" s="1281"/>
      <c r="E60" s="1281"/>
      <c r="F60" s="1281"/>
      <c r="G60" s="1281"/>
      <c r="H60" s="1281"/>
      <c r="I60" s="1281"/>
      <c r="J60" s="1281"/>
      <c r="K60" s="1282"/>
      <c r="L60" s="231"/>
      <c r="M60" s="216"/>
      <c r="N60" s="217"/>
      <c r="O60" s="218"/>
      <c r="P60" s="218"/>
      <c r="Q60" s="215"/>
      <c r="R60" s="215"/>
      <c r="S60" s="215"/>
      <c r="T60" s="215"/>
      <c r="U60" s="215"/>
      <c r="W60" s="216"/>
      <c r="X60" s="217"/>
      <c r="Y60" s="218"/>
      <c r="Z60" s="218"/>
      <c r="AA60" s="215"/>
      <c r="AB60" s="215"/>
      <c r="AC60" s="215"/>
      <c r="AD60" s="215"/>
      <c r="AE60" s="215"/>
      <c r="AG60" s="216"/>
      <c r="AH60" s="217"/>
      <c r="AI60" s="218"/>
      <c r="AJ60" s="218"/>
      <c r="AK60" s="215"/>
      <c r="AL60" s="215"/>
      <c r="AM60" s="215"/>
      <c r="AN60" s="215"/>
      <c r="AO60" s="215"/>
    </row>
    <row r="61" spans="1:41" s="4" customFormat="1" ht="20" customHeight="1">
      <c r="A61" s="1330"/>
      <c r="B61" s="1280"/>
      <c r="C61" s="1281"/>
      <c r="D61" s="1281"/>
      <c r="E61" s="1281"/>
      <c r="F61" s="1281"/>
      <c r="G61" s="1281"/>
      <c r="H61" s="1281"/>
      <c r="I61" s="1281"/>
      <c r="J61" s="1281"/>
      <c r="K61" s="1282"/>
      <c r="L61" s="231"/>
      <c r="M61" s="216"/>
      <c r="N61" s="217"/>
      <c r="O61" s="218"/>
      <c r="P61" s="218"/>
      <c r="Q61" s="215"/>
      <c r="R61" s="215"/>
      <c r="S61" s="215"/>
      <c r="T61" s="215"/>
      <c r="U61" s="215"/>
      <c r="W61" s="216"/>
      <c r="X61" s="217"/>
      <c r="Y61" s="218"/>
      <c r="Z61" s="218"/>
      <c r="AA61" s="215"/>
      <c r="AB61" s="215"/>
      <c r="AC61" s="215"/>
      <c r="AD61" s="215"/>
      <c r="AE61" s="215"/>
      <c r="AG61" s="216"/>
      <c r="AH61" s="217"/>
      <c r="AI61" s="218"/>
      <c r="AJ61" s="218"/>
      <c r="AK61" s="215"/>
      <c r="AL61" s="215"/>
      <c r="AM61" s="215"/>
      <c r="AN61" s="215"/>
      <c r="AO61" s="215"/>
    </row>
    <row r="62" spans="1:41" s="4" customFormat="1" ht="20" customHeight="1">
      <c r="A62" s="1330"/>
      <c r="B62" s="1280"/>
      <c r="C62" s="1281"/>
      <c r="D62" s="1281"/>
      <c r="E62" s="1281"/>
      <c r="F62" s="1281"/>
      <c r="G62" s="1281"/>
      <c r="H62" s="1281"/>
      <c r="I62" s="1281"/>
      <c r="J62" s="1281"/>
      <c r="K62" s="1282"/>
      <c r="L62" s="231"/>
      <c r="M62" s="216"/>
      <c r="N62" s="217"/>
      <c r="O62" s="218"/>
      <c r="P62" s="218"/>
      <c r="Q62" s="215"/>
      <c r="R62" s="215"/>
      <c r="S62" s="215"/>
      <c r="T62" s="215"/>
      <c r="U62" s="215"/>
      <c r="W62" s="216"/>
      <c r="X62" s="217"/>
      <c r="Y62" s="218"/>
      <c r="Z62" s="218"/>
      <c r="AA62" s="215"/>
      <c r="AB62" s="215"/>
      <c r="AC62" s="215"/>
      <c r="AD62" s="215"/>
      <c r="AE62" s="215"/>
      <c r="AG62" s="216"/>
      <c r="AH62" s="217"/>
      <c r="AI62" s="218"/>
      <c r="AJ62" s="218"/>
      <c r="AK62" s="215"/>
      <c r="AL62" s="215"/>
      <c r="AM62" s="215"/>
      <c r="AN62" s="215"/>
      <c r="AO62" s="215"/>
    </row>
    <row r="63" spans="1:41" s="4" customFormat="1" ht="20" customHeight="1">
      <c r="A63" s="1330"/>
      <c r="B63" s="1280"/>
      <c r="C63" s="1281"/>
      <c r="D63" s="1281"/>
      <c r="E63" s="1281"/>
      <c r="F63" s="1281"/>
      <c r="G63" s="1281"/>
      <c r="H63" s="1281"/>
      <c r="I63" s="1281"/>
      <c r="J63" s="1281"/>
      <c r="K63" s="1282"/>
      <c r="L63" s="231"/>
      <c r="M63" s="216"/>
      <c r="N63" s="217"/>
      <c r="O63" s="218"/>
      <c r="P63" s="218"/>
      <c r="Q63" s="215"/>
      <c r="R63" s="215"/>
      <c r="S63" s="215"/>
      <c r="T63" s="215"/>
      <c r="U63" s="215"/>
      <c r="W63" s="216"/>
      <c r="X63" s="217"/>
      <c r="Y63" s="218"/>
      <c r="Z63" s="218"/>
      <c r="AA63" s="215"/>
      <c r="AB63" s="215"/>
      <c r="AC63" s="215"/>
      <c r="AD63" s="215"/>
      <c r="AE63" s="215"/>
      <c r="AG63" s="216"/>
      <c r="AH63" s="217"/>
      <c r="AI63" s="218"/>
      <c r="AJ63" s="218"/>
      <c r="AK63" s="215"/>
      <c r="AL63" s="215"/>
      <c r="AM63" s="215"/>
      <c r="AN63" s="215"/>
      <c r="AO63" s="215"/>
    </row>
    <row r="64" spans="1:41" s="4" customFormat="1" ht="20" customHeight="1">
      <c r="A64" s="1330"/>
      <c r="B64" s="1280"/>
      <c r="C64" s="1281"/>
      <c r="D64" s="1281"/>
      <c r="E64" s="1281"/>
      <c r="F64" s="1281"/>
      <c r="G64" s="1281"/>
      <c r="H64" s="1281"/>
      <c r="I64" s="1281"/>
      <c r="J64" s="1281"/>
      <c r="K64" s="1282"/>
      <c r="L64" s="231"/>
      <c r="M64" s="216"/>
      <c r="N64" s="217"/>
      <c r="O64" s="218"/>
      <c r="P64" s="218"/>
      <c r="Q64" s="215"/>
      <c r="R64" s="215"/>
      <c r="S64" s="215"/>
      <c r="T64" s="215"/>
      <c r="U64" s="215"/>
      <c r="W64" s="216"/>
      <c r="X64" s="217"/>
      <c r="Y64" s="218"/>
      <c r="Z64" s="218"/>
      <c r="AA64" s="215"/>
      <c r="AB64" s="215"/>
      <c r="AC64" s="215"/>
      <c r="AD64" s="215"/>
      <c r="AE64" s="215"/>
      <c r="AG64" s="216"/>
      <c r="AH64" s="217"/>
      <c r="AI64" s="218"/>
      <c r="AJ64" s="218"/>
      <c r="AK64" s="215"/>
      <c r="AL64" s="215"/>
      <c r="AM64" s="215"/>
      <c r="AN64" s="215"/>
      <c r="AO64" s="215"/>
    </row>
    <row r="65" spans="1:41" s="4" customFormat="1" ht="20" customHeight="1">
      <c r="A65" s="1330"/>
      <c r="B65" s="1280"/>
      <c r="C65" s="1281"/>
      <c r="D65" s="1281"/>
      <c r="E65" s="1281"/>
      <c r="F65" s="1281"/>
      <c r="G65" s="1281"/>
      <c r="H65" s="1281"/>
      <c r="I65" s="1281"/>
      <c r="J65" s="1281"/>
      <c r="K65" s="1282"/>
      <c r="L65" s="231"/>
      <c r="M65" s="216"/>
      <c r="N65" s="217"/>
      <c r="O65" s="218"/>
      <c r="P65" s="218"/>
      <c r="Q65" s="215"/>
      <c r="R65" s="215"/>
      <c r="S65" s="215"/>
      <c r="T65" s="215"/>
      <c r="U65" s="215"/>
      <c r="W65" s="216"/>
      <c r="X65" s="217"/>
      <c r="Y65" s="218"/>
      <c r="Z65" s="218"/>
      <c r="AA65" s="215"/>
      <c r="AB65" s="215"/>
      <c r="AC65" s="215"/>
      <c r="AD65" s="215"/>
      <c r="AE65" s="215"/>
      <c r="AG65" s="216"/>
      <c r="AH65" s="217"/>
      <c r="AI65" s="218"/>
      <c r="AJ65" s="218"/>
      <c r="AK65" s="215"/>
      <c r="AL65" s="215"/>
      <c r="AM65" s="215"/>
      <c r="AN65" s="215"/>
      <c r="AO65" s="215"/>
    </row>
    <row r="66" spans="1:41" s="4" customFormat="1" ht="20" customHeight="1">
      <c r="A66" s="1330"/>
      <c r="B66" s="1280"/>
      <c r="C66" s="1281"/>
      <c r="D66" s="1281"/>
      <c r="E66" s="1281"/>
      <c r="F66" s="1281"/>
      <c r="G66" s="1281"/>
      <c r="H66" s="1281"/>
      <c r="I66" s="1281"/>
      <c r="J66" s="1281"/>
      <c r="K66" s="1282"/>
      <c r="L66" s="231"/>
      <c r="M66" s="216"/>
      <c r="N66" s="217"/>
      <c r="O66" s="218"/>
      <c r="P66" s="218"/>
      <c r="Q66" s="215"/>
      <c r="R66" s="215"/>
      <c r="S66" s="215"/>
      <c r="T66" s="215"/>
      <c r="U66" s="215"/>
      <c r="W66" s="216"/>
      <c r="X66" s="217"/>
      <c r="Y66" s="218"/>
      <c r="Z66" s="218"/>
      <c r="AA66" s="215"/>
      <c r="AB66" s="215"/>
      <c r="AC66" s="215"/>
      <c r="AD66" s="215"/>
      <c r="AE66" s="215"/>
      <c r="AG66" s="216"/>
      <c r="AH66" s="217"/>
      <c r="AI66" s="218"/>
      <c r="AJ66" s="218"/>
      <c r="AK66" s="215"/>
      <c r="AL66" s="215"/>
      <c r="AM66" s="215"/>
      <c r="AN66" s="215"/>
      <c r="AO66" s="215"/>
    </row>
    <row r="67" spans="1:41" s="4" customFormat="1" ht="20" customHeight="1">
      <c r="A67" s="1330"/>
      <c r="B67" s="1280"/>
      <c r="C67" s="1281"/>
      <c r="D67" s="1281"/>
      <c r="E67" s="1281"/>
      <c r="F67" s="1281"/>
      <c r="G67" s="1281"/>
      <c r="H67" s="1281"/>
      <c r="I67" s="1281"/>
      <c r="J67" s="1281"/>
      <c r="K67" s="1282"/>
      <c r="L67" s="231"/>
      <c r="M67" s="216"/>
      <c r="N67" s="217"/>
      <c r="O67" s="218"/>
      <c r="P67" s="218"/>
      <c r="Q67" s="215"/>
      <c r="R67" s="215"/>
      <c r="S67" s="215"/>
      <c r="T67" s="215"/>
      <c r="U67" s="215"/>
      <c r="W67" s="216"/>
      <c r="X67" s="217"/>
      <c r="Y67" s="218"/>
      <c r="Z67" s="218"/>
      <c r="AA67" s="215"/>
      <c r="AB67" s="215"/>
      <c r="AC67" s="215"/>
      <c r="AD67" s="215"/>
      <c r="AE67" s="215"/>
      <c r="AG67" s="216"/>
      <c r="AH67" s="217"/>
      <c r="AI67" s="218"/>
      <c r="AJ67" s="218"/>
      <c r="AK67" s="215"/>
      <c r="AL67" s="215"/>
      <c r="AM67" s="215"/>
      <c r="AN67" s="215"/>
      <c r="AO67" s="215"/>
    </row>
    <row r="68" spans="1:41" s="4" customFormat="1" ht="20" customHeight="1">
      <c r="A68" s="1330"/>
      <c r="B68" s="1280"/>
      <c r="C68" s="1281"/>
      <c r="D68" s="1281"/>
      <c r="E68" s="1281"/>
      <c r="F68" s="1281"/>
      <c r="G68" s="1281"/>
      <c r="H68" s="1281"/>
      <c r="I68" s="1281"/>
      <c r="J68" s="1281"/>
      <c r="K68" s="1282"/>
      <c r="L68" s="231"/>
      <c r="M68" s="216"/>
      <c r="N68" s="217"/>
      <c r="O68" s="218"/>
      <c r="P68" s="218"/>
      <c r="Q68" s="215"/>
      <c r="R68" s="215"/>
      <c r="S68" s="215"/>
      <c r="T68" s="215"/>
      <c r="U68" s="215"/>
      <c r="W68" s="216"/>
      <c r="X68" s="217"/>
      <c r="Y68" s="218"/>
      <c r="Z68" s="218"/>
      <c r="AA68" s="215"/>
      <c r="AB68" s="215"/>
      <c r="AC68" s="215"/>
      <c r="AD68" s="215"/>
      <c r="AE68" s="215"/>
      <c r="AG68" s="216"/>
      <c r="AH68" s="217"/>
      <c r="AI68" s="218"/>
      <c r="AJ68" s="218"/>
      <c r="AK68" s="215"/>
      <c r="AL68" s="215"/>
      <c r="AM68" s="215"/>
      <c r="AN68" s="215"/>
      <c r="AO68" s="215"/>
    </row>
    <row r="69" spans="1:41" s="4" customFormat="1" ht="20" customHeight="1" thickBot="1">
      <c r="A69" s="1330"/>
      <c r="B69" s="1280"/>
      <c r="C69" s="1281"/>
      <c r="D69" s="1281"/>
      <c r="E69" s="1281"/>
      <c r="F69" s="1281"/>
      <c r="G69" s="1281"/>
      <c r="H69" s="1281"/>
      <c r="I69" s="1281"/>
      <c r="J69" s="1281"/>
      <c r="K69" s="1282"/>
      <c r="L69" s="231"/>
      <c r="M69" s="216"/>
      <c r="N69" s="217"/>
      <c r="O69" s="218"/>
      <c r="P69" s="218"/>
      <c r="Q69" s="215"/>
      <c r="R69" s="215"/>
      <c r="S69" s="215"/>
      <c r="T69" s="215"/>
      <c r="U69" s="215"/>
      <c r="W69" s="216"/>
      <c r="X69" s="217"/>
      <c r="Y69" s="218"/>
      <c r="Z69" s="218"/>
      <c r="AA69" s="215"/>
      <c r="AB69" s="215"/>
      <c r="AC69" s="215"/>
      <c r="AD69" s="215"/>
      <c r="AE69" s="215"/>
      <c r="AG69" s="216"/>
      <c r="AH69" s="217"/>
      <c r="AI69" s="218"/>
      <c r="AJ69" s="218"/>
      <c r="AK69" s="215"/>
      <c r="AL69" s="215"/>
      <c r="AM69" s="215"/>
      <c r="AN69" s="215"/>
      <c r="AO69" s="215"/>
    </row>
    <row r="70" spans="1:41" s="4" customFormat="1" ht="31" customHeight="1" thickBot="1">
      <c r="A70" s="1330"/>
      <c r="B70" s="1312" t="s">
        <v>461</v>
      </c>
      <c r="C70" s="1313"/>
      <c r="D70" s="1313"/>
      <c r="E70" s="1313"/>
      <c r="F70" s="1313"/>
      <c r="G70" s="1313"/>
      <c r="H70" s="1313"/>
      <c r="I70" s="1313"/>
      <c r="J70" s="1313"/>
      <c r="K70" s="416">
        <f>Arbejdstidsoversigt!J58</f>
        <v>208.33333333333331</v>
      </c>
      <c r="L70" s="231"/>
      <c r="M70" s="216"/>
      <c r="N70" s="217"/>
      <c r="O70" s="218"/>
      <c r="P70" s="218"/>
      <c r="Q70" s="215"/>
      <c r="R70" s="215"/>
      <c r="S70" s="215"/>
      <c r="T70" s="215"/>
      <c r="U70" s="215"/>
      <c r="W70" s="216"/>
      <c r="X70" s="217"/>
      <c r="Y70" s="218"/>
      <c r="Z70" s="218"/>
      <c r="AA70" s="215"/>
      <c r="AB70" s="215"/>
      <c r="AC70" s="215"/>
      <c r="AD70" s="215"/>
      <c r="AE70" s="215"/>
      <c r="AG70" s="216"/>
      <c r="AH70" s="217"/>
      <c r="AI70" s="218"/>
      <c r="AJ70" s="218"/>
      <c r="AK70" s="215"/>
      <c r="AL70" s="215"/>
      <c r="AM70" s="215"/>
      <c r="AN70" s="215"/>
      <c r="AO70" s="215"/>
    </row>
    <row r="71" spans="1:41" s="4" customFormat="1" ht="40" customHeight="1">
      <c r="A71" s="1330"/>
      <c r="B71" s="1310" t="s">
        <v>297</v>
      </c>
      <c r="C71" s="1311"/>
      <c r="D71" s="1311"/>
      <c r="E71" s="1311"/>
      <c r="F71" s="1311"/>
      <c r="G71" s="1311"/>
      <c r="H71" s="1311"/>
      <c r="I71" s="1311" t="s">
        <v>345</v>
      </c>
      <c r="J71" s="1311"/>
      <c r="K71" s="370" t="s">
        <v>235</v>
      </c>
      <c r="L71" s="231"/>
      <c r="M71" s="216"/>
      <c r="N71" s="217"/>
      <c r="O71" s="216"/>
      <c r="P71" s="217"/>
      <c r="Q71" s="216"/>
      <c r="R71" s="217"/>
      <c r="S71" s="216"/>
      <c r="T71" s="217"/>
      <c r="U71" s="216"/>
      <c r="V71" s="217"/>
      <c r="W71" s="216"/>
      <c r="X71" s="217"/>
      <c r="Y71" s="216"/>
      <c r="Z71" s="217"/>
      <c r="AA71" s="216"/>
      <c r="AB71" s="215"/>
      <c r="AC71" s="215"/>
      <c r="AD71" s="215"/>
      <c r="AE71" s="215"/>
      <c r="AG71" s="216"/>
      <c r="AH71" s="217"/>
      <c r="AI71" s="218"/>
      <c r="AJ71" s="218"/>
      <c r="AK71" s="215"/>
      <c r="AL71" s="215"/>
      <c r="AM71" s="215"/>
      <c r="AN71" s="215"/>
      <c r="AO71" s="215"/>
    </row>
    <row r="72" spans="1:41" s="4" customFormat="1" ht="20" customHeight="1">
      <c r="A72" s="1330"/>
      <c r="B72" s="1306" t="str">
        <f>Skemaoplysninger!A46</f>
        <v>Forberede naturfestivalugen</v>
      </c>
      <c r="C72" s="1307"/>
      <c r="D72" s="1307"/>
      <c r="E72" s="1307"/>
      <c r="F72" s="1307"/>
      <c r="G72" s="1307"/>
      <c r="H72" s="1308"/>
      <c r="I72" s="1309" t="str">
        <f>Skemaoplysninger!G46</f>
        <v>September</v>
      </c>
      <c r="J72" s="1308"/>
      <c r="K72" s="414">
        <f>Skemaoplysninger!I46</f>
        <v>10</v>
      </c>
      <c r="L72" s="231"/>
      <c r="M72" s="216"/>
      <c r="N72" s="216"/>
      <c r="O72" s="216"/>
      <c r="P72" s="216"/>
      <c r="Q72" s="216"/>
      <c r="R72" s="216"/>
      <c r="S72" s="216"/>
      <c r="T72" s="216"/>
      <c r="U72" s="216"/>
      <c r="V72" s="216"/>
      <c r="W72" s="216"/>
      <c r="X72" s="216"/>
      <c r="Y72" s="216"/>
      <c r="Z72" s="216"/>
      <c r="AA72" s="216"/>
      <c r="AB72" s="215"/>
      <c r="AC72" s="215"/>
      <c r="AD72" s="215"/>
      <c r="AE72" s="215"/>
      <c r="AG72" s="216"/>
      <c r="AH72" s="217"/>
      <c r="AI72" s="218"/>
      <c r="AJ72" s="218"/>
      <c r="AK72" s="215"/>
      <c r="AL72" s="215"/>
      <c r="AM72" s="215"/>
      <c r="AN72" s="215"/>
      <c r="AO72" s="215"/>
    </row>
    <row r="73" spans="1:41" s="4" customFormat="1" ht="20" customHeight="1">
      <c r="A73" s="1330"/>
      <c r="B73" s="1306" t="str">
        <f>Skemaoplysninger!A47</f>
        <v>Forberede teateremneugen</v>
      </c>
      <c r="C73" s="1307"/>
      <c r="D73" s="1307"/>
      <c r="E73" s="1307"/>
      <c r="F73" s="1307"/>
      <c r="G73" s="1307"/>
      <c r="H73" s="1308"/>
      <c r="I73" s="1309" t="str">
        <f>Skemaoplysninger!G47</f>
        <v>Januar</v>
      </c>
      <c r="J73" s="1308"/>
      <c r="K73" s="414">
        <f>Skemaoplysninger!I47</f>
        <v>10</v>
      </c>
      <c r="L73" s="231"/>
      <c r="M73" s="216"/>
      <c r="N73" s="216"/>
      <c r="O73" s="216"/>
      <c r="P73" s="216"/>
      <c r="Q73" s="216"/>
      <c r="R73" s="216"/>
      <c r="S73" s="216"/>
      <c r="T73" s="216"/>
      <c r="U73" s="216"/>
      <c r="V73" s="216"/>
      <c r="W73" s="216"/>
      <c r="X73" s="216"/>
      <c r="Y73" s="216"/>
      <c r="Z73" s="216"/>
      <c r="AA73" s="216"/>
      <c r="AB73" s="215"/>
      <c r="AC73" s="215"/>
      <c r="AD73" s="215"/>
      <c r="AE73" s="215"/>
      <c r="AG73" s="216"/>
      <c r="AH73" s="217"/>
      <c r="AI73" s="218"/>
      <c r="AJ73" s="218"/>
      <c r="AK73" s="215"/>
      <c r="AL73" s="215"/>
      <c r="AM73" s="215"/>
      <c r="AN73" s="215"/>
      <c r="AO73" s="215"/>
    </row>
    <row r="74" spans="1:41" s="4" customFormat="1" ht="20" customHeight="1">
      <c r="A74" s="1330"/>
      <c r="B74" s="1306" t="str">
        <f>Skemaoplysninger!A48</f>
        <v>Lærermøde august</v>
      </c>
      <c r="C74" s="1307"/>
      <c r="D74" s="1307"/>
      <c r="E74" s="1307"/>
      <c r="F74" s="1307"/>
      <c r="G74" s="1307"/>
      <c r="H74" s="1308"/>
      <c r="I74" s="1309" t="str">
        <f>Skemaoplysninger!G48</f>
        <v>August</v>
      </c>
      <c r="J74" s="1308"/>
      <c r="K74" s="414">
        <f>Skemaoplysninger!I48</f>
        <v>2</v>
      </c>
      <c r="L74" s="231"/>
      <c r="M74" s="216"/>
      <c r="N74" s="216"/>
      <c r="O74" s="216"/>
      <c r="P74" s="216"/>
      <c r="Q74" s="216"/>
      <c r="R74" s="216"/>
      <c r="S74" s="216"/>
      <c r="T74" s="216"/>
      <c r="U74" s="216"/>
      <c r="V74" s="216"/>
      <c r="W74" s="216"/>
      <c r="X74" s="216"/>
      <c r="Y74" s="216"/>
      <c r="Z74" s="216"/>
      <c r="AA74" s="216"/>
      <c r="AB74" s="215"/>
      <c r="AC74" s="215"/>
      <c r="AD74" s="215"/>
      <c r="AE74" s="215"/>
      <c r="AG74" s="216"/>
      <c r="AH74" s="217"/>
      <c r="AI74" s="218"/>
      <c r="AJ74" s="218"/>
      <c r="AK74" s="215"/>
      <c r="AL74" s="215"/>
      <c r="AM74" s="215"/>
      <c r="AN74" s="215"/>
      <c r="AO74" s="215"/>
    </row>
    <row r="75" spans="1:41" s="4" customFormat="1" ht="20" customHeight="1">
      <c r="A75" s="1330"/>
      <c r="B75" s="1306" t="str">
        <f>Skemaoplysninger!A49</f>
        <v>Lærermøde september</v>
      </c>
      <c r="C75" s="1307"/>
      <c r="D75" s="1307"/>
      <c r="E75" s="1307"/>
      <c r="F75" s="1307"/>
      <c r="G75" s="1307"/>
      <c r="H75" s="1308"/>
      <c r="I75" s="1309" t="str">
        <f>Skemaoplysninger!G49</f>
        <v>September</v>
      </c>
      <c r="J75" s="1308"/>
      <c r="K75" s="414">
        <f>Skemaoplysninger!I49</f>
        <v>2</v>
      </c>
      <c r="L75" s="231"/>
      <c r="M75" s="216"/>
      <c r="N75" s="216"/>
      <c r="O75" s="216"/>
      <c r="P75" s="216"/>
      <c r="Q75" s="216"/>
      <c r="R75" s="216"/>
      <c r="S75" s="216"/>
      <c r="T75" s="216"/>
      <c r="U75" s="216"/>
      <c r="V75" s="216"/>
      <c r="W75" s="216"/>
      <c r="X75" s="216"/>
      <c r="Y75" s="216"/>
      <c r="Z75" s="216"/>
      <c r="AA75" s="216"/>
      <c r="AB75" s="215"/>
      <c r="AC75" s="215"/>
      <c r="AD75" s="215"/>
      <c r="AE75" s="215"/>
      <c r="AG75" s="216"/>
      <c r="AH75" s="217"/>
      <c r="AI75" s="218"/>
      <c r="AJ75" s="218"/>
      <c r="AK75" s="215"/>
      <c r="AL75" s="215"/>
      <c r="AM75" s="215"/>
      <c r="AN75" s="215"/>
      <c r="AO75" s="215"/>
    </row>
    <row r="76" spans="1:41" s="4" customFormat="1" ht="20" customHeight="1">
      <c r="A76" s="1330"/>
      <c r="B76" s="1306" t="str">
        <f>Skemaoplysninger!A50</f>
        <v>Lærermøder oktober</v>
      </c>
      <c r="C76" s="1307"/>
      <c r="D76" s="1307"/>
      <c r="E76" s="1307"/>
      <c r="F76" s="1307"/>
      <c r="G76" s="1307"/>
      <c r="H76" s="1308"/>
      <c r="I76" s="1309" t="str">
        <f>Skemaoplysninger!G50</f>
        <v>Oktober</v>
      </c>
      <c r="J76" s="1308"/>
      <c r="K76" s="414">
        <f>Skemaoplysninger!I50</f>
        <v>2</v>
      </c>
      <c r="L76" s="231"/>
      <c r="M76" s="216"/>
      <c r="N76" s="216"/>
      <c r="O76" s="216"/>
      <c r="P76" s="216"/>
      <c r="Q76" s="216"/>
      <c r="R76" s="216"/>
      <c r="S76" s="216"/>
      <c r="T76" s="216"/>
      <c r="U76" s="216"/>
      <c r="V76" s="216"/>
      <c r="W76" s="216"/>
      <c r="X76" s="216"/>
      <c r="Y76" s="216"/>
      <c r="Z76" s="216"/>
      <c r="AA76" s="216"/>
      <c r="AB76" s="215"/>
      <c r="AC76" s="215"/>
      <c r="AD76" s="215"/>
      <c r="AE76" s="215"/>
      <c r="AG76" s="216"/>
      <c r="AH76" s="217"/>
      <c r="AI76" s="218"/>
      <c r="AJ76" s="218"/>
      <c r="AK76" s="215"/>
      <c r="AL76" s="215"/>
      <c r="AM76" s="215"/>
      <c r="AN76" s="215"/>
      <c r="AO76" s="215"/>
    </row>
    <row r="77" spans="1:41" s="4" customFormat="1" ht="20" customHeight="1">
      <c r="A77" s="1330"/>
      <c r="B77" s="1306" t="str">
        <f>Skemaoplysninger!A51</f>
        <v>Lærermøder november</v>
      </c>
      <c r="C77" s="1307"/>
      <c r="D77" s="1307"/>
      <c r="E77" s="1307"/>
      <c r="F77" s="1307"/>
      <c r="G77" s="1307"/>
      <c r="H77" s="1308"/>
      <c r="I77" s="1309" t="str">
        <f>Skemaoplysninger!G51</f>
        <v>November</v>
      </c>
      <c r="J77" s="1308"/>
      <c r="K77" s="414">
        <f>Skemaoplysninger!I51</f>
        <v>2</v>
      </c>
      <c r="L77" s="231"/>
      <c r="M77" s="216"/>
      <c r="N77" s="216"/>
      <c r="O77" s="216"/>
      <c r="P77" s="216"/>
      <c r="Q77" s="216"/>
      <c r="R77" s="216"/>
      <c r="S77" s="216"/>
      <c r="T77" s="216"/>
      <c r="U77" s="216"/>
      <c r="V77" s="216"/>
      <c r="W77" s="216"/>
      <c r="X77" s="216"/>
      <c r="Y77" s="216"/>
      <c r="Z77" s="216"/>
      <c r="AA77" s="216"/>
      <c r="AB77" s="215"/>
      <c r="AC77" s="215"/>
      <c r="AD77" s="215"/>
      <c r="AE77" s="215"/>
      <c r="AG77" s="216"/>
      <c r="AH77" s="217"/>
      <c r="AI77" s="218"/>
      <c r="AJ77" s="218"/>
      <c r="AK77" s="215"/>
      <c r="AL77" s="215"/>
      <c r="AM77" s="215"/>
      <c r="AN77" s="215"/>
      <c r="AO77" s="215"/>
    </row>
    <row r="78" spans="1:41" s="4" customFormat="1" ht="20" customHeight="1">
      <c r="A78" s="1330"/>
      <c r="B78" s="1306" t="str">
        <f>Skemaoplysninger!A52</f>
        <v>Lærermøder december</v>
      </c>
      <c r="C78" s="1307"/>
      <c r="D78" s="1307"/>
      <c r="E78" s="1307"/>
      <c r="F78" s="1307"/>
      <c r="G78" s="1307"/>
      <c r="H78" s="1308"/>
      <c r="I78" s="1309" t="str">
        <f>Skemaoplysninger!G52</f>
        <v>December</v>
      </c>
      <c r="J78" s="1308"/>
      <c r="K78" s="414">
        <f>Skemaoplysninger!I52</f>
        <v>2</v>
      </c>
      <c r="L78" s="231"/>
      <c r="M78" s="216"/>
      <c r="N78" s="216"/>
      <c r="O78" s="216"/>
      <c r="P78" s="216"/>
      <c r="Q78" s="216"/>
      <c r="R78" s="216"/>
      <c r="S78" s="216"/>
      <c r="T78" s="216"/>
      <c r="U78" s="216"/>
      <c r="V78" s="216"/>
      <c r="W78" s="216"/>
      <c r="X78" s="216"/>
      <c r="Y78" s="216"/>
      <c r="Z78" s="216"/>
      <c r="AA78" s="216"/>
      <c r="AB78" s="215"/>
      <c r="AC78" s="215"/>
      <c r="AD78" s="215"/>
      <c r="AE78" s="215"/>
      <c r="AG78" s="216"/>
      <c r="AH78" s="217"/>
      <c r="AI78" s="218"/>
      <c r="AJ78" s="218"/>
      <c r="AK78" s="215"/>
      <c r="AL78" s="215"/>
      <c r="AM78" s="215"/>
      <c r="AN78" s="215"/>
      <c r="AO78" s="215"/>
    </row>
    <row r="79" spans="1:41" s="4" customFormat="1" ht="20" customHeight="1">
      <c r="A79" s="1330"/>
      <c r="B79" s="1306" t="str">
        <f>Skemaoplysninger!A53</f>
        <v>Lærermøder januar</v>
      </c>
      <c r="C79" s="1307"/>
      <c r="D79" s="1307"/>
      <c r="E79" s="1307"/>
      <c r="F79" s="1307"/>
      <c r="G79" s="1307"/>
      <c r="H79" s="1308"/>
      <c r="I79" s="1309" t="str">
        <f>Skemaoplysninger!G53</f>
        <v>Januar</v>
      </c>
      <c r="J79" s="1308"/>
      <c r="K79" s="414">
        <f>Skemaoplysninger!I53</f>
        <v>2</v>
      </c>
      <c r="L79" s="231"/>
      <c r="M79" s="216"/>
      <c r="N79" s="216"/>
      <c r="O79" s="216"/>
      <c r="P79" s="216"/>
      <c r="Q79" s="216"/>
      <c r="R79" s="216"/>
      <c r="S79" s="216"/>
      <c r="T79" s="216"/>
      <c r="U79" s="216"/>
      <c r="V79" s="216"/>
      <c r="W79" s="216"/>
      <c r="X79" s="216"/>
      <c r="Y79" s="216"/>
      <c r="Z79" s="216"/>
      <c r="AA79" s="216"/>
      <c r="AB79" s="215"/>
      <c r="AC79" s="215"/>
      <c r="AD79" s="215"/>
      <c r="AE79" s="215"/>
      <c r="AG79" s="216"/>
      <c r="AH79" s="217"/>
      <c r="AI79" s="218"/>
      <c r="AJ79" s="218"/>
      <c r="AK79" s="215"/>
      <c r="AL79" s="215"/>
      <c r="AM79" s="215"/>
      <c r="AN79" s="215"/>
      <c r="AO79" s="215"/>
    </row>
    <row r="80" spans="1:41" s="4" customFormat="1" ht="20" customHeight="1">
      <c r="A80" s="1330"/>
      <c r="B80" s="1306" t="str">
        <f>Skemaoplysninger!A54</f>
        <v>Lærermøder februar</v>
      </c>
      <c r="C80" s="1307"/>
      <c r="D80" s="1307"/>
      <c r="E80" s="1307"/>
      <c r="F80" s="1307"/>
      <c r="G80" s="1307"/>
      <c r="H80" s="1308"/>
      <c r="I80" s="1309" t="str">
        <f>Skemaoplysninger!G54</f>
        <v>Februar</v>
      </c>
      <c r="J80" s="1308"/>
      <c r="K80" s="414">
        <f>Skemaoplysninger!I54</f>
        <v>2</v>
      </c>
      <c r="L80" s="231"/>
      <c r="M80" s="216"/>
      <c r="N80" s="216"/>
      <c r="O80" s="216"/>
      <c r="P80" s="216"/>
      <c r="Q80" s="216"/>
      <c r="R80" s="216"/>
      <c r="S80" s="216"/>
      <c r="T80" s="216"/>
      <c r="U80" s="216"/>
      <c r="V80" s="216"/>
      <c r="W80" s="216"/>
      <c r="X80" s="216"/>
      <c r="Y80" s="216"/>
      <c r="Z80" s="216"/>
      <c r="AA80" s="216"/>
      <c r="AB80" s="215"/>
      <c r="AC80" s="215"/>
      <c r="AD80" s="215"/>
      <c r="AE80" s="215"/>
      <c r="AG80" s="216"/>
      <c r="AH80" s="217"/>
      <c r="AI80" s="218"/>
      <c r="AJ80" s="218"/>
      <c r="AK80" s="215"/>
      <c r="AL80" s="215"/>
      <c r="AM80" s="215"/>
      <c r="AN80" s="215"/>
      <c r="AO80" s="215"/>
    </row>
    <row r="81" spans="1:41" s="4" customFormat="1" ht="20" customHeight="1">
      <c r="A81" s="1330"/>
      <c r="B81" s="1306" t="str">
        <f>Skemaoplysninger!A55</f>
        <v>Lærermøder marts</v>
      </c>
      <c r="C81" s="1307"/>
      <c r="D81" s="1307"/>
      <c r="E81" s="1307"/>
      <c r="F81" s="1307"/>
      <c r="G81" s="1307"/>
      <c r="H81" s="1308"/>
      <c r="I81" s="1309" t="str">
        <f>Skemaoplysninger!G55</f>
        <v>Marts</v>
      </c>
      <c r="J81" s="1308"/>
      <c r="K81" s="414">
        <f>Skemaoplysninger!I55</f>
        <v>2</v>
      </c>
      <c r="L81" s="231"/>
      <c r="M81" s="216"/>
      <c r="N81" s="216"/>
      <c r="O81" s="216"/>
      <c r="P81" s="216"/>
      <c r="Q81" s="216"/>
      <c r="R81" s="216"/>
      <c r="S81" s="216"/>
      <c r="T81" s="216"/>
      <c r="U81" s="216"/>
      <c r="V81" s="216"/>
      <c r="W81" s="216"/>
      <c r="X81" s="216"/>
      <c r="Y81" s="216"/>
      <c r="Z81" s="216"/>
      <c r="AA81" s="216"/>
      <c r="AB81" s="215"/>
      <c r="AC81" s="215"/>
      <c r="AD81" s="215"/>
      <c r="AE81" s="215"/>
      <c r="AG81" s="216"/>
      <c r="AH81" s="217"/>
      <c r="AI81" s="218"/>
      <c r="AJ81" s="218"/>
      <c r="AK81" s="215"/>
      <c r="AL81" s="215"/>
      <c r="AM81" s="215"/>
      <c r="AN81" s="215"/>
      <c r="AO81" s="215"/>
    </row>
    <row r="82" spans="1:41" s="4" customFormat="1" ht="20" customHeight="1">
      <c r="A82" s="1330"/>
      <c r="B82" s="1306" t="str">
        <f>Skemaoplysninger!A56</f>
        <v>Lærermøder april</v>
      </c>
      <c r="C82" s="1307"/>
      <c r="D82" s="1307"/>
      <c r="E82" s="1307"/>
      <c r="F82" s="1307"/>
      <c r="G82" s="1307"/>
      <c r="H82" s="1308"/>
      <c r="I82" s="1309" t="str">
        <f>Skemaoplysninger!G56</f>
        <v>April</v>
      </c>
      <c r="J82" s="1308"/>
      <c r="K82" s="414">
        <f>Skemaoplysninger!I56</f>
        <v>2</v>
      </c>
      <c r="L82" s="231"/>
      <c r="M82" s="216"/>
      <c r="N82" s="216"/>
      <c r="O82" s="216"/>
      <c r="P82" s="216"/>
      <c r="Q82" s="216"/>
      <c r="R82" s="216"/>
      <c r="S82" s="216"/>
      <c r="T82" s="216"/>
      <c r="U82" s="216"/>
      <c r="V82" s="216"/>
      <c r="W82" s="216"/>
      <c r="X82" s="216"/>
      <c r="Y82" s="216"/>
      <c r="Z82" s="216"/>
      <c r="AA82" s="216"/>
      <c r="AB82" s="215"/>
      <c r="AC82" s="215"/>
      <c r="AD82" s="215"/>
      <c r="AE82" s="215"/>
      <c r="AG82" s="216"/>
      <c r="AH82" s="217"/>
      <c r="AI82" s="218"/>
      <c r="AJ82" s="218"/>
      <c r="AK82" s="215"/>
      <c r="AL82" s="215"/>
      <c r="AM82" s="215"/>
      <c r="AN82" s="215"/>
      <c r="AO82" s="215"/>
    </row>
    <row r="83" spans="1:41" s="4" customFormat="1" ht="20" customHeight="1">
      <c r="A83" s="1330"/>
      <c r="B83" s="1306" t="str">
        <f>Skemaoplysninger!A57</f>
        <v>Lærermøder maj</v>
      </c>
      <c r="C83" s="1307"/>
      <c r="D83" s="1307"/>
      <c r="E83" s="1307"/>
      <c r="F83" s="1307"/>
      <c r="G83" s="1307"/>
      <c r="H83" s="1308"/>
      <c r="I83" s="1309" t="str">
        <f>Skemaoplysninger!G57</f>
        <v>Maj</v>
      </c>
      <c r="J83" s="1308"/>
      <c r="K83" s="414">
        <f>Skemaoplysninger!I57</f>
        <v>2</v>
      </c>
      <c r="L83" s="231"/>
      <c r="M83" s="216"/>
      <c r="N83" s="216"/>
      <c r="O83" s="216"/>
      <c r="P83" s="216"/>
      <c r="Q83" s="216"/>
      <c r="R83" s="216"/>
      <c r="S83" s="216"/>
      <c r="T83" s="216"/>
      <c r="U83" s="216"/>
      <c r="V83" s="216"/>
      <c r="W83" s="216"/>
      <c r="X83" s="216"/>
      <c r="Y83" s="216"/>
      <c r="Z83" s="216"/>
      <c r="AA83" s="216"/>
      <c r="AB83" s="215"/>
      <c r="AC83" s="215"/>
      <c r="AD83" s="215"/>
      <c r="AE83" s="215"/>
      <c r="AG83" s="216"/>
      <c r="AH83" s="217"/>
      <c r="AI83" s="218"/>
      <c r="AJ83" s="218"/>
      <c r="AK83" s="215"/>
      <c r="AL83" s="215"/>
      <c r="AM83" s="215"/>
      <c r="AN83" s="215"/>
      <c r="AO83" s="215"/>
    </row>
    <row r="84" spans="1:41" s="4" customFormat="1" ht="20" customHeight="1">
      <c r="A84" s="1330"/>
      <c r="B84" s="1306" t="str">
        <f>Skemaoplysninger!A58</f>
        <v>Lærermøder juni</v>
      </c>
      <c r="C84" s="1307"/>
      <c r="D84" s="1307"/>
      <c r="E84" s="1307"/>
      <c r="F84" s="1307"/>
      <c r="G84" s="1307"/>
      <c r="H84" s="1308"/>
      <c r="I84" s="1309" t="str">
        <f>Skemaoplysninger!G58</f>
        <v>Juni</v>
      </c>
      <c r="J84" s="1308"/>
      <c r="K84" s="414">
        <f>Skemaoplysninger!I58</f>
        <v>2</v>
      </c>
      <c r="L84" s="231"/>
      <c r="M84" s="216"/>
      <c r="N84" s="216"/>
      <c r="O84" s="216"/>
      <c r="P84" s="216"/>
      <c r="Q84" s="216"/>
      <c r="R84" s="216"/>
      <c r="S84" s="216"/>
      <c r="T84" s="216"/>
      <c r="U84" s="216"/>
      <c r="V84" s="216"/>
      <c r="W84" s="216"/>
      <c r="X84" s="216"/>
      <c r="Y84" s="216"/>
      <c r="Z84" s="216"/>
      <c r="AA84" s="216"/>
      <c r="AB84" s="215"/>
      <c r="AC84" s="215"/>
      <c r="AD84" s="215"/>
      <c r="AE84" s="215"/>
      <c r="AG84" s="216"/>
      <c r="AH84" s="217"/>
      <c r="AI84" s="218"/>
      <c r="AJ84" s="218"/>
      <c r="AK84" s="215"/>
      <c r="AL84" s="215"/>
      <c r="AM84" s="215"/>
      <c r="AN84" s="215"/>
      <c r="AO84" s="215"/>
    </row>
    <row r="85" spans="1:41" s="4" customFormat="1" ht="20" customHeight="1">
      <c r="A85" s="1330"/>
      <c r="B85" s="1306">
        <f>Skemaoplysninger!A59</f>
        <v>0</v>
      </c>
      <c r="C85" s="1307"/>
      <c r="D85" s="1307"/>
      <c r="E85" s="1307"/>
      <c r="F85" s="1307"/>
      <c r="G85" s="1307"/>
      <c r="H85" s="1308"/>
      <c r="I85" s="1309">
        <f>Skemaoplysninger!G59</f>
        <v>0</v>
      </c>
      <c r="J85" s="1308"/>
      <c r="K85" s="414">
        <f>Skemaoplysninger!I59</f>
        <v>0</v>
      </c>
      <c r="L85" s="231"/>
      <c r="M85" s="216"/>
      <c r="N85" s="216"/>
      <c r="O85" s="216"/>
      <c r="P85" s="216"/>
      <c r="Q85" s="216"/>
      <c r="R85" s="216"/>
      <c r="S85" s="216"/>
      <c r="T85" s="216"/>
      <c r="U85" s="216"/>
      <c r="V85" s="216"/>
      <c r="W85" s="216"/>
      <c r="X85" s="216"/>
      <c r="Y85" s="216"/>
      <c r="Z85" s="216"/>
      <c r="AA85" s="216"/>
      <c r="AB85" s="215"/>
      <c r="AC85" s="215"/>
      <c r="AD85" s="215"/>
      <c r="AE85" s="215"/>
      <c r="AG85" s="216"/>
      <c r="AH85" s="217"/>
      <c r="AI85" s="218"/>
      <c r="AJ85" s="218"/>
      <c r="AK85" s="215"/>
      <c r="AL85" s="215"/>
      <c r="AM85" s="215"/>
      <c r="AN85" s="215"/>
      <c r="AO85" s="215"/>
    </row>
    <row r="86" spans="1:41" s="4" customFormat="1" ht="20" customHeight="1">
      <c r="A86" s="1330"/>
      <c r="B86" s="1306">
        <f>Skemaoplysninger!A60</f>
        <v>0</v>
      </c>
      <c r="C86" s="1307"/>
      <c r="D86" s="1307"/>
      <c r="E86" s="1307"/>
      <c r="F86" s="1307"/>
      <c r="G86" s="1307"/>
      <c r="H86" s="1308"/>
      <c r="I86" s="1309">
        <f>Skemaoplysninger!G60</f>
        <v>0</v>
      </c>
      <c r="J86" s="1308"/>
      <c r="K86" s="414">
        <f>Skemaoplysninger!I60</f>
        <v>0</v>
      </c>
      <c r="L86" s="231"/>
      <c r="M86" s="216"/>
      <c r="N86" s="216"/>
      <c r="O86" s="216"/>
      <c r="P86" s="216"/>
      <c r="Q86" s="216"/>
      <c r="R86" s="216"/>
      <c r="S86" s="216"/>
      <c r="T86" s="216"/>
      <c r="U86" s="216"/>
      <c r="V86" s="216"/>
      <c r="W86" s="216"/>
      <c r="X86" s="216"/>
      <c r="Y86" s="216"/>
      <c r="Z86" s="216"/>
      <c r="AA86" s="216"/>
      <c r="AB86" s="215"/>
      <c r="AC86" s="215"/>
      <c r="AD86" s="215"/>
      <c r="AE86" s="215"/>
      <c r="AG86" s="216"/>
      <c r="AH86" s="217"/>
      <c r="AI86" s="218"/>
      <c r="AJ86" s="218"/>
      <c r="AK86" s="215"/>
      <c r="AL86" s="215"/>
      <c r="AM86" s="215"/>
      <c r="AN86" s="215"/>
      <c r="AO86" s="215"/>
    </row>
    <row r="87" spans="1:41" s="4" customFormat="1" ht="20" customHeight="1">
      <c r="A87" s="1330"/>
      <c r="B87" s="1306">
        <f>Skemaoplysninger!A61</f>
        <v>0</v>
      </c>
      <c r="C87" s="1307"/>
      <c r="D87" s="1307"/>
      <c r="E87" s="1307"/>
      <c r="F87" s="1307"/>
      <c r="G87" s="1307"/>
      <c r="H87" s="1308"/>
      <c r="I87" s="1309">
        <f>Skemaoplysninger!G61</f>
        <v>0</v>
      </c>
      <c r="J87" s="1308"/>
      <c r="K87" s="414">
        <f>Skemaoplysninger!I61</f>
        <v>0</v>
      </c>
      <c r="L87" s="231"/>
      <c r="M87" s="216"/>
      <c r="N87" s="216"/>
      <c r="O87" s="216"/>
      <c r="P87" s="216"/>
      <c r="Q87" s="216"/>
      <c r="R87" s="216"/>
      <c r="S87" s="216"/>
      <c r="T87" s="216"/>
      <c r="U87" s="216"/>
      <c r="V87" s="216"/>
      <c r="W87" s="216"/>
      <c r="X87" s="216"/>
      <c r="Y87" s="216"/>
      <c r="Z87" s="216"/>
      <c r="AA87" s="216"/>
      <c r="AB87" s="215"/>
      <c r="AC87" s="215"/>
      <c r="AD87" s="215"/>
      <c r="AE87" s="215"/>
      <c r="AG87" s="216"/>
      <c r="AH87" s="217"/>
      <c r="AI87" s="218"/>
      <c r="AJ87" s="218"/>
      <c r="AK87" s="215"/>
      <c r="AL87" s="215"/>
      <c r="AM87" s="215"/>
      <c r="AN87" s="215"/>
      <c r="AO87" s="215"/>
    </row>
    <row r="88" spans="1:41" s="4" customFormat="1" ht="20" customHeight="1">
      <c r="A88" s="1330"/>
      <c r="B88" s="1306">
        <f>Skemaoplysninger!A62</f>
        <v>0</v>
      </c>
      <c r="C88" s="1307"/>
      <c r="D88" s="1307"/>
      <c r="E88" s="1307"/>
      <c r="F88" s="1307"/>
      <c r="G88" s="1307"/>
      <c r="H88" s="1308"/>
      <c r="I88" s="1309">
        <f>Skemaoplysninger!G62</f>
        <v>0</v>
      </c>
      <c r="J88" s="1308"/>
      <c r="K88" s="414">
        <f>Skemaoplysninger!I62</f>
        <v>0</v>
      </c>
      <c r="L88" s="231"/>
      <c r="M88" s="216"/>
      <c r="N88" s="216"/>
      <c r="O88" s="216"/>
      <c r="P88" s="216"/>
      <c r="Q88" s="216"/>
      <c r="R88" s="216"/>
      <c r="S88" s="216"/>
      <c r="T88" s="216"/>
      <c r="U88" s="216"/>
      <c r="V88" s="216"/>
      <c r="W88" s="216"/>
      <c r="X88" s="216"/>
      <c r="Y88" s="216"/>
      <c r="Z88" s="216"/>
      <c r="AA88" s="216"/>
      <c r="AB88" s="215"/>
      <c r="AC88" s="215"/>
      <c r="AD88" s="215"/>
      <c r="AE88" s="215"/>
      <c r="AG88" s="216"/>
      <c r="AH88" s="217"/>
      <c r="AI88" s="218"/>
      <c r="AJ88" s="218"/>
      <c r="AK88" s="215"/>
      <c r="AL88" s="215"/>
      <c r="AM88" s="215"/>
      <c r="AN88" s="215"/>
      <c r="AO88" s="215"/>
    </row>
    <row r="89" spans="1:41" s="4" customFormat="1" ht="20" customHeight="1">
      <c r="A89" s="1330"/>
      <c r="B89" s="1306">
        <f>Skemaoplysninger!A63</f>
        <v>0</v>
      </c>
      <c r="C89" s="1307"/>
      <c r="D89" s="1307"/>
      <c r="E89" s="1307"/>
      <c r="F89" s="1307"/>
      <c r="G89" s="1307"/>
      <c r="H89" s="1308"/>
      <c r="I89" s="1309">
        <f>Skemaoplysninger!G63</f>
        <v>0</v>
      </c>
      <c r="J89" s="1308"/>
      <c r="K89" s="414">
        <f>Skemaoplysninger!I63</f>
        <v>0</v>
      </c>
      <c r="L89" s="231"/>
      <c r="M89" s="216"/>
      <c r="N89" s="216"/>
      <c r="O89" s="216"/>
      <c r="P89" s="216"/>
      <c r="Q89" s="216"/>
      <c r="R89" s="216"/>
      <c r="S89" s="216"/>
      <c r="T89" s="216"/>
      <c r="U89" s="216"/>
      <c r="V89" s="216"/>
      <c r="W89" s="216"/>
      <c r="X89" s="216"/>
      <c r="Y89" s="216"/>
      <c r="Z89" s="216"/>
      <c r="AA89" s="216"/>
      <c r="AB89" s="215"/>
      <c r="AC89" s="215"/>
      <c r="AD89" s="215"/>
      <c r="AE89" s="215"/>
      <c r="AG89" s="216"/>
      <c r="AH89" s="217"/>
      <c r="AI89" s="218"/>
      <c r="AJ89" s="218"/>
      <c r="AK89" s="215"/>
      <c r="AL89" s="215"/>
      <c r="AM89" s="215"/>
      <c r="AN89" s="215"/>
      <c r="AO89" s="215"/>
    </row>
    <row r="90" spans="1:41" s="4" customFormat="1" ht="20" customHeight="1">
      <c r="A90" s="1330"/>
      <c r="B90" s="1306">
        <f>Skemaoplysninger!A64</f>
        <v>0</v>
      </c>
      <c r="C90" s="1307"/>
      <c r="D90" s="1307"/>
      <c r="E90" s="1307"/>
      <c r="F90" s="1307"/>
      <c r="G90" s="1307"/>
      <c r="H90" s="1308"/>
      <c r="I90" s="1309">
        <f>Skemaoplysninger!G64</f>
        <v>0</v>
      </c>
      <c r="J90" s="1308"/>
      <c r="K90" s="414">
        <f>Skemaoplysninger!I64</f>
        <v>0</v>
      </c>
      <c r="L90" s="231"/>
      <c r="M90" s="216"/>
      <c r="N90" s="216"/>
      <c r="O90" s="216"/>
      <c r="P90" s="216"/>
      <c r="Q90" s="216"/>
      <c r="R90" s="216"/>
      <c r="S90" s="216"/>
      <c r="T90" s="216"/>
      <c r="U90" s="216"/>
      <c r="V90" s="216"/>
      <c r="W90" s="216"/>
      <c r="X90" s="216"/>
      <c r="Y90" s="216"/>
      <c r="Z90" s="216"/>
      <c r="AA90" s="216"/>
      <c r="AB90" s="215"/>
      <c r="AC90" s="215"/>
      <c r="AD90" s="215"/>
      <c r="AE90" s="215"/>
      <c r="AG90" s="216"/>
      <c r="AH90" s="217"/>
      <c r="AI90" s="218"/>
      <c r="AJ90" s="218"/>
      <c r="AK90" s="215"/>
      <c r="AL90" s="215"/>
      <c r="AM90" s="215"/>
      <c r="AN90" s="215"/>
      <c r="AO90" s="215"/>
    </row>
    <row r="91" spans="1:41" s="4" customFormat="1" ht="20" customHeight="1">
      <c r="A91" s="1330"/>
      <c r="B91" s="1306">
        <f>Skemaoplysninger!A65</f>
        <v>0</v>
      </c>
      <c r="C91" s="1307"/>
      <c r="D91" s="1307"/>
      <c r="E91" s="1307"/>
      <c r="F91" s="1307"/>
      <c r="G91" s="1307"/>
      <c r="H91" s="1308"/>
      <c r="I91" s="1309">
        <f>Skemaoplysninger!G65</f>
        <v>0</v>
      </c>
      <c r="J91" s="1308"/>
      <c r="K91" s="414">
        <f>Skemaoplysninger!I65</f>
        <v>0</v>
      </c>
      <c r="L91" s="231"/>
      <c r="M91" s="216"/>
      <c r="N91" s="216"/>
      <c r="O91" s="216"/>
      <c r="P91" s="216"/>
      <c r="Q91" s="216"/>
      <c r="R91" s="216"/>
      <c r="S91" s="216"/>
      <c r="T91" s="216"/>
      <c r="U91" s="216"/>
      <c r="V91" s="216"/>
      <c r="W91" s="216"/>
      <c r="X91" s="216"/>
      <c r="Y91" s="216"/>
      <c r="Z91" s="216"/>
      <c r="AA91" s="216"/>
      <c r="AB91" s="215"/>
      <c r="AC91" s="215"/>
      <c r="AD91" s="215"/>
      <c r="AE91" s="215"/>
      <c r="AG91" s="216"/>
      <c r="AH91" s="217"/>
      <c r="AI91" s="218"/>
      <c r="AJ91" s="218"/>
      <c r="AK91" s="215"/>
      <c r="AL91" s="215"/>
      <c r="AM91" s="215"/>
      <c r="AN91" s="215"/>
      <c r="AO91" s="215"/>
    </row>
    <row r="92" spans="1:41" s="4" customFormat="1" ht="20" customHeight="1">
      <c r="A92" s="1330"/>
      <c r="B92" s="1306">
        <f>Skemaoplysninger!A66</f>
        <v>0</v>
      </c>
      <c r="C92" s="1307"/>
      <c r="D92" s="1307"/>
      <c r="E92" s="1307"/>
      <c r="F92" s="1307"/>
      <c r="G92" s="1307"/>
      <c r="H92" s="1308"/>
      <c r="I92" s="1309">
        <f>Skemaoplysninger!G66</f>
        <v>0</v>
      </c>
      <c r="J92" s="1308"/>
      <c r="K92" s="414">
        <f>Skemaoplysninger!I66</f>
        <v>0</v>
      </c>
      <c r="L92" s="231"/>
      <c r="M92" s="216"/>
      <c r="N92" s="216"/>
      <c r="O92" s="216"/>
      <c r="P92" s="216"/>
      <c r="Q92" s="216"/>
      <c r="R92" s="216"/>
      <c r="S92" s="216"/>
      <c r="T92" s="216"/>
      <c r="U92" s="216"/>
      <c r="V92" s="216"/>
      <c r="W92" s="216"/>
      <c r="X92" s="216"/>
      <c r="Y92" s="216"/>
      <c r="Z92" s="216"/>
      <c r="AA92" s="216"/>
      <c r="AB92" s="215"/>
      <c r="AC92" s="215"/>
      <c r="AD92" s="215"/>
      <c r="AE92" s="215"/>
      <c r="AG92" s="216"/>
      <c r="AH92" s="217"/>
      <c r="AI92" s="218"/>
      <c r="AJ92" s="218"/>
      <c r="AK92" s="215"/>
      <c r="AL92" s="215"/>
      <c r="AM92" s="215"/>
      <c r="AN92" s="215"/>
      <c r="AO92" s="215"/>
    </row>
    <row r="93" spans="1:41" s="4" customFormat="1" ht="20" customHeight="1">
      <c r="A93" s="1330"/>
      <c r="B93" s="1306">
        <f>Skemaoplysninger!A67</f>
        <v>0</v>
      </c>
      <c r="C93" s="1307"/>
      <c r="D93" s="1307"/>
      <c r="E93" s="1307"/>
      <c r="F93" s="1307"/>
      <c r="G93" s="1307"/>
      <c r="H93" s="1308"/>
      <c r="I93" s="1309">
        <f>Skemaoplysninger!G67</f>
        <v>0</v>
      </c>
      <c r="J93" s="1308"/>
      <c r="K93" s="414">
        <f>Skemaoplysninger!I67</f>
        <v>0</v>
      </c>
      <c r="L93" s="231"/>
      <c r="M93" s="216"/>
      <c r="N93" s="216"/>
      <c r="O93" s="216"/>
      <c r="P93" s="216"/>
      <c r="Q93" s="216"/>
      <c r="R93" s="216"/>
      <c r="S93" s="216"/>
      <c r="T93" s="216"/>
      <c r="U93" s="216"/>
      <c r="V93" s="216"/>
      <c r="W93" s="216"/>
      <c r="X93" s="216"/>
      <c r="Y93" s="216"/>
      <c r="Z93" s="216"/>
      <c r="AA93" s="216"/>
      <c r="AB93" s="215"/>
      <c r="AC93" s="215"/>
      <c r="AD93" s="215"/>
      <c r="AE93" s="215"/>
      <c r="AG93" s="216"/>
      <c r="AH93" s="217"/>
      <c r="AI93" s="218"/>
      <c r="AJ93" s="218"/>
      <c r="AK93" s="215"/>
      <c r="AL93" s="215"/>
      <c r="AM93" s="215"/>
      <c r="AN93" s="215"/>
      <c r="AO93" s="215"/>
    </row>
    <row r="94" spans="1:41" s="4" customFormat="1" ht="20" customHeight="1">
      <c r="A94" s="1330"/>
      <c r="B94" s="1306">
        <f>Skemaoplysninger!A68</f>
        <v>0</v>
      </c>
      <c r="C94" s="1307"/>
      <c r="D94" s="1307"/>
      <c r="E94" s="1307"/>
      <c r="F94" s="1307"/>
      <c r="G94" s="1307"/>
      <c r="H94" s="1308"/>
      <c r="I94" s="1309">
        <f>Skemaoplysninger!G68</f>
        <v>0</v>
      </c>
      <c r="J94" s="1308"/>
      <c r="K94" s="414">
        <f>Skemaoplysninger!I68</f>
        <v>0</v>
      </c>
      <c r="L94" s="231"/>
      <c r="M94" s="216"/>
      <c r="N94" s="216"/>
      <c r="O94" s="216"/>
      <c r="P94" s="216"/>
      <c r="Q94" s="216"/>
      <c r="R94" s="216"/>
      <c r="S94" s="216"/>
      <c r="T94" s="216"/>
      <c r="U94" s="216"/>
      <c r="V94" s="216"/>
      <c r="W94" s="216"/>
      <c r="X94" s="216"/>
      <c r="Y94" s="216"/>
      <c r="Z94" s="216"/>
      <c r="AA94" s="216"/>
      <c r="AB94" s="215"/>
      <c r="AC94" s="215"/>
      <c r="AD94" s="215"/>
      <c r="AE94" s="215"/>
      <c r="AG94" s="216"/>
      <c r="AH94" s="217"/>
      <c r="AI94" s="218"/>
      <c r="AJ94" s="218"/>
      <c r="AK94" s="215"/>
      <c r="AL94" s="215"/>
      <c r="AM94" s="215"/>
      <c r="AN94" s="215"/>
      <c r="AO94" s="215"/>
    </row>
    <row r="95" spans="1:41" s="4" customFormat="1" ht="20" customHeight="1">
      <c r="A95" s="1330"/>
      <c r="B95" s="1306">
        <f>Skemaoplysninger!A69</f>
        <v>0</v>
      </c>
      <c r="C95" s="1307"/>
      <c r="D95" s="1307"/>
      <c r="E95" s="1307"/>
      <c r="F95" s="1307"/>
      <c r="G95" s="1307"/>
      <c r="H95" s="1308"/>
      <c r="I95" s="1309">
        <f>Skemaoplysninger!G69</f>
        <v>0</v>
      </c>
      <c r="J95" s="1308"/>
      <c r="K95" s="414">
        <f>Skemaoplysninger!I69</f>
        <v>0</v>
      </c>
      <c r="L95" s="231"/>
      <c r="M95" s="216"/>
      <c r="N95" s="216"/>
      <c r="O95" s="216"/>
      <c r="P95" s="216"/>
      <c r="Q95" s="216"/>
      <c r="R95" s="216"/>
      <c r="S95" s="216"/>
      <c r="T95" s="216"/>
      <c r="U95" s="216"/>
      <c r="V95" s="216"/>
      <c r="W95" s="216"/>
      <c r="X95" s="216"/>
      <c r="Y95" s="216"/>
      <c r="Z95" s="216"/>
      <c r="AA95" s="216"/>
      <c r="AB95" s="215"/>
      <c r="AC95" s="215"/>
      <c r="AD95" s="215"/>
      <c r="AE95" s="215"/>
      <c r="AG95" s="216"/>
      <c r="AH95" s="217"/>
      <c r="AI95" s="218"/>
      <c r="AJ95" s="218"/>
      <c r="AK95" s="215"/>
      <c r="AL95" s="215"/>
      <c r="AM95" s="215"/>
      <c r="AN95" s="215"/>
      <c r="AO95" s="215"/>
    </row>
    <row r="96" spans="1:41" s="4" customFormat="1" ht="20" customHeight="1">
      <c r="A96" s="1330"/>
      <c r="B96" s="1306">
        <f>Skemaoplysninger!A70</f>
        <v>0</v>
      </c>
      <c r="C96" s="1307"/>
      <c r="D96" s="1307"/>
      <c r="E96" s="1307"/>
      <c r="F96" s="1307"/>
      <c r="G96" s="1307"/>
      <c r="H96" s="1308"/>
      <c r="I96" s="1309">
        <f>Skemaoplysninger!G70</f>
        <v>0</v>
      </c>
      <c r="J96" s="1308"/>
      <c r="K96" s="414">
        <f>Skemaoplysninger!I70</f>
        <v>0</v>
      </c>
      <c r="L96" s="231"/>
      <c r="M96" s="216"/>
      <c r="N96" s="216"/>
      <c r="O96" s="216"/>
      <c r="P96" s="216"/>
      <c r="Q96" s="216"/>
      <c r="R96" s="216"/>
      <c r="S96" s="216"/>
      <c r="T96" s="216"/>
      <c r="U96" s="216"/>
      <c r="V96" s="216"/>
      <c r="W96" s="216"/>
      <c r="X96" s="216"/>
      <c r="Y96" s="216"/>
      <c r="Z96" s="216"/>
      <c r="AA96" s="216"/>
      <c r="AB96" s="215"/>
      <c r="AC96" s="215"/>
      <c r="AD96" s="215"/>
      <c r="AE96" s="215"/>
      <c r="AG96" s="216"/>
      <c r="AH96" s="217"/>
      <c r="AI96" s="218"/>
      <c r="AJ96" s="218"/>
      <c r="AK96" s="215"/>
      <c r="AL96" s="215"/>
      <c r="AM96" s="215"/>
      <c r="AN96" s="215"/>
      <c r="AO96" s="215"/>
    </row>
    <row r="97" spans="1:41" s="4" customFormat="1" ht="20" customHeight="1">
      <c r="A97" s="1330"/>
      <c r="B97" s="1306">
        <f>Skemaoplysninger!A71</f>
        <v>0</v>
      </c>
      <c r="C97" s="1307"/>
      <c r="D97" s="1307"/>
      <c r="E97" s="1307"/>
      <c r="F97" s="1307"/>
      <c r="G97" s="1307"/>
      <c r="H97" s="1308"/>
      <c r="I97" s="1309">
        <f>Skemaoplysninger!G71</f>
        <v>0</v>
      </c>
      <c r="J97" s="1308"/>
      <c r="K97" s="414">
        <f>Skemaoplysninger!I71</f>
        <v>0</v>
      </c>
      <c r="L97" s="231"/>
      <c r="M97" s="216"/>
      <c r="N97" s="216"/>
      <c r="O97" s="216"/>
      <c r="P97" s="216"/>
      <c r="Q97" s="216"/>
      <c r="R97" s="216"/>
      <c r="S97" s="216"/>
      <c r="T97" s="216"/>
      <c r="U97" s="216"/>
      <c r="V97" s="216"/>
      <c r="W97" s="216"/>
      <c r="X97" s="216"/>
      <c r="Y97" s="216"/>
      <c r="Z97" s="216"/>
      <c r="AA97" s="216"/>
      <c r="AB97" s="215"/>
      <c r="AC97" s="215"/>
      <c r="AD97" s="215"/>
      <c r="AE97" s="215"/>
      <c r="AG97" s="216"/>
      <c r="AH97" s="217"/>
      <c r="AI97" s="218"/>
      <c r="AJ97" s="218"/>
      <c r="AK97" s="215"/>
      <c r="AL97" s="215"/>
      <c r="AM97" s="215"/>
      <c r="AN97" s="215"/>
      <c r="AO97" s="215"/>
    </row>
    <row r="98" spans="1:41" s="4" customFormat="1" ht="20" customHeight="1">
      <c r="A98" s="1330"/>
      <c r="B98" s="1306">
        <f>Skemaoplysninger!A72</f>
        <v>0</v>
      </c>
      <c r="C98" s="1307"/>
      <c r="D98" s="1307"/>
      <c r="E98" s="1307"/>
      <c r="F98" s="1307"/>
      <c r="G98" s="1307"/>
      <c r="H98" s="1308"/>
      <c r="I98" s="1309">
        <f>Skemaoplysninger!G72</f>
        <v>0</v>
      </c>
      <c r="J98" s="1308"/>
      <c r="K98" s="414">
        <f>Skemaoplysninger!I72</f>
        <v>0</v>
      </c>
      <c r="L98" s="231"/>
      <c r="M98" s="216"/>
      <c r="N98" s="216"/>
      <c r="O98" s="216"/>
      <c r="P98" s="216"/>
      <c r="Q98" s="216"/>
      <c r="R98" s="216"/>
      <c r="S98" s="216"/>
      <c r="T98" s="216"/>
      <c r="U98" s="216"/>
      <c r="V98" s="216"/>
      <c r="W98" s="216"/>
      <c r="X98" s="216"/>
      <c r="Y98" s="216"/>
      <c r="Z98" s="216"/>
      <c r="AA98" s="216"/>
      <c r="AB98" s="215"/>
      <c r="AC98" s="215"/>
      <c r="AD98" s="215"/>
      <c r="AE98" s="215"/>
      <c r="AG98" s="216"/>
      <c r="AH98" s="217"/>
      <c r="AI98" s="218"/>
      <c r="AJ98" s="218"/>
      <c r="AK98" s="215"/>
      <c r="AL98" s="215"/>
      <c r="AM98" s="215"/>
      <c r="AN98" s="215"/>
      <c r="AO98" s="215"/>
    </row>
    <row r="99" spans="1:41" s="4" customFormat="1" ht="20" customHeight="1">
      <c r="A99" s="1330"/>
      <c r="B99" s="1306">
        <f>Skemaoplysninger!A73</f>
        <v>0</v>
      </c>
      <c r="C99" s="1307"/>
      <c r="D99" s="1307"/>
      <c r="E99" s="1307"/>
      <c r="F99" s="1307"/>
      <c r="G99" s="1307"/>
      <c r="H99" s="1308"/>
      <c r="I99" s="1309">
        <f>Skemaoplysninger!G73</f>
        <v>0</v>
      </c>
      <c r="J99" s="1308"/>
      <c r="K99" s="414">
        <f>Skemaoplysninger!I73</f>
        <v>0</v>
      </c>
      <c r="L99" s="231"/>
      <c r="M99" s="216"/>
      <c r="N99" s="216"/>
      <c r="O99" s="216"/>
      <c r="P99" s="216"/>
      <c r="Q99" s="216"/>
      <c r="R99" s="216"/>
      <c r="S99" s="216"/>
      <c r="T99" s="216"/>
      <c r="U99" s="216"/>
      <c r="V99" s="216"/>
      <c r="W99" s="216"/>
      <c r="X99" s="216"/>
      <c r="Y99" s="216"/>
      <c r="Z99" s="216"/>
      <c r="AA99" s="216"/>
      <c r="AB99" s="215"/>
      <c r="AC99" s="215"/>
      <c r="AD99" s="215"/>
      <c r="AE99" s="215"/>
      <c r="AG99" s="216"/>
      <c r="AH99" s="217"/>
      <c r="AI99" s="218"/>
      <c r="AJ99" s="218"/>
      <c r="AK99" s="215"/>
      <c r="AL99" s="215"/>
      <c r="AM99" s="215"/>
      <c r="AN99" s="215"/>
      <c r="AO99" s="215"/>
    </row>
    <row r="100" spans="1:41" s="4" customFormat="1" ht="20" customHeight="1">
      <c r="A100" s="1330"/>
      <c r="B100" s="1306">
        <f>Skemaoplysninger!A74</f>
        <v>0</v>
      </c>
      <c r="C100" s="1307"/>
      <c r="D100" s="1307"/>
      <c r="E100" s="1307"/>
      <c r="F100" s="1307"/>
      <c r="G100" s="1307"/>
      <c r="H100" s="1308"/>
      <c r="I100" s="1309">
        <f>Skemaoplysninger!G74</f>
        <v>0</v>
      </c>
      <c r="J100" s="1308"/>
      <c r="K100" s="414">
        <f>Skemaoplysninger!I74</f>
        <v>0</v>
      </c>
      <c r="L100" s="231"/>
      <c r="M100" s="216"/>
      <c r="N100" s="216"/>
      <c r="O100" s="216"/>
      <c r="P100" s="216"/>
      <c r="Q100" s="216"/>
      <c r="R100" s="216"/>
      <c r="S100" s="216"/>
      <c r="T100" s="216"/>
      <c r="U100" s="216"/>
      <c r="V100" s="216"/>
      <c r="W100" s="216"/>
      <c r="X100" s="216"/>
      <c r="Y100" s="216"/>
      <c r="Z100" s="216"/>
      <c r="AA100" s="216"/>
      <c r="AB100" s="215"/>
      <c r="AC100" s="215"/>
      <c r="AD100" s="215"/>
      <c r="AE100" s="215"/>
      <c r="AG100" s="216"/>
      <c r="AH100" s="217"/>
      <c r="AI100" s="218"/>
      <c r="AJ100" s="218"/>
      <c r="AK100" s="215"/>
      <c r="AL100" s="215"/>
      <c r="AM100" s="215"/>
      <c r="AN100" s="215"/>
      <c r="AO100" s="215"/>
    </row>
    <row r="101" spans="1:41" s="4" customFormat="1" ht="20" customHeight="1">
      <c r="A101" s="1330"/>
      <c r="B101" s="1306">
        <f>Skemaoplysninger!A75</f>
        <v>0</v>
      </c>
      <c r="C101" s="1307"/>
      <c r="D101" s="1307"/>
      <c r="E101" s="1307"/>
      <c r="F101" s="1307"/>
      <c r="G101" s="1307"/>
      <c r="H101" s="1308"/>
      <c r="I101" s="1309">
        <f>Skemaoplysninger!G75</f>
        <v>0</v>
      </c>
      <c r="J101" s="1308"/>
      <c r="K101" s="414">
        <f>Skemaoplysninger!I75</f>
        <v>0</v>
      </c>
      <c r="L101" s="231"/>
      <c r="M101" s="216"/>
      <c r="N101" s="216"/>
      <c r="O101" s="216"/>
      <c r="P101" s="216"/>
      <c r="Q101" s="216"/>
      <c r="R101" s="216"/>
      <c r="S101" s="216"/>
      <c r="T101" s="216"/>
      <c r="U101" s="216"/>
      <c r="V101" s="216"/>
      <c r="W101" s="216"/>
      <c r="X101" s="216"/>
      <c r="Y101" s="216"/>
      <c r="Z101" s="216"/>
      <c r="AA101" s="216"/>
      <c r="AB101" s="215"/>
      <c r="AC101" s="215"/>
      <c r="AD101" s="215"/>
      <c r="AE101" s="215"/>
      <c r="AG101" s="216"/>
      <c r="AH101" s="217"/>
      <c r="AI101" s="218"/>
      <c r="AJ101" s="218"/>
      <c r="AK101" s="215"/>
      <c r="AL101" s="215"/>
      <c r="AM101" s="215"/>
      <c r="AN101" s="215"/>
      <c r="AO101" s="215"/>
    </row>
    <row r="102" spans="1:41" s="4" customFormat="1" ht="20" customHeight="1">
      <c r="A102" s="1330"/>
      <c r="B102" s="1306">
        <f>Skemaoplysninger!A76</f>
        <v>0</v>
      </c>
      <c r="C102" s="1307"/>
      <c r="D102" s="1307"/>
      <c r="E102" s="1307"/>
      <c r="F102" s="1307"/>
      <c r="G102" s="1307"/>
      <c r="H102" s="1308"/>
      <c r="I102" s="1309">
        <f>Skemaoplysninger!G76</f>
        <v>0</v>
      </c>
      <c r="J102" s="1308"/>
      <c r="K102" s="414">
        <f>Skemaoplysninger!I76</f>
        <v>0</v>
      </c>
      <c r="L102" s="231"/>
      <c r="M102" s="216"/>
      <c r="N102" s="216"/>
      <c r="O102" s="216"/>
      <c r="P102" s="216"/>
      <c r="Q102" s="216"/>
      <c r="R102" s="216"/>
      <c r="S102" s="216"/>
      <c r="T102" s="216"/>
      <c r="U102" s="216"/>
      <c r="V102" s="216"/>
      <c r="W102" s="216"/>
      <c r="X102" s="216"/>
      <c r="Y102" s="216"/>
      <c r="Z102" s="216"/>
      <c r="AA102" s="216"/>
      <c r="AB102" s="215"/>
      <c r="AC102" s="215"/>
      <c r="AD102" s="215"/>
      <c r="AE102" s="215"/>
      <c r="AG102" s="216"/>
      <c r="AH102" s="217"/>
      <c r="AI102" s="218"/>
      <c r="AJ102" s="218"/>
      <c r="AK102" s="215"/>
      <c r="AL102" s="215"/>
      <c r="AM102" s="215"/>
      <c r="AN102" s="215"/>
      <c r="AO102" s="215"/>
    </row>
    <row r="103" spans="1:41" s="4" customFormat="1" ht="20" customHeight="1">
      <c r="A103" s="1330"/>
      <c r="B103" s="1306">
        <f>Skemaoplysninger!A77</f>
        <v>0</v>
      </c>
      <c r="C103" s="1307"/>
      <c r="D103" s="1307"/>
      <c r="E103" s="1307"/>
      <c r="F103" s="1307"/>
      <c r="G103" s="1307"/>
      <c r="H103" s="1308"/>
      <c r="I103" s="1309">
        <f>Skemaoplysninger!G77</f>
        <v>0</v>
      </c>
      <c r="J103" s="1308"/>
      <c r="K103" s="414">
        <f>Skemaoplysninger!I77</f>
        <v>0</v>
      </c>
      <c r="L103" s="231"/>
      <c r="M103" s="216"/>
      <c r="N103" s="216"/>
      <c r="O103" s="216"/>
      <c r="P103" s="216"/>
      <c r="Q103" s="216"/>
      <c r="R103" s="216"/>
      <c r="S103" s="216"/>
      <c r="T103" s="216"/>
      <c r="U103" s="216"/>
      <c r="V103" s="216"/>
      <c r="W103" s="216"/>
      <c r="X103" s="216"/>
      <c r="Y103" s="216"/>
      <c r="Z103" s="216"/>
      <c r="AA103" s="216"/>
      <c r="AB103" s="215"/>
      <c r="AC103" s="215"/>
      <c r="AD103" s="215"/>
      <c r="AE103" s="215"/>
      <c r="AG103" s="216"/>
      <c r="AH103" s="217"/>
      <c r="AI103" s="218"/>
      <c r="AJ103" s="218"/>
      <c r="AK103" s="215"/>
      <c r="AL103" s="215"/>
      <c r="AM103" s="215"/>
      <c r="AN103" s="215"/>
      <c r="AO103" s="215"/>
    </row>
    <row r="104" spans="1:41" s="4" customFormat="1" ht="20" customHeight="1">
      <c r="A104" s="1330"/>
      <c r="B104" s="1306">
        <f>Skemaoplysninger!A78</f>
        <v>0</v>
      </c>
      <c r="C104" s="1307"/>
      <c r="D104" s="1307"/>
      <c r="E104" s="1307"/>
      <c r="F104" s="1307"/>
      <c r="G104" s="1307"/>
      <c r="H104" s="1308"/>
      <c r="I104" s="1309">
        <f>Skemaoplysninger!G78</f>
        <v>0</v>
      </c>
      <c r="J104" s="1308"/>
      <c r="K104" s="414">
        <f>Skemaoplysninger!I78</f>
        <v>0</v>
      </c>
      <c r="L104" s="231"/>
      <c r="M104" s="216"/>
      <c r="N104" s="216"/>
      <c r="O104" s="216"/>
      <c r="P104" s="216"/>
      <c r="Q104" s="216"/>
      <c r="R104" s="216"/>
      <c r="S104" s="216"/>
      <c r="T104" s="216"/>
      <c r="U104" s="216"/>
      <c r="V104" s="216"/>
      <c r="W104" s="216"/>
      <c r="X104" s="216"/>
      <c r="Y104" s="216"/>
      <c r="Z104" s="216"/>
      <c r="AA104" s="216"/>
      <c r="AB104" s="215"/>
      <c r="AC104" s="215"/>
      <c r="AD104" s="215"/>
      <c r="AE104" s="215"/>
      <c r="AG104" s="216"/>
      <c r="AH104" s="217"/>
      <c r="AI104" s="218"/>
      <c r="AJ104" s="218"/>
      <c r="AK104" s="215"/>
      <c r="AL104" s="215"/>
      <c r="AM104" s="215"/>
      <c r="AN104" s="215"/>
      <c r="AO104" s="215"/>
    </row>
    <row r="105" spans="1:41" s="4" customFormat="1" ht="20" customHeight="1">
      <c r="A105" s="1330"/>
      <c r="B105" s="1306">
        <f>Skemaoplysninger!A79</f>
        <v>0</v>
      </c>
      <c r="C105" s="1307"/>
      <c r="D105" s="1307"/>
      <c r="E105" s="1307"/>
      <c r="F105" s="1307"/>
      <c r="G105" s="1307"/>
      <c r="H105" s="1308"/>
      <c r="I105" s="1309">
        <f>Skemaoplysninger!G79</f>
        <v>0</v>
      </c>
      <c r="J105" s="1308"/>
      <c r="K105" s="414">
        <f>Skemaoplysninger!I79</f>
        <v>0</v>
      </c>
      <c r="L105" s="231"/>
      <c r="M105" s="216"/>
      <c r="N105" s="216"/>
      <c r="O105" s="216"/>
      <c r="P105" s="216"/>
      <c r="Q105" s="216"/>
      <c r="R105" s="216"/>
      <c r="S105" s="216"/>
      <c r="T105" s="216"/>
      <c r="U105" s="216"/>
      <c r="V105" s="216"/>
      <c r="W105" s="216"/>
      <c r="X105" s="216"/>
      <c r="Y105" s="216"/>
      <c r="Z105" s="216"/>
      <c r="AA105" s="216"/>
      <c r="AB105" s="215"/>
      <c r="AC105" s="215"/>
      <c r="AD105" s="215"/>
      <c r="AE105" s="215"/>
      <c r="AG105" s="216"/>
      <c r="AH105" s="217"/>
      <c r="AI105" s="218"/>
      <c r="AJ105" s="218"/>
      <c r="AK105" s="215"/>
      <c r="AL105" s="215"/>
      <c r="AM105" s="215"/>
      <c r="AN105" s="215"/>
      <c r="AO105" s="215"/>
    </row>
    <row r="106" spans="1:41" s="4" customFormat="1" ht="20" customHeight="1">
      <c r="A106" s="1330"/>
      <c r="B106" s="1306">
        <f>Skemaoplysninger!A80</f>
        <v>0</v>
      </c>
      <c r="C106" s="1307"/>
      <c r="D106" s="1307"/>
      <c r="E106" s="1307"/>
      <c r="F106" s="1307"/>
      <c r="G106" s="1307"/>
      <c r="H106" s="1308"/>
      <c r="I106" s="1309">
        <f>Skemaoplysninger!G80</f>
        <v>0</v>
      </c>
      <c r="J106" s="1308"/>
      <c r="K106" s="414">
        <f>Skemaoplysninger!I80</f>
        <v>0</v>
      </c>
      <c r="L106" s="231"/>
      <c r="M106" s="216"/>
      <c r="N106" s="216"/>
      <c r="O106" s="216"/>
      <c r="P106" s="216"/>
      <c r="Q106" s="216"/>
      <c r="R106" s="216"/>
      <c r="S106" s="216"/>
      <c r="T106" s="216"/>
      <c r="U106" s="216"/>
      <c r="V106" s="216"/>
      <c r="W106" s="216"/>
      <c r="X106" s="216"/>
      <c r="Y106" s="216"/>
      <c r="Z106" s="216"/>
      <c r="AA106" s="216"/>
      <c r="AB106" s="215"/>
      <c r="AC106" s="215"/>
      <c r="AD106" s="215"/>
      <c r="AE106" s="215"/>
      <c r="AG106" s="216"/>
      <c r="AH106" s="217"/>
      <c r="AI106" s="218"/>
      <c r="AJ106" s="218"/>
      <c r="AK106" s="215"/>
      <c r="AL106" s="215"/>
      <c r="AM106" s="215"/>
      <c r="AN106" s="215"/>
      <c r="AO106" s="215"/>
    </row>
    <row r="107" spans="1:41" s="4" customFormat="1" ht="20" customHeight="1">
      <c r="A107" s="1330"/>
      <c r="B107" s="1306">
        <f>Skemaoplysninger!A81</f>
        <v>0</v>
      </c>
      <c r="C107" s="1307"/>
      <c r="D107" s="1307"/>
      <c r="E107" s="1307"/>
      <c r="F107" s="1307"/>
      <c r="G107" s="1307"/>
      <c r="H107" s="1308"/>
      <c r="I107" s="1309">
        <f>Skemaoplysninger!G81</f>
        <v>0</v>
      </c>
      <c r="J107" s="1308"/>
      <c r="K107" s="414">
        <f>Skemaoplysninger!I81</f>
        <v>0</v>
      </c>
      <c r="L107" s="231"/>
      <c r="M107" s="216"/>
      <c r="N107" s="216"/>
      <c r="O107" s="216"/>
      <c r="P107" s="216"/>
      <c r="Q107" s="216"/>
      <c r="R107" s="216"/>
      <c r="S107" s="216"/>
      <c r="T107" s="216"/>
      <c r="U107" s="216"/>
      <c r="V107" s="216"/>
      <c r="W107" s="216"/>
      <c r="X107" s="216"/>
      <c r="Y107" s="216"/>
      <c r="Z107" s="216"/>
      <c r="AA107" s="216"/>
      <c r="AB107" s="215"/>
      <c r="AC107" s="215"/>
      <c r="AD107" s="215"/>
      <c r="AE107" s="215"/>
      <c r="AG107" s="216"/>
      <c r="AH107" s="217"/>
      <c r="AI107" s="218"/>
      <c r="AJ107" s="218"/>
      <c r="AK107" s="215"/>
      <c r="AL107" s="215"/>
      <c r="AM107" s="215"/>
      <c r="AN107" s="215"/>
      <c r="AO107" s="215"/>
    </row>
    <row r="108" spans="1:41" s="4" customFormat="1" ht="20" customHeight="1">
      <c r="A108" s="1330"/>
      <c r="B108" s="1306">
        <f>Skemaoplysninger!A82</f>
        <v>0</v>
      </c>
      <c r="C108" s="1307"/>
      <c r="D108" s="1307"/>
      <c r="E108" s="1307"/>
      <c r="F108" s="1307"/>
      <c r="G108" s="1307"/>
      <c r="H108" s="1308"/>
      <c r="I108" s="1309">
        <f>Skemaoplysninger!G82</f>
        <v>0</v>
      </c>
      <c r="J108" s="1308"/>
      <c r="K108" s="414">
        <f>Skemaoplysninger!I82</f>
        <v>0</v>
      </c>
      <c r="L108" s="231"/>
      <c r="M108" s="216"/>
      <c r="N108" s="216"/>
      <c r="O108" s="216"/>
      <c r="P108" s="216"/>
      <c r="Q108" s="216"/>
      <c r="R108" s="216"/>
      <c r="S108" s="216"/>
      <c r="T108" s="216"/>
      <c r="U108" s="216"/>
      <c r="V108" s="216"/>
      <c r="W108" s="216"/>
      <c r="X108" s="216"/>
      <c r="Y108" s="216"/>
      <c r="Z108" s="216"/>
      <c r="AA108" s="216"/>
      <c r="AB108" s="215"/>
      <c r="AC108" s="215"/>
      <c r="AD108" s="215"/>
      <c r="AE108" s="215"/>
      <c r="AG108" s="216"/>
      <c r="AH108" s="217"/>
      <c r="AI108" s="218"/>
      <c r="AJ108" s="218"/>
      <c r="AK108" s="215"/>
      <c r="AL108" s="215"/>
      <c r="AM108" s="215"/>
      <c r="AN108" s="215"/>
      <c r="AO108" s="215"/>
    </row>
    <row r="109" spans="1:41" s="4" customFormat="1" ht="20" customHeight="1">
      <c r="A109" s="1330"/>
      <c r="B109" s="1306">
        <f>Skemaoplysninger!A83</f>
        <v>0</v>
      </c>
      <c r="C109" s="1307"/>
      <c r="D109" s="1307"/>
      <c r="E109" s="1307"/>
      <c r="F109" s="1307"/>
      <c r="G109" s="1307"/>
      <c r="H109" s="1308"/>
      <c r="I109" s="1309">
        <f>Skemaoplysninger!G83</f>
        <v>0</v>
      </c>
      <c r="J109" s="1308"/>
      <c r="K109" s="414">
        <f>Skemaoplysninger!I83</f>
        <v>0</v>
      </c>
      <c r="L109" s="231"/>
      <c r="M109" s="216"/>
      <c r="N109" s="216"/>
      <c r="O109" s="216"/>
      <c r="P109" s="216"/>
      <c r="Q109" s="216"/>
      <c r="R109" s="216"/>
      <c r="S109" s="216"/>
      <c r="T109" s="216"/>
      <c r="U109" s="216"/>
      <c r="V109" s="216"/>
      <c r="W109" s="216"/>
      <c r="X109" s="216"/>
      <c r="Y109" s="216"/>
      <c r="Z109" s="216"/>
      <c r="AA109" s="216"/>
      <c r="AB109" s="215"/>
      <c r="AC109" s="215"/>
      <c r="AD109" s="215"/>
      <c r="AE109" s="215"/>
      <c r="AG109" s="216"/>
      <c r="AH109" s="217"/>
      <c r="AI109" s="218"/>
      <c r="AJ109" s="218"/>
      <c r="AK109" s="215"/>
      <c r="AL109" s="215"/>
      <c r="AM109" s="215"/>
      <c r="AN109" s="215"/>
      <c r="AO109" s="215"/>
    </row>
    <row r="110" spans="1:41" s="4" customFormat="1" ht="20" customHeight="1">
      <c r="A110" s="1330"/>
      <c r="B110" s="1306">
        <f>Skemaoplysninger!A84</f>
        <v>0</v>
      </c>
      <c r="C110" s="1307"/>
      <c r="D110" s="1307"/>
      <c r="E110" s="1307"/>
      <c r="F110" s="1307"/>
      <c r="G110" s="1307"/>
      <c r="H110" s="1308"/>
      <c r="I110" s="1309">
        <f>Skemaoplysninger!G84</f>
        <v>0</v>
      </c>
      <c r="J110" s="1308"/>
      <c r="K110" s="414">
        <f>Skemaoplysninger!I84</f>
        <v>0</v>
      </c>
      <c r="L110" s="231"/>
      <c r="M110" s="216"/>
      <c r="N110" s="216"/>
      <c r="O110" s="216"/>
      <c r="P110" s="216"/>
      <c r="Q110" s="216"/>
      <c r="R110" s="216"/>
      <c r="S110" s="216"/>
      <c r="T110" s="216"/>
      <c r="U110" s="216"/>
      <c r="V110" s="216"/>
      <c r="W110" s="216"/>
      <c r="X110" s="216"/>
      <c r="Y110" s="216"/>
      <c r="Z110" s="216"/>
      <c r="AA110" s="216"/>
      <c r="AB110" s="215"/>
      <c r="AC110" s="215"/>
      <c r="AD110" s="215"/>
      <c r="AE110" s="215"/>
      <c r="AG110" s="216"/>
      <c r="AH110" s="217"/>
      <c r="AI110" s="218"/>
      <c r="AJ110" s="218"/>
      <c r="AK110" s="215"/>
      <c r="AL110" s="215"/>
      <c r="AM110" s="215"/>
      <c r="AN110" s="215"/>
      <c r="AO110" s="215"/>
    </row>
    <row r="111" spans="1:41" s="4" customFormat="1" ht="20" customHeight="1">
      <c r="A111" s="1330"/>
      <c r="B111" s="1306">
        <f>Skemaoplysninger!A85</f>
        <v>0</v>
      </c>
      <c r="C111" s="1307"/>
      <c r="D111" s="1307"/>
      <c r="E111" s="1307"/>
      <c r="F111" s="1307"/>
      <c r="G111" s="1307"/>
      <c r="H111" s="1308"/>
      <c r="I111" s="1309">
        <f>Skemaoplysninger!G85</f>
        <v>0</v>
      </c>
      <c r="J111" s="1308"/>
      <c r="K111" s="414">
        <f>Skemaoplysninger!I85</f>
        <v>0</v>
      </c>
      <c r="L111" s="231"/>
      <c r="M111" s="216"/>
      <c r="N111" s="216"/>
      <c r="O111" s="216"/>
      <c r="P111" s="216"/>
      <c r="Q111" s="216"/>
      <c r="R111" s="216"/>
      <c r="S111" s="216"/>
      <c r="T111" s="216"/>
      <c r="U111" s="216"/>
      <c r="V111" s="216"/>
      <c r="W111" s="216"/>
      <c r="X111" s="216"/>
      <c r="Y111" s="216"/>
      <c r="Z111" s="216"/>
      <c r="AA111" s="216"/>
      <c r="AB111" s="215"/>
      <c r="AC111" s="215"/>
      <c r="AD111" s="215"/>
      <c r="AE111" s="215"/>
      <c r="AG111" s="216"/>
      <c r="AH111" s="217"/>
      <c r="AI111" s="218"/>
      <c r="AJ111" s="218"/>
      <c r="AK111" s="215"/>
      <c r="AL111" s="215"/>
      <c r="AM111" s="215"/>
      <c r="AN111" s="215"/>
      <c r="AO111" s="215"/>
    </row>
    <row r="112" spans="1:41" s="4" customFormat="1" ht="20" customHeight="1">
      <c r="A112" s="1330"/>
      <c r="B112" s="1306">
        <f>Skemaoplysninger!A86</f>
        <v>0</v>
      </c>
      <c r="C112" s="1307"/>
      <c r="D112" s="1307"/>
      <c r="E112" s="1307"/>
      <c r="F112" s="1307"/>
      <c r="G112" s="1307"/>
      <c r="H112" s="1308"/>
      <c r="I112" s="1309">
        <f>Skemaoplysninger!G86</f>
        <v>0</v>
      </c>
      <c r="J112" s="1308"/>
      <c r="K112" s="414">
        <f>Skemaoplysninger!I86</f>
        <v>0</v>
      </c>
      <c r="L112" s="231"/>
      <c r="M112" s="216"/>
      <c r="N112" s="216"/>
      <c r="O112" s="216"/>
      <c r="P112" s="216"/>
      <c r="Q112" s="216"/>
      <c r="R112" s="216"/>
      <c r="S112" s="216"/>
      <c r="T112" s="216"/>
      <c r="U112" s="216"/>
      <c r="V112" s="216"/>
      <c r="W112" s="216"/>
      <c r="X112" s="216"/>
      <c r="Y112" s="216"/>
      <c r="Z112" s="216"/>
      <c r="AA112" s="216"/>
      <c r="AB112" s="215"/>
      <c r="AC112" s="215"/>
      <c r="AD112" s="215"/>
      <c r="AE112" s="215"/>
      <c r="AG112" s="216"/>
      <c r="AH112" s="217"/>
      <c r="AI112" s="218"/>
      <c r="AJ112" s="218"/>
      <c r="AK112" s="215"/>
      <c r="AL112" s="215"/>
      <c r="AM112" s="215"/>
      <c r="AN112" s="215"/>
      <c r="AO112" s="215"/>
    </row>
    <row r="113" spans="1:41" s="4" customFormat="1" ht="20" customHeight="1">
      <c r="A113" s="1330"/>
      <c r="B113" s="1306">
        <f>Skemaoplysninger!A87</f>
        <v>0</v>
      </c>
      <c r="C113" s="1307"/>
      <c r="D113" s="1307"/>
      <c r="E113" s="1307"/>
      <c r="F113" s="1307"/>
      <c r="G113" s="1307"/>
      <c r="H113" s="1308"/>
      <c r="I113" s="1309">
        <f>Skemaoplysninger!G87</f>
        <v>0</v>
      </c>
      <c r="J113" s="1308"/>
      <c r="K113" s="414">
        <f>Skemaoplysninger!I87</f>
        <v>0</v>
      </c>
      <c r="L113" s="231"/>
      <c r="M113" s="216"/>
      <c r="N113" s="216"/>
      <c r="O113" s="216"/>
      <c r="P113" s="216"/>
      <c r="Q113" s="216"/>
      <c r="R113" s="216"/>
      <c r="S113" s="216"/>
      <c r="T113" s="216"/>
      <c r="U113" s="216"/>
      <c r="V113" s="216"/>
      <c r="W113" s="216"/>
      <c r="X113" s="216"/>
      <c r="Y113" s="216"/>
      <c r="Z113" s="216"/>
      <c r="AA113" s="216"/>
      <c r="AB113" s="215"/>
      <c r="AC113" s="215"/>
      <c r="AD113" s="215"/>
      <c r="AE113" s="215"/>
      <c r="AG113" s="216"/>
      <c r="AH113" s="217"/>
      <c r="AI113" s="218"/>
      <c r="AJ113" s="218"/>
      <c r="AK113" s="215"/>
      <c r="AL113" s="215"/>
      <c r="AM113" s="215"/>
      <c r="AN113" s="215"/>
      <c r="AO113" s="215"/>
    </row>
    <row r="114" spans="1:41" s="4" customFormat="1" ht="20" customHeight="1">
      <c r="A114" s="1330"/>
      <c r="B114" s="1306">
        <f>Skemaoplysninger!A88</f>
        <v>0</v>
      </c>
      <c r="C114" s="1307"/>
      <c r="D114" s="1307"/>
      <c r="E114" s="1307"/>
      <c r="F114" s="1307"/>
      <c r="G114" s="1307"/>
      <c r="H114" s="1308"/>
      <c r="I114" s="1309">
        <f>Skemaoplysninger!G88</f>
        <v>0</v>
      </c>
      <c r="J114" s="1308"/>
      <c r="K114" s="414">
        <f>Skemaoplysninger!I88</f>
        <v>0</v>
      </c>
      <c r="L114" s="231"/>
      <c r="M114" s="216"/>
      <c r="N114" s="216"/>
      <c r="O114" s="216"/>
      <c r="P114" s="216"/>
      <c r="Q114" s="216"/>
      <c r="R114" s="216"/>
      <c r="S114" s="216"/>
      <c r="T114" s="216"/>
      <c r="U114" s="216"/>
      <c r="V114" s="216"/>
      <c r="W114" s="216"/>
      <c r="X114" s="216"/>
      <c r="Y114" s="216"/>
      <c r="Z114" s="216"/>
      <c r="AA114" s="216"/>
      <c r="AB114" s="215"/>
      <c r="AC114" s="215"/>
      <c r="AD114" s="215"/>
      <c r="AE114" s="215"/>
      <c r="AG114" s="216"/>
      <c r="AH114" s="217"/>
      <c r="AI114" s="218"/>
      <c r="AJ114" s="218"/>
      <c r="AK114" s="215"/>
      <c r="AL114" s="215"/>
      <c r="AM114" s="215"/>
      <c r="AN114" s="215"/>
      <c r="AO114" s="215"/>
    </row>
    <row r="115" spans="1:41" s="4" customFormat="1" ht="20" customHeight="1">
      <c r="A115" s="1330"/>
      <c r="B115" s="1306">
        <f>Skemaoplysninger!A89</f>
        <v>0</v>
      </c>
      <c r="C115" s="1307"/>
      <c r="D115" s="1307"/>
      <c r="E115" s="1307"/>
      <c r="F115" s="1307"/>
      <c r="G115" s="1307"/>
      <c r="H115" s="1308"/>
      <c r="I115" s="1309">
        <f>Skemaoplysninger!G89</f>
        <v>0</v>
      </c>
      <c r="J115" s="1308"/>
      <c r="K115" s="414">
        <f>Skemaoplysninger!I89</f>
        <v>0</v>
      </c>
      <c r="L115" s="231"/>
      <c r="M115" s="216"/>
      <c r="N115" s="216"/>
      <c r="O115" s="216"/>
      <c r="P115" s="216"/>
      <c r="Q115" s="216"/>
      <c r="R115" s="216"/>
      <c r="S115" s="216"/>
      <c r="T115" s="216"/>
      <c r="U115" s="216"/>
      <c r="V115" s="216"/>
      <c r="W115" s="216"/>
      <c r="X115" s="216"/>
      <c r="Y115" s="216"/>
      <c r="Z115" s="216"/>
      <c r="AA115" s="216"/>
      <c r="AB115" s="215"/>
      <c r="AC115" s="215"/>
      <c r="AD115" s="215"/>
      <c r="AE115" s="215"/>
      <c r="AG115" s="216"/>
      <c r="AH115" s="217"/>
      <c r="AI115" s="218"/>
      <c r="AJ115" s="218"/>
      <c r="AK115" s="215"/>
      <c r="AL115" s="215"/>
      <c r="AM115" s="215"/>
      <c r="AN115" s="215"/>
      <c r="AO115" s="215"/>
    </row>
    <row r="116" spans="1:41" s="4" customFormat="1" ht="20" customHeight="1" thickBot="1">
      <c r="A116" s="1330"/>
      <c r="B116" s="1306">
        <f>Skemaoplysninger!A90</f>
        <v>0</v>
      </c>
      <c r="C116" s="1307"/>
      <c r="D116" s="1307"/>
      <c r="E116" s="1307"/>
      <c r="F116" s="1307"/>
      <c r="G116" s="1307"/>
      <c r="H116" s="1308"/>
      <c r="I116" s="1309">
        <f>Skemaoplysninger!G90</f>
        <v>0</v>
      </c>
      <c r="J116" s="1308"/>
      <c r="K116" s="414">
        <f>Skemaoplysninger!I90</f>
        <v>0</v>
      </c>
      <c r="L116" s="231"/>
      <c r="M116" s="216"/>
      <c r="N116" s="216"/>
      <c r="O116" s="216"/>
      <c r="P116" s="216"/>
      <c r="Q116" s="216"/>
      <c r="R116" s="216"/>
      <c r="S116" s="216"/>
      <c r="T116" s="216"/>
      <c r="U116" s="216"/>
      <c r="V116" s="216"/>
      <c r="W116" s="216"/>
      <c r="X116" s="216"/>
      <c r="Y116" s="216"/>
      <c r="Z116" s="216"/>
      <c r="AA116" s="216"/>
      <c r="AB116" s="215"/>
      <c r="AC116" s="215"/>
      <c r="AD116" s="215"/>
      <c r="AE116" s="215"/>
      <c r="AG116" s="216"/>
      <c r="AH116" s="217"/>
      <c r="AI116" s="218"/>
      <c r="AJ116" s="218"/>
      <c r="AK116" s="215"/>
      <c r="AL116" s="215"/>
      <c r="AM116" s="215"/>
      <c r="AN116" s="215"/>
      <c r="AO116" s="215"/>
    </row>
    <row r="117" spans="1:41" s="4" customFormat="1" ht="30" customHeight="1" thickBot="1">
      <c r="A117" s="1331"/>
      <c r="B117" s="1326" t="s">
        <v>240</v>
      </c>
      <c r="C117" s="1327"/>
      <c r="D117" s="1327"/>
      <c r="E117" s="1327"/>
      <c r="F117" s="1327"/>
      <c r="G117" s="1327"/>
      <c r="H117" s="1327"/>
      <c r="I117" s="1327"/>
      <c r="J117" s="1328"/>
      <c r="K117" s="415">
        <f>SUM(K72:K116)</f>
        <v>42</v>
      </c>
      <c r="L117" s="231"/>
      <c r="M117" s="216"/>
      <c r="N117" s="216"/>
      <c r="O117" s="216"/>
      <c r="P117" s="216"/>
      <c r="Q117" s="216"/>
      <c r="R117" s="216"/>
      <c r="S117" s="216"/>
      <c r="T117" s="216"/>
      <c r="U117" s="216"/>
      <c r="V117" s="216"/>
      <c r="W117" s="216"/>
      <c r="X117" s="216"/>
      <c r="Y117" s="216"/>
      <c r="Z117" s="216"/>
      <c r="AA117" s="216"/>
      <c r="AB117" s="215"/>
      <c r="AC117" s="215"/>
      <c r="AD117" s="215"/>
      <c r="AE117" s="215"/>
      <c r="AG117" s="216"/>
      <c r="AH117" s="217"/>
      <c r="AI117" s="218"/>
      <c r="AJ117" s="218"/>
      <c r="AK117" s="215"/>
      <c r="AL117" s="215"/>
      <c r="AM117" s="215"/>
      <c r="AN117" s="215"/>
      <c r="AO117" s="215"/>
    </row>
    <row r="119" spans="1:41" ht="19">
      <c r="A119" s="730"/>
      <c r="B119" s="730"/>
      <c r="C119" s="371" t="s">
        <v>346</v>
      </c>
    </row>
    <row r="120" spans="1:41" ht="19">
      <c r="A120" s="730"/>
      <c r="B120" s="730"/>
      <c r="C120" s="358" t="s">
        <v>445</v>
      </c>
    </row>
    <row r="121" spans="1:41" ht="19">
      <c r="A121" s="730"/>
      <c r="B121" s="730"/>
      <c r="C121" s="358" t="s">
        <v>350</v>
      </c>
    </row>
    <row r="122" spans="1:41" ht="19">
      <c r="A122" s="730"/>
      <c r="B122" s="730"/>
      <c r="C122" s="358" t="s">
        <v>347</v>
      </c>
    </row>
    <row r="123" spans="1:41" ht="19">
      <c r="A123" s="730"/>
      <c r="B123" s="730"/>
      <c r="C123" s="358"/>
    </row>
    <row r="124" spans="1:41" ht="19">
      <c r="A124" s="730"/>
      <c r="B124" s="730"/>
      <c r="C124" s="371" t="s">
        <v>348</v>
      </c>
    </row>
    <row r="125" spans="1:41" ht="19">
      <c r="A125" s="730"/>
      <c r="B125" s="730"/>
      <c r="C125" s="358" t="s">
        <v>351</v>
      </c>
    </row>
    <row r="126" spans="1:41" ht="19">
      <c r="A126" s="730"/>
      <c r="B126" s="730"/>
      <c r="C126" s="358"/>
    </row>
    <row r="127" spans="1:41" ht="19">
      <c r="A127" s="730"/>
      <c r="B127" s="730"/>
      <c r="C127" s="371" t="s">
        <v>349</v>
      </c>
    </row>
  </sheetData>
  <sheetProtection sheet="1" objects="1" scenarios="1"/>
  <mergeCells count="169">
    <mergeCell ref="I97:J97"/>
    <mergeCell ref="B53:K53"/>
    <mergeCell ref="B94:H94"/>
    <mergeCell ref="B95:H95"/>
    <mergeCell ref="B96:H96"/>
    <mergeCell ref="B97:H97"/>
    <mergeCell ref="I77:J77"/>
    <mergeCell ref="I78:J78"/>
    <mergeCell ref="I79:J79"/>
    <mergeCell ref="I80:J80"/>
    <mergeCell ref="I81:J81"/>
    <mergeCell ref="I82:J82"/>
    <mergeCell ref="I83:J83"/>
    <mergeCell ref="I84:J84"/>
    <mergeCell ref="I85:J85"/>
    <mergeCell ref="I86:J86"/>
    <mergeCell ref="I87:J87"/>
    <mergeCell ref="I88:J88"/>
    <mergeCell ref="I89:J89"/>
    <mergeCell ref="I90:J90"/>
    <mergeCell ref="I91:J91"/>
    <mergeCell ref="I92:J92"/>
    <mergeCell ref="I93:J93"/>
    <mergeCell ref="I94:J94"/>
    <mergeCell ref="A119:B127"/>
    <mergeCell ref="B105:H105"/>
    <mergeCell ref="I105:J105"/>
    <mergeCell ref="B106:H106"/>
    <mergeCell ref="I106:J106"/>
    <mergeCell ref="B107:H107"/>
    <mergeCell ref="I107:J107"/>
    <mergeCell ref="B108:H108"/>
    <mergeCell ref="I108:J108"/>
    <mergeCell ref="B109:H109"/>
    <mergeCell ref="I109:J109"/>
    <mergeCell ref="B110:H110"/>
    <mergeCell ref="I110:J110"/>
    <mergeCell ref="B111:H111"/>
    <mergeCell ref="B117:J117"/>
    <mergeCell ref="A23:A117"/>
    <mergeCell ref="B104:H104"/>
    <mergeCell ref="I95:J95"/>
    <mergeCell ref="I96:J96"/>
    <mergeCell ref="B85:H85"/>
    <mergeCell ref="B86:H86"/>
    <mergeCell ref="B87:H87"/>
    <mergeCell ref="B88:H88"/>
    <mergeCell ref="B89:H89"/>
    <mergeCell ref="B70:J70"/>
    <mergeCell ref="B54:K54"/>
    <mergeCell ref="B52:H52"/>
    <mergeCell ref="I52:J52"/>
    <mergeCell ref="B48:I48"/>
    <mergeCell ref="B49:I49"/>
    <mergeCell ref="B50:I50"/>
    <mergeCell ref="K23:K24"/>
    <mergeCell ref="C2:K2"/>
    <mergeCell ref="A2:B3"/>
    <mergeCell ref="B67:K67"/>
    <mergeCell ref="B68:K68"/>
    <mergeCell ref="B69:K69"/>
    <mergeCell ref="B62:K62"/>
    <mergeCell ref="B63:K63"/>
    <mergeCell ref="B64:K64"/>
    <mergeCell ref="B65:K65"/>
    <mergeCell ref="B66:K66"/>
    <mergeCell ref="B59:K59"/>
    <mergeCell ref="B60:K60"/>
    <mergeCell ref="B61:K61"/>
    <mergeCell ref="B51:J51"/>
    <mergeCell ref="B55:K55"/>
    <mergeCell ref="B56:K56"/>
    <mergeCell ref="I111:J111"/>
    <mergeCell ref="B112:H112"/>
    <mergeCell ref="I112:J112"/>
    <mergeCell ref="B113:H113"/>
    <mergeCell ref="I113:J113"/>
    <mergeCell ref="B71:H71"/>
    <mergeCell ref="I71:J71"/>
    <mergeCell ref="B72:H72"/>
    <mergeCell ref="I72:J72"/>
    <mergeCell ref="B73:H73"/>
    <mergeCell ref="I73:J73"/>
    <mergeCell ref="B74:H74"/>
    <mergeCell ref="I74:J74"/>
    <mergeCell ref="B75:H75"/>
    <mergeCell ref="I75:J75"/>
    <mergeCell ref="B102:H102"/>
    <mergeCell ref="I102:J102"/>
    <mergeCell ref="B103:H103"/>
    <mergeCell ref="I103:J103"/>
    <mergeCell ref="I104:J104"/>
    <mergeCell ref="B90:H90"/>
    <mergeCell ref="B91:H91"/>
    <mergeCell ref="B92:H92"/>
    <mergeCell ref="B93:H93"/>
    <mergeCell ref="B116:H116"/>
    <mergeCell ref="I116:J116"/>
    <mergeCell ref="B76:H76"/>
    <mergeCell ref="I76:J76"/>
    <mergeCell ref="B98:H98"/>
    <mergeCell ref="I98:J98"/>
    <mergeCell ref="B99:H99"/>
    <mergeCell ref="I99:J99"/>
    <mergeCell ref="B100:H100"/>
    <mergeCell ref="I100:J100"/>
    <mergeCell ref="B101:H101"/>
    <mergeCell ref="I101:J101"/>
    <mergeCell ref="B114:H114"/>
    <mergeCell ref="I114:J114"/>
    <mergeCell ref="B115:H115"/>
    <mergeCell ref="I115:J115"/>
    <mergeCell ref="B77:H77"/>
    <mergeCell ref="B78:H78"/>
    <mergeCell ref="B79:H79"/>
    <mergeCell ref="B80:H80"/>
    <mergeCell ref="B81:H81"/>
    <mergeCell ref="B82:H82"/>
    <mergeCell ref="B83:H83"/>
    <mergeCell ref="B84:H84"/>
    <mergeCell ref="B57:K57"/>
    <mergeCell ref="B58:K58"/>
    <mergeCell ref="L23:L27"/>
    <mergeCell ref="B23:I23"/>
    <mergeCell ref="B24:I24"/>
    <mergeCell ref="B25:I25"/>
    <mergeCell ref="B27:I27"/>
    <mergeCell ref="B28:I28"/>
    <mergeCell ref="B29:I29"/>
    <mergeCell ref="K25:K27"/>
    <mergeCell ref="J23:J27"/>
    <mergeCell ref="B26:I26"/>
    <mergeCell ref="B30:I30"/>
    <mergeCell ref="B31:I31"/>
    <mergeCell ref="B32:I32"/>
    <mergeCell ref="B33:I33"/>
    <mergeCell ref="B34:I34"/>
    <mergeCell ref="B35:I35"/>
    <mergeCell ref="B36:I36"/>
    <mergeCell ref="B37:I37"/>
    <mergeCell ref="B38:I38"/>
    <mergeCell ref="B39:I39"/>
    <mergeCell ref="B40:I40"/>
    <mergeCell ref="B41:I41"/>
    <mergeCell ref="B42:I42"/>
    <mergeCell ref="B43:I43"/>
    <mergeCell ref="B44:I44"/>
    <mergeCell ref="B45:I45"/>
    <mergeCell ref="B46:I46"/>
    <mergeCell ref="B47:I47"/>
    <mergeCell ref="B17:I17"/>
    <mergeCell ref="B18:I18"/>
    <mergeCell ref="B19:I19"/>
    <mergeCell ref="B20:I20"/>
    <mergeCell ref="B21:I21"/>
    <mergeCell ref="A4:A21"/>
    <mergeCell ref="C1:K1"/>
    <mergeCell ref="B4:J4"/>
    <mergeCell ref="B5:J5"/>
    <mergeCell ref="B7:I7"/>
    <mergeCell ref="B8:I8"/>
    <mergeCell ref="B9:I9"/>
    <mergeCell ref="B10:I10"/>
    <mergeCell ref="B12:I12"/>
    <mergeCell ref="B13:I13"/>
    <mergeCell ref="B14:I14"/>
    <mergeCell ref="B15:I15"/>
    <mergeCell ref="B16:I16"/>
    <mergeCell ref="C3:K3"/>
  </mergeCells>
  <phoneticPr fontId="5" type="noConversion"/>
  <conditionalFormatting sqref="J28:J50">
    <cfRule type="expression" dxfId="381" priority="5" stopIfTrue="1">
      <formula>OR($B28&gt;0,)</formula>
    </cfRule>
  </conditionalFormatting>
  <conditionalFormatting sqref="K28:K50">
    <cfRule type="expression" dxfId="380" priority="1">
      <formula>OR($B28&gt;0,)</formula>
    </cfRule>
  </conditionalFormatting>
  <dataValidations count="1">
    <dataValidation type="list" allowBlank="1" showInputMessage="1" showErrorMessage="1" sqref="J28:J50" xr:uid="{9B0B7AB1-DE44-CF47-BD1F-E8E46542A039}">
      <formula1>$M$23:$M$24</formula1>
    </dataValidation>
  </dataValidations>
  <pageMargins left="0.7" right="0.7" top="0.75" bottom="0.75" header="0.3" footer="0.3"/>
  <pageSetup paperSize="9" scale="36" orientation="portrait"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249977111117893"/>
    <pageSetUpPr fitToPage="1"/>
  </sheetPr>
  <dimension ref="A1:K59"/>
  <sheetViews>
    <sheetView zoomScaleNormal="100" workbookViewId="0">
      <selection activeCell="B46" sqref="B46:D46"/>
    </sheetView>
  </sheetViews>
  <sheetFormatPr baseColWidth="10" defaultRowHeight="16"/>
  <cols>
    <col min="2" max="2" width="43.6640625" customWidth="1"/>
    <col min="3" max="4" width="16.83203125" customWidth="1"/>
    <col min="5" max="5" width="23.6640625" customWidth="1"/>
    <col min="6" max="8" width="16.83203125" customWidth="1"/>
    <col min="9" max="11" width="15" customWidth="1"/>
  </cols>
  <sheetData>
    <row r="1" spans="1:11" ht="19" customHeight="1">
      <c r="A1" s="1335" t="s">
        <v>373</v>
      </c>
      <c r="B1" s="1366" t="s">
        <v>509</v>
      </c>
      <c r="C1" s="1352"/>
      <c r="D1" s="1352"/>
      <c r="E1" s="1352"/>
      <c r="F1" s="1352"/>
      <c r="G1" s="1352"/>
      <c r="H1" s="1352"/>
      <c r="I1" s="1352"/>
      <c r="J1" s="1352"/>
      <c r="K1" s="1367"/>
    </row>
    <row r="2" spans="1:11" ht="20" customHeight="1" thickBot="1">
      <c r="A2" s="1336"/>
      <c r="B2" s="1368" t="str">
        <f>"Arbejdstidsopgørelse for "&amp;Stamoplysninger!E8&amp;" vedr. perioden: "&amp;Stamoplysninger!E11&amp;" - "&amp;Stamoplysninger!G11&amp;""</f>
        <v>Arbejdstidsopgørelse for Beate Simonsen vedr. perioden: 01.08.2024 - 31.07.2025</v>
      </c>
      <c r="C2" s="1344"/>
      <c r="D2" s="1344"/>
      <c r="E2" s="1344"/>
      <c r="F2" s="1344"/>
      <c r="G2" s="1344"/>
      <c r="H2" s="1344"/>
      <c r="I2" s="1344"/>
      <c r="J2" s="1344"/>
      <c r="K2" s="1345"/>
    </row>
    <row r="3" spans="1:11" ht="20" customHeight="1" thickBot="1">
      <c r="A3" s="1336"/>
      <c r="B3" s="495"/>
      <c r="C3" s="1343" t="s">
        <v>502</v>
      </c>
      <c r="D3" s="1343"/>
      <c r="E3" s="1343"/>
      <c r="F3" s="1344" t="s">
        <v>503</v>
      </c>
      <c r="G3" s="1344"/>
      <c r="H3" s="1345"/>
      <c r="I3" s="1344" t="s">
        <v>504</v>
      </c>
      <c r="J3" s="1344"/>
      <c r="K3" s="1345"/>
    </row>
    <row r="4" spans="1:11" ht="35" customHeight="1">
      <c r="A4" s="1336"/>
      <c r="B4" s="281"/>
      <c r="C4" s="282" t="s">
        <v>301</v>
      </c>
      <c r="D4" s="282" t="s">
        <v>214</v>
      </c>
      <c r="E4" s="282" t="s">
        <v>332</v>
      </c>
      <c r="F4" s="287" t="s">
        <v>315</v>
      </c>
      <c r="G4" s="288" t="s">
        <v>316</v>
      </c>
      <c r="H4" s="289" t="s">
        <v>333</v>
      </c>
      <c r="I4" s="287" t="s">
        <v>505</v>
      </c>
      <c r="J4" s="288" t="s">
        <v>506</v>
      </c>
      <c r="K4" s="289" t="s">
        <v>507</v>
      </c>
    </row>
    <row r="5" spans="1:11" ht="16" customHeight="1">
      <c r="A5" s="1336"/>
      <c r="B5" s="283" t="s">
        <v>234</v>
      </c>
      <c r="C5" s="250">
        <f>August!I47</f>
        <v>147.37624521072797</v>
      </c>
      <c r="D5" s="285">
        <f>August!I48+August!I50+August!I49</f>
        <v>135.75</v>
      </c>
      <c r="E5" s="285">
        <f>August!I52</f>
        <v>135.75</v>
      </c>
      <c r="F5" s="290">
        <f>August!V47</f>
        <v>0</v>
      </c>
      <c r="G5" s="251">
        <f>SUM(August!V50:X53)</f>
        <v>0</v>
      </c>
      <c r="H5" s="253">
        <f>F5-G5</f>
        <v>0</v>
      </c>
      <c r="I5" s="290">
        <f>August!I55</f>
        <v>0</v>
      </c>
      <c r="J5" s="250">
        <f>SUM(August!I58:K61)</f>
        <v>0</v>
      </c>
      <c r="K5" s="253">
        <f>I5-J5</f>
        <v>0</v>
      </c>
    </row>
    <row r="6" spans="1:11" ht="16" customHeight="1">
      <c r="A6" s="1336"/>
      <c r="B6" s="284" t="s">
        <v>236</v>
      </c>
      <c r="C6" s="252">
        <f>September!I45</f>
        <v>154.80459770114942</v>
      </c>
      <c r="D6" s="286">
        <f>September!I46+September!I48+September!I47</f>
        <v>213.74</v>
      </c>
      <c r="E6" s="286">
        <f>September!I50</f>
        <v>213.74</v>
      </c>
      <c r="F6" s="291">
        <f>September!V43</f>
        <v>0</v>
      </c>
      <c r="G6" s="2">
        <f>SUM(September!V48:X51)</f>
        <v>0</v>
      </c>
      <c r="H6" s="254">
        <f>H5+F6-G6</f>
        <v>0</v>
      </c>
      <c r="I6" s="291">
        <f>September!I53+September!I54</f>
        <v>0</v>
      </c>
      <c r="J6" s="252">
        <f>SUM(September!I57:K60)</f>
        <v>0</v>
      </c>
      <c r="K6" s="254">
        <f t="shared" ref="K6:K16" si="0">I6-J6</f>
        <v>0</v>
      </c>
    </row>
    <row r="7" spans="1:11" ht="16" customHeight="1">
      <c r="A7" s="1336"/>
      <c r="B7" s="283" t="s">
        <v>237</v>
      </c>
      <c r="C7" s="250">
        <f>Oktober!I46</f>
        <v>132.54789272030652</v>
      </c>
      <c r="D7" s="285">
        <f>Oktober!I47+Oktober!I49+Oktober!I48</f>
        <v>133.75</v>
      </c>
      <c r="E7" s="285">
        <f>Oktober!I51</f>
        <v>133.75</v>
      </c>
      <c r="F7" s="290">
        <f>Oktober!V44</f>
        <v>0</v>
      </c>
      <c r="G7" s="251">
        <f>SUM(Oktober!V49:X52)</f>
        <v>0</v>
      </c>
      <c r="H7" s="339">
        <f t="shared" ref="H7:H16" si="1">H6+F7-G7</f>
        <v>0</v>
      </c>
      <c r="I7" s="290">
        <f>Oktober!I54+Oktober!I55</f>
        <v>0</v>
      </c>
      <c r="J7" s="250">
        <f>SUM(Oktober!I58:K61)</f>
        <v>0</v>
      </c>
      <c r="K7" s="253">
        <f>I7-J7</f>
        <v>0</v>
      </c>
    </row>
    <row r="8" spans="1:11" ht="16" customHeight="1">
      <c r="A8" s="1336"/>
      <c r="B8" s="284" t="s">
        <v>238</v>
      </c>
      <c r="C8" s="252">
        <f>November!I45</f>
        <v>154.80459770114942</v>
      </c>
      <c r="D8" s="286">
        <f>November!I46+November!I48+November!I47</f>
        <v>161.5</v>
      </c>
      <c r="E8" s="286">
        <f>November!I50</f>
        <v>161.5</v>
      </c>
      <c r="F8" s="291">
        <f>November!V43</f>
        <v>0</v>
      </c>
      <c r="G8" s="2">
        <f>SUM(November!V48:X51)</f>
        <v>0</v>
      </c>
      <c r="H8" s="254">
        <f t="shared" si="1"/>
        <v>0</v>
      </c>
      <c r="I8" s="291">
        <f>November!I53+November!I54</f>
        <v>0</v>
      </c>
      <c r="J8" s="252">
        <f>SUM(November!I57:K60)</f>
        <v>0</v>
      </c>
      <c r="K8" s="254">
        <f t="shared" si="0"/>
        <v>0</v>
      </c>
    </row>
    <row r="9" spans="1:11" ht="16" customHeight="1">
      <c r="A9" s="1336"/>
      <c r="B9" s="283" t="s">
        <v>282</v>
      </c>
      <c r="C9" s="250">
        <f>December!I46</f>
        <v>147.37624521072797</v>
      </c>
      <c r="D9" s="285">
        <f>December!I47+December!I49+December!I48</f>
        <v>118</v>
      </c>
      <c r="E9" s="285">
        <f>December!I51</f>
        <v>118</v>
      </c>
      <c r="F9" s="290">
        <f>December!V44</f>
        <v>0</v>
      </c>
      <c r="G9" s="251">
        <f>SUM(December!V49:X52)</f>
        <v>0</v>
      </c>
      <c r="H9" s="339">
        <f t="shared" si="1"/>
        <v>0</v>
      </c>
      <c r="I9" s="290">
        <f>December!I54+December!I55</f>
        <v>0</v>
      </c>
      <c r="J9" s="250">
        <f>SUM(December!I58:K61)</f>
        <v>0</v>
      </c>
      <c r="K9" s="253">
        <f t="shared" si="0"/>
        <v>0</v>
      </c>
    </row>
    <row r="10" spans="1:11" ht="16" customHeight="1">
      <c r="A10" s="1336"/>
      <c r="B10" s="284" t="s">
        <v>283</v>
      </c>
      <c r="C10" s="252">
        <f>Januar!I46</f>
        <v>162.14789272030652</v>
      </c>
      <c r="D10" s="286">
        <f>Januar!I47+Januar!I49+Januar!I48</f>
        <v>172</v>
      </c>
      <c r="E10" s="286">
        <f>Januar!I51</f>
        <v>172</v>
      </c>
      <c r="F10" s="291">
        <f>Januar!V44</f>
        <v>0</v>
      </c>
      <c r="G10" s="2">
        <f>SUM(Januar!V49:X52)</f>
        <v>0</v>
      </c>
      <c r="H10" s="254">
        <f t="shared" si="1"/>
        <v>0</v>
      </c>
      <c r="I10" s="291">
        <f>Januar!I54+Januar!I55</f>
        <v>0</v>
      </c>
      <c r="J10" s="252">
        <f>SUM(Januar!I58:K61)</f>
        <v>0</v>
      </c>
      <c r="K10" s="254">
        <f t="shared" si="0"/>
        <v>0</v>
      </c>
    </row>
    <row r="11" spans="1:11" ht="16" customHeight="1">
      <c r="A11" s="1336"/>
      <c r="B11" s="283" t="s">
        <v>284</v>
      </c>
      <c r="C11" s="250">
        <f>Februar!I44</f>
        <v>147.43295019157088</v>
      </c>
      <c r="D11" s="285">
        <f>Februar!I45+Februar!I47+Februar!I46</f>
        <v>117</v>
      </c>
      <c r="E11" s="285">
        <f>Februar!I49</f>
        <v>117</v>
      </c>
      <c r="F11" s="290">
        <f>Februar!V42</f>
        <v>0</v>
      </c>
      <c r="G11" s="251">
        <f>SUM(Februar!V47:X50)</f>
        <v>0</v>
      </c>
      <c r="H11" s="339">
        <f t="shared" si="1"/>
        <v>0</v>
      </c>
      <c r="I11" s="290">
        <f>Februar!I52+Februar!I53</f>
        <v>0</v>
      </c>
      <c r="J11" s="250">
        <f>SUM(Februar!I56:K59)</f>
        <v>0</v>
      </c>
      <c r="K11" s="253">
        <f t="shared" si="0"/>
        <v>0</v>
      </c>
    </row>
    <row r="12" spans="1:11" ht="16" customHeight="1">
      <c r="A12" s="1336"/>
      <c r="B12" s="284" t="s">
        <v>285</v>
      </c>
      <c r="C12" s="252">
        <f>Marts!I46</f>
        <v>154.80459770114942</v>
      </c>
      <c r="D12" s="286">
        <f>Marts!I47+Marts!I49+Marts!I48</f>
        <v>165.25</v>
      </c>
      <c r="E12" s="286">
        <f>Marts!I51</f>
        <v>165.25</v>
      </c>
      <c r="F12" s="291">
        <f>Marts!V44</f>
        <v>0</v>
      </c>
      <c r="G12" s="2">
        <f>SUM(Marts!V49:X52)</f>
        <v>0</v>
      </c>
      <c r="H12" s="254">
        <f t="shared" si="1"/>
        <v>0</v>
      </c>
      <c r="I12" s="291">
        <f>Marts!I54+Marts!I55</f>
        <v>0</v>
      </c>
      <c r="J12" s="252">
        <f>SUM(Marts!I58:K61)</f>
        <v>0</v>
      </c>
      <c r="K12" s="254">
        <f t="shared" si="0"/>
        <v>0</v>
      </c>
    </row>
    <row r="13" spans="1:11" ht="16" customHeight="1">
      <c r="A13" s="1336"/>
      <c r="B13" s="283" t="s">
        <v>286</v>
      </c>
      <c r="C13" s="250">
        <f>April!I45</f>
        <v>139.976245210728</v>
      </c>
      <c r="D13" s="285">
        <f>April!I46+April!I48+April!I47</f>
        <v>132.75</v>
      </c>
      <c r="E13" s="285">
        <f>April!I50</f>
        <v>132.75</v>
      </c>
      <c r="F13" s="290">
        <f>April!V43</f>
        <v>0</v>
      </c>
      <c r="G13" s="251">
        <f>SUM(April!V48:X51)</f>
        <v>0</v>
      </c>
      <c r="H13" s="339">
        <f t="shared" si="1"/>
        <v>0</v>
      </c>
      <c r="I13" s="290">
        <f>April!I53+April!I54</f>
        <v>0</v>
      </c>
      <c r="J13" s="250">
        <f>SUM(April!I57:K60)</f>
        <v>0</v>
      </c>
      <c r="K13" s="253">
        <f t="shared" si="0"/>
        <v>0</v>
      </c>
    </row>
    <row r="14" spans="1:11" ht="16" customHeight="1">
      <c r="A14" s="1336"/>
      <c r="B14" s="284" t="s">
        <v>287</v>
      </c>
      <c r="C14" s="252">
        <f>Maj!I46</f>
        <v>154.77624521072798</v>
      </c>
      <c r="D14" s="286">
        <f>Maj!I47+Maj!I49++Maj!I48</f>
        <v>179.66</v>
      </c>
      <c r="E14" s="286">
        <f>Maj!I51</f>
        <v>179.66</v>
      </c>
      <c r="F14" s="291">
        <f>Maj!V44</f>
        <v>0</v>
      </c>
      <c r="G14" s="2">
        <f>SUM(Maj!V49:X52)</f>
        <v>0</v>
      </c>
      <c r="H14" s="254">
        <f t="shared" si="1"/>
        <v>0</v>
      </c>
      <c r="I14" s="291">
        <f>Maj!I54+Maj!I55</f>
        <v>0</v>
      </c>
      <c r="J14" s="252">
        <f>SUM(Maj!I58:K61)</f>
        <v>0</v>
      </c>
      <c r="K14" s="254">
        <f t="shared" si="0"/>
        <v>0</v>
      </c>
    </row>
    <row r="15" spans="1:11" ht="16" customHeight="1">
      <c r="A15" s="1336"/>
      <c r="B15" s="283" t="s">
        <v>288</v>
      </c>
      <c r="C15" s="250">
        <f>Juni!I45</f>
        <v>147.40459770114941</v>
      </c>
      <c r="D15" s="285">
        <f>Juni!I46+Juni!I48+Juni!I47</f>
        <v>150.5</v>
      </c>
      <c r="E15" s="285">
        <f>Juni!I50</f>
        <v>150.5</v>
      </c>
      <c r="F15" s="290">
        <f>Juni!V43</f>
        <v>0</v>
      </c>
      <c r="G15" s="251">
        <f>SUM(Juni!V48:X51)</f>
        <v>0</v>
      </c>
      <c r="H15" s="339">
        <f t="shared" si="1"/>
        <v>0</v>
      </c>
      <c r="I15" s="290">
        <f>Juni!I53+Juni!I54</f>
        <v>0</v>
      </c>
      <c r="J15" s="250">
        <f>SUM(Juni!I57:K60)</f>
        <v>0</v>
      </c>
      <c r="K15" s="253">
        <f t="shared" si="0"/>
        <v>0</v>
      </c>
    </row>
    <row r="16" spans="1:11" ht="17" customHeight="1" thickBot="1">
      <c r="A16" s="1336"/>
      <c r="B16" s="292" t="s">
        <v>289</v>
      </c>
      <c r="C16" s="293">
        <f>Juli!I46</f>
        <v>36.347892720306504</v>
      </c>
      <c r="D16" s="294">
        <f>Juli!I47+Juli!I49+Juli!I48</f>
        <v>6</v>
      </c>
      <c r="E16" s="294">
        <f>Juli!I51</f>
        <v>6</v>
      </c>
      <c r="F16" s="295">
        <f>Juli!V44</f>
        <v>0</v>
      </c>
      <c r="G16" s="296">
        <f>SUM(Juli!V49:X52)</f>
        <v>0</v>
      </c>
      <c r="H16" s="337">
        <f t="shared" si="1"/>
        <v>0</v>
      </c>
      <c r="I16" s="295">
        <f>Juli!I54+Juli!I55</f>
        <v>0</v>
      </c>
      <c r="J16" s="293">
        <f>SUM(Juli!I58:K61)</f>
        <v>0</v>
      </c>
      <c r="K16" s="254">
        <f t="shared" si="0"/>
        <v>0</v>
      </c>
    </row>
    <row r="17" spans="1:11" ht="17" customHeight="1" thickBot="1">
      <c r="A17" s="1336"/>
      <c r="B17" s="382" t="s">
        <v>161</v>
      </c>
      <c r="C17" s="383">
        <f>SUM(C5:C16)</f>
        <v>1679.7999999999997</v>
      </c>
      <c r="D17" s="383">
        <f>SUM(D5:D16)</f>
        <v>1685.9</v>
      </c>
      <c r="E17" s="384">
        <f>SUM(E5:E16)</f>
        <v>1685.9</v>
      </c>
      <c r="F17" s="385">
        <f>SUM(F5:F16)</f>
        <v>0</v>
      </c>
      <c r="G17" s="385">
        <f>SUM(G5:G16)</f>
        <v>0</v>
      </c>
      <c r="H17" s="386">
        <f>H16</f>
        <v>0</v>
      </c>
      <c r="I17" s="1369" t="str">
        <f>"Særlige feriedage optjent "&amp;August!A7-1&amp;" skal afvikles 1. maj "&amp;August!A7&amp;" - 30. april "&amp;August!A7+1&amp;". Ledelsen må pr. 1. januar "&amp;August!A7+1&amp;" varsle de særlige feriedage der ikke er afholdt eller planlagt til afholdelse inden d. 30. april "&amp;August!A7+1&amp;" med 30 dages varsel. "</f>
        <v xml:space="preserve">Særlige feriedage optjent 2023 skal afvikles 1. maj 2024 - 30. april 2025. Ledelsen må pr. 1. januar 2025 varsle de særlige feriedage der ikke er afholdt eller planlagt til afholdelse inden d. 30. april 2025 med 30 dages varsel. </v>
      </c>
      <c r="J17" s="1370"/>
      <c r="K17" s="1371"/>
    </row>
    <row r="18" spans="1:11">
      <c r="A18" s="1336"/>
      <c r="B18" s="1339" t="s">
        <v>355</v>
      </c>
      <c r="C18" s="1340"/>
      <c r="D18" s="1340"/>
      <c r="E18" s="378">
        <f>IF(C17&gt;E17,(E17-C17),0)</f>
        <v>0</v>
      </c>
      <c r="F18" s="1341"/>
      <c r="G18" s="1341"/>
      <c r="H18" s="1342"/>
      <c r="I18" s="1372"/>
      <c r="J18" s="1373"/>
      <c r="K18" s="1374"/>
    </row>
    <row r="19" spans="1:11">
      <c r="A19" s="1336"/>
      <c r="B19" s="1383" t="s">
        <v>357</v>
      </c>
      <c r="C19" s="1338"/>
      <c r="D19" s="1338"/>
      <c r="E19" s="250">
        <f>IF(E17&gt;C17,(E17-C17),0)</f>
        <v>6.1000000000003638</v>
      </c>
      <c r="F19" s="1338"/>
      <c r="G19" s="1338"/>
      <c r="H19" s="1384"/>
      <c r="I19" s="1372"/>
      <c r="J19" s="1373"/>
      <c r="K19" s="1374"/>
    </row>
    <row r="20" spans="1:11" ht="17" thickBot="1">
      <c r="A20" s="1337"/>
      <c r="B20" s="1385" t="s">
        <v>356</v>
      </c>
      <c r="C20" s="1386"/>
      <c r="D20" s="1386"/>
      <c r="E20" s="1386"/>
      <c r="F20" s="1386"/>
      <c r="G20" s="1386"/>
      <c r="H20" s="379">
        <f>IF(H17&gt;0,H17,0)</f>
        <v>0</v>
      </c>
      <c r="I20" s="1375"/>
      <c r="J20" s="1376"/>
      <c r="K20" s="1377"/>
    </row>
    <row r="21" spans="1:11" ht="17" thickBot="1">
      <c r="E21" s="1"/>
    </row>
    <row r="22" spans="1:11" ht="21">
      <c r="A22" s="1347" t="s">
        <v>390</v>
      </c>
      <c r="B22" s="1351" t="s">
        <v>395</v>
      </c>
      <c r="C22" s="1352"/>
      <c r="D22" s="1352"/>
      <c r="E22" s="1352"/>
      <c r="F22" s="1358" t="s">
        <v>396</v>
      </c>
      <c r="G22" s="1354"/>
      <c r="H22" s="1355"/>
      <c r="I22" s="1358" t="s">
        <v>508</v>
      </c>
      <c r="J22" s="1354"/>
      <c r="K22" s="1355"/>
    </row>
    <row r="23" spans="1:11" ht="52">
      <c r="A23" s="1348"/>
      <c r="B23" s="422"/>
      <c r="C23" s="423" t="str">
        <f t="shared" ref="C23:K23" si="2">C4</f>
        <v>Nettoarbejdstid</v>
      </c>
      <c r="D23" s="423" t="str">
        <f t="shared" si="2"/>
        <v>Planlagt arbejdstid</v>
      </c>
      <c r="E23" s="423" t="str">
        <f t="shared" si="2"/>
        <v>Faktisk arbejdstid(uden afspadsering)</v>
      </c>
      <c r="F23" s="425" t="str">
        <f t="shared" si="2"/>
        <v>Afspadseringstimer optjent</v>
      </c>
      <c r="G23" s="426" t="str">
        <f t="shared" si="2"/>
        <v>Afspadseringstimer afholdt</v>
      </c>
      <c r="H23" s="427" t="str">
        <f t="shared" si="2"/>
        <v>Afspadseringstimer saldo</v>
      </c>
      <c r="I23" s="425" t="str">
        <f t="shared" si="2"/>
        <v>Særlige feriedage primo</v>
      </c>
      <c r="J23" s="426" t="str">
        <f t="shared" si="2"/>
        <v>Særlige feriedage afholdt</v>
      </c>
      <c r="K23" s="427" t="str">
        <f t="shared" si="2"/>
        <v>Særlige feriedage rest</v>
      </c>
    </row>
    <row r="24" spans="1:11">
      <c r="A24" s="1349"/>
      <c r="B24" s="251" t="s">
        <v>234</v>
      </c>
      <c r="C24" s="250">
        <f t="shared" ref="C24:K24" si="3">C5</f>
        <v>147.37624521072797</v>
      </c>
      <c r="D24" s="250">
        <f t="shared" si="3"/>
        <v>135.75</v>
      </c>
      <c r="E24" s="285">
        <f t="shared" si="3"/>
        <v>135.75</v>
      </c>
      <c r="F24" s="428">
        <f t="shared" si="3"/>
        <v>0</v>
      </c>
      <c r="G24" s="253">
        <f t="shared" si="3"/>
        <v>0</v>
      </c>
      <c r="H24" s="253">
        <f t="shared" si="3"/>
        <v>0</v>
      </c>
      <c r="I24" s="428">
        <f t="shared" si="3"/>
        <v>0</v>
      </c>
      <c r="J24" s="253">
        <f t="shared" si="3"/>
        <v>0</v>
      </c>
      <c r="K24" s="253">
        <f t="shared" si="3"/>
        <v>0</v>
      </c>
    </row>
    <row r="25" spans="1:11">
      <c r="A25" s="1349"/>
      <c r="B25" s="2" t="s">
        <v>236</v>
      </c>
      <c r="C25" s="252">
        <f t="shared" ref="C25:E26" si="4">C6</f>
        <v>154.80459770114942</v>
      </c>
      <c r="D25" s="252">
        <f t="shared" si="4"/>
        <v>213.74</v>
      </c>
      <c r="E25" s="286">
        <f t="shared" si="4"/>
        <v>213.74</v>
      </c>
      <c r="F25" s="429">
        <f t="shared" ref="F25:K26" si="5">F6</f>
        <v>0</v>
      </c>
      <c r="G25" s="254">
        <f t="shared" si="5"/>
        <v>0</v>
      </c>
      <c r="H25" s="254">
        <f t="shared" si="5"/>
        <v>0</v>
      </c>
      <c r="I25" s="429">
        <f t="shared" si="5"/>
        <v>0</v>
      </c>
      <c r="J25" s="254">
        <f t="shared" si="5"/>
        <v>0</v>
      </c>
      <c r="K25" s="254">
        <f t="shared" si="5"/>
        <v>0</v>
      </c>
    </row>
    <row r="26" spans="1:11">
      <c r="A26" s="1349"/>
      <c r="B26" s="251" t="s">
        <v>237</v>
      </c>
      <c r="C26" s="250">
        <f t="shared" si="4"/>
        <v>132.54789272030652</v>
      </c>
      <c r="D26" s="250">
        <f t="shared" si="4"/>
        <v>133.75</v>
      </c>
      <c r="E26" s="285">
        <f t="shared" si="4"/>
        <v>133.75</v>
      </c>
      <c r="F26" s="428">
        <f t="shared" si="5"/>
        <v>0</v>
      </c>
      <c r="G26" s="253">
        <f t="shared" si="5"/>
        <v>0</v>
      </c>
      <c r="H26" s="253">
        <f t="shared" si="5"/>
        <v>0</v>
      </c>
      <c r="I26" s="428">
        <f t="shared" si="5"/>
        <v>0</v>
      </c>
      <c r="J26" s="253">
        <f t="shared" si="5"/>
        <v>0</v>
      </c>
      <c r="K26" s="253">
        <f t="shared" si="5"/>
        <v>0</v>
      </c>
    </row>
    <row r="27" spans="1:11" ht="17" thickBot="1">
      <c r="A27" s="1349"/>
      <c r="B27" s="418" t="s">
        <v>388</v>
      </c>
      <c r="C27" s="419">
        <f>SUM(C24:C26)</f>
        <v>434.72873563218388</v>
      </c>
      <c r="D27" s="419">
        <f>SUM(D24:D26)</f>
        <v>483.24</v>
      </c>
      <c r="E27" s="424">
        <f>SUM(E24:E26)</f>
        <v>483.24</v>
      </c>
      <c r="F27" s="430">
        <f>SUM(F24:F26)</f>
        <v>0</v>
      </c>
      <c r="G27" s="431">
        <f>SUM(G24:G26)</f>
        <v>0</v>
      </c>
      <c r="H27" s="431">
        <f>F27-G27</f>
        <v>0</v>
      </c>
      <c r="I27" s="1380"/>
      <c r="J27" s="1381"/>
      <c r="K27" s="1382"/>
    </row>
    <row r="28" spans="1:11">
      <c r="A28" s="1349"/>
      <c r="B28" s="1338" t="s">
        <v>355</v>
      </c>
      <c r="C28" s="1338"/>
      <c r="D28" s="1338"/>
      <c r="E28" s="253">
        <f>IF(C27&gt;E27,E27-C27,0)</f>
        <v>0</v>
      </c>
      <c r="F28" s="1359"/>
      <c r="G28" s="1233"/>
      <c r="H28" s="1233"/>
    </row>
    <row r="29" spans="1:11" ht="17" thickBot="1">
      <c r="A29" s="1350"/>
      <c r="B29" s="1346" t="s">
        <v>389</v>
      </c>
      <c r="C29" s="1346"/>
      <c r="D29" s="1346"/>
      <c r="E29" s="379">
        <f>IF(E27&gt;C27,E27-C27,0)</f>
        <v>48.511264367816125</v>
      </c>
      <c r="F29" s="1360"/>
      <c r="G29" s="730"/>
      <c r="H29" s="730"/>
    </row>
    <row r="30" spans="1:11" ht="17" thickBot="1"/>
    <row r="31" spans="1:11" ht="21">
      <c r="A31" s="1347" t="s">
        <v>391</v>
      </c>
      <c r="B31" s="1353" t="s">
        <v>394</v>
      </c>
      <c r="C31" s="1354"/>
      <c r="D31" s="1354"/>
      <c r="E31" s="1355"/>
      <c r="F31" s="1358" t="s">
        <v>396</v>
      </c>
      <c r="G31" s="1354"/>
      <c r="H31" s="1355"/>
      <c r="I31" s="1358" t="str">
        <f>I22</f>
        <v xml:space="preserve">Særlige feriedage  </v>
      </c>
      <c r="J31" s="1354"/>
      <c r="K31" s="1355"/>
    </row>
    <row r="32" spans="1:11" ht="52">
      <c r="A32" s="1348"/>
      <c r="B32" s="422"/>
      <c r="C32" s="423" t="str">
        <f t="shared" ref="C32:H32" si="6">C23</f>
        <v>Nettoarbejdstid</v>
      </c>
      <c r="D32" s="423" t="str">
        <f t="shared" si="6"/>
        <v>Planlagt arbejdstid</v>
      </c>
      <c r="E32" s="423" t="str">
        <f t="shared" si="6"/>
        <v>Faktisk arbejdstid(uden afspadsering)</v>
      </c>
      <c r="F32" s="423" t="str">
        <f t="shared" si="6"/>
        <v>Afspadseringstimer optjent</v>
      </c>
      <c r="G32" s="423" t="str">
        <f t="shared" si="6"/>
        <v>Afspadseringstimer afholdt</v>
      </c>
      <c r="H32" s="423" t="str">
        <f t="shared" si="6"/>
        <v>Afspadseringstimer saldo</v>
      </c>
      <c r="I32" s="423" t="str">
        <f>I23</f>
        <v>Særlige feriedage primo</v>
      </c>
      <c r="J32" s="423" t="str">
        <f>J23</f>
        <v>Særlige feriedage afholdt</v>
      </c>
      <c r="K32" s="423" t="str">
        <f>K23</f>
        <v>Særlige feriedage rest</v>
      </c>
    </row>
    <row r="33" spans="1:11" ht="20" customHeight="1">
      <c r="A33" s="1349"/>
      <c r="B33" s="251" t="s">
        <v>238</v>
      </c>
      <c r="C33" s="250">
        <f t="shared" ref="C33:K33" si="7">C8</f>
        <v>154.80459770114942</v>
      </c>
      <c r="D33" s="250">
        <f t="shared" si="7"/>
        <v>161.5</v>
      </c>
      <c r="E33" s="250">
        <f t="shared" si="7"/>
        <v>161.5</v>
      </c>
      <c r="F33" s="250">
        <f t="shared" si="7"/>
        <v>0</v>
      </c>
      <c r="G33" s="250">
        <f t="shared" si="7"/>
        <v>0</v>
      </c>
      <c r="H33" s="250">
        <f t="shared" si="7"/>
        <v>0</v>
      </c>
      <c r="I33" s="250">
        <f t="shared" si="7"/>
        <v>0</v>
      </c>
      <c r="J33" s="250">
        <f t="shared" si="7"/>
        <v>0</v>
      </c>
      <c r="K33" s="250">
        <f t="shared" si="7"/>
        <v>0</v>
      </c>
    </row>
    <row r="34" spans="1:11">
      <c r="A34" s="1349"/>
      <c r="B34" s="2" t="s">
        <v>282</v>
      </c>
      <c r="C34" s="252">
        <f t="shared" ref="C34:E35" si="8">C9</f>
        <v>147.37624521072797</v>
      </c>
      <c r="D34" s="252">
        <f t="shared" si="8"/>
        <v>118</v>
      </c>
      <c r="E34" s="252">
        <f t="shared" si="8"/>
        <v>118</v>
      </c>
      <c r="F34" s="252">
        <f t="shared" ref="F34:K35" si="9">F9</f>
        <v>0</v>
      </c>
      <c r="G34" s="252">
        <f t="shared" si="9"/>
        <v>0</v>
      </c>
      <c r="H34" s="252">
        <f t="shared" si="9"/>
        <v>0</v>
      </c>
      <c r="I34" s="252">
        <f t="shared" si="9"/>
        <v>0</v>
      </c>
      <c r="J34" s="252">
        <f t="shared" si="9"/>
        <v>0</v>
      </c>
      <c r="K34" s="252">
        <f t="shared" si="9"/>
        <v>0</v>
      </c>
    </row>
    <row r="35" spans="1:11">
      <c r="A35" s="1349"/>
      <c r="B35" s="251" t="s">
        <v>283</v>
      </c>
      <c r="C35" s="250">
        <f t="shared" si="8"/>
        <v>162.14789272030652</v>
      </c>
      <c r="D35" s="250">
        <f t="shared" si="8"/>
        <v>172</v>
      </c>
      <c r="E35" s="250">
        <f t="shared" si="8"/>
        <v>172</v>
      </c>
      <c r="F35" s="250">
        <f t="shared" si="9"/>
        <v>0</v>
      </c>
      <c r="G35" s="250">
        <f t="shared" si="9"/>
        <v>0</v>
      </c>
      <c r="H35" s="250">
        <f t="shared" si="9"/>
        <v>0</v>
      </c>
      <c r="I35" s="250">
        <f t="shared" si="9"/>
        <v>0</v>
      </c>
      <c r="J35" s="250">
        <f t="shared" si="9"/>
        <v>0</v>
      </c>
      <c r="K35" s="250">
        <f t="shared" si="9"/>
        <v>0</v>
      </c>
    </row>
    <row r="36" spans="1:11">
      <c r="A36" s="1349"/>
      <c r="B36" s="418" t="s">
        <v>388</v>
      </c>
      <c r="C36" s="419">
        <f>SUM(C33:C35)</f>
        <v>464.32873563218391</v>
      </c>
      <c r="D36" s="419">
        <f>SUM(D33:D35)</f>
        <v>451.5</v>
      </c>
      <c r="E36" s="420">
        <f>SUM(E33:E35)</f>
        <v>451.5</v>
      </c>
      <c r="F36" s="420">
        <f>SUM(F33:F35)</f>
        <v>0</v>
      </c>
      <c r="G36" s="420">
        <f>SUM(G33:G35)</f>
        <v>0</v>
      </c>
      <c r="H36" s="420">
        <f>H35</f>
        <v>0</v>
      </c>
      <c r="I36" s="1363"/>
      <c r="J36" s="1364"/>
      <c r="K36" s="1365"/>
    </row>
    <row r="37" spans="1:11">
      <c r="A37" s="1349"/>
      <c r="B37" s="1338" t="s">
        <v>355</v>
      </c>
      <c r="C37" s="1338"/>
      <c r="D37" s="1338"/>
      <c r="E37" s="253">
        <f>IF(C36&gt;E36,E36-C36,0)</f>
        <v>-12.828735632183907</v>
      </c>
      <c r="F37" s="1361"/>
      <c r="G37" s="1362"/>
      <c r="H37" s="1362"/>
    </row>
    <row r="38" spans="1:11" ht="17" thickBot="1">
      <c r="A38" s="1350"/>
      <c r="B38" s="1346" t="s">
        <v>389</v>
      </c>
      <c r="C38" s="1346"/>
      <c r="D38" s="1346"/>
      <c r="E38" s="379">
        <f>IF(E36&gt;C36,E36-C36,0)</f>
        <v>0</v>
      </c>
      <c r="F38" s="1360"/>
      <c r="G38" s="730"/>
      <c r="H38" s="730"/>
    </row>
    <row r="39" spans="1:11" ht="17" thickBot="1"/>
    <row r="40" spans="1:11" ht="21">
      <c r="A40" s="1347" t="s">
        <v>393</v>
      </c>
      <c r="B40" s="1353" t="s">
        <v>424</v>
      </c>
      <c r="C40" s="1354"/>
      <c r="D40" s="1354"/>
      <c r="E40" s="1355"/>
      <c r="F40" s="1358" t="s">
        <v>396</v>
      </c>
      <c r="G40" s="1354"/>
      <c r="H40" s="1355"/>
      <c r="I40" s="1358" t="str">
        <f>I31</f>
        <v xml:space="preserve">Særlige feriedage  </v>
      </c>
      <c r="J40" s="1354"/>
      <c r="K40" s="1355"/>
    </row>
    <row r="41" spans="1:11" ht="52">
      <c r="A41" s="1348"/>
      <c r="B41" s="422"/>
      <c r="C41" s="423" t="str">
        <f t="shared" ref="C41:H41" si="10">C32</f>
        <v>Nettoarbejdstid</v>
      </c>
      <c r="D41" s="423" t="str">
        <f t="shared" si="10"/>
        <v>Planlagt arbejdstid</v>
      </c>
      <c r="E41" s="423" t="str">
        <f t="shared" si="10"/>
        <v>Faktisk arbejdstid(uden afspadsering)</v>
      </c>
      <c r="F41" s="423" t="str">
        <f t="shared" si="10"/>
        <v>Afspadseringstimer optjent</v>
      </c>
      <c r="G41" s="423" t="str">
        <f t="shared" si="10"/>
        <v>Afspadseringstimer afholdt</v>
      </c>
      <c r="H41" s="423" t="str">
        <f t="shared" si="10"/>
        <v>Afspadseringstimer saldo</v>
      </c>
      <c r="I41" s="423" t="str">
        <f>I32</f>
        <v>Særlige feriedage primo</v>
      </c>
      <c r="J41" s="423" t="str">
        <f>J32</f>
        <v>Særlige feriedage afholdt</v>
      </c>
      <c r="K41" s="423" t="str">
        <f>K32</f>
        <v>Særlige feriedage rest</v>
      </c>
    </row>
    <row r="42" spans="1:11" ht="23" customHeight="1">
      <c r="A42" s="1349"/>
      <c r="B42" s="251" t="s">
        <v>284</v>
      </c>
      <c r="C42" s="250">
        <f t="shared" ref="C42:K42" si="11">C11</f>
        <v>147.43295019157088</v>
      </c>
      <c r="D42" s="250">
        <f t="shared" si="11"/>
        <v>117</v>
      </c>
      <c r="E42" s="250">
        <f t="shared" si="11"/>
        <v>117</v>
      </c>
      <c r="F42" s="250">
        <f t="shared" si="11"/>
        <v>0</v>
      </c>
      <c r="G42" s="250">
        <f t="shared" si="11"/>
        <v>0</v>
      </c>
      <c r="H42" s="250">
        <f t="shared" si="11"/>
        <v>0</v>
      </c>
      <c r="I42" s="250">
        <f t="shared" si="11"/>
        <v>0</v>
      </c>
      <c r="J42" s="250">
        <f t="shared" si="11"/>
        <v>0</v>
      </c>
      <c r="K42" s="250">
        <f t="shared" si="11"/>
        <v>0</v>
      </c>
    </row>
    <row r="43" spans="1:11">
      <c r="A43" s="1349"/>
      <c r="B43" s="2" t="s">
        <v>285</v>
      </c>
      <c r="C43" s="252">
        <f t="shared" ref="C43:E44" si="12">C12</f>
        <v>154.80459770114942</v>
      </c>
      <c r="D43" s="252">
        <f t="shared" si="12"/>
        <v>165.25</v>
      </c>
      <c r="E43" s="252">
        <f t="shared" si="12"/>
        <v>165.25</v>
      </c>
      <c r="F43" s="252">
        <f t="shared" ref="F43:K44" si="13">F12</f>
        <v>0</v>
      </c>
      <c r="G43" s="252">
        <f t="shared" si="13"/>
        <v>0</v>
      </c>
      <c r="H43" s="252">
        <f t="shared" si="13"/>
        <v>0</v>
      </c>
      <c r="I43" s="252">
        <f t="shared" si="13"/>
        <v>0</v>
      </c>
      <c r="J43" s="252">
        <f t="shared" si="13"/>
        <v>0</v>
      </c>
      <c r="K43" s="252">
        <f t="shared" si="13"/>
        <v>0</v>
      </c>
    </row>
    <row r="44" spans="1:11">
      <c r="A44" s="1349"/>
      <c r="B44" s="251" t="s">
        <v>286</v>
      </c>
      <c r="C44" s="250">
        <f t="shared" si="12"/>
        <v>139.976245210728</v>
      </c>
      <c r="D44" s="250">
        <f t="shared" si="12"/>
        <v>132.75</v>
      </c>
      <c r="E44" s="250">
        <f t="shared" si="12"/>
        <v>132.75</v>
      </c>
      <c r="F44" s="250">
        <f t="shared" si="13"/>
        <v>0</v>
      </c>
      <c r="G44" s="250">
        <f t="shared" si="13"/>
        <v>0</v>
      </c>
      <c r="H44" s="250">
        <f t="shared" si="13"/>
        <v>0</v>
      </c>
      <c r="I44" s="250">
        <f t="shared" si="13"/>
        <v>0</v>
      </c>
      <c r="J44" s="250">
        <f t="shared" si="13"/>
        <v>0</v>
      </c>
      <c r="K44" s="250">
        <f t="shared" si="13"/>
        <v>0</v>
      </c>
    </row>
    <row r="45" spans="1:11">
      <c r="A45" s="1349"/>
      <c r="B45" s="418" t="s">
        <v>388</v>
      </c>
      <c r="C45" s="419">
        <f>SUM(C42:C44)</f>
        <v>442.21379310344827</v>
      </c>
      <c r="D45" s="419">
        <f>SUM(D42:D44)</f>
        <v>415</v>
      </c>
      <c r="E45" s="420">
        <f>SUM(E42:E44)</f>
        <v>415</v>
      </c>
      <c r="F45" s="420">
        <f>SUM(F42:F44)</f>
        <v>0</v>
      </c>
      <c r="G45" s="420">
        <f>SUM(G42:G44)</f>
        <v>0</v>
      </c>
      <c r="H45" s="420">
        <f>H44</f>
        <v>0</v>
      </c>
      <c r="I45" s="1363"/>
      <c r="J45" s="1364"/>
      <c r="K45" s="1365"/>
    </row>
    <row r="46" spans="1:11">
      <c r="A46" s="1349"/>
      <c r="B46" s="1338" t="s">
        <v>355</v>
      </c>
      <c r="C46" s="1338"/>
      <c r="D46" s="1338"/>
      <c r="E46" s="253">
        <f>IF(C45&gt;E45,E45-C45,0)</f>
        <v>-27.213793103448268</v>
      </c>
      <c r="F46" s="1361"/>
      <c r="G46" s="1362"/>
      <c r="H46" s="1362"/>
      <c r="I46" s="1378" t="s">
        <v>512</v>
      </c>
      <c r="J46" s="1378"/>
      <c r="K46" s="1378"/>
    </row>
    <row r="47" spans="1:11" ht="17" thickBot="1">
      <c r="A47" s="1350"/>
      <c r="B47" s="1346" t="s">
        <v>389</v>
      </c>
      <c r="C47" s="1346"/>
      <c r="D47" s="1346"/>
      <c r="E47" s="379">
        <f>IF(E45&gt;C45,E45-C45,0)</f>
        <v>0</v>
      </c>
      <c r="F47" s="1360"/>
      <c r="G47" s="730"/>
      <c r="H47" s="730"/>
      <c r="I47" s="1379"/>
      <c r="J47" s="1379"/>
      <c r="K47" s="1379"/>
    </row>
    <row r="48" spans="1:11" ht="17" thickBot="1"/>
    <row r="49" spans="1:11" ht="21">
      <c r="A49" s="1347" t="s">
        <v>392</v>
      </c>
      <c r="B49" s="1353" t="s">
        <v>425</v>
      </c>
      <c r="C49" s="1354"/>
      <c r="D49" s="1354"/>
      <c r="E49" s="1355"/>
      <c r="F49" s="1358" t="s">
        <v>396</v>
      </c>
      <c r="G49" s="1354"/>
      <c r="H49" s="1355"/>
      <c r="I49" s="1358" t="str">
        <f>I40</f>
        <v xml:space="preserve">Særlige feriedage  </v>
      </c>
      <c r="J49" s="1354"/>
      <c r="K49" s="1355"/>
    </row>
    <row r="50" spans="1:11" ht="52">
      <c r="A50" s="1348"/>
      <c r="B50" s="422"/>
      <c r="C50" s="423" t="str">
        <f t="shared" ref="C50:H50" si="14">C41</f>
        <v>Nettoarbejdstid</v>
      </c>
      <c r="D50" s="423" t="str">
        <f t="shared" si="14"/>
        <v>Planlagt arbejdstid</v>
      </c>
      <c r="E50" s="423" t="str">
        <f t="shared" si="14"/>
        <v>Faktisk arbejdstid(uden afspadsering)</v>
      </c>
      <c r="F50" s="423" t="str">
        <f t="shared" si="14"/>
        <v>Afspadseringstimer optjent</v>
      </c>
      <c r="G50" s="423" t="str">
        <f t="shared" si="14"/>
        <v>Afspadseringstimer afholdt</v>
      </c>
      <c r="H50" s="423" t="str">
        <f t="shared" si="14"/>
        <v>Afspadseringstimer saldo</v>
      </c>
      <c r="I50" s="423" t="str">
        <f>I41</f>
        <v>Særlige feriedage primo</v>
      </c>
      <c r="J50" s="423" t="str">
        <f>J41</f>
        <v>Særlige feriedage afholdt</v>
      </c>
      <c r="K50" s="423" t="str">
        <f>K41</f>
        <v>Særlige feriedage rest</v>
      </c>
    </row>
    <row r="51" spans="1:11">
      <c r="A51" s="1349"/>
      <c r="B51" s="251" t="s">
        <v>287</v>
      </c>
      <c r="C51" s="250">
        <f t="shared" ref="C51:K51" si="15">C14</f>
        <v>154.77624521072798</v>
      </c>
      <c r="D51" s="250">
        <f t="shared" si="15"/>
        <v>179.66</v>
      </c>
      <c r="E51" s="250">
        <f t="shared" si="15"/>
        <v>179.66</v>
      </c>
      <c r="F51" s="250">
        <f t="shared" si="15"/>
        <v>0</v>
      </c>
      <c r="G51" s="250">
        <f t="shared" si="15"/>
        <v>0</v>
      </c>
      <c r="H51" s="250">
        <f t="shared" si="15"/>
        <v>0</v>
      </c>
      <c r="I51" s="250">
        <f t="shared" si="15"/>
        <v>0</v>
      </c>
      <c r="J51" s="250">
        <f t="shared" si="15"/>
        <v>0</v>
      </c>
      <c r="K51" s="250">
        <f t="shared" si="15"/>
        <v>0</v>
      </c>
    </row>
    <row r="52" spans="1:11">
      <c r="A52" s="1349"/>
      <c r="B52" s="2" t="s">
        <v>288</v>
      </c>
      <c r="C52" s="252">
        <f t="shared" ref="C52:E53" si="16">C15</f>
        <v>147.40459770114941</v>
      </c>
      <c r="D52" s="252">
        <f t="shared" si="16"/>
        <v>150.5</v>
      </c>
      <c r="E52" s="252">
        <f t="shared" si="16"/>
        <v>150.5</v>
      </c>
      <c r="F52" s="252">
        <f t="shared" ref="F52:K53" si="17">F15</f>
        <v>0</v>
      </c>
      <c r="G52" s="252">
        <f t="shared" si="17"/>
        <v>0</v>
      </c>
      <c r="H52" s="252">
        <f t="shared" si="17"/>
        <v>0</v>
      </c>
      <c r="I52" s="252">
        <f t="shared" si="17"/>
        <v>0</v>
      </c>
      <c r="J52" s="252">
        <f t="shared" si="17"/>
        <v>0</v>
      </c>
      <c r="K52" s="252">
        <f t="shared" si="17"/>
        <v>0</v>
      </c>
    </row>
    <row r="53" spans="1:11">
      <c r="A53" s="1349"/>
      <c r="B53" s="251" t="s">
        <v>289</v>
      </c>
      <c r="C53" s="250">
        <f t="shared" si="16"/>
        <v>36.347892720306504</v>
      </c>
      <c r="D53" s="250">
        <f t="shared" si="16"/>
        <v>6</v>
      </c>
      <c r="E53" s="250">
        <f t="shared" si="16"/>
        <v>6</v>
      </c>
      <c r="F53" s="250">
        <f t="shared" si="17"/>
        <v>0</v>
      </c>
      <c r="G53" s="250">
        <f t="shared" si="17"/>
        <v>0</v>
      </c>
      <c r="H53" s="250">
        <f t="shared" si="17"/>
        <v>0</v>
      </c>
      <c r="I53" s="250">
        <f t="shared" si="17"/>
        <v>0</v>
      </c>
      <c r="J53" s="250">
        <f t="shared" si="17"/>
        <v>0</v>
      </c>
      <c r="K53" s="250">
        <f t="shared" si="17"/>
        <v>0</v>
      </c>
    </row>
    <row r="54" spans="1:11">
      <c r="A54" s="1349"/>
      <c r="B54" s="418" t="s">
        <v>388</v>
      </c>
      <c r="C54" s="419">
        <f>SUM(C51:C53)</f>
        <v>338.5287356321839</v>
      </c>
      <c r="D54" s="419">
        <f>SUM(D51:D53)</f>
        <v>336.15999999999997</v>
      </c>
      <c r="E54" s="420">
        <f>SUM(E51:E53)</f>
        <v>336.15999999999997</v>
      </c>
      <c r="F54" s="420">
        <f>SUM(F51:F53)</f>
        <v>0</v>
      </c>
      <c r="G54" s="420">
        <f>SUM(G51:G53)</f>
        <v>0</v>
      </c>
      <c r="H54" s="420">
        <f>H53</f>
        <v>0</v>
      </c>
      <c r="I54" s="1363"/>
      <c r="J54" s="1364"/>
      <c r="K54" s="1365"/>
    </row>
    <row r="55" spans="1:11">
      <c r="A55" s="1349"/>
      <c r="B55" s="1338" t="s">
        <v>355</v>
      </c>
      <c r="C55" s="1338"/>
      <c r="D55" s="1338"/>
      <c r="E55" s="253">
        <f>IF(C54&gt;E54,E54-C54,0)</f>
        <v>-2.3687356321839275</v>
      </c>
      <c r="F55" s="1361"/>
      <c r="G55" s="1362"/>
      <c r="H55" s="1362"/>
    </row>
    <row r="56" spans="1:11" ht="17" thickBot="1">
      <c r="A56" s="1350"/>
      <c r="B56" s="1346" t="s">
        <v>389</v>
      </c>
      <c r="C56" s="1346"/>
      <c r="D56" s="1346"/>
      <c r="E56" s="379">
        <f>IF(E54&gt;C54,E54-C54,0)</f>
        <v>0</v>
      </c>
      <c r="F56" s="1360"/>
      <c r="G56" s="730"/>
      <c r="H56" s="730"/>
    </row>
    <row r="58" spans="1:11" ht="21">
      <c r="A58" s="1357" t="s">
        <v>402</v>
      </c>
      <c r="B58" s="1357"/>
      <c r="C58" s="1357"/>
      <c r="D58" s="1357"/>
      <c r="E58" s="449">
        <f>E28+E29+E37+E38+E46+E47+E55+E56</f>
        <v>6.1000000000000227</v>
      </c>
    </row>
    <row r="59" spans="1:11" ht="21">
      <c r="A59" s="1356" t="s">
        <v>403</v>
      </c>
      <c r="B59" s="1356"/>
      <c r="C59" s="1356"/>
      <c r="D59" s="1356"/>
      <c r="E59" s="421">
        <f>H17</f>
        <v>0</v>
      </c>
    </row>
  </sheetData>
  <sheetProtection sheet="1" objects="1" scenarios="1"/>
  <mergeCells count="47">
    <mergeCell ref="I54:K54"/>
    <mergeCell ref="B1:K1"/>
    <mergeCell ref="B2:K2"/>
    <mergeCell ref="I17:K20"/>
    <mergeCell ref="I46:K47"/>
    <mergeCell ref="I3:K3"/>
    <mergeCell ref="I22:K22"/>
    <mergeCell ref="I31:K31"/>
    <mergeCell ref="I40:K40"/>
    <mergeCell ref="I49:K49"/>
    <mergeCell ref="I27:K27"/>
    <mergeCell ref="I36:K36"/>
    <mergeCell ref="I45:K45"/>
    <mergeCell ref="B19:D19"/>
    <mergeCell ref="F19:H19"/>
    <mergeCell ref="B20:G20"/>
    <mergeCell ref="A59:D59"/>
    <mergeCell ref="A58:D58"/>
    <mergeCell ref="F22:H22"/>
    <mergeCell ref="F31:H31"/>
    <mergeCell ref="F40:H40"/>
    <mergeCell ref="F49:H49"/>
    <mergeCell ref="F28:H29"/>
    <mergeCell ref="F37:H38"/>
    <mergeCell ref="F46:H47"/>
    <mergeCell ref="F55:H56"/>
    <mergeCell ref="A40:A47"/>
    <mergeCell ref="B40:E40"/>
    <mergeCell ref="B46:D46"/>
    <mergeCell ref="B47:D47"/>
    <mergeCell ref="A49:A56"/>
    <mergeCell ref="B49:E49"/>
    <mergeCell ref="B55:D55"/>
    <mergeCell ref="B56:D56"/>
    <mergeCell ref="B29:D29"/>
    <mergeCell ref="A22:A29"/>
    <mergeCell ref="B22:E22"/>
    <mergeCell ref="A31:A38"/>
    <mergeCell ref="B31:E31"/>
    <mergeCell ref="B37:D37"/>
    <mergeCell ref="B38:D38"/>
    <mergeCell ref="A1:A20"/>
    <mergeCell ref="B28:D28"/>
    <mergeCell ref="B18:D18"/>
    <mergeCell ref="F18:H18"/>
    <mergeCell ref="C3:E3"/>
    <mergeCell ref="F3:H3"/>
  </mergeCells>
  <phoneticPr fontId="5" type="noConversion"/>
  <conditionalFormatting sqref="B18 E18:F18">
    <cfRule type="expression" dxfId="379" priority="12">
      <formula>"ELLER($E$16&gt;$$16;)"</formula>
    </cfRule>
    <cfRule type="expression" dxfId="378" priority="11">
      <formula>OR($E$17&gt;$C$17,)</formula>
    </cfRule>
  </conditionalFormatting>
  <conditionalFormatting sqref="B19 E19:F19">
    <cfRule type="expression" dxfId="377" priority="10">
      <formula>OR($C$17&gt;$E$17,)</formula>
    </cfRule>
  </conditionalFormatting>
  <conditionalFormatting sqref="B20 H20">
    <cfRule type="expression" dxfId="376" priority="9">
      <formula>OR($H$17&lt;0,)</formula>
    </cfRule>
  </conditionalFormatting>
  <conditionalFormatting sqref="B28 E28">
    <cfRule type="expression" dxfId="375" priority="8">
      <formula>OR($C$27&lt;$E$27,)</formula>
    </cfRule>
  </conditionalFormatting>
  <conditionalFormatting sqref="B29 E29">
    <cfRule type="expression" dxfId="374" priority="7">
      <formula>OR($E$27&lt;$C$27,)</formula>
    </cfRule>
  </conditionalFormatting>
  <conditionalFormatting sqref="B37 E37">
    <cfRule type="expression" dxfId="373" priority="6">
      <formula>OR($E$36&gt;$C$36,)</formula>
    </cfRule>
  </conditionalFormatting>
  <conditionalFormatting sqref="B38 E38">
    <cfRule type="expression" dxfId="372" priority="5">
      <formula>OR($C$36&gt;$E$36,)</formula>
    </cfRule>
  </conditionalFormatting>
  <conditionalFormatting sqref="B46 E46">
    <cfRule type="expression" dxfId="371" priority="4">
      <formula>OR($E$45&gt;$C$45,)</formula>
    </cfRule>
  </conditionalFormatting>
  <conditionalFormatting sqref="B47 E47">
    <cfRule type="expression" dxfId="370" priority="3">
      <formula>OR($C$45&gt;$E$45,)</formula>
    </cfRule>
  </conditionalFormatting>
  <conditionalFormatting sqref="B55 E55">
    <cfRule type="expression" dxfId="369" priority="2">
      <formula>OR($E$54&gt;$C$54,)</formula>
    </cfRule>
  </conditionalFormatting>
  <conditionalFormatting sqref="B56 E56">
    <cfRule type="expression" dxfId="368" priority="1">
      <formula>OR($C$54&gt;$E$54,)</formula>
    </cfRule>
  </conditionalFormatting>
  <pageMargins left="0.25" right="0.25" top="0.75" bottom="0.75" header="0.3" footer="0.3"/>
  <pageSetup paperSize="9" scale="57" orientation="portrait"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EA83-498D-4C42-B081-21F51B845765}">
  <sheetPr>
    <tabColor theme="6" tint="0.39997558519241921"/>
    <pageSetUpPr fitToPage="1"/>
  </sheetPr>
  <dimension ref="A1:AO39"/>
  <sheetViews>
    <sheetView showZeros="0" zoomScaleNormal="100" workbookViewId="0">
      <selection activeCell="B18" sqref="B18:I18"/>
    </sheetView>
  </sheetViews>
  <sheetFormatPr baseColWidth="10" defaultRowHeight="16"/>
  <sheetData>
    <row r="1" spans="1:41" ht="39" customHeight="1">
      <c r="A1" s="1407"/>
      <c r="B1" s="1389" t="s">
        <v>558</v>
      </c>
      <c r="C1" s="1390"/>
      <c r="D1" s="1390"/>
      <c r="E1" s="1390"/>
      <c r="F1" s="1390"/>
      <c r="G1" s="1390"/>
      <c r="H1" s="1390"/>
      <c r="I1" s="1390"/>
      <c r="J1" s="1391"/>
      <c r="AO1" s="1" t="e">
        <f>SUM(#REF!)</f>
        <v>#REF!</v>
      </c>
    </row>
    <row r="2" spans="1:41" ht="39" customHeight="1">
      <c r="A2" s="1407"/>
      <c r="B2" s="1398" t="str">
        <f>Stamoplysninger!E8</f>
        <v>Beate Simonsen</v>
      </c>
      <c r="C2" s="1399"/>
      <c r="D2" s="1399"/>
      <c r="E2" s="1399"/>
      <c r="F2" s="1399"/>
      <c r="G2" s="1399"/>
      <c r="H2" s="1399"/>
      <c r="I2" s="1399"/>
      <c r="J2" s="1400"/>
      <c r="AO2" s="1"/>
    </row>
    <row r="3" spans="1:41">
      <c r="A3" s="1407"/>
      <c r="B3" s="1392" t="s">
        <v>220</v>
      </c>
      <c r="C3" s="751"/>
      <c r="D3" s="751"/>
      <c r="E3" s="751"/>
      <c r="F3" s="751"/>
      <c r="G3" s="751"/>
      <c r="H3" s="751"/>
      <c r="I3" s="751"/>
      <c r="J3" s="271">
        <f>Skemaoplysninger!BD37</f>
        <v>649.58333333333337</v>
      </c>
    </row>
    <row r="4" spans="1:41">
      <c r="A4" s="1407"/>
      <c r="B4" s="1393" t="s">
        <v>331</v>
      </c>
      <c r="C4" s="1394"/>
      <c r="D4" s="1394"/>
      <c r="E4" s="1394"/>
      <c r="F4" s="1394"/>
      <c r="G4" s="1394"/>
      <c r="H4" s="1394"/>
      <c r="I4" s="1394"/>
      <c r="J4" s="254">
        <f>SUM(August!BC41:BF41)+SUM(September!BC39:BF39)+SUM(Oktober!BC40:BF40)+SUM(November!BC39:BF39)+SUM(December!BC40:BF40)+SUM(Januar!BC40:BF40)+SUM(Februar!BC38:BF38)+SUM(Marts!BC40:BF40)+SUM(April!BC39:BF39)+SUM(Maj!BC40:BF40)+SUM(Juni!BC39:BF39)+SUM(Juli!BC40:BF40)</f>
        <v>101</v>
      </c>
    </row>
    <row r="5" spans="1:41" ht="34" customHeight="1">
      <c r="A5" s="1407"/>
      <c r="B5" s="1395" t="s">
        <v>300</v>
      </c>
      <c r="C5" s="1396"/>
      <c r="D5" s="1396"/>
      <c r="E5" s="1396"/>
      <c r="F5" s="1396"/>
      <c r="G5" s="1396"/>
      <c r="H5" s="1396"/>
      <c r="I5" s="1396"/>
      <c r="J5" s="1397"/>
    </row>
    <row r="6" spans="1:41">
      <c r="A6" s="1407"/>
      <c r="B6" s="1387"/>
      <c r="C6" s="1388"/>
      <c r="D6" s="1388"/>
      <c r="E6" s="1388"/>
      <c r="F6" s="1388"/>
      <c r="G6" s="1388"/>
      <c r="H6" s="1388"/>
      <c r="I6" s="1388"/>
      <c r="J6" s="19"/>
    </row>
    <row r="7" spans="1:41">
      <c r="A7" s="1407"/>
      <c r="B7" s="1387"/>
      <c r="C7" s="1388"/>
      <c r="D7" s="1388"/>
      <c r="E7" s="1388"/>
      <c r="F7" s="1388"/>
      <c r="G7" s="1388"/>
      <c r="H7" s="1388"/>
      <c r="I7" s="1388"/>
      <c r="J7" s="19"/>
    </row>
    <row r="8" spans="1:41">
      <c r="A8" s="1407"/>
      <c r="B8" s="1387"/>
      <c r="C8" s="1388"/>
      <c r="D8" s="1388"/>
      <c r="E8" s="1388"/>
      <c r="F8" s="1388"/>
      <c r="G8" s="1388"/>
      <c r="H8" s="1388"/>
      <c r="I8" s="1388"/>
      <c r="J8" s="19"/>
    </row>
    <row r="9" spans="1:41">
      <c r="A9" s="1407"/>
      <c r="B9" s="1387"/>
      <c r="C9" s="1388"/>
      <c r="D9" s="1388"/>
      <c r="E9" s="1388"/>
      <c r="F9" s="1388"/>
      <c r="G9" s="1388"/>
      <c r="H9" s="1388"/>
      <c r="I9" s="1388"/>
      <c r="J9" s="19"/>
    </row>
    <row r="10" spans="1:41">
      <c r="A10" s="1407"/>
      <c r="B10" s="1387"/>
      <c r="C10" s="1388"/>
      <c r="D10" s="1388"/>
      <c r="E10" s="1388"/>
      <c r="F10" s="1388"/>
      <c r="G10" s="1388"/>
      <c r="H10" s="1388"/>
      <c r="I10" s="1388"/>
      <c r="J10" s="19"/>
    </row>
    <row r="11" spans="1:41">
      <c r="A11" s="1407"/>
      <c r="B11" s="1387"/>
      <c r="C11" s="1388"/>
      <c r="D11" s="1388"/>
      <c r="E11" s="1388"/>
      <c r="F11" s="1388"/>
      <c r="G11" s="1388"/>
      <c r="H11" s="1388"/>
      <c r="I11" s="1388"/>
      <c r="J11" s="19"/>
    </row>
    <row r="12" spans="1:41">
      <c r="A12" s="1407"/>
      <c r="B12" s="1387"/>
      <c r="C12" s="1388"/>
      <c r="D12" s="1388"/>
      <c r="E12" s="1388"/>
      <c r="F12" s="1388"/>
      <c r="G12" s="1388"/>
      <c r="H12" s="1388"/>
      <c r="I12" s="1388"/>
      <c r="J12" s="19"/>
    </row>
    <row r="13" spans="1:41">
      <c r="A13" s="1407"/>
      <c r="B13" s="1387"/>
      <c r="C13" s="1388"/>
      <c r="D13" s="1388"/>
      <c r="E13" s="1388"/>
      <c r="F13" s="1388"/>
      <c r="G13" s="1388"/>
      <c r="H13" s="1388"/>
      <c r="I13" s="1388"/>
      <c r="J13" s="19"/>
    </row>
    <row r="14" spans="1:41">
      <c r="A14" s="1407"/>
      <c r="B14" s="1387"/>
      <c r="C14" s="1388"/>
      <c r="D14" s="1388"/>
      <c r="E14" s="1388"/>
      <c r="F14" s="1388"/>
      <c r="G14" s="1388"/>
      <c r="H14" s="1388"/>
      <c r="I14" s="1388"/>
      <c r="J14" s="19"/>
    </row>
    <row r="15" spans="1:41">
      <c r="A15" s="1407"/>
      <c r="B15" s="1387"/>
      <c r="C15" s="1388"/>
      <c r="D15" s="1388"/>
      <c r="E15" s="1388"/>
      <c r="F15" s="1388"/>
      <c r="G15" s="1388"/>
      <c r="H15" s="1388"/>
      <c r="I15" s="1388"/>
      <c r="J15" s="19"/>
    </row>
    <row r="16" spans="1:41">
      <c r="A16" s="1407"/>
      <c r="B16" s="1387"/>
      <c r="C16" s="1388"/>
      <c r="D16" s="1388"/>
      <c r="E16" s="1388"/>
      <c r="F16" s="1388"/>
      <c r="G16" s="1388"/>
      <c r="H16" s="1388"/>
      <c r="I16" s="1388"/>
      <c r="J16" s="19"/>
    </row>
    <row r="17" spans="1:10">
      <c r="A17" s="1407"/>
      <c r="B17" s="1387"/>
      <c r="C17" s="1388"/>
      <c r="D17" s="1388"/>
      <c r="E17" s="1388"/>
      <c r="F17" s="1388"/>
      <c r="G17" s="1388"/>
      <c r="H17" s="1388"/>
      <c r="I17" s="1388"/>
      <c r="J17" s="19"/>
    </row>
    <row r="18" spans="1:10">
      <c r="A18" s="1407"/>
      <c r="B18" s="1387"/>
      <c r="C18" s="1388"/>
      <c r="D18" s="1388"/>
      <c r="E18" s="1388"/>
      <c r="F18" s="1388"/>
      <c r="G18" s="1388"/>
      <c r="H18" s="1388"/>
      <c r="I18" s="1388"/>
      <c r="J18" s="19"/>
    </row>
    <row r="19" spans="1:10">
      <c r="A19" s="1407"/>
      <c r="B19" s="1387"/>
      <c r="C19" s="1388"/>
      <c r="D19" s="1388"/>
      <c r="E19" s="1388"/>
      <c r="F19" s="1388"/>
      <c r="G19" s="1388"/>
      <c r="H19" s="1388"/>
      <c r="I19" s="1388"/>
      <c r="J19" s="19"/>
    </row>
    <row r="20" spans="1:10">
      <c r="A20" s="1407"/>
      <c r="B20" s="1387"/>
      <c r="C20" s="1388"/>
      <c r="D20" s="1388"/>
      <c r="E20" s="1388"/>
      <c r="F20" s="1388"/>
      <c r="G20" s="1388"/>
      <c r="H20" s="1388"/>
      <c r="I20" s="1388"/>
      <c r="J20" s="19"/>
    </row>
    <row r="21" spans="1:10" ht="17" thickBot="1">
      <c r="A21" s="1407"/>
      <c r="B21" s="1414"/>
      <c r="C21" s="1415"/>
      <c r="D21" s="1415"/>
      <c r="E21" s="1415"/>
      <c r="F21" s="1415"/>
      <c r="G21" s="1415"/>
      <c r="H21" s="1415"/>
      <c r="I21" s="1415"/>
      <c r="J21" s="622"/>
    </row>
    <row r="22" spans="1:10" ht="23" customHeight="1" thickBot="1">
      <c r="A22" s="1407"/>
      <c r="B22" s="1416" t="s">
        <v>559</v>
      </c>
      <c r="C22" s="1417"/>
      <c r="D22" s="1417"/>
      <c r="E22" s="1417"/>
      <c r="F22" s="1417"/>
      <c r="G22" s="1417"/>
      <c r="H22" s="1417"/>
      <c r="I22" s="1417"/>
      <c r="J22" s="623">
        <f>SUM(J3:J21)</f>
        <v>750.58333333333337</v>
      </c>
    </row>
    <row r="23" spans="1:10" ht="23" customHeight="1" thickBot="1">
      <c r="A23" s="1407"/>
      <c r="B23" s="1401" t="s">
        <v>560</v>
      </c>
      <c r="C23" s="1402"/>
      <c r="D23" s="1402"/>
      <c r="E23" s="1402"/>
      <c r="F23" s="1402"/>
      <c r="G23" s="1402"/>
      <c r="H23" s="1402"/>
      <c r="I23" s="1403"/>
      <c r="J23" s="708" t="str">
        <f>Stamoplysninger!E12</f>
        <v>Ja</v>
      </c>
    </row>
    <row r="24" spans="1:10" ht="81" customHeight="1" thickBot="1">
      <c r="A24" s="1407"/>
      <c r="B24" s="1404" t="s">
        <v>561</v>
      </c>
      <c r="C24" s="1405"/>
      <c r="D24" s="1405"/>
      <c r="E24" s="1405"/>
      <c r="F24" s="1405"/>
      <c r="G24" s="1405"/>
      <c r="H24" s="1405"/>
      <c r="I24" s="1406"/>
      <c r="J24" s="708">
        <f>IF(J23="Ja",J22,J22/Arbejdstidsoversigt!G15*228)</f>
        <v>750.58333333333337</v>
      </c>
    </row>
    <row r="25" spans="1:10" ht="19">
      <c r="A25" s="1407"/>
      <c r="B25" s="1418" t="s">
        <v>281</v>
      </c>
      <c r="C25" s="1419"/>
      <c r="D25" s="1419"/>
      <c r="E25" s="1419"/>
      <c r="F25" s="1419"/>
      <c r="G25" s="1419"/>
      <c r="H25" s="1419"/>
      <c r="I25" s="1419"/>
      <c r="J25" s="1420"/>
    </row>
    <row r="26" spans="1:10">
      <c r="A26" s="1407"/>
      <c r="B26" s="1393" t="s">
        <v>234</v>
      </c>
      <c r="C26" s="1394"/>
      <c r="D26" s="1394"/>
      <c r="E26" s="1394"/>
      <c r="F26" s="1394"/>
      <c r="G26" s="1394"/>
      <c r="H26" s="1394"/>
      <c r="I26" s="1394"/>
      <c r="J26" s="254">
        <f>August!W41-August!O63</f>
        <v>0</v>
      </c>
    </row>
    <row r="27" spans="1:10">
      <c r="A27" s="1407"/>
      <c r="B27" s="1393" t="s">
        <v>236</v>
      </c>
      <c r="C27" s="1394"/>
      <c r="D27" s="1394"/>
      <c r="E27" s="1394"/>
      <c r="F27" s="1394"/>
      <c r="G27" s="1394"/>
      <c r="H27" s="1394"/>
      <c r="I27" s="1394"/>
      <c r="J27" s="254">
        <f>September!W39-September!O65</f>
        <v>0</v>
      </c>
    </row>
    <row r="28" spans="1:10">
      <c r="A28" s="1407"/>
      <c r="B28" s="1393" t="s">
        <v>237</v>
      </c>
      <c r="C28" s="1394"/>
      <c r="D28" s="1394"/>
      <c r="E28" s="1394"/>
      <c r="F28" s="1394"/>
      <c r="G28" s="1394"/>
      <c r="H28" s="1394"/>
      <c r="I28" s="1394"/>
      <c r="J28" s="254">
        <f>Oktober!W40-Oktober!O66</f>
        <v>0</v>
      </c>
    </row>
    <row r="29" spans="1:10">
      <c r="A29" s="1407"/>
      <c r="B29" s="1393" t="s">
        <v>238</v>
      </c>
      <c r="C29" s="1394"/>
      <c r="D29" s="1394"/>
      <c r="E29" s="1394"/>
      <c r="F29" s="1394"/>
      <c r="G29" s="1394"/>
      <c r="H29" s="1394"/>
      <c r="I29" s="1394"/>
      <c r="J29" s="254">
        <f>November!W39-November!O65</f>
        <v>0</v>
      </c>
    </row>
    <row r="30" spans="1:10">
      <c r="A30" s="1407"/>
      <c r="B30" s="1393" t="s">
        <v>282</v>
      </c>
      <c r="C30" s="1394"/>
      <c r="D30" s="1394"/>
      <c r="E30" s="1394"/>
      <c r="F30" s="1394"/>
      <c r="G30" s="1394"/>
      <c r="H30" s="1394"/>
      <c r="I30" s="1394"/>
      <c r="J30" s="254">
        <f>December!W40-December!O66</f>
        <v>0</v>
      </c>
    </row>
    <row r="31" spans="1:10">
      <c r="A31" s="1407"/>
      <c r="B31" s="1393" t="s">
        <v>283</v>
      </c>
      <c r="C31" s="1394"/>
      <c r="D31" s="1394"/>
      <c r="E31" s="1394"/>
      <c r="F31" s="1394"/>
      <c r="G31" s="1394"/>
      <c r="H31" s="1394"/>
      <c r="I31" s="1394"/>
      <c r="J31" s="254">
        <f>Januar!W40-Januar!O66</f>
        <v>0</v>
      </c>
    </row>
    <row r="32" spans="1:10">
      <c r="A32" s="1407"/>
      <c r="B32" s="1393" t="s">
        <v>284</v>
      </c>
      <c r="C32" s="1394"/>
      <c r="D32" s="1394"/>
      <c r="E32" s="1394"/>
      <c r="F32" s="1394"/>
      <c r="G32" s="1394"/>
      <c r="H32" s="1394"/>
      <c r="I32" s="1394"/>
      <c r="J32" s="254">
        <f>Februar!W38-Februar!O64</f>
        <v>0</v>
      </c>
    </row>
    <row r="33" spans="1:10">
      <c r="A33" s="1407"/>
      <c r="B33" s="1393" t="s">
        <v>285</v>
      </c>
      <c r="C33" s="1394"/>
      <c r="D33" s="1394"/>
      <c r="E33" s="1394"/>
      <c r="F33" s="1394"/>
      <c r="G33" s="1394"/>
      <c r="H33" s="1394"/>
      <c r="I33" s="1394"/>
      <c r="J33" s="254">
        <f>Marts!W40-Marts!O66</f>
        <v>0</v>
      </c>
    </row>
    <row r="34" spans="1:10">
      <c r="A34" s="1407"/>
      <c r="B34" s="1393" t="s">
        <v>286</v>
      </c>
      <c r="C34" s="1394"/>
      <c r="D34" s="1394"/>
      <c r="E34" s="1394"/>
      <c r="F34" s="1394"/>
      <c r="G34" s="1394"/>
      <c r="H34" s="1394"/>
      <c r="I34" s="1394"/>
      <c r="J34" s="254">
        <f>April!W39-April!O65</f>
        <v>0</v>
      </c>
    </row>
    <row r="35" spans="1:10">
      <c r="A35" s="1407"/>
      <c r="B35" s="1393" t="s">
        <v>287</v>
      </c>
      <c r="C35" s="1394"/>
      <c r="D35" s="1394"/>
      <c r="E35" s="1394"/>
      <c r="F35" s="1394"/>
      <c r="G35" s="1394"/>
      <c r="H35" s="1394"/>
      <c r="I35" s="1394"/>
      <c r="J35" s="254">
        <f>Maj!W40-Maj!O66</f>
        <v>0</v>
      </c>
    </row>
    <row r="36" spans="1:10">
      <c r="A36" s="1407"/>
      <c r="B36" s="1393" t="s">
        <v>288</v>
      </c>
      <c r="C36" s="1394"/>
      <c r="D36" s="1394"/>
      <c r="E36" s="1394"/>
      <c r="F36" s="1394"/>
      <c r="G36" s="1394"/>
      <c r="H36" s="1394"/>
      <c r="I36" s="1394"/>
      <c r="J36" s="254">
        <f>Juni!W39-Juni!O65</f>
        <v>0</v>
      </c>
    </row>
    <row r="37" spans="1:10" ht="17" thickBot="1">
      <c r="A37" s="1407"/>
      <c r="B37" s="1410" t="s">
        <v>289</v>
      </c>
      <c r="C37" s="1411"/>
      <c r="D37" s="1411"/>
      <c r="E37" s="1411"/>
      <c r="F37" s="1411"/>
      <c r="G37" s="1411"/>
      <c r="H37" s="1411"/>
      <c r="I37" s="1411"/>
      <c r="J37" s="337">
        <f>Juli!W40-Juli!O66</f>
        <v>0</v>
      </c>
    </row>
    <row r="38" spans="1:10" ht="17" thickBot="1">
      <c r="A38" s="1407"/>
      <c r="B38" s="1412" t="s">
        <v>290</v>
      </c>
      <c r="C38" s="1413"/>
      <c r="D38" s="1413"/>
      <c r="E38" s="1413"/>
      <c r="F38" s="1413"/>
      <c r="G38" s="1413"/>
      <c r="H38" s="1413"/>
      <c r="I38" s="1413"/>
      <c r="J38" s="273">
        <f>SUM(J26:J37)</f>
        <v>0</v>
      </c>
    </row>
    <row r="39" spans="1:10" ht="51" customHeight="1" thickBot="1">
      <c r="A39" s="1407"/>
      <c r="B39" s="1408" t="s">
        <v>352</v>
      </c>
      <c r="C39" s="1409"/>
      <c r="D39" s="1409"/>
      <c r="E39" s="1409"/>
      <c r="F39" s="1409"/>
      <c r="G39" s="1409"/>
      <c r="H39" s="1409"/>
      <c r="I39" s="1409"/>
      <c r="J39" s="272">
        <f>J24+J38</f>
        <v>750.58333333333337</v>
      </c>
    </row>
  </sheetData>
  <sheetProtection sheet="1" objects="1" scenarios="1"/>
  <mergeCells count="40">
    <mergeCell ref="A1:A39"/>
    <mergeCell ref="B39:I39"/>
    <mergeCell ref="B33:I33"/>
    <mergeCell ref="B34:I34"/>
    <mergeCell ref="B35:I35"/>
    <mergeCell ref="B36:I36"/>
    <mergeCell ref="B37:I37"/>
    <mergeCell ref="B38:I38"/>
    <mergeCell ref="B32:I32"/>
    <mergeCell ref="B20:I20"/>
    <mergeCell ref="B21:I21"/>
    <mergeCell ref="B22:I22"/>
    <mergeCell ref="B25:J25"/>
    <mergeCell ref="B26:I26"/>
    <mergeCell ref="B27:I27"/>
    <mergeCell ref="B12:I12"/>
    <mergeCell ref="B28:I28"/>
    <mergeCell ref="B29:I29"/>
    <mergeCell ref="B30:I30"/>
    <mergeCell ref="B31:I31"/>
    <mergeCell ref="B19:I19"/>
    <mergeCell ref="B23:I23"/>
    <mergeCell ref="B24:I24"/>
    <mergeCell ref="B18:I18"/>
    <mergeCell ref="B13:I13"/>
    <mergeCell ref="B14:I14"/>
    <mergeCell ref="B15:I15"/>
    <mergeCell ref="B16:I16"/>
    <mergeCell ref="B17:I17"/>
    <mergeCell ref="B1:J1"/>
    <mergeCell ref="B3:I3"/>
    <mergeCell ref="B4:I4"/>
    <mergeCell ref="B5:J5"/>
    <mergeCell ref="B6:I6"/>
    <mergeCell ref="B2:J2"/>
    <mergeCell ref="B8:I8"/>
    <mergeCell ref="B9:I9"/>
    <mergeCell ref="B10:I10"/>
    <mergeCell ref="B11:I11"/>
    <mergeCell ref="B7:I7"/>
  </mergeCells>
  <conditionalFormatting sqref="J6:J21">
    <cfRule type="expression" dxfId="367" priority="1">
      <formula>OR($B6&gt;0,)</formula>
    </cfRule>
  </conditionalFormatting>
  <pageMargins left="0.7" right="0.7" top="0.75" bottom="0.75" header="0.3" footer="0.3"/>
  <pageSetup paperSize="9" scale="76" orientation="portrait" horizontalDpi="0" verticalDpi="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85B6-1FF8-934A-A24E-4A51782ACD68}">
  <sheetPr>
    <tabColor theme="6" tint="0.39997558519241921"/>
    <pageSetUpPr fitToPage="1"/>
  </sheetPr>
  <dimension ref="A1:D35"/>
  <sheetViews>
    <sheetView zoomScale="125" zoomScaleNormal="125" zoomScalePageLayoutView="125" workbookViewId="0">
      <selection activeCell="C18" sqref="C18"/>
    </sheetView>
  </sheetViews>
  <sheetFormatPr baseColWidth="10" defaultColWidth="11" defaultRowHeight="16"/>
  <cols>
    <col min="1" max="1" width="6" customWidth="1"/>
    <col min="2" max="2" width="6.1640625" customWidth="1"/>
    <col min="3" max="3" width="68.83203125" customWidth="1"/>
    <col min="4" max="4" width="15" customWidth="1"/>
  </cols>
  <sheetData>
    <row r="1" spans="1:4" ht="19">
      <c r="A1" s="47" t="s">
        <v>75</v>
      </c>
    </row>
    <row r="2" spans="1:4" ht="19">
      <c r="A2" s="47"/>
    </row>
    <row r="3" spans="1:4" ht="19">
      <c r="A3" s="47" t="s">
        <v>76</v>
      </c>
      <c r="C3" s="493" t="str">
        <f>IF(Stamoplysninger!E8&gt;0,Stamoplysninger!E8,"")</f>
        <v>Beate Simonsen</v>
      </c>
    </row>
    <row r="4" spans="1:4" ht="19">
      <c r="A4" s="47"/>
    </row>
    <row r="5" spans="1:4" ht="19">
      <c r="A5" s="47"/>
      <c r="C5" s="48" t="s">
        <v>26</v>
      </c>
      <c r="D5" s="494">
        <f>IF(Stamoplysninger!E15&gt;0,Stamoplysninger!E15,"")</f>
        <v>1</v>
      </c>
    </row>
    <row r="6" spans="1:4">
      <c r="A6" s="299" t="s">
        <v>77</v>
      </c>
      <c r="B6" s="49" t="s">
        <v>78</v>
      </c>
    </row>
    <row r="7" spans="1:4">
      <c r="A7" s="50">
        <v>1</v>
      </c>
      <c r="B7" s="51" t="s">
        <v>79</v>
      </c>
      <c r="C7" s="48"/>
      <c r="D7" s="52"/>
    </row>
    <row r="8" spans="1:4">
      <c r="A8" s="53">
        <v>2</v>
      </c>
      <c r="B8" s="54" t="s">
        <v>80</v>
      </c>
      <c r="C8" s="55"/>
      <c r="D8" s="52"/>
    </row>
    <row r="9" spans="1:4">
      <c r="A9" s="53">
        <v>3</v>
      </c>
      <c r="B9" s="54" t="s">
        <v>125</v>
      </c>
      <c r="C9" s="55"/>
      <c r="D9" s="52"/>
    </row>
    <row r="10" spans="1:4">
      <c r="A10" s="53">
        <v>4</v>
      </c>
      <c r="B10" s="54" t="s">
        <v>81</v>
      </c>
      <c r="C10" s="55"/>
      <c r="D10" s="52"/>
    </row>
    <row r="11" spans="1:4">
      <c r="A11" s="50">
        <v>5</v>
      </c>
      <c r="B11" s="54" t="s">
        <v>82</v>
      </c>
      <c r="C11" s="55"/>
      <c r="D11" s="52"/>
    </row>
    <row r="12" spans="1:4">
      <c r="A12" s="50">
        <v>6</v>
      </c>
      <c r="B12" s="54" t="s">
        <v>170</v>
      </c>
      <c r="C12" s="55"/>
      <c r="D12" s="52"/>
    </row>
    <row r="13" spans="1:4">
      <c r="A13" s="50">
        <v>7</v>
      </c>
      <c r="B13" s="54" t="s">
        <v>83</v>
      </c>
      <c r="C13" s="55"/>
      <c r="D13" s="52"/>
    </row>
    <row r="14" spans="1:4">
      <c r="A14" s="50">
        <v>8</v>
      </c>
      <c r="B14" s="1421" t="s">
        <v>562</v>
      </c>
      <c r="C14" s="1422"/>
      <c r="D14" s="52"/>
    </row>
    <row r="15" spans="1:4">
      <c r="A15" s="53">
        <v>9</v>
      </c>
      <c r="B15" s="54" t="s">
        <v>84</v>
      </c>
      <c r="C15" s="55"/>
      <c r="D15" s="52"/>
    </row>
    <row r="16" spans="1:4">
      <c r="A16" s="53">
        <v>10</v>
      </c>
      <c r="B16" s="54" t="s">
        <v>171</v>
      </c>
      <c r="C16" s="55"/>
      <c r="D16" s="52"/>
    </row>
    <row r="17" spans="1:4">
      <c r="A17" s="53">
        <v>11</v>
      </c>
      <c r="B17" s="54" t="s">
        <v>126</v>
      </c>
      <c r="C17" s="55"/>
      <c r="D17" s="52"/>
    </row>
    <row r="18" spans="1:4">
      <c r="A18" s="50">
        <v>12</v>
      </c>
      <c r="B18" s="54" t="s">
        <v>126</v>
      </c>
      <c r="C18" s="55"/>
      <c r="D18" s="52"/>
    </row>
    <row r="19" spans="1:4">
      <c r="A19" s="50">
        <v>13</v>
      </c>
      <c r="B19" s="54" t="s">
        <v>126</v>
      </c>
      <c r="C19" s="55"/>
      <c r="D19" s="52"/>
    </row>
    <row r="20" spans="1:4">
      <c r="A20" s="50">
        <v>14</v>
      </c>
      <c r="B20" s="54" t="s">
        <v>126</v>
      </c>
      <c r="C20" s="55"/>
      <c r="D20" s="52"/>
    </row>
    <row r="21" spans="1:4">
      <c r="A21" s="53">
        <v>15</v>
      </c>
      <c r="B21" s="54" t="s">
        <v>126</v>
      </c>
      <c r="C21" s="55"/>
      <c r="D21" s="52"/>
    </row>
    <row r="22" spans="1:4">
      <c r="A22" s="53">
        <v>16</v>
      </c>
      <c r="B22" t="s">
        <v>124</v>
      </c>
      <c r="D22" s="52"/>
    </row>
    <row r="23" spans="1:4">
      <c r="A23" s="53">
        <v>17</v>
      </c>
      <c r="B23" s="56" t="s">
        <v>122</v>
      </c>
      <c r="C23" s="56"/>
      <c r="D23" s="57">
        <f>SUM(D7:D22)</f>
        <v>0</v>
      </c>
    </row>
    <row r="25" spans="1:4">
      <c r="A25" s="50">
        <v>18</v>
      </c>
      <c r="B25" s="51" t="s">
        <v>85</v>
      </c>
      <c r="C25" s="48"/>
      <c r="D25" s="58">
        <f>IF(D5&gt;0,D23/D5,0)</f>
        <v>0</v>
      </c>
    </row>
    <row r="27" spans="1:4">
      <c r="A27" s="50">
        <v>19</v>
      </c>
      <c r="B27" s="51" t="s">
        <v>172</v>
      </c>
      <c r="C27" s="48"/>
      <c r="D27" s="57">
        <f>IF(D25&gt;0,D25/1924*12,0)</f>
        <v>0</v>
      </c>
    </row>
    <row r="28" spans="1:4">
      <c r="A28" s="299"/>
    </row>
    <row r="29" spans="1:4">
      <c r="A29" s="50">
        <v>20</v>
      </c>
      <c r="B29" s="51" t="s">
        <v>86</v>
      </c>
      <c r="C29" s="48"/>
      <c r="D29" s="58">
        <f>D$27*25%</f>
        <v>0</v>
      </c>
    </row>
    <row r="30" spans="1:4">
      <c r="A30" s="299"/>
      <c r="D30" s="59"/>
    </row>
    <row r="31" spans="1:4">
      <c r="A31" s="50">
        <v>21</v>
      </c>
      <c r="B31" s="51" t="s">
        <v>87</v>
      </c>
      <c r="C31" s="48"/>
      <c r="D31" s="58">
        <f>D$27*50%</f>
        <v>0</v>
      </c>
    </row>
    <row r="32" spans="1:4">
      <c r="A32" s="299"/>
      <c r="D32" s="59"/>
    </row>
    <row r="33" spans="1:4">
      <c r="A33" s="50">
        <v>22</v>
      </c>
      <c r="B33" s="51" t="s">
        <v>88</v>
      </c>
      <c r="C33" s="48"/>
      <c r="D33" s="58">
        <f>D$27</f>
        <v>0</v>
      </c>
    </row>
    <row r="35" spans="1:4">
      <c r="A35" s="50">
        <v>23</v>
      </c>
      <c r="B35" s="51" t="s">
        <v>89</v>
      </c>
      <c r="C35" s="48"/>
      <c r="D35" s="58">
        <f>SUM(D29:D33)</f>
        <v>0</v>
      </c>
    </row>
  </sheetData>
  <sheetProtection sheet="1" formatCells="0" formatColumns="0" formatRows="0"/>
  <mergeCells count="1">
    <mergeCell ref="B14:C14"/>
  </mergeCells>
  <pageMargins left="0.75" right="0.75" top="1" bottom="1" header="0.5" footer="0.5"/>
  <pageSetup paperSize="9" scale="84" orientation="portrait" horizontalDpi="4294967292" verticalDpi="4294967292"/>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5" type="noConversion"/>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220" t="e">
        <f>_xlfn.SINGLE(Arbejdstidsoversigt!#REF!)</f>
        <v>#REF!</v>
      </c>
      <c r="D2" s="1221"/>
      <c r="E2" s="1222"/>
    </row>
    <row r="3" spans="2:8">
      <c r="B3" s="2" t="s">
        <v>2</v>
      </c>
      <c r="C3" s="1434" t="e">
        <f>_xlfn.SINGLE(Arbejdstidsoversigt!#REF!)</f>
        <v>#REF!</v>
      </c>
      <c r="D3" s="1434"/>
      <c r="E3" s="1434"/>
    </row>
    <row r="4" spans="2:8">
      <c r="B4" s="2" t="s">
        <v>3</v>
      </c>
      <c r="C4" s="1434" t="e">
        <f>Arbejdstidsoversigt!#REF!</f>
        <v>#REF!</v>
      </c>
      <c r="D4" s="1434"/>
      <c r="E4" s="1434"/>
    </row>
    <row r="5" spans="2:8" ht="34" customHeight="1">
      <c r="B5" s="1435" t="s">
        <v>23</v>
      </c>
      <c r="C5" s="1435"/>
      <c r="D5" s="1435"/>
      <c r="E5" s="1435"/>
    </row>
    <row r="6" spans="2:8" ht="15" customHeight="1">
      <c r="B6" s="3"/>
      <c r="C6" s="3"/>
      <c r="D6" s="3"/>
      <c r="E6" s="3"/>
    </row>
    <row r="7" spans="2:8" ht="21">
      <c r="B7" s="5" t="s">
        <v>0</v>
      </c>
    </row>
    <row r="8" spans="2:8" ht="31">
      <c r="B8" s="1438" t="s">
        <v>48</v>
      </c>
      <c r="C8" s="1439"/>
      <c r="D8" s="1439"/>
      <c r="E8" s="1439"/>
      <c r="F8" s="1439"/>
      <c r="G8" s="1439"/>
      <c r="H8" s="1440"/>
    </row>
    <row r="9" spans="2:8" ht="15" customHeight="1">
      <c r="B9" s="1441" t="s">
        <v>52</v>
      </c>
      <c r="C9" s="1442"/>
      <c r="D9" s="1442"/>
      <c r="E9" s="1442"/>
      <c r="F9" s="1442"/>
      <c r="G9" s="1442"/>
      <c r="H9" s="1443"/>
    </row>
    <row r="10" spans="2:8" ht="34">
      <c r="B10" s="27" t="s">
        <v>32</v>
      </c>
      <c r="C10" s="28" t="s">
        <v>33</v>
      </c>
      <c r="D10" s="29" t="s">
        <v>34</v>
      </c>
      <c r="E10" s="29" t="s">
        <v>35</v>
      </c>
      <c r="F10" s="29" t="s">
        <v>36</v>
      </c>
      <c r="G10" s="29" t="s">
        <v>37</v>
      </c>
      <c r="H10" s="29" t="s">
        <v>38</v>
      </c>
    </row>
    <row r="11" spans="2:8" ht="15" customHeight="1">
      <c r="B11" s="25">
        <v>1</v>
      </c>
      <c r="C11" s="30">
        <v>15</v>
      </c>
      <c r="D11" s="30" t="s">
        <v>43</v>
      </c>
      <c r="E11" s="32"/>
      <c r="F11" s="32" t="s">
        <v>43</v>
      </c>
      <c r="G11" s="32"/>
      <c r="H11" s="30" t="s">
        <v>43</v>
      </c>
    </row>
    <row r="12" spans="2:8" ht="15" customHeight="1">
      <c r="B12" s="25">
        <v>2</v>
      </c>
      <c r="C12" s="30">
        <v>60</v>
      </c>
      <c r="D12" s="30" t="s">
        <v>6</v>
      </c>
      <c r="E12" s="32" t="s">
        <v>5</v>
      </c>
      <c r="F12" s="32" t="s">
        <v>8</v>
      </c>
      <c r="G12" s="32" t="s">
        <v>41</v>
      </c>
      <c r="H12" s="32" t="s">
        <v>45</v>
      </c>
    </row>
    <row r="13" spans="2:8" ht="15" customHeight="1">
      <c r="B13" s="25">
        <v>3</v>
      </c>
      <c r="C13" s="30">
        <v>60</v>
      </c>
      <c r="D13" s="30" t="s">
        <v>39</v>
      </c>
      <c r="E13" s="32" t="s">
        <v>6</v>
      </c>
      <c r="F13" s="32" t="s">
        <v>5</v>
      </c>
      <c r="G13" s="32" t="s">
        <v>41</v>
      </c>
      <c r="H13" s="32" t="s">
        <v>7</v>
      </c>
    </row>
    <row r="14" spans="2:8" ht="15" customHeight="1">
      <c r="B14" s="25">
        <v>4</v>
      </c>
      <c r="C14" s="30">
        <v>60</v>
      </c>
      <c r="D14" s="30" t="s">
        <v>8</v>
      </c>
      <c r="E14" s="32" t="s">
        <v>6</v>
      </c>
      <c r="F14" s="32" t="s">
        <v>5</v>
      </c>
      <c r="G14" s="32" t="s">
        <v>5</v>
      </c>
      <c r="H14" s="32" t="s">
        <v>7</v>
      </c>
    </row>
    <row r="15" spans="2:8" ht="15" customHeight="1">
      <c r="B15" s="25">
        <v>5</v>
      </c>
      <c r="C15" s="30">
        <v>45</v>
      </c>
      <c r="D15" s="30"/>
      <c r="E15" s="32" t="s">
        <v>42</v>
      </c>
      <c r="F15" s="32" t="s">
        <v>44</v>
      </c>
      <c r="G15" s="32"/>
      <c r="H15" s="32" t="s">
        <v>5</v>
      </c>
    </row>
    <row r="16" spans="2:8" ht="15" customHeight="1">
      <c r="B16" s="33">
        <v>6</v>
      </c>
      <c r="C16" s="30">
        <v>45</v>
      </c>
      <c r="D16" s="32" t="s">
        <v>40</v>
      </c>
      <c r="E16" s="32" t="s">
        <v>42</v>
      </c>
      <c r="F16" s="32" t="s">
        <v>44</v>
      </c>
      <c r="G16" s="32"/>
      <c r="H16" s="30"/>
    </row>
    <row r="17" spans="1:8" ht="15" customHeight="1">
      <c r="B17" s="33">
        <v>7</v>
      </c>
      <c r="C17" s="30">
        <v>45</v>
      </c>
      <c r="D17" s="32" t="s">
        <v>40</v>
      </c>
      <c r="E17" s="32"/>
      <c r="F17" s="32"/>
      <c r="G17" s="32"/>
      <c r="H17" s="30"/>
    </row>
    <row r="18" spans="1:8" ht="15" customHeight="1">
      <c r="B18" s="33">
        <v>8</v>
      </c>
      <c r="C18" s="30">
        <v>45</v>
      </c>
      <c r="D18" s="32"/>
      <c r="E18" s="32"/>
      <c r="F18" s="32"/>
      <c r="G18" s="32"/>
      <c r="H18" s="31"/>
    </row>
    <row r="19" spans="1:8" ht="15" customHeight="1">
      <c r="B19" s="1444" t="s">
        <v>55</v>
      </c>
      <c r="C19" s="1445"/>
      <c r="D19" s="32">
        <v>38</v>
      </c>
      <c r="E19" s="32">
        <v>40</v>
      </c>
      <c r="F19" s="32">
        <v>39</v>
      </c>
      <c r="G19" s="32">
        <v>39</v>
      </c>
      <c r="H19" s="32">
        <v>38</v>
      </c>
    </row>
    <row r="20" spans="1:8" ht="15" customHeight="1">
      <c r="B20" s="803" t="s">
        <v>57</v>
      </c>
      <c r="C20" s="805"/>
      <c r="D20" s="29" t="e">
        <f>(IF(D11&lt;&gt;0,D19*$C$24)+IF(D12&lt;&gt;0,$C$25*D19)+IF(D13&lt;&gt;0,D19*$C$26)+IF(D14&lt;&gt;0,D19*$C$27)+IF(D15&lt;&gt;0,D19*$C$28)+IF(D16&lt;&gt;0,D19*$C$29)+IF(D17&lt;&gt;0,D19*$C$30)+IF(D18&lt;&gt;0,D19*$C$31))/60</f>
        <v>#VALUE!</v>
      </c>
      <c r="E20" s="29" t="e">
        <f>(IF(E11&lt;&gt;0,E19*$C$24)+IF(E12&lt;&gt;0,$C$25*E19)+IF(E13&lt;&gt;0,E19*$C$26)+IF(E14&lt;&gt;0,E19*$C$27)+IF(E15&lt;&gt;0,E19*$C$28)+IF(E16&lt;&gt;0,E19*$C$29)+IF(E17&lt;&gt;0,E19*$C$30)+IF(E18&lt;&gt;0,E19*$C$31))/60</f>
        <v>#VALUE!</v>
      </c>
      <c r="F20" s="29" t="e">
        <f>(IF(F11&lt;&gt;0,F19*$C$24)+IF(F12&lt;&gt;0,$C$25*F19)+IF(F13&lt;&gt;0,F19*$C$26)+IF(F14&lt;&gt;0,F19*$C$27)+IF(F15&lt;&gt;0,F19*$C$28)+IF(F16&lt;&gt;0,F19*$C$29)+IF(F17&lt;&gt;0,F19*$C$30)+IF(F18&lt;&gt;0,F19*$C$31))/60</f>
        <v>#VALUE!</v>
      </c>
      <c r="G20" s="29" t="e">
        <f>(IF(G11&lt;&gt;0,G19*$C$24)+IF(G12&lt;&gt;0,$C$25*G19)+IF(G13&lt;&gt;0,G19*$C$26)+IF(G14&lt;&gt;0,G19*$C$27)+IF(G15&lt;&gt;0,G19*$C$28)+IF(G16&lt;&gt;0,G19*$C$29)+IF(G17&lt;&gt;0,G19*$C$30)+IF(G18&lt;&gt;0,G19*$C$31))/60</f>
        <v>#VALUE!</v>
      </c>
      <c r="H20" s="29" t="e">
        <f>(IF(H11&lt;&gt;0,H19*$C$24)+IF(H12&lt;&gt;0,$C$25*H19)+IF(H13&lt;&gt;0,H19*$C$26)+IF(H14&lt;&gt;0,H19*$C$27)+IF(H15&lt;&gt;0,H19*$C$28)+IF(H16&lt;&gt;0,H19*$C$29)+IF(H17&lt;&gt;0,H19*$C$30)+IF(H18&lt;&gt;0,H19*$C$31))/60</f>
        <v>#VALUE!</v>
      </c>
    </row>
    <row r="21" spans="1:8" ht="15" customHeight="1">
      <c r="B21" s="1446" t="s">
        <v>54</v>
      </c>
      <c r="C21" s="817" t="s">
        <v>46</v>
      </c>
      <c r="D21" s="818"/>
      <c r="E21" s="818"/>
      <c r="F21" s="818"/>
      <c r="G21" s="1426"/>
      <c r="H21" s="29" t="e">
        <f>SUM(D20:H20)</f>
        <v>#VALUE!</v>
      </c>
    </row>
    <row r="22" spans="1:8" ht="15" customHeight="1">
      <c r="B22" s="1447"/>
      <c r="C22" s="1423" t="s">
        <v>49</v>
      </c>
      <c r="D22" s="1424"/>
      <c r="E22" s="1424"/>
      <c r="F22" s="1424"/>
      <c r="G22" s="1425"/>
      <c r="H22" s="32">
        <v>32</v>
      </c>
    </row>
    <row r="23" spans="1:8" ht="15" customHeight="1">
      <c r="B23" s="1447"/>
      <c r="C23" s="1423" t="s">
        <v>50</v>
      </c>
      <c r="D23" s="1424"/>
      <c r="E23" s="1424"/>
      <c r="F23" s="1424"/>
      <c r="G23" s="1425"/>
      <c r="H23" s="32">
        <v>12</v>
      </c>
    </row>
    <row r="24" spans="1:8" ht="15" customHeight="1">
      <c r="A24" s="1433"/>
      <c r="B24" s="1447"/>
      <c r="C24" s="1423" t="s">
        <v>51</v>
      </c>
      <c r="D24" s="1424"/>
      <c r="E24" s="1424"/>
      <c r="F24" s="1424"/>
      <c r="G24" s="1425"/>
      <c r="H24" s="32">
        <v>65</v>
      </c>
    </row>
    <row r="25" spans="1:8" ht="15" customHeight="1">
      <c r="A25" s="1433"/>
      <c r="B25" s="1448"/>
      <c r="C25" s="817" t="s">
        <v>47</v>
      </c>
      <c r="D25" s="818"/>
      <c r="E25" s="818"/>
      <c r="F25" s="818"/>
      <c r="G25" s="1426"/>
      <c r="H25" s="29" t="e">
        <f>SUM(H21:H24)</f>
        <v>#VALUE!</v>
      </c>
    </row>
    <row r="26" spans="1:8">
      <c r="A26" s="1433"/>
      <c r="B26" s="14" t="s">
        <v>12</v>
      </c>
      <c r="C26" s="15">
        <v>5</v>
      </c>
      <c r="D26" s="15">
        <v>8</v>
      </c>
      <c r="E26" s="18">
        <f>D26*C26</f>
        <v>40</v>
      </c>
    </row>
    <row r="27" spans="1:8" ht="17" thickBot="1">
      <c r="A27" s="1433"/>
      <c r="B27" s="20"/>
      <c r="C27" s="21"/>
      <c r="D27" s="21"/>
      <c r="E27" s="22"/>
    </row>
    <row r="28" spans="1:8" ht="17" thickBot="1">
      <c r="A28" s="1433"/>
    </row>
    <row r="29" spans="1:8" ht="17" thickBot="1">
      <c r="B29" s="10" t="s">
        <v>11</v>
      </c>
      <c r="C29" s="11" t="s">
        <v>10</v>
      </c>
      <c r="D29" s="11" t="s">
        <v>13</v>
      </c>
      <c r="E29" s="12" t="s">
        <v>14</v>
      </c>
    </row>
    <row r="30" spans="1:8">
      <c r="B30" s="14" t="s">
        <v>22</v>
      </c>
      <c r="C30" s="15">
        <v>1</v>
      </c>
      <c r="D30" s="15">
        <v>7</v>
      </c>
      <c r="E30" s="18">
        <f>D30*C30</f>
        <v>7</v>
      </c>
    </row>
    <row r="31" spans="1:8">
      <c r="B31" s="16" t="s">
        <v>17</v>
      </c>
      <c r="C31" s="17">
        <v>1</v>
      </c>
      <c r="D31" s="17">
        <v>8</v>
      </c>
      <c r="E31" s="18">
        <f>D31*C31</f>
        <v>8</v>
      </c>
    </row>
    <row r="32" spans="1:8" ht="17" thickBot="1">
      <c r="B32" s="20"/>
      <c r="C32" s="21"/>
      <c r="D32" s="21"/>
      <c r="E32" s="23">
        <f>D32*C32</f>
        <v>0</v>
      </c>
    </row>
    <row r="33" spans="1:5" ht="17" thickBot="1">
      <c r="B33" s="7" t="s">
        <v>20</v>
      </c>
      <c r="C33" s="8"/>
      <c r="D33" s="8"/>
      <c r="E33" s="9" t="e">
        <f>SUM(E10:E32)</f>
        <v>#VALUE!</v>
      </c>
    </row>
    <row r="35" spans="1:5" ht="22" thickBot="1">
      <c r="A35" s="1433"/>
      <c r="B35" s="6" t="s">
        <v>15</v>
      </c>
    </row>
    <row r="36" spans="1:5" ht="17" thickBot="1">
      <c r="A36" s="1433"/>
      <c r="B36" s="1431" t="s">
        <v>15</v>
      </c>
      <c r="C36" s="1432"/>
      <c r="D36" s="12" t="s">
        <v>19</v>
      </c>
    </row>
    <row r="37" spans="1:5">
      <c r="A37" s="1433"/>
      <c r="B37" s="1436" t="s">
        <v>16</v>
      </c>
      <c r="C37" s="1437"/>
      <c r="D37" s="18"/>
      <c r="E37" s="4"/>
    </row>
    <row r="38" spans="1:5">
      <c r="A38" s="1433"/>
      <c r="B38" s="1427" t="s">
        <v>18</v>
      </c>
      <c r="C38" s="1428"/>
      <c r="D38" s="19"/>
      <c r="E38" s="4"/>
    </row>
    <row r="39" spans="1:5">
      <c r="B39" s="1427" t="s">
        <v>21</v>
      </c>
      <c r="C39" s="1428"/>
      <c r="D39" s="19"/>
      <c r="E39" s="4"/>
    </row>
    <row r="40" spans="1:5">
      <c r="B40" s="1427"/>
      <c r="C40" s="1428"/>
      <c r="D40" s="19"/>
      <c r="E40" s="4"/>
    </row>
    <row r="41" spans="1:5">
      <c r="B41" s="1427"/>
      <c r="C41" s="1428"/>
      <c r="D41" s="19"/>
      <c r="E41" s="4"/>
    </row>
    <row r="42" spans="1:5">
      <c r="B42" s="1427"/>
      <c r="C42" s="1428"/>
      <c r="D42" s="19"/>
      <c r="E42" s="4"/>
    </row>
    <row r="43" spans="1:5">
      <c r="B43" s="1427"/>
      <c r="C43" s="1428"/>
      <c r="D43" s="19"/>
      <c r="E43" s="4"/>
    </row>
    <row r="44" spans="1:5">
      <c r="B44" s="1427"/>
      <c r="C44" s="1428"/>
      <c r="D44" s="19"/>
      <c r="E44" s="4"/>
    </row>
    <row r="45" spans="1:5">
      <c r="B45" s="1427"/>
      <c r="C45" s="1428"/>
      <c r="D45" s="19"/>
      <c r="E45" s="4"/>
    </row>
    <row r="46" spans="1:5">
      <c r="B46" s="1427"/>
      <c r="C46" s="1428"/>
      <c r="D46" s="19"/>
      <c r="E46" s="4"/>
    </row>
    <row r="47" spans="1:5">
      <c r="B47" s="1427"/>
      <c r="C47" s="1428"/>
      <c r="D47" s="19"/>
      <c r="E47" s="4"/>
    </row>
    <row r="48" spans="1:5">
      <c r="B48" s="1427"/>
      <c r="C48" s="1428"/>
      <c r="D48" s="19"/>
      <c r="E48" s="4"/>
    </row>
    <row r="49" spans="2:5">
      <c r="B49" s="1427"/>
      <c r="C49" s="1428"/>
      <c r="D49" s="19"/>
      <c r="E49" s="4"/>
    </row>
    <row r="50" spans="2:5">
      <c r="B50" s="1427"/>
      <c r="C50" s="1428"/>
      <c r="D50" s="19"/>
      <c r="E50" s="4"/>
    </row>
    <row r="51" spans="2:5" ht="17" thickBot="1">
      <c r="B51" s="1429"/>
      <c r="C51" s="1430"/>
      <c r="D51" s="22"/>
      <c r="E51" s="4"/>
    </row>
  </sheetData>
  <mergeCells count="32">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s>
  <phoneticPr fontId="5"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1"/>
  <sheetViews>
    <sheetView showZeros="0" view="pageLayout" workbookViewId="0">
      <selection activeCell="S13" sqref="S13"/>
    </sheetView>
  </sheetViews>
  <sheetFormatPr baseColWidth="10" defaultRowHeight="12"/>
  <cols>
    <col min="1" max="1" width="3" style="63" customWidth="1"/>
    <col min="2" max="2" width="3.33203125" style="63" customWidth="1"/>
    <col min="3" max="3" width="12.1640625" style="63" customWidth="1"/>
    <col min="4" max="5" width="3" style="63" customWidth="1"/>
    <col min="6" max="6" width="3.33203125" style="63" customWidth="1"/>
    <col min="7" max="7" width="13.1640625" style="63" customWidth="1"/>
    <col min="8" max="8" width="2.5" style="63" customWidth="1"/>
    <col min="9" max="9" width="3" style="63" customWidth="1"/>
    <col min="10" max="10" width="3.33203125" style="63" customWidth="1"/>
    <col min="11" max="11" width="12.1640625" style="63" customWidth="1"/>
    <col min="12" max="12" width="2.5" style="63" customWidth="1"/>
    <col min="13" max="13" width="3" style="63" customWidth="1"/>
    <col min="14" max="14" width="3.33203125" style="63" customWidth="1"/>
    <col min="15" max="15" width="12.1640625" style="63" customWidth="1"/>
    <col min="16" max="16" width="2.5" style="63" customWidth="1"/>
    <col min="17" max="17" width="3" style="63" customWidth="1"/>
    <col min="18" max="18" width="3.33203125" style="63" customWidth="1"/>
    <col min="19" max="19" width="12.1640625" style="63" customWidth="1"/>
    <col min="20" max="20" width="2.5" style="63" customWidth="1"/>
    <col min="21" max="21" width="3" style="63" customWidth="1"/>
    <col min="22" max="22" width="3.33203125" style="63" customWidth="1"/>
    <col min="23" max="23" width="12.1640625" style="63" customWidth="1"/>
    <col min="24" max="24" width="2.5" style="63" customWidth="1"/>
    <col min="25" max="25" width="3" style="63" customWidth="1"/>
    <col min="26" max="26" width="3.33203125" style="63" customWidth="1"/>
    <col min="27" max="27" width="12.1640625" style="63" customWidth="1"/>
    <col min="28" max="28" width="2.5" style="63" customWidth="1"/>
    <col min="29" max="29" width="3" style="63" customWidth="1"/>
    <col min="30" max="30" width="3.33203125" style="63" customWidth="1"/>
    <col min="31" max="31" width="12.1640625" style="63" customWidth="1"/>
    <col min="32" max="32" width="2.5" style="63" customWidth="1"/>
    <col min="33" max="33" width="3" style="63" customWidth="1"/>
    <col min="34" max="34" width="3.33203125" style="63" customWidth="1"/>
    <col min="35" max="35" width="12.1640625" style="63" customWidth="1"/>
    <col min="36" max="36" width="2.5" style="63" customWidth="1"/>
    <col min="37" max="37" width="3" style="63" customWidth="1"/>
    <col min="38" max="38" width="3.33203125" style="63" customWidth="1"/>
    <col min="39" max="39" width="12.1640625" style="63" customWidth="1"/>
    <col min="40" max="40" width="2.5" style="63" customWidth="1"/>
    <col min="41" max="41" width="3" style="63" customWidth="1"/>
    <col min="42" max="42" width="3.33203125" style="63" customWidth="1"/>
    <col min="43" max="43" width="12.1640625" style="63" customWidth="1"/>
    <col min="44" max="44" width="2.5" style="63" customWidth="1"/>
    <col min="45" max="45" width="3" style="63" customWidth="1"/>
    <col min="46" max="46" width="3.6640625" style="63" customWidth="1"/>
    <col min="47" max="47" width="12.1640625" style="63" customWidth="1"/>
    <col min="48" max="48" width="4.33203125" style="63" customWidth="1"/>
    <col min="49" max="16384" width="10.83203125" style="63"/>
  </cols>
  <sheetData>
    <row r="1" spans="1:48" ht="30" customHeight="1" thickBot="1">
      <c r="A1" s="108" t="str">
        <f>"ÅRSKALENDER  for  "&amp;Stamoplysninger!E8&amp;" vedr. skoleåret "&amp;Stamoplysninger!F6&amp;""</f>
        <v>ÅRSKALENDER  for  Beate Simonsen vedr. skoleåret 2024-2025</v>
      </c>
      <c r="B1" s="106"/>
      <c r="C1" s="105"/>
      <c r="D1" s="107"/>
      <c r="E1" s="105"/>
      <c r="F1" s="106"/>
      <c r="G1" s="105"/>
      <c r="H1" s="107"/>
      <c r="I1" s="105"/>
      <c r="J1" s="106"/>
      <c r="K1" s="105"/>
      <c r="L1" s="107"/>
      <c r="M1" s="105"/>
      <c r="N1" s="106"/>
      <c r="O1" s="105"/>
      <c r="P1" s="107"/>
      <c r="Q1" s="105"/>
      <c r="R1" s="106"/>
      <c r="S1" s="105"/>
      <c r="T1" s="107"/>
      <c r="U1" s="105"/>
      <c r="V1" s="106"/>
      <c r="W1" s="105"/>
      <c r="X1" s="107"/>
      <c r="Y1" s="105"/>
      <c r="Z1" s="106"/>
      <c r="AA1" s="105"/>
      <c r="AB1" s="107"/>
      <c r="AC1" s="105"/>
      <c r="AD1" s="106"/>
      <c r="AE1" s="105"/>
      <c r="AF1" s="107"/>
      <c r="AG1" s="105"/>
      <c r="AH1" s="106"/>
      <c r="AI1" s="105"/>
      <c r="AJ1" s="107"/>
      <c r="AK1" s="105"/>
      <c r="AL1" s="106"/>
      <c r="AM1" s="105"/>
      <c r="AN1" s="107"/>
      <c r="AO1" s="105"/>
      <c r="AP1" s="106"/>
      <c r="AQ1" s="105"/>
      <c r="AR1" s="107"/>
      <c r="AS1" s="105"/>
      <c r="AT1" s="106"/>
      <c r="AU1" s="105"/>
      <c r="AV1" s="104"/>
    </row>
    <row r="2" spans="1:48" ht="24" customHeight="1">
      <c r="A2" s="558" t="s">
        <v>91</v>
      </c>
      <c r="B2" s="559"/>
      <c r="C2" s="560"/>
      <c r="D2" s="561"/>
      <c r="E2" s="557" t="s">
        <v>92</v>
      </c>
      <c r="F2" s="101"/>
      <c r="G2" s="100"/>
      <c r="H2" s="99"/>
      <c r="I2" s="103" t="s">
        <v>93</v>
      </c>
      <c r="J2" s="101"/>
      <c r="K2" s="100"/>
      <c r="L2" s="99"/>
      <c r="M2" s="102" t="s">
        <v>94</v>
      </c>
      <c r="N2" s="101"/>
      <c r="O2" s="100"/>
      <c r="P2" s="99"/>
      <c r="Q2" s="102" t="s">
        <v>95</v>
      </c>
      <c r="R2" s="101"/>
      <c r="S2" s="100"/>
      <c r="T2" s="99"/>
      <c r="U2" s="102" t="s">
        <v>96</v>
      </c>
      <c r="V2" s="101"/>
      <c r="W2" s="100"/>
      <c r="X2" s="99"/>
      <c r="Y2" s="103" t="s">
        <v>99</v>
      </c>
      <c r="Z2" s="101"/>
      <c r="AA2" s="100"/>
      <c r="AB2" s="99"/>
      <c r="AC2" s="102" t="s">
        <v>100</v>
      </c>
      <c r="AD2" s="101"/>
      <c r="AE2" s="100"/>
      <c r="AF2" s="99"/>
      <c r="AG2" s="102" t="s">
        <v>101</v>
      </c>
      <c r="AH2" s="101"/>
      <c r="AI2" s="100"/>
      <c r="AJ2" s="99"/>
      <c r="AK2" s="102" t="s">
        <v>102</v>
      </c>
      <c r="AL2" s="101"/>
      <c r="AM2" s="100"/>
      <c r="AN2" s="99"/>
      <c r="AO2" s="102" t="s">
        <v>103</v>
      </c>
      <c r="AP2" s="101"/>
      <c r="AQ2" s="100"/>
      <c r="AR2" s="99"/>
      <c r="AS2" s="102" t="s">
        <v>104</v>
      </c>
      <c r="AT2" s="101"/>
      <c r="AU2" s="100"/>
      <c r="AV2" s="99"/>
    </row>
    <row r="3" spans="1:48" ht="24" customHeight="1">
      <c r="A3" s="562">
        <f>August!A10</f>
        <v>1</v>
      </c>
      <c r="B3" s="563" t="str">
        <f>August!B10</f>
        <v>to</v>
      </c>
      <c r="C3" s="124" t="str">
        <f>August!C10</f>
        <v>Feriedag</v>
      </c>
      <c r="D3" s="127" t="str">
        <f>August!D10</f>
        <v/>
      </c>
      <c r="E3" s="562">
        <f>September!A9</f>
        <v>1</v>
      </c>
      <c r="F3" s="563" t="str">
        <f>September!B9</f>
        <v>sø</v>
      </c>
      <c r="G3" s="124" t="str">
        <f>September!C9</f>
        <v>Weekend</v>
      </c>
      <c r="H3" s="127" t="str">
        <f>September!D9</f>
        <v/>
      </c>
      <c r="I3" s="562">
        <f>Oktober!A9</f>
        <v>1</v>
      </c>
      <c r="J3" s="563" t="str">
        <f>Oktober!B9</f>
        <v>ti</v>
      </c>
      <c r="K3" s="124" t="str">
        <f>Oktober!C9</f>
        <v>Skema 1</v>
      </c>
      <c r="L3" s="127" t="str">
        <f>Oktober!D9</f>
        <v/>
      </c>
      <c r="M3" s="562">
        <f>November!A9</f>
        <v>1</v>
      </c>
      <c r="N3" s="563" t="str">
        <f>November!B9</f>
        <v>fr</v>
      </c>
      <c r="O3" s="124" t="str">
        <f>November!C9</f>
        <v>Skema 1</v>
      </c>
      <c r="P3" s="127" t="str">
        <f>November!D9</f>
        <v/>
      </c>
      <c r="Q3" s="562">
        <f>December!A9</f>
        <v>1</v>
      </c>
      <c r="R3" s="563" t="str">
        <f>December!B9</f>
        <v>sø</v>
      </c>
      <c r="S3" s="124" t="str">
        <f>December!C9</f>
        <v>Weekend</v>
      </c>
      <c r="T3" s="127" t="str">
        <f>December!D9</f>
        <v/>
      </c>
      <c r="U3" s="64">
        <f>Januar!A9</f>
        <v>1</v>
      </c>
      <c r="V3" s="64" t="str">
        <f>Januar!B9</f>
        <v>on</v>
      </c>
      <c r="W3" s="124" t="str">
        <f>Januar!C9</f>
        <v>SH-dag</v>
      </c>
      <c r="X3" s="126" t="str">
        <f>Januar!D9</f>
        <v/>
      </c>
      <c r="Y3" s="562">
        <f>Februar!A9</f>
        <v>1</v>
      </c>
      <c r="Z3" s="563" t="str">
        <f>Februar!B9</f>
        <v>lø</v>
      </c>
      <c r="AA3" s="124" t="str">
        <f>Februar!C9</f>
        <v>Weekend</v>
      </c>
      <c r="AB3" s="127" t="str">
        <f>Februar!D9</f>
        <v/>
      </c>
      <c r="AC3" s="64">
        <f>Marts!A9</f>
        <v>1</v>
      </c>
      <c r="AD3" s="64" t="str">
        <f>Marts!B9</f>
        <v>lø</v>
      </c>
      <c r="AE3" s="124" t="str">
        <f>Marts!C9</f>
        <v>Weekend</v>
      </c>
      <c r="AF3" s="126" t="str">
        <f>Marts!D9</f>
        <v/>
      </c>
      <c r="AG3" s="562">
        <f>April!A9</f>
        <v>1</v>
      </c>
      <c r="AH3" s="563" t="str">
        <f>April!B9</f>
        <v>ti</v>
      </c>
      <c r="AI3" s="124" t="str">
        <f>April!C9</f>
        <v>Skema 2</v>
      </c>
      <c r="AJ3" s="127" t="str">
        <f>April!D9</f>
        <v/>
      </c>
      <c r="AK3" s="570">
        <f>Maj!A9</f>
        <v>1</v>
      </c>
      <c r="AL3" s="473" t="str">
        <f>Maj!B9</f>
        <v>to</v>
      </c>
      <c r="AM3" s="124" t="str">
        <f>Maj!C9</f>
        <v>Skema 2</v>
      </c>
      <c r="AN3" s="571" t="str">
        <f>Maj!D9</f>
        <v/>
      </c>
      <c r="AO3" s="570">
        <f>Juni!A9</f>
        <v>1</v>
      </c>
      <c r="AP3" s="473" t="str">
        <f>Juni!B9</f>
        <v>sø</v>
      </c>
      <c r="AQ3" s="124" t="str">
        <f>Juni!C9</f>
        <v>Weekend</v>
      </c>
      <c r="AR3" s="571" t="str">
        <f>Juni!D9</f>
        <v/>
      </c>
      <c r="AS3" s="570">
        <f>Juli!A9</f>
        <v>1</v>
      </c>
      <c r="AT3" s="473" t="str">
        <f>Juli!B9</f>
        <v>ti</v>
      </c>
      <c r="AU3" s="124" t="str">
        <f>Juli!C9</f>
        <v>Pæd.dag</v>
      </c>
      <c r="AV3" s="571" t="str">
        <f>Juli!D9</f>
        <v/>
      </c>
    </row>
    <row r="4" spans="1:48" ht="24" customHeight="1">
      <c r="A4" s="564">
        <f>August!A11</f>
        <v>2</v>
      </c>
      <c r="B4" s="64" t="str">
        <f>August!B11</f>
        <v>fr</v>
      </c>
      <c r="C4" s="125" t="str">
        <f>August!C11</f>
        <v>Feriedag</v>
      </c>
      <c r="D4" s="565" t="str">
        <f>August!D11</f>
        <v/>
      </c>
      <c r="E4" s="564">
        <f>September!A10</f>
        <v>2</v>
      </c>
      <c r="F4" s="64" t="str">
        <f>September!B10</f>
        <v>ma</v>
      </c>
      <c r="G4" s="124" t="str">
        <f>September!C10</f>
        <v>Skema 1</v>
      </c>
      <c r="H4" s="565">
        <f>September!D10</f>
        <v>36</v>
      </c>
      <c r="I4" s="564">
        <f>Oktober!A10</f>
        <v>2</v>
      </c>
      <c r="J4" s="64" t="str">
        <f>Oktober!B10</f>
        <v>on</v>
      </c>
      <c r="K4" s="125" t="str">
        <f>Oktober!C10</f>
        <v>Skema 1</v>
      </c>
      <c r="L4" s="565" t="str">
        <f>Oktober!D10</f>
        <v/>
      </c>
      <c r="M4" s="564">
        <f>November!A10</f>
        <v>2</v>
      </c>
      <c r="N4" s="64" t="str">
        <f>November!B10</f>
        <v>lø</v>
      </c>
      <c r="O4" s="125" t="str">
        <f>November!C10</f>
        <v>Weekend</v>
      </c>
      <c r="P4" s="565" t="str">
        <f>November!D10</f>
        <v/>
      </c>
      <c r="Q4" s="564">
        <f>December!A10</f>
        <v>2</v>
      </c>
      <c r="R4" s="64" t="str">
        <f>December!B10</f>
        <v>ma</v>
      </c>
      <c r="S4" s="125" t="str">
        <f>December!C10</f>
        <v>Emnedag</v>
      </c>
      <c r="T4" s="565">
        <f>December!D10</f>
        <v>49</v>
      </c>
      <c r="U4" s="64">
        <f>Januar!A10</f>
        <v>2</v>
      </c>
      <c r="V4" s="64" t="str">
        <f>Januar!B10</f>
        <v>to</v>
      </c>
      <c r="W4" s="125" t="str">
        <f>Januar!C10</f>
        <v>Nul-dag</v>
      </c>
      <c r="X4" s="126" t="str">
        <f>Januar!D10</f>
        <v/>
      </c>
      <c r="Y4" s="564">
        <f>Februar!A10</f>
        <v>2</v>
      </c>
      <c r="Z4" s="64" t="str">
        <f>Februar!B10</f>
        <v>sø</v>
      </c>
      <c r="AA4" s="125" t="str">
        <f>Februar!C10</f>
        <v>Weekend</v>
      </c>
      <c r="AB4" s="565" t="str">
        <f>Februar!D10</f>
        <v/>
      </c>
      <c r="AC4" s="64">
        <f>Marts!A10</f>
        <v>2</v>
      </c>
      <c r="AD4" s="64" t="str">
        <f>Marts!B10</f>
        <v>sø</v>
      </c>
      <c r="AE4" s="125" t="str">
        <f>Marts!C10</f>
        <v>Weekend</v>
      </c>
      <c r="AF4" s="126" t="str">
        <f>Marts!D10</f>
        <v/>
      </c>
      <c r="AG4" s="564">
        <f>April!A10</f>
        <v>2</v>
      </c>
      <c r="AH4" s="64" t="str">
        <f>April!B10</f>
        <v>on</v>
      </c>
      <c r="AI4" s="125" t="str">
        <f>April!C10</f>
        <v>Skema 2</v>
      </c>
      <c r="AJ4" s="565" t="str">
        <f>April!D10</f>
        <v/>
      </c>
      <c r="AK4" s="572">
        <f>Maj!A10</f>
        <v>2</v>
      </c>
      <c r="AL4" s="573" t="str">
        <f>Maj!B10</f>
        <v>fr</v>
      </c>
      <c r="AM4" s="125" t="str">
        <f>Maj!C10</f>
        <v>Skema 2</v>
      </c>
      <c r="AN4" s="574" t="str">
        <f>Maj!D10</f>
        <v/>
      </c>
      <c r="AO4" s="572">
        <f>Juni!A10</f>
        <v>2</v>
      </c>
      <c r="AP4" s="573" t="str">
        <f>Juni!B10</f>
        <v>ma</v>
      </c>
      <c r="AQ4" s="125" t="str">
        <f>Juni!C10</f>
        <v>Skema 2</v>
      </c>
      <c r="AR4" s="574">
        <f>Juni!D10</f>
        <v>22.714285714285715</v>
      </c>
      <c r="AS4" s="572">
        <f>Juli!A10</f>
        <v>2</v>
      </c>
      <c r="AT4" s="573" t="str">
        <f>Juli!B10</f>
        <v>on</v>
      </c>
      <c r="AU4" s="125" t="str">
        <f>Juli!C10</f>
        <v>Nul-dag</v>
      </c>
      <c r="AV4" s="574" t="str">
        <f>Juli!D10</f>
        <v/>
      </c>
    </row>
    <row r="5" spans="1:48" ht="24" customHeight="1">
      <c r="A5" s="564">
        <f>August!A12</f>
        <v>3</v>
      </c>
      <c r="B5" s="64" t="str">
        <f>August!B12</f>
        <v>lø</v>
      </c>
      <c r="C5" s="125" t="str">
        <f>August!C12</f>
        <v>Weekend</v>
      </c>
      <c r="D5" s="565" t="str">
        <f>August!D12</f>
        <v/>
      </c>
      <c r="E5" s="564">
        <f>September!A11</f>
        <v>3</v>
      </c>
      <c r="F5" s="64" t="str">
        <f>September!B11</f>
        <v>ti</v>
      </c>
      <c r="G5" s="124" t="str">
        <f>September!C11</f>
        <v>Skema 1</v>
      </c>
      <c r="H5" s="565" t="str">
        <f>September!D11</f>
        <v/>
      </c>
      <c r="I5" s="564">
        <f>Oktober!A11</f>
        <v>3</v>
      </c>
      <c r="J5" s="64" t="str">
        <f>Oktober!B11</f>
        <v>to</v>
      </c>
      <c r="K5" s="125" t="str">
        <f>Oktober!C11</f>
        <v>Skema 1</v>
      </c>
      <c r="L5" s="565" t="str">
        <f>Oktober!D11</f>
        <v/>
      </c>
      <c r="M5" s="564">
        <f>November!A11</f>
        <v>3</v>
      </c>
      <c r="N5" s="64" t="str">
        <f>November!B11</f>
        <v>sø</v>
      </c>
      <c r="O5" s="125" t="str">
        <f>November!C11</f>
        <v>Weekend</v>
      </c>
      <c r="P5" s="565" t="str">
        <f>November!D11</f>
        <v/>
      </c>
      <c r="Q5" s="564">
        <f>December!A11</f>
        <v>3</v>
      </c>
      <c r="R5" s="64" t="str">
        <f>December!B11</f>
        <v>ti</v>
      </c>
      <c r="S5" s="125" t="str">
        <f>December!C11</f>
        <v>Skema 1</v>
      </c>
      <c r="T5" s="565" t="str">
        <f>December!D11</f>
        <v/>
      </c>
      <c r="U5" s="64">
        <f>Januar!A11</f>
        <v>3</v>
      </c>
      <c r="V5" s="64" t="str">
        <f>Januar!B11</f>
        <v>fr</v>
      </c>
      <c r="W5" s="125" t="str">
        <f>Januar!C11</f>
        <v>Nul-dag</v>
      </c>
      <c r="X5" s="126" t="str">
        <f>Januar!D11</f>
        <v/>
      </c>
      <c r="Y5" s="564">
        <f>Februar!A11</f>
        <v>3</v>
      </c>
      <c r="Z5" s="64" t="str">
        <f>Februar!B11</f>
        <v>ma</v>
      </c>
      <c r="AA5" s="125" t="str">
        <f>Februar!C11</f>
        <v>Skema 2</v>
      </c>
      <c r="AB5" s="565">
        <f>Februar!D11</f>
        <v>5.7142857142857144</v>
      </c>
      <c r="AC5" s="64">
        <f>Marts!A11</f>
        <v>3</v>
      </c>
      <c r="AD5" s="64" t="str">
        <f>Marts!B11</f>
        <v>ma</v>
      </c>
      <c r="AE5" s="125" t="str">
        <f>Marts!C11</f>
        <v>Skema 2</v>
      </c>
      <c r="AF5" s="126">
        <f>Marts!D11</f>
        <v>9.7142857142857135</v>
      </c>
      <c r="AG5" s="564">
        <f>April!A11</f>
        <v>3</v>
      </c>
      <c r="AH5" s="64" t="str">
        <f>April!B11</f>
        <v>to</v>
      </c>
      <c r="AI5" s="125" t="str">
        <f>April!C11</f>
        <v>Skema 2</v>
      </c>
      <c r="AJ5" s="565" t="str">
        <f>April!D11</f>
        <v/>
      </c>
      <c r="AK5" s="572">
        <f>Maj!A11</f>
        <v>3</v>
      </c>
      <c r="AL5" s="573" t="str">
        <f>Maj!B11</f>
        <v>lø</v>
      </c>
      <c r="AM5" s="125" t="str">
        <f>Maj!C11</f>
        <v>Weekend</v>
      </c>
      <c r="AN5" s="574" t="str">
        <f>Maj!D11</f>
        <v/>
      </c>
      <c r="AO5" s="572">
        <f>Juni!A11</f>
        <v>3</v>
      </c>
      <c r="AP5" s="573" t="str">
        <f>Juni!B11</f>
        <v>ti</v>
      </c>
      <c r="AQ5" s="125" t="str">
        <f>Juni!C11</f>
        <v>Skema 2</v>
      </c>
      <c r="AR5" s="574" t="str">
        <f>Juni!D11</f>
        <v/>
      </c>
      <c r="AS5" s="572">
        <f>Juli!A11</f>
        <v>3</v>
      </c>
      <c r="AT5" s="573" t="str">
        <f>Juli!B11</f>
        <v>to</v>
      </c>
      <c r="AU5" s="125" t="str">
        <f>Juli!C11</f>
        <v>Nul-dag</v>
      </c>
      <c r="AV5" s="574" t="str">
        <f>Juli!D11</f>
        <v/>
      </c>
    </row>
    <row r="6" spans="1:48" ht="24" customHeight="1">
      <c r="A6" s="564">
        <f>August!A13</f>
        <v>4</v>
      </c>
      <c r="B6" s="64" t="str">
        <f>August!B13</f>
        <v>sø</v>
      </c>
      <c r="C6" s="125" t="str">
        <f>August!C13</f>
        <v>Weekend</v>
      </c>
      <c r="D6" s="565" t="str">
        <f>August!D13</f>
        <v/>
      </c>
      <c r="E6" s="564">
        <f>September!A12</f>
        <v>4</v>
      </c>
      <c r="F6" s="64" t="str">
        <f>September!B12</f>
        <v>on</v>
      </c>
      <c r="G6" s="124" t="str">
        <f>September!C12</f>
        <v>Skema 1</v>
      </c>
      <c r="H6" s="565" t="str">
        <f>September!D12</f>
        <v/>
      </c>
      <c r="I6" s="564">
        <f>Oktober!A12</f>
        <v>4</v>
      </c>
      <c r="J6" s="64" t="str">
        <f>Oktober!B12</f>
        <v>fr</v>
      </c>
      <c r="K6" s="125" t="str">
        <f>Oktober!C12</f>
        <v>Skema 1</v>
      </c>
      <c r="L6" s="565" t="str">
        <f>Oktober!D12</f>
        <v/>
      </c>
      <c r="M6" s="564">
        <f>November!A12</f>
        <v>4</v>
      </c>
      <c r="N6" s="64" t="str">
        <f>November!B12</f>
        <v>ma</v>
      </c>
      <c r="O6" s="125" t="str">
        <f>November!C12</f>
        <v>Skema 1</v>
      </c>
      <c r="P6" s="565">
        <f>November!D12</f>
        <v>45</v>
      </c>
      <c r="Q6" s="564">
        <f>December!A12</f>
        <v>4</v>
      </c>
      <c r="R6" s="64" t="str">
        <f>December!B12</f>
        <v>on</v>
      </c>
      <c r="S6" s="125" t="str">
        <f>December!C12</f>
        <v>Skema 1</v>
      </c>
      <c r="T6" s="565" t="str">
        <f>December!D12</f>
        <v/>
      </c>
      <c r="U6" s="64">
        <f>Januar!A12</f>
        <v>4</v>
      </c>
      <c r="V6" s="64" t="str">
        <f>Januar!B12</f>
        <v>lø</v>
      </c>
      <c r="W6" s="125" t="str">
        <f>Januar!C12</f>
        <v>Weekend</v>
      </c>
      <c r="X6" s="126" t="str">
        <f>Januar!D12</f>
        <v/>
      </c>
      <c r="Y6" s="564">
        <f>Februar!A12</f>
        <v>4</v>
      </c>
      <c r="Z6" s="64" t="str">
        <f>Februar!B12</f>
        <v>ti</v>
      </c>
      <c r="AA6" s="125" t="str">
        <f>Februar!C12</f>
        <v>Skema 2</v>
      </c>
      <c r="AB6" s="565" t="str">
        <f>Februar!D12</f>
        <v/>
      </c>
      <c r="AC6" s="64">
        <f>Marts!A12</f>
        <v>4</v>
      </c>
      <c r="AD6" s="64" t="str">
        <f>Marts!B12</f>
        <v>ti</v>
      </c>
      <c r="AE6" s="125" t="str">
        <f>Marts!C12</f>
        <v>Skema 2</v>
      </c>
      <c r="AF6" s="126" t="str">
        <f>Marts!D12</f>
        <v/>
      </c>
      <c r="AG6" s="564">
        <f>April!A12</f>
        <v>4</v>
      </c>
      <c r="AH6" s="64" t="str">
        <f>April!B12</f>
        <v>fr</v>
      </c>
      <c r="AI6" s="125" t="str">
        <f>April!C12</f>
        <v>Skema 2</v>
      </c>
      <c r="AJ6" s="565" t="str">
        <f>April!D12</f>
        <v/>
      </c>
      <c r="AK6" s="572">
        <f>Maj!A12</f>
        <v>4</v>
      </c>
      <c r="AL6" s="573" t="str">
        <f>Maj!B12</f>
        <v>sø</v>
      </c>
      <c r="AM6" s="125" t="str">
        <f>Maj!C12</f>
        <v>Weekend</v>
      </c>
      <c r="AN6" s="574" t="str">
        <f>Maj!D12</f>
        <v/>
      </c>
      <c r="AO6" s="572">
        <f>Juni!A12</f>
        <v>4</v>
      </c>
      <c r="AP6" s="573" t="str">
        <f>Juni!B12</f>
        <v>on</v>
      </c>
      <c r="AQ6" s="125" t="str">
        <f>Juni!C12</f>
        <v>Skema 2</v>
      </c>
      <c r="AR6" s="574" t="str">
        <f>Juni!D12</f>
        <v/>
      </c>
      <c r="AS6" s="572">
        <f>Juli!A12</f>
        <v>4</v>
      </c>
      <c r="AT6" s="573" t="str">
        <f>Juli!B12</f>
        <v>fr</v>
      </c>
      <c r="AU6" s="125" t="str">
        <f>Juli!C12</f>
        <v>Nul-dag</v>
      </c>
      <c r="AV6" s="574" t="str">
        <f>Juli!D12</f>
        <v/>
      </c>
    </row>
    <row r="7" spans="1:48" ht="24" customHeight="1">
      <c r="A7" s="564">
        <f>August!A14</f>
        <v>5</v>
      </c>
      <c r="B7" s="64" t="str">
        <f>August!B14</f>
        <v>ma</v>
      </c>
      <c r="C7" s="125" t="str">
        <f>August!C14</f>
        <v>Nul-dag</v>
      </c>
      <c r="D7" s="565">
        <f>August!D14</f>
        <v>32</v>
      </c>
      <c r="E7" s="564">
        <f>September!A13</f>
        <v>5</v>
      </c>
      <c r="F7" s="64" t="str">
        <f>September!B13</f>
        <v>to</v>
      </c>
      <c r="G7" s="124" t="str">
        <f>September!C13</f>
        <v>Skema 1</v>
      </c>
      <c r="H7" s="565" t="str">
        <f>September!D13</f>
        <v/>
      </c>
      <c r="I7" s="564">
        <f>Oktober!A13</f>
        <v>5</v>
      </c>
      <c r="J7" s="64" t="str">
        <f>Oktober!B13</f>
        <v>lø</v>
      </c>
      <c r="K7" s="125" t="str">
        <f>Oktober!C13</f>
        <v>Weekend</v>
      </c>
      <c r="L7" s="565" t="str">
        <f>Oktober!D13</f>
        <v/>
      </c>
      <c r="M7" s="564">
        <f>November!A13</f>
        <v>5</v>
      </c>
      <c r="N7" s="64" t="str">
        <f>November!B13</f>
        <v>ti</v>
      </c>
      <c r="O7" s="125" t="str">
        <f>November!C13</f>
        <v>Skema 1</v>
      </c>
      <c r="P7" s="565" t="str">
        <f>November!D13</f>
        <v/>
      </c>
      <c r="Q7" s="564">
        <f>December!A13</f>
        <v>5</v>
      </c>
      <c r="R7" s="64" t="str">
        <f>December!B13</f>
        <v>to</v>
      </c>
      <c r="S7" s="125" t="str">
        <f>December!C13</f>
        <v>Skema 1</v>
      </c>
      <c r="T7" s="565" t="str">
        <f>December!D13</f>
        <v/>
      </c>
      <c r="U7" s="64">
        <f>Januar!A13</f>
        <v>5</v>
      </c>
      <c r="V7" s="64" t="str">
        <f>Januar!B13</f>
        <v>sø</v>
      </c>
      <c r="W7" s="125" t="str">
        <f>Januar!C13</f>
        <v>Weekend</v>
      </c>
      <c r="X7" s="126" t="str">
        <f>Januar!D13</f>
        <v/>
      </c>
      <c r="Y7" s="564">
        <f>Februar!A13</f>
        <v>5</v>
      </c>
      <c r="Z7" s="64" t="str">
        <f>Februar!B13</f>
        <v>on</v>
      </c>
      <c r="AA7" s="125" t="str">
        <f>Februar!C13</f>
        <v>Skema 2</v>
      </c>
      <c r="AB7" s="565" t="str">
        <f>Februar!D13</f>
        <v/>
      </c>
      <c r="AC7" s="64">
        <f>Marts!A13</f>
        <v>5</v>
      </c>
      <c r="AD7" s="64" t="str">
        <f>Marts!B13</f>
        <v>on</v>
      </c>
      <c r="AE7" s="125" t="str">
        <f>Marts!C13</f>
        <v>Skema 2</v>
      </c>
      <c r="AF7" s="126" t="str">
        <f>Marts!D13</f>
        <v/>
      </c>
      <c r="AG7" s="564">
        <f>April!A13</f>
        <v>5</v>
      </c>
      <c r="AH7" s="64" t="str">
        <f>April!B13</f>
        <v>lø</v>
      </c>
      <c r="AI7" s="125" t="str">
        <f>April!C13</f>
        <v>Weekend</v>
      </c>
      <c r="AJ7" s="565" t="str">
        <f>April!D13</f>
        <v/>
      </c>
      <c r="AK7" s="572">
        <f>Maj!A13</f>
        <v>5</v>
      </c>
      <c r="AL7" s="573" t="str">
        <f>Maj!B13</f>
        <v>ma</v>
      </c>
      <c r="AM7" s="125" t="str">
        <f>Maj!C13</f>
        <v>Skema 2</v>
      </c>
      <c r="AN7" s="574">
        <f>Maj!D13</f>
        <v>18.714285714285715</v>
      </c>
      <c r="AO7" s="572">
        <f>Juni!A13</f>
        <v>5</v>
      </c>
      <c r="AP7" s="573" t="str">
        <f>Juni!B13</f>
        <v>to</v>
      </c>
      <c r="AQ7" s="125" t="str">
        <f>Juni!C13</f>
        <v>Nul-dag</v>
      </c>
      <c r="AR7" s="574" t="str">
        <f>Juni!D13</f>
        <v/>
      </c>
      <c r="AS7" s="572">
        <f>Juli!A13</f>
        <v>5</v>
      </c>
      <c r="AT7" s="573" t="str">
        <f>Juli!B13</f>
        <v>lø</v>
      </c>
      <c r="AU7" s="125" t="str">
        <f>Juli!C13</f>
        <v>Weekend</v>
      </c>
      <c r="AV7" s="574" t="str">
        <f>Juli!D13</f>
        <v/>
      </c>
    </row>
    <row r="8" spans="1:48" ht="24" customHeight="1">
      <c r="A8" s="564">
        <f>August!A15</f>
        <v>6</v>
      </c>
      <c r="B8" s="64" t="str">
        <f>August!B15</f>
        <v>ti</v>
      </c>
      <c r="C8" s="125" t="str">
        <f>August!C15</f>
        <v>Nul-dag</v>
      </c>
      <c r="D8" s="565" t="str">
        <f>August!D15</f>
        <v/>
      </c>
      <c r="E8" s="564">
        <f>September!A14</f>
        <v>6</v>
      </c>
      <c r="F8" s="64" t="str">
        <f>September!B14</f>
        <v>fr</v>
      </c>
      <c r="G8" s="124" t="str">
        <f>September!C14</f>
        <v>Skema 1</v>
      </c>
      <c r="H8" s="565" t="str">
        <f>September!D14</f>
        <v/>
      </c>
      <c r="I8" s="564">
        <f>Oktober!A14</f>
        <v>6</v>
      </c>
      <c r="J8" s="64" t="str">
        <f>Oktober!B14</f>
        <v>sø</v>
      </c>
      <c r="K8" s="125" t="str">
        <f>Oktober!C14</f>
        <v>Weekend</v>
      </c>
      <c r="L8" s="565" t="str">
        <f>Oktober!D14</f>
        <v/>
      </c>
      <c r="M8" s="564">
        <f>November!A14</f>
        <v>6</v>
      </c>
      <c r="N8" s="64" t="str">
        <f>November!B14</f>
        <v>on</v>
      </c>
      <c r="O8" s="125" t="str">
        <f>November!C14</f>
        <v>Skema 1</v>
      </c>
      <c r="P8" s="565" t="str">
        <f>November!D14</f>
        <v/>
      </c>
      <c r="Q8" s="564">
        <f>December!A14</f>
        <v>6</v>
      </c>
      <c r="R8" s="64" t="str">
        <f>December!B14</f>
        <v>fr</v>
      </c>
      <c r="S8" s="125" t="str">
        <f>December!C14</f>
        <v>Skema 1</v>
      </c>
      <c r="T8" s="565" t="str">
        <f>December!D14</f>
        <v/>
      </c>
      <c r="U8" s="64">
        <f>Januar!A14</f>
        <v>6</v>
      </c>
      <c r="V8" s="64" t="str">
        <f>Januar!B14</f>
        <v>ma</v>
      </c>
      <c r="W8" s="125" t="str">
        <f>Januar!C14</f>
        <v>Skema 2</v>
      </c>
      <c r="X8" s="126">
        <f>Januar!D14</f>
        <v>1.7142857142857142</v>
      </c>
      <c r="Y8" s="564">
        <f>Februar!A14</f>
        <v>6</v>
      </c>
      <c r="Z8" s="64" t="str">
        <f>Februar!B14</f>
        <v>to</v>
      </c>
      <c r="AA8" s="125" t="str">
        <f>Februar!C14</f>
        <v>Skema 2</v>
      </c>
      <c r="AB8" s="565" t="str">
        <f>Februar!D14</f>
        <v/>
      </c>
      <c r="AC8" s="64">
        <f>Marts!A14</f>
        <v>6</v>
      </c>
      <c r="AD8" s="64" t="str">
        <f>Marts!B14</f>
        <v>to</v>
      </c>
      <c r="AE8" s="125" t="str">
        <f>Marts!C14</f>
        <v>Skema 2</v>
      </c>
      <c r="AF8" s="126" t="str">
        <f>Marts!D14</f>
        <v/>
      </c>
      <c r="AG8" s="564">
        <f>April!A14</f>
        <v>6</v>
      </c>
      <c r="AH8" s="64" t="str">
        <f>April!B14</f>
        <v>sø</v>
      </c>
      <c r="AI8" s="125" t="str">
        <f>April!C14</f>
        <v>Weekend</v>
      </c>
      <c r="AJ8" s="565" t="str">
        <f>April!D14</f>
        <v/>
      </c>
      <c r="AK8" s="572">
        <f>Maj!A14</f>
        <v>6</v>
      </c>
      <c r="AL8" s="573" t="str">
        <f>Maj!B14</f>
        <v>ti</v>
      </c>
      <c r="AM8" s="125" t="str">
        <f>Maj!C14</f>
        <v>Skema 2</v>
      </c>
      <c r="AN8" s="574" t="str">
        <f>Maj!D14</f>
        <v/>
      </c>
      <c r="AO8" s="572">
        <f>Juni!A14</f>
        <v>6</v>
      </c>
      <c r="AP8" s="573" t="str">
        <f>Juni!B14</f>
        <v>fr</v>
      </c>
      <c r="AQ8" s="125" t="str">
        <f>Juni!C14</f>
        <v>Skema 2</v>
      </c>
      <c r="AR8" s="574" t="str">
        <f>Juni!D14</f>
        <v/>
      </c>
      <c r="AS8" s="572">
        <f>Juli!A14</f>
        <v>6</v>
      </c>
      <c r="AT8" s="573" t="str">
        <f>Juli!B14</f>
        <v>sø</v>
      </c>
      <c r="AU8" s="125" t="str">
        <f>Juli!C14</f>
        <v>Weekend</v>
      </c>
      <c r="AV8" s="574" t="str">
        <f>Juli!D14</f>
        <v/>
      </c>
    </row>
    <row r="9" spans="1:48" ht="24" customHeight="1">
      <c r="A9" s="564">
        <f>August!A16</f>
        <v>7</v>
      </c>
      <c r="B9" s="64" t="str">
        <f>August!B16</f>
        <v>on</v>
      </c>
      <c r="C9" s="125" t="str">
        <f>August!C16</f>
        <v>Pæd.dag</v>
      </c>
      <c r="D9" s="565" t="str">
        <f>August!D16</f>
        <v/>
      </c>
      <c r="E9" s="564">
        <f>September!A15</f>
        <v>7</v>
      </c>
      <c r="F9" s="64" t="str">
        <f>September!B15</f>
        <v>lø</v>
      </c>
      <c r="G9" s="124" t="str">
        <f>September!C15</f>
        <v>Weekend</v>
      </c>
      <c r="H9" s="565" t="str">
        <f>September!D15</f>
        <v/>
      </c>
      <c r="I9" s="564">
        <f>Oktober!A15</f>
        <v>7</v>
      </c>
      <c r="J9" s="64" t="str">
        <f>Oktober!B15</f>
        <v>ma</v>
      </c>
      <c r="K9" s="125" t="str">
        <f>Oktober!C15</f>
        <v>Fagdag</v>
      </c>
      <c r="L9" s="565">
        <f>Oktober!D15</f>
        <v>41</v>
      </c>
      <c r="M9" s="564">
        <f>November!A15</f>
        <v>7</v>
      </c>
      <c r="N9" s="64" t="str">
        <f>November!B15</f>
        <v>to</v>
      </c>
      <c r="O9" s="125" t="str">
        <f>November!C15</f>
        <v>Skema 1</v>
      </c>
      <c r="P9" s="565" t="str">
        <f>November!D15</f>
        <v/>
      </c>
      <c r="Q9" s="564">
        <f>December!A15</f>
        <v>7</v>
      </c>
      <c r="R9" s="64" t="str">
        <f>December!B15</f>
        <v>lø</v>
      </c>
      <c r="S9" s="125" t="str">
        <f>December!C15</f>
        <v>Weekend</v>
      </c>
      <c r="T9" s="565" t="str">
        <f>December!D15</f>
        <v/>
      </c>
      <c r="U9" s="64">
        <f>Januar!A15</f>
        <v>7</v>
      </c>
      <c r="V9" s="64" t="str">
        <f>Januar!B15</f>
        <v>ti</v>
      </c>
      <c r="W9" s="125" t="str">
        <f>Januar!C15</f>
        <v>Skema 2</v>
      </c>
      <c r="X9" s="126" t="str">
        <f>Januar!D15</f>
        <v/>
      </c>
      <c r="Y9" s="564">
        <f>Februar!A15</f>
        <v>7</v>
      </c>
      <c r="Z9" s="64" t="str">
        <f>Februar!B15</f>
        <v>fr</v>
      </c>
      <c r="AA9" s="125" t="str">
        <f>Februar!C15</f>
        <v>Skema 2</v>
      </c>
      <c r="AB9" s="565" t="str">
        <f>Februar!D15</f>
        <v/>
      </c>
      <c r="AC9" s="64">
        <f>Marts!A15</f>
        <v>7</v>
      </c>
      <c r="AD9" s="64" t="str">
        <f>Marts!B15</f>
        <v>fr</v>
      </c>
      <c r="AE9" s="125" t="str">
        <f>Marts!C15</f>
        <v>Skema 2</v>
      </c>
      <c r="AF9" s="126" t="str">
        <f>Marts!D15</f>
        <v/>
      </c>
      <c r="AG9" s="564">
        <f>April!A15</f>
        <v>7</v>
      </c>
      <c r="AH9" s="64" t="str">
        <f>April!B15</f>
        <v>ma</v>
      </c>
      <c r="AI9" s="125" t="str">
        <f>April!C15</f>
        <v>Skema 2</v>
      </c>
      <c r="AJ9" s="565">
        <f>April!D15</f>
        <v>14.714285714285714</v>
      </c>
      <c r="AK9" s="572">
        <f>Maj!A15</f>
        <v>7</v>
      </c>
      <c r="AL9" s="573" t="str">
        <f>Maj!B15</f>
        <v>on</v>
      </c>
      <c r="AM9" s="125" t="str">
        <f>Maj!C15</f>
        <v>Skema 2</v>
      </c>
      <c r="AN9" s="574" t="str">
        <f>Maj!D15</f>
        <v/>
      </c>
      <c r="AO9" s="572">
        <f>Juni!A15</f>
        <v>7</v>
      </c>
      <c r="AP9" s="573" t="str">
        <f>Juni!B15</f>
        <v>lø</v>
      </c>
      <c r="AQ9" s="125" t="str">
        <f>Juni!C15</f>
        <v>Weekend</v>
      </c>
      <c r="AR9" s="574" t="str">
        <f>Juni!D15</f>
        <v/>
      </c>
      <c r="AS9" s="572">
        <f>Juli!A15</f>
        <v>7</v>
      </c>
      <c r="AT9" s="573" t="str">
        <f>Juli!B15</f>
        <v>ma</v>
      </c>
      <c r="AU9" s="125" t="str">
        <f>Juli!C15</f>
        <v>Nul-dag</v>
      </c>
      <c r="AV9" s="574">
        <f>Juli!D15</f>
        <v>27.714285714285715</v>
      </c>
    </row>
    <row r="10" spans="1:48" ht="24" customHeight="1">
      <c r="A10" s="564">
        <f>August!A17</f>
        <v>8</v>
      </c>
      <c r="B10" s="64" t="str">
        <f>August!B17</f>
        <v>to</v>
      </c>
      <c r="C10" s="125" t="str">
        <f>August!C17</f>
        <v>Pæd.dag</v>
      </c>
      <c r="D10" s="565" t="str">
        <f>August!D17</f>
        <v/>
      </c>
      <c r="E10" s="564">
        <f>September!A16</f>
        <v>8</v>
      </c>
      <c r="F10" s="64" t="str">
        <f>September!B16</f>
        <v>sø</v>
      </c>
      <c r="G10" s="125" t="str">
        <f>September!C16</f>
        <v>Weekend</v>
      </c>
      <c r="H10" s="565" t="str">
        <f>September!D16</f>
        <v/>
      </c>
      <c r="I10" s="564">
        <f>Oktober!A16</f>
        <v>8</v>
      </c>
      <c r="J10" s="64" t="str">
        <f>Oktober!B16</f>
        <v>ti</v>
      </c>
      <c r="K10" s="125" t="str">
        <f>Oktober!C16</f>
        <v>Fagdag</v>
      </c>
      <c r="L10" s="565" t="str">
        <f>Oktober!D16</f>
        <v/>
      </c>
      <c r="M10" s="564">
        <f>November!A16</f>
        <v>8</v>
      </c>
      <c r="N10" s="64" t="str">
        <f>November!B16</f>
        <v>fr</v>
      </c>
      <c r="O10" s="125" t="str">
        <f>November!C16</f>
        <v>Skema 1</v>
      </c>
      <c r="P10" s="565" t="str">
        <f>November!D16</f>
        <v/>
      </c>
      <c r="Q10" s="564">
        <f>December!A16</f>
        <v>8</v>
      </c>
      <c r="R10" s="64" t="str">
        <f>December!B16</f>
        <v>sø</v>
      </c>
      <c r="S10" s="125" t="str">
        <f>December!C16</f>
        <v>Weekend</v>
      </c>
      <c r="T10" s="565" t="str">
        <f>December!D16</f>
        <v/>
      </c>
      <c r="U10" s="64">
        <f>Januar!A16</f>
        <v>8</v>
      </c>
      <c r="V10" s="64" t="str">
        <f>Januar!B16</f>
        <v>on</v>
      </c>
      <c r="W10" s="125" t="str">
        <f>Januar!C16</f>
        <v>Skema 2</v>
      </c>
      <c r="X10" s="126" t="str">
        <f>Januar!D16</f>
        <v/>
      </c>
      <c r="Y10" s="564">
        <f>Februar!A16</f>
        <v>8</v>
      </c>
      <c r="Z10" s="64" t="str">
        <f>Februar!B16</f>
        <v>lø</v>
      </c>
      <c r="AA10" s="125" t="str">
        <f>Februar!C16</f>
        <v>Weekend</v>
      </c>
      <c r="AB10" s="565" t="str">
        <f>Februar!D16</f>
        <v/>
      </c>
      <c r="AC10" s="64">
        <f>Marts!A16</f>
        <v>8</v>
      </c>
      <c r="AD10" s="64" t="str">
        <f>Marts!B16</f>
        <v>lø</v>
      </c>
      <c r="AE10" s="125" t="str">
        <f>Marts!C16</f>
        <v>Weekend</v>
      </c>
      <c r="AF10" s="126" t="str">
        <f>Marts!D16</f>
        <v/>
      </c>
      <c r="AG10" s="564">
        <f>April!A16</f>
        <v>8</v>
      </c>
      <c r="AH10" s="64" t="str">
        <f>April!B16</f>
        <v>ti</v>
      </c>
      <c r="AI10" s="125" t="str">
        <f>April!C16</f>
        <v>Skema 2</v>
      </c>
      <c r="AJ10" s="565" t="str">
        <f>April!D16</f>
        <v/>
      </c>
      <c r="AK10" s="572">
        <f>Maj!A16</f>
        <v>8</v>
      </c>
      <c r="AL10" s="573" t="str">
        <f>Maj!B16</f>
        <v>to</v>
      </c>
      <c r="AM10" s="125" t="str">
        <f>Maj!C16</f>
        <v>Skema 2</v>
      </c>
      <c r="AN10" s="574" t="str">
        <f>Maj!D16</f>
        <v/>
      </c>
      <c r="AO10" s="572">
        <f>Juni!A16</f>
        <v>8</v>
      </c>
      <c r="AP10" s="573" t="str">
        <f>Juni!B16</f>
        <v>sø</v>
      </c>
      <c r="AQ10" s="125" t="str">
        <f>Juni!C16</f>
        <v>Weekend</v>
      </c>
      <c r="AR10" s="574" t="str">
        <f>Juni!D16</f>
        <v/>
      </c>
      <c r="AS10" s="572">
        <f>Juli!A16</f>
        <v>8</v>
      </c>
      <c r="AT10" s="573" t="str">
        <f>Juli!B16</f>
        <v>ti</v>
      </c>
      <c r="AU10" s="125" t="str">
        <f>Juli!C16</f>
        <v>Feriedag</v>
      </c>
      <c r="AV10" s="574" t="str">
        <f>Juli!D16</f>
        <v/>
      </c>
    </row>
    <row r="11" spans="1:48" ht="24" customHeight="1">
      <c r="A11" s="564">
        <f>August!A18</f>
        <v>9</v>
      </c>
      <c r="B11" s="64" t="str">
        <f>August!B18</f>
        <v>fr</v>
      </c>
      <c r="C11" s="125" t="str">
        <f>August!C18</f>
        <v>Pæd.dag</v>
      </c>
      <c r="D11" s="565" t="str">
        <f>August!D18</f>
        <v/>
      </c>
      <c r="E11" s="564">
        <f>September!A17</f>
        <v>9</v>
      </c>
      <c r="F11" s="64" t="str">
        <f>September!B17</f>
        <v>ma</v>
      </c>
      <c r="G11" s="125" t="str">
        <f>September!C17</f>
        <v>Skema 1</v>
      </c>
      <c r="H11" s="565">
        <f>September!D17</f>
        <v>37</v>
      </c>
      <c r="I11" s="564">
        <f>Oktober!A17</f>
        <v>9</v>
      </c>
      <c r="J11" s="64" t="str">
        <f>Oktober!B17</f>
        <v>on</v>
      </c>
      <c r="K11" s="125" t="str">
        <f>Oktober!C17</f>
        <v>Fagdag</v>
      </c>
      <c r="L11" s="565" t="str">
        <f>Oktober!D17</f>
        <v/>
      </c>
      <c r="M11" s="564">
        <f>November!A17</f>
        <v>9</v>
      </c>
      <c r="N11" s="64" t="str">
        <f>November!B17</f>
        <v>lø</v>
      </c>
      <c r="O11" s="125" t="str">
        <f>November!C17</f>
        <v>Weekend</v>
      </c>
      <c r="P11" s="565" t="str">
        <f>November!D17</f>
        <v/>
      </c>
      <c r="Q11" s="564">
        <f>December!A17</f>
        <v>9</v>
      </c>
      <c r="R11" s="64" t="str">
        <f>December!B17</f>
        <v>ma</v>
      </c>
      <c r="S11" s="125" t="str">
        <f>December!C17</f>
        <v>Skema 1</v>
      </c>
      <c r="T11" s="565">
        <f>December!D17</f>
        <v>50</v>
      </c>
      <c r="U11" s="64">
        <f>Januar!A17</f>
        <v>9</v>
      </c>
      <c r="V11" s="64" t="str">
        <f>Januar!B17</f>
        <v>to</v>
      </c>
      <c r="W11" s="125" t="str">
        <f>Januar!C17</f>
        <v>Skema 2</v>
      </c>
      <c r="X11" s="126" t="str">
        <f>Januar!D17</f>
        <v/>
      </c>
      <c r="Y11" s="564">
        <f>Februar!A17</f>
        <v>9</v>
      </c>
      <c r="Z11" s="64" t="str">
        <f>Februar!B17</f>
        <v>sø</v>
      </c>
      <c r="AA11" s="125" t="str">
        <f>Februar!C17</f>
        <v>Weekend</v>
      </c>
      <c r="AB11" s="565" t="str">
        <f>Februar!D17</f>
        <v/>
      </c>
      <c r="AC11" s="64">
        <f>Marts!A17</f>
        <v>9</v>
      </c>
      <c r="AD11" s="64" t="str">
        <f>Marts!B17</f>
        <v>sø</v>
      </c>
      <c r="AE11" s="125" t="str">
        <f>Marts!C17</f>
        <v>Weekend</v>
      </c>
      <c r="AF11" s="126" t="str">
        <f>Marts!D17</f>
        <v/>
      </c>
      <c r="AG11" s="564">
        <f>April!A17</f>
        <v>9</v>
      </c>
      <c r="AH11" s="64" t="str">
        <f>April!B17</f>
        <v>on</v>
      </c>
      <c r="AI11" s="125" t="str">
        <f>April!C17</f>
        <v>Skema 2</v>
      </c>
      <c r="AJ11" s="565" t="str">
        <f>April!D17</f>
        <v/>
      </c>
      <c r="AK11" s="572">
        <f>Maj!A17</f>
        <v>9</v>
      </c>
      <c r="AL11" s="573" t="str">
        <f>Maj!B17</f>
        <v>fr</v>
      </c>
      <c r="AM11" s="125" t="str">
        <f>Maj!C17</f>
        <v>Skema 2</v>
      </c>
      <c r="AN11" s="574" t="str">
        <f>Maj!D17</f>
        <v/>
      </c>
      <c r="AO11" s="572">
        <f>Juni!A17</f>
        <v>9</v>
      </c>
      <c r="AP11" s="573" t="str">
        <f>Juni!B17</f>
        <v>ma</v>
      </c>
      <c r="AQ11" s="125" t="str">
        <f>Juni!C17</f>
        <v>SH-dag</v>
      </c>
      <c r="AR11" s="574">
        <f>Juni!D17</f>
        <v>23.714285714285715</v>
      </c>
      <c r="AS11" s="572">
        <f>Juli!A17</f>
        <v>9</v>
      </c>
      <c r="AT11" s="573" t="str">
        <f>Juli!B17</f>
        <v>on</v>
      </c>
      <c r="AU11" s="125" t="str">
        <f>Juli!C17</f>
        <v>Feriedag</v>
      </c>
      <c r="AV11" s="574" t="str">
        <f>Juli!D17</f>
        <v/>
      </c>
    </row>
    <row r="12" spans="1:48" ht="24" customHeight="1">
      <c r="A12" s="564">
        <f>August!A19</f>
        <v>10</v>
      </c>
      <c r="B12" s="64" t="str">
        <f>August!B19</f>
        <v>lø</v>
      </c>
      <c r="C12" s="125" t="str">
        <f>August!C19</f>
        <v>Weekend</v>
      </c>
      <c r="D12" s="565" t="str">
        <f>August!D19</f>
        <v/>
      </c>
      <c r="E12" s="564">
        <f>September!A18</f>
        <v>10</v>
      </c>
      <c r="F12" s="64" t="str">
        <f>September!B18</f>
        <v>ti</v>
      </c>
      <c r="G12" s="125" t="str">
        <f>September!C18</f>
        <v>Lejrskole</v>
      </c>
      <c r="H12" s="565" t="str">
        <f>September!D18</f>
        <v/>
      </c>
      <c r="I12" s="564">
        <f>Oktober!A18</f>
        <v>10</v>
      </c>
      <c r="J12" s="64" t="str">
        <f>Oktober!B18</f>
        <v>to</v>
      </c>
      <c r="K12" s="125" t="str">
        <f>Oktober!C18</f>
        <v>Fagdag</v>
      </c>
      <c r="L12" s="565" t="str">
        <f>Oktober!D18</f>
        <v/>
      </c>
      <c r="M12" s="564">
        <f>November!A18</f>
        <v>10</v>
      </c>
      <c r="N12" s="64" t="str">
        <f>November!B18</f>
        <v>sø</v>
      </c>
      <c r="O12" s="125" t="str">
        <f>November!C18</f>
        <v>Weekend</v>
      </c>
      <c r="P12" s="565" t="str">
        <f>November!D18</f>
        <v/>
      </c>
      <c r="Q12" s="564">
        <f>December!A18</f>
        <v>10</v>
      </c>
      <c r="R12" s="64" t="str">
        <f>December!B18</f>
        <v>ti</v>
      </c>
      <c r="S12" s="125" t="str">
        <f>December!C18</f>
        <v>Skema 1</v>
      </c>
      <c r="T12" s="565" t="str">
        <f>December!D18</f>
        <v/>
      </c>
      <c r="U12" s="64">
        <f>Januar!A18</f>
        <v>10</v>
      </c>
      <c r="V12" s="64" t="str">
        <f>Januar!B18</f>
        <v>fr</v>
      </c>
      <c r="W12" s="125" t="str">
        <f>Januar!C18</f>
        <v>Skema 2</v>
      </c>
      <c r="X12" s="126" t="str">
        <f>Januar!D18</f>
        <v/>
      </c>
      <c r="Y12" s="564">
        <f>Februar!A18</f>
        <v>10</v>
      </c>
      <c r="Z12" s="64" t="str">
        <f>Februar!B18</f>
        <v>ma</v>
      </c>
      <c r="AA12" s="125" t="str">
        <f>Februar!C18</f>
        <v>Nul-dag</v>
      </c>
      <c r="AB12" s="565">
        <f>Februar!D18</f>
        <v>6.7142857142857144</v>
      </c>
      <c r="AC12" s="64">
        <f>Marts!A18</f>
        <v>10</v>
      </c>
      <c r="AD12" s="64" t="str">
        <f>Marts!B18</f>
        <v>ma</v>
      </c>
      <c r="AE12" s="125" t="str">
        <f>Marts!C18</f>
        <v>Skema 2</v>
      </c>
      <c r="AF12" s="126">
        <f>Marts!D18</f>
        <v>10.714285714285714</v>
      </c>
      <c r="AG12" s="564">
        <f>April!A18</f>
        <v>10</v>
      </c>
      <c r="AH12" s="64" t="str">
        <f>April!B18</f>
        <v>to</v>
      </c>
      <c r="AI12" s="125" t="str">
        <f>April!C18</f>
        <v>Skema 2</v>
      </c>
      <c r="AJ12" s="565" t="str">
        <f>April!D18</f>
        <v/>
      </c>
      <c r="AK12" s="572">
        <f>Maj!A18</f>
        <v>10</v>
      </c>
      <c r="AL12" s="573" t="str">
        <f>Maj!B18</f>
        <v>lø</v>
      </c>
      <c r="AM12" s="125" t="str">
        <f>Maj!C18</f>
        <v>Weekend</v>
      </c>
      <c r="AN12" s="574" t="str">
        <f>Maj!D18</f>
        <v/>
      </c>
      <c r="AO12" s="572">
        <f>Juni!A18</f>
        <v>10</v>
      </c>
      <c r="AP12" s="573" t="str">
        <f>Juni!B18</f>
        <v>ti</v>
      </c>
      <c r="AQ12" s="125" t="str">
        <f>Juni!C18</f>
        <v>Skema 2</v>
      </c>
      <c r="AR12" s="574" t="str">
        <f>Juni!D18</f>
        <v/>
      </c>
      <c r="AS12" s="572">
        <f>Juli!A18</f>
        <v>10</v>
      </c>
      <c r="AT12" s="573" t="str">
        <f>Juli!B18</f>
        <v>to</v>
      </c>
      <c r="AU12" s="125" t="str">
        <f>Juli!C18</f>
        <v>Feriedag</v>
      </c>
      <c r="AV12" s="574" t="str">
        <f>Juli!D18</f>
        <v/>
      </c>
    </row>
    <row r="13" spans="1:48" ht="24" customHeight="1">
      <c r="A13" s="564">
        <f>August!A20</f>
        <v>11</v>
      </c>
      <c r="B13" s="64" t="str">
        <f>August!B20</f>
        <v>sø</v>
      </c>
      <c r="C13" s="125" t="str">
        <f>August!C20</f>
        <v>Weekend</v>
      </c>
      <c r="D13" s="565" t="str">
        <f>August!D20</f>
        <v/>
      </c>
      <c r="E13" s="564">
        <f>September!A19</f>
        <v>11</v>
      </c>
      <c r="F13" s="64" t="str">
        <f>September!B19</f>
        <v>on</v>
      </c>
      <c r="G13" s="125" t="str">
        <f>September!C19</f>
        <v>Lejrskole</v>
      </c>
      <c r="H13" s="565" t="str">
        <f>September!D19</f>
        <v/>
      </c>
      <c r="I13" s="564">
        <f>Oktober!A19</f>
        <v>11</v>
      </c>
      <c r="J13" s="64" t="str">
        <f>Oktober!B19</f>
        <v>fr</v>
      </c>
      <c r="K13" s="125" t="str">
        <f>Oktober!C19</f>
        <v>Fagdag</v>
      </c>
      <c r="L13" s="565" t="str">
        <f>Oktober!D19</f>
        <v/>
      </c>
      <c r="M13" s="564">
        <f>November!A19</f>
        <v>11</v>
      </c>
      <c r="N13" s="64" t="str">
        <f>November!B19</f>
        <v>ma</v>
      </c>
      <c r="O13" s="125" t="str">
        <f>November!C19</f>
        <v>Skema 1</v>
      </c>
      <c r="P13" s="565">
        <f>November!D19</f>
        <v>46</v>
      </c>
      <c r="Q13" s="564">
        <f>December!A19</f>
        <v>11</v>
      </c>
      <c r="R13" s="64" t="str">
        <f>December!B19</f>
        <v>on</v>
      </c>
      <c r="S13" s="125" t="str">
        <f>December!C19</f>
        <v>Skema 1</v>
      </c>
      <c r="T13" s="565" t="str">
        <f>December!D19</f>
        <v/>
      </c>
      <c r="U13" s="64">
        <f>Januar!A19</f>
        <v>11</v>
      </c>
      <c r="V13" s="64" t="str">
        <f>Januar!B19</f>
        <v>lø</v>
      </c>
      <c r="W13" s="125" t="str">
        <f>Januar!C19</f>
        <v>Weekend</v>
      </c>
      <c r="X13" s="126" t="str">
        <f>Januar!D19</f>
        <v/>
      </c>
      <c r="Y13" s="564">
        <f>Februar!A19</f>
        <v>11</v>
      </c>
      <c r="Z13" s="64" t="str">
        <f>Februar!B19</f>
        <v>ti</v>
      </c>
      <c r="AA13" s="125" t="str">
        <f>Februar!C19</f>
        <v>Nul-dag</v>
      </c>
      <c r="AB13" s="565" t="str">
        <f>Februar!D19</f>
        <v/>
      </c>
      <c r="AC13" s="64">
        <f>Marts!A19</f>
        <v>11</v>
      </c>
      <c r="AD13" s="64" t="str">
        <f>Marts!B19</f>
        <v>ti</v>
      </c>
      <c r="AE13" s="125" t="str">
        <f>Marts!C19</f>
        <v>Skema 2</v>
      </c>
      <c r="AF13" s="126" t="str">
        <f>Marts!D19</f>
        <v/>
      </c>
      <c r="AG13" s="564">
        <f>April!A19</f>
        <v>11</v>
      </c>
      <c r="AH13" s="64" t="str">
        <f>April!B19</f>
        <v>fr</v>
      </c>
      <c r="AI13" s="125" t="str">
        <f>April!C19</f>
        <v>Skema 2</v>
      </c>
      <c r="AJ13" s="565" t="str">
        <f>April!D19</f>
        <v/>
      </c>
      <c r="AK13" s="572">
        <f>Maj!A19</f>
        <v>11</v>
      </c>
      <c r="AL13" s="573" t="str">
        <f>Maj!B19</f>
        <v>sø</v>
      </c>
      <c r="AM13" s="125" t="str">
        <f>Maj!C19</f>
        <v>Weekend</v>
      </c>
      <c r="AN13" s="574" t="str">
        <f>Maj!D19</f>
        <v/>
      </c>
      <c r="AO13" s="572">
        <f>Juni!A19</f>
        <v>11</v>
      </c>
      <c r="AP13" s="573" t="str">
        <f>Juni!B19</f>
        <v>on</v>
      </c>
      <c r="AQ13" s="125" t="str">
        <f>Juni!C19</f>
        <v>Skema 2</v>
      </c>
      <c r="AR13" s="574" t="str">
        <f>Juni!D19</f>
        <v/>
      </c>
      <c r="AS13" s="572">
        <f>Juli!A19</f>
        <v>11</v>
      </c>
      <c r="AT13" s="573" t="str">
        <f>Juli!B19</f>
        <v>fr</v>
      </c>
      <c r="AU13" s="125" t="str">
        <f>Juli!C19</f>
        <v>Feriedag</v>
      </c>
      <c r="AV13" s="574" t="str">
        <f>Juli!D19</f>
        <v/>
      </c>
    </row>
    <row r="14" spans="1:48" ht="24" customHeight="1">
      <c r="A14" s="564">
        <f>August!A21</f>
        <v>12</v>
      </c>
      <c r="B14" s="64" t="str">
        <f>August!B21</f>
        <v>ma</v>
      </c>
      <c r="C14" s="125" t="str">
        <f>August!C21</f>
        <v>Emnedag</v>
      </c>
      <c r="D14" s="565">
        <f>August!D21</f>
        <v>33</v>
      </c>
      <c r="E14" s="564">
        <f>September!A20</f>
        <v>12</v>
      </c>
      <c r="F14" s="64" t="str">
        <f>September!B20</f>
        <v>to</v>
      </c>
      <c r="G14" s="125" t="str">
        <f>September!C20</f>
        <v>Lejrskole</v>
      </c>
      <c r="H14" s="565" t="str">
        <f>September!D20</f>
        <v/>
      </c>
      <c r="I14" s="564">
        <f>Oktober!A20</f>
        <v>12</v>
      </c>
      <c r="J14" s="64" t="str">
        <f>Oktober!B20</f>
        <v>lø</v>
      </c>
      <c r="K14" s="125" t="str">
        <f>Oktober!C20</f>
        <v>Weekend</v>
      </c>
      <c r="L14" s="565" t="str">
        <f>Oktober!D20</f>
        <v/>
      </c>
      <c r="M14" s="564">
        <f>November!A20</f>
        <v>12</v>
      </c>
      <c r="N14" s="64" t="str">
        <f>November!B20</f>
        <v>ti</v>
      </c>
      <c r="O14" s="125" t="str">
        <f>November!C20</f>
        <v>Skema 1</v>
      </c>
      <c r="P14" s="565" t="str">
        <f>November!D20</f>
        <v/>
      </c>
      <c r="Q14" s="564">
        <f>December!A20</f>
        <v>12</v>
      </c>
      <c r="R14" s="64" t="str">
        <f>December!B20</f>
        <v>to</v>
      </c>
      <c r="S14" s="125" t="str">
        <f>December!C20</f>
        <v>Skema 1</v>
      </c>
      <c r="T14" s="565" t="str">
        <f>December!D20</f>
        <v/>
      </c>
      <c r="U14" s="64">
        <f>Januar!A20</f>
        <v>12</v>
      </c>
      <c r="V14" s="64" t="str">
        <f>Januar!B20</f>
        <v>sø</v>
      </c>
      <c r="W14" s="125" t="str">
        <f>Januar!C20</f>
        <v>Weekend</v>
      </c>
      <c r="X14" s="126" t="str">
        <f>Januar!D20</f>
        <v/>
      </c>
      <c r="Y14" s="564">
        <f>Februar!A20</f>
        <v>12</v>
      </c>
      <c r="Z14" s="64" t="str">
        <f>Februar!B20</f>
        <v>on</v>
      </c>
      <c r="AA14" s="125" t="str">
        <f>Februar!C20</f>
        <v>Nul-dag</v>
      </c>
      <c r="AB14" s="565" t="str">
        <f>Februar!D20</f>
        <v/>
      </c>
      <c r="AC14" s="64">
        <f>Marts!A20</f>
        <v>12</v>
      </c>
      <c r="AD14" s="64" t="str">
        <f>Marts!B20</f>
        <v>on</v>
      </c>
      <c r="AE14" s="125" t="str">
        <f>Marts!C20</f>
        <v>Skema 2</v>
      </c>
      <c r="AF14" s="126" t="str">
        <f>Marts!D20</f>
        <v/>
      </c>
      <c r="AG14" s="564">
        <f>April!A20</f>
        <v>12</v>
      </c>
      <c r="AH14" s="64" t="str">
        <f>April!B20</f>
        <v>lø</v>
      </c>
      <c r="AI14" s="125" t="str">
        <f>April!C20</f>
        <v>Weekend</v>
      </c>
      <c r="AJ14" s="565" t="str">
        <f>April!D20</f>
        <v/>
      </c>
      <c r="AK14" s="572">
        <f>Maj!A20</f>
        <v>12</v>
      </c>
      <c r="AL14" s="573" t="str">
        <f>Maj!B20</f>
        <v>ma</v>
      </c>
      <c r="AM14" s="125" t="str">
        <f>Maj!C20</f>
        <v>Skema 2</v>
      </c>
      <c r="AN14" s="574">
        <f>Maj!D20</f>
        <v>19.714285714285715</v>
      </c>
      <c r="AO14" s="572">
        <f>Juni!A20</f>
        <v>12</v>
      </c>
      <c r="AP14" s="573" t="str">
        <f>Juni!B20</f>
        <v>to</v>
      </c>
      <c r="AQ14" s="125" t="str">
        <f>Juni!C20</f>
        <v>Skema 2</v>
      </c>
      <c r="AR14" s="574" t="str">
        <f>Juni!D20</f>
        <v/>
      </c>
      <c r="AS14" s="572">
        <f>Juli!A20</f>
        <v>12</v>
      </c>
      <c r="AT14" s="573" t="str">
        <f>Juli!B20</f>
        <v>lø</v>
      </c>
      <c r="AU14" s="125" t="str">
        <f>Juli!C20</f>
        <v>Weekend</v>
      </c>
      <c r="AV14" s="574" t="str">
        <f>Juli!D20</f>
        <v/>
      </c>
    </row>
    <row r="15" spans="1:48" ht="24" customHeight="1">
      <c r="A15" s="564">
        <f>August!A22</f>
        <v>13</v>
      </c>
      <c r="B15" s="64" t="str">
        <f>August!B22</f>
        <v>ti</v>
      </c>
      <c r="C15" s="125" t="str">
        <f>August!C22</f>
        <v>Skema 1</v>
      </c>
      <c r="D15" s="565" t="str">
        <f>August!D22</f>
        <v/>
      </c>
      <c r="E15" s="564">
        <f>September!A21</f>
        <v>13</v>
      </c>
      <c r="F15" s="64" t="str">
        <f>September!B21</f>
        <v>fr</v>
      </c>
      <c r="G15" s="125" t="str">
        <f>September!C21</f>
        <v>Lejrskole</v>
      </c>
      <c r="H15" s="565" t="str">
        <f>September!D21</f>
        <v/>
      </c>
      <c r="I15" s="564">
        <f>Oktober!A21</f>
        <v>13</v>
      </c>
      <c r="J15" s="64" t="str">
        <f>Oktober!B21</f>
        <v>sø</v>
      </c>
      <c r="K15" s="125" t="str">
        <f>Oktober!C21</f>
        <v>Weekend</v>
      </c>
      <c r="L15" s="565" t="str">
        <f>Oktober!D21</f>
        <v/>
      </c>
      <c r="M15" s="564">
        <f>November!A21</f>
        <v>13</v>
      </c>
      <c r="N15" s="64" t="str">
        <f>November!B21</f>
        <v>on</v>
      </c>
      <c r="O15" s="125" t="str">
        <f>November!C21</f>
        <v>Fagdag</v>
      </c>
      <c r="P15" s="565" t="str">
        <f>November!D21</f>
        <v/>
      </c>
      <c r="Q15" s="564">
        <f>December!A21</f>
        <v>13</v>
      </c>
      <c r="R15" s="64" t="str">
        <f>December!B21</f>
        <v>fr</v>
      </c>
      <c r="S15" s="125" t="str">
        <f>December!C21</f>
        <v>Skema 1</v>
      </c>
      <c r="T15" s="565" t="str">
        <f>December!D21</f>
        <v/>
      </c>
      <c r="U15" s="64">
        <f>Januar!A21</f>
        <v>13</v>
      </c>
      <c r="V15" s="64" t="str">
        <f>Januar!B21</f>
        <v>ma</v>
      </c>
      <c r="W15" s="125" t="str">
        <f>Januar!C21</f>
        <v>Skema 2</v>
      </c>
      <c r="X15" s="126">
        <f>Januar!D21</f>
        <v>2.7142857142857144</v>
      </c>
      <c r="Y15" s="564">
        <f>Februar!A21</f>
        <v>13</v>
      </c>
      <c r="Z15" s="64" t="str">
        <f>Februar!B21</f>
        <v>to</v>
      </c>
      <c r="AA15" s="125" t="str">
        <f>Februar!C21</f>
        <v>Nul-dag</v>
      </c>
      <c r="AB15" s="565" t="str">
        <f>Februar!D21</f>
        <v/>
      </c>
      <c r="AC15" s="64">
        <f>Marts!A21</f>
        <v>13</v>
      </c>
      <c r="AD15" s="64" t="str">
        <f>Marts!B21</f>
        <v>to</v>
      </c>
      <c r="AE15" s="125" t="str">
        <f>Marts!C21</f>
        <v>Skema 2</v>
      </c>
      <c r="AF15" s="126" t="str">
        <f>Marts!D21</f>
        <v/>
      </c>
      <c r="AG15" s="564">
        <f>April!A21</f>
        <v>13</v>
      </c>
      <c r="AH15" s="64" t="str">
        <f>April!B21</f>
        <v>sø</v>
      </c>
      <c r="AI15" s="125" t="str">
        <f>April!C21</f>
        <v>Weekend</v>
      </c>
      <c r="AJ15" s="565" t="str">
        <f>April!D21</f>
        <v/>
      </c>
      <c r="AK15" s="572">
        <f>Maj!A21</f>
        <v>13</v>
      </c>
      <c r="AL15" s="573" t="str">
        <f>Maj!B21</f>
        <v>ti</v>
      </c>
      <c r="AM15" s="125" t="str">
        <f>Maj!C21</f>
        <v>Lejrskole</v>
      </c>
      <c r="AN15" s="574" t="str">
        <f>Maj!D21</f>
        <v/>
      </c>
      <c r="AO15" s="572">
        <f>Juni!A21</f>
        <v>13</v>
      </c>
      <c r="AP15" s="573" t="str">
        <f>Juni!B21</f>
        <v>fr</v>
      </c>
      <c r="AQ15" s="125" t="str">
        <f>Juni!C21</f>
        <v>Skema 2</v>
      </c>
      <c r="AR15" s="574" t="str">
        <f>Juni!D21</f>
        <v/>
      </c>
      <c r="AS15" s="572">
        <f>Juli!A21</f>
        <v>13</v>
      </c>
      <c r="AT15" s="573" t="str">
        <f>Juli!B21</f>
        <v>sø</v>
      </c>
      <c r="AU15" s="125" t="str">
        <f>Juli!C21</f>
        <v>Weekend</v>
      </c>
      <c r="AV15" s="574" t="str">
        <f>Juli!D21</f>
        <v/>
      </c>
    </row>
    <row r="16" spans="1:48" ht="24" customHeight="1">
      <c r="A16" s="564">
        <f>August!A23</f>
        <v>14</v>
      </c>
      <c r="B16" s="64" t="str">
        <f>August!B23</f>
        <v>on</v>
      </c>
      <c r="C16" s="125" t="str">
        <f>August!C23</f>
        <v>Skema 1</v>
      </c>
      <c r="D16" s="565" t="str">
        <f>August!D23</f>
        <v/>
      </c>
      <c r="E16" s="564">
        <f>September!A22</f>
        <v>14</v>
      </c>
      <c r="F16" s="64" t="str">
        <f>September!B22</f>
        <v>lø</v>
      </c>
      <c r="G16" s="125" t="str">
        <f>September!C22</f>
        <v>Weekend</v>
      </c>
      <c r="H16" s="565" t="str">
        <f>September!D22</f>
        <v/>
      </c>
      <c r="I16" s="564">
        <f>Oktober!A22</f>
        <v>14</v>
      </c>
      <c r="J16" s="64" t="str">
        <f>Oktober!B22</f>
        <v>ma</v>
      </c>
      <c r="K16" s="125" t="str">
        <f>Oktober!C22</f>
        <v>Feriedag</v>
      </c>
      <c r="L16" s="565">
        <f>Oktober!D22</f>
        <v>42</v>
      </c>
      <c r="M16" s="564">
        <f>November!A22</f>
        <v>14</v>
      </c>
      <c r="N16" s="64" t="str">
        <f>November!B22</f>
        <v>to</v>
      </c>
      <c r="O16" s="125" t="str">
        <f>November!C22</f>
        <v>Skema 1</v>
      </c>
      <c r="P16" s="565" t="str">
        <f>November!D22</f>
        <v/>
      </c>
      <c r="Q16" s="564">
        <f>December!A22</f>
        <v>14</v>
      </c>
      <c r="R16" s="64" t="str">
        <f>December!B22</f>
        <v>lø</v>
      </c>
      <c r="S16" s="125" t="str">
        <f>December!C22</f>
        <v>Weekend</v>
      </c>
      <c r="T16" s="565" t="str">
        <f>December!D22</f>
        <v/>
      </c>
      <c r="U16" s="64">
        <f>Januar!A22</f>
        <v>14</v>
      </c>
      <c r="V16" s="64" t="str">
        <f>Januar!B22</f>
        <v>ti</v>
      </c>
      <c r="W16" s="125" t="str">
        <f>Januar!C22</f>
        <v>Skema 2</v>
      </c>
      <c r="X16" s="126" t="str">
        <f>Januar!D22</f>
        <v/>
      </c>
      <c r="Y16" s="564">
        <f>Februar!A22</f>
        <v>14</v>
      </c>
      <c r="Z16" s="64" t="str">
        <f>Februar!B22</f>
        <v>fr</v>
      </c>
      <c r="AA16" s="125" t="str">
        <f>Februar!C22</f>
        <v>Nul-dag</v>
      </c>
      <c r="AB16" s="565" t="str">
        <f>Februar!D22</f>
        <v/>
      </c>
      <c r="AC16" s="64">
        <f>Marts!A22</f>
        <v>14</v>
      </c>
      <c r="AD16" s="64" t="str">
        <f>Marts!B22</f>
        <v>fr</v>
      </c>
      <c r="AE16" s="125" t="str">
        <f>Marts!C22</f>
        <v>Pæd.dag</v>
      </c>
      <c r="AF16" s="126" t="str">
        <f>Marts!D22</f>
        <v/>
      </c>
      <c r="AG16" s="564">
        <f>April!A22</f>
        <v>14</v>
      </c>
      <c r="AH16" s="64" t="str">
        <f>April!B22</f>
        <v>ma</v>
      </c>
      <c r="AI16" s="125" t="str">
        <f>April!C22</f>
        <v>Nul-dag</v>
      </c>
      <c r="AJ16" s="565">
        <f>April!D22</f>
        <v>15.714285714285714</v>
      </c>
      <c r="AK16" s="572">
        <f>Maj!A22</f>
        <v>14</v>
      </c>
      <c r="AL16" s="573" t="str">
        <f>Maj!B22</f>
        <v>on</v>
      </c>
      <c r="AM16" s="125" t="str">
        <f>Maj!C22</f>
        <v>Lejrskole</v>
      </c>
      <c r="AN16" s="574" t="str">
        <f>Maj!D22</f>
        <v/>
      </c>
      <c r="AO16" s="572">
        <f>Juni!A22</f>
        <v>14</v>
      </c>
      <c r="AP16" s="573" t="str">
        <f>Juni!B22</f>
        <v>lø</v>
      </c>
      <c r="AQ16" s="125" t="str">
        <f>Juni!C22</f>
        <v>Weekend</v>
      </c>
      <c r="AR16" s="574" t="str">
        <f>Juni!D22</f>
        <v/>
      </c>
      <c r="AS16" s="572">
        <f>Juli!A22</f>
        <v>14</v>
      </c>
      <c r="AT16" s="573" t="str">
        <f>Juli!B22</f>
        <v>ma</v>
      </c>
      <c r="AU16" s="125" t="str">
        <f>Juli!C22</f>
        <v>Feriedag</v>
      </c>
      <c r="AV16" s="574">
        <f>Juli!D22</f>
        <v>28.714285714285715</v>
      </c>
    </row>
    <row r="17" spans="1:48" ht="24" customHeight="1">
      <c r="A17" s="564">
        <f>August!A24</f>
        <v>15</v>
      </c>
      <c r="B17" s="64" t="str">
        <f>August!B24</f>
        <v>to</v>
      </c>
      <c r="C17" s="125" t="str">
        <f>August!C24</f>
        <v>Skema 1</v>
      </c>
      <c r="D17" s="565" t="str">
        <f>August!D24</f>
        <v/>
      </c>
      <c r="E17" s="564">
        <f>September!A23</f>
        <v>15</v>
      </c>
      <c r="F17" s="64" t="str">
        <f>September!B23</f>
        <v>sø</v>
      </c>
      <c r="G17" s="125" t="str">
        <f>September!C23</f>
        <v>Weekend</v>
      </c>
      <c r="H17" s="565" t="str">
        <f>September!D23</f>
        <v/>
      </c>
      <c r="I17" s="564">
        <f>Oktober!A23</f>
        <v>15</v>
      </c>
      <c r="J17" s="64" t="str">
        <f>Oktober!B23</f>
        <v>ti</v>
      </c>
      <c r="K17" s="125" t="str">
        <f>Oktober!C23</f>
        <v>Feriedag</v>
      </c>
      <c r="L17" s="565" t="str">
        <f>Oktober!D23</f>
        <v/>
      </c>
      <c r="M17" s="564">
        <f>November!A23</f>
        <v>15</v>
      </c>
      <c r="N17" s="64" t="str">
        <f>November!B23</f>
        <v>fr</v>
      </c>
      <c r="O17" s="125" t="str">
        <f>November!C23</f>
        <v>Skema 1</v>
      </c>
      <c r="P17" s="565" t="str">
        <f>November!D23</f>
        <v/>
      </c>
      <c r="Q17" s="564">
        <f>December!A23</f>
        <v>15</v>
      </c>
      <c r="R17" s="64" t="str">
        <f>December!B23</f>
        <v>sø</v>
      </c>
      <c r="S17" s="125" t="str">
        <f>December!C23</f>
        <v>Weekend</v>
      </c>
      <c r="T17" s="565" t="str">
        <f>December!D23</f>
        <v/>
      </c>
      <c r="U17" s="64">
        <f>Januar!A23</f>
        <v>15</v>
      </c>
      <c r="V17" s="64" t="str">
        <f>Januar!B23</f>
        <v>on</v>
      </c>
      <c r="W17" s="125" t="str">
        <f>Januar!C23</f>
        <v>Skema 2</v>
      </c>
      <c r="X17" s="126" t="str">
        <f>Januar!D23</f>
        <v/>
      </c>
      <c r="Y17" s="564">
        <f>Februar!A23</f>
        <v>15</v>
      </c>
      <c r="Z17" s="64" t="str">
        <f>Februar!B23</f>
        <v>lø</v>
      </c>
      <c r="AA17" s="125" t="str">
        <f>Februar!C23</f>
        <v>Weekend</v>
      </c>
      <c r="AB17" s="565" t="str">
        <f>Februar!D23</f>
        <v/>
      </c>
      <c r="AC17" s="64">
        <f>Marts!A23</f>
        <v>15</v>
      </c>
      <c r="AD17" s="64" t="str">
        <f>Marts!B23</f>
        <v>lø</v>
      </c>
      <c r="AE17" s="125" t="str">
        <f>Marts!C23</f>
        <v>Weekend</v>
      </c>
      <c r="AF17" s="126" t="str">
        <f>Marts!D23</f>
        <v/>
      </c>
      <c r="AG17" s="564">
        <f>April!A23</f>
        <v>15</v>
      </c>
      <c r="AH17" s="64" t="str">
        <f>April!B23</f>
        <v>ti</v>
      </c>
      <c r="AI17" s="125" t="str">
        <f>April!C23</f>
        <v>Nul-dag</v>
      </c>
      <c r="AJ17" s="565" t="str">
        <f>April!D23</f>
        <v/>
      </c>
      <c r="AK17" s="572">
        <f>Maj!A23</f>
        <v>15</v>
      </c>
      <c r="AL17" s="573" t="str">
        <f>Maj!B23</f>
        <v>to</v>
      </c>
      <c r="AM17" s="125" t="str">
        <f>Maj!C23</f>
        <v>Lejrskole</v>
      </c>
      <c r="AN17" s="574" t="str">
        <f>Maj!D23</f>
        <v/>
      </c>
      <c r="AO17" s="572">
        <f>Juni!A23</f>
        <v>15</v>
      </c>
      <c r="AP17" s="573" t="str">
        <f>Juni!B23</f>
        <v>sø</v>
      </c>
      <c r="AQ17" s="125" t="str">
        <f>Juni!C23</f>
        <v>Weekend</v>
      </c>
      <c r="AR17" s="574" t="str">
        <f>Juni!D23</f>
        <v/>
      </c>
      <c r="AS17" s="572">
        <f>Juli!A23</f>
        <v>15</v>
      </c>
      <c r="AT17" s="573" t="str">
        <f>Juli!B23</f>
        <v>ti</v>
      </c>
      <c r="AU17" s="125" t="str">
        <f>Juli!C23</f>
        <v>Feriedag</v>
      </c>
      <c r="AV17" s="574" t="str">
        <f>Juli!D23</f>
        <v/>
      </c>
    </row>
    <row r="18" spans="1:48" ht="24" customHeight="1">
      <c r="A18" s="564">
        <f>August!A25</f>
        <v>16</v>
      </c>
      <c r="B18" s="64" t="str">
        <f>August!B25</f>
        <v>fr</v>
      </c>
      <c r="C18" s="125" t="str">
        <f>August!C25</f>
        <v>Skema 1</v>
      </c>
      <c r="D18" s="565" t="str">
        <f>August!D25</f>
        <v/>
      </c>
      <c r="E18" s="564">
        <f>September!A24</f>
        <v>16</v>
      </c>
      <c r="F18" s="64" t="str">
        <f>September!B24</f>
        <v>ma</v>
      </c>
      <c r="G18" s="125" t="str">
        <f>September!C24</f>
        <v>Skema 1</v>
      </c>
      <c r="H18" s="565">
        <f>September!D24</f>
        <v>38</v>
      </c>
      <c r="I18" s="564">
        <f>Oktober!A24</f>
        <v>16</v>
      </c>
      <c r="J18" s="64" t="str">
        <f>Oktober!B24</f>
        <v>on</v>
      </c>
      <c r="K18" s="125" t="str">
        <f>Oktober!C24</f>
        <v>Feriedag</v>
      </c>
      <c r="L18" s="565" t="str">
        <f>Oktober!D24</f>
        <v/>
      </c>
      <c r="M18" s="564">
        <f>November!A24</f>
        <v>16</v>
      </c>
      <c r="N18" s="64" t="str">
        <f>November!B24</f>
        <v>lø</v>
      </c>
      <c r="O18" s="125" t="str">
        <f>November!C24</f>
        <v>Weekend</v>
      </c>
      <c r="P18" s="565" t="str">
        <f>November!D24</f>
        <v/>
      </c>
      <c r="Q18" s="564">
        <f>December!A24</f>
        <v>16</v>
      </c>
      <c r="R18" s="64" t="str">
        <f>December!B24</f>
        <v>ma</v>
      </c>
      <c r="S18" s="125" t="str">
        <f>December!C24</f>
        <v>Skema 1</v>
      </c>
      <c r="T18" s="565">
        <f>December!D24</f>
        <v>51</v>
      </c>
      <c r="U18" s="64">
        <f>Januar!A24</f>
        <v>16</v>
      </c>
      <c r="V18" s="64" t="str">
        <f>Januar!B24</f>
        <v>to</v>
      </c>
      <c r="W18" s="125" t="str">
        <f>Januar!C24</f>
        <v>Skema 2</v>
      </c>
      <c r="X18" s="126" t="str">
        <f>Januar!D24</f>
        <v/>
      </c>
      <c r="Y18" s="564">
        <f>Februar!A24</f>
        <v>16</v>
      </c>
      <c r="Z18" s="64" t="str">
        <f>Februar!B24</f>
        <v>sø</v>
      </c>
      <c r="AA18" s="125" t="str">
        <f>Februar!C24</f>
        <v>Weekend</v>
      </c>
      <c r="AB18" s="565" t="str">
        <f>Februar!D24</f>
        <v/>
      </c>
      <c r="AC18" s="64">
        <f>Marts!A24</f>
        <v>16</v>
      </c>
      <c r="AD18" s="64" t="str">
        <f>Marts!B24</f>
        <v>sø</v>
      </c>
      <c r="AE18" s="125" t="str">
        <f>Marts!C24</f>
        <v>Weekend</v>
      </c>
      <c r="AF18" s="126" t="str">
        <f>Marts!D24</f>
        <v/>
      </c>
      <c r="AG18" s="564">
        <f>April!A24</f>
        <v>16</v>
      </c>
      <c r="AH18" s="64" t="str">
        <f>April!B24</f>
        <v>on</v>
      </c>
      <c r="AI18" s="125" t="str">
        <f>April!C24</f>
        <v>Nul-dag</v>
      </c>
      <c r="AJ18" s="565" t="str">
        <f>April!D24</f>
        <v/>
      </c>
      <c r="AK18" s="572">
        <f>Maj!A24</f>
        <v>16</v>
      </c>
      <c r="AL18" s="573" t="str">
        <f>Maj!B24</f>
        <v>fr</v>
      </c>
      <c r="AM18" s="125" t="str">
        <f>Maj!C24</f>
        <v>Skema 2</v>
      </c>
      <c r="AN18" s="574" t="str">
        <f>Maj!D24</f>
        <v/>
      </c>
      <c r="AO18" s="572">
        <f>Juni!A24</f>
        <v>16</v>
      </c>
      <c r="AP18" s="573" t="str">
        <f>Juni!B24</f>
        <v>ma</v>
      </c>
      <c r="AQ18" s="125" t="str">
        <f>Juni!C24</f>
        <v>Skema 2</v>
      </c>
      <c r="AR18" s="574">
        <f>Juni!D24</f>
        <v>24.714285714285715</v>
      </c>
      <c r="AS18" s="572">
        <f>Juli!A24</f>
        <v>16</v>
      </c>
      <c r="AT18" s="573" t="str">
        <f>Juli!B24</f>
        <v>on</v>
      </c>
      <c r="AU18" s="125" t="str">
        <f>Juli!C24</f>
        <v>Feriedag</v>
      </c>
      <c r="AV18" s="574" t="str">
        <f>Juli!D24</f>
        <v/>
      </c>
    </row>
    <row r="19" spans="1:48" ht="24" customHeight="1">
      <c r="A19" s="564">
        <f>August!A26</f>
        <v>17</v>
      </c>
      <c r="B19" s="64" t="str">
        <f>August!B26</f>
        <v>lø</v>
      </c>
      <c r="C19" s="125" t="str">
        <f>August!C26</f>
        <v>Weekend</v>
      </c>
      <c r="D19" s="565" t="str">
        <f>August!D26</f>
        <v/>
      </c>
      <c r="E19" s="564">
        <f>September!A25</f>
        <v>17</v>
      </c>
      <c r="F19" s="64" t="str">
        <f>September!B25</f>
        <v>ti</v>
      </c>
      <c r="G19" s="125" t="str">
        <f>September!C25</f>
        <v>Skema 1</v>
      </c>
      <c r="H19" s="565" t="str">
        <f>September!D25</f>
        <v/>
      </c>
      <c r="I19" s="564">
        <f>Oktober!A25</f>
        <v>17</v>
      </c>
      <c r="J19" s="64" t="str">
        <f>Oktober!B25</f>
        <v>to</v>
      </c>
      <c r="K19" s="125" t="str">
        <f>Oktober!C25</f>
        <v>Feriedag</v>
      </c>
      <c r="L19" s="565" t="str">
        <f>Oktober!D25</f>
        <v/>
      </c>
      <c r="M19" s="564">
        <f>November!A25</f>
        <v>17</v>
      </c>
      <c r="N19" s="64" t="str">
        <f>November!B25</f>
        <v>sø</v>
      </c>
      <c r="O19" s="125" t="str">
        <f>November!C25</f>
        <v>Weekend</v>
      </c>
      <c r="P19" s="565" t="str">
        <f>November!D25</f>
        <v/>
      </c>
      <c r="Q19" s="564">
        <f>December!A25</f>
        <v>17</v>
      </c>
      <c r="R19" s="64" t="str">
        <f>December!B25</f>
        <v>ti</v>
      </c>
      <c r="S19" s="125" t="str">
        <f>December!C25</f>
        <v>Skema 1</v>
      </c>
      <c r="T19" s="565" t="str">
        <f>December!D25</f>
        <v/>
      </c>
      <c r="U19" s="64">
        <f>Januar!A25</f>
        <v>17</v>
      </c>
      <c r="V19" s="64" t="str">
        <f>Januar!B25</f>
        <v>fr</v>
      </c>
      <c r="W19" s="125" t="str">
        <f>Januar!C25</f>
        <v>Skema 2</v>
      </c>
      <c r="X19" s="126" t="str">
        <f>Januar!D25</f>
        <v/>
      </c>
      <c r="Y19" s="564">
        <f>Februar!A25</f>
        <v>17</v>
      </c>
      <c r="Z19" s="64" t="str">
        <f>Februar!B25</f>
        <v>ma</v>
      </c>
      <c r="AA19" s="125" t="str">
        <f>Februar!C25</f>
        <v>Skema 2</v>
      </c>
      <c r="AB19" s="565">
        <f>Februar!D25</f>
        <v>7.7142857142857144</v>
      </c>
      <c r="AC19" s="64">
        <f>Marts!A25</f>
        <v>17</v>
      </c>
      <c r="AD19" s="64" t="str">
        <f>Marts!B25</f>
        <v>ma</v>
      </c>
      <c r="AE19" s="125" t="str">
        <f>Marts!C25</f>
        <v>Skema 2</v>
      </c>
      <c r="AF19" s="126">
        <f>Marts!D25</f>
        <v>11.714285714285714</v>
      </c>
      <c r="AG19" s="564">
        <f>April!A25</f>
        <v>17</v>
      </c>
      <c r="AH19" s="64" t="str">
        <f>April!B25</f>
        <v>to</v>
      </c>
      <c r="AI19" s="125" t="str">
        <f>April!C25</f>
        <v>SH-dag</v>
      </c>
      <c r="AJ19" s="565" t="str">
        <f>April!D25</f>
        <v/>
      </c>
      <c r="AK19" s="572">
        <f>Maj!A25</f>
        <v>17</v>
      </c>
      <c r="AL19" s="573" t="str">
        <f>Maj!B25</f>
        <v>lø</v>
      </c>
      <c r="AM19" s="125" t="str">
        <f>Maj!C25</f>
        <v>Weekend</v>
      </c>
      <c r="AN19" s="574" t="str">
        <f>Maj!D25</f>
        <v/>
      </c>
      <c r="AO19" s="572">
        <f>Juni!A25</f>
        <v>17</v>
      </c>
      <c r="AP19" s="573" t="str">
        <f>Juni!B25</f>
        <v>ti</v>
      </c>
      <c r="AQ19" s="125" t="str">
        <f>Juni!C25</f>
        <v>Skema 2</v>
      </c>
      <c r="AR19" s="574" t="str">
        <f>Juni!D25</f>
        <v/>
      </c>
      <c r="AS19" s="572">
        <f>Juli!A25</f>
        <v>17</v>
      </c>
      <c r="AT19" s="573" t="str">
        <f>Juli!B25</f>
        <v>to</v>
      </c>
      <c r="AU19" s="125" t="str">
        <f>Juli!C25</f>
        <v>Feriedag</v>
      </c>
      <c r="AV19" s="574" t="str">
        <f>Juli!D25</f>
        <v/>
      </c>
    </row>
    <row r="20" spans="1:48" ht="24" customHeight="1">
      <c r="A20" s="564">
        <f>August!A27</f>
        <v>18</v>
      </c>
      <c r="B20" s="64" t="str">
        <f>August!B27</f>
        <v>sø</v>
      </c>
      <c r="C20" s="125" t="str">
        <f>August!C27</f>
        <v>Weekend</v>
      </c>
      <c r="D20" s="565" t="str">
        <f>August!D27</f>
        <v/>
      </c>
      <c r="E20" s="564">
        <f>September!A26</f>
        <v>18</v>
      </c>
      <c r="F20" s="64" t="str">
        <f>September!B26</f>
        <v>on</v>
      </c>
      <c r="G20" s="125" t="str">
        <f>September!C26</f>
        <v>Skema 1</v>
      </c>
      <c r="H20" s="565" t="str">
        <f>September!D26</f>
        <v/>
      </c>
      <c r="I20" s="564">
        <f>Oktober!A26</f>
        <v>18</v>
      </c>
      <c r="J20" s="64" t="str">
        <f>Oktober!B26</f>
        <v>fr</v>
      </c>
      <c r="K20" s="125" t="str">
        <f>Oktober!C26</f>
        <v>Feriedag</v>
      </c>
      <c r="L20" s="565" t="str">
        <f>Oktober!D26</f>
        <v/>
      </c>
      <c r="M20" s="564">
        <f>November!A26</f>
        <v>18</v>
      </c>
      <c r="N20" s="64" t="str">
        <f>November!B26</f>
        <v>ma</v>
      </c>
      <c r="O20" s="125" t="str">
        <f>November!C26</f>
        <v>Skema 1</v>
      </c>
      <c r="P20" s="565">
        <f>November!D26</f>
        <v>47</v>
      </c>
      <c r="Q20" s="564">
        <f>December!A26</f>
        <v>18</v>
      </c>
      <c r="R20" s="64" t="str">
        <f>December!B26</f>
        <v>on</v>
      </c>
      <c r="S20" s="125" t="str">
        <f>December!C26</f>
        <v>Skema 1</v>
      </c>
      <c r="T20" s="565" t="str">
        <f>December!D26</f>
        <v/>
      </c>
      <c r="U20" s="64">
        <f>Januar!A26</f>
        <v>18</v>
      </c>
      <c r="V20" s="64" t="str">
        <f>Januar!B26</f>
        <v>lø</v>
      </c>
      <c r="W20" s="125" t="str">
        <f>Januar!C26</f>
        <v>Weekend</v>
      </c>
      <c r="X20" s="126" t="str">
        <f>Januar!D26</f>
        <v/>
      </c>
      <c r="Y20" s="564">
        <f>Februar!A26</f>
        <v>18</v>
      </c>
      <c r="Z20" s="64" t="str">
        <f>Februar!B26</f>
        <v>ti</v>
      </c>
      <c r="AA20" s="125" t="str">
        <f>Februar!C26</f>
        <v>Skema 2</v>
      </c>
      <c r="AB20" s="565" t="str">
        <f>Februar!D26</f>
        <v/>
      </c>
      <c r="AC20" s="64">
        <f>Marts!A26</f>
        <v>18</v>
      </c>
      <c r="AD20" s="64" t="str">
        <f>Marts!B26</f>
        <v>ti</v>
      </c>
      <c r="AE20" s="125" t="str">
        <f>Marts!C26</f>
        <v>Skema 2</v>
      </c>
      <c r="AF20" s="126" t="str">
        <f>Marts!D26</f>
        <v/>
      </c>
      <c r="AG20" s="564">
        <f>April!A26</f>
        <v>18</v>
      </c>
      <c r="AH20" s="64" t="str">
        <f>April!B26</f>
        <v>fr</v>
      </c>
      <c r="AI20" s="125" t="str">
        <f>April!C26</f>
        <v>SH-dag</v>
      </c>
      <c r="AJ20" s="565" t="str">
        <f>April!D26</f>
        <v/>
      </c>
      <c r="AK20" s="572">
        <f>Maj!A26</f>
        <v>18</v>
      </c>
      <c r="AL20" s="573" t="str">
        <f>Maj!B26</f>
        <v>sø</v>
      </c>
      <c r="AM20" s="125" t="str">
        <f>Maj!C26</f>
        <v>Weekend</v>
      </c>
      <c r="AN20" s="574" t="str">
        <f>Maj!D26</f>
        <v/>
      </c>
      <c r="AO20" s="572">
        <f>Juni!A26</f>
        <v>18</v>
      </c>
      <c r="AP20" s="573" t="str">
        <f>Juni!B26</f>
        <v>on</v>
      </c>
      <c r="AQ20" s="125" t="str">
        <f>Juni!C26</f>
        <v>Skema 2</v>
      </c>
      <c r="AR20" s="574" t="str">
        <f>Juni!D26</f>
        <v/>
      </c>
      <c r="AS20" s="572">
        <f>Juli!A26</f>
        <v>18</v>
      </c>
      <c r="AT20" s="573" t="str">
        <f>Juli!B26</f>
        <v>fr</v>
      </c>
      <c r="AU20" s="125" t="str">
        <f>Juli!C26</f>
        <v>Feriedag</v>
      </c>
      <c r="AV20" s="574" t="str">
        <f>Juli!D26</f>
        <v/>
      </c>
    </row>
    <row r="21" spans="1:48" ht="24" customHeight="1">
      <c r="A21" s="564">
        <f>August!A28</f>
        <v>19</v>
      </c>
      <c r="B21" s="64" t="str">
        <f>August!B28</f>
        <v>ma</v>
      </c>
      <c r="C21" s="125" t="str">
        <f>August!C28</f>
        <v>Skema 1</v>
      </c>
      <c r="D21" s="565">
        <f>August!D28</f>
        <v>34</v>
      </c>
      <c r="E21" s="564">
        <f>September!A27</f>
        <v>19</v>
      </c>
      <c r="F21" s="64" t="str">
        <f>September!B27</f>
        <v>to</v>
      </c>
      <c r="G21" s="125" t="str">
        <f>September!C27</f>
        <v>Skema 1</v>
      </c>
      <c r="H21" s="565" t="str">
        <f>September!D27</f>
        <v/>
      </c>
      <c r="I21" s="564">
        <f>Oktober!A27</f>
        <v>19</v>
      </c>
      <c r="J21" s="64" t="str">
        <f>Oktober!B27</f>
        <v>lø</v>
      </c>
      <c r="K21" s="125" t="str">
        <f>Oktober!C27</f>
        <v>Weekend</v>
      </c>
      <c r="L21" s="565" t="str">
        <f>Oktober!D27</f>
        <v/>
      </c>
      <c r="M21" s="564">
        <f>November!A27</f>
        <v>19</v>
      </c>
      <c r="N21" s="64" t="str">
        <f>November!B27</f>
        <v>ti</v>
      </c>
      <c r="O21" s="125" t="str">
        <f>November!C27</f>
        <v>Skema 1</v>
      </c>
      <c r="P21" s="565" t="str">
        <f>November!D27</f>
        <v/>
      </c>
      <c r="Q21" s="564">
        <f>December!A27</f>
        <v>19</v>
      </c>
      <c r="R21" s="64" t="str">
        <f>December!B27</f>
        <v>to</v>
      </c>
      <c r="S21" s="125" t="str">
        <f>December!C27</f>
        <v>Skema 1</v>
      </c>
      <c r="T21" s="565" t="str">
        <f>December!D27</f>
        <v/>
      </c>
      <c r="U21" s="64">
        <f>Januar!A27</f>
        <v>19</v>
      </c>
      <c r="V21" s="64" t="str">
        <f>Januar!B27</f>
        <v>sø</v>
      </c>
      <c r="W21" s="125" t="str">
        <f>Januar!C27</f>
        <v>Weekend</v>
      </c>
      <c r="X21" s="126" t="str">
        <f>Januar!D27</f>
        <v/>
      </c>
      <c r="Y21" s="564">
        <f>Februar!A27</f>
        <v>19</v>
      </c>
      <c r="Z21" s="64" t="str">
        <f>Februar!B27</f>
        <v>on</v>
      </c>
      <c r="AA21" s="125" t="str">
        <f>Februar!C27</f>
        <v>Skema 2</v>
      </c>
      <c r="AB21" s="565" t="str">
        <f>Februar!D27</f>
        <v/>
      </c>
      <c r="AC21" s="64">
        <f>Marts!A27</f>
        <v>19</v>
      </c>
      <c r="AD21" s="64" t="str">
        <f>Marts!B27</f>
        <v>on</v>
      </c>
      <c r="AE21" s="125" t="str">
        <f>Marts!C27</f>
        <v>Emnedag</v>
      </c>
      <c r="AF21" s="126" t="str">
        <f>Marts!D27</f>
        <v/>
      </c>
      <c r="AG21" s="564">
        <f>April!A27</f>
        <v>19</v>
      </c>
      <c r="AH21" s="64" t="str">
        <f>April!B27</f>
        <v>lø</v>
      </c>
      <c r="AI21" s="125" t="str">
        <f>April!C27</f>
        <v>Weekend</v>
      </c>
      <c r="AJ21" s="565" t="str">
        <f>April!D27</f>
        <v/>
      </c>
      <c r="AK21" s="572">
        <f>Maj!A27</f>
        <v>19</v>
      </c>
      <c r="AL21" s="573" t="str">
        <f>Maj!B27</f>
        <v>ma</v>
      </c>
      <c r="AM21" s="125" t="str">
        <f>Maj!C27</f>
        <v>Skema 2</v>
      </c>
      <c r="AN21" s="574">
        <f>Maj!D27</f>
        <v>20.714285714285715</v>
      </c>
      <c r="AO21" s="572">
        <f>Juni!A27</f>
        <v>19</v>
      </c>
      <c r="AP21" s="573" t="str">
        <f>Juni!B27</f>
        <v>to</v>
      </c>
      <c r="AQ21" s="125" t="str">
        <f>Juni!C27</f>
        <v>Skema 2</v>
      </c>
      <c r="AR21" s="574" t="str">
        <f>Juni!D27</f>
        <v/>
      </c>
      <c r="AS21" s="572">
        <f>Juli!A27</f>
        <v>19</v>
      </c>
      <c r="AT21" s="573" t="str">
        <f>Juli!B27</f>
        <v>lø</v>
      </c>
      <c r="AU21" s="125" t="str">
        <f>Juli!C27</f>
        <v>Weekend</v>
      </c>
      <c r="AV21" s="574" t="str">
        <f>Juli!D27</f>
        <v/>
      </c>
    </row>
    <row r="22" spans="1:48" ht="24" customHeight="1">
      <c r="A22" s="564">
        <f>August!A29</f>
        <v>20</v>
      </c>
      <c r="B22" s="64" t="str">
        <f>August!B29</f>
        <v>ti</v>
      </c>
      <c r="C22" s="125" t="str">
        <f>August!C29</f>
        <v>Skema 1</v>
      </c>
      <c r="D22" s="565" t="str">
        <f>August!D29</f>
        <v/>
      </c>
      <c r="E22" s="564">
        <f>September!A28</f>
        <v>20</v>
      </c>
      <c r="F22" s="64" t="str">
        <f>September!B28</f>
        <v>fr</v>
      </c>
      <c r="G22" s="125" t="str">
        <f>September!C28</f>
        <v>Skema 1</v>
      </c>
      <c r="H22" s="565" t="str">
        <f>September!D28</f>
        <v/>
      </c>
      <c r="I22" s="564">
        <f>Oktober!A28</f>
        <v>20</v>
      </c>
      <c r="J22" s="64" t="str">
        <f>Oktober!B28</f>
        <v>sø</v>
      </c>
      <c r="K22" s="125" t="str">
        <f>Oktober!C28</f>
        <v>Weekend</v>
      </c>
      <c r="L22" s="565" t="str">
        <f>Oktober!D28</f>
        <v/>
      </c>
      <c r="M22" s="564">
        <f>November!A28</f>
        <v>20</v>
      </c>
      <c r="N22" s="64" t="str">
        <f>November!B28</f>
        <v>on</v>
      </c>
      <c r="O22" s="125" t="str">
        <f>November!C28</f>
        <v>Skema 1</v>
      </c>
      <c r="P22" s="565" t="str">
        <f>November!D28</f>
        <v/>
      </c>
      <c r="Q22" s="564">
        <f>December!A28</f>
        <v>20</v>
      </c>
      <c r="R22" s="64" t="str">
        <f>December!B28</f>
        <v>fr</v>
      </c>
      <c r="S22" s="125" t="str">
        <f>December!C28</f>
        <v>Emnedag</v>
      </c>
      <c r="T22" s="565" t="str">
        <f>December!D28</f>
        <v/>
      </c>
      <c r="U22" s="64">
        <f>Januar!A28</f>
        <v>20</v>
      </c>
      <c r="V22" s="64" t="str">
        <f>Januar!B28</f>
        <v>ma</v>
      </c>
      <c r="W22" s="125" t="str">
        <f>Januar!C28</f>
        <v>Skema 2</v>
      </c>
      <c r="X22" s="126">
        <f>Januar!D28</f>
        <v>3.7142857142857144</v>
      </c>
      <c r="Y22" s="564">
        <f>Februar!A28</f>
        <v>20</v>
      </c>
      <c r="Z22" s="64" t="str">
        <f>Februar!B28</f>
        <v>to</v>
      </c>
      <c r="AA22" s="125" t="str">
        <f>Februar!C28</f>
        <v>Fagdag</v>
      </c>
      <c r="AB22" s="565" t="str">
        <f>Februar!D28</f>
        <v/>
      </c>
      <c r="AC22" s="64">
        <f>Marts!A28</f>
        <v>20</v>
      </c>
      <c r="AD22" s="64" t="str">
        <f>Marts!B28</f>
        <v>to</v>
      </c>
      <c r="AE22" s="125" t="str">
        <f>Marts!C28</f>
        <v>Emnedag</v>
      </c>
      <c r="AF22" s="126" t="str">
        <f>Marts!D28</f>
        <v/>
      </c>
      <c r="AG22" s="564">
        <f>April!A28</f>
        <v>20</v>
      </c>
      <c r="AH22" s="64" t="str">
        <f>April!B28</f>
        <v>sø</v>
      </c>
      <c r="AI22" s="125" t="str">
        <f>April!C28</f>
        <v>Weekend</v>
      </c>
      <c r="AJ22" s="565" t="str">
        <f>April!D28</f>
        <v/>
      </c>
      <c r="AK22" s="572">
        <f>Maj!A28</f>
        <v>20</v>
      </c>
      <c r="AL22" s="573" t="str">
        <f>Maj!B28</f>
        <v>ti</v>
      </c>
      <c r="AM22" s="125" t="str">
        <f>Maj!C28</f>
        <v>Skema 2</v>
      </c>
      <c r="AN22" s="574" t="str">
        <f>Maj!D28</f>
        <v/>
      </c>
      <c r="AO22" s="572">
        <f>Juni!A28</f>
        <v>20</v>
      </c>
      <c r="AP22" s="573" t="str">
        <f>Juni!B28</f>
        <v>fr</v>
      </c>
      <c r="AQ22" s="125" t="str">
        <f>Juni!C28</f>
        <v>Skema 2</v>
      </c>
      <c r="AR22" s="574" t="str">
        <f>Juni!D28</f>
        <v/>
      </c>
      <c r="AS22" s="572">
        <f>Juli!A28</f>
        <v>20</v>
      </c>
      <c r="AT22" s="573" t="str">
        <f>Juli!B28</f>
        <v>sø</v>
      </c>
      <c r="AU22" s="125" t="str">
        <f>Juli!C28</f>
        <v>Weekend</v>
      </c>
      <c r="AV22" s="574" t="str">
        <f>Juli!D28</f>
        <v/>
      </c>
    </row>
    <row r="23" spans="1:48" ht="24" customHeight="1">
      <c r="A23" s="564">
        <f>August!A30</f>
        <v>21</v>
      </c>
      <c r="B23" s="64" t="str">
        <f>August!B30</f>
        <v>on</v>
      </c>
      <c r="C23" s="125" t="str">
        <f>August!C30</f>
        <v>Skema 1</v>
      </c>
      <c r="D23" s="565" t="str">
        <f>August!D30</f>
        <v/>
      </c>
      <c r="E23" s="564">
        <f>September!A29</f>
        <v>21</v>
      </c>
      <c r="F23" s="64" t="str">
        <f>September!B29</f>
        <v>lø</v>
      </c>
      <c r="G23" s="125" t="str">
        <f>September!C29</f>
        <v>Weekend</v>
      </c>
      <c r="H23" s="565" t="str">
        <f>September!D29</f>
        <v/>
      </c>
      <c r="I23" s="564">
        <f>Oktober!A29</f>
        <v>21</v>
      </c>
      <c r="J23" s="64" t="str">
        <f>Oktober!B29</f>
        <v>ma</v>
      </c>
      <c r="K23" s="125" t="str">
        <f>Oktober!C29</f>
        <v>Skema 1</v>
      </c>
      <c r="L23" s="565">
        <f>Oktober!D29</f>
        <v>43</v>
      </c>
      <c r="M23" s="564">
        <f>November!A29</f>
        <v>21</v>
      </c>
      <c r="N23" s="64" t="str">
        <f>November!B29</f>
        <v>to</v>
      </c>
      <c r="O23" s="125" t="str">
        <f>November!C29</f>
        <v>Skema 1</v>
      </c>
      <c r="P23" s="565" t="str">
        <f>November!D29</f>
        <v/>
      </c>
      <c r="Q23" s="564">
        <f>December!A29</f>
        <v>21</v>
      </c>
      <c r="R23" s="64" t="str">
        <f>December!B29</f>
        <v>lø</v>
      </c>
      <c r="S23" s="125" t="str">
        <f>December!C29</f>
        <v>Weekend</v>
      </c>
      <c r="T23" s="565" t="str">
        <f>December!D29</f>
        <v/>
      </c>
      <c r="U23" s="64">
        <f>Januar!A29</f>
        <v>21</v>
      </c>
      <c r="V23" s="64" t="str">
        <f>Januar!B29</f>
        <v>ti</v>
      </c>
      <c r="W23" s="125" t="str">
        <f>Januar!C29</f>
        <v>Skema 2</v>
      </c>
      <c r="X23" s="126" t="str">
        <f>Januar!D29</f>
        <v/>
      </c>
      <c r="Y23" s="564">
        <f>Februar!A29</f>
        <v>21</v>
      </c>
      <c r="Z23" s="64" t="str">
        <f>Februar!B29</f>
        <v>fr</v>
      </c>
      <c r="AA23" s="125" t="str">
        <f>Februar!C29</f>
        <v>Skema 2</v>
      </c>
      <c r="AB23" s="565" t="str">
        <f>Februar!D29</f>
        <v/>
      </c>
      <c r="AC23" s="64">
        <f>Marts!A29</f>
        <v>21</v>
      </c>
      <c r="AD23" s="64" t="str">
        <f>Marts!B29</f>
        <v>fr</v>
      </c>
      <c r="AE23" s="125" t="str">
        <f>Marts!C29</f>
        <v>Skema 2</v>
      </c>
      <c r="AF23" s="126" t="str">
        <f>Marts!D29</f>
        <v/>
      </c>
      <c r="AG23" s="564">
        <f>April!A29</f>
        <v>21</v>
      </c>
      <c r="AH23" s="64" t="str">
        <f>April!B29</f>
        <v>ma</v>
      </c>
      <c r="AI23" s="125" t="str">
        <f>April!C29</f>
        <v>SH-dag</v>
      </c>
      <c r="AJ23" s="565">
        <f>April!D29</f>
        <v>16.714285714285715</v>
      </c>
      <c r="AK23" s="572">
        <f>Maj!A29</f>
        <v>21</v>
      </c>
      <c r="AL23" s="573" t="str">
        <f>Maj!B29</f>
        <v>on</v>
      </c>
      <c r="AM23" s="125" t="str">
        <f>Maj!C29</f>
        <v>Skema 2</v>
      </c>
      <c r="AN23" s="574" t="str">
        <f>Maj!D29</f>
        <v/>
      </c>
      <c r="AO23" s="572">
        <f>Juni!A29</f>
        <v>21</v>
      </c>
      <c r="AP23" s="573" t="str">
        <f>Juni!B29</f>
        <v>lø</v>
      </c>
      <c r="AQ23" s="125" t="str">
        <f>Juni!C29</f>
        <v>Weekend</v>
      </c>
      <c r="AR23" s="574" t="str">
        <f>Juni!D29</f>
        <v/>
      </c>
      <c r="AS23" s="572">
        <f>Juli!A29</f>
        <v>21</v>
      </c>
      <c r="AT23" s="573" t="str">
        <f>Juli!B29</f>
        <v>ma</v>
      </c>
      <c r="AU23" s="125" t="str">
        <f>Juli!C29</f>
        <v>Feriedag</v>
      </c>
      <c r="AV23" s="574">
        <f>Juli!D29</f>
        <v>29.714285714285715</v>
      </c>
    </row>
    <row r="24" spans="1:48" ht="24" customHeight="1">
      <c r="A24" s="564">
        <f>August!A31</f>
        <v>22</v>
      </c>
      <c r="B24" s="64" t="str">
        <f>August!B31</f>
        <v>to</v>
      </c>
      <c r="C24" s="125" t="str">
        <f>August!C31</f>
        <v>Skema 1</v>
      </c>
      <c r="D24" s="565" t="str">
        <f>August!D31</f>
        <v/>
      </c>
      <c r="E24" s="564">
        <f>September!A30</f>
        <v>22</v>
      </c>
      <c r="F24" s="64" t="str">
        <f>September!B30</f>
        <v>sø</v>
      </c>
      <c r="G24" s="125" t="str">
        <f>September!C30</f>
        <v>Weekend</v>
      </c>
      <c r="H24" s="565" t="str">
        <f>September!D30</f>
        <v/>
      </c>
      <c r="I24" s="564">
        <f>Oktober!A30</f>
        <v>22</v>
      </c>
      <c r="J24" s="64" t="str">
        <f>Oktober!B30</f>
        <v>ti</v>
      </c>
      <c r="K24" s="125" t="str">
        <f>Oktober!C30</f>
        <v>Skema 1</v>
      </c>
      <c r="L24" s="565" t="str">
        <f>Oktober!D30</f>
        <v/>
      </c>
      <c r="M24" s="564">
        <f>November!A30</f>
        <v>22</v>
      </c>
      <c r="N24" s="64" t="str">
        <f>November!B30</f>
        <v>fr</v>
      </c>
      <c r="O24" s="125" t="str">
        <f>November!C30</f>
        <v>Skema 1</v>
      </c>
      <c r="P24" s="565" t="str">
        <f>November!D30</f>
        <v/>
      </c>
      <c r="Q24" s="564">
        <f>December!A30</f>
        <v>22</v>
      </c>
      <c r="R24" s="64" t="str">
        <f>December!B30</f>
        <v>sø</v>
      </c>
      <c r="S24" s="125" t="str">
        <f>December!C30</f>
        <v>Weekend</v>
      </c>
      <c r="T24" s="565" t="str">
        <f>December!D30</f>
        <v/>
      </c>
      <c r="U24" s="64">
        <f>Januar!A30</f>
        <v>22</v>
      </c>
      <c r="V24" s="64" t="str">
        <f>Januar!B30</f>
        <v>on</v>
      </c>
      <c r="W24" s="125" t="str">
        <f>Januar!C30</f>
        <v>Skema 2</v>
      </c>
      <c r="X24" s="126" t="str">
        <f>Januar!D30</f>
        <v/>
      </c>
      <c r="Y24" s="564">
        <f>Februar!A30</f>
        <v>22</v>
      </c>
      <c r="Z24" s="64" t="str">
        <f>Februar!B30</f>
        <v>lø</v>
      </c>
      <c r="AA24" s="125" t="str">
        <f>Februar!C30</f>
        <v>Weekend</v>
      </c>
      <c r="AB24" s="565" t="str">
        <f>Februar!D30</f>
        <v/>
      </c>
      <c r="AC24" s="64">
        <f>Marts!A30</f>
        <v>22</v>
      </c>
      <c r="AD24" s="64" t="str">
        <f>Marts!B30</f>
        <v>lø</v>
      </c>
      <c r="AE24" s="125" t="str">
        <f>Marts!C30</f>
        <v>Weekend</v>
      </c>
      <c r="AF24" s="126" t="str">
        <f>Marts!D30</f>
        <v/>
      </c>
      <c r="AG24" s="564">
        <f>April!A30</f>
        <v>22</v>
      </c>
      <c r="AH24" s="64" t="str">
        <f>April!B30</f>
        <v>ti</v>
      </c>
      <c r="AI24" s="125" t="str">
        <f>April!C30</f>
        <v>Skema 2</v>
      </c>
      <c r="AJ24" s="565" t="str">
        <f>April!D30</f>
        <v/>
      </c>
      <c r="AK24" s="572">
        <f>Maj!A30</f>
        <v>22</v>
      </c>
      <c r="AL24" s="573" t="str">
        <f>Maj!B30</f>
        <v>to</v>
      </c>
      <c r="AM24" s="125" t="str">
        <f>Maj!C30</f>
        <v>Skema 2</v>
      </c>
      <c r="AN24" s="574" t="str">
        <f>Maj!D30</f>
        <v/>
      </c>
      <c r="AO24" s="572">
        <f>Juni!A30</f>
        <v>22</v>
      </c>
      <c r="AP24" s="573" t="str">
        <f>Juni!B30</f>
        <v>sø</v>
      </c>
      <c r="AQ24" s="125" t="str">
        <f>Juni!C30</f>
        <v>Weekend</v>
      </c>
      <c r="AR24" s="574" t="str">
        <f>Juni!D30</f>
        <v/>
      </c>
      <c r="AS24" s="572">
        <f>Juli!A30</f>
        <v>22</v>
      </c>
      <c r="AT24" s="573" t="str">
        <f>Juli!B30</f>
        <v>ti</v>
      </c>
      <c r="AU24" s="125" t="str">
        <f>Juli!C30</f>
        <v>Feriedag</v>
      </c>
      <c r="AV24" s="574" t="str">
        <f>Juli!D30</f>
        <v/>
      </c>
    </row>
    <row r="25" spans="1:48" ht="24" customHeight="1">
      <c r="A25" s="564">
        <f>August!A32</f>
        <v>23</v>
      </c>
      <c r="B25" s="64" t="str">
        <f>August!B32</f>
        <v>fr</v>
      </c>
      <c r="C25" s="125" t="str">
        <f>August!C32</f>
        <v>Skema 1</v>
      </c>
      <c r="D25" s="565" t="str">
        <f>August!D32</f>
        <v/>
      </c>
      <c r="E25" s="564">
        <f>September!A31</f>
        <v>23</v>
      </c>
      <c r="F25" s="64" t="str">
        <f>September!B31</f>
        <v>ma</v>
      </c>
      <c r="G25" s="125" t="str">
        <f>September!C31</f>
        <v>Fagdag</v>
      </c>
      <c r="H25" s="565">
        <f>September!D31</f>
        <v>39</v>
      </c>
      <c r="I25" s="564">
        <f>Oktober!A31</f>
        <v>23</v>
      </c>
      <c r="J25" s="64" t="str">
        <f>Oktober!B31</f>
        <v>on</v>
      </c>
      <c r="K25" s="125" t="str">
        <f>Oktober!C31</f>
        <v>Skema 1</v>
      </c>
      <c r="L25" s="565" t="str">
        <f>Oktober!D31</f>
        <v/>
      </c>
      <c r="M25" s="564">
        <f>November!A31</f>
        <v>23</v>
      </c>
      <c r="N25" s="64" t="str">
        <f>November!B31</f>
        <v>lø</v>
      </c>
      <c r="O25" s="125" t="str">
        <f>November!C31</f>
        <v>Weekend</v>
      </c>
      <c r="P25" s="565" t="str">
        <f>November!D31</f>
        <v/>
      </c>
      <c r="Q25" s="564">
        <f>December!A31</f>
        <v>23</v>
      </c>
      <c r="R25" s="64" t="str">
        <f>December!B31</f>
        <v>ma</v>
      </c>
      <c r="S25" s="125" t="str">
        <f>December!C31</f>
        <v>Nul-dag</v>
      </c>
      <c r="T25" s="565">
        <f>December!D31</f>
        <v>52</v>
      </c>
      <c r="U25" s="64">
        <f>Januar!A31</f>
        <v>23</v>
      </c>
      <c r="V25" s="64" t="str">
        <f>Januar!B31</f>
        <v>to</v>
      </c>
      <c r="W25" s="125" t="str">
        <f>Januar!C31</f>
        <v>Skema 2</v>
      </c>
      <c r="X25" s="126" t="str">
        <f>Januar!D31</f>
        <v/>
      </c>
      <c r="Y25" s="564">
        <f>Februar!A31</f>
        <v>23</v>
      </c>
      <c r="Z25" s="64" t="str">
        <f>Februar!B31</f>
        <v>sø</v>
      </c>
      <c r="AA25" s="125" t="str">
        <f>Februar!C31</f>
        <v>Weekend</v>
      </c>
      <c r="AB25" s="565" t="str">
        <f>Februar!D31</f>
        <v/>
      </c>
      <c r="AC25" s="64">
        <f>Marts!A31</f>
        <v>23</v>
      </c>
      <c r="AD25" s="64" t="str">
        <f>Marts!B31</f>
        <v>sø</v>
      </c>
      <c r="AE25" s="125" t="str">
        <f>Marts!C31</f>
        <v>Weekend</v>
      </c>
      <c r="AF25" s="126" t="str">
        <f>Marts!D31</f>
        <v/>
      </c>
      <c r="AG25" s="564">
        <f>April!A31</f>
        <v>23</v>
      </c>
      <c r="AH25" s="64" t="str">
        <f>April!B31</f>
        <v>on</v>
      </c>
      <c r="AI25" s="125" t="str">
        <f>April!C31</f>
        <v>Skema 2</v>
      </c>
      <c r="AJ25" s="565" t="str">
        <f>April!D31</f>
        <v/>
      </c>
      <c r="AK25" s="572">
        <f>Maj!A31</f>
        <v>23</v>
      </c>
      <c r="AL25" s="573" t="str">
        <f>Maj!B31</f>
        <v>fr</v>
      </c>
      <c r="AM25" s="125" t="str">
        <f>Maj!C31</f>
        <v>Skema 2</v>
      </c>
      <c r="AN25" s="574" t="str">
        <f>Maj!D31</f>
        <v/>
      </c>
      <c r="AO25" s="572">
        <f>Juni!A31</f>
        <v>23</v>
      </c>
      <c r="AP25" s="573" t="str">
        <f>Juni!B31</f>
        <v>ma</v>
      </c>
      <c r="AQ25" s="125" t="str">
        <f>Juni!C31</f>
        <v>Skema 2</v>
      </c>
      <c r="AR25" s="574">
        <f>Juni!D31</f>
        <v>25.714285714285715</v>
      </c>
      <c r="AS25" s="572">
        <f>Juli!A31</f>
        <v>23</v>
      </c>
      <c r="AT25" s="573" t="str">
        <f>Juli!B31</f>
        <v>on</v>
      </c>
      <c r="AU25" s="125" t="str">
        <f>Juli!C31</f>
        <v>Feriedag</v>
      </c>
      <c r="AV25" s="574" t="str">
        <f>Juli!D31</f>
        <v/>
      </c>
    </row>
    <row r="26" spans="1:48" ht="24" customHeight="1">
      <c r="A26" s="564">
        <f>August!A33</f>
        <v>24</v>
      </c>
      <c r="B26" s="64" t="str">
        <f>August!B33</f>
        <v>lø</v>
      </c>
      <c r="C26" s="125" t="str">
        <f>August!C33</f>
        <v>Weekend</v>
      </c>
      <c r="D26" s="565" t="str">
        <f>August!D33</f>
        <v/>
      </c>
      <c r="E26" s="564">
        <f>September!A32</f>
        <v>24</v>
      </c>
      <c r="F26" s="64" t="str">
        <f>September!B32</f>
        <v>ti</v>
      </c>
      <c r="G26" s="125" t="str">
        <f>September!C32</f>
        <v>Skema 1</v>
      </c>
      <c r="H26" s="565" t="str">
        <f>September!D32</f>
        <v/>
      </c>
      <c r="I26" s="564">
        <f>Oktober!A32</f>
        <v>24</v>
      </c>
      <c r="J26" s="64" t="str">
        <f>Oktober!B32</f>
        <v>to</v>
      </c>
      <c r="K26" s="125" t="str">
        <f>Oktober!C32</f>
        <v>Skema 1</v>
      </c>
      <c r="L26" s="565" t="str">
        <f>Oktober!D32</f>
        <v/>
      </c>
      <c r="M26" s="564">
        <f>November!A32</f>
        <v>24</v>
      </c>
      <c r="N26" s="64" t="str">
        <f>November!B32</f>
        <v>sø</v>
      </c>
      <c r="O26" s="125" t="str">
        <f>November!C32</f>
        <v>Weekend</v>
      </c>
      <c r="P26" s="565" t="str">
        <f>November!D32</f>
        <v/>
      </c>
      <c r="Q26" s="564">
        <f>December!A32</f>
        <v>24</v>
      </c>
      <c r="R26" s="64" t="str">
        <f>December!B32</f>
        <v>ti</v>
      </c>
      <c r="S26" s="125" t="str">
        <f>December!C32</f>
        <v>Nul-dag</v>
      </c>
      <c r="T26" s="565" t="str">
        <f>December!D32</f>
        <v/>
      </c>
      <c r="U26" s="64">
        <f>Januar!A32</f>
        <v>24</v>
      </c>
      <c r="V26" s="64" t="str">
        <f>Januar!B32</f>
        <v>fr</v>
      </c>
      <c r="W26" s="125" t="str">
        <f>Januar!C32</f>
        <v>Skema 2</v>
      </c>
      <c r="X26" s="126" t="str">
        <f>Januar!D32</f>
        <v/>
      </c>
      <c r="Y26" s="564">
        <f>Februar!A32</f>
        <v>24</v>
      </c>
      <c r="Z26" s="64" t="str">
        <f>Februar!B32</f>
        <v>ma</v>
      </c>
      <c r="AA26" s="125" t="str">
        <f>Februar!C32</f>
        <v>Skema 2</v>
      </c>
      <c r="AB26" s="565">
        <f>Februar!D32</f>
        <v>8.7142857142857135</v>
      </c>
      <c r="AC26" s="64">
        <f>Marts!A32</f>
        <v>24</v>
      </c>
      <c r="AD26" s="64" t="str">
        <f>Marts!B32</f>
        <v>ma</v>
      </c>
      <c r="AE26" s="125" t="str">
        <f>Marts!C32</f>
        <v>Skema 2</v>
      </c>
      <c r="AF26" s="126">
        <f>Marts!D32</f>
        <v>12.714285714285714</v>
      </c>
      <c r="AG26" s="564">
        <f>April!A32</f>
        <v>24</v>
      </c>
      <c r="AH26" s="64" t="str">
        <f>April!B32</f>
        <v>to</v>
      </c>
      <c r="AI26" s="125" t="str">
        <f>April!C32</f>
        <v>Skema 2</v>
      </c>
      <c r="AJ26" s="565" t="str">
        <f>April!D32</f>
        <v/>
      </c>
      <c r="AK26" s="572">
        <f>Maj!A32</f>
        <v>24</v>
      </c>
      <c r="AL26" s="573" t="str">
        <f>Maj!B32</f>
        <v>lø</v>
      </c>
      <c r="AM26" s="125" t="str">
        <f>Maj!C32</f>
        <v>Weekend</v>
      </c>
      <c r="AN26" s="574" t="str">
        <f>Maj!D32</f>
        <v/>
      </c>
      <c r="AO26" s="572">
        <f>Juni!A32</f>
        <v>24</v>
      </c>
      <c r="AP26" s="573" t="str">
        <f>Juni!B32</f>
        <v>ti</v>
      </c>
      <c r="AQ26" s="125" t="str">
        <f>Juni!C32</f>
        <v>Skema 2</v>
      </c>
      <c r="AR26" s="574" t="str">
        <f>Juni!D32</f>
        <v/>
      </c>
      <c r="AS26" s="572">
        <f>Juli!A32</f>
        <v>24</v>
      </c>
      <c r="AT26" s="573" t="str">
        <f>Juli!B32</f>
        <v>to</v>
      </c>
      <c r="AU26" s="125" t="str">
        <f>Juli!C32</f>
        <v>Feriedag</v>
      </c>
      <c r="AV26" s="574" t="str">
        <f>Juli!D32</f>
        <v/>
      </c>
    </row>
    <row r="27" spans="1:48" ht="24" customHeight="1">
      <c r="A27" s="564">
        <f>August!A34</f>
        <v>25</v>
      </c>
      <c r="B27" s="64" t="str">
        <f>August!B34</f>
        <v>sø</v>
      </c>
      <c r="C27" s="125" t="str">
        <f>August!C34</f>
        <v>Weekend</v>
      </c>
      <c r="D27" s="565" t="str">
        <f>August!D34</f>
        <v/>
      </c>
      <c r="E27" s="564">
        <f>September!A33</f>
        <v>25</v>
      </c>
      <c r="F27" s="64" t="str">
        <f>September!B33</f>
        <v>on</v>
      </c>
      <c r="G27" s="125" t="str">
        <f>September!C33</f>
        <v>Skema 1</v>
      </c>
      <c r="H27" s="565" t="str">
        <f>September!D33</f>
        <v/>
      </c>
      <c r="I27" s="564">
        <f>Oktober!A33</f>
        <v>25</v>
      </c>
      <c r="J27" s="64" t="str">
        <f>Oktober!B33</f>
        <v>fr</v>
      </c>
      <c r="K27" s="125" t="str">
        <f>Oktober!C33</f>
        <v>Skema 1</v>
      </c>
      <c r="L27" s="565" t="str">
        <f>Oktober!D33</f>
        <v/>
      </c>
      <c r="M27" s="564">
        <f>November!A33</f>
        <v>25</v>
      </c>
      <c r="N27" s="64" t="str">
        <f>November!B33</f>
        <v>ma</v>
      </c>
      <c r="O27" s="125" t="str">
        <f>November!C33</f>
        <v>Skema 1</v>
      </c>
      <c r="P27" s="565">
        <f>November!D33</f>
        <v>48</v>
      </c>
      <c r="Q27" s="564">
        <f>December!A33</f>
        <v>25</v>
      </c>
      <c r="R27" s="64" t="str">
        <f>December!B33</f>
        <v>on</v>
      </c>
      <c r="S27" s="125" t="str">
        <f>December!C33</f>
        <v>SH-dag</v>
      </c>
      <c r="T27" s="565" t="str">
        <f>December!D33</f>
        <v/>
      </c>
      <c r="U27" s="64">
        <f>Januar!A33</f>
        <v>25</v>
      </c>
      <c r="V27" s="64" t="str">
        <f>Januar!B33</f>
        <v>lø</v>
      </c>
      <c r="W27" s="125" t="str">
        <f>Januar!C33</f>
        <v>Weekend</v>
      </c>
      <c r="X27" s="126" t="str">
        <f>Januar!D33</f>
        <v/>
      </c>
      <c r="Y27" s="564">
        <f>Februar!A33</f>
        <v>25</v>
      </c>
      <c r="Z27" s="64" t="str">
        <f>Februar!B33</f>
        <v>ti</v>
      </c>
      <c r="AA27" s="125" t="str">
        <f>Februar!C33</f>
        <v>Skema 2</v>
      </c>
      <c r="AB27" s="565" t="str">
        <f>Februar!D33</f>
        <v/>
      </c>
      <c r="AC27" s="64">
        <f>Marts!A33</f>
        <v>25</v>
      </c>
      <c r="AD27" s="64" t="str">
        <f>Marts!B33</f>
        <v>ti</v>
      </c>
      <c r="AE27" s="125" t="str">
        <f>Marts!C33</f>
        <v>Skema 2</v>
      </c>
      <c r="AF27" s="126" t="str">
        <f>Marts!D33</f>
        <v/>
      </c>
      <c r="AG27" s="564">
        <f>April!A33</f>
        <v>25</v>
      </c>
      <c r="AH27" s="64" t="str">
        <f>April!B33</f>
        <v>fr</v>
      </c>
      <c r="AI27" s="125" t="str">
        <f>April!C33</f>
        <v>Skema 2</v>
      </c>
      <c r="AJ27" s="565" t="str">
        <f>April!D33</f>
        <v/>
      </c>
      <c r="AK27" s="572">
        <f>Maj!A33</f>
        <v>25</v>
      </c>
      <c r="AL27" s="573" t="str">
        <f>Maj!B33</f>
        <v>sø</v>
      </c>
      <c r="AM27" s="125" t="str">
        <f>Maj!C33</f>
        <v>Weekend</v>
      </c>
      <c r="AN27" s="574" t="str">
        <f>Maj!D33</f>
        <v/>
      </c>
      <c r="AO27" s="572">
        <f>Juni!A33</f>
        <v>25</v>
      </c>
      <c r="AP27" s="573" t="str">
        <f>Juni!B33</f>
        <v>on</v>
      </c>
      <c r="AQ27" s="125" t="str">
        <f>Juni!C33</f>
        <v>Skema 2</v>
      </c>
      <c r="AR27" s="574" t="str">
        <f>Juni!D33</f>
        <v/>
      </c>
      <c r="AS27" s="572">
        <f>Juli!A33</f>
        <v>25</v>
      </c>
      <c r="AT27" s="573" t="str">
        <f>Juli!B33</f>
        <v>fr</v>
      </c>
      <c r="AU27" s="125" t="str">
        <f>Juli!C33</f>
        <v>Feriedag</v>
      </c>
      <c r="AV27" s="574" t="str">
        <f>Juli!D33</f>
        <v/>
      </c>
    </row>
    <row r="28" spans="1:48" ht="24" customHeight="1">
      <c r="A28" s="564">
        <f>August!A35</f>
        <v>26</v>
      </c>
      <c r="B28" s="64" t="str">
        <f>August!B35</f>
        <v>ma</v>
      </c>
      <c r="C28" s="125" t="str">
        <f>August!C35</f>
        <v>Skema 1</v>
      </c>
      <c r="D28" s="565">
        <f>August!D35</f>
        <v>35</v>
      </c>
      <c r="E28" s="564">
        <f>September!A34</f>
        <v>26</v>
      </c>
      <c r="F28" s="64" t="str">
        <f>September!B34</f>
        <v>to</v>
      </c>
      <c r="G28" s="125" t="str">
        <f>September!C34</f>
        <v>Skema 1</v>
      </c>
      <c r="H28" s="565" t="str">
        <f>September!D34</f>
        <v/>
      </c>
      <c r="I28" s="564">
        <f>Oktober!A34</f>
        <v>26</v>
      </c>
      <c r="J28" s="64" t="str">
        <f>Oktober!B34</f>
        <v>lø</v>
      </c>
      <c r="K28" s="125" t="str">
        <f>Oktober!C34</f>
        <v>Weekend</v>
      </c>
      <c r="L28" s="565" t="str">
        <f>Oktober!D34</f>
        <v/>
      </c>
      <c r="M28" s="564">
        <f>November!A34</f>
        <v>26</v>
      </c>
      <c r="N28" s="64" t="str">
        <f>November!B34</f>
        <v>ti</v>
      </c>
      <c r="O28" s="125" t="str">
        <f>November!C34</f>
        <v>Skema 1</v>
      </c>
      <c r="P28" s="565" t="str">
        <f>November!D34</f>
        <v/>
      </c>
      <c r="Q28" s="564">
        <f>December!A34</f>
        <v>26</v>
      </c>
      <c r="R28" s="64" t="str">
        <f>December!B34</f>
        <v>to</v>
      </c>
      <c r="S28" s="125" t="str">
        <f>December!C34</f>
        <v>SH-dag</v>
      </c>
      <c r="T28" s="565" t="str">
        <f>December!D34</f>
        <v/>
      </c>
      <c r="U28" s="64">
        <f>Januar!A34</f>
        <v>26</v>
      </c>
      <c r="V28" s="64" t="str">
        <f>Januar!B34</f>
        <v>sø</v>
      </c>
      <c r="W28" s="125" t="str">
        <f>Januar!C34</f>
        <v>Weekend</v>
      </c>
      <c r="X28" s="126" t="str">
        <f>Januar!D34</f>
        <v/>
      </c>
      <c r="Y28" s="564">
        <f>Februar!A34</f>
        <v>26</v>
      </c>
      <c r="Z28" s="64" t="str">
        <f>Februar!B34</f>
        <v>on</v>
      </c>
      <c r="AA28" s="125" t="str">
        <f>Februar!C34</f>
        <v>Skema 2</v>
      </c>
      <c r="AB28" s="565" t="str">
        <f>Februar!D34</f>
        <v/>
      </c>
      <c r="AC28" s="64">
        <f>Marts!A34</f>
        <v>26</v>
      </c>
      <c r="AD28" s="64" t="str">
        <f>Marts!B34</f>
        <v>on</v>
      </c>
      <c r="AE28" s="125" t="str">
        <f>Marts!C34</f>
        <v>Skema 2</v>
      </c>
      <c r="AF28" s="126" t="str">
        <f>Marts!D34</f>
        <v/>
      </c>
      <c r="AG28" s="564">
        <f>April!A34</f>
        <v>26</v>
      </c>
      <c r="AH28" s="64" t="str">
        <f>April!B34</f>
        <v>lø</v>
      </c>
      <c r="AI28" s="125" t="str">
        <f>April!C34</f>
        <v>Weekend</v>
      </c>
      <c r="AJ28" s="565" t="str">
        <f>April!D34</f>
        <v/>
      </c>
      <c r="AK28" s="572">
        <f>Maj!A34</f>
        <v>26</v>
      </c>
      <c r="AL28" s="573" t="str">
        <f>Maj!B34</f>
        <v>ma</v>
      </c>
      <c r="AM28" s="125" t="str">
        <f>Maj!C34</f>
        <v>Skema 2</v>
      </c>
      <c r="AN28" s="574">
        <f>Maj!D34</f>
        <v>21.714285714285715</v>
      </c>
      <c r="AO28" s="572">
        <f>Juni!A34</f>
        <v>26</v>
      </c>
      <c r="AP28" s="573" t="str">
        <f>Juni!B34</f>
        <v>to</v>
      </c>
      <c r="AQ28" s="125" t="str">
        <f>Juni!C34</f>
        <v>Skema 2</v>
      </c>
      <c r="AR28" s="574" t="str">
        <f>Juni!D34</f>
        <v/>
      </c>
      <c r="AS28" s="572">
        <f>Juli!A34</f>
        <v>26</v>
      </c>
      <c r="AT28" s="573" t="str">
        <f>Juli!B34</f>
        <v>lø</v>
      </c>
      <c r="AU28" s="125" t="str">
        <f>Juli!C34</f>
        <v>Weekend</v>
      </c>
      <c r="AV28" s="574" t="str">
        <f>Juli!D34</f>
        <v/>
      </c>
    </row>
    <row r="29" spans="1:48" ht="24" customHeight="1">
      <c r="A29" s="564">
        <f>August!A36</f>
        <v>27</v>
      </c>
      <c r="B29" s="64" t="str">
        <f>August!B36</f>
        <v>ti</v>
      </c>
      <c r="C29" s="125" t="str">
        <f>August!C36</f>
        <v>Skema 1</v>
      </c>
      <c r="D29" s="565" t="str">
        <f>August!D36</f>
        <v/>
      </c>
      <c r="E29" s="564">
        <f>September!A35</f>
        <v>27</v>
      </c>
      <c r="F29" s="64" t="str">
        <f>September!B35</f>
        <v>fr</v>
      </c>
      <c r="G29" s="125" t="str">
        <f>September!C35</f>
        <v>Skema 1</v>
      </c>
      <c r="H29" s="565" t="str">
        <f>September!D35</f>
        <v/>
      </c>
      <c r="I29" s="564">
        <f>Oktober!A35</f>
        <v>27</v>
      </c>
      <c r="J29" s="64" t="str">
        <f>Oktober!B35</f>
        <v>sø</v>
      </c>
      <c r="K29" s="125" t="str">
        <f>Oktober!C35</f>
        <v>Weekend</v>
      </c>
      <c r="L29" s="565" t="str">
        <f>Oktober!D35</f>
        <v/>
      </c>
      <c r="M29" s="564">
        <f>November!A35</f>
        <v>27</v>
      </c>
      <c r="N29" s="64" t="str">
        <f>November!B35</f>
        <v>on</v>
      </c>
      <c r="O29" s="125" t="str">
        <f>November!C35</f>
        <v>Skema 1</v>
      </c>
      <c r="P29" s="565" t="str">
        <f>November!D35</f>
        <v/>
      </c>
      <c r="Q29" s="564">
        <f>December!A35</f>
        <v>27</v>
      </c>
      <c r="R29" s="64" t="str">
        <f>December!B35</f>
        <v>fr</v>
      </c>
      <c r="S29" s="125" t="str">
        <f>December!C35</f>
        <v>Nul-dag</v>
      </c>
      <c r="T29" s="565" t="str">
        <f>December!D35</f>
        <v/>
      </c>
      <c r="U29" s="64">
        <f>Januar!A35</f>
        <v>27</v>
      </c>
      <c r="V29" s="64" t="str">
        <f>Januar!B35</f>
        <v>ma</v>
      </c>
      <c r="W29" s="125" t="str">
        <f>Januar!C35</f>
        <v>Skema 2</v>
      </c>
      <c r="X29" s="126">
        <f>Januar!D35</f>
        <v>4.7142857142857144</v>
      </c>
      <c r="Y29" s="564">
        <f>Februar!A35</f>
        <v>27</v>
      </c>
      <c r="Z29" s="64" t="str">
        <f>Februar!B35</f>
        <v>to</v>
      </c>
      <c r="AA29" s="125" t="str">
        <f>Februar!C35</f>
        <v>Skema 2</v>
      </c>
      <c r="AB29" s="565" t="str">
        <f>Februar!D35</f>
        <v/>
      </c>
      <c r="AC29" s="64">
        <f>Marts!A35</f>
        <v>27</v>
      </c>
      <c r="AD29" s="64" t="str">
        <f>Marts!B35</f>
        <v>to</v>
      </c>
      <c r="AE29" s="125" t="str">
        <f>Marts!C35</f>
        <v>Skema 2</v>
      </c>
      <c r="AF29" s="126" t="str">
        <f>Marts!D35</f>
        <v/>
      </c>
      <c r="AG29" s="564">
        <f>April!A35</f>
        <v>27</v>
      </c>
      <c r="AH29" s="64" t="str">
        <f>April!B35</f>
        <v>sø</v>
      </c>
      <c r="AI29" s="125" t="str">
        <f>April!C35</f>
        <v>Weekend</v>
      </c>
      <c r="AJ29" s="565" t="str">
        <f>April!D35</f>
        <v/>
      </c>
      <c r="AK29" s="572">
        <f>Maj!A35</f>
        <v>27</v>
      </c>
      <c r="AL29" s="573" t="str">
        <f>Maj!B35</f>
        <v>ti</v>
      </c>
      <c r="AM29" s="125" t="str">
        <f>Maj!C35</f>
        <v>Skema 2</v>
      </c>
      <c r="AN29" s="574" t="str">
        <f>Maj!D35</f>
        <v/>
      </c>
      <c r="AO29" s="572">
        <f>Juni!A35</f>
        <v>27</v>
      </c>
      <c r="AP29" s="573" t="str">
        <f>Juni!B35</f>
        <v>fr</v>
      </c>
      <c r="AQ29" s="125" t="str">
        <f>Juni!C35</f>
        <v>Fagdag</v>
      </c>
      <c r="AR29" s="574" t="str">
        <f>Juni!D35</f>
        <v/>
      </c>
      <c r="AS29" s="572">
        <f>Juli!A35</f>
        <v>27</v>
      </c>
      <c r="AT29" s="573" t="str">
        <f>Juli!B35</f>
        <v>sø</v>
      </c>
      <c r="AU29" s="125" t="str">
        <f>Juli!C35</f>
        <v>Weekend</v>
      </c>
      <c r="AV29" s="574" t="str">
        <f>Juli!D35</f>
        <v/>
      </c>
    </row>
    <row r="30" spans="1:48" ht="24" customHeight="1">
      <c r="A30" s="564">
        <f>August!A37</f>
        <v>28</v>
      </c>
      <c r="B30" s="64" t="str">
        <f>August!B37</f>
        <v>on</v>
      </c>
      <c r="C30" s="125" t="str">
        <f>August!C37</f>
        <v>Skema 1</v>
      </c>
      <c r="D30" s="565" t="str">
        <f>August!D37</f>
        <v/>
      </c>
      <c r="E30" s="564">
        <f>September!A36</f>
        <v>28</v>
      </c>
      <c r="F30" s="64" t="str">
        <f>September!B36</f>
        <v>lø</v>
      </c>
      <c r="G30" s="125" t="str">
        <f>September!C36</f>
        <v>Weekend</v>
      </c>
      <c r="H30" s="565" t="str">
        <f>September!D36</f>
        <v/>
      </c>
      <c r="I30" s="564">
        <f>Oktober!A36</f>
        <v>28</v>
      </c>
      <c r="J30" s="64" t="str">
        <f>Oktober!B36</f>
        <v>ma</v>
      </c>
      <c r="K30" s="125" t="str">
        <f>Oktober!C36</f>
        <v>Skema 1</v>
      </c>
      <c r="L30" s="565">
        <f>Oktober!D36</f>
        <v>44</v>
      </c>
      <c r="M30" s="564">
        <f>November!A36</f>
        <v>28</v>
      </c>
      <c r="N30" s="64" t="str">
        <f>November!B36</f>
        <v>to</v>
      </c>
      <c r="O30" s="125" t="str">
        <f>November!C36</f>
        <v>Skema 1</v>
      </c>
      <c r="P30" s="565" t="str">
        <f>November!D36</f>
        <v/>
      </c>
      <c r="Q30" s="564">
        <f>December!A36</f>
        <v>28</v>
      </c>
      <c r="R30" s="64" t="str">
        <f>December!B36</f>
        <v>lø</v>
      </c>
      <c r="S30" s="125" t="str">
        <f>December!C36</f>
        <v>Weekend</v>
      </c>
      <c r="T30" s="565" t="str">
        <f>December!D36</f>
        <v/>
      </c>
      <c r="U30" s="64">
        <f>Januar!A36</f>
        <v>28</v>
      </c>
      <c r="V30" s="64" t="str">
        <f>Januar!B36</f>
        <v>ti</v>
      </c>
      <c r="W30" s="125" t="str">
        <f>Januar!C36</f>
        <v>Skema 2</v>
      </c>
      <c r="X30" s="126" t="str">
        <f>Januar!D36</f>
        <v/>
      </c>
      <c r="Y30" s="566">
        <f>Februar!A36</f>
        <v>28</v>
      </c>
      <c r="Z30" s="567" t="str">
        <f>Februar!B36</f>
        <v>fr</v>
      </c>
      <c r="AA30" s="111" t="str">
        <f>Februar!C36</f>
        <v>Skema 2</v>
      </c>
      <c r="AB30" s="568" t="str">
        <f>Februar!D36</f>
        <v/>
      </c>
      <c r="AC30" s="64">
        <f>Marts!A36</f>
        <v>28</v>
      </c>
      <c r="AD30" s="64" t="str">
        <f>Marts!B36</f>
        <v>fr</v>
      </c>
      <c r="AE30" s="125" t="str">
        <f>Marts!C36</f>
        <v>Skema 2</v>
      </c>
      <c r="AF30" s="126" t="str">
        <f>Marts!D36</f>
        <v/>
      </c>
      <c r="AG30" s="564">
        <f>April!A36</f>
        <v>28</v>
      </c>
      <c r="AH30" s="64" t="str">
        <f>April!B36</f>
        <v>ma</v>
      </c>
      <c r="AI30" s="125" t="str">
        <f>April!C36</f>
        <v>Skema 2</v>
      </c>
      <c r="AJ30" s="565">
        <f>April!D36</f>
        <v>17.714285714285715</v>
      </c>
      <c r="AK30" s="572">
        <f>Maj!A36</f>
        <v>28</v>
      </c>
      <c r="AL30" s="573" t="str">
        <f>Maj!B36</f>
        <v>on</v>
      </c>
      <c r="AM30" s="125" t="str">
        <f>Maj!C36</f>
        <v>Skema 2</v>
      </c>
      <c r="AN30" s="574" t="str">
        <f>Maj!D36</f>
        <v/>
      </c>
      <c r="AO30" s="572">
        <f>Juni!A36</f>
        <v>28</v>
      </c>
      <c r="AP30" s="573" t="str">
        <f>Juni!B36</f>
        <v>lø</v>
      </c>
      <c r="AQ30" s="125" t="str">
        <f>Juni!C36</f>
        <v>Weekend</v>
      </c>
      <c r="AR30" s="574" t="str">
        <f>Juni!D36</f>
        <v/>
      </c>
      <c r="AS30" s="572">
        <f>Juli!A36</f>
        <v>28</v>
      </c>
      <c r="AT30" s="573" t="str">
        <f>Juli!B36</f>
        <v>ma</v>
      </c>
      <c r="AU30" s="125" t="str">
        <f>Juli!C36</f>
        <v>Feriedag</v>
      </c>
      <c r="AV30" s="574">
        <f>Juli!D36</f>
        <v>30.714285714285715</v>
      </c>
    </row>
    <row r="31" spans="1:48" ht="24" customHeight="1">
      <c r="A31" s="564">
        <f>August!A38</f>
        <v>29</v>
      </c>
      <c r="B31" s="64" t="str">
        <f>August!B38</f>
        <v>to</v>
      </c>
      <c r="C31" s="125" t="str">
        <f>August!C38</f>
        <v>Skema 1</v>
      </c>
      <c r="D31" s="565" t="str">
        <f>August!D38</f>
        <v/>
      </c>
      <c r="E31" s="564">
        <f>September!A37</f>
        <v>29</v>
      </c>
      <c r="F31" s="64" t="str">
        <f>September!B37</f>
        <v>sø</v>
      </c>
      <c r="G31" s="125" t="str">
        <f>September!C37</f>
        <v>Weekend</v>
      </c>
      <c r="H31" s="565" t="str">
        <f>September!D37</f>
        <v/>
      </c>
      <c r="I31" s="564">
        <f>Oktober!A37</f>
        <v>29</v>
      </c>
      <c r="J31" s="64" t="str">
        <f>Oktober!B37</f>
        <v>ti</v>
      </c>
      <c r="K31" s="125" t="str">
        <f>Oktober!C37</f>
        <v>Fagdag</v>
      </c>
      <c r="L31" s="565" t="str">
        <f>Oktober!D37</f>
        <v/>
      </c>
      <c r="M31" s="564">
        <f>November!A37</f>
        <v>29</v>
      </c>
      <c r="N31" s="64" t="str">
        <f>November!B37</f>
        <v>fr</v>
      </c>
      <c r="O31" s="125" t="str">
        <f>November!C37</f>
        <v>Skema 1</v>
      </c>
      <c r="P31" s="565" t="str">
        <f>November!D37</f>
        <v/>
      </c>
      <c r="Q31" s="564">
        <f>December!A37</f>
        <v>29</v>
      </c>
      <c r="R31" s="64" t="str">
        <f>December!B37</f>
        <v>sø</v>
      </c>
      <c r="S31" s="125" t="str">
        <f>December!C37</f>
        <v>Weekend</v>
      </c>
      <c r="T31" s="565" t="str">
        <f>December!D37</f>
        <v/>
      </c>
      <c r="U31" s="64">
        <f>Januar!A37</f>
        <v>29</v>
      </c>
      <c r="V31" s="64" t="str">
        <f>Januar!B37</f>
        <v>on</v>
      </c>
      <c r="W31" s="125" t="str">
        <f>Januar!C37</f>
        <v>Skema 2</v>
      </c>
      <c r="X31" s="126" t="str">
        <f>Januar!D37</f>
        <v/>
      </c>
      <c r="Y31" s="197">
        <f>Februar!A37</f>
        <v>0</v>
      </c>
      <c r="Z31" s="198">
        <f>Februar!B37</f>
        <v>0</v>
      </c>
      <c r="AA31" s="199" t="str">
        <f>Februar!C37</f>
        <v>Ikke relevant</v>
      </c>
      <c r="AB31" s="613" t="str">
        <f>Februar!D37</f>
        <v/>
      </c>
      <c r="AC31" s="64">
        <f>Marts!A37</f>
        <v>29</v>
      </c>
      <c r="AD31" s="64" t="str">
        <f>Marts!B37</f>
        <v>lø</v>
      </c>
      <c r="AE31" s="125" t="str">
        <f>Marts!C37</f>
        <v>Weekend</v>
      </c>
      <c r="AF31" s="126" t="str">
        <f>Marts!D37</f>
        <v/>
      </c>
      <c r="AG31" s="564">
        <f>April!A37</f>
        <v>29</v>
      </c>
      <c r="AH31" s="64" t="str">
        <f>April!B37</f>
        <v>ti</v>
      </c>
      <c r="AI31" s="125" t="str">
        <f>April!C37</f>
        <v>Skema 2</v>
      </c>
      <c r="AJ31" s="565" t="str">
        <f>April!D37</f>
        <v/>
      </c>
      <c r="AK31" s="572">
        <f>Maj!A37</f>
        <v>29</v>
      </c>
      <c r="AL31" s="573" t="str">
        <f>Maj!B37</f>
        <v>to</v>
      </c>
      <c r="AM31" s="125" t="str">
        <f>Maj!C37</f>
        <v>SH-dag</v>
      </c>
      <c r="AN31" s="574" t="str">
        <f>Maj!D37</f>
        <v/>
      </c>
      <c r="AO31" s="572">
        <f>Juni!A37</f>
        <v>29</v>
      </c>
      <c r="AP31" s="573" t="str">
        <f>Juni!B37</f>
        <v>sø</v>
      </c>
      <c r="AQ31" s="125" t="str">
        <f>Juni!C37</f>
        <v>Weekend</v>
      </c>
      <c r="AR31" s="574" t="str">
        <f>Juni!D37</f>
        <v/>
      </c>
      <c r="AS31" s="572">
        <f>Juli!A37</f>
        <v>29</v>
      </c>
      <c r="AT31" s="573" t="str">
        <f>Juli!B37</f>
        <v>ti</v>
      </c>
      <c r="AU31" s="125" t="str">
        <f>Juli!C37</f>
        <v>Feriedag</v>
      </c>
      <c r="AV31" s="574" t="str">
        <f>Juli!D37</f>
        <v/>
      </c>
    </row>
    <row r="32" spans="1:48" ht="24" customHeight="1">
      <c r="A32" s="564">
        <f>August!A39</f>
        <v>30</v>
      </c>
      <c r="B32" s="64" t="str">
        <f>August!B39</f>
        <v>fr</v>
      </c>
      <c r="C32" s="125" t="str">
        <f>August!C39</f>
        <v>Skema 1</v>
      </c>
      <c r="D32" s="565" t="str">
        <f>August!D39</f>
        <v/>
      </c>
      <c r="E32" s="566">
        <f>September!A38</f>
        <v>30</v>
      </c>
      <c r="F32" s="567" t="str">
        <f>September!B38</f>
        <v>ma</v>
      </c>
      <c r="G32" s="111" t="str">
        <f>September!C38</f>
        <v>Skema 1</v>
      </c>
      <c r="H32" s="568">
        <f>September!D38</f>
        <v>40</v>
      </c>
      <c r="I32" s="564">
        <f>Oktober!A38</f>
        <v>30</v>
      </c>
      <c r="J32" s="64" t="str">
        <f>Oktober!B38</f>
        <v>on</v>
      </c>
      <c r="K32" s="125" t="str">
        <f>Oktober!C38</f>
        <v>Skema 1</v>
      </c>
      <c r="L32" s="565" t="str">
        <f>Oktober!D38</f>
        <v/>
      </c>
      <c r="M32" s="566">
        <f>November!A38</f>
        <v>30</v>
      </c>
      <c r="N32" s="567" t="str">
        <f>November!B38</f>
        <v>lø</v>
      </c>
      <c r="O32" s="111" t="str">
        <f>November!C38</f>
        <v>Weekend</v>
      </c>
      <c r="P32" s="568" t="str">
        <f>November!D38</f>
        <v/>
      </c>
      <c r="Q32" s="564">
        <f>December!A38</f>
        <v>30</v>
      </c>
      <c r="R32" s="64" t="str">
        <f>December!B38</f>
        <v>ma</v>
      </c>
      <c r="S32" s="125" t="str">
        <f>December!C38</f>
        <v>Nul-dag</v>
      </c>
      <c r="T32" s="565">
        <f>December!D38</f>
        <v>1</v>
      </c>
      <c r="U32" s="64">
        <f>Januar!A38</f>
        <v>30</v>
      </c>
      <c r="V32" s="64" t="str">
        <f>Januar!B38</f>
        <v>to</v>
      </c>
      <c r="W32" s="125" t="str">
        <f>Januar!C38</f>
        <v>Skema 2</v>
      </c>
      <c r="X32" s="126" t="str">
        <f>Januar!D38</f>
        <v/>
      </c>
      <c r="Y32" s="78"/>
      <c r="Z32" s="79"/>
      <c r="AA32" s="80"/>
      <c r="AB32" s="81"/>
      <c r="AC32" s="64">
        <f>Marts!A38</f>
        <v>30</v>
      </c>
      <c r="AD32" s="64" t="str">
        <f>Marts!B38</f>
        <v>sø</v>
      </c>
      <c r="AE32" s="125" t="str">
        <f>Marts!C38</f>
        <v>Weekend</v>
      </c>
      <c r="AF32" s="126" t="str">
        <f>Marts!D38</f>
        <v/>
      </c>
      <c r="AG32" s="566">
        <f>April!A38</f>
        <v>30</v>
      </c>
      <c r="AH32" s="567" t="str">
        <f>April!B38</f>
        <v>on</v>
      </c>
      <c r="AI32" s="111" t="str">
        <f>April!C38</f>
        <v>Skema 2</v>
      </c>
      <c r="AJ32" s="568" t="str">
        <f>April!D38</f>
        <v/>
      </c>
      <c r="AK32" s="572">
        <f>Maj!A38</f>
        <v>30</v>
      </c>
      <c r="AL32" s="573" t="str">
        <f>Maj!B38</f>
        <v>fr</v>
      </c>
      <c r="AM32" s="125" t="str">
        <f>Maj!C38</f>
        <v>Nul-dag</v>
      </c>
      <c r="AN32" s="574" t="str">
        <f>Maj!D38</f>
        <v/>
      </c>
      <c r="AO32" s="566">
        <f>Juni!A38</f>
        <v>30</v>
      </c>
      <c r="AP32" s="567" t="str">
        <f>Juni!B38</f>
        <v>ma</v>
      </c>
      <c r="AQ32" s="111" t="str">
        <f>Juni!C38</f>
        <v>Pæd.dag</v>
      </c>
      <c r="AR32" s="568">
        <f>Juni!D38</f>
        <v>26.714285714285715</v>
      </c>
      <c r="AS32" s="572">
        <f>Juli!A38</f>
        <v>30</v>
      </c>
      <c r="AT32" s="573" t="str">
        <f>Juli!B38</f>
        <v>on</v>
      </c>
      <c r="AU32" s="125" t="str">
        <f>Juli!C38</f>
        <v>Feriedag</v>
      </c>
      <c r="AV32" s="574" t="str">
        <f>Juli!D38</f>
        <v/>
      </c>
    </row>
    <row r="33" spans="1:48" ht="24" customHeight="1">
      <c r="A33" s="566">
        <f>August!A40</f>
        <v>31</v>
      </c>
      <c r="B33" s="567" t="str">
        <f>August!B40</f>
        <v>lø</v>
      </c>
      <c r="C33" s="111" t="str">
        <f>August!C40</f>
        <v>Weekend</v>
      </c>
      <c r="D33" s="568" t="str">
        <f>August!D40</f>
        <v/>
      </c>
      <c r="E33" s="66"/>
      <c r="F33" s="66"/>
      <c r="G33" s="67"/>
      <c r="H33" s="68"/>
      <c r="I33" s="566">
        <f>Oktober!A39</f>
        <v>31</v>
      </c>
      <c r="J33" s="567" t="str">
        <f>Oktober!B39</f>
        <v>to</v>
      </c>
      <c r="K33" s="111" t="str">
        <f>Oktober!C39</f>
        <v>Skema 1</v>
      </c>
      <c r="L33" s="568" t="str">
        <f>Oktober!D39</f>
        <v/>
      </c>
      <c r="M33" s="66"/>
      <c r="N33" s="66"/>
      <c r="O33" s="67"/>
      <c r="P33" s="69"/>
      <c r="Q33" s="566">
        <f>December!A39</f>
        <v>31</v>
      </c>
      <c r="R33" s="567" t="str">
        <f>December!B39</f>
        <v>ti</v>
      </c>
      <c r="S33" s="111" t="str">
        <f>December!C39</f>
        <v>Nul-dag</v>
      </c>
      <c r="T33" s="568" t="str">
        <f>December!D39</f>
        <v/>
      </c>
      <c r="U33" s="64">
        <f>Januar!A39</f>
        <v>31</v>
      </c>
      <c r="V33" s="64" t="str">
        <f>Januar!B39</f>
        <v>fr</v>
      </c>
      <c r="W33" s="111" t="str">
        <f>Januar!C39</f>
        <v>Skema 2</v>
      </c>
      <c r="X33" s="126" t="str">
        <f>Januar!D39</f>
        <v/>
      </c>
      <c r="Y33" s="78"/>
      <c r="Z33" s="79"/>
      <c r="AA33" s="80"/>
      <c r="AB33" s="81"/>
      <c r="AC33" s="64">
        <f>Marts!A39</f>
        <v>31</v>
      </c>
      <c r="AD33" s="64" t="str">
        <f>Marts!B39</f>
        <v>ma</v>
      </c>
      <c r="AE33" s="111" t="str">
        <f>Marts!C39</f>
        <v>Skema 2</v>
      </c>
      <c r="AF33" s="126">
        <f>Marts!D39</f>
        <v>13.714285714285714</v>
      </c>
      <c r="AG33" s="65"/>
      <c r="AH33" s="66"/>
      <c r="AI33" s="67"/>
      <c r="AJ33" s="569"/>
      <c r="AK33" s="566">
        <f>Maj!A39</f>
        <v>31</v>
      </c>
      <c r="AL33" s="567" t="str">
        <f>Maj!B39</f>
        <v>lø</v>
      </c>
      <c r="AM33" s="111" t="str">
        <f>Maj!C39</f>
        <v>Weekend</v>
      </c>
      <c r="AN33" s="568" t="str">
        <f>Maj!D39</f>
        <v/>
      </c>
      <c r="AO33" s="79"/>
      <c r="AP33" s="79"/>
      <c r="AQ33" s="80"/>
      <c r="AR33" s="81"/>
      <c r="AS33" s="566">
        <f>Juli!A39</f>
        <v>31</v>
      </c>
      <c r="AT33" s="567" t="str">
        <f>Juli!B39</f>
        <v>to</v>
      </c>
      <c r="AU33" s="111" t="str">
        <f>Juli!C39</f>
        <v>Feriedag</v>
      </c>
      <c r="AV33" s="568" t="str">
        <f>Juli!D39</f>
        <v/>
      </c>
    </row>
    <row r="34" spans="1:48" ht="13">
      <c r="A34" s="71"/>
      <c r="B34" s="529">
        <f>August!H44-August!H46</f>
        <v>22</v>
      </c>
      <c r="C34" s="71" t="s">
        <v>115</v>
      </c>
      <c r="D34" s="71"/>
      <c r="E34" s="71"/>
      <c r="F34" s="529">
        <f>September!H42-September!H44</f>
        <v>21</v>
      </c>
      <c r="G34" s="71" t="s">
        <v>115</v>
      </c>
      <c r="H34" s="71"/>
      <c r="I34" s="70"/>
      <c r="J34" s="608">
        <f>Oktober!H43-Oktober!H45</f>
        <v>23</v>
      </c>
      <c r="K34" s="70" t="s">
        <v>115</v>
      </c>
      <c r="L34" s="70"/>
      <c r="M34" s="71"/>
      <c r="N34" s="529">
        <f>November!H42-November!H44</f>
        <v>21</v>
      </c>
      <c r="O34" s="71" t="s">
        <v>115</v>
      </c>
      <c r="P34" s="71"/>
      <c r="Q34" s="70"/>
      <c r="R34" s="608">
        <f>December!H43-December!H45</f>
        <v>20</v>
      </c>
      <c r="S34" s="70" t="s">
        <v>115</v>
      </c>
      <c r="T34" s="70"/>
      <c r="U34" s="72"/>
      <c r="V34" s="609">
        <f>Januar!H43-Januar!H45</f>
        <v>22</v>
      </c>
      <c r="W34" s="70" t="s">
        <v>115</v>
      </c>
      <c r="X34" s="73"/>
      <c r="Y34" s="71"/>
      <c r="Z34" s="529">
        <f>Februar!H41-Februar!H43</f>
        <v>20</v>
      </c>
      <c r="AA34" s="71" t="s">
        <v>115</v>
      </c>
      <c r="AB34" s="71"/>
      <c r="AC34" s="70"/>
      <c r="AD34" s="608">
        <f>Marts!H43-Marts!H45</f>
        <v>21</v>
      </c>
      <c r="AE34" s="70" t="s">
        <v>115</v>
      </c>
      <c r="AF34" s="70"/>
      <c r="AG34" s="71"/>
      <c r="AH34" s="529">
        <f>April!H42-April!H44</f>
        <v>19</v>
      </c>
      <c r="AI34" s="71" t="s">
        <v>115</v>
      </c>
      <c r="AJ34" s="71"/>
      <c r="AK34" s="70"/>
      <c r="AL34" s="608">
        <f>Maj!H43-Maj!H45</f>
        <v>21</v>
      </c>
      <c r="AM34" s="70" t="s">
        <v>115</v>
      </c>
      <c r="AN34" s="70"/>
      <c r="AO34" s="71"/>
      <c r="AP34" s="529">
        <f>Juni!H42-Juni!H44</f>
        <v>20</v>
      </c>
      <c r="AQ34" s="71" t="s">
        <v>115</v>
      </c>
      <c r="AR34" s="71"/>
      <c r="AS34" s="70"/>
      <c r="AT34" s="528">
        <f>Juli!H43-Juli!H45</f>
        <v>23</v>
      </c>
      <c r="AU34" s="70" t="s">
        <v>115</v>
      </c>
      <c r="AV34" s="70"/>
    </row>
    <row r="35" spans="1:48" ht="24" customHeight="1">
      <c r="A35" s="156" t="s">
        <v>145</v>
      </c>
      <c r="B35" s="157"/>
      <c r="C35" s="157"/>
      <c r="D35" s="158"/>
      <c r="E35" s="159"/>
      <c r="F35" s="157"/>
      <c r="G35" s="160">
        <f>August!D77-August!D75+September!D76-September!D75+Oktober!D77-Oktober!D76+November!D76-November!D75+December!D77-December!D76+Januar!D77-Januar!D76+Februar!D75-Februar!D74+Marts!D77-Marts!D76+April!D76-April!D75+Maj!D77-Maj!D76+Juni!D76-Juni!D75+Juli!D77-Juli!D76</f>
        <v>365</v>
      </c>
      <c r="H35" s="94"/>
      <c r="I35" s="133" t="s">
        <v>143</v>
      </c>
      <c r="J35" s="134"/>
      <c r="K35" s="134"/>
      <c r="L35" s="134"/>
      <c r="M35" s="135"/>
      <c r="N35" s="134"/>
      <c r="O35" s="136">
        <f>August!D71+August!A87+September!A86+September!D70+Oktober!D71+Oktober!A87+November!A86+November!D70+December!D71+December!A87+Januar!D71+Januar!A87+Februar!D69+Februar!A85+Marts!A87+Marts!D71+April!A86+April!D70+Maj!D71+Maj!A88+Juni!D70+Juni!A86+Juli!A87+Juli!D71</f>
        <v>104</v>
      </c>
      <c r="P35" s="94"/>
      <c r="Q35" s="137" t="s">
        <v>144</v>
      </c>
      <c r="R35" s="138"/>
      <c r="S35" s="138"/>
      <c r="T35" s="138"/>
      <c r="U35" s="139"/>
      <c r="V35" s="138"/>
      <c r="W35" s="140">
        <f>August!D72+September!D71+Oktober!D72+November!D71+December!D72+Januar!D72+Februar!D70+Marts!D72+April!D71+Maj!D72+Juni!D71+Juli!D72</f>
        <v>8</v>
      </c>
      <c r="X35" s="94"/>
      <c r="Y35" s="141" t="s">
        <v>146</v>
      </c>
      <c r="Z35" s="142"/>
      <c r="AA35" s="142"/>
      <c r="AB35" s="142"/>
      <c r="AC35" s="143"/>
      <c r="AD35" s="142"/>
      <c r="AE35" s="144">
        <f>August!D73+September!D72+Oktober!D73+November!D72+December!D73+Januar!D73+Februar!D71+Marts!D73+April!D72+Maj!D73+Juni!D72+Juli!D73</f>
        <v>25</v>
      </c>
      <c r="AF35" s="94"/>
      <c r="AG35" s="466" t="s">
        <v>149</v>
      </c>
      <c r="AH35" s="467"/>
      <c r="AI35" s="467"/>
      <c r="AJ35" s="467"/>
      <c r="AK35" s="468"/>
      <c r="AL35" s="467"/>
      <c r="AM35" s="469">
        <f>August!D74+September!D73+Oktober!D74+November!D73+December!D74+Januar!D74+Februar!D72+Marts!D74+April!D73+Maj!D74+Juni!D73+Juli!D74</f>
        <v>23</v>
      </c>
      <c r="AP35" s="180" t="s">
        <v>162</v>
      </c>
      <c r="AQ35" s="178"/>
      <c r="AR35" s="178"/>
      <c r="AS35" s="178"/>
      <c r="AT35" s="179"/>
      <c r="AU35" s="178"/>
      <c r="AV35" s="461">
        <f>August!D75+September!D75+Oktober!D76+November!D75+December!D76+Januar!D76+Februar!D74+Marts!D76+April!D75+Maj!D76+Juni!D75+Juli!D76</f>
        <v>1</v>
      </c>
    </row>
    <row r="36" spans="1:48" ht="13" thickBot="1"/>
    <row r="37" spans="1:48" ht="24" customHeight="1" thickBot="1">
      <c r="A37" s="97" t="s">
        <v>98</v>
      </c>
      <c r="B37" s="95"/>
      <c r="C37" s="95"/>
      <c r="D37" s="98"/>
      <c r="E37" s="96"/>
      <c r="F37" s="95"/>
      <c r="G37" s="132">
        <f>August!G87+September!G86+Oktober!G87+November!G86+December!G87+Januar!G87+Februar!G85+Marts!G87+April!G86+Maj!G87+Juni!G86+Juli!G87</f>
        <v>177</v>
      </c>
      <c r="I37" s="147" t="s">
        <v>147</v>
      </c>
      <c r="J37" s="148"/>
      <c r="K37" s="148"/>
      <c r="L37" s="148"/>
      <c r="M37" s="149"/>
      <c r="N37" s="148"/>
      <c r="O37" s="176">
        <f>August!D68+September!D67+Oktober!D68+November!D67+December!D68+Januar!D68+Februar!D66+Marts!D68+April!D67+Maj!D68+Juni!D67+Juli!D68</f>
        <v>15</v>
      </c>
      <c r="Q37" s="145" t="s">
        <v>148</v>
      </c>
      <c r="R37" s="146"/>
      <c r="S37" s="146"/>
      <c r="T37" s="146"/>
      <c r="U37" s="150"/>
      <c r="V37" s="146"/>
      <c r="W37" s="151">
        <f>August!D69+September!D68+Oktober!D69+November!D68+December!D69+Januar!D69+Februar!D67+Marts!D69+April!D68+Maj!D69+Juni!D68+Juli!D69</f>
        <v>7</v>
      </c>
      <c r="Y37" s="152" t="s">
        <v>150</v>
      </c>
      <c r="Z37" s="153"/>
      <c r="AA37" s="153"/>
      <c r="AB37" s="153"/>
      <c r="AC37" s="154"/>
      <c r="AD37" s="153"/>
      <c r="AE37" s="155">
        <f>August!D70+September!D69+Oktober!D70+November!D69+December!D70+Januar!D70+Februar!D68+Marts!D70+April!D69+Maj!D70+Juni!D69+Juli!D70</f>
        <v>6</v>
      </c>
      <c r="AG37" s="161" t="s">
        <v>415</v>
      </c>
      <c r="AH37" s="162"/>
      <c r="AI37" s="162"/>
      <c r="AJ37" s="162"/>
      <c r="AK37" s="163"/>
      <c r="AL37" s="162"/>
      <c r="AM37" s="164">
        <f>G37+O37+W37</f>
        <v>199</v>
      </c>
      <c r="AP37" s="454" t="s">
        <v>419</v>
      </c>
      <c r="AQ37" s="455"/>
      <c r="AR37" s="455"/>
      <c r="AS37" s="455"/>
      <c r="AT37" s="456"/>
      <c r="AU37" s="455"/>
      <c r="AV37" s="457">
        <f>August!D76+September!D74+Oktober!D75+November!D74+December!D75+Januar!D75+Februar!D73+Marts!D75+April!D74+Maj!D75+Juni!D74+Juli!D75</f>
        <v>0</v>
      </c>
    </row>
    <row r="39" spans="1:48">
      <c r="A39" s="611" t="s">
        <v>541</v>
      </c>
      <c r="B39" s="611"/>
      <c r="C39" s="611"/>
      <c r="D39" s="1449">
        <f>B34+F34+J34+N34+R34+V34+Z34+AD34+AH34+AL34+AP34+AT34</f>
        <v>253</v>
      </c>
      <c r="E39" s="1449"/>
    </row>
    <row r="40" spans="1:48">
      <c r="A40" s="611" t="s">
        <v>542</v>
      </c>
      <c r="B40" s="611"/>
      <c r="C40" s="611"/>
      <c r="D40" s="611">
        <f>W35</f>
        <v>8</v>
      </c>
      <c r="E40" s="611"/>
    </row>
    <row r="41" spans="1:48">
      <c r="A41" s="611"/>
      <c r="B41" s="611"/>
      <c r="C41" s="611"/>
      <c r="D41" s="1449">
        <f>D39+D40</f>
        <v>261</v>
      </c>
      <c r="E41" s="1449"/>
    </row>
  </sheetData>
  <sheetProtection sheet="1" formatCells="0" formatColumns="0" formatRows="0" insertColumns="0"/>
  <mergeCells count="2">
    <mergeCell ref="D39:E39"/>
    <mergeCell ref="D41:E41"/>
  </mergeCells>
  <phoneticPr fontId="5" type="noConversion"/>
  <printOptions horizontalCentered="1" verticalCentered="1"/>
  <pageMargins left="0.196850393700787" right="0.196850393700787" top="0.39370078740157499" bottom="0.39370078740157499" header="0" footer="0"/>
  <pageSetup paperSize="9" scale="53" orientation="landscape" horizontalDpi="4294967292" verticalDpi="4294967292"/>
  <drawing r:id="rId1"/>
  <extLst>
    <ext xmlns:x14="http://schemas.microsoft.com/office/spreadsheetml/2009/9/main" uri="{78C0D931-6437-407d-A8EE-F0AAD7539E65}">
      <x14:conditionalFormattings>
        <x14:conditionalFormatting xmlns:xm="http://schemas.microsoft.com/office/excel/2006/main">
          <x14:cfRule type="expression" priority="199" id="{EAC82C95-1DEB-E64D-81BF-C87ED2E9AF0F}">
            <xm:f>OR(August!$C10="weekend")</xm:f>
            <x14:dxf>
              <font>
                <color theme="1"/>
              </font>
              <fill>
                <patternFill>
                  <bgColor theme="0" tint="-0.14996795556505021"/>
                </patternFill>
              </fill>
            </x14:dxf>
          </x14:cfRule>
          <x14:cfRule type="expression" priority="198" id="{9C74EDFC-6C3D-4748-BD87-F32A20D4629E}">
            <xm:f>OR(August!$C10="feriedag")</xm:f>
            <x14:dxf>
              <font>
                <color theme="1"/>
              </font>
              <fill>
                <patternFill>
                  <bgColor theme="6" tint="0.39994506668294322"/>
                </patternFill>
              </fill>
            </x14:dxf>
          </x14:cfRule>
          <x14:cfRule type="expression" priority="197" id="{058D7F2D-609A-1448-A8C4-F8D1C6547438}">
            <xm:f>OR(August!$C10="fagdag")</xm:f>
            <x14:dxf>
              <font>
                <color theme="1"/>
              </font>
              <fill>
                <patternFill>
                  <bgColor theme="9" tint="0.59996337778862885"/>
                </patternFill>
              </fill>
            </x14:dxf>
          </x14:cfRule>
          <x14:cfRule type="expression" priority="68" id="{D54F4020-584C-4F4A-A11D-2CCC77621B47}">
            <xm:f>OR(August!$C10="Ikke relevant")</xm:f>
            <x14:dxf>
              <font>
                <color theme="0"/>
              </font>
              <fill>
                <patternFill>
                  <bgColor theme="1"/>
                </patternFill>
              </fill>
            </x14:dxf>
          </x14:cfRule>
          <x14:cfRule type="expression" priority="56" id="{49ECD701-DA1A-4C49-9E77-F7C0B5FBFA03}">
            <xm:f>OR(August!$C10="Skema 3")</xm:f>
            <x14:dxf>
              <font>
                <color theme="0"/>
              </font>
              <fill>
                <patternFill patternType="solid">
                  <bgColor theme="4" tint="0.39994506668294322"/>
                </patternFill>
              </fill>
            </x14:dxf>
          </x14:cfRule>
          <x14:cfRule type="expression" priority="55" id="{256222D4-8801-FD4F-9264-2C914F58C83F}">
            <xm:f>OR(August!$C10="Skema 2")</xm:f>
            <x14:dxf>
              <font>
                <color theme="1"/>
              </font>
              <fill>
                <patternFill patternType="solid">
                  <bgColor theme="4" tint="0.59996337778862885"/>
                </patternFill>
              </fill>
            </x14:dxf>
          </x14:cfRule>
          <x14:cfRule type="expression" priority="54" id="{E3AA92ED-C77F-0548-A9C9-760193646B5C}">
            <xm:f>OR(August!$C10="Skema 1")</xm:f>
            <x14:dxf>
              <font>
                <color theme="1"/>
              </font>
              <fill>
                <patternFill patternType="solid">
                  <bgColor theme="4" tint="0.79998168889431442"/>
                </patternFill>
              </fill>
            </x14:dxf>
          </x14:cfRule>
          <x14:cfRule type="expression" priority="189" id="{077259EC-C35A-AF4C-81A6-6D49EBF5F89B}">
            <xm:f>OR(August!$C10="Skema 4")</xm:f>
            <x14:dxf>
              <font>
                <color theme="0"/>
              </font>
              <fill>
                <patternFill patternType="solid">
                  <bgColor theme="4" tint="-0.24994659260841701"/>
                </patternFill>
              </fill>
            </x14:dxf>
          </x14:cfRule>
          <x14:cfRule type="expression" priority="190" id="{74F1BFCC-B98D-8E4D-A11A-CDA31D415826}">
            <xm:f>OR(August!$C10="pæd.dag")</xm:f>
            <x14:dxf>
              <font>
                <color theme="1"/>
              </font>
              <fill>
                <patternFill>
                  <bgColor theme="7" tint="0.39994506668294322"/>
                </patternFill>
              </fill>
            </x14:dxf>
          </x14:cfRule>
          <x14:cfRule type="expression" priority="191" id="{3282FFA5-E7FF-C44E-BDD5-E3260CA910FA}">
            <xm:f>OR(August!$C10="SH-dag")</xm:f>
            <x14:dxf>
              <font>
                <color theme="1"/>
              </font>
              <fill>
                <patternFill>
                  <bgColor rgb="FFFF2F82"/>
                </patternFill>
              </fill>
            </x14:dxf>
          </x14:cfRule>
          <x14:cfRule type="expression" priority="193" id="{78B80DDE-7CA5-2D41-8B78-5F17E19A9795}">
            <xm:f>OR(August!$C10="Nul-dag")</xm:f>
            <x14:dxf>
              <font>
                <color theme="1"/>
              </font>
              <fill>
                <patternFill>
                  <bgColor theme="5" tint="0.79998168889431442"/>
                </patternFill>
              </fill>
            </x14:dxf>
          </x14:cfRule>
          <x14:cfRule type="expression" priority="12" id="{FAF1E807-6E02-3A42-B546-AE75E1CBB7D4}">
            <xm:f>OR(August!$C10="Orlov")</xm:f>
            <x14:dxf>
              <font>
                <color theme="0"/>
              </font>
              <fill>
                <patternFill patternType="solid">
                  <bgColor theme="6" tint="-0.24994659260841701"/>
                </patternFill>
              </fill>
            </x14:dxf>
          </x14:cfRule>
          <x14:cfRule type="expression" priority="196" id="{36471A8C-38C8-864D-80A0-417376D2D0CB}">
            <xm:f>OR(August!$C10="emnedag")</xm:f>
            <x14:dxf>
              <font>
                <color theme="1"/>
              </font>
              <fill>
                <patternFill>
                  <bgColor theme="5" tint="0.59996337778862885"/>
                </patternFill>
              </fill>
            </x14:dxf>
          </x14:cfRule>
          <x14:cfRule type="expression" priority="195" id="{FED3E8BE-7925-F74E-9860-2990D79E0BAC}">
            <xm:f>OR(August!$C10="lejrskole")</xm:f>
            <x14:dxf>
              <font>
                <color theme="1"/>
              </font>
              <fill>
                <patternFill>
                  <bgColor theme="8" tint="0.59996337778862885"/>
                </patternFill>
              </fill>
            </x14:dxf>
          </x14:cfRule>
          <x14:cfRule type="expression" priority="194" id="{F64A6795-1CA1-934D-9945-114DD9BD0BC6}">
            <xm:f>OR(August!$C10="ekskursion")</xm:f>
            <x14:dxf>
              <font>
                <color theme="1"/>
              </font>
              <fill>
                <patternFill>
                  <bgColor rgb="FFFFFF00"/>
                </patternFill>
              </fill>
            </x14:dxf>
          </x14:cfRule>
          <xm:sqref>A3:D33</xm:sqref>
        </x14:conditionalFormatting>
        <x14:conditionalFormatting xmlns:xm="http://schemas.microsoft.com/office/excel/2006/main">
          <x14:cfRule type="expression" priority="11" id="{E4693018-96F2-4C46-B8FC-A2AD88F527C8}">
            <xm:f>OR(September!$C9="Orlov")</xm:f>
            <x14:dxf>
              <font>
                <color theme="0"/>
              </font>
              <fill>
                <patternFill patternType="solid">
                  <bgColor theme="6" tint="-0.24994659260841701"/>
                </patternFill>
              </fill>
            </x14:dxf>
          </x14:cfRule>
          <x14:cfRule type="expression" priority="179" id="{B8F3C9F7-998F-C244-87C3-199A0A4DEFE9}">
            <xm:f>OR(September!$C9="Skema 4")</xm:f>
            <x14:dxf>
              <font>
                <color theme="0"/>
              </font>
              <fill>
                <patternFill patternType="solid">
                  <bgColor theme="4" tint="-0.24994659260841701"/>
                </patternFill>
              </fill>
            </x14:dxf>
          </x14:cfRule>
          <x14:cfRule type="expression" priority="180" id="{BBD9580A-7195-8C45-B858-F7A42EA40CFE}">
            <xm:f>OR(September!$C9="pæd.dag")</xm:f>
            <x14:dxf>
              <font>
                <color theme="1"/>
              </font>
              <fill>
                <patternFill>
                  <bgColor theme="7" tint="0.39994506668294322"/>
                </patternFill>
              </fill>
            </x14:dxf>
          </x14:cfRule>
          <x14:cfRule type="expression" priority="181" id="{A4380F4B-771A-9E49-A634-4BF3943CC0CA}">
            <xm:f>OR(September!$C9="SH-dag")</xm:f>
            <x14:dxf>
              <font>
                <color theme="1"/>
              </font>
              <fill>
                <patternFill>
                  <bgColor rgb="FFFF2F82"/>
                </patternFill>
              </fill>
            </x14:dxf>
          </x14:cfRule>
          <x14:cfRule type="expression" priority="188" id="{29E09A26-FB0F-0443-B551-BDA241490133}">
            <xm:f>OR(September!$C9="weekend")</xm:f>
            <x14:dxf>
              <font>
                <color theme="1"/>
              </font>
              <fill>
                <patternFill>
                  <bgColor theme="0" tint="-0.14996795556505021"/>
                </patternFill>
              </fill>
            </x14:dxf>
          </x14:cfRule>
          <x14:cfRule type="expression" priority="187" id="{D2256339-C701-0B40-90E8-09A22AB6A246}">
            <xm:f>OR(September!$C9="feriedag")</xm:f>
            <x14:dxf>
              <font>
                <color theme="1"/>
              </font>
              <fill>
                <patternFill>
                  <bgColor theme="6" tint="0.39994506668294322"/>
                </patternFill>
              </fill>
            </x14:dxf>
          </x14:cfRule>
          <x14:cfRule type="expression" priority="182" id="{563E3FF7-B330-AD43-8453-9C8FC24D5AC4}">
            <xm:f>OR(September!$C9="Nul-dag")</xm:f>
            <x14:dxf>
              <font>
                <color theme="1"/>
              </font>
              <fill>
                <patternFill>
                  <bgColor theme="5" tint="0.79998168889431442"/>
                </patternFill>
              </fill>
            </x14:dxf>
          </x14:cfRule>
          <x14:cfRule type="expression" priority="183" id="{DD5D9FAF-05DD-FF44-B52D-E2C9122587FB}">
            <xm:f>OR(September!$C9="ekskursion")</xm:f>
            <x14:dxf>
              <font>
                <color theme="1"/>
              </font>
              <fill>
                <patternFill>
                  <bgColor rgb="FFFFFF00"/>
                </patternFill>
              </fill>
            </x14:dxf>
          </x14:cfRule>
          <x14:cfRule type="expression" priority="67" id="{89D9A635-C435-6143-81F0-E9D9F1C60EE9}">
            <xm:f>OR(September!$C9="Ikke relevant")</xm:f>
            <x14:dxf>
              <font>
                <color theme="0"/>
              </font>
              <fill>
                <patternFill>
                  <bgColor theme="1"/>
                </patternFill>
              </fill>
            </x14:dxf>
          </x14:cfRule>
          <x14:cfRule type="expression" priority="184" id="{DD375EBA-8778-7248-B014-1EA8A978E0DD}">
            <xm:f>OR(September!$C9="lejrskole")</xm:f>
            <x14:dxf>
              <font>
                <color theme="1"/>
              </font>
              <fill>
                <patternFill>
                  <bgColor theme="8" tint="0.59996337778862885"/>
                </patternFill>
              </fill>
            </x14:dxf>
          </x14:cfRule>
          <x14:cfRule type="expression" priority="185" id="{A8DC2A39-5DF7-7547-A7CC-5A375AF908F2}">
            <xm:f>OR(September!$C9="emnedag")</xm:f>
            <x14:dxf>
              <font>
                <color theme="1"/>
              </font>
              <fill>
                <patternFill>
                  <bgColor theme="5" tint="0.59996337778862885"/>
                </patternFill>
              </fill>
            </x14:dxf>
          </x14:cfRule>
          <x14:cfRule type="expression" priority="186" id="{F1756DC2-4A57-AE42-BFC0-7ADBC9D513D4}">
            <xm:f>OR(September!$C9="fagdag")</xm:f>
            <x14:dxf>
              <font>
                <color theme="1"/>
              </font>
              <fill>
                <patternFill>
                  <bgColor theme="9" tint="0.59996337778862885"/>
                </patternFill>
              </fill>
            </x14:dxf>
          </x14:cfRule>
          <x14:cfRule type="expression" priority="53" id="{A528E4CF-9264-0E4B-A2B5-A6E03B676F82}">
            <xm:f>OR(September!$C9="Skema 3")</xm:f>
            <x14:dxf>
              <font>
                <color theme="0"/>
              </font>
              <fill>
                <patternFill patternType="solid">
                  <bgColor theme="4" tint="0.39994506668294322"/>
                </patternFill>
              </fill>
            </x14:dxf>
          </x14:cfRule>
          <x14:cfRule type="expression" priority="52" id="{744F3D3C-A775-B24C-A213-F5C589D0C7F7}">
            <xm:f>OR(September!$C9="Skema 2")</xm:f>
            <x14:dxf>
              <font>
                <color theme="1"/>
              </font>
              <fill>
                <patternFill patternType="solid">
                  <bgColor theme="4" tint="0.59996337778862885"/>
                </patternFill>
              </fill>
            </x14:dxf>
          </x14:cfRule>
          <x14:cfRule type="expression" priority="51" id="{51825B60-F422-324F-98D2-3163CF25179E}">
            <xm:f>OR(September!$C9="Skema 1")</xm:f>
            <x14:dxf>
              <font>
                <color theme="1"/>
              </font>
              <fill>
                <patternFill patternType="solid">
                  <bgColor theme="4" tint="0.79998168889431442"/>
                </patternFill>
              </fill>
            </x14:dxf>
          </x14:cfRule>
          <xm:sqref>E3:H32</xm:sqref>
        </x14:conditionalFormatting>
        <x14:conditionalFormatting xmlns:xm="http://schemas.microsoft.com/office/excel/2006/main">
          <x14:cfRule type="expression" priority="171" id="{2C69A2BB-2C8D-524C-B256-3938A3C928BA}">
            <xm:f>OR(Oktober!$C9="SH-dag")</xm:f>
            <x14:dxf>
              <font>
                <color theme="1"/>
              </font>
              <fill>
                <patternFill>
                  <bgColor rgb="FFFF2F82"/>
                </patternFill>
              </fill>
            </x14:dxf>
          </x14:cfRule>
          <x14:cfRule type="expression" priority="66" id="{EC7C1A1C-3AF3-F544-8D07-6D717F350043}">
            <xm:f>OR(Oktober!$C9="Ikke relevant")</xm:f>
            <x14:dxf>
              <font>
                <color theme="0"/>
              </font>
              <fill>
                <patternFill>
                  <bgColor theme="1"/>
                </patternFill>
              </fill>
            </x14:dxf>
          </x14:cfRule>
          <x14:cfRule type="expression" priority="10" id="{0CD9A79C-09EE-5B4E-A334-21B06E5D99B0}">
            <xm:f>OR(Oktober!$C9="Orlov")</xm:f>
            <x14:dxf>
              <font>
                <color theme="0"/>
              </font>
              <fill>
                <patternFill patternType="solid">
                  <bgColor theme="6" tint="-0.24994659260841701"/>
                </patternFill>
              </fill>
            </x14:dxf>
          </x14:cfRule>
          <x14:cfRule type="expression" priority="178" id="{E1639A83-F4B8-2845-907E-32FCD6B3CF80}">
            <xm:f>OR(Oktober!$C9="weekend")</xm:f>
            <x14:dxf>
              <font>
                <color theme="1"/>
              </font>
              <fill>
                <patternFill>
                  <bgColor theme="0" tint="-0.14996795556505021"/>
                </patternFill>
              </fill>
            </x14:dxf>
          </x14:cfRule>
          <x14:cfRule type="expression" priority="177" id="{FF01C623-7FCE-2348-A4D0-6FF5D07B990D}">
            <xm:f>OR(Oktober!$C9="feriedag")</xm:f>
            <x14:dxf>
              <font>
                <color theme="1"/>
              </font>
              <fill>
                <patternFill>
                  <bgColor theme="6" tint="0.39994506668294322"/>
                </patternFill>
              </fill>
            </x14:dxf>
          </x14:cfRule>
          <x14:cfRule type="expression" priority="176" id="{CFD95E66-C484-BA40-AF6D-6B5CEF57C21D}">
            <xm:f>OR(Oktober!$C9="fagdag")</xm:f>
            <x14:dxf>
              <font>
                <color theme="1"/>
              </font>
              <fill>
                <patternFill>
                  <bgColor theme="9" tint="0.59996337778862885"/>
                </patternFill>
              </fill>
            </x14:dxf>
          </x14:cfRule>
          <x14:cfRule type="expression" priority="175" id="{FF4978AD-B290-5741-A70F-B60A05D2EB27}">
            <xm:f>OR(Oktober!$C9="emnedag")</xm:f>
            <x14:dxf>
              <font>
                <color theme="1"/>
              </font>
              <fill>
                <patternFill>
                  <bgColor theme="5" tint="0.59996337778862885"/>
                </patternFill>
              </fill>
            </x14:dxf>
          </x14:cfRule>
          <x14:cfRule type="expression" priority="174" id="{1678772D-04D0-6F4C-BE47-2D5AB0C3D32A}">
            <xm:f>OR(Oktober!$C9="lejrskole")</xm:f>
            <x14:dxf>
              <font>
                <color theme="1"/>
              </font>
              <fill>
                <patternFill>
                  <bgColor theme="8" tint="0.59996337778862885"/>
                </patternFill>
              </fill>
            </x14:dxf>
          </x14:cfRule>
          <x14:cfRule type="expression" priority="173" id="{5A67423B-824F-0046-99A1-26018D7A77A6}">
            <xm:f>OR(Oktober!$C9="ekskursion")</xm:f>
            <x14:dxf>
              <font>
                <color theme="1"/>
              </font>
              <fill>
                <patternFill>
                  <bgColor rgb="FFFFFF00"/>
                </patternFill>
              </fill>
            </x14:dxf>
          </x14:cfRule>
          <x14:cfRule type="expression" priority="172" id="{B4EA3747-3D02-DF40-A295-EC50D6ECE531}">
            <xm:f>OR(Oktober!$C9="Nul-dag")</xm:f>
            <x14:dxf>
              <font>
                <color theme="1"/>
              </font>
              <fill>
                <patternFill>
                  <bgColor theme="5" tint="0.79998168889431442"/>
                </patternFill>
              </fill>
            </x14:dxf>
          </x14:cfRule>
          <x14:cfRule type="expression" priority="50" id="{0C773F27-FDD4-2641-93EC-3A19DD10841E}">
            <xm:f>OR(Oktober!$C9="Skema 3")</xm:f>
            <x14:dxf>
              <font>
                <color theme="0"/>
              </font>
              <fill>
                <patternFill patternType="solid">
                  <bgColor theme="4" tint="0.39994506668294322"/>
                </patternFill>
              </fill>
            </x14:dxf>
          </x14:cfRule>
          <x14:cfRule type="expression" priority="169" id="{24DFAF16-6739-2442-B2BD-4787F2A1A0BB}">
            <xm:f>OR(Oktober!$C9="Skema 4")</xm:f>
            <x14:dxf>
              <font>
                <color theme="0"/>
              </font>
              <fill>
                <patternFill patternType="solid">
                  <bgColor theme="4" tint="-0.24994659260841701"/>
                </patternFill>
              </fill>
            </x14:dxf>
          </x14:cfRule>
          <x14:cfRule type="expression" priority="170" id="{416C88E3-7C07-1C40-8A6E-EB05DEB1D5C0}">
            <xm:f>OR(Oktober!$C9="pæd.dag")</xm:f>
            <x14:dxf>
              <font>
                <color theme="1"/>
              </font>
              <fill>
                <patternFill>
                  <bgColor theme="7" tint="0.39994506668294322"/>
                </patternFill>
              </fill>
            </x14:dxf>
          </x14:cfRule>
          <x14:cfRule type="expression" priority="49" id="{1235332C-1AE2-FF45-BC0E-2A6FBF9B1F96}">
            <xm:f>OR(Oktober!$C9="Skema 2")</xm:f>
            <x14:dxf>
              <font>
                <color theme="1"/>
              </font>
              <fill>
                <patternFill patternType="solid">
                  <bgColor theme="4" tint="0.59996337778862885"/>
                </patternFill>
              </fill>
            </x14:dxf>
          </x14:cfRule>
          <x14:cfRule type="expression" priority="48" id="{D2A82101-0282-1440-84BB-37288BCC512B}">
            <xm:f>OR(Oktober!$C9="Skema 1")</xm:f>
            <x14:dxf>
              <font>
                <color theme="1"/>
              </font>
              <fill>
                <patternFill patternType="solid">
                  <bgColor theme="4" tint="0.79998168889431442"/>
                </patternFill>
              </fill>
            </x14:dxf>
          </x14:cfRule>
          <xm:sqref>I3:L33</xm:sqref>
        </x14:conditionalFormatting>
        <x14:conditionalFormatting xmlns:xm="http://schemas.microsoft.com/office/excel/2006/main">
          <x14:cfRule type="expression" priority="47" id="{0BDEE963-9A0D-5E41-8970-E31D34A4B4EB}">
            <xm:f>OR(November!$C9="Skema 3")</xm:f>
            <x14:dxf>
              <font>
                <color theme="0"/>
              </font>
              <fill>
                <patternFill patternType="solid">
                  <bgColor theme="4" tint="0.39994506668294322"/>
                </patternFill>
              </fill>
            </x14:dxf>
          </x14:cfRule>
          <x14:cfRule type="expression" priority="46" id="{1FECD2AA-A96F-1B4B-A660-F4943991F40A}">
            <xm:f>OR(November!$C9="Skema 2")</xm:f>
            <x14:dxf>
              <font>
                <color theme="1"/>
              </font>
              <fill>
                <patternFill patternType="solid">
                  <bgColor theme="4" tint="0.59996337778862885"/>
                </patternFill>
              </fill>
            </x14:dxf>
          </x14:cfRule>
          <x14:cfRule type="expression" priority="45" id="{00CC614A-1AC8-FC4B-9ECE-039172922841}">
            <xm:f>OR(November!$C9="Skema 1")</xm:f>
            <x14:dxf>
              <font>
                <color theme="1"/>
              </font>
              <fill>
                <patternFill patternType="solid">
                  <bgColor theme="4" tint="0.79998168889431442"/>
                </patternFill>
              </fill>
            </x14:dxf>
          </x14:cfRule>
          <x14:cfRule type="expression" priority="168" id="{1733BEBF-2A6A-1240-B283-14C17CBC157E}">
            <xm:f>OR(November!$C9="weekend")</xm:f>
            <x14:dxf>
              <font>
                <color theme="1"/>
              </font>
              <fill>
                <patternFill>
                  <bgColor theme="0" tint="-0.14996795556505021"/>
                </patternFill>
              </fill>
            </x14:dxf>
          </x14:cfRule>
          <x14:cfRule type="expression" priority="167" id="{507C5FA8-DA44-A544-9D6D-AB1443CFFB8B}">
            <xm:f>OR(November!$C9="feriedag")</xm:f>
            <x14:dxf>
              <font>
                <color theme="1"/>
              </font>
              <fill>
                <patternFill>
                  <bgColor theme="6" tint="0.39994506668294322"/>
                </patternFill>
              </fill>
            </x14:dxf>
          </x14:cfRule>
          <x14:cfRule type="expression" priority="166" id="{F6B49FAC-4F3E-C642-803B-241976846A77}">
            <xm:f>OR(November!$C9="fagdag")</xm:f>
            <x14:dxf>
              <font>
                <color theme="1"/>
              </font>
              <fill>
                <patternFill>
                  <bgColor theme="9" tint="0.59996337778862885"/>
                </patternFill>
              </fill>
            </x14:dxf>
          </x14:cfRule>
          <x14:cfRule type="expression" priority="165" id="{6715507C-9DD3-2E46-BB7A-3B99CCDBD5A3}">
            <xm:f>OR(November!$C9="emnedag")</xm:f>
            <x14:dxf>
              <font>
                <color theme="1"/>
              </font>
              <fill>
                <patternFill>
                  <bgColor theme="5" tint="0.59996337778862885"/>
                </patternFill>
              </fill>
            </x14:dxf>
          </x14:cfRule>
          <x14:cfRule type="expression" priority="163" id="{2B2CBB1B-5899-C743-B81E-1B77E4EC89F0}">
            <xm:f>OR(November!$C9="ekskursion")</xm:f>
            <x14:dxf>
              <font>
                <color theme="1"/>
              </font>
              <fill>
                <patternFill>
                  <bgColor rgb="FFFFFF00"/>
                </patternFill>
              </fill>
            </x14:dxf>
          </x14:cfRule>
          <x14:cfRule type="expression" priority="162" id="{ADB29B3B-7DFC-954A-952B-16B2EBBF50F3}">
            <xm:f>OR(November!$C9="Nul-dag")</xm:f>
            <x14:dxf>
              <font>
                <color theme="1"/>
              </font>
              <fill>
                <patternFill>
                  <bgColor theme="5" tint="0.79998168889431442"/>
                </patternFill>
              </fill>
            </x14:dxf>
          </x14:cfRule>
          <x14:cfRule type="expression" priority="161" id="{8D40A667-829F-1048-97C9-0994C9651BB7}">
            <xm:f>OR(November!$C9="SH-dag")</xm:f>
            <x14:dxf>
              <font>
                <color theme="1"/>
              </font>
              <fill>
                <patternFill>
                  <bgColor rgb="FFFF2F82"/>
                </patternFill>
              </fill>
            </x14:dxf>
          </x14:cfRule>
          <x14:cfRule type="expression" priority="160" id="{735BD466-F98F-564F-A01F-8F488CFA3B6A}">
            <xm:f>OR(November!$C9="pæd.dag")</xm:f>
            <x14:dxf>
              <font>
                <color theme="1"/>
              </font>
              <fill>
                <patternFill>
                  <bgColor theme="7" tint="0.39994506668294322"/>
                </patternFill>
              </fill>
            </x14:dxf>
          </x14:cfRule>
          <x14:cfRule type="expression" priority="159" id="{34B9EFE6-DFDC-D848-A900-090A6E16B7BD}">
            <xm:f>OR(November!$C9="Skema 4")</xm:f>
            <x14:dxf>
              <font>
                <color theme="0"/>
              </font>
              <fill>
                <patternFill patternType="solid">
                  <bgColor theme="4" tint="-0.24994659260841701"/>
                </patternFill>
              </fill>
            </x14:dxf>
          </x14:cfRule>
          <x14:cfRule type="expression" priority="9" id="{920751DC-B5ED-8E42-85C0-1EBF9D44AE06}">
            <xm:f>OR(November!$C9="Orlov")</xm:f>
            <x14:dxf>
              <font>
                <color theme="0"/>
              </font>
              <fill>
                <patternFill patternType="solid">
                  <bgColor theme="6" tint="-0.24994659260841701"/>
                </patternFill>
              </fill>
            </x14:dxf>
          </x14:cfRule>
          <x14:cfRule type="expression" priority="164" id="{EB00411D-3D3E-B14E-9FB0-028C04B8E895}">
            <xm:f>OR(November!$C9="lejrskole")</xm:f>
            <x14:dxf>
              <font>
                <color theme="1"/>
              </font>
              <fill>
                <patternFill>
                  <bgColor theme="8" tint="0.59996337778862885"/>
                </patternFill>
              </fill>
            </x14:dxf>
          </x14:cfRule>
          <x14:cfRule type="expression" priority="65" id="{3C3A3E5B-F2DB-794B-8096-B2E084FDD694}">
            <xm:f>OR(November!$C9="Ikke relevant")</xm:f>
            <x14:dxf>
              <font>
                <color theme="0"/>
              </font>
              <fill>
                <patternFill>
                  <bgColor theme="1"/>
                </patternFill>
              </fill>
            </x14:dxf>
          </x14:cfRule>
          <xm:sqref>M3:P32</xm:sqref>
        </x14:conditionalFormatting>
        <x14:conditionalFormatting xmlns:xm="http://schemas.microsoft.com/office/excel/2006/main">
          <x14:cfRule type="expression" priority="153" id="{D8447A37-3A50-0642-9B5F-43C01AFAA06C}">
            <xm:f>OR(December!$C9="ekskursion")</xm:f>
            <x14:dxf>
              <font>
                <color theme="1"/>
              </font>
              <fill>
                <patternFill>
                  <bgColor rgb="FFFFFF00"/>
                </patternFill>
              </fill>
            </x14:dxf>
          </x14:cfRule>
          <x14:cfRule type="expression" priority="150" id="{5606980E-44C4-6B43-8A7B-9A72C844ACB8}">
            <xm:f>OR(December!$C9="pæd.dag")</xm:f>
            <x14:dxf>
              <font>
                <color theme="1"/>
              </font>
              <fill>
                <patternFill>
                  <bgColor theme="7" tint="0.39994506668294322"/>
                </patternFill>
              </fill>
            </x14:dxf>
          </x14:cfRule>
          <x14:cfRule type="expression" priority="64" id="{405E5FE5-D39A-3344-9D26-9E2F9DB15E52}">
            <xm:f>OR(December!$C9="Ikke relevant")</xm:f>
            <x14:dxf>
              <font>
                <color theme="0"/>
              </font>
              <fill>
                <patternFill>
                  <bgColor theme="1"/>
                </patternFill>
              </fill>
            </x14:dxf>
          </x14:cfRule>
          <x14:cfRule type="expression" priority="154" id="{B1921E4A-CF0B-4D4D-8487-6E07254F5244}">
            <xm:f>OR(December!$C9="lejrskole")</xm:f>
            <x14:dxf>
              <font>
                <color theme="1"/>
              </font>
              <fill>
                <patternFill>
                  <bgColor theme="8" tint="0.59996337778862885"/>
                </patternFill>
              </fill>
            </x14:dxf>
          </x14:cfRule>
          <x14:cfRule type="expression" priority="152" id="{F9882835-81C8-A249-A3AA-3D9BBE413360}">
            <xm:f>OR(December!$C9="Nul-dag")</xm:f>
            <x14:dxf>
              <font>
                <color theme="1"/>
              </font>
              <fill>
                <patternFill>
                  <bgColor theme="5" tint="0.79998168889431442"/>
                </patternFill>
              </fill>
            </x14:dxf>
          </x14:cfRule>
          <x14:cfRule type="expression" priority="155" id="{5953742D-E53E-4A4D-B732-C7668FE8C524}">
            <xm:f>OR(December!$C9="emnedag")</xm:f>
            <x14:dxf>
              <font>
                <color theme="1"/>
              </font>
              <fill>
                <patternFill>
                  <bgColor theme="5" tint="0.59996337778862885"/>
                </patternFill>
              </fill>
            </x14:dxf>
          </x14:cfRule>
          <x14:cfRule type="expression" priority="151" id="{01D47AC0-1680-A64A-BBAC-511097CCF740}">
            <xm:f>OR(December!$C9="SH-dag")</xm:f>
            <x14:dxf>
              <font>
                <color theme="1"/>
              </font>
              <fill>
                <patternFill>
                  <bgColor rgb="FFFF2F82"/>
                </patternFill>
              </fill>
            </x14:dxf>
          </x14:cfRule>
          <x14:cfRule type="expression" priority="156" id="{BABE8628-6A33-0549-9598-A54691F4778E}">
            <xm:f>OR(December!$C9="fagdag")</xm:f>
            <x14:dxf>
              <font>
                <color theme="1"/>
              </font>
              <fill>
                <patternFill>
                  <bgColor theme="9" tint="0.59996337778862885"/>
                </patternFill>
              </fill>
            </x14:dxf>
          </x14:cfRule>
          <x14:cfRule type="expression" priority="157" id="{CAC250A0-A36F-E146-86F8-81B47A7641A1}">
            <xm:f>OR(December!$C9="feriedag")</xm:f>
            <x14:dxf>
              <font>
                <color theme="1"/>
              </font>
              <fill>
                <patternFill>
                  <bgColor theme="6" tint="0.39994506668294322"/>
                </patternFill>
              </fill>
            </x14:dxf>
          </x14:cfRule>
          <x14:cfRule type="expression" priority="8" id="{B793D4F9-B298-E949-8F2C-9EDE46443D32}">
            <xm:f>OR(December!$C9="Orlov")</xm:f>
            <x14:dxf>
              <font>
                <color theme="0"/>
              </font>
              <fill>
                <patternFill patternType="solid">
                  <bgColor theme="6" tint="-0.24994659260841701"/>
                </patternFill>
              </fill>
            </x14:dxf>
          </x14:cfRule>
          <x14:cfRule type="expression" priority="158" id="{F7514658-5343-0949-8ABE-37D3ED0E34E0}">
            <xm:f>OR(December!$C9="weekend")</xm:f>
            <x14:dxf>
              <font>
                <color theme="1"/>
              </font>
              <fill>
                <patternFill>
                  <bgColor theme="0" tint="-0.14996795556505021"/>
                </patternFill>
              </fill>
            </x14:dxf>
          </x14:cfRule>
          <x14:cfRule type="expression" priority="149" id="{D7EB46A5-562B-9640-9009-6529BCEB5A50}">
            <xm:f>OR(December!$C9="Skema 4")</xm:f>
            <x14:dxf>
              <font>
                <color theme="0"/>
              </font>
              <fill>
                <patternFill patternType="solid">
                  <bgColor theme="4" tint="-0.24994659260841701"/>
                </patternFill>
              </fill>
            </x14:dxf>
          </x14:cfRule>
          <x14:cfRule type="expression" priority="42" id="{CA1E3680-A794-244F-BD54-24854DE53367}">
            <xm:f>OR(December!$C9="Skema 1")</xm:f>
            <x14:dxf>
              <font>
                <color theme="1"/>
              </font>
              <fill>
                <patternFill patternType="solid">
                  <bgColor theme="4" tint="0.79998168889431442"/>
                </patternFill>
              </fill>
            </x14:dxf>
          </x14:cfRule>
          <x14:cfRule type="expression" priority="43" id="{0CD3A68E-01AC-E848-B623-231F6FD6DA34}">
            <xm:f>OR(December!$C9="Skema 2")</xm:f>
            <x14:dxf>
              <font>
                <color theme="1"/>
              </font>
              <fill>
                <patternFill patternType="solid">
                  <bgColor theme="4" tint="0.59996337778862885"/>
                </patternFill>
              </fill>
            </x14:dxf>
          </x14:cfRule>
          <x14:cfRule type="expression" priority="44" id="{E17B22A4-F3B5-C64F-B55C-4CCC7A36B3E6}">
            <xm:f>OR(December!$C9="Skema 3")</xm:f>
            <x14:dxf>
              <font>
                <color theme="0"/>
              </font>
              <fill>
                <patternFill patternType="solid">
                  <bgColor theme="4" tint="0.39994506668294322"/>
                </patternFill>
              </fill>
            </x14:dxf>
          </x14:cfRule>
          <xm:sqref>Q3:T33</xm:sqref>
        </x14:conditionalFormatting>
        <x14:conditionalFormatting xmlns:xm="http://schemas.microsoft.com/office/excel/2006/main">
          <x14:cfRule type="expression" priority="7" id="{8F246EAB-3BB5-2844-B9E7-961ADD71B281}">
            <xm:f>OR(Januar!$C9="Orlov")</xm:f>
            <x14:dxf>
              <font>
                <color theme="0"/>
              </font>
              <fill>
                <patternFill patternType="solid">
                  <fgColor indexed="64"/>
                  <bgColor theme="6" tint="-0.24994659260841701"/>
                </patternFill>
              </fill>
            </x14:dxf>
          </x14:cfRule>
          <x14:cfRule type="expression" priority="147" id="{8EF1BF28-7BBA-5344-9A85-C351C2F12A46}">
            <xm:f>OR(Januar!$C9="feriedag")</xm:f>
            <x14:dxf>
              <font>
                <color theme="1"/>
              </font>
              <fill>
                <patternFill>
                  <bgColor theme="6" tint="0.39994506668294322"/>
                </patternFill>
              </fill>
            </x14:dxf>
          </x14:cfRule>
          <x14:cfRule type="expression" priority="139" id="{33FCD2AE-0D8F-4847-87C3-61996CB9E16E}">
            <xm:f>OR(Januar!$C9="Skema 4")</xm:f>
            <x14:dxf>
              <font>
                <color theme="0"/>
              </font>
              <fill>
                <patternFill patternType="solid">
                  <bgColor theme="4" tint="-0.24994659260841701"/>
                </patternFill>
              </fill>
            </x14:dxf>
          </x14:cfRule>
          <x14:cfRule type="expression" priority="140" id="{4C151E35-BA43-F647-A194-07EFBAAAC1F7}">
            <xm:f>OR(Januar!$C9="pæd.dag")</xm:f>
            <x14:dxf>
              <font>
                <color theme="1"/>
              </font>
              <fill>
                <patternFill>
                  <bgColor theme="7" tint="0.39994506668294322"/>
                </patternFill>
              </fill>
            </x14:dxf>
          </x14:cfRule>
          <x14:cfRule type="expression" priority="141" id="{0825D3C6-C540-CA44-B1BB-4198B534F6AD}">
            <xm:f>OR(Januar!$C9="SH-dag")</xm:f>
            <x14:dxf>
              <font>
                <color theme="1"/>
              </font>
              <fill>
                <patternFill>
                  <bgColor rgb="FFFF2F82"/>
                </patternFill>
              </fill>
            </x14:dxf>
          </x14:cfRule>
          <x14:cfRule type="expression" priority="142" id="{3870C082-40B1-B043-BC4C-8FE477158424}">
            <xm:f>OR(Januar!$C9="Nul-dag")</xm:f>
            <x14:dxf>
              <font>
                <color theme="1"/>
              </font>
              <fill>
                <patternFill>
                  <bgColor theme="5" tint="0.79998168889431442"/>
                </patternFill>
              </fill>
            </x14:dxf>
          </x14:cfRule>
          <x14:cfRule type="expression" priority="143" id="{6CA16A9C-7F36-5340-BBFD-692044D28D46}">
            <xm:f>OR(Januar!$C9="ekskursion")</xm:f>
            <x14:dxf>
              <font>
                <color theme="1"/>
              </font>
              <fill>
                <patternFill>
                  <bgColor rgb="FFFFFF00"/>
                </patternFill>
              </fill>
            </x14:dxf>
          </x14:cfRule>
          <x14:cfRule type="expression" priority="144" id="{3A498EF8-73A9-E345-A69B-D9C2C4E052DD}">
            <xm:f>OR(Januar!$C9="lejrskole")</xm:f>
            <x14:dxf>
              <font>
                <color theme="1"/>
              </font>
              <fill>
                <patternFill>
                  <bgColor theme="8" tint="0.59996337778862885"/>
                </patternFill>
              </fill>
            </x14:dxf>
          </x14:cfRule>
          <x14:cfRule type="expression" priority="41" id="{C86F9E67-B61E-1F47-86DE-9DA9BE389F08}">
            <xm:f>OR(Januar!$C9="Skema 3")</xm:f>
            <x14:dxf>
              <font>
                <color theme="0"/>
              </font>
              <fill>
                <patternFill patternType="solid">
                  <bgColor theme="4" tint="0.39994506668294322"/>
                </patternFill>
              </fill>
            </x14:dxf>
          </x14:cfRule>
          <x14:cfRule type="expression" priority="40" id="{AEB011DE-B4CE-0842-A13F-809AAFABAE03}">
            <xm:f>OR(Januar!$C9="Skema 2")</xm:f>
            <x14:dxf>
              <font>
                <color theme="1"/>
              </font>
              <fill>
                <patternFill patternType="solid">
                  <bgColor theme="4" tint="0.59996337778862885"/>
                </patternFill>
              </fill>
            </x14:dxf>
          </x14:cfRule>
          <x14:cfRule type="expression" priority="39" id="{685F8206-CBC4-1A4C-9A77-6DA480239126}">
            <xm:f>OR(Januar!$C9="Skema 1")</xm:f>
            <x14:dxf>
              <font>
                <color theme="1"/>
              </font>
              <fill>
                <patternFill patternType="solid">
                  <fgColor indexed="64"/>
                  <bgColor theme="4" tint="0.79998168889431442"/>
                </patternFill>
              </fill>
            </x14:dxf>
          </x14:cfRule>
          <x14:cfRule type="expression" priority="145" id="{3A7325B9-8392-9847-BD92-5909CF10E04D}">
            <xm:f>OR(Januar!$C9="emnedag")</xm:f>
            <x14:dxf>
              <font>
                <color theme="1"/>
              </font>
              <fill>
                <patternFill>
                  <bgColor theme="5" tint="0.59996337778862885"/>
                </patternFill>
              </fill>
            </x14:dxf>
          </x14:cfRule>
          <x14:cfRule type="expression" priority="146" id="{D6E1BBEC-187A-244C-BBB5-EA65E4343198}">
            <xm:f>OR(Januar!$C9="fagdag")</xm:f>
            <x14:dxf>
              <font>
                <color theme="1"/>
              </font>
              <fill>
                <patternFill>
                  <bgColor theme="9" tint="0.59996337778862885"/>
                </patternFill>
              </fill>
            </x14:dxf>
          </x14:cfRule>
          <x14:cfRule type="expression" priority="148" id="{F767FC14-4689-1142-A161-0B4FBDE15605}">
            <xm:f>OR(Januar!$C9="weekend")</xm:f>
            <x14:dxf>
              <font>
                <color theme="1"/>
              </font>
              <fill>
                <patternFill>
                  <bgColor theme="0" tint="-0.14996795556505021"/>
                </patternFill>
              </fill>
            </x14:dxf>
          </x14:cfRule>
          <x14:cfRule type="expression" priority="63" id="{79BD02DB-3F90-9142-941C-51992FDF22FD}">
            <xm:f>OR(Januar!$C9="Ikke relevant")</xm:f>
            <x14:dxf>
              <font>
                <color theme="0"/>
              </font>
              <fill>
                <patternFill>
                  <bgColor theme="1"/>
                </patternFill>
              </fill>
            </x14:dxf>
          </x14:cfRule>
          <xm:sqref>U3:X33</xm:sqref>
        </x14:conditionalFormatting>
        <x14:conditionalFormatting xmlns:xm="http://schemas.microsoft.com/office/excel/2006/main">
          <x14:cfRule type="expression" priority="36" id="{FA0DD1F1-A575-F54C-B9B8-1A59F46E3693}">
            <xm:f>OR(Februar!$C9="Skema 1")</xm:f>
            <x14:dxf>
              <font>
                <color theme="1"/>
              </font>
              <fill>
                <patternFill patternType="solid">
                  <bgColor theme="4" tint="0.79998168889431442"/>
                </patternFill>
              </fill>
            </x14:dxf>
          </x14:cfRule>
          <x14:cfRule type="expression" priority="130" id="{D49DC9CD-3CF9-AA43-B3FA-9A4F4515BF0D}">
            <xm:f>OR(Februar!$C9="pæd.dag")</xm:f>
            <x14:dxf>
              <font>
                <color theme="1"/>
              </font>
              <fill>
                <patternFill>
                  <bgColor theme="7" tint="0.39994506668294322"/>
                </patternFill>
              </fill>
            </x14:dxf>
          </x14:cfRule>
          <x14:cfRule type="expression" priority="129" id="{5905EE0B-1AD8-2447-91F1-31FDDC4F15AB}">
            <xm:f>OR(Februar!$C9="Skema 4")</xm:f>
            <x14:dxf>
              <font>
                <color theme="0"/>
              </font>
              <fill>
                <patternFill patternType="solid">
                  <bgColor theme="4" tint="-0.24994659260841701"/>
                </patternFill>
              </fill>
            </x14:dxf>
          </x14:cfRule>
          <x14:cfRule type="expression" priority="132" id="{691C06F0-DFD2-9946-B801-C89C03ED1F5E}">
            <xm:f>OR(Februar!$C9="Nul-dag")</xm:f>
            <x14:dxf>
              <font>
                <color theme="1"/>
              </font>
              <fill>
                <patternFill>
                  <bgColor theme="5" tint="0.79998168889431442"/>
                </patternFill>
              </fill>
            </x14:dxf>
          </x14:cfRule>
          <x14:cfRule type="expression" priority="133" id="{3E32D6B0-C29A-CF46-815A-C4AACE4DD359}">
            <xm:f>OR(Februar!$C9="ekskursion")</xm:f>
            <x14:dxf>
              <font>
                <color theme="1"/>
              </font>
              <fill>
                <patternFill>
                  <bgColor rgb="FFFFFF00"/>
                </patternFill>
              </fill>
            </x14:dxf>
          </x14:cfRule>
          <x14:cfRule type="expression" priority="134" id="{BAFC74E7-3387-3F4A-8B08-E025FEC5D4B8}">
            <xm:f>OR(Februar!$C9="lejrskole")</xm:f>
            <x14:dxf>
              <font>
                <color theme="1"/>
              </font>
              <fill>
                <patternFill>
                  <bgColor theme="8" tint="0.59996337778862885"/>
                </patternFill>
              </fill>
            </x14:dxf>
          </x14:cfRule>
          <x14:cfRule type="expression" priority="135" id="{D9AC2DC7-F273-124C-BECE-4EDC393AD917}">
            <xm:f>OR(Februar!$C9="emnedag")</xm:f>
            <x14:dxf>
              <font>
                <color theme="1"/>
              </font>
              <fill>
                <patternFill>
                  <bgColor theme="5" tint="0.59996337778862885"/>
                </patternFill>
              </fill>
            </x14:dxf>
          </x14:cfRule>
          <x14:cfRule type="expression" priority="37" id="{6636D9E6-DEAB-DC49-B2E0-79381616EAD3}">
            <xm:f>OR(Februar!$C9="Skema 2")</xm:f>
            <x14:dxf>
              <font>
                <color theme="1"/>
              </font>
              <fill>
                <patternFill patternType="solid">
                  <bgColor theme="4" tint="0.59996337778862885"/>
                </patternFill>
              </fill>
            </x14:dxf>
          </x14:cfRule>
          <x14:cfRule type="expression" priority="131" id="{B2971BB6-717E-C445-9A7A-06084A841112}">
            <xm:f>OR(Februar!$C9="SH-dag")</xm:f>
            <x14:dxf>
              <font>
                <color theme="1"/>
              </font>
              <fill>
                <patternFill>
                  <bgColor rgb="FFFF2F82"/>
                </patternFill>
              </fill>
            </x14:dxf>
          </x14:cfRule>
          <x14:cfRule type="expression" priority="38" id="{66656824-FD61-5347-9FF0-37E67A7BC2B1}">
            <xm:f>OR(Februar!$C9="Skema 3")</xm:f>
            <x14:dxf>
              <font>
                <color theme="0"/>
              </font>
              <fill>
                <patternFill patternType="solid">
                  <bgColor theme="4" tint="0.39994506668294322"/>
                </patternFill>
              </fill>
            </x14:dxf>
          </x14:cfRule>
          <x14:cfRule type="expression" priority="62" id="{BC93835C-53A2-BD4E-8ECB-2FEFF77E7184}">
            <xm:f>OR(Februar!$C9="Ikke relevant")</xm:f>
            <x14:dxf>
              <font>
                <color theme="0"/>
              </font>
              <fill>
                <patternFill>
                  <bgColor theme="1"/>
                </patternFill>
              </fill>
            </x14:dxf>
          </x14:cfRule>
          <x14:cfRule type="expression" priority="136" id="{5499E456-6CF2-DF42-BBBE-7C1B22D7FC31}">
            <xm:f>OR(Februar!$C9="fagdag")</xm:f>
            <x14:dxf>
              <font>
                <color theme="1"/>
              </font>
              <fill>
                <patternFill>
                  <bgColor theme="9" tint="0.59996337778862885"/>
                </patternFill>
              </fill>
            </x14:dxf>
          </x14:cfRule>
          <x14:cfRule type="expression" priority="137" id="{8D0EF236-2370-BE45-B4BA-78B35CE6FB2A}">
            <xm:f>OR(Februar!$C9="feriedag")</xm:f>
            <x14:dxf>
              <font>
                <color theme="1"/>
              </font>
              <fill>
                <patternFill>
                  <bgColor theme="6" tint="0.39994506668294322"/>
                </patternFill>
              </fill>
            </x14:dxf>
          </x14:cfRule>
          <x14:cfRule type="expression" priority="6" id="{EC7EDFE0-AC22-1145-8E32-09F0F8467530}">
            <xm:f>OR(Februar!$C9="Orlov")</xm:f>
            <x14:dxf>
              <font>
                <color theme="0"/>
              </font>
              <fill>
                <patternFill patternType="solid">
                  <bgColor theme="6" tint="-0.24994659260841701"/>
                </patternFill>
              </fill>
            </x14:dxf>
          </x14:cfRule>
          <x14:cfRule type="expression" priority="138" id="{D62194EC-DBC3-E643-B356-8455BEEF11CB}">
            <xm:f>OR(Februar!$C9="weekend")</xm:f>
            <x14:dxf>
              <font>
                <color theme="1"/>
              </font>
              <fill>
                <patternFill>
                  <bgColor theme="0" tint="-0.14996795556505021"/>
                </patternFill>
              </fill>
            </x14:dxf>
          </x14:cfRule>
          <xm:sqref>Y3:AB31</xm:sqref>
        </x14:conditionalFormatting>
        <x14:conditionalFormatting xmlns:xm="http://schemas.microsoft.com/office/excel/2006/main">
          <x14:cfRule type="expression" priority="31" id="{F2BAE797-0E72-AB42-AF6F-09B853846949}">
            <xm:f>OR(Marts!$C9="emnedag")</xm:f>
            <x14:dxf>
              <font>
                <color theme="1"/>
              </font>
              <fill>
                <patternFill>
                  <bgColor theme="5" tint="0.59996337778862885"/>
                </patternFill>
              </fill>
            </x14:dxf>
          </x14:cfRule>
          <x14:cfRule type="expression" priority="30" id="{A80B4D6A-75CF-4548-9330-9FC9FCE7A5FA}">
            <xm:f>OR(Marts!$C9="Fagdag")</xm:f>
            <x14:dxf>
              <font>
                <color theme="1"/>
              </font>
              <fill>
                <patternFill>
                  <bgColor theme="9" tint="0.79998168889431442"/>
                </patternFill>
              </fill>
            </x14:dxf>
          </x14:cfRule>
          <x14:cfRule type="expression" priority="32" id="{69E7399E-230E-6B42-AFC2-1F7A42FE136D}">
            <xm:f>OR(Marts!$C9="Feriedag")</xm:f>
            <x14:dxf>
              <font>
                <color theme="1"/>
              </font>
              <fill>
                <patternFill>
                  <bgColor theme="6" tint="0.39994506668294322"/>
                </patternFill>
              </fill>
            </x14:dxf>
          </x14:cfRule>
          <x14:cfRule type="expression" priority="5" id="{1329668A-E0BA-134B-BA16-68B55ED9CDEA}">
            <xm:f>OR(Marts!$C9="Orlov")</xm:f>
            <x14:dxf>
              <font>
                <color theme="0"/>
              </font>
              <fill>
                <patternFill>
                  <bgColor theme="6" tint="-0.24994659260841701"/>
                </patternFill>
              </fill>
            </x14:dxf>
          </x14:cfRule>
          <x14:cfRule type="expression" priority="28" id="{44AD5113-2B1D-2A4C-B4B5-8D052D6F953B}">
            <xm:f>OR(Marts!$C9="Skema 4")</xm:f>
            <x14:dxf>
              <font>
                <color theme="0"/>
              </font>
              <fill>
                <patternFill>
                  <bgColor theme="4" tint="-0.24994659260841701"/>
                </patternFill>
              </fill>
            </x14:dxf>
          </x14:cfRule>
          <x14:cfRule type="expression" priority="122" id="{E8F5F397-3C1C-9F4F-B625-0F2718E959E3}">
            <xm:f>OR(Marts!$C9="Nul-dag")</xm:f>
            <x14:dxf>
              <font>
                <color theme="1"/>
              </font>
              <fill>
                <patternFill>
                  <bgColor theme="5" tint="0.79998168889431442"/>
                </patternFill>
              </fill>
            </x14:dxf>
          </x14:cfRule>
          <x14:cfRule type="expression" priority="123" id="{05B6B027-6766-6C41-9896-74988A31F448}">
            <xm:f>OR(Marts!$C9="ekskursion")</xm:f>
            <x14:dxf>
              <font>
                <color theme="1"/>
              </font>
              <fill>
                <patternFill>
                  <bgColor rgb="FFFFFF00"/>
                </patternFill>
              </fill>
            </x14:dxf>
          </x14:cfRule>
          <x14:cfRule type="expression" priority="124" id="{D58C7885-2316-7946-AF45-3391E8C857A2}">
            <xm:f>OR(Marts!$C9="lejrskole")</xm:f>
            <x14:dxf>
              <font>
                <color theme="1"/>
              </font>
              <fill>
                <patternFill>
                  <bgColor theme="8" tint="0.59996337778862885"/>
                </patternFill>
              </fill>
            </x14:dxf>
          </x14:cfRule>
          <x14:cfRule type="expression" priority="61" id="{3D1CDA5E-D6C6-EF48-B32D-0C6C446B9E11}">
            <xm:f>OR(Marts!$C9="Ikke relevant")</xm:f>
            <x14:dxf>
              <font>
                <color theme="0"/>
              </font>
              <fill>
                <patternFill>
                  <bgColor theme="1"/>
                </patternFill>
              </fill>
            </x14:dxf>
          </x14:cfRule>
          <x14:cfRule type="expression" priority="25" id="{D50A413C-FFE9-1545-A219-8617B385DD2B}">
            <xm:f>OR(Marts!$C9="Skema 1")</xm:f>
            <x14:dxf>
              <font>
                <color theme="1"/>
              </font>
              <fill>
                <patternFill>
                  <bgColor theme="4" tint="0.79998168889431442"/>
                </patternFill>
              </fill>
            </x14:dxf>
          </x14:cfRule>
          <x14:cfRule type="expression" priority="24" id="{D0877CEF-96B2-C040-87AF-6A4E58D378C3}">
            <xm:f>OR(Marts!$C9="Pæd.dag")</xm:f>
            <x14:dxf>
              <font>
                <color theme="1"/>
              </font>
              <fill>
                <patternFill>
                  <bgColor theme="7" tint="0.59996337778862885"/>
                </patternFill>
              </fill>
            </x14:dxf>
          </x14:cfRule>
          <x14:cfRule type="expression" priority="23" id="{EFF93F1D-A12A-E642-A444-0AFA568DFF6A}">
            <xm:f>OR(Marts!$C9="Weekend")</xm:f>
            <x14:dxf>
              <font>
                <color theme="1"/>
              </font>
              <fill>
                <patternFill>
                  <bgColor theme="0" tint="-0.14996795556505021"/>
                </patternFill>
              </fill>
            </x14:dxf>
          </x14:cfRule>
          <x14:cfRule type="expression" priority="26" id="{2320F05F-B7EB-B842-AD61-9510873926FE}">
            <xm:f>OR(Marts!$C9="Skema 2")</xm:f>
            <x14:dxf>
              <font>
                <color theme="1"/>
              </font>
              <fill>
                <patternFill>
                  <fgColor auto="1"/>
                  <bgColor theme="4" tint="0.59996337778862885"/>
                </patternFill>
              </fill>
            </x14:dxf>
          </x14:cfRule>
          <x14:cfRule type="expression" priority="27" id="{30A76D2B-39F7-6045-8226-961E119DFA88}">
            <xm:f>OR(Marts!$C9="Skema 3")</xm:f>
            <x14:dxf>
              <font>
                <color theme="0"/>
              </font>
              <fill>
                <patternFill>
                  <bgColor theme="4" tint="0.39994506668294322"/>
                </patternFill>
              </fill>
            </x14:dxf>
          </x14:cfRule>
          <x14:cfRule type="expression" priority="29" id="{08C47B0C-B7CC-B445-9E97-B3FAD7E4B1F2}">
            <xm:f>OR(Marts!$C9="SH-dag")</xm:f>
            <x14:dxf>
              <font>
                <color theme="1"/>
              </font>
              <fill>
                <patternFill>
                  <bgColor rgb="FFFF2F82"/>
                </patternFill>
              </fill>
            </x14:dxf>
          </x14:cfRule>
          <xm:sqref>AC3:AF33</xm:sqref>
        </x14:conditionalFormatting>
        <x14:conditionalFormatting xmlns:xm="http://schemas.microsoft.com/office/excel/2006/main">
          <x14:cfRule type="expression" priority="128" id="{F73FC4B8-D7D9-F448-82F2-CE4F398A3033}">
            <xm:f>OR(April!$C9="weekend")</xm:f>
            <x14:dxf>
              <font>
                <color theme="1"/>
              </font>
              <fill>
                <patternFill>
                  <bgColor theme="0" tint="-0.14996795556505021"/>
                </patternFill>
              </fill>
            </x14:dxf>
          </x14:cfRule>
          <x14:cfRule type="expression" priority="127" id="{728174B4-8398-1043-9212-555FB92A5288}">
            <xm:f>OR(April!$C9="feriedag")</xm:f>
            <x14:dxf>
              <font>
                <color theme="1"/>
              </font>
              <fill>
                <patternFill>
                  <bgColor theme="6" tint="0.39994506668294322"/>
                </patternFill>
              </fill>
            </x14:dxf>
          </x14:cfRule>
          <x14:cfRule type="expression" priority="126" id="{419D5295-56E2-564D-8589-FD298CF1E8FF}">
            <xm:f>OR(April!$C9="fagdag")</xm:f>
            <x14:dxf>
              <font>
                <color theme="1"/>
              </font>
              <fill>
                <patternFill>
                  <bgColor theme="9" tint="0.59996337778862885"/>
                </patternFill>
              </fill>
            </x14:dxf>
          </x14:cfRule>
          <x14:cfRule type="expression" priority="125" id="{13A69E29-862C-6C41-BAF0-6C4173EE1798}">
            <xm:f>OR(April!$C9="emnedag")</xm:f>
            <x14:dxf>
              <font>
                <color theme="1"/>
              </font>
              <fill>
                <patternFill>
                  <bgColor theme="5" tint="0.59996337778862885"/>
                </patternFill>
              </fill>
            </x14:dxf>
          </x14:cfRule>
          <x14:cfRule type="expression" priority="121" id="{37E8FB27-3B1A-D043-9E7D-E9627DFC82B7}">
            <xm:f>OR(April!$C9="SH-dag")</xm:f>
            <x14:dxf>
              <font>
                <color theme="1"/>
              </font>
              <fill>
                <patternFill>
                  <bgColor rgb="FFFF2F82"/>
                </patternFill>
              </fill>
            </x14:dxf>
          </x14:cfRule>
          <x14:cfRule type="expression" priority="120" id="{7D7DAC9A-D7B8-E241-AD4D-C2943A4ABC4A}">
            <xm:f>OR(April!$C9="pæd.dag")</xm:f>
            <x14:dxf>
              <font>
                <color theme="1"/>
              </font>
              <fill>
                <patternFill>
                  <bgColor theme="7" tint="0.39994506668294322"/>
                </patternFill>
              </fill>
            </x14:dxf>
          </x14:cfRule>
          <x14:cfRule type="expression" priority="119" id="{FF336F9D-60DB-A44F-B258-84ED7DE56AEC}">
            <xm:f>OR(April!$C9="Skema 4")</xm:f>
            <x14:dxf>
              <font>
                <color theme="0"/>
              </font>
              <fill>
                <patternFill patternType="solid">
                  <bgColor theme="4" tint="-0.24994659260841701"/>
                </patternFill>
              </fill>
            </x14:dxf>
          </x14:cfRule>
          <x14:cfRule type="expression" priority="117" id="{761D4B71-3465-A442-A215-C89783DDA016}">
            <xm:f>OR(April!$C9="feriedag")</xm:f>
            <x14:dxf>
              <font>
                <color theme="1"/>
              </font>
              <fill>
                <patternFill>
                  <bgColor theme="6" tint="0.39994506668294322"/>
                </patternFill>
              </fill>
            </x14:dxf>
          </x14:cfRule>
          <x14:cfRule type="expression" priority="116" id="{EF6AF11E-FAB5-1C49-B57E-165FDACB4B5B}">
            <xm:f>OR(April!$C9="fagdag")</xm:f>
            <x14:dxf>
              <font>
                <color theme="1"/>
              </font>
              <fill>
                <patternFill>
                  <bgColor theme="9" tint="0.59996337778862885"/>
                </patternFill>
              </fill>
            </x14:dxf>
          </x14:cfRule>
          <x14:cfRule type="expression" priority="115" id="{7421CB58-9840-014D-AB84-C4FC129CF84F}">
            <xm:f>OR(April!$C9="emnedag")</xm:f>
            <x14:dxf>
              <font>
                <color theme="1"/>
              </font>
              <fill>
                <patternFill>
                  <bgColor theme="5" tint="0.59996337778862885"/>
                </patternFill>
              </fill>
            </x14:dxf>
          </x14:cfRule>
          <x14:cfRule type="expression" priority="112" id="{81172C6D-B6AD-8644-BFD4-28E3DE5619F6}">
            <xm:f>OR(April!$C9="Nul-dag")</xm:f>
            <x14:dxf>
              <font>
                <color theme="1"/>
              </font>
              <fill>
                <patternFill>
                  <bgColor theme="4" tint="0.39994506668294322"/>
                </patternFill>
              </fill>
            </x14:dxf>
          </x14:cfRule>
          <x14:cfRule type="expression" priority="104" id="{92698B96-4149-E347-BD79-9E80BEEB99D5}">
            <xm:f>OR(April!$C9="lejrskole")</xm:f>
            <x14:dxf>
              <font>
                <color theme="1"/>
              </font>
              <fill>
                <patternFill>
                  <bgColor theme="8" tint="0.59996337778862885"/>
                </patternFill>
              </fill>
            </x14:dxf>
          </x14:cfRule>
          <x14:cfRule type="expression" priority="103" id="{F139F015-C484-324E-A595-6D81BEADA472}">
            <xm:f>OR(April!$C9="ekskursion")</xm:f>
            <x14:dxf>
              <font>
                <color theme="1"/>
              </font>
              <fill>
                <patternFill>
                  <bgColor rgb="FFFFFF00"/>
                </patternFill>
              </fill>
            </x14:dxf>
          </x14:cfRule>
          <x14:cfRule type="expression" priority="102" id="{D255C484-02D2-6A46-B595-5C9F3E93F3EE}">
            <xm:f>OR(April!$C9="Nul-dag")</xm:f>
            <x14:dxf>
              <font>
                <color theme="1"/>
              </font>
              <fill>
                <patternFill>
                  <bgColor theme="5" tint="0.79998168889431442"/>
                </patternFill>
              </fill>
            </x14:dxf>
          </x14:cfRule>
          <x14:cfRule type="expression" priority="101" id="{84F41FFD-929D-B540-826B-84F1B92F10BD}">
            <xm:f>OR(April!$C9="SH-dag")</xm:f>
            <x14:dxf>
              <font>
                <color theme="1"/>
              </font>
              <fill>
                <patternFill>
                  <bgColor rgb="FFFF2F82"/>
                </patternFill>
              </fill>
            </x14:dxf>
          </x14:cfRule>
          <x14:cfRule type="expression" priority="100" id="{AD78583D-CE68-0144-9F3D-7DE5EE58A184}">
            <xm:f>OR(April!$C9="pæd.dag")</xm:f>
            <x14:dxf>
              <font>
                <color theme="1"/>
              </font>
              <fill>
                <patternFill>
                  <bgColor theme="7" tint="0.39994506668294322"/>
                </patternFill>
              </fill>
            </x14:dxf>
          </x14:cfRule>
          <x14:cfRule type="expression" priority="99" id="{B5669EAA-46AA-B442-8C66-BBA754230F3F}">
            <xm:f>OR(April!$C9="Skema 4")</xm:f>
            <x14:dxf>
              <font>
                <color theme="0"/>
              </font>
              <fill>
                <patternFill patternType="solid">
                  <bgColor theme="4" tint="-0.24994659260841701"/>
                </patternFill>
              </fill>
            </x14:dxf>
          </x14:cfRule>
          <x14:cfRule type="expression" priority="34" id="{F7F86131-32FE-9347-B5D5-F725FEF978B4}">
            <xm:f>OR(April!$C9="Skema 2")</xm:f>
            <x14:dxf>
              <font>
                <color theme="1"/>
              </font>
              <fill>
                <patternFill patternType="solid">
                  <bgColor theme="4" tint="0.59996337778862885"/>
                </patternFill>
              </fill>
            </x14:dxf>
          </x14:cfRule>
          <x14:cfRule type="expression" priority="35" id="{5A6B9A30-1A90-9941-8049-9AFA51BBF545}">
            <xm:f>OR(April!$C9="Skema 3")</xm:f>
            <x14:dxf>
              <font>
                <color theme="0"/>
              </font>
              <fill>
                <patternFill patternType="solid">
                  <bgColor theme="4" tint="0.39994506668294322"/>
                </patternFill>
              </fill>
            </x14:dxf>
          </x14:cfRule>
          <x14:cfRule type="expression" priority="4" id="{75A0D862-4B79-DF4C-96D7-975CDE41E26E}">
            <xm:f>OR(April!$C9="Orlov")</xm:f>
            <x14:dxf>
              <font>
                <color theme="0"/>
              </font>
              <fill>
                <patternFill patternType="solid">
                  <fgColor auto="1"/>
                  <bgColor theme="6" tint="-0.24994659260841701"/>
                </patternFill>
              </fill>
            </x14:dxf>
          </x14:cfRule>
          <x14:cfRule type="expression" priority="60" id="{13DCA5D4-CEB4-D246-9413-9A5820048ADC}">
            <xm:f>OR(April!$C9="Ikke relevant")</xm:f>
            <x14:dxf>
              <font>
                <color theme="0"/>
              </font>
              <fill>
                <patternFill>
                  <bgColor theme="1"/>
                </patternFill>
              </fill>
            </x14:dxf>
          </x14:cfRule>
          <x14:cfRule type="expression" priority="33" id="{14A961E6-D445-4F40-8552-BBA0BD72E551}">
            <xm:f>OR(April!$C9="Skema 1")</xm:f>
            <x14:dxf>
              <font>
                <color theme="1"/>
              </font>
              <fill>
                <patternFill patternType="solid">
                  <fgColor indexed="64"/>
                  <bgColor theme="4" tint="0.79998168889431442"/>
                </patternFill>
              </fill>
            </x14:dxf>
          </x14:cfRule>
          <xm:sqref>AG3:AJ32</xm:sqref>
        </x14:conditionalFormatting>
        <x14:conditionalFormatting xmlns:xm="http://schemas.microsoft.com/office/excel/2006/main">
          <x14:cfRule type="expression" priority="98" id="{7E59330B-96DB-C040-A14A-F1A2B9AB4318}">
            <xm:f>OR(Maj!$C9="weekend")</xm:f>
            <x14:dxf>
              <font>
                <color theme="1"/>
              </font>
              <fill>
                <patternFill>
                  <bgColor theme="0" tint="-0.14996795556505021"/>
                </patternFill>
              </fill>
            </x14:dxf>
          </x14:cfRule>
          <x14:cfRule type="expression" priority="97" id="{24A584C9-FA13-BC4C-A8C5-DF4D17D9AF79}">
            <xm:f>OR(Maj!$C9="feriedag")</xm:f>
            <x14:dxf>
              <font>
                <color theme="1"/>
              </font>
              <fill>
                <patternFill>
                  <bgColor theme="6" tint="0.39994506668294322"/>
                </patternFill>
              </fill>
            </x14:dxf>
          </x14:cfRule>
          <x14:cfRule type="expression" priority="96" id="{B865FFC3-5888-8F4D-9AC2-6B57A380533A}">
            <xm:f>OR(Maj!$C9="fagdag")</xm:f>
            <x14:dxf>
              <font>
                <color theme="1"/>
              </font>
              <fill>
                <patternFill>
                  <bgColor theme="9" tint="0.59996337778862885"/>
                </patternFill>
              </fill>
            </x14:dxf>
          </x14:cfRule>
          <x14:cfRule type="expression" priority="95" id="{ABF8F2CE-D51D-1244-8F14-515B5A35F404}">
            <xm:f>OR(Maj!$C9="emnedag")</xm:f>
            <x14:dxf>
              <font>
                <color theme="1"/>
              </font>
              <fill>
                <patternFill>
                  <bgColor theme="5" tint="0.59996337778862885"/>
                </patternFill>
              </fill>
            </x14:dxf>
          </x14:cfRule>
          <x14:cfRule type="expression" priority="94" id="{82085A1E-7917-F545-8F2E-513CBAD8F553}">
            <xm:f>OR(Maj!$C9="lejrskole")</xm:f>
            <x14:dxf>
              <font>
                <color theme="1"/>
              </font>
              <fill>
                <patternFill>
                  <bgColor theme="8" tint="0.59996337778862885"/>
                </patternFill>
              </fill>
            </x14:dxf>
          </x14:cfRule>
          <x14:cfRule type="expression" priority="93" id="{666D0556-E702-2341-A72E-2B9F13E7FC47}">
            <xm:f>OR(Maj!$C9="ekskursion")</xm:f>
            <x14:dxf>
              <font>
                <color theme="1"/>
              </font>
              <fill>
                <patternFill>
                  <bgColor rgb="FFFFFF00"/>
                </patternFill>
              </fill>
            </x14:dxf>
          </x14:cfRule>
          <x14:cfRule type="expression" priority="92" id="{A9DCD5EC-6BD7-1A4E-82F4-25BE1B79C7A4}">
            <xm:f>OR(Maj!$C9="Nul-dag")</xm:f>
            <x14:dxf>
              <font>
                <color theme="1"/>
              </font>
              <fill>
                <patternFill>
                  <bgColor theme="5" tint="0.79998168889431442"/>
                </patternFill>
              </fill>
            </x14:dxf>
          </x14:cfRule>
          <x14:cfRule type="expression" priority="91" id="{EE91C3FE-C161-E742-80B4-767D59F2B75D}">
            <xm:f>OR(Maj!$C9="SH-dag")</xm:f>
            <x14:dxf>
              <font>
                <color theme="1"/>
              </font>
              <fill>
                <patternFill>
                  <bgColor rgb="FFFF2F82"/>
                </patternFill>
              </fill>
            </x14:dxf>
          </x14:cfRule>
          <x14:cfRule type="expression" priority="90" id="{4CCE6509-99A2-FA48-B709-A287AFDCC9DF}">
            <xm:f>OR(Maj!$C9="pæd.dag")</xm:f>
            <x14:dxf>
              <font>
                <color theme="1"/>
              </font>
              <fill>
                <patternFill>
                  <bgColor theme="7" tint="0.39994506668294322"/>
                </patternFill>
              </fill>
            </x14:dxf>
          </x14:cfRule>
          <x14:cfRule type="expression" priority="89" id="{0DED5A84-E145-8B4F-8BC5-71CD36867E86}">
            <xm:f>OR(Maj!$C9="Skema 4")</xm:f>
            <x14:dxf>
              <font>
                <color theme="0"/>
              </font>
              <fill>
                <patternFill patternType="solid">
                  <bgColor theme="4" tint="-0.24994659260841701"/>
                </patternFill>
              </fill>
            </x14:dxf>
          </x14:cfRule>
          <x14:cfRule type="expression" priority="21" id="{D18964FE-CA8F-614A-98C3-89EAA97B6565}">
            <xm:f>OR(Maj!$C9="Skema 3")</xm:f>
            <x14:dxf>
              <font>
                <color theme="0"/>
              </font>
              <fill>
                <patternFill patternType="solid">
                  <bgColor theme="4" tint="0.39994506668294322"/>
                </patternFill>
              </fill>
            </x14:dxf>
          </x14:cfRule>
          <x14:cfRule type="expression" priority="20" id="{B24CCA6C-10FA-534E-863A-80455DF77438}">
            <xm:f>OR(Maj!$C9="Skema 2")</xm:f>
            <x14:dxf>
              <font>
                <color theme="1"/>
              </font>
              <fill>
                <patternFill patternType="solid">
                  <bgColor theme="4" tint="0.59996337778862885"/>
                </patternFill>
              </fill>
            </x14:dxf>
          </x14:cfRule>
          <x14:cfRule type="expression" priority="19" id="{BAC00EBF-56EA-1E46-BEB1-416A2EA92B89}">
            <xm:f>OR(Maj!$C9="Skema 1")</xm:f>
            <x14:dxf>
              <font>
                <color theme="1"/>
              </font>
              <fill>
                <patternFill patternType="solid">
                  <bgColor theme="4" tint="0.79998168889431442"/>
                </patternFill>
              </fill>
            </x14:dxf>
          </x14:cfRule>
          <x14:cfRule type="expression" priority="3" id="{2315DCF1-BF9F-D14B-9E32-21F5DAD750E3}">
            <xm:f>OR(Maj!$C9="Orlov")</xm:f>
            <x14:dxf>
              <font>
                <color theme="0"/>
              </font>
              <fill>
                <patternFill patternType="solid">
                  <bgColor theme="6" tint="-0.24994659260841701"/>
                </patternFill>
              </fill>
            </x14:dxf>
          </x14:cfRule>
          <x14:cfRule type="expression" priority="59" id="{9F40E627-AFD2-FC4B-80E0-F15C70A29DAE}">
            <xm:f>OR(Maj!$C9="Ikke relevant")</xm:f>
            <x14:dxf>
              <font>
                <color theme="0"/>
              </font>
              <fill>
                <patternFill>
                  <bgColor theme="1"/>
                </patternFill>
              </fill>
            </x14:dxf>
          </x14:cfRule>
          <xm:sqref>AK3:AN33</xm:sqref>
        </x14:conditionalFormatting>
        <x14:conditionalFormatting xmlns:xm="http://schemas.microsoft.com/office/excel/2006/main">
          <x14:cfRule type="expression" priority="84" id="{DB8EEB9E-E706-F047-91E6-DA12DC040947}">
            <xm:f>OR(Juni!$C9="lejrskole")</xm:f>
            <x14:dxf>
              <font>
                <color theme="1"/>
              </font>
              <fill>
                <patternFill>
                  <bgColor theme="8" tint="0.59996337778862885"/>
                </patternFill>
              </fill>
            </x14:dxf>
          </x14:cfRule>
          <x14:cfRule type="expression" priority="82" id="{537A0E4E-B81E-4042-9968-1A035F7EEA32}">
            <xm:f>OR(Juni!$C9="Nul-dag")</xm:f>
            <x14:dxf>
              <font>
                <color theme="1"/>
              </font>
              <fill>
                <patternFill>
                  <bgColor theme="5" tint="0.79998168889431442"/>
                </patternFill>
              </fill>
            </x14:dxf>
          </x14:cfRule>
          <x14:cfRule type="expression" priority="81" id="{3A3E5335-1566-8A40-BC4C-F00B268940A5}">
            <xm:f>OR(Juni!$C9="SH-dag")</xm:f>
            <x14:dxf>
              <font>
                <color theme="1"/>
              </font>
              <fill>
                <patternFill>
                  <bgColor rgb="FFFF2F82"/>
                </patternFill>
              </fill>
            </x14:dxf>
          </x14:cfRule>
          <x14:cfRule type="expression" priority="80" id="{4AC4C88E-D6F1-4A4D-A4DC-7907E1DC992F}">
            <xm:f>OR(Juni!$C9="pæd.dag")</xm:f>
            <x14:dxf>
              <font>
                <color theme="1"/>
              </font>
              <fill>
                <patternFill>
                  <bgColor theme="7" tint="0.39994506668294322"/>
                </patternFill>
              </fill>
            </x14:dxf>
          </x14:cfRule>
          <x14:cfRule type="expression" priority="79" id="{B9466E91-588B-1145-B919-736AF6B91180}">
            <xm:f>OR(Juni!$C9="Skema 4")</xm:f>
            <x14:dxf>
              <font>
                <color theme="0"/>
              </font>
              <fill>
                <patternFill patternType="solid">
                  <bgColor theme="4" tint="-0.24994659260841701"/>
                </patternFill>
              </fill>
            </x14:dxf>
          </x14:cfRule>
          <x14:cfRule type="expression" priority="2" id="{DD9FB78E-6E03-7949-8A2B-4A342624138D}">
            <xm:f>OR(Juni!$C9="Orlov")</xm:f>
            <x14:dxf>
              <font>
                <color theme="0"/>
              </font>
              <fill>
                <patternFill patternType="solid">
                  <fgColor indexed="64"/>
                  <bgColor theme="6" tint="-0.24994659260841701"/>
                </patternFill>
              </fill>
            </x14:dxf>
          </x14:cfRule>
          <x14:cfRule type="expression" priority="85" id="{3D769FF0-D4BB-2949-BA58-D3FBDD560B74}">
            <xm:f>OR(Juni!$C9="emnedag")</xm:f>
            <x14:dxf>
              <font>
                <color theme="1"/>
              </font>
              <fill>
                <patternFill>
                  <bgColor theme="5" tint="0.59996337778862885"/>
                </patternFill>
              </fill>
            </x14:dxf>
          </x14:cfRule>
          <x14:cfRule type="expression" priority="16" id="{805DF385-1BA7-F94D-BB28-D7AA163B94D3}">
            <xm:f>OR(Juni!$C9="Skema 1")</xm:f>
            <x14:dxf>
              <font>
                <color theme="1"/>
              </font>
              <fill>
                <patternFill patternType="solid">
                  <fgColor indexed="64"/>
                  <bgColor theme="4" tint="0.79998168889431442"/>
                </patternFill>
              </fill>
            </x14:dxf>
          </x14:cfRule>
          <x14:cfRule type="expression" priority="17" id="{6C44B821-4836-2642-9171-9698DDAB80D9}">
            <xm:f>OR(Juni!$C9="Skema 2")</xm:f>
            <x14:dxf>
              <font>
                <color theme="1"/>
              </font>
              <fill>
                <patternFill patternType="solid">
                  <bgColor theme="4" tint="0.59996337778862885"/>
                </patternFill>
              </fill>
            </x14:dxf>
          </x14:cfRule>
          <x14:cfRule type="expression" priority="18" id="{2A790725-BAF3-974B-B84C-7E16FC83C9C0}">
            <xm:f>OR(Juni!$C9="Skema 3")</xm:f>
            <x14:dxf>
              <font>
                <color theme="0"/>
              </font>
              <fill>
                <patternFill patternType="solid">
                  <bgColor theme="4" tint="0.39994506668294322"/>
                </patternFill>
              </fill>
            </x14:dxf>
          </x14:cfRule>
          <x14:cfRule type="expression" priority="86" id="{1D87371B-0089-B543-B1D8-3016783D4A31}">
            <xm:f>OR(Juni!$C9="fagdag")</xm:f>
            <x14:dxf>
              <font>
                <color theme="1"/>
              </font>
              <fill>
                <patternFill>
                  <bgColor theme="9" tint="0.59996337778862885"/>
                </patternFill>
              </fill>
            </x14:dxf>
          </x14:cfRule>
          <x14:cfRule type="expression" priority="87" id="{1B5E7828-6741-2143-A1C5-8297B143A2D3}">
            <xm:f>OR(Juni!$C9="feriedag")</xm:f>
            <x14:dxf>
              <font>
                <color theme="1"/>
              </font>
              <fill>
                <patternFill>
                  <bgColor theme="6" tint="0.39994506668294322"/>
                </patternFill>
              </fill>
            </x14:dxf>
          </x14:cfRule>
          <x14:cfRule type="expression" priority="88" id="{60DDF301-B355-D64D-895B-2BDBE9AD46CB}">
            <xm:f>OR(Juni!$C9="weekend")</xm:f>
            <x14:dxf>
              <font>
                <color theme="1"/>
              </font>
              <fill>
                <patternFill>
                  <bgColor theme="0" tint="-0.14996795556505021"/>
                </patternFill>
              </fill>
            </x14:dxf>
          </x14:cfRule>
          <x14:cfRule type="expression" priority="58" id="{0A1B34DB-0856-5042-814E-734C7A1043A1}">
            <xm:f>OR(Juni!$C9="Ikke relevant")</xm:f>
            <x14:dxf>
              <font>
                <color theme="0"/>
              </font>
              <fill>
                <patternFill>
                  <bgColor theme="1"/>
                </patternFill>
              </fill>
            </x14:dxf>
          </x14:cfRule>
          <x14:cfRule type="expression" priority="83" id="{39FBE78A-ECFD-E947-AD99-BF353344C554}">
            <xm:f>OR(Juni!$C9="ekskursion")</xm:f>
            <x14:dxf>
              <font>
                <color theme="1"/>
              </font>
              <fill>
                <patternFill>
                  <bgColor rgb="FFFFFF00"/>
                </patternFill>
              </fill>
            </x14:dxf>
          </x14:cfRule>
          <xm:sqref>AO3:AR32</xm:sqref>
        </x14:conditionalFormatting>
        <x14:conditionalFormatting xmlns:xm="http://schemas.microsoft.com/office/excel/2006/main">
          <x14:cfRule type="expression" priority="69" id="{DD788696-EA6F-AA40-9431-565F2EC8467C}">
            <xm:f>OR(Juli!$C9="Skema 4")</xm:f>
            <x14:dxf>
              <font>
                <color theme="0"/>
              </font>
              <fill>
                <patternFill patternType="solid">
                  <bgColor theme="4" tint="-0.24994659260841701"/>
                </patternFill>
              </fill>
            </x14:dxf>
          </x14:cfRule>
          <x14:cfRule type="expression" priority="70" id="{F4BC600F-6F50-8540-AA42-28D963EA94BE}">
            <xm:f>OR(Juli!$C9="pæd.dag")</xm:f>
            <x14:dxf>
              <font>
                <color theme="1"/>
              </font>
              <fill>
                <patternFill>
                  <bgColor theme="7" tint="0.39994506668294322"/>
                </patternFill>
              </fill>
            </x14:dxf>
          </x14:cfRule>
          <x14:cfRule type="expression" priority="57" id="{EFC9AD81-9D7F-8348-BA4D-22C47AD8259C}">
            <xm:f>OR(Juli!$C9="Ikke relevant")</xm:f>
            <x14:dxf>
              <font>
                <color theme="0"/>
              </font>
              <fill>
                <patternFill>
                  <bgColor theme="1"/>
                </patternFill>
              </fill>
            </x14:dxf>
          </x14:cfRule>
          <x14:cfRule type="expression" priority="71" id="{E5436F53-31EB-3244-A23B-402691DE6732}">
            <xm:f>OR(Juli!$C9="SH-dag")</xm:f>
            <x14:dxf>
              <font>
                <color theme="1"/>
              </font>
              <fill>
                <patternFill>
                  <bgColor rgb="FFFF2F82"/>
                </patternFill>
              </fill>
            </x14:dxf>
          </x14:cfRule>
          <x14:cfRule type="expression" priority="72" id="{8F3DFF6B-F0D6-3B46-9DAA-F8E4498CBBAB}">
            <xm:f>OR(Juli!$C9="Nul-dag")</xm:f>
            <x14:dxf>
              <font>
                <color theme="1"/>
              </font>
              <fill>
                <patternFill>
                  <bgColor theme="5" tint="0.79998168889431442"/>
                </patternFill>
              </fill>
            </x14:dxf>
          </x14:cfRule>
          <x14:cfRule type="expression" priority="73" id="{5DA8D5E7-74E3-0A45-813C-E354F9D32CC5}">
            <xm:f>OR(Juli!$C9="ekskursion")</xm:f>
            <x14:dxf>
              <font>
                <color theme="1"/>
              </font>
              <fill>
                <patternFill>
                  <bgColor rgb="FFFFFF00"/>
                </patternFill>
              </fill>
            </x14:dxf>
          </x14:cfRule>
          <x14:cfRule type="expression" priority="74" id="{E2BDBC6F-606D-DE49-9FAA-ADECC50DD0C4}">
            <xm:f>OR(Juli!$C9="lejrskole")</xm:f>
            <x14:dxf>
              <font>
                <color theme="1"/>
              </font>
              <fill>
                <patternFill>
                  <bgColor theme="8" tint="0.59996337778862885"/>
                </patternFill>
              </fill>
            </x14:dxf>
          </x14:cfRule>
          <x14:cfRule type="expression" priority="75" id="{42D5756F-6404-4B4B-B504-983F1E95C4DE}">
            <xm:f>OR(Juli!$C9="emnedag")</xm:f>
            <x14:dxf>
              <font>
                <color theme="1"/>
              </font>
              <fill>
                <patternFill>
                  <bgColor theme="5" tint="0.59996337778862885"/>
                </patternFill>
              </fill>
            </x14:dxf>
          </x14:cfRule>
          <x14:cfRule type="expression" priority="76" id="{4A50585A-46E7-C14D-A57F-625777D1D131}">
            <xm:f>OR(Juli!$C9="fagdag")</xm:f>
            <x14:dxf>
              <font>
                <color theme="1"/>
              </font>
              <fill>
                <patternFill>
                  <bgColor theme="9" tint="0.59996337778862885"/>
                </patternFill>
              </fill>
            </x14:dxf>
          </x14:cfRule>
          <x14:cfRule type="expression" priority="15" id="{B80C61EE-18B4-9D48-90B7-ACECD20D73F5}">
            <xm:f>OR(Juli!$C9="Skema 3")</xm:f>
            <x14:dxf>
              <font>
                <color theme="0"/>
              </font>
              <fill>
                <patternFill patternType="solid">
                  <bgColor theme="4" tint="0.39994506668294322"/>
                </patternFill>
              </fill>
            </x14:dxf>
          </x14:cfRule>
          <x14:cfRule type="expression" priority="14" id="{8A5B3FE1-EBFC-A04A-9492-2F2429165AC5}">
            <xm:f>OR(Juli!$C9="Skema 2")</xm:f>
            <x14:dxf>
              <font>
                <color theme="1"/>
              </font>
              <fill>
                <patternFill patternType="solid">
                  <bgColor theme="4" tint="0.59996337778862885"/>
                </patternFill>
              </fill>
            </x14:dxf>
          </x14:cfRule>
          <x14:cfRule type="expression" priority="13" id="{8BD64C64-9CD9-D84D-A525-D1C55CB5B2BD}">
            <xm:f>OR(Juli!$C9="Skema 1")</xm:f>
            <x14:dxf>
              <font>
                <color theme="1"/>
              </font>
              <fill>
                <patternFill patternType="solid">
                  <bgColor theme="4" tint="0.79998168889431442"/>
                </patternFill>
              </fill>
            </x14:dxf>
          </x14:cfRule>
          <x14:cfRule type="expression" priority="77" id="{D57FEC54-25BE-0941-AACE-37E91C55E9ED}">
            <xm:f>OR(Juli!$C9="feriedag")</xm:f>
            <x14:dxf>
              <font>
                <color theme="1"/>
              </font>
              <fill>
                <patternFill>
                  <bgColor theme="6" tint="0.39994506668294322"/>
                </patternFill>
              </fill>
            </x14:dxf>
          </x14:cfRule>
          <x14:cfRule type="expression" priority="78" id="{F32BF492-1A71-F04B-81AF-EF80576A4DAE}">
            <xm:f>OR(Juli!$C9="weekend")</xm:f>
            <x14:dxf>
              <font>
                <color theme="1"/>
              </font>
              <fill>
                <patternFill>
                  <bgColor theme="0" tint="-0.14996795556505021"/>
                </patternFill>
              </fill>
            </x14:dxf>
          </x14:cfRule>
          <x14:cfRule type="expression" priority="1" id="{2A4C769B-E6AC-6B44-BC58-01081A6A70AB}">
            <xm:f>OR(Juli!$C9="Orlov")</xm:f>
            <x14:dxf>
              <font>
                <color theme="0"/>
              </font>
              <fill>
                <patternFill patternType="solid">
                  <bgColor theme="6" tint="-0.24994659260841701"/>
                </patternFill>
              </fill>
            </x14:dxf>
          </x14:cfRule>
          <xm:sqref>AS3:AV33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41"/>
  <sheetViews>
    <sheetView showGridLines="0" showZeros="0" zoomScale="50" zoomScaleNormal="80" zoomScalePageLayoutView="80" workbookViewId="0">
      <selection activeCell="N15" sqref="N15"/>
    </sheetView>
  </sheetViews>
  <sheetFormatPr baseColWidth="10" defaultRowHeight="36" customHeight="1"/>
  <cols>
    <col min="1" max="2" width="4.33203125" style="75" customWidth="1"/>
    <col min="3" max="3" width="8.33203125" style="76" customWidth="1"/>
    <col min="4" max="4" width="20.1640625" style="76" customWidth="1"/>
    <col min="5" max="5" width="4" style="74" customWidth="1"/>
    <col min="6" max="7" width="4.33203125" style="75" customWidth="1"/>
    <col min="8" max="8" width="8.33203125" style="76" customWidth="1"/>
    <col min="9" max="9" width="20.1640625" style="76" customWidth="1"/>
    <col min="10" max="10" width="4" style="74" customWidth="1"/>
    <col min="11" max="12" width="4.33203125" style="75" customWidth="1"/>
    <col min="13" max="13" width="8.5" style="76" customWidth="1"/>
    <col min="14" max="14" width="20.1640625" style="76" customWidth="1"/>
    <col min="15" max="15" width="4" style="74" customWidth="1"/>
    <col min="16" max="17" width="4.33203125" style="75" customWidth="1"/>
    <col min="18" max="18" width="8.5" style="76" customWidth="1"/>
    <col min="19" max="19" width="20.1640625" style="76" customWidth="1"/>
    <col min="20" max="20" width="3.5" style="74" customWidth="1"/>
    <col min="21" max="21" width="5.6640625" style="75" customWidth="1"/>
    <col min="22" max="22" width="4.33203125" style="75" customWidth="1"/>
    <col min="23" max="23" width="8.33203125" style="76" customWidth="1"/>
    <col min="24" max="24" width="20.33203125" style="76" customWidth="1"/>
    <col min="25" max="25" width="4" style="74" customWidth="1"/>
    <col min="26" max="27" width="4.33203125" style="75" customWidth="1"/>
    <col min="28" max="28" width="8.5" style="76" customWidth="1"/>
    <col min="29" max="29" width="20.33203125" style="76" customWidth="1"/>
    <col min="30" max="30" width="3.1640625" style="74" customWidth="1"/>
    <col min="31" max="34" width="10.83203125" style="63"/>
    <col min="35" max="35" width="26.6640625" style="63" customWidth="1"/>
    <col min="36" max="16384" width="10.83203125" style="63"/>
  </cols>
  <sheetData>
    <row r="1" spans="1:30" s="61" customFormat="1" ht="36" customHeight="1">
      <c r="A1" s="597" t="str">
        <f>"Halvårskalender for "&amp;Stamoplysninger!E8&amp;" vedr. skoleåret "&amp;Vejledning!B2&amp;""</f>
        <v>Halvårskalender for Beate Simonsen vedr. skoleåret 2024-2025</v>
      </c>
      <c r="B1" s="598"/>
      <c r="C1" s="599"/>
      <c r="D1" s="599"/>
      <c r="E1" s="602"/>
      <c r="F1" s="601"/>
      <c r="G1" s="598"/>
      <c r="H1" s="599"/>
      <c r="I1" s="599"/>
      <c r="J1" s="602"/>
      <c r="K1" s="601"/>
      <c r="L1" s="598"/>
      <c r="M1" s="599"/>
      <c r="N1" s="599"/>
      <c r="O1" s="602"/>
      <c r="P1" s="601"/>
      <c r="Q1" s="598"/>
      <c r="R1" s="599"/>
      <c r="S1" s="599"/>
      <c r="T1" s="602"/>
      <c r="U1" s="601"/>
      <c r="V1" s="598"/>
      <c r="W1" s="599"/>
      <c r="X1" s="599"/>
      <c r="Y1" s="602"/>
      <c r="Z1" s="601"/>
      <c r="AA1" s="598"/>
      <c r="AB1" s="599"/>
      <c r="AC1" s="599"/>
      <c r="AD1" s="600"/>
    </row>
    <row r="2" spans="1:30" s="62" customFormat="1" ht="23" customHeight="1">
      <c r="A2" s="586" t="s">
        <v>91</v>
      </c>
      <c r="B2" s="587"/>
      <c r="C2" s="588"/>
      <c r="D2" s="588"/>
      <c r="E2" s="589"/>
      <c r="F2" s="590" t="s">
        <v>92</v>
      </c>
      <c r="G2" s="587"/>
      <c r="H2" s="588"/>
      <c r="I2" s="588"/>
      <c r="J2" s="589"/>
      <c r="K2" s="591" t="s">
        <v>93</v>
      </c>
      <c r="L2" s="587"/>
      <c r="M2" s="588"/>
      <c r="N2" s="588"/>
      <c r="O2" s="589"/>
      <c r="P2" s="586" t="s">
        <v>94</v>
      </c>
      <c r="Q2" s="587"/>
      <c r="R2" s="588"/>
      <c r="S2" s="588"/>
      <c r="T2" s="589"/>
      <c r="U2" s="586" t="s">
        <v>95</v>
      </c>
      <c r="V2" s="587"/>
      <c r="W2" s="588"/>
      <c r="X2" s="588"/>
      <c r="Y2" s="589"/>
      <c r="Z2" s="586" t="s">
        <v>96</v>
      </c>
      <c r="AA2" s="587"/>
      <c r="AB2" s="588"/>
      <c r="AC2" s="588"/>
      <c r="AD2" s="589"/>
    </row>
    <row r="3" spans="1:30" ht="35" customHeight="1">
      <c r="A3" s="576">
        <f>Aar!A3</f>
        <v>1</v>
      </c>
      <c r="B3" s="128" t="str">
        <f>Aar!B3</f>
        <v>to</v>
      </c>
      <c r="C3" s="129" t="str">
        <f>August!C10</f>
        <v>Feriedag</v>
      </c>
      <c r="D3" s="583" t="str">
        <f>August!DN10</f>
        <v>Sommerferie</v>
      </c>
      <c r="E3" s="579" t="str">
        <f>Aar!D3</f>
        <v/>
      </c>
      <c r="F3" s="128">
        <f>Aar!E3</f>
        <v>1</v>
      </c>
      <c r="G3" s="128" t="str">
        <f>Aar!F3</f>
        <v>sø</v>
      </c>
      <c r="H3" s="129" t="str">
        <f>September!C9</f>
        <v>Weekend</v>
      </c>
      <c r="I3" s="583" t="str">
        <f>September!DN9</f>
        <v/>
      </c>
      <c r="J3" s="579" t="str">
        <f>Aar!H3</f>
        <v/>
      </c>
      <c r="K3" s="128">
        <f>Aar!I3</f>
        <v>1</v>
      </c>
      <c r="L3" s="128" t="str">
        <f>Aar!J3</f>
        <v>ti</v>
      </c>
      <c r="M3" s="129" t="str">
        <f>Oktober!C9</f>
        <v>Skema 1</v>
      </c>
      <c r="N3" s="583" t="str">
        <f>Oktober!DN9</f>
        <v/>
      </c>
      <c r="O3" s="578" t="str">
        <f>Aar!L3</f>
        <v/>
      </c>
      <c r="P3" s="576">
        <f>Aar!M3</f>
        <v>1</v>
      </c>
      <c r="Q3" s="128" t="str">
        <f>Aar!N3</f>
        <v>fr</v>
      </c>
      <c r="R3" s="129" t="str">
        <f>November!C9</f>
        <v>Skema 1</v>
      </c>
      <c r="S3" s="585" t="str">
        <f>November!DN9</f>
        <v/>
      </c>
      <c r="T3" s="579" t="str">
        <f>Aar!P3</f>
        <v/>
      </c>
      <c r="U3" s="576">
        <f>Aar!Q3</f>
        <v>1</v>
      </c>
      <c r="V3" s="128" t="str">
        <f>Aar!R3</f>
        <v>sø</v>
      </c>
      <c r="W3" s="129" t="str">
        <f>December!C9</f>
        <v>Weekend</v>
      </c>
      <c r="X3" s="583" t="str">
        <f>December!DN9</f>
        <v/>
      </c>
      <c r="Y3" s="579" t="str">
        <f>Aar!T3</f>
        <v/>
      </c>
      <c r="Z3" s="576">
        <f>Aar!U3</f>
        <v>1</v>
      </c>
      <c r="AA3" s="128" t="str">
        <f>Aar!V3</f>
        <v>on</v>
      </c>
      <c r="AB3" s="129" t="str">
        <f>Januar!C9</f>
        <v>SH-dag</v>
      </c>
      <c r="AC3" s="583" t="str">
        <f>Januar!DN9</f>
        <v>Nytårsdag</v>
      </c>
      <c r="AD3" s="579" t="str">
        <f>Aar!X3</f>
        <v/>
      </c>
    </row>
    <row r="4" spans="1:30" ht="35" customHeight="1">
      <c r="A4" s="576">
        <f>Aar!A4</f>
        <v>2</v>
      </c>
      <c r="B4" s="128" t="str">
        <f>Aar!B4</f>
        <v>fr</v>
      </c>
      <c r="C4" s="129" t="str">
        <f>August!C11</f>
        <v>Feriedag</v>
      </c>
      <c r="D4" s="583" t="str">
        <f>August!DN11</f>
        <v>Sommerferie</v>
      </c>
      <c r="E4" s="579" t="str">
        <f>Aar!D4</f>
        <v/>
      </c>
      <c r="F4" s="128">
        <f>Aar!E4</f>
        <v>2</v>
      </c>
      <c r="G4" s="128" t="str">
        <f>Aar!F4</f>
        <v>ma</v>
      </c>
      <c r="H4" s="129" t="str">
        <f>September!C10</f>
        <v>Skema 1</v>
      </c>
      <c r="I4" s="583" t="str">
        <f>September!DN10</f>
        <v/>
      </c>
      <c r="J4" s="579">
        <f>Aar!H4</f>
        <v>36</v>
      </c>
      <c r="K4" s="128">
        <f>Aar!I4</f>
        <v>2</v>
      </c>
      <c r="L4" s="128" t="str">
        <f>Aar!J4</f>
        <v>on</v>
      </c>
      <c r="M4" s="129" t="str">
        <f>Oktober!C10</f>
        <v>Skema 1</v>
      </c>
      <c r="N4" s="583" t="str">
        <f>Oktober!DN10</f>
        <v/>
      </c>
      <c r="O4" s="578" t="str">
        <f>Aar!L4</f>
        <v/>
      </c>
      <c r="P4" s="576">
        <f>Aar!M4</f>
        <v>2</v>
      </c>
      <c r="Q4" s="128" t="str">
        <f>Aar!N4</f>
        <v>lø</v>
      </c>
      <c r="R4" s="129" t="str">
        <f>November!C10</f>
        <v>Weekend</v>
      </c>
      <c r="S4" s="585" t="str">
        <f>November!DN10</f>
        <v/>
      </c>
      <c r="T4" s="579" t="str">
        <f>Aar!P4</f>
        <v/>
      </c>
      <c r="U4" s="576">
        <f>Aar!Q4</f>
        <v>2</v>
      </c>
      <c r="V4" s="128" t="str">
        <f>Aar!R4</f>
        <v>ma</v>
      </c>
      <c r="W4" s="129" t="str">
        <f>December!C10</f>
        <v>Emnedag</v>
      </c>
      <c r="X4" s="583" t="str">
        <f>December!DN10</f>
        <v>Juleklippedag</v>
      </c>
      <c r="Y4" s="579">
        <f>Aar!T4</f>
        <v>49</v>
      </c>
      <c r="Z4" s="576">
        <f>Aar!U4</f>
        <v>2</v>
      </c>
      <c r="AA4" s="128" t="str">
        <f>Aar!V4</f>
        <v>to</v>
      </c>
      <c r="AB4" s="129" t="str">
        <f>Januar!C10</f>
        <v>Nul-dag</v>
      </c>
      <c r="AC4" s="583" t="str">
        <f>Januar!DN10</f>
        <v/>
      </c>
      <c r="AD4" s="579" t="str">
        <f>Aar!X4</f>
        <v/>
      </c>
    </row>
    <row r="5" spans="1:30" ht="35" customHeight="1">
      <c r="A5" s="576">
        <f>Aar!A5</f>
        <v>3</v>
      </c>
      <c r="B5" s="128" t="str">
        <f>Aar!B5</f>
        <v>lø</v>
      </c>
      <c r="C5" s="129" t="str">
        <f>August!C12</f>
        <v>Weekend</v>
      </c>
      <c r="D5" s="583" t="str">
        <f>August!DN12</f>
        <v/>
      </c>
      <c r="E5" s="579" t="str">
        <f>Aar!D5</f>
        <v/>
      </c>
      <c r="F5" s="128">
        <f>Aar!E5</f>
        <v>3</v>
      </c>
      <c r="G5" s="128" t="str">
        <f>Aar!F5</f>
        <v>ti</v>
      </c>
      <c r="H5" s="129" t="str">
        <f>September!C11</f>
        <v>Skema 1</v>
      </c>
      <c r="I5" s="583" t="str">
        <f>September!DN11</f>
        <v/>
      </c>
      <c r="J5" s="579" t="str">
        <f>Aar!H5</f>
        <v/>
      </c>
      <c r="K5" s="128">
        <f>Aar!I5</f>
        <v>3</v>
      </c>
      <c r="L5" s="128" t="str">
        <f>Aar!J5</f>
        <v>to</v>
      </c>
      <c r="M5" s="129" t="str">
        <f>Oktober!C11</f>
        <v>Skema 1</v>
      </c>
      <c r="N5" s="583" t="str">
        <f>Oktober!DN11</f>
        <v/>
      </c>
      <c r="O5" s="578" t="str">
        <f>Aar!L5</f>
        <v/>
      </c>
      <c r="P5" s="576">
        <f>Aar!M5</f>
        <v>3</v>
      </c>
      <c r="Q5" s="128" t="str">
        <f>Aar!N5</f>
        <v>sø</v>
      </c>
      <c r="R5" s="129" t="str">
        <f>November!C11</f>
        <v>Weekend</v>
      </c>
      <c r="S5" s="585" t="str">
        <f>November!DN11</f>
        <v/>
      </c>
      <c r="T5" s="579" t="str">
        <f>Aar!P5</f>
        <v/>
      </c>
      <c r="U5" s="576">
        <f>Aar!Q5</f>
        <v>3</v>
      </c>
      <c r="V5" s="128" t="str">
        <f>Aar!R5</f>
        <v>ti</v>
      </c>
      <c r="W5" s="129" t="str">
        <f>December!C11</f>
        <v>Skema 1</v>
      </c>
      <c r="X5" s="583" t="str">
        <f>December!DN11</f>
        <v/>
      </c>
      <c r="Y5" s="579" t="str">
        <f>Aar!T5</f>
        <v/>
      </c>
      <c r="Z5" s="576">
        <f>Aar!U5</f>
        <v>3</v>
      </c>
      <c r="AA5" s="128" t="str">
        <f>Aar!V5</f>
        <v>fr</v>
      </c>
      <c r="AB5" s="129" t="str">
        <f>Januar!C11</f>
        <v>Nul-dag</v>
      </c>
      <c r="AC5" s="583" t="str">
        <f>Januar!DN11</f>
        <v/>
      </c>
      <c r="AD5" s="579" t="str">
        <f>Aar!X5</f>
        <v/>
      </c>
    </row>
    <row r="6" spans="1:30" ht="35" customHeight="1">
      <c r="A6" s="576">
        <f>Aar!A6</f>
        <v>4</v>
      </c>
      <c r="B6" s="128" t="str">
        <f>Aar!B6</f>
        <v>sø</v>
      </c>
      <c r="C6" s="129" t="str">
        <f>August!C13</f>
        <v>Weekend</v>
      </c>
      <c r="D6" s="583" t="str">
        <f>August!DN13</f>
        <v/>
      </c>
      <c r="E6" s="579" t="str">
        <f>Aar!D6</f>
        <v/>
      </c>
      <c r="F6" s="128">
        <f>Aar!E6</f>
        <v>4</v>
      </c>
      <c r="G6" s="128" t="str">
        <f>Aar!F6</f>
        <v>on</v>
      </c>
      <c r="H6" s="129" t="str">
        <f>September!C12</f>
        <v>Skema 1</v>
      </c>
      <c r="I6" s="583" t="str">
        <f>September!DN12</f>
        <v/>
      </c>
      <c r="J6" s="579" t="str">
        <f>Aar!H6</f>
        <v/>
      </c>
      <c r="K6" s="128">
        <f>Aar!I6</f>
        <v>4</v>
      </c>
      <c r="L6" s="128" t="str">
        <f>Aar!J6</f>
        <v>fr</v>
      </c>
      <c r="M6" s="129" t="str">
        <f>Oktober!C12</f>
        <v>Skema 1</v>
      </c>
      <c r="N6" s="583" t="str">
        <f>Oktober!DN12</f>
        <v/>
      </c>
      <c r="O6" s="578" t="str">
        <f>Aar!L6</f>
        <v/>
      </c>
      <c r="P6" s="576">
        <f>Aar!M6</f>
        <v>4</v>
      </c>
      <c r="Q6" s="128" t="str">
        <f>Aar!N6</f>
        <v>ma</v>
      </c>
      <c r="R6" s="129" t="str">
        <f>November!C12</f>
        <v>Skema 1</v>
      </c>
      <c r="S6" s="585" t="str">
        <f>November!DN12</f>
        <v/>
      </c>
      <c r="T6" s="579">
        <f>Aar!P6</f>
        <v>45</v>
      </c>
      <c r="U6" s="576">
        <f>Aar!Q6</f>
        <v>4</v>
      </c>
      <c r="V6" s="128" t="str">
        <f>Aar!R6</f>
        <v>on</v>
      </c>
      <c r="W6" s="129" t="str">
        <f>December!C12</f>
        <v>Skema 1</v>
      </c>
      <c r="X6" s="583" t="str">
        <f>December!DN12</f>
        <v/>
      </c>
      <c r="Y6" s="579" t="str">
        <f>Aar!T6</f>
        <v/>
      </c>
      <c r="Z6" s="576">
        <f>Aar!U6</f>
        <v>4</v>
      </c>
      <c r="AA6" s="128" t="str">
        <f>Aar!V6</f>
        <v>lø</v>
      </c>
      <c r="AB6" s="129" t="str">
        <f>Januar!C12</f>
        <v>Weekend</v>
      </c>
      <c r="AC6" s="583" t="str">
        <f>Januar!DN12</f>
        <v/>
      </c>
      <c r="AD6" s="579" t="str">
        <f>Aar!X6</f>
        <v/>
      </c>
    </row>
    <row r="7" spans="1:30" ht="35" customHeight="1">
      <c r="A7" s="576">
        <f>Aar!A7</f>
        <v>5</v>
      </c>
      <c r="B7" s="128" t="str">
        <f>Aar!B7</f>
        <v>ma</v>
      </c>
      <c r="C7" s="129" t="str">
        <f>August!C14</f>
        <v>Nul-dag</v>
      </c>
      <c r="D7" s="583" t="str">
        <f>August!DN14</f>
        <v/>
      </c>
      <c r="E7" s="579">
        <f>Aar!D7</f>
        <v>32</v>
      </c>
      <c r="F7" s="128">
        <f>Aar!E7</f>
        <v>5</v>
      </c>
      <c r="G7" s="128" t="str">
        <f>Aar!F7</f>
        <v>to</v>
      </c>
      <c r="H7" s="129" t="str">
        <f>September!C13</f>
        <v>Skema 1</v>
      </c>
      <c r="I7" s="583" t="str">
        <f>September!DN13</f>
        <v/>
      </c>
      <c r="J7" s="579" t="str">
        <f>Aar!H7</f>
        <v/>
      </c>
      <c r="K7" s="128">
        <f>Aar!I7</f>
        <v>5</v>
      </c>
      <c r="L7" s="128" t="str">
        <f>Aar!J7</f>
        <v>lø</v>
      </c>
      <c r="M7" s="129" t="str">
        <f>Oktober!C13</f>
        <v>Weekend</v>
      </c>
      <c r="N7" s="583" t="str">
        <f>Oktober!DN13</f>
        <v/>
      </c>
      <c r="O7" s="578" t="str">
        <f>Aar!L7</f>
        <v/>
      </c>
      <c r="P7" s="576">
        <f>Aar!M7</f>
        <v>5</v>
      </c>
      <c r="Q7" s="128" t="str">
        <f>Aar!N7</f>
        <v>ti</v>
      </c>
      <c r="R7" s="129" t="str">
        <f>November!C13</f>
        <v>Skema 1</v>
      </c>
      <c r="S7" s="585" t="str">
        <f>November!DN13</f>
        <v/>
      </c>
      <c r="T7" s="579" t="str">
        <f>Aar!P7</f>
        <v/>
      </c>
      <c r="U7" s="576">
        <f>Aar!Q7</f>
        <v>5</v>
      </c>
      <c r="V7" s="128" t="str">
        <f>Aar!R7</f>
        <v>to</v>
      </c>
      <c r="W7" s="129" t="str">
        <f>December!C13</f>
        <v>Skema 1</v>
      </c>
      <c r="X7" s="583" t="str">
        <f>December!DN13</f>
        <v/>
      </c>
      <c r="Y7" s="579" t="str">
        <f>Aar!T7</f>
        <v/>
      </c>
      <c r="Z7" s="576">
        <f>Aar!U7</f>
        <v>5</v>
      </c>
      <c r="AA7" s="128" t="str">
        <f>Aar!V7</f>
        <v>sø</v>
      </c>
      <c r="AB7" s="129" t="str">
        <f>Januar!C13</f>
        <v>Weekend</v>
      </c>
      <c r="AC7" s="583" t="str">
        <f>Januar!DN13</f>
        <v/>
      </c>
      <c r="AD7" s="579" t="str">
        <f>Aar!X7</f>
        <v/>
      </c>
    </row>
    <row r="8" spans="1:30" ht="35" customHeight="1">
      <c r="A8" s="576">
        <f>Aar!A8</f>
        <v>6</v>
      </c>
      <c r="B8" s="128" t="str">
        <f>Aar!B8</f>
        <v>ti</v>
      </c>
      <c r="C8" s="129" t="str">
        <f>August!C15</f>
        <v>Nul-dag</v>
      </c>
      <c r="D8" s="583" t="str">
        <f>August!DN15</f>
        <v/>
      </c>
      <c r="E8" s="579" t="str">
        <f>Aar!D8</f>
        <v/>
      </c>
      <c r="F8" s="128">
        <f>Aar!E8</f>
        <v>6</v>
      </c>
      <c r="G8" s="128" t="str">
        <f>Aar!F8</f>
        <v>fr</v>
      </c>
      <c r="H8" s="129" t="str">
        <f>September!C14</f>
        <v>Skema 1</v>
      </c>
      <c r="I8" s="583" t="str">
        <f>September!DN14</f>
        <v/>
      </c>
      <c r="J8" s="579" t="str">
        <f>Aar!H8</f>
        <v/>
      </c>
      <c r="K8" s="128">
        <f>Aar!I8</f>
        <v>6</v>
      </c>
      <c r="L8" s="128" t="str">
        <f>Aar!J8</f>
        <v>sø</v>
      </c>
      <c r="M8" s="129" t="str">
        <f>Oktober!C14</f>
        <v>Weekend</v>
      </c>
      <c r="N8" s="583" t="str">
        <f>Oktober!DN14</f>
        <v/>
      </c>
      <c r="O8" s="578" t="str">
        <f>Aar!L8</f>
        <v/>
      </c>
      <c r="P8" s="576">
        <f>Aar!M8</f>
        <v>6</v>
      </c>
      <c r="Q8" s="128" t="str">
        <f>Aar!N8</f>
        <v>on</v>
      </c>
      <c r="R8" s="129" t="str">
        <f>November!C14</f>
        <v>Skema 1</v>
      </c>
      <c r="S8" s="585" t="str">
        <f>November!DN14</f>
        <v/>
      </c>
      <c r="T8" s="579" t="str">
        <f>Aar!P8</f>
        <v/>
      </c>
      <c r="U8" s="576">
        <f>Aar!Q8</f>
        <v>6</v>
      </c>
      <c r="V8" s="128" t="str">
        <f>Aar!R8</f>
        <v>fr</v>
      </c>
      <c r="W8" s="129" t="str">
        <f>December!C14</f>
        <v>Skema 1</v>
      </c>
      <c r="X8" s="583" t="str">
        <f>December!DN14</f>
        <v/>
      </c>
      <c r="Y8" s="579" t="str">
        <f>Aar!T8</f>
        <v/>
      </c>
      <c r="Z8" s="576">
        <f>Aar!U8</f>
        <v>6</v>
      </c>
      <c r="AA8" s="128" t="str">
        <f>Aar!V8</f>
        <v>ma</v>
      </c>
      <c r="AB8" s="129" t="str">
        <f>Januar!C14</f>
        <v>Skema 2</v>
      </c>
      <c r="AC8" s="583" t="str">
        <f>Januar!DN14</f>
        <v/>
      </c>
      <c r="AD8" s="579">
        <f>Aar!X8</f>
        <v>1.7142857142857142</v>
      </c>
    </row>
    <row r="9" spans="1:30" ht="35" customHeight="1">
      <c r="A9" s="576">
        <f>Aar!A9</f>
        <v>7</v>
      </c>
      <c r="B9" s="128" t="str">
        <f>Aar!B9</f>
        <v>on</v>
      </c>
      <c r="C9" s="129" t="str">
        <f>August!C16</f>
        <v>Pæd.dag</v>
      </c>
      <c r="D9" s="583" t="str">
        <f>August!DN16</f>
        <v>Vi planlægger det kommende skoleår 9-15</v>
      </c>
      <c r="E9" s="579" t="str">
        <f>Aar!D9</f>
        <v/>
      </c>
      <c r="F9" s="128">
        <f>Aar!E9</f>
        <v>7</v>
      </c>
      <c r="G9" s="128" t="str">
        <f>Aar!F9</f>
        <v>lø</v>
      </c>
      <c r="H9" s="129" t="str">
        <f>September!C15</f>
        <v>Weekend</v>
      </c>
      <c r="I9" s="583" t="str">
        <f>September!DN15</f>
        <v/>
      </c>
      <c r="J9" s="579" t="str">
        <f>Aar!H9</f>
        <v/>
      </c>
      <c r="K9" s="128">
        <f>Aar!I9</f>
        <v>7</v>
      </c>
      <c r="L9" s="128" t="str">
        <f>Aar!J9</f>
        <v>ma</v>
      </c>
      <c r="M9" s="129" t="str">
        <f>Oktober!C15</f>
        <v>Fagdag</v>
      </c>
      <c r="N9" s="583" t="str">
        <f>Oktober!DN15</f>
        <v>Naturvidenskabsfestival</v>
      </c>
      <c r="O9" s="578">
        <f>Aar!L9</f>
        <v>41</v>
      </c>
      <c r="P9" s="576">
        <f>Aar!M9</f>
        <v>7</v>
      </c>
      <c r="Q9" s="128" t="str">
        <f>Aar!N9</f>
        <v>to</v>
      </c>
      <c r="R9" s="129" t="str">
        <f>November!C15</f>
        <v>Skema 1</v>
      </c>
      <c r="S9" s="585" t="str">
        <f>November!DN15</f>
        <v/>
      </c>
      <c r="T9" s="579" t="str">
        <f>Aar!P9</f>
        <v/>
      </c>
      <c r="U9" s="576">
        <f>Aar!Q9</f>
        <v>7</v>
      </c>
      <c r="V9" s="128" t="str">
        <f>Aar!R9</f>
        <v>lø</v>
      </c>
      <c r="W9" s="129" t="str">
        <f>December!C15</f>
        <v>Weekend</v>
      </c>
      <c r="X9" s="583" t="str">
        <f>December!DN15</f>
        <v/>
      </c>
      <c r="Y9" s="579" t="str">
        <f>Aar!T9</f>
        <v/>
      </c>
      <c r="Z9" s="576">
        <f>Aar!U9</f>
        <v>7</v>
      </c>
      <c r="AA9" s="128" t="str">
        <f>Aar!V9</f>
        <v>ti</v>
      </c>
      <c r="AB9" s="129" t="str">
        <f>Januar!C15</f>
        <v>Skema 2</v>
      </c>
      <c r="AC9" s="583" t="str">
        <f>Januar!DN15</f>
        <v/>
      </c>
      <c r="AD9" s="579" t="str">
        <f>Aar!X9</f>
        <v/>
      </c>
    </row>
    <row r="10" spans="1:30" ht="35" customHeight="1">
      <c r="A10" s="576">
        <f>Aar!A10</f>
        <v>8</v>
      </c>
      <c r="B10" s="128" t="str">
        <f>Aar!B10</f>
        <v>to</v>
      </c>
      <c r="C10" s="129" t="str">
        <f>August!C17</f>
        <v>Pæd.dag</v>
      </c>
      <c r="D10" s="583" t="str">
        <f>August!DN17</f>
        <v>Vi planlægger det kommende skoleår 9-15</v>
      </c>
      <c r="E10" s="579" t="str">
        <f>Aar!D10</f>
        <v/>
      </c>
      <c r="F10" s="128">
        <f>Aar!E10</f>
        <v>8</v>
      </c>
      <c r="G10" s="128" t="str">
        <f>Aar!F10</f>
        <v>sø</v>
      </c>
      <c r="H10" s="129" t="str">
        <f>September!C16</f>
        <v>Weekend</v>
      </c>
      <c r="I10" s="583" t="str">
        <f>September!DN16</f>
        <v/>
      </c>
      <c r="J10" s="579" t="str">
        <f>Aar!H10</f>
        <v/>
      </c>
      <c r="K10" s="128">
        <f>Aar!I10</f>
        <v>8</v>
      </c>
      <c r="L10" s="128" t="str">
        <f>Aar!J10</f>
        <v>ti</v>
      </c>
      <c r="M10" s="129" t="str">
        <f>Oktober!C16</f>
        <v>Fagdag</v>
      </c>
      <c r="N10" s="583" t="str">
        <f>Oktober!DN16</f>
        <v>Naturvidenskabsfestival</v>
      </c>
      <c r="O10" s="578" t="str">
        <f>Aar!L10</f>
        <v/>
      </c>
      <c r="P10" s="576">
        <f>Aar!M10</f>
        <v>8</v>
      </c>
      <c r="Q10" s="128" t="str">
        <f>Aar!N10</f>
        <v>fr</v>
      </c>
      <c r="R10" s="129" t="str">
        <f>November!C16</f>
        <v>Skema 1</v>
      </c>
      <c r="S10" s="585" t="str">
        <f>November!DN16</f>
        <v/>
      </c>
      <c r="T10" s="579" t="str">
        <f>Aar!P10</f>
        <v/>
      </c>
      <c r="U10" s="576">
        <f>Aar!Q10</f>
        <v>8</v>
      </c>
      <c r="V10" s="128" t="str">
        <f>Aar!R10</f>
        <v>sø</v>
      </c>
      <c r="W10" s="129" t="str">
        <f>December!C16</f>
        <v>Weekend</v>
      </c>
      <c r="X10" s="583" t="str">
        <f>December!DN16</f>
        <v/>
      </c>
      <c r="Y10" s="579" t="str">
        <f>Aar!T10</f>
        <v/>
      </c>
      <c r="Z10" s="576">
        <f>Aar!U10</f>
        <v>8</v>
      </c>
      <c r="AA10" s="128" t="str">
        <f>Aar!V10</f>
        <v>on</v>
      </c>
      <c r="AB10" s="129" t="str">
        <f>Januar!C16</f>
        <v>Skema 2</v>
      </c>
      <c r="AC10" s="583" t="str">
        <f>Januar!DN16</f>
        <v/>
      </c>
      <c r="AD10" s="579" t="str">
        <f>Aar!X10</f>
        <v/>
      </c>
    </row>
    <row r="11" spans="1:30" ht="35" customHeight="1">
      <c r="A11" s="576">
        <f>Aar!A11</f>
        <v>9</v>
      </c>
      <c r="B11" s="128" t="str">
        <f>Aar!B11</f>
        <v>fr</v>
      </c>
      <c r="C11" s="129" t="str">
        <f>August!C18</f>
        <v>Pæd.dag</v>
      </c>
      <c r="D11" s="583" t="str">
        <f>August!DN18</f>
        <v>Vi planlægger det kommende skoleår 9-15</v>
      </c>
      <c r="E11" s="579" t="str">
        <f>Aar!D11</f>
        <v/>
      </c>
      <c r="F11" s="128">
        <f>Aar!E11</f>
        <v>9</v>
      </c>
      <c r="G11" s="128" t="str">
        <f>Aar!F11</f>
        <v>ma</v>
      </c>
      <c r="H11" s="129" t="str">
        <f>September!C17</f>
        <v>Skema 1</v>
      </c>
      <c r="I11" s="583" t="str">
        <f>September!DN17</f>
        <v/>
      </c>
      <c r="J11" s="579">
        <f>Aar!H11</f>
        <v>37</v>
      </c>
      <c r="K11" s="128">
        <f>Aar!I11</f>
        <v>9</v>
      </c>
      <c r="L11" s="128" t="str">
        <f>Aar!J11</f>
        <v>on</v>
      </c>
      <c r="M11" s="129" t="str">
        <f>Oktober!C17</f>
        <v>Fagdag</v>
      </c>
      <c r="N11" s="583" t="str">
        <f>Oktober!DN17</f>
        <v>Naturvidenskabsfestival</v>
      </c>
      <c r="O11" s="578" t="str">
        <f>Aar!L11</f>
        <v/>
      </c>
      <c r="P11" s="576">
        <f>Aar!M11</f>
        <v>9</v>
      </c>
      <c r="Q11" s="128" t="str">
        <f>Aar!N11</f>
        <v>lø</v>
      </c>
      <c r="R11" s="129" t="str">
        <f>November!C17</f>
        <v>Weekend</v>
      </c>
      <c r="S11" s="585" t="str">
        <f>November!DN17</f>
        <v/>
      </c>
      <c r="T11" s="579" t="str">
        <f>Aar!P11</f>
        <v/>
      </c>
      <c r="U11" s="576">
        <f>Aar!Q11</f>
        <v>9</v>
      </c>
      <c r="V11" s="128" t="str">
        <f>Aar!R11</f>
        <v>ma</v>
      </c>
      <c r="W11" s="129" t="str">
        <f>December!C17</f>
        <v>Skema 1</v>
      </c>
      <c r="X11" s="583" t="str">
        <f>December!DN17</f>
        <v/>
      </c>
      <c r="Y11" s="579">
        <f>Aar!T11</f>
        <v>50</v>
      </c>
      <c r="Z11" s="576">
        <f>Aar!U11</f>
        <v>9</v>
      </c>
      <c r="AA11" s="128" t="str">
        <f>Aar!V11</f>
        <v>to</v>
      </c>
      <c r="AB11" s="129" t="str">
        <f>Januar!C17</f>
        <v>Skema 2</v>
      </c>
      <c r="AC11" s="583" t="str">
        <f>Januar!DN17</f>
        <v/>
      </c>
      <c r="AD11" s="579" t="str">
        <f>Aar!X11</f>
        <v/>
      </c>
    </row>
    <row r="12" spans="1:30" ht="35" customHeight="1">
      <c r="A12" s="576">
        <f>Aar!A12</f>
        <v>10</v>
      </c>
      <c r="B12" s="128" t="str">
        <f>Aar!B12</f>
        <v>lø</v>
      </c>
      <c r="C12" s="129" t="str">
        <f>August!C19</f>
        <v>Weekend</v>
      </c>
      <c r="D12" s="583" t="str">
        <f>August!DN19</f>
        <v/>
      </c>
      <c r="E12" s="579" t="str">
        <f>Aar!D12</f>
        <v/>
      </c>
      <c r="F12" s="128">
        <f>Aar!E12</f>
        <v>10</v>
      </c>
      <c r="G12" s="128" t="str">
        <f>Aar!F12</f>
        <v>ti</v>
      </c>
      <c r="H12" s="129" t="str">
        <f>September!C18</f>
        <v>Lejrskole</v>
      </c>
      <c r="I12" s="583" t="str">
        <f>September!DN18</f>
        <v>Skolebyt - afgang kl. 08:00</v>
      </c>
      <c r="J12" s="579" t="str">
        <f>Aar!H12</f>
        <v/>
      </c>
      <c r="K12" s="128">
        <f>Aar!I12</f>
        <v>10</v>
      </c>
      <c r="L12" s="128" t="str">
        <f>Aar!J12</f>
        <v>to</v>
      </c>
      <c r="M12" s="129" t="str">
        <f>Oktober!C18</f>
        <v>Fagdag</v>
      </c>
      <c r="N12" s="583" t="str">
        <f>Oktober!DN18</f>
        <v>Naturvidenskabsfestival</v>
      </c>
      <c r="O12" s="578" t="str">
        <f>Aar!L12</f>
        <v/>
      </c>
      <c r="P12" s="576">
        <f>Aar!M12</f>
        <v>10</v>
      </c>
      <c r="Q12" s="128" t="str">
        <f>Aar!N12</f>
        <v>sø</v>
      </c>
      <c r="R12" s="129" t="str">
        <f>November!C18</f>
        <v>Weekend</v>
      </c>
      <c r="S12" s="585" t="str">
        <f>November!DN18</f>
        <v/>
      </c>
      <c r="T12" s="579" t="str">
        <f>Aar!P12</f>
        <v/>
      </c>
      <c r="U12" s="576">
        <f>Aar!Q12</f>
        <v>10</v>
      </c>
      <c r="V12" s="128" t="str">
        <f>Aar!R12</f>
        <v>ti</v>
      </c>
      <c r="W12" s="129" t="str">
        <f>December!C18</f>
        <v>Skema 1</v>
      </c>
      <c r="X12" s="583" t="str">
        <f>December!DN18</f>
        <v/>
      </c>
      <c r="Y12" s="579" t="str">
        <f>Aar!T12</f>
        <v/>
      </c>
      <c r="Z12" s="576">
        <f>Aar!U12</f>
        <v>10</v>
      </c>
      <c r="AA12" s="128" t="str">
        <f>Aar!V12</f>
        <v>fr</v>
      </c>
      <c r="AB12" s="129" t="str">
        <f>Januar!C18</f>
        <v>Skema 2</v>
      </c>
      <c r="AC12" s="583" t="str">
        <f>Januar!DN18</f>
        <v/>
      </c>
      <c r="AD12" s="579" t="str">
        <f>Aar!X12</f>
        <v/>
      </c>
    </row>
    <row r="13" spans="1:30" ht="35" customHeight="1">
      <c r="A13" s="576">
        <f>Aar!A13</f>
        <v>11</v>
      </c>
      <c r="B13" s="128" t="str">
        <f>Aar!B13</f>
        <v>sø</v>
      </c>
      <c r="C13" s="129" t="str">
        <f>August!C20</f>
        <v>Weekend</v>
      </c>
      <c r="D13" s="583" t="str">
        <f>August!DN20</f>
        <v/>
      </c>
      <c r="E13" s="579" t="str">
        <f>Aar!D13</f>
        <v/>
      </c>
      <c r="F13" s="128">
        <f>Aar!E13</f>
        <v>11</v>
      </c>
      <c r="G13" s="128" t="str">
        <f>Aar!F13</f>
        <v>on</v>
      </c>
      <c r="H13" s="129" t="str">
        <f>September!C19</f>
        <v>Lejrskole</v>
      </c>
      <c r="I13" s="583" t="str">
        <f>September!DN19</f>
        <v xml:space="preserve">Skolebyt  </v>
      </c>
      <c r="J13" s="579" t="str">
        <f>Aar!H13</f>
        <v/>
      </c>
      <c r="K13" s="128">
        <f>Aar!I13</f>
        <v>11</v>
      </c>
      <c r="L13" s="128" t="str">
        <f>Aar!J13</f>
        <v>fr</v>
      </c>
      <c r="M13" s="129" t="str">
        <f>Oktober!C19</f>
        <v>Fagdag</v>
      </c>
      <c r="N13" s="583" t="str">
        <f>Oktober!DN19</f>
        <v>Naturvidenskabsfestival</v>
      </c>
      <c r="O13" s="578" t="str">
        <f>Aar!L13</f>
        <v/>
      </c>
      <c r="P13" s="576">
        <f>Aar!M13</f>
        <v>11</v>
      </c>
      <c r="Q13" s="128" t="str">
        <f>Aar!N13</f>
        <v>ma</v>
      </c>
      <c r="R13" s="129" t="str">
        <f>November!C19</f>
        <v>Skema 1</v>
      </c>
      <c r="S13" s="585" t="str">
        <f>November!DN19</f>
        <v/>
      </c>
      <c r="T13" s="579">
        <f>Aar!P13</f>
        <v>46</v>
      </c>
      <c r="U13" s="576">
        <f>Aar!Q13</f>
        <v>11</v>
      </c>
      <c r="V13" s="128" t="str">
        <f>Aar!R13</f>
        <v>on</v>
      </c>
      <c r="W13" s="129" t="str">
        <f>December!C19</f>
        <v>Skema 1</v>
      </c>
      <c r="X13" s="583" t="str">
        <f>December!DN19</f>
        <v/>
      </c>
      <c r="Y13" s="579" t="str">
        <f>Aar!T13</f>
        <v/>
      </c>
      <c r="Z13" s="576">
        <f>Aar!U13</f>
        <v>11</v>
      </c>
      <c r="AA13" s="128" t="str">
        <f>Aar!V13</f>
        <v>lø</v>
      </c>
      <c r="AB13" s="129" t="str">
        <f>Januar!C19</f>
        <v>Weekend</v>
      </c>
      <c r="AC13" s="583" t="str">
        <f>Januar!DN19</f>
        <v/>
      </c>
      <c r="AD13" s="579" t="str">
        <f>Aar!X13</f>
        <v/>
      </c>
    </row>
    <row r="14" spans="1:30" ht="35" customHeight="1">
      <c r="A14" s="576">
        <f>Aar!A14</f>
        <v>12</v>
      </c>
      <c r="B14" s="128" t="str">
        <f>Aar!B14</f>
        <v>ma</v>
      </c>
      <c r="C14" s="129" t="str">
        <f>August!C21</f>
        <v>Emnedag</v>
      </c>
      <c r="D14" s="583" t="str">
        <f>August!DN21</f>
        <v>1. skoledag 9-13</v>
      </c>
      <c r="E14" s="579">
        <f>Aar!D14</f>
        <v>33</v>
      </c>
      <c r="F14" s="128">
        <f>Aar!E14</f>
        <v>12</v>
      </c>
      <c r="G14" s="128" t="str">
        <f>Aar!F14</f>
        <v>to</v>
      </c>
      <c r="H14" s="129" t="str">
        <f>September!C20</f>
        <v>Lejrskole</v>
      </c>
      <c r="I14" s="583" t="str">
        <f>September!DN20</f>
        <v xml:space="preserve">Skolebyt  </v>
      </c>
      <c r="J14" s="579" t="str">
        <f>Aar!H14</f>
        <v/>
      </c>
      <c r="K14" s="128">
        <f>Aar!I14</f>
        <v>12</v>
      </c>
      <c r="L14" s="128" t="str">
        <f>Aar!J14</f>
        <v>lø</v>
      </c>
      <c r="M14" s="129" t="str">
        <f>Oktober!C20</f>
        <v>Weekend</v>
      </c>
      <c r="N14" s="583" t="str">
        <f>Oktober!DN20</f>
        <v/>
      </c>
      <c r="O14" s="578" t="str">
        <f>Aar!L14</f>
        <v/>
      </c>
      <c r="P14" s="576">
        <f>Aar!M14</f>
        <v>12</v>
      </c>
      <c r="Q14" s="128" t="str">
        <f>Aar!N14</f>
        <v>ti</v>
      </c>
      <c r="R14" s="129" t="str">
        <f>November!C20</f>
        <v>Skema 1</v>
      </c>
      <c r="S14" s="585" t="str">
        <f>November!DN20</f>
        <v/>
      </c>
      <c r="T14" s="579" t="str">
        <f>Aar!P14</f>
        <v/>
      </c>
      <c r="U14" s="576">
        <f>Aar!Q14</f>
        <v>12</v>
      </c>
      <c r="V14" s="128" t="str">
        <f>Aar!R14</f>
        <v>to</v>
      </c>
      <c r="W14" s="129" t="str">
        <f>December!C20</f>
        <v>Skema 1</v>
      </c>
      <c r="X14" s="583" t="str">
        <f>December!DN20</f>
        <v>Luciaaften</v>
      </c>
      <c r="Y14" s="579" t="str">
        <f>Aar!T14</f>
        <v/>
      </c>
      <c r="Z14" s="576">
        <f>Aar!U14</f>
        <v>12</v>
      </c>
      <c r="AA14" s="128" t="str">
        <f>Aar!V14</f>
        <v>sø</v>
      </c>
      <c r="AB14" s="129" t="str">
        <f>Januar!C20</f>
        <v>Weekend</v>
      </c>
      <c r="AC14" s="583" t="str">
        <f>Januar!DN20</f>
        <v/>
      </c>
      <c r="AD14" s="579" t="str">
        <f>Aar!X14</f>
        <v/>
      </c>
    </row>
    <row r="15" spans="1:30" ht="35" customHeight="1">
      <c r="A15" s="576">
        <f>Aar!A15</f>
        <v>13</v>
      </c>
      <c r="B15" s="128" t="str">
        <f>Aar!B15</f>
        <v>ti</v>
      </c>
      <c r="C15" s="129" t="str">
        <f>August!C22</f>
        <v>Skema 1</v>
      </c>
      <c r="D15" s="583" t="str">
        <f>August!DN22</f>
        <v/>
      </c>
      <c r="E15" s="579" t="str">
        <f>Aar!D15</f>
        <v/>
      </c>
      <c r="F15" s="128">
        <f>Aar!E15</f>
        <v>13</v>
      </c>
      <c r="G15" s="128" t="str">
        <f>Aar!F15</f>
        <v>fr</v>
      </c>
      <c r="H15" s="129" t="str">
        <f>September!C21</f>
        <v>Lejrskole</v>
      </c>
      <c r="I15" s="583" t="str">
        <f>September!DN21</f>
        <v>Skolebyt - forventet hjemkomst kl. 14:00</v>
      </c>
      <c r="J15" s="579" t="str">
        <f>Aar!H15</f>
        <v/>
      </c>
      <c r="K15" s="128">
        <f>Aar!I15</f>
        <v>13</v>
      </c>
      <c r="L15" s="128" t="str">
        <f>Aar!J15</f>
        <v>sø</v>
      </c>
      <c r="M15" s="129" t="str">
        <f>Oktober!C21</f>
        <v>Weekend</v>
      </c>
      <c r="N15" s="583" t="str">
        <f>Oktober!DN21</f>
        <v/>
      </c>
      <c r="O15" s="578" t="str">
        <f>Aar!L15</f>
        <v/>
      </c>
      <c r="P15" s="576">
        <f>Aar!M15</f>
        <v>13</v>
      </c>
      <c r="Q15" s="128" t="str">
        <f>Aar!N15</f>
        <v>on</v>
      </c>
      <c r="R15" s="129" t="str">
        <f>November!C21</f>
        <v>Fagdag</v>
      </c>
      <c r="S15" s="585" t="str">
        <f>November!DN21</f>
        <v>Matematik</v>
      </c>
      <c r="T15" s="579" t="str">
        <f>Aar!P15</f>
        <v/>
      </c>
      <c r="U15" s="576">
        <f>Aar!Q15</f>
        <v>13</v>
      </c>
      <c r="V15" s="128" t="str">
        <f>Aar!R15</f>
        <v>fr</v>
      </c>
      <c r="W15" s="129" t="str">
        <f>December!C21</f>
        <v>Skema 1</v>
      </c>
      <c r="X15" s="583" t="str">
        <f>December!DN21</f>
        <v/>
      </c>
      <c r="Y15" s="579" t="str">
        <f>Aar!T15</f>
        <v/>
      </c>
      <c r="Z15" s="576">
        <f>Aar!U15</f>
        <v>13</v>
      </c>
      <c r="AA15" s="128" t="str">
        <f>Aar!V15</f>
        <v>ma</v>
      </c>
      <c r="AB15" s="129" t="str">
        <f>Januar!C21</f>
        <v>Skema 2</v>
      </c>
      <c r="AC15" s="583" t="str">
        <f>Januar!DN21</f>
        <v/>
      </c>
      <c r="AD15" s="579">
        <f>Aar!X15</f>
        <v>2.7142857142857144</v>
      </c>
    </row>
    <row r="16" spans="1:30" ht="35" customHeight="1">
      <c r="A16" s="576">
        <f>Aar!A16</f>
        <v>14</v>
      </c>
      <c r="B16" s="128" t="str">
        <f>Aar!B16</f>
        <v>on</v>
      </c>
      <c r="C16" s="129" t="str">
        <f>August!C23</f>
        <v>Skema 1</v>
      </c>
      <c r="D16" s="583" t="str">
        <f>August!DN23</f>
        <v/>
      </c>
      <c r="E16" s="579" t="str">
        <f>Aar!D16</f>
        <v/>
      </c>
      <c r="F16" s="128">
        <f>Aar!E16</f>
        <v>14</v>
      </c>
      <c r="G16" s="128" t="str">
        <f>Aar!F16</f>
        <v>lø</v>
      </c>
      <c r="H16" s="129" t="str">
        <f>September!C22</f>
        <v>Weekend</v>
      </c>
      <c r="I16" s="583" t="str">
        <f>September!DN22</f>
        <v/>
      </c>
      <c r="J16" s="579" t="str">
        <f>Aar!H16</f>
        <v/>
      </c>
      <c r="K16" s="128">
        <f>Aar!I16</f>
        <v>14</v>
      </c>
      <c r="L16" s="128" t="str">
        <f>Aar!J16</f>
        <v>ma</v>
      </c>
      <c r="M16" s="129" t="str">
        <f>Oktober!C22</f>
        <v>Feriedag</v>
      </c>
      <c r="N16" s="583" t="str">
        <f>Oktober!DN22</f>
        <v>Efterårsferie</v>
      </c>
      <c r="O16" s="578">
        <f>Aar!L16</f>
        <v>42</v>
      </c>
      <c r="P16" s="576">
        <f>Aar!M16</f>
        <v>14</v>
      </c>
      <c r="Q16" s="128" t="str">
        <f>Aar!N16</f>
        <v>to</v>
      </c>
      <c r="R16" s="129" t="str">
        <f>November!C22</f>
        <v>Skema 1</v>
      </c>
      <c r="S16" s="585" t="str">
        <f>November!DN22</f>
        <v/>
      </c>
      <c r="T16" s="579" t="str">
        <f>Aar!P16</f>
        <v/>
      </c>
      <c r="U16" s="576">
        <f>Aar!Q16</f>
        <v>14</v>
      </c>
      <c r="V16" s="128" t="str">
        <f>Aar!R16</f>
        <v>lø</v>
      </c>
      <c r="W16" s="129" t="str">
        <f>December!C22</f>
        <v>Weekend</v>
      </c>
      <c r="X16" s="583" t="str">
        <f>December!DN22</f>
        <v/>
      </c>
      <c r="Y16" s="579" t="str">
        <f>Aar!T16</f>
        <v/>
      </c>
      <c r="Z16" s="576">
        <f>Aar!U16</f>
        <v>14</v>
      </c>
      <c r="AA16" s="128" t="str">
        <f>Aar!V16</f>
        <v>ti</v>
      </c>
      <c r="AB16" s="129" t="str">
        <f>Januar!C22</f>
        <v>Skema 2</v>
      </c>
      <c r="AC16" s="583" t="str">
        <f>Januar!DN22</f>
        <v/>
      </c>
      <c r="AD16" s="579" t="str">
        <f>Aar!X16</f>
        <v/>
      </c>
    </row>
    <row r="17" spans="1:30" ht="35" customHeight="1">
      <c r="A17" s="576">
        <f>Aar!A17</f>
        <v>15</v>
      </c>
      <c r="B17" s="128" t="str">
        <f>Aar!B17</f>
        <v>to</v>
      </c>
      <c r="C17" s="129" t="str">
        <f>August!C24</f>
        <v>Skema 1</v>
      </c>
      <c r="D17" s="583" t="str">
        <f>August!DN24</f>
        <v/>
      </c>
      <c r="E17" s="579" t="str">
        <f>Aar!D17</f>
        <v/>
      </c>
      <c r="F17" s="128">
        <f>Aar!E17</f>
        <v>15</v>
      </c>
      <c r="G17" s="128" t="str">
        <f>Aar!F17</f>
        <v>sø</v>
      </c>
      <c r="H17" s="129" t="str">
        <f>September!C23</f>
        <v>Weekend</v>
      </c>
      <c r="I17" s="583" t="str">
        <f>September!DN23</f>
        <v/>
      </c>
      <c r="J17" s="579" t="str">
        <f>Aar!H17</f>
        <v/>
      </c>
      <c r="K17" s="128">
        <f>Aar!I17</f>
        <v>15</v>
      </c>
      <c r="L17" s="128" t="str">
        <f>Aar!J17</f>
        <v>ti</v>
      </c>
      <c r="M17" s="129" t="str">
        <f>Oktober!C23</f>
        <v>Feriedag</v>
      </c>
      <c r="N17" s="583" t="str">
        <f>Oktober!DN23</f>
        <v>Efterårsferie</v>
      </c>
      <c r="O17" s="578" t="str">
        <f>Aar!L17</f>
        <v/>
      </c>
      <c r="P17" s="576">
        <f>Aar!M17</f>
        <v>15</v>
      </c>
      <c r="Q17" s="128" t="str">
        <f>Aar!N17</f>
        <v>fr</v>
      </c>
      <c r="R17" s="129" t="str">
        <f>November!C23</f>
        <v>Skema 1</v>
      </c>
      <c r="S17" s="585" t="str">
        <f>November!DN23</f>
        <v/>
      </c>
      <c r="T17" s="579" t="str">
        <f>Aar!P17</f>
        <v/>
      </c>
      <c r="U17" s="576">
        <f>Aar!Q17</f>
        <v>15</v>
      </c>
      <c r="V17" s="128" t="str">
        <f>Aar!R17</f>
        <v>sø</v>
      </c>
      <c r="W17" s="129" t="str">
        <f>December!C23</f>
        <v>Weekend</v>
      </c>
      <c r="X17" s="583" t="str">
        <f>December!DN23</f>
        <v/>
      </c>
      <c r="Y17" s="579" t="str">
        <f>Aar!T17</f>
        <v/>
      </c>
      <c r="Z17" s="576">
        <f>Aar!U17</f>
        <v>15</v>
      </c>
      <c r="AA17" s="128" t="str">
        <f>Aar!V17</f>
        <v>on</v>
      </c>
      <c r="AB17" s="129" t="str">
        <f>Januar!C23</f>
        <v>Skema 2</v>
      </c>
      <c r="AC17" s="583" t="str">
        <f>Januar!DN23</f>
        <v/>
      </c>
      <c r="AD17" s="579" t="str">
        <f>Aar!X17</f>
        <v/>
      </c>
    </row>
    <row r="18" spans="1:30" ht="35" customHeight="1">
      <c r="A18" s="576">
        <f>Aar!A18</f>
        <v>16</v>
      </c>
      <c r="B18" s="128" t="str">
        <f>Aar!B18</f>
        <v>fr</v>
      </c>
      <c r="C18" s="129" t="str">
        <f>August!C25</f>
        <v>Skema 1</v>
      </c>
      <c r="D18" s="583" t="str">
        <f>August!DN25</f>
        <v>Sommerfest 17-21</v>
      </c>
      <c r="E18" s="579" t="str">
        <f>Aar!D18</f>
        <v/>
      </c>
      <c r="F18" s="128">
        <f>Aar!E18</f>
        <v>16</v>
      </c>
      <c r="G18" s="128" t="str">
        <f>Aar!F18</f>
        <v>ma</v>
      </c>
      <c r="H18" s="129" t="str">
        <f>September!C24</f>
        <v>Skema 1</v>
      </c>
      <c r="I18" s="583" t="str">
        <f>September!DN24</f>
        <v/>
      </c>
      <c r="J18" s="579">
        <f>Aar!H18</f>
        <v>38</v>
      </c>
      <c r="K18" s="128">
        <f>Aar!I18</f>
        <v>16</v>
      </c>
      <c r="L18" s="128" t="str">
        <f>Aar!J18</f>
        <v>on</v>
      </c>
      <c r="M18" s="129" t="str">
        <f>Oktober!C24</f>
        <v>Feriedag</v>
      </c>
      <c r="N18" s="583" t="str">
        <f>Oktober!DN24</f>
        <v>Efterårsferie</v>
      </c>
      <c r="O18" s="578" t="str">
        <f>Aar!L18</f>
        <v/>
      </c>
      <c r="P18" s="576">
        <f>Aar!M18</f>
        <v>16</v>
      </c>
      <c r="Q18" s="128" t="str">
        <f>Aar!N18</f>
        <v>lø</v>
      </c>
      <c r="R18" s="129" t="str">
        <f>November!C24</f>
        <v>Weekend</v>
      </c>
      <c r="S18" s="585" t="str">
        <f>November!DN24</f>
        <v/>
      </c>
      <c r="T18" s="579" t="str">
        <f>Aar!P18</f>
        <v/>
      </c>
      <c r="U18" s="576">
        <f>Aar!Q18</f>
        <v>16</v>
      </c>
      <c r="V18" s="128" t="str">
        <f>Aar!R18</f>
        <v>ma</v>
      </c>
      <c r="W18" s="129" t="str">
        <f>December!C24</f>
        <v>Skema 1</v>
      </c>
      <c r="X18" s="583" t="str">
        <f>December!DN24</f>
        <v/>
      </c>
      <c r="Y18" s="579">
        <f>Aar!T18</f>
        <v>51</v>
      </c>
      <c r="Z18" s="576">
        <f>Aar!U18</f>
        <v>16</v>
      </c>
      <c r="AA18" s="128" t="str">
        <f>Aar!V18</f>
        <v>to</v>
      </c>
      <c r="AB18" s="129" t="str">
        <f>Januar!C24</f>
        <v>Skema 2</v>
      </c>
      <c r="AC18" s="583" t="str">
        <f>Januar!DN24</f>
        <v/>
      </c>
      <c r="AD18" s="579" t="str">
        <f>Aar!X18</f>
        <v/>
      </c>
    </row>
    <row r="19" spans="1:30" ht="35" customHeight="1">
      <c r="A19" s="576">
        <f>Aar!A19</f>
        <v>17</v>
      </c>
      <c r="B19" s="128" t="str">
        <f>Aar!B19</f>
        <v>lø</v>
      </c>
      <c r="C19" s="129" t="str">
        <f>August!C26</f>
        <v>Weekend</v>
      </c>
      <c r="D19" s="583" t="str">
        <f>August!DN26</f>
        <v/>
      </c>
      <c r="E19" s="579" t="str">
        <f>Aar!D19</f>
        <v/>
      </c>
      <c r="F19" s="128">
        <f>Aar!E19</f>
        <v>17</v>
      </c>
      <c r="G19" s="128" t="str">
        <f>Aar!F19</f>
        <v>ti</v>
      </c>
      <c r="H19" s="129" t="str">
        <f>September!C25</f>
        <v>Skema 1</v>
      </c>
      <c r="I19" s="583" t="str">
        <f>September!DN25</f>
        <v/>
      </c>
      <c r="J19" s="579" t="str">
        <f>Aar!H19</f>
        <v/>
      </c>
      <c r="K19" s="128">
        <f>Aar!I19</f>
        <v>17</v>
      </c>
      <c r="L19" s="128" t="str">
        <f>Aar!J19</f>
        <v>to</v>
      </c>
      <c r="M19" s="129" t="str">
        <f>Oktober!C25</f>
        <v>Feriedag</v>
      </c>
      <c r="N19" s="583" t="str">
        <f>Oktober!DN25</f>
        <v>Efterårsferie</v>
      </c>
      <c r="O19" s="578" t="str">
        <f>Aar!L19</f>
        <v/>
      </c>
      <c r="P19" s="576">
        <f>Aar!M19</f>
        <v>17</v>
      </c>
      <c r="Q19" s="128" t="str">
        <f>Aar!N19</f>
        <v>sø</v>
      </c>
      <c r="R19" s="129" t="str">
        <f>November!C25</f>
        <v>Weekend</v>
      </c>
      <c r="S19" s="585" t="str">
        <f>November!DN25</f>
        <v/>
      </c>
      <c r="T19" s="579" t="str">
        <f>Aar!P19</f>
        <v/>
      </c>
      <c r="U19" s="576">
        <f>Aar!Q19</f>
        <v>17</v>
      </c>
      <c r="V19" s="128" t="str">
        <f>Aar!R19</f>
        <v>ti</v>
      </c>
      <c r="W19" s="129" t="str">
        <f>December!C25</f>
        <v>Skema 1</v>
      </c>
      <c r="X19" s="583" t="str">
        <f>December!DN25</f>
        <v/>
      </c>
      <c r="Y19" s="579" t="str">
        <f>Aar!T19</f>
        <v/>
      </c>
      <c r="Z19" s="576">
        <f>Aar!U19</f>
        <v>17</v>
      </c>
      <c r="AA19" s="128" t="str">
        <f>Aar!V19</f>
        <v>fr</v>
      </c>
      <c r="AB19" s="129" t="str">
        <f>Januar!C25</f>
        <v>Skema 2</v>
      </c>
      <c r="AC19" s="583" t="str">
        <f>Januar!DN25</f>
        <v/>
      </c>
      <c r="AD19" s="579" t="str">
        <f>Aar!X19</f>
        <v/>
      </c>
    </row>
    <row r="20" spans="1:30" ht="35" customHeight="1">
      <c r="A20" s="576">
        <f>Aar!A20</f>
        <v>18</v>
      </c>
      <c r="B20" s="128" t="str">
        <f>Aar!B20</f>
        <v>sø</v>
      </c>
      <c r="C20" s="129" t="str">
        <f>August!C27</f>
        <v>Weekend</v>
      </c>
      <c r="D20" s="583" t="str">
        <f>August!DN27</f>
        <v/>
      </c>
      <c r="E20" s="579" t="str">
        <f>Aar!D20</f>
        <v/>
      </c>
      <c r="F20" s="128">
        <f>Aar!E20</f>
        <v>18</v>
      </c>
      <c r="G20" s="128" t="str">
        <f>Aar!F20</f>
        <v>on</v>
      </c>
      <c r="H20" s="129" t="str">
        <f>September!C26</f>
        <v>Skema 1</v>
      </c>
      <c r="I20" s="583" t="str">
        <f>September!DN26</f>
        <v/>
      </c>
      <c r="J20" s="579" t="str">
        <f>Aar!H20</f>
        <v/>
      </c>
      <c r="K20" s="128">
        <f>Aar!I20</f>
        <v>18</v>
      </c>
      <c r="L20" s="128" t="str">
        <f>Aar!J20</f>
        <v>fr</v>
      </c>
      <c r="M20" s="129" t="str">
        <f>Oktober!C26</f>
        <v>Feriedag</v>
      </c>
      <c r="N20" s="583" t="str">
        <f>Oktober!DN26</f>
        <v>Efterårsferie</v>
      </c>
      <c r="O20" s="578" t="str">
        <f>Aar!L20</f>
        <v/>
      </c>
      <c r="P20" s="576">
        <f>Aar!M20</f>
        <v>18</v>
      </c>
      <c r="Q20" s="128" t="str">
        <f>Aar!N20</f>
        <v>ma</v>
      </c>
      <c r="R20" s="129" t="str">
        <f>November!C26</f>
        <v>Skema 1</v>
      </c>
      <c r="S20" s="585" t="str">
        <f>November!DN26</f>
        <v/>
      </c>
      <c r="T20" s="579">
        <f>Aar!P20</f>
        <v>47</v>
      </c>
      <c r="U20" s="576">
        <f>Aar!Q20</f>
        <v>18</v>
      </c>
      <c r="V20" s="128" t="str">
        <f>Aar!R20</f>
        <v>on</v>
      </c>
      <c r="W20" s="129" t="str">
        <f>December!C26</f>
        <v>Skema 1</v>
      </c>
      <c r="X20" s="583" t="str">
        <f>December!DN26</f>
        <v/>
      </c>
      <c r="Y20" s="579" t="str">
        <f>Aar!T20</f>
        <v/>
      </c>
      <c r="Z20" s="576">
        <f>Aar!U20</f>
        <v>18</v>
      </c>
      <c r="AA20" s="128" t="str">
        <f>Aar!V20</f>
        <v>lø</v>
      </c>
      <c r="AB20" s="129" t="str">
        <f>Januar!C26</f>
        <v>Weekend</v>
      </c>
      <c r="AC20" s="583" t="str">
        <f>Januar!DN26</f>
        <v/>
      </c>
      <c r="AD20" s="579" t="str">
        <f>Aar!X20</f>
        <v/>
      </c>
    </row>
    <row r="21" spans="1:30" ht="35" customHeight="1">
      <c r="A21" s="576">
        <f>Aar!A21</f>
        <v>19</v>
      </c>
      <c r="B21" s="128" t="str">
        <f>Aar!B21</f>
        <v>ma</v>
      </c>
      <c r="C21" s="129" t="str">
        <f>August!C28</f>
        <v>Skema 1</v>
      </c>
      <c r="D21" s="583" t="str">
        <f>August!DN28</f>
        <v/>
      </c>
      <c r="E21" s="579">
        <f>Aar!D21</f>
        <v>34</v>
      </c>
      <c r="F21" s="128">
        <f>Aar!E21</f>
        <v>19</v>
      </c>
      <c r="G21" s="128" t="str">
        <f>Aar!F21</f>
        <v>to</v>
      </c>
      <c r="H21" s="129" t="str">
        <f>September!C27</f>
        <v>Skema 1</v>
      </c>
      <c r="I21" s="583" t="str">
        <f>September!DN27</f>
        <v/>
      </c>
      <c r="J21" s="579" t="str">
        <f>Aar!H21</f>
        <v/>
      </c>
      <c r="K21" s="128">
        <f>Aar!I21</f>
        <v>19</v>
      </c>
      <c r="L21" s="128" t="str">
        <f>Aar!J21</f>
        <v>lø</v>
      </c>
      <c r="M21" s="129" t="str">
        <f>Oktober!C27</f>
        <v>Weekend</v>
      </c>
      <c r="N21" s="583" t="str">
        <f>Oktober!DN27</f>
        <v/>
      </c>
      <c r="O21" s="578" t="str">
        <f>Aar!L21</f>
        <v/>
      </c>
      <c r="P21" s="576">
        <f>Aar!M21</f>
        <v>19</v>
      </c>
      <c r="Q21" s="128" t="str">
        <f>Aar!N21</f>
        <v>ti</v>
      </c>
      <c r="R21" s="129" t="str">
        <f>November!C27</f>
        <v>Skema 1</v>
      </c>
      <c r="S21" s="585" t="str">
        <f>November!DN27</f>
        <v/>
      </c>
      <c r="T21" s="579" t="str">
        <f>Aar!P21</f>
        <v/>
      </c>
      <c r="U21" s="576">
        <f>Aar!Q21</f>
        <v>19</v>
      </c>
      <c r="V21" s="128" t="str">
        <f>Aar!R21</f>
        <v>to</v>
      </c>
      <c r="W21" s="129" t="str">
        <f>December!C27</f>
        <v>Skema 1</v>
      </c>
      <c r="X21" s="583" t="str">
        <f>December!DN27</f>
        <v/>
      </c>
      <c r="Y21" s="579" t="str">
        <f>Aar!T21</f>
        <v/>
      </c>
      <c r="Z21" s="576">
        <f>Aar!U21</f>
        <v>19</v>
      </c>
      <c r="AA21" s="128" t="str">
        <f>Aar!V21</f>
        <v>sø</v>
      </c>
      <c r="AB21" s="129" t="str">
        <f>Januar!C27</f>
        <v>Weekend</v>
      </c>
      <c r="AC21" s="583" t="str">
        <f>Januar!DN27</f>
        <v/>
      </c>
      <c r="AD21" s="579" t="str">
        <f>Aar!X21</f>
        <v/>
      </c>
    </row>
    <row r="22" spans="1:30" ht="35" customHeight="1">
      <c r="A22" s="576">
        <f>Aar!A22</f>
        <v>20</v>
      </c>
      <c r="B22" s="128" t="str">
        <f>Aar!B22</f>
        <v>ti</v>
      </c>
      <c r="C22" s="129" t="str">
        <f>August!C29</f>
        <v>Skema 1</v>
      </c>
      <c r="D22" s="583" t="str">
        <f>August!DN29</f>
        <v/>
      </c>
      <c r="E22" s="579" t="str">
        <f>Aar!D22</f>
        <v/>
      </c>
      <c r="F22" s="128">
        <f>Aar!E22</f>
        <v>20</v>
      </c>
      <c r="G22" s="128" t="str">
        <f>Aar!F22</f>
        <v>fr</v>
      </c>
      <c r="H22" s="129" t="str">
        <f>September!C28</f>
        <v>Skema 1</v>
      </c>
      <c r="I22" s="583" t="str">
        <f>September!DN28</f>
        <v/>
      </c>
      <c r="J22" s="579" t="str">
        <f>Aar!H22</f>
        <v/>
      </c>
      <c r="K22" s="128">
        <f>Aar!I22</f>
        <v>20</v>
      </c>
      <c r="L22" s="128" t="str">
        <f>Aar!J22</f>
        <v>sø</v>
      </c>
      <c r="M22" s="129" t="str">
        <f>Oktober!C28</f>
        <v>Weekend</v>
      </c>
      <c r="N22" s="583" t="str">
        <f>Oktober!DN28</f>
        <v/>
      </c>
      <c r="O22" s="578" t="str">
        <f>Aar!L22</f>
        <v/>
      </c>
      <c r="P22" s="576">
        <f>Aar!M22</f>
        <v>20</v>
      </c>
      <c r="Q22" s="128" t="str">
        <f>Aar!N22</f>
        <v>on</v>
      </c>
      <c r="R22" s="129" t="str">
        <f>November!C28</f>
        <v>Skema 1</v>
      </c>
      <c r="S22" s="585" t="str">
        <f>November!DN28</f>
        <v/>
      </c>
      <c r="T22" s="579" t="str">
        <f>Aar!P22</f>
        <v/>
      </c>
      <c r="U22" s="576">
        <f>Aar!Q22</f>
        <v>20</v>
      </c>
      <c r="V22" s="128" t="str">
        <f>Aar!R22</f>
        <v>fr</v>
      </c>
      <c r="W22" s="129" t="str">
        <f>December!C28</f>
        <v>Emnedag</v>
      </c>
      <c r="X22" s="583" t="str">
        <f>December!DN28</f>
        <v>Juleafslutning 8-12:30</v>
      </c>
      <c r="Y22" s="579" t="str">
        <f>Aar!T22</f>
        <v/>
      </c>
      <c r="Z22" s="576">
        <f>Aar!U22</f>
        <v>20</v>
      </c>
      <c r="AA22" s="128" t="str">
        <f>Aar!V22</f>
        <v>ma</v>
      </c>
      <c r="AB22" s="129" t="str">
        <f>Januar!C28</f>
        <v>Skema 2</v>
      </c>
      <c r="AC22" s="583" t="str">
        <f>Januar!DN28</f>
        <v>Teateremneuge</v>
      </c>
      <c r="AD22" s="579">
        <f>Aar!X22</f>
        <v>3.7142857142857144</v>
      </c>
    </row>
    <row r="23" spans="1:30" ht="35" customHeight="1">
      <c r="A23" s="576">
        <f>Aar!A23</f>
        <v>21</v>
      </c>
      <c r="B23" s="128" t="str">
        <f>Aar!B23</f>
        <v>on</v>
      </c>
      <c r="C23" s="129" t="str">
        <f>August!C30</f>
        <v>Skema 1</v>
      </c>
      <c r="D23" s="583" t="str">
        <f>August!DN30</f>
        <v/>
      </c>
      <c r="E23" s="579" t="str">
        <f>Aar!D23</f>
        <v/>
      </c>
      <c r="F23" s="128">
        <f>Aar!E23</f>
        <v>21</v>
      </c>
      <c r="G23" s="128" t="str">
        <f>Aar!F23</f>
        <v>lø</v>
      </c>
      <c r="H23" s="129" t="str">
        <f>September!C29</f>
        <v>Weekend</v>
      </c>
      <c r="I23" s="583" t="str">
        <f>September!DN29</f>
        <v/>
      </c>
      <c r="J23" s="579" t="str">
        <f>Aar!H23</f>
        <v/>
      </c>
      <c r="K23" s="128">
        <f>Aar!I23</f>
        <v>21</v>
      </c>
      <c r="L23" s="128" t="str">
        <f>Aar!J23</f>
        <v>ma</v>
      </c>
      <c r="M23" s="129" t="str">
        <f>Oktober!C29</f>
        <v>Skema 1</v>
      </c>
      <c r="N23" s="583" t="str">
        <f>Oktober!DN29</f>
        <v/>
      </c>
      <c r="O23" s="578">
        <f>Aar!L23</f>
        <v>43</v>
      </c>
      <c r="P23" s="576">
        <f>Aar!M23</f>
        <v>21</v>
      </c>
      <c r="Q23" s="128" t="str">
        <f>Aar!N23</f>
        <v>to</v>
      </c>
      <c r="R23" s="129" t="str">
        <f>November!C29</f>
        <v>Skema 1</v>
      </c>
      <c r="S23" s="585" t="str">
        <f>November!DN29</f>
        <v/>
      </c>
      <c r="T23" s="579" t="str">
        <f>Aar!P23</f>
        <v/>
      </c>
      <c r="U23" s="576">
        <f>Aar!Q23</f>
        <v>21</v>
      </c>
      <c r="V23" s="128" t="str">
        <f>Aar!R23</f>
        <v>lø</v>
      </c>
      <c r="W23" s="129" t="str">
        <f>December!C29</f>
        <v>Weekend</v>
      </c>
      <c r="X23" s="583" t="str">
        <f>December!DN29</f>
        <v/>
      </c>
      <c r="Y23" s="579" t="str">
        <f>Aar!T23</f>
        <v/>
      </c>
      <c r="Z23" s="576">
        <f>Aar!U23</f>
        <v>21</v>
      </c>
      <c r="AA23" s="128" t="str">
        <f>Aar!V23</f>
        <v>ti</v>
      </c>
      <c r="AB23" s="129" t="str">
        <f>Januar!C29</f>
        <v>Skema 2</v>
      </c>
      <c r="AC23" s="583" t="str">
        <f>Januar!DN29</f>
        <v>Teateremneuge</v>
      </c>
      <c r="AD23" s="579" t="str">
        <f>Aar!X23</f>
        <v/>
      </c>
    </row>
    <row r="24" spans="1:30" ht="35" customHeight="1">
      <c r="A24" s="576">
        <f>Aar!A24</f>
        <v>22</v>
      </c>
      <c r="B24" s="128" t="str">
        <f>Aar!B24</f>
        <v>to</v>
      </c>
      <c r="C24" s="129" t="str">
        <f>August!C31</f>
        <v>Skema 1</v>
      </c>
      <c r="D24" s="583" t="str">
        <f>August!DN31</f>
        <v/>
      </c>
      <c r="E24" s="579" t="str">
        <f>Aar!D24</f>
        <v/>
      </c>
      <c r="F24" s="128">
        <f>Aar!E24</f>
        <v>22</v>
      </c>
      <c r="G24" s="128" t="str">
        <f>Aar!F24</f>
        <v>sø</v>
      </c>
      <c r="H24" s="129" t="str">
        <f>September!C30</f>
        <v>Weekend</v>
      </c>
      <c r="I24" s="583" t="str">
        <f>September!DN30</f>
        <v/>
      </c>
      <c r="J24" s="579" t="str">
        <f>Aar!H24</f>
        <v/>
      </c>
      <c r="K24" s="128">
        <f>Aar!I24</f>
        <v>22</v>
      </c>
      <c r="L24" s="128" t="str">
        <f>Aar!J24</f>
        <v>ti</v>
      </c>
      <c r="M24" s="129" t="str">
        <f>Oktober!C30</f>
        <v>Skema 1</v>
      </c>
      <c r="N24" s="583" t="str">
        <f>Oktober!DN30</f>
        <v/>
      </c>
      <c r="O24" s="578" t="str">
        <f>Aar!L24</f>
        <v/>
      </c>
      <c r="P24" s="576">
        <f>Aar!M24</f>
        <v>22</v>
      </c>
      <c r="Q24" s="128" t="str">
        <f>Aar!N24</f>
        <v>fr</v>
      </c>
      <c r="R24" s="129" t="str">
        <f>November!C30</f>
        <v>Skema 1</v>
      </c>
      <c r="S24" s="585" t="str">
        <f>November!DN30</f>
        <v/>
      </c>
      <c r="T24" s="579" t="str">
        <f>Aar!P24</f>
        <v/>
      </c>
      <c r="U24" s="576">
        <f>Aar!Q24</f>
        <v>22</v>
      </c>
      <c r="V24" s="128" t="str">
        <f>Aar!R24</f>
        <v>sø</v>
      </c>
      <c r="W24" s="129" t="str">
        <f>December!C30</f>
        <v>Weekend</v>
      </c>
      <c r="X24" s="583" t="str">
        <f>December!DN30</f>
        <v/>
      </c>
      <c r="Y24" s="579" t="str">
        <f>Aar!T24</f>
        <v/>
      </c>
      <c r="Z24" s="576">
        <f>Aar!U24</f>
        <v>22</v>
      </c>
      <c r="AA24" s="128" t="str">
        <f>Aar!V24</f>
        <v>on</v>
      </c>
      <c r="AB24" s="129" t="str">
        <f>Januar!C30</f>
        <v>Skema 2</v>
      </c>
      <c r="AC24" s="583" t="str">
        <f>Januar!DN30</f>
        <v>Teateremneuge</v>
      </c>
      <c r="AD24" s="579" t="str">
        <f>Aar!X24</f>
        <v/>
      </c>
    </row>
    <row r="25" spans="1:30" ht="35" customHeight="1">
      <c r="A25" s="576">
        <f>Aar!A25</f>
        <v>23</v>
      </c>
      <c r="B25" s="128" t="str">
        <f>Aar!B25</f>
        <v>fr</v>
      </c>
      <c r="C25" s="129" t="str">
        <f>August!C32</f>
        <v>Skema 1</v>
      </c>
      <c r="D25" s="583" t="str">
        <f>August!DN32</f>
        <v/>
      </c>
      <c r="E25" s="579" t="str">
        <f>Aar!D25</f>
        <v/>
      </c>
      <c r="F25" s="128">
        <f>Aar!E25</f>
        <v>23</v>
      </c>
      <c r="G25" s="128" t="str">
        <f>Aar!F25</f>
        <v>ma</v>
      </c>
      <c r="H25" s="129" t="str">
        <f>September!C31</f>
        <v>Fagdag</v>
      </c>
      <c r="I25" s="583" t="str">
        <f>September!DN31</f>
        <v>Dansk</v>
      </c>
      <c r="J25" s="579">
        <f>Aar!H25</f>
        <v>39</v>
      </c>
      <c r="K25" s="128">
        <f>Aar!I25</f>
        <v>23</v>
      </c>
      <c r="L25" s="128" t="str">
        <f>Aar!J25</f>
        <v>on</v>
      </c>
      <c r="M25" s="129" t="str">
        <f>Oktober!C31</f>
        <v>Skema 1</v>
      </c>
      <c r="N25" s="583" t="str">
        <f>Oktober!DN31</f>
        <v/>
      </c>
      <c r="O25" s="578" t="str">
        <f>Aar!L25</f>
        <v/>
      </c>
      <c r="P25" s="576">
        <f>Aar!M25</f>
        <v>23</v>
      </c>
      <c r="Q25" s="128" t="str">
        <f>Aar!N25</f>
        <v>lø</v>
      </c>
      <c r="R25" s="129" t="str">
        <f>November!C31</f>
        <v>Weekend</v>
      </c>
      <c r="S25" s="585" t="str">
        <f>November!DN31</f>
        <v/>
      </c>
      <c r="T25" s="579" t="str">
        <f>Aar!P25</f>
        <v/>
      </c>
      <c r="U25" s="576">
        <f>Aar!Q25</f>
        <v>23</v>
      </c>
      <c r="V25" s="128" t="str">
        <f>Aar!R25</f>
        <v>ma</v>
      </c>
      <c r="W25" s="129" t="str">
        <f>December!C31</f>
        <v>Nul-dag</v>
      </c>
      <c r="X25" s="583" t="str">
        <f>December!DN31</f>
        <v/>
      </c>
      <c r="Y25" s="579">
        <f>Aar!T25</f>
        <v>52</v>
      </c>
      <c r="Z25" s="576">
        <f>Aar!U25</f>
        <v>23</v>
      </c>
      <c r="AA25" s="128" t="str">
        <f>Aar!V25</f>
        <v>to</v>
      </c>
      <c r="AB25" s="129" t="str">
        <f>Januar!C31</f>
        <v>Skema 2</v>
      </c>
      <c r="AC25" s="583" t="str">
        <f>Januar!DN31</f>
        <v>Teateremneuge</v>
      </c>
      <c r="AD25" s="579" t="str">
        <f>Aar!X25</f>
        <v/>
      </c>
    </row>
    <row r="26" spans="1:30" ht="35" customHeight="1">
      <c r="A26" s="576">
        <f>Aar!A26</f>
        <v>24</v>
      </c>
      <c r="B26" s="128" t="str">
        <f>Aar!B26</f>
        <v>lø</v>
      </c>
      <c r="C26" s="129" t="str">
        <f>August!C33</f>
        <v>Weekend</v>
      </c>
      <c r="D26" s="583" t="str">
        <f>August!DN33</f>
        <v/>
      </c>
      <c r="E26" s="579" t="str">
        <f>Aar!D26</f>
        <v/>
      </c>
      <c r="F26" s="128">
        <f>Aar!E26</f>
        <v>24</v>
      </c>
      <c r="G26" s="128" t="str">
        <f>Aar!F26</f>
        <v>ti</v>
      </c>
      <c r="H26" s="129" t="str">
        <f>September!C32</f>
        <v>Skema 1</v>
      </c>
      <c r="I26" s="583" t="str">
        <f>September!DN32</f>
        <v/>
      </c>
      <c r="J26" s="579" t="str">
        <f>Aar!H26</f>
        <v/>
      </c>
      <c r="K26" s="128">
        <f>Aar!I26</f>
        <v>24</v>
      </c>
      <c r="L26" s="128" t="str">
        <f>Aar!J26</f>
        <v>to</v>
      </c>
      <c r="M26" s="129" t="str">
        <f>Oktober!C32</f>
        <v>Skema 1</v>
      </c>
      <c r="N26" s="583" t="str">
        <f>Oktober!DN32</f>
        <v/>
      </c>
      <c r="O26" s="578" t="str">
        <f>Aar!L26</f>
        <v/>
      </c>
      <c r="P26" s="576">
        <f>Aar!M26</f>
        <v>24</v>
      </c>
      <c r="Q26" s="128" t="str">
        <f>Aar!N26</f>
        <v>sø</v>
      </c>
      <c r="R26" s="129" t="str">
        <f>November!C32</f>
        <v>Weekend</v>
      </c>
      <c r="S26" s="585" t="str">
        <f>November!DN32</f>
        <v/>
      </c>
      <c r="T26" s="579" t="str">
        <f>Aar!P26</f>
        <v/>
      </c>
      <c r="U26" s="576">
        <f>Aar!Q26</f>
        <v>24</v>
      </c>
      <c r="V26" s="128" t="str">
        <f>Aar!R26</f>
        <v>ti</v>
      </c>
      <c r="W26" s="129" t="str">
        <f>December!C32</f>
        <v>Nul-dag</v>
      </c>
      <c r="X26" s="583" t="str">
        <f>December!DN32</f>
        <v>Juleaftensdag</v>
      </c>
      <c r="Y26" s="579" t="str">
        <f>Aar!T26</f>
        <v/>
      </c>
      <c r="Z26" s="576">
        <f>Aar!U26</f>
        <v>24</v>
      </c>
      <c r="AA26" s="128" t="str">
        <f>Aar!V26</f>
        <v>fr</v>
      </c>
      <c r="AB26" s="129" t="str">
        <f>Januar!C32</f>
        <v>Skema 2</v>
      </c>
      <c r="AC26" s="583" t="str">
        <f>Januar!DN32</f>
        <v>Teateremneuge og Forestilling 17-22</v>
      </c>
      <c r="AD26" s="579" t="str">
        <f>Aar!X26</f>
        <v/>
      </c>
    </row>
    <row r="27" spans="1:30" ht="35" customHeight="1">
      <c r="A27" s="576">
        <f>Aar!A27</f>
        <v>25</v>
      </c>
      <c r="B27" s="128" t="str">
        <f>Aar!B27</f>
        <v>sø</v>
      </c>
      <c r="C27" s="129" t="str">
        <f>August!C34</f>
        <v>Weekend</v>
      </c>
      <c r="D27" s="583" t="str">
        <f>August!DN34</f>
        <v/>
      </c>
      <c r="E27" s="579" t="str">
        <f>Aar!D27</f>
        <v/>
      </c>
      <c r="F27" s="128">
        <f>Aar!E27</f>
        <v>25</v>
      </c>
      <c r="G27" s="128" t="str">
        <f>Aar!F27</f>
        <v>on</v>
      </c>
      <c r="H27" s="129" t="str">
        <f>September!C33</f>
        <v>Skema 1</v>
      </c>
      <c r="I27" s="583" t="str">
        <f>September!DN33</f>
        <v/>
      </c>
      <c r="J27" s="579" t="str">
        <f>Aar!H27</f>
        <v/>
      </c>
      <c r="K27" s="128">
        <f>Aar!I27</f>
        <v>25</v>
      </c>
      <c r="L27" s="128" t="str">
        <f>Aar!J27</f>
        <v>fr</v>
      </c>
      <c r="M27" s="129" t="str">
        <f>Oktober!C33</f>
        <v>Skema 1</v>
      </c>
      <c r="N27" s="583" t="str">
        <f>Oktober!DN33</f>
        <v/>
      </c>
      <c r="O27" s="578" t="str">
        <f>Aar!L27</f>
        <v/>
      </c>
      <c r="P27" s="576">
        <f>Aar!M27</f>
        <v>25</v>
      </c>
      <c r="Q27" s="128" t="str">
        <f>Aar!N27</f>
        <v>ma</v>
      </c>
      <c r="R27" s="129" t="str">
        <f>November!C33</f>
        <v>Skema 1</v>
      </c>
      <c r="S27" s="585" t="str">
        <f>November!DN33</f>
        <v/>
      </c>
      <c r="T27" s="579">
        <f>Aar!P27</f>
        <v>48</v>
      </c>
      <c r="U27" s="576">
        <f>Aar!Q27</f>
        <v>25</v>
      </c>
      <c r="V27" s="128" t="str">
        <f>Aar!R27</f>
        <v>on</v>
      </c>
      <c r="W27" s="129" t="str">
        <f>December!C33</f>
        <v>SH-dag</v>
      </c>
      <c r="X27" s="583" t="str">
        <f>December!DN33</f>
        <v>Juledag</v>
      </c>
      <c r="Y27" s="579" t="str">
        <f>Aar!T27</f>
        <v/>
      </c>
      <c r="Z27" s="576">
        <f>Aar!U27</f>
        <v>25</v>
      </c>
      <c r="AA27" s="128" t="str">
        <f>Aar!V27</f>
        <v>lø</v>
      </c>
      <c r="AB27" s="129" t="str">
        <f>Januar!C33</f>
        <v>Weekend</v>
      </c>
      <c r="AC27" s="583" t="str">
        <f>Januar!DN33</f>
        <v/>
      </c>
      <c r="AD27" s="579" t="str">
        <f>Aar!X27</f>
        <v/>
      </c>
    </row>
    <row r="28" spans="1:30" ht="35" customHeight="1">
      <c r="A28" s="576">
        <f>Aar!A28</f>
        <v>26</v>
      </c>
      <c r="B28" s="128" t="str">
        <f>Aar!B28</f>
        <v>ma</v>
      </c>
      <c r="C28" s="129" t="str">
        <f>August!C35</f>
        <v>Skema 1</v>
      </c>
      <c r="D28" s="583" t="str">
        <f>August!DN35</f>
        <v/>
      </c>
      <c r="E28" s="579">
        <f>Aar!D28</f>
        <v>35</v>
      </c>
      <c r="F28" s="128">
        <f>Aar!E28</f>
        <v>26</v>
      </c>
      <c r="G28" s="128" t="str">
        <f>Aar!F28</f>
        <v>to</v>
      </c>
      <c r="H28" s="129" t="str">
        <f>September!C34</f>
        <v>Skema 1</v>
      </c>
      <c r="I28" s="583" t="str">
        <f>September!DN34</f>
        <v>Skolehjemsamtaler</v>
      </c>
      <c r="J28" s="579" t="str">
        <f>Aar!H28</f>
        <v/>
      </c>
      <c r="K28" s="128">
        <f>Aar!I28</f>
        <v>26</v>
      </c>
      <c r="L28" s="128" t="str">
        <f>Aar!J28</f>
        <v>lø</v>
      </c>
      <c r="M28" s="129" t="str">
        <f>Oktober!C34</f>
        <v>Weekend</v>
      </c>
      <c r="N28" s="583" t="str">
        <f>Oktober!DN34</f>
        <v/>
      </c>
      <c r="O28" s="578" t="str">
        <f>Aar!L28</f>
        <v/>
      </c>
      <c r="P28" s="576">
        <f>Aar!M28</f>
        <v>26</v>
      </c>
      <c r="Q28" s="128" t="str">
        <f>Aar!N28</f>
        <v>ti</v>
      </c>
      <c r="R28" s="129" t="str">
        <f>November!C34</f>
        <v>Skema 1</v>
      </c>
      <c r="S28" s="585" t="str">
        <f>November!DN34</f>
        <v/>
      </c>
      <c r="T28" s="579" t="str">
        <f>Aar!P28</f>
        <v/>
      </c>
      <c r="U28" s="576">
        <f>Aar!Q28</f>
        <v>26</v>
      </c>
      <c r="V28" s="128" t="str">
        <f>Aar!R28</f>
        <v>to</v>
      </c>
      <c r="W28" s="129" t="str">
        <f>December!C34</f>
        <v>SH-dag</v>
      </c>
      <c r="X28" s="583" t="str">
        <f>December!DN34</f>
        <v>2. juledag</v>
      </c>
      <c r="Y28" s="579" t="str">
        <f>Aar!T28</f>
        <v/>
      </c>
      <c r="Z28" s="576">
        <f>Aar!U28</f>
        <v>26</v>
      </c>
      <c r="AA28" s="128" t="str">
        <f>Aar!V28</f>
        <v>sø</v>
      </c>
      <c r="AB28" s="129" t="str">
        <f>Januar!C34</f>
        <v>Weekend</v>
      </c>
      <c r="AC28" s="583" t="str">
        <f>Januar!DN34</f>
        <v/>
      </c>
      <c r="AD28" s="579" t="str">
        <f>Aar!X28</f>
        <v/>
      </c>
    </row>
    <row r="29" spans="1:30" ht="35" customHeight="1">
      <c r="A29" s="576">
        <f>Aar!A29</f>
        <v>27</v>
      </c>
      <c r="B29" s="128" t="str">
        <f>Aar!B29</f>
        <v>ti</v>
      </c>
      <c r="C29" s="129" t="str">
        <f>August!C36</f>
        <v>Skema 1</v>
      </c>
      <c r="D29" s="583" t="str">
        <f>August!DN36</f>
        <v/>
      </c>
      <c r="E29" s="579" t="str">
        <f>Aar!D29</f>
        <v/>
      </c>
      <c r="F29" s="128">
        <f>Aar!E29</f>
        <v>27</v>
      </c>
      <c r="G29" s="128" t="str">
        <f>Aar!F29</f>
        <v>fr</v>
      </c>
      <c r="H29" s="129" t="str">
        <f>September!C35</f>
        <v>Skema 1</v>
      </c>
      <c r="I29" s="583" t="str">
        <f>September!DN35</f>
        <v>Skolehjemsamtaler</v>
      </c>
      <c r="J29" s="579" t="str">
        <f>Aar!H29</f>
        <v/>
      </c>
      <c r="K29" s="128">
        <f>Aar!I29</f>
        <v>27</v>
      </c>
      <c r="L29" s="128" t="str">
        <f>Aar!J29</f>
        <v>sø</v>
      </c>
      <c r="M29" s="129" t="str">
        <f>Oktober!C35</f>
        <v>Weekend</v>
      </c>
      <c r="N29" s="583" t="str">
        <f>Oktober!DN35</f>
        <v/>
      </c>
      <c r="O29" s="578" t="str">
        <f>Aar!L29</f>
        <v/>
      </c>
      <c r="P29" s="576">
        <f>Aar!M29</f>
        <v>27</v>
      </c>
      <c r="Q29" s="128" t="str">
        <f>Aar!N29</f>
        <v>on</v>
      </c>
      <c r="R29" s="129" t="str">
        <f>November!C35</f>
        <v>Skema 1</v>
      </c>
      <c r="S29" s="585" t="str">
        <f>November!DN35</f>
        <v/>
      </c>
      <c r="T29" s="579" t="str">
        <f>Aar!P29</f>
        <v/>
      </c>
      <c r="U29" s="576">
        <f>Aar!Q29</f>
        <v>27</v>
      </c>
      <c r="V29" s="128" t="str">
        <f>Aar!R29</f>
        <v>fr</v>
      </c>
      <c r="W29" s="129" t="str">
        <f>December!C35</f>
        <v>Nul-dag</v>
      </c>
      <c r="X29" s="583" t="str">
        <f>December!DN35</f>
        <v/>
      </c>
      <c r="Y29" s="579" t="str">
        <f>Aar!T29</f>
        <v/>
      </c>
      <c r="Z29" s="576">
        <f>Aar!U29</f>
        <v>27</v>
      </c>
      <c r="AA29" s="128" t="str">
        <f>Aar!V29</f>
        <v>ma</v>
      </c>
      <c r="AB29" s="129" t="str">
        <f>Januar!C35</f>
        <v>Skema 2</v>
      </c>
      <c r="AC29" s="583" t="str">
        <f>Januar!DN35</f>
        <v/>
      </c>
      <c r="AD29" s="579">
        <f>Aar!X29</f>
        <v>4.7142857142857144</v>
      </c>
    </row>
    <row r="30" spans="1:30" ht="35" customHeight="1">
      <c r="A30" s="576">
        <f>Aar!A30</f>
        <v>28</v>
      </c>
      <c r="B30" s="128" t="str">
        <f>Aar!B30</f>
        <v>on</v>
      </c>
      <c r="C30" s="129" t="str">
        <f>August!C37</f>
        <v>Skema 1</v>
      </c>
      <c r="D30" s="583" t="str">
        <f>August!DN37</f>
        <v/>
      </c>
      <c r="E30" s="579" t="str">
        <f>Aar!D30</f>
        <v/>
      </c>
      <c r="F30" s="128">
        <f>Aar!E30</f>
        <v>28</v>
      </c>
      <c r="G30" s="128" t="str">
        <f>Aar!F30</f>
        <v>lø</v>
      </c>
      <c r="H30" s="129" t="str">
        <f>September!C36</f>
        <v>Weekend</v>
      </c>
      <c r="I30" s="583" t="str">
        <f>September!DN36</f>
        <v/>
      </c>
      <c r="J30" s="579" t="str">
        <f>Aar!H30</f>
        <v/>
      </c>
      <c r="K30" s="128">
        <f>Aar!I30</f>
        <v>28</v>
      </c>
      <c r="L30" s="128" t="str">
        <f>Aar!J30</f>
        <v>ma</v>
      </c>
      <c r="M30" s="129" t="str">
        <f>Oktober!C36</f>
        <v>Skema 1</v>
      </c>
      <c r="N30" s="583" t="str">
        <f>Oktober!DN36</f>
        <v/>
      </c>
      <c r="O30" s="578">
        <f>Aar!L30</f>
        <v>44</v>
      </c>
      <c r="P30" s="576">
        <f>Aar!M30</f>
        <v>28</v>
      </c>
      <c r="Q30" s="128" t="str">
        <f>Aar!N30</f>
        <v>to</v>
      </c>
      <c r="R30" s="129" t="str">
        <f>November!C36</f>
        <v>Skema 1</v>
      </c>
      <c r="S30" s="585" t="str">
        <f>November!DN36</f>
        <v/>
      </c>
      <c r="T30" s="579" t="str">
        <f>Aar!P30</f>
        <v/>
      </c>
      <c r="U30" s="576">
        <f>Aar!Q30</f>
        <v>28</v>
      </c>
      <c r="V30" s="128" t="str">
        <f>Aar!R30</f>
        <v>lø</v>
      </c>
      <c r="W30" s="129" t="str">
        <f>December!C36</f>
        <v>Weekend</v>
      </c>
      <c r="X30" s="583" t="str">
        <f>December!DN36</f>
        <v/>
      </c>
      <c r="Y30" s="579" t="str">
        <f>Aar!T30</f>
        <v/>
      </c>
      <c r="Z30" s="576">
        <f>Aar!U30</f>
        <v>28</v>
      </c>
      <c r="AA30" s="128" t="str">
        <f>Aar!V30</f>
        <v>ti</v>
      </c>
      <c r="AB30" s="129" t="str">
        <f>Januar!C36</f>
        <v>Skema 2</v>
      </c>
      <c r="AC30" s="583" t="str">
        <f>Januar!DN36</f>
        <v/>
      </c>
      <c r="AD30" s="579" t="str">
        <f>Aar!X30</f>
        <v/>
      </c>
    </row>
    <row r="31" spans="1:30" ht="35" customHeight="1">
      <c r="A31" s="576">
        <f>Aar!A31</f>
        <v>29</v>
      </c>
      <c r="B31" s="128" t="str">
        <f>Aar!B31</f>
        <v>to</v>
      </c>
      <c r="C31" s="129" t="str">
        <f>August!C38</f>
        <v>Skema 1</v>
      </c>
      <c r="D31" s="583" t="str">
        <f>August!DN38</f>
        <v/>
      </c>
      <c r="E31" s="579" t="str">
        <f>Aar!D31</f>
        <v/>
      </c>
      <c r="F31" s="128">
        <f>Aar!E31</f>
        <v>29</v>
      </c>
      <c r="G31" s="128" t="str">
        <f>Aar!F31</f>
        <v>sø</v>
      </c>
      <c r="H31" s="129" t="str">
        <f>September!C37</f>
        <v>Weekend</v>
      </c>
      <c r="I31" s="583" t="str">
        <f>September!DN37</f>
        <v/>
      </c>
      <c r="J31" s="579" t="str">
        <f>Aar!H31</f>
        <v/>
      </c>
      <c r="K31" s="128">
        <f>Aar!I31</f>
        <v>29</v>
      </c>
      <c r="L31" s="128" t="str">
        <f>Aar!J31</f>
        <v>ti</v>
      </c>
      <c r="M31" s="129" t="str">
        <f>Oktober!C37</f>
        <v>Fagdag</v>
      </c>
      <c r="N31" s="583" t="str">
        <f>Oktober!DN37</f>
        <v>Engelsk</v>
      </c>
      <c r="O31" s="578" t="str">
        <f>Aar!L31</f>
        <v/>
      </c>
      <c r="P31" s="576">
        <f>Aar!M31</f>
        <v>29</v>
      </c>
      <c r="Q31" s="128" t="str">
        <f>Aar!N31</f>
        <v>fr</v>
      </c>
      <c r="R31" s="129" t="str">
        <f>November!C37</f>
        <v>Skema 1</v>
      </c>
      <c r="S31" s="585" t="str">
        <f>November!DN37</f>
        <v/>
      </c>
      <c r="T31" s="579" t="str">
        <f>Aar!P31</f>
        <v/>
      </c>
      <c r="U31" s="576">
        <f>Aar!Q31</f>
        <v>29</v>
      </c>
      <c r="V31" s="128" t="str">
        <f>Aar!R31</f>
        <v>sø</v>
      </c>
      <c r="W31" s="129" t="str">
        <f>December!C37</f>
        <v>Weekend</v>
      </c>
      <c r="X31" s="583" t="str">
        <f>December!DN37</f>
        <v/>
      </c>
      <c r="Y31" s="579" t="str">
        <f>Aar!T31</f>
        <v/>
      </c>
      <c r="Z31" s="576">
        <f>Aar!U31</f>
        <v>29</v>
      </c>
      <c r="AA31" s="128" t="str">
        <f>Aar!V31</f>
        <v>on</v>
      </c>
      <c r="AB31" s="129" t="str">
        <f>Januar!C37</f>
        <v>Skema 2</v>
      </c>
      <c r="AC31" s="583" t="str">
        <f>Januar!DN37</f>
        <v/>
      </c>
      <c r="AD31" s="579" t="str">
        <f>Aar!X31</f>
        <v/>
      </c>
    </row>
    <row r="32" spans="1:30" ht="35" customHeight="1">
      <c r="A32" s="576">
        <f>Aar!A32</f>
        <v>30</v>
      </c>
      <c r="B32" s="128" t="str">
        <f>Aar!B32</f>
        <v>fr</v>
      </c>
      <c r="C32" s="129" t="str">
        <f>August!C39</f>
        <v>Skema 1</v>
      </c>
      <c r="D32" s="583" t="str">
        <f>August!DN39</f>
        <v/>
      </c>
      <c r="E32" s="579" t="str">
        <f>Aar!D32</f>
        <v/>
      </c>
      <c r="F32" s="128">
        <f>Aar!E32</f>
        <v>30</v>
      </c>
      <c r="G32" s="128" t="str">
        <f>Aar!F32</f>
        <v>ma</v>
      </c>
      <c r="H32" s="129" t="str">
        <f>September!C38</f>
        <v>Skema 1</v>
      </c>
      <c r="I32" s="583" t="str">
        <f>September!DN38</f>
        <v/>
      </c>
      <c r="J32" s="579">
        <f>Aar!H32</f>
        <v>40</v>
      </c>
      <c r="K32" s="128">
        <f>Aar!I32</f>
        <v>30</v>
      </c>
      <c r="L32" s="128" t="str">
        <f>Aar!J32</f>
        <v>on</v>
      </c>
      <c r="M32" s="129" t="str">
        <f>Oktober!C38</f>
        <v>Skema 1</v>
      </c>
      <c r="N32" s="583" t="str">
        <f>Oktober!DN38</f>
        <v/>
      </c>
      <c r="O32" s="578" t="str">
        <f>Aar!L32</f>
        <v/>
      </c>
      <c r="P32" s="576">
        <f>Aar!M32</f>
        <v>30</v>
      </c>
      <c r="Q32" s="128" t="str">
        <f>Aar!N32</f>
        <v>lø</v>
      </c>
      <c r="R32" s="129" t="str">
        <f>November!C38</f>
        <v>Weekend</v>
      </c>
      <c r="S32" s="585" t="str">
        <f>November!DN38</f>
        <v/>
      </c>
      <c r="T32" s="579" t="str">
        <f>Aar!P32</f>
        <v/>
      </c>
      <c r="U32" s="576">
        <f>Aar!Q32</f>
        <v>30</v>
      </c>
      <c r="V32" s="128" t="str">
        <f>Aar!R32</f>
        <v>ma</v>
      </c>
      <c r="W32" s="129" t="str">
        <f>December!C38</f>
        <v>Nul-dag</v>
      </c>
      <c r="X32" s="583" t="str">
        <f>December!DN38</f>
        <v/>
      </c>
      <c r="Y32" s="579">
        <f>Aar!T32</f>
        <v>1</v>
      </c>
      <c r="Z32" s="576">
        <f>Aar!U32</f>
        <v>30</v>
      </c>
      <c r="AA32" s="128" t="str">
        <f>Aar!V32</f>
        <v>to</v>
      </c>
      <c r="AB32" s="129" t="str">
        <f>Januar!C38</f>
        <v>Skema 2</v>
      </c>
      <c r="AC32" s="583" t="str">
        <f>Januar!DN38</f>
        <v/>
      </c>
      <c r="AD32" s="579" t="str">
        <f>Aar!X32</f>
        <v/>
      </c>
    </row>
    <row r="33" spans="1:30" ht="35" customHeight="1" thickBot="1">
      <c r="A33" s="576">
        <f>Aar!A33</f>
        <v>31</v>
      </c>
      <c r="B33" s="128" t="str">
        <f>Aar!B33</f>
        <v>lø</v>
      </c>
      <c r="C33" s="129" t="str">
        <f>August!C40</f>
        <v>Weekend</v>
      </c>
      <c r="D33" s="583" t="str">
        <f>August!DN40</f>
        <v/>
      </c>
      <c r="E33" s="579" t="str">
        <f>Aar!D33</f>
        <v/>
      </c>
      <c r="F33" s="79"/>
      <c r="G33" s="79"/>
      <c r="H33" s="80"/>
      <c r="I33" s="80"/>
      <c r="J33" s="458"/>
      <c r="K33" s="552">
        <f>Aar!I33</f>
        <v>31</v>
      </c>
      <c r="L33" s="553" t="str">
        <f>Aar!J33</f>
        <v>to</v>
      </c>
      <c r="M33" s="554" t="str">
        <f>Oktober!C39</f>
        <v>Skema 1</v>
      </c>
      <c r="N33" s="584" t="str">
        <f>Oktober!DN39</f>
        <v/>
      </c>
      <c r="O33" s="555" t="str">
        <f>Aar!L33</f>
        <v/>
      </c>
      <c r="P33" s="79"/>
      <c r="Q33" s="79"/>
      <c r="R33" s="80"/>
      <c r="S33" s="80"/>
      <c r="T33" s="459"/>
      <c r="U33" s="576">
        <f>Aar!Q33</f>
        <v>31</v>
      </c>
      <c r="V33" s="128" t="str">
        <f>Aar!R33</f>
        <v>ti</v>
      </c>
      <c r="W33" s="129" t="str">
        <f>December!C39</f>
        <v>Nul-dag</v>
      </c>
      <c r="X33" s="583" t="str">
        <f>December!DN39</f>
        <v>Nytårsaftensdag</v>
      </c>
      <c r="Y33" s="579" t="str">
        <f>Aar!T33</f>
        <v/>
      </c>
      <c r="Z33" s="576">
        <f>Aar!U33</f>
        <v>31</v>
      </c>
      <c r="AA33" s="128" t="str">
        <f>Aar!V33</f>
        <v>fr</v>
      </c>
      <c r="AB33" s="129" t="str">
        <f>Januar!C39</f>
        <v>Skema 2</v>
      </c>
      <c r="AC33" s="583" t="str">
        <f>Januar!DN39</f>
        <v/>
      </c>
      <c r="AD33" s="579" t="str">
        <f>Aar!X33</f>
        <v/>
      </c>
    </row>
    <row r="34" spans="1:30" ht="23" customHeight="1" thickBot="1">
      <c r="A34" s="71"/>
      <c r="B34" s="71"/>
      <c r="C34" s="71">
        <f>Aar!B34</f>
        <v>22</v>
      </c>
      <c r="D34" s="71" t="str">
        <f>Aar!C34</f>
        <v xml:space="preserve"> arbejdsdage</v>
      </c>
      <c r="E34" s="71"/>
      <c r="F34" s="71"/>
      <c r="G34" s="71"/>
      <c r="H34" s="71">
        <f>Aar!F34</f>
        <v>21</v>
      </c>
      <c r="I34" s="71" t="str">
        <f>Aar!G34</f>
        <v xml:space="preserve"> arbejdsdage</v>
      </c>
      <c r="J34" s="71">
        <f>Aar!H34</f>
        <v>0</v>
      </c>
      <c r="K34" s="71">
        <f>Aar!I34</f>
        <v>0</v>
      </c>
      <c r="L34" s="71"/>
      <c r="M34" s="71">
        <f>Aar!J34</f>
        <v>23</v>
      </c>
      <c r="N34" s="71" t="str">
        <f>Aar!K34</f>
        <v xml:space="preserve"> arbejdsdage</v>
      </c>
      <c r="O34" s="71">
        <f>Aar!M34</f>
        <v>0</v>
      </c>
      <c r="P34" s="71"/>
      <c r="Q34" s="71"/>
      <c r="R34" s="71">
        <f>Aar!N34</f>
        <v>21</v>
      </c>
      <c r="S34" s="71" t="str">
        <f>Aar!O34</f>
        <v xml:space="preserve"> arbejdsdage</v>
      </c>
      <c r="T34" s="71"/>
      <c r="U34" s="71"/>
      <c r="V34" s="71"/>
      <c r="W34" s="71">
        <f>Aar!R34</f>
        <v>20</v>
      </c>
      <c r="X34" s="71" t="str">
        <f>Aar!S34</f>
        <v xml:space="preserve"> arbejdsdage</v>
      </c>
      <c r="Y34" s="71"/>
      <c r="Z34" s="110"/>
      <c r="AA34" s="110"/>
      <c r="AB34" s="71">
        <f>Aar!V34</f>
        <v>22</v>
      </c>
      <c r="AC34" s="71" t="str">
        <f>Aar!W34</f>
        <v xml:space="preserve"> arbejdsdage</v>
      </c>
      <c r="AD34" s="109"/>
    </row>
    <row r="35" spans="1:30" ht="31" customHeight="1" thickBot="1">
      <c r="A35" s="1450" t="str">
        <f>"I alt for hele skoleåret "&amp;Vejledning!B2&amp;""</f>
        <v>I alt for hele skoleåret 2024-2025</v>
      </c>
      <c r="B35" s="1451"/>
      <c r="C35" s="1451"/>
      <c r="D35" s="1451"/>
      <c r="E35" s="1451"/>
      <c r="F35" s="1451"/>
      <c r="G35" s="1451"/>
      <c r="H35" s="1451"/>
      <c r="I35" s="1451"/>
      <c r="J35" s="1451"/>
      <c r="K35" s="1451"/>
      <c r="L35" s="1451"/>
      <c r="M35" s="1451"/>
      <c r="N35" s="1451"/>
      <c r="O35" s="1451"/>
      <c r="P35" s="1451"/>
      <c r="Q35" s="1451"/>
      <c r="R35" s="1451"/>
      <c r="S35" s="1451"/>
      <c r="T35" s="1451"/>
      <c r="U35" s="1452"/>
      <c r="V35" s="116"/>
      <c r="W35" s="117"/>
      <c r="X35" s="113"/>
      <c r="Y35" s="71"/>
      <c r="Z35" s="110"/>
      <c r="AA35" s="110"/>
      <c r="AB35" s="71"/>
      <c r="AC35" s="71"/>
      <c r="AD35" s="109"/>
    </row>
    <row r="36" spans="1:30" ht="23" customHeight="1">
      <c r="A36" s="1453" t="s">
        <v>118</v>
      </c>
      <c r="B36" s="1454"/>
      <c r="C36" s="1454"/>
      <c r="D36" s="1454"/>
      <c r="E36" s="1454"/>
      <c r="F36" s="1454"/>
      <c r="G36" s="1454"/>
      <c r="H36" s="131">
        <f>Aar!G37</f>
        <v>177</v>
      </c>
      <c r="I36" s="172"/>
      <c r="J36" s="172"/>
      <c r="K36" s="172"/>
      <c r="L36" s="172"/>
      <c r="M36" s="172"/>
      <c r="N36" s="1455" t="s">
        <v>117</v>
      </c>
      <c r="O36" s="1456"/>
      <c r="P36" s="1456"/>
      <c r="Q36" s="1456"/>
      <c r="R36" s="1456"/>
      <c r="S36" s="1456"/>
      <c r="T36" s="1456"/>
      <c r="U36" s="171">
        <f>Aar!AE37</f>
        <v>6</v>
      </c>
      <c r="V36" s="114"/>
      <c r="W36" s="71"/>
      <c r="X36" s="110"/>
      <c r="Y36" s="110"/>
      <c r="Z36" s="71"/>
      <c r="AA36" s="71"/>
      <c r="AB36" s="109"/>
      <c r="AC36" s="63"/>
      <c r="AD36" s="63"/>
    </row>
    <row r="37" spans="1:30" ht="23" customHeight="1">
      <c r="A37" s="1457" t="s">
        <v>116</v>
      </c>
      <c r="B37" s="1458"/>
      <c r="C37" s="1458"/>
      <c r="D37" s="1458"/>
      <c r="E37" s="1458"/>
      <c r="F37" s="1458"/>
      <c r="G37" s="1458"/>
      <c r="H37" s="168">
        <f>Aar!O37</f>
        <v>15</v>
      </c>
      <c r="I37" s="173"/>
      <c r="J37" s="173"/>
      <c r="K37" s="173"/>
      <c r="L37" s="173"/>
      <c r="M37" s="173"/>
      <c r="N37" s="175" t="s">
        <v>143</v>
      </c>
      <c r="O37" s="1465">
        <f>Aar!O35</f>
        <v>104</v>
      </c>
      <c r="P37" s="1465"/>
      <c r="Q37" s="1465"/>
      <c r="R37" s="167" t="s">
        <v>144</v>
      </c>
      <c r="S37" s="167"/>
      <c r="T37" s="1461">
        <f>Aar!W35</f>
        <v>8</v>
      </c>
      <c r="U37" s="1462"/>
      <c r="V37" s="114"/>
      <c r="W37" s="71"/>
      <c r="X37" s="110"/>
      <c r="Y37" s="110"/>
      <c r="Z37" s="71"/>
      <c r="AA37" s="71"/>
      <c r="AB37" s="109"/>
      <c r="AC37" s="63"/>
      <c r="AD37" s="63"/>
    </row>
    <row r="38" spans="1:30" ht="23" customHeight="1">
      <c r="A38" s="1459" t="s">
        <v>121</v>
      </c>
      <c r="B38" s="1460"/>
      <c r="C38" s="1460"/>
      <c r="D38" s="1460"/>
      <c r="E38" s="1460"/>
      <c r="F38" s="1460"/>
      <c r="G38" s="1460"/>
      <c r="H38" s="169">
        <f>Aar!W37</f>
        <v>7</v>
      </c>
      <c r="I38" s="173"/>
      <c r="J38" s="173"/>
      <c r="K38" s="173"/>
      <c r="L38" s="173"/>
      <c r="M38" s="173"/>
      <c r="N38" s="183" t="s">
        <v>163</v>
      </c>
      <c r="O38" s="1463">
        <f>Aar!AE35</f>
        <v>25</v>
      </c>
      <c r="P38" s="1463"/>
      <c r="Q38" s="1464"/>
      <c r="R38" s="181" t="s">
        <v>164</v>
      </c>
      <c r="S38" s="181"/>
      <c r="T38" s="181"/>
      <c r="U38" s="460">
        <f>Aar!AV35</f>
        <v>1</v>
      </c>
      <c r="V38" s="115"/>
      <c r="W38" s="71"/>
      <c r="X38" s="110"/>
      <c r="Y38" s="110"/>
      <c r="Z38" s="71"/>
      <c r="AA38" s="71"/>
      <c r="AB38" s="109"/>
      <c r="AC38" s="63"/>
      <c r="AD38" s="63"/>
    </row>
    <row r="39" spans="1:30" ht="23" customHeight="1" thickBot="1">
      <c r="A39" s="165" t="s">
        <v>151</v>
      </c>
      <c r="B39" s="166"/>
      <c r="C39" s="166"/>
      <c r="D39" s="166"/>
      <c r="E39" s="166"/>
      <c r="F39" s="166"/>
      <c r="G39" s="166"/>
      <c r="H39" s="170">
        <f>SUM(H36:H38)</f>
        <v>199</v>
      </c>
      <c r="I39" s="174"/>
      <c r="J39" s="174"/>
      <c r="K39" s="174"/>
      <c r="L39" s="174"/>
      <c r="M39" s="174"/>
      <c r="N39" s="464" t="s">
        <v>168</v>
      </c>
      <c r="O39" s="465"/>
      <c r="P39" s="465"/>
      <c r="Q39" s="465">
        <f>Aar!AM35</f>
        <v>23</v>
      </c>
      <c r="R39" s="462" t="s">
        <v>420</v>
      </c>
      <c r="S39" s="462"/>
      <c r="T39" s="462"/>
      <c r="U39" s="463">
        <f>Aar!AV37</f>
        <v>0</v>
      </c>
      <c r="V39" s="114"/>
      <c r="W39" s="71"/>
      <c r="X39" s="110"/>
      <c r="Y39" s="110"/>
      <c r="Z39" s="71"/>
      <c r="AA39" s="71"/>
      <c r="AB39" s="109"/>
      <c r="AC39" s="63"/>
      <c r="AD39" s="63"/>
    </row>
    <row r="40" spans="1:30" ht="15" customHeight="1">
      <c r="B40" s="76"/>
      <c r="C40" s="74"/>
      <c r="D40" s="74"/>
      <c r="E40" s="75"/>
      <c r="G40" s="76"/>
      <c r="H40" s="74"/>
      <c r="I40" s="74"/>
      <c r="J40" s="77"/>
      <c r="K40" s="76"/>
      <c r="L40" s="74"/>
      <c r="M40" s="75"/>
      <c r="N40" s="75"/>
      <c r="O40" s="75"/>
      <c r="P40" s="76"/>
      <c r="Q40" s="74"/>
      <c r="R40" s="77"/>
      <c r="S40" s="77"/>
      <c r="T40" s="76"/>
      <c r="U40" s="74"/>
      <c r="W40" s="75"/>
      <c r="X40" s="75"/>
      <c r="Y40" s="76"/>
      <c r="Z40" s="74"/>
      <c r="AA40" s="63"/>
      <c r="AB40" s="63"/>
      <c r="AC40" s="63"/>
      <c r="AD40" s="63"/>
    </row>
    <row r="41" spans="1:30" ht="15" customHeight="1"/>
  </sheetData>
  <sheetProtection sheet="1" formatCells="0" formatColumns="0" formatRows="0" insertColumns="0"/>
  <mergeCells count="8">
    <mergeCell ref="A35:U35"/>
    <mergeCell ref="A36:G36"/>
    <mergeCell ref="N36:T36"/>
    <mergeCell ref="A37:G37"/>
    <mergeCell ref="A38:G38"/>
    <mergeCell ref="T37:U37"/>
    <mergeCell ref="O38:Q38"/>
    <mergeCell ref="O37:Q37"/>
  </mergeCells>
  <phoneticPr fontId="5" type="noConversion"/>
  <printOptions horizontalCentered="1" verticalCentered="1"/>
  <pageMargins left="0.35433070866141736" right="0.35433070866141736" top="0.39370078740157483" bottom="0.39370078740157483" header="0.11811023622047245" footer="0.11811023622047245"/>
  <pageSetup paperSize="9" scale="44" orientation="landscape" horizontalDpi="4294967292" verticalDpi="4294967292"/>
  <ignoredErrors>
    <ignoredError sqref="A2:AD2 F33:J33 P33:T33 B1:AD1"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111" stopIfTrue="1" id="{7E088C76-2C1B-4A4B-B72F-8E38A511E840}">
            <xm:f>OR(August!$C10="Orlov")</xm:f>
            <x14:dxf>
              <font>
                <color theme="0"/>
              </font>
              <fill>
                <patternFill patternType="solid">
                  <bgColor theme="6" tint="-0.24994659260841701"/>
                </patternFill>
              </fill>
            </x14:dxf>
          </x14:cfRule>
          <x14:cfRule type="expression" priority="110" id="{3D435629-D562-1843-BC8C-C49FD76A418A}">
            <xm:f>OR(August!$C10="weekend")</xm:f>
            <x14:dxf>
              <font>
                <color theme="1"/>
              </font>
              <fill>
                <patternFill>
                  <bgColor theme="0" tint="-0.14996795556505021"/>
                </patternFill>
              </fill>
            </x14:dxf>
          </x14:cfRule>
          <x14:cfRule type="expression" priority="109" id="{BDDE1528-B4C8-F547-9572-1788BDC0DBD0}">
            <xm:f>OR(August!$C10="feriedag")</xm:f>
            <x14:dxf>
              <font>
                <color theme="1"/>
              </font>
              <fill>
                <patternFill>
                  <bgColor theme="6" tint="0.39994506668294322"/>
                </patternFill>
              </fill>
            </x14:dxf>
          </x14:cfRule>
          <x14:cfRule type="expression" priority="108" id="{723F6421-6944-B64B-9A9F-457A9003CABE}">
            <xm:f>OR(August!$C10="fagdag")</xm:f>
            <x14:dxf>
              <font>
                <color theme="1"/>
              </font>
              <fill>
                <patternFill>
                  <bgColor theme="9" tint="0.59996337778862885"/>
                </patternFill>
              </fill>
            </x14:dxf>
          </x14:cfRule>
          <x14:cfRule type="expression" priority="107" id="{BED33284-DDF4-564F-A68F-1D8DD9E13F5F}">
            <xm:f>OR(August!$C10="emnedag")</xm:f>
            <x14:dxf>
              <font>
                <color theme="1"/>
              </font>
              <fill>
                <patternFill>
                  <bgColor theme="5" tint="0.59996337778862885"/>
                </patternFill>
              </fill>
            </x14:dxf>
          </x14:cfRule>
          <x14:cfRule type="expression" priority="106" id="{B3976725-7BC8-274D-A17A-06C54196C59B}">
            <xm:f>OR(August!$C10="lejrskole")</xm:f>
            <x14:dxf>
              <font>
                <color theme="1"/>
              </font>
              <fill>
                <patternFill>
                  <bgColor theme="8" tint="0.59996337778862885"/>
                </patternFill>
              </fill>
            </x14:dxf>
          </x14:cfRule>
          <x14:cfRule type="expression" priority="105" id="{56138BA0-8BE0-4047-9775-0C98271CE80A}">
            <xm:f>OR(August!$C10="ekskursion")</xm:f>
            <x14:dxf>
              <font>
                <color theme="1"/>
              </font>
              <fill>
                <patternFill>
                  <bgColor rgb="FFFFFF00"/>
                </patternFill>
              </fill>
            </x14:dxf>
          </x14:cfRule>
          <x14:cfRule type="expression" priority="104" id="{C726354F-05C3-9C43-946C-A3FB6A43F70E}">
            <xm:f>OR(August!$C10="SH-dag")</xm:f>
            <x14:dxf>
              <font>
                <color theme="1"/>
              </font>
              <fill>
                <patternFill>
                  <bgColor rgb="FFFF2F82"/>
                </patternFill>
              </fill>
            </x14:dxf>
          </x14:cfRule>
          <x14:cfRule type="expression" priority="31" id="{AF9AE05E-3605-5E4C-893C-6819AB1EE948}">
            <xm:f>OR(August!$C10="Ikke relevant")</xm:f>
            <x14:dxf>
              <font>
                <color theme="0"/>
              </font>
              <fill>
                <patternFill>
                  <bgColor theme="1"/>
                </patternFill>
              </fill>
            </x14:dxf>
          </x14:cfRule>
          <x14:cfRule type="expression" priority="102" id="{B78C599E-77F1-D644-9FE9-ABD5FC8F382C}">
            <xm:f>OR(August!$C10="pæd.dag")</xm:f>
            <x14:dxf>
              <font>
                <color theme="1"/>
              </font>
              <fill>
                <patternFill>
                  <bgColor theme="7" tint="0.39994506668294322"/>
                </patternFill>
              </fill>
            </x14:dxf>
          </x14:cfRule>
          <x14:cfRule type="expression" priority="103" id="{CDFF70CE-D945-F741-ADF6-03C1B6832B46}">
            <xm:f>OR(August!$C10="nul-dag")</xm:f>
            <x14:dxf>
              <font>
                <color theme="1"/>
              </font>
              <fill>
                <patternFill>
                  <bgColor theme="5" tint="0.79998168889431442"/>
                </patternFill>
              </fill>
            </x14:dxf>
          </x14:cfRule>
          <x14:cfRule type="expression" priority="25" id="{347B9104-5EB7-AA4F-9364-620AC86FE217}">
            <xm:f>OR(August!$C10="Skema 4")</xm:f>
            <x14:dxf>
              <font>
                <color theme="0"/>
              </font>
              <fill>
                <patternFill>
                  <bgColor theme="4" tint="-0.24994659260841701"/>
                </patternFill>
              </fill>
            </x14:dxf>
          </x14:cfRule>
          <x14:cfRule type="expression" priority="24" id="{268CA7B4-52BE-1443-93BC-121DA8356B11}">
            <xm:f>OR(August!$C10="Skema 3")</xm:f>
            <x14:dxf>
              <font>
                <color theme="0"/>
              </font>
              <fill>
                <patternFill>
                  <bgColor theme="4" tint="0.39994506668294322"/>
                </patternFill>
              </fill>
            </x14:dxf>
          </x14:cfRule>
          <x14:cfRule type="expression" priority="23" id="{A1951D69-4ADB-3047-8B42-4A5141429C7B}">
            <xm:f>OR(August!$C10="Skema 2")</xm:f>
            <x14:dxf>
              <font>
                <color theme="1"/>
              </font>
              <fill>
                <patternFill>
                  <bgColor theme="4" tint="0.59996337778862885"/>
                </patternFill>
              </fill>
            </x14:dxf>
          </x14:cfRule>
          <x14:cfRule type="expression" priority="22" stopIfTrue="1" id="{BCD76501-B6F8-B74D-98D4-F3CE391F978C}">
            <xm:f>OR(August!$C10="Skema 1")</xm:f>
            <x14:dxf>
              <font>
                <color theme="1"/>
              </font>
              <fill>
                <patternFill>
                  <bgColor theme="4" tint="0.79998168889431442"/>
                </patternFill>
              </fill>
            </x14:dxf>
          </x14:cfRule>
          <xm:sqref>A3:E33</xm:sqref>
        </x14:conditionalFormatting>
        <x14:conditionalFormatting xmlns:xm="http://schemas.microsoft.com/office/excel/2006/main">
          <x14:cfRule type="expression" priority="101" stopIfTrue="1" id="{FE91662E-4ED5-BC4E-9D99-6C70386FD5E4}">
            <xm:f>OR(September!$C9="Orlov")</xm:f>
            <x14:dxf>
              <font>
                <color theme="0"/>
              </font>
              <fill>
                <patternFill patternType="solid">
                  <bgColor theme="6" tint="-0.24994659260841701"/>
                </patternFill>
              </fill>
            </x14:dxf>
          </x14:cfRule>
          <x14:cfRule type="expression" priority="18" id="{A6A54F67-DB22-AB42-B807-1E094C48D97A}">
            <xm:f>OR(September!$C9="Skema 1")</xm:f>
            <x14:dxf>
              <font>
                <color theme="1"/>
              </font>
              <fill>
                <patternFill>
                  <bgColor theme="4" tint="0.79998168889431442"/>
                </patternFill>
              </fill>
            </x14:dxf>
          </x14:cfRule>
          <x14:cfRule type="expression" priority="19" id="{B8481A31-E298-9A4F-9913-506735F80059}">
            <xm:f>OR(September!$C9="Skema 2")</xm:f>
            <x14:dxf>
              <font>
                <color theme="1"/>
              </font>
              <fill>
                <patternFill>
                  <bgColor theme="4" tint="0.59996337778862885"/>
                </patternFill>
              </fill>
            </x14:dxf>
          </x14:cfRule>
          <x14:cfRule type="expression" priority="20" id="{2728A726-CE9E-574C-B3B3-5E1EDD834DDC}">
            <xm:f>OR(September!$C9="Skema 3")</xm:f>
            <x14:dxf>
              <font>
                <color theme="0"/>
              </font>
              <fill>
                <patternFill>
                  <bgColor theme="4" tint="0.39994506668294322"/>
                </patternFill>
              </fill>
            </x14:dxf>
          </x14:cfRule>
          <x14:cfRule type="expression" priority="21" id="{F8AFD9B1-8EEB-C144-83EB-300D51E1A14D}">
            <xm:f>OR(September!$C9="Skema 4")</xm:f>
            <x14:dxf>
              <font>
                <color theme="0"/>
              </font>
              <fill>
                <patternFill>
                  <bgColor theme="4" tint="-0.24994659260841701"/>
                </patternFill>
              </fill>
            </x14:dxf>
          </x14:cfRule>
          <x14:cfRule type="expression" priority="82" id="{DEF77C88-BD3C-6A45-8EEB-7A961DF3A37E}">
            <xm:f>OR(September!$C9="pæd.dag")</xm:f>
            <x14:dxf>
              <font>
                <color theme="1"/>
              </font>
              <fill>
                <patternFill>
                  <bgColor theme="7" tint="0.39994506668294322"/>
                </patternFill>
              </fill>
            </x14:dxf>
          </x14:cfRule>
          <x14:cfRule type="expression" priority="83" id="{DB8C7910-6163-4B4D-9819-AFD0627DBD4D}">
            <xm:f>OR(September!$C9="nul-dag")</xm:f>
            <x14:dxf>
              <font>
                <color theme="1"/>
              </font>
              <fill>
                <patternFill>
                  <bgColor theme="5" tint="0.79998168889431442"/>
                </patternFill>
              </fill>
            </x14:dxf>
          </x14:cfRule>
          <x14:cfRule type="expression" priority="84" id="{D026F715-A777-1349-B41E-F963FD6F7EA9}">
            <xm:f>OR(September!$C9="SH-dag")</xm:f>
            <x14:dxf>
              <font>
                <color theme="1"/>
              </font>
              <fill>
                <patternFill>
                  <bgColor rgb="FFFF2F82"/>
                </patternFill>
              </fill>
            </x14:dxf>
          </x14:cfRule>
          <x14:cfRule type="expression" priority="85" id="{EEADB28C-23C5-7D4E-B286-683226DD38E4}">
            <xm:f>OR(September!$C9="ekskursion")</xm:f>
            <x14:dxf>
              <font>
                <color theme="1"/>
              </font>
              <fill>
                <patternFill>
                  <bgColor rgb="FFFFFF00"/>
                </patternFill>
              </fill>
            </x14:dxf>
          </x14:cfRule>
          <x14:cfRule type="expression" priority="86" id="{6D234B6D-EBA5-3540-99F2-50B173C63F8E}">
            <xm:f>OR(September!$C9="lejrskole")</xm:f>
            <x14:dxf>
              <font>
                <color theme="1"/>
              </font>
              <fill>
                <patternFill>
                  <bgColor theme="8" tint="0.59996337778862885"/>
                </patternFill>
              </fill>
            </x14:dxf>
          </x14:cfRule>
          <x14:cfRule type="expression" priority="97" id="{A8990905-205C-FF44-8F8F-FEFDE39B50C0}">
            <xm:f>OR(September!$C9="emnedag")</xm:f>
            <x14:dxf>
              <font>
                <color theme="1"/>
              </font>
              <fill>
                <patternFill>
                  <bgColor theme="5" tint="0.59996337778862885"/>
                </patternFill>
              </fill>
            </x14:dxf>
          </x14:cfRule>
          <x14:cfRule type="expression" priority="98" id="{7078B40A-5F8B-4143-80AA-1AEA7E8FB8A5}">
            <xm:f>OR(September!$C9="fagdag")</xm:f>
            <x14:dxf>
              <font>
                <color theme="1"/>
              </font>
              <fill>
                <patternFill>
                  <bgColor theme="9" tint="0.59996337778862885"/>
                </patternFill>
              </fill>
            </x14:dxf>
          </x14:cfRule>
          <x14:cfRule type="expression" priority="99" id="{3AFDEDB1-87B0-3F45-9813-D01DCEBC4125}">
            <xm:f>OR(September!$C9="feriedag")</xm:f>
            <x14:dxf>
              <font>
                <color theme="1"/>
              </font>
              <fill>
                <patternFill>
                  <bgColor theme="6" tint="0.39994506668294322"/>
                </patternFill>
              </fill>
            </x14:dxf>
          </x14:cfRule>
          <x14:cfRule type="expression" priority="30" id="{ED26B2E1-0B14-3C45-AF63-E47A1587C77B}">
            <xm:f>OR(September!$C9="Ikke relevant")</xm:f>
            <x14:dxf>
              <font>
                <color theme="0"/>
              </font>
              <fill>
                <patternFill>
                  <bgColor theme="1"/>
                </patternFill>
              </fill>
            </x14:dxf>
          </x14:cfRule>
          <x14:cfRule type="expression" priority="100" id="{F83E5E55-9C4E-3C4E-BD25-E6F58D8EC187}">
            <xm:f>OR(September!$C9="weekend")</xm:f>
            <x14:dxf>
              <font>
                <color theme="1"/>
              </font>
              <fill>
                <patternFill>
                  <bgColor theme="0" tint="-0.14996795556505021"/>
                </patternFill>
              </fill>
            </x14:dxf>
          </x14:cfRule>
          <xm:sqref>F3:J32</xm:sqref>
        </x14:conditionalFormatting>
        <x14:conditionalFormatting xmlns:xm="http://schemas.microsoft.com/office/excel/2006/main">
          <x14:cfRule type="expression" priority="17" id="{61858BDA-AF1E-DA4B-A664-06BA7B26C092}">
            <xm:f>OR(Oktober!$C9="Skema 4")</xm:f>
            <x14:dxf>
              <font>
                <color theme="0"/>
              </font>
              <fill>
                <patternFill>
                  <bgColor theme="4" tint="-0.24994659260841701"/>
                </patternFill>
              </fill>
            </x14:dxf>
          </x14:cfRule>
          <x14:cfRule type="expression" priority="62" id="{B6C307A1-5DEC-0B42-8D75-84080930A7A4}">
            <xm:f>OR(Oktober!$C9="pæd.dag")</xm:f>
            <x14:dxf>
              <font>
                <color theme="1"/>
              </font>
              <fill>
                <patternFill>
                  <bgColor theme="7" tint="0.39994506668294322"/>
                </patternFill>
              </fill>
            </x14:dxf>
          </x14:cfRule>
          <x14:cfRule type="expression" priority="29" id="{81C04EAD-82C5-6845-A88A-C40691238A86}">
            <xm:f>OR(Oktober!$C9="Ikke relevant")</xm:f>
            <x14:dxf>
              <font>
                <color theme="0"/>
              </font>
              <fill>
                <patternFill>
                  <bgColor theme="1"/>
                </patternFill>
              </fill>
            </x14:dxf>
          </x14:cfRule>
          <x14:cfRule type="expression" priority="63" id="{6A855BD0-BA5F-C34B-B9C3-B5D46D20C054}">
            <xm:f>OR(Oktober!$C9="nul-dag")</xm:f>
            <x14:dxf>
              <font>
                <color theme="1"/>
              </font>
              <fill>
                <patternFill>
                  <bgColor theme="5" tint="0.79998168889431442"/>
                </patternFill>
              </fill>
            </x14:dxf>
          </x14:cfRule>
          <x14:cfRule type="expression" priority="64" id="{8AD9A72B-B3A5-4A45-9A4B-A2CCEEAA5CCB}">
            <xm:f>OR(Oktober!$C9="SH-dag")</xm:f>
            <x14:dxf>
              <font>
                <color theme="1"/>
              </font>
              <fill>
                <patternFill>
                  <bgColor rgb="FFFF2F82"/>
                </patternFill>
              </fill>
            </x14:dxf>
          </x14:cfRule>
          <x14:cfRule type="expression" priority="65" id="{37B2E358-D61F-4D4A-83D5-A34D1F5B5CFD}">
            <xm:f>OR(Oktober!$C9="ekskursion")</xm:f>
            <x14:dxf>
              <font>
                <color theme="1"/>
              </font>
              <fill>
                <patternFill>
                  <bgColor rgb="FFFFFF00"/>
                </patternFill>
              </fill>
            </x14:dxf>
          </x14:cfRule>
          <x14:cfRule type="expression" priority="66" id="{D8C38FF2-1905-C041-B360-E398BC807807}">
            <xm:f>OR(Oktober!$C9="lejrskole")</xm:f>
            <x14:dxf>
              <font>
                <color theme="1"/>
              </font>
              <fill>
                <patternFill>
                  <bgColor theme="8" tint="0.59996337778862885"/>
                </patternFill>
              </fill>
            </x14:dxf>
          </x14:cfRule>
          <x14:cfRule type="expression" priority="14" id="{4FEE00F1-A8EB-3D44-BE99-A45100690B53}">
            <xm:f>OR(Oktober!$C9="Skema 1")</xm:f>
            <x14:dxf>
              <font>
                <color theme="1"/>
              </font>
              <fill>
                <patternFill>
                  <bgColor theme="4" tint="0.79998168889431442"/>
                </patternFill>
              </fill>
            </x14:dxf>
          </x14:cfRule>
          <x14:cfRule type="expression" priority="15" id="{5251657E-5CB4-4F45-8A5D-CC0704DBE973}">
            <xm:f>OR(Oktober!$C9="Skema 2")</xm:f>
            <x14:dxf>
              <font>
                <color theme="1"/>
              </font>
              <fill>
                <patternFill>
                  <bgColor theme="4" tint="0.59996337778862885"/>
                </patternFill>
              </fill>
            </x14:dxf>
          </x14:cfRule>
          <x14:cfRule type="expression" priority="16" id="{1D690458-503E-EF45-9F3E-B7EFCD794C90}">
            <xm:f>OR(Oktober!$C9="Skema 3")</xm:f>
            <x14:dxf>
              <font>
                <color theme="0"/>
              </font>
              <fill>
                <patternFill>
                  <bgColor theme="4" tint="0.39994506668294322"/>
                </patternFill>
              </fill>
            </x14:dxf>
          </x14:cfRule>
          <x14:cfRule type="expression" priority="71" stopIfTrue="1" id="{21A4F459-3DCB-D341-934C-B6DE5F98A19C}">
            <xm:f>OR(Oktober!$C9="Orlov")</xm:f>
            <x14:dxf>
              <font>
                <color theme="0"/>
              </font>
              <fill>
                <patternFill patternType="solid">
                  <bgColor theme="6" tint="-0.24994659260841701"/>
                </patternFill>
              </fill>
            </x14:dxf>
          </x14:cfRule>
          <x14:cfRule type="expression" priority="70" id="{B23AAC2D-795E-5B49-BBFA-D2542B158A75}">
            <xm:f>OR(Oktober!$C9="weekend")</xm:f>
            <x14:dxf>
              <font>
                <color theme="1"/>
              </font>
              <fill>
                <patternFill>
                  <bgColor theme="0" tint="-0.14996795556505021"/>
                </patternFill>
              </fill>
            </x14:dxf>
          </x14:cfRule>
          <x14:cfRule type="expression" priority="69" id="{92238027-AC6B-5740-8C00-B99B2AA7D005}">
            <xm:f>OR(Oktober!$C9="feriedag")</xm:f>
            <x14:dxf>
              <font>
                <color theme="1"/>
              </font>
              <fill>
                <patternFill>
                  <bgColor theme="6" tint="0.39994506668294322"/>
                </patternFill>
              </fill>
            </x14:dxf>
          </x14:cfRule>
          <x14:cfRule type="expression" priority="68" id="{0C13C227-FB10-F94F-A80B-B1E19DFE6F84}">
            <xm:f>OR(Oktober!$C9="fagdag")</xm:f>
            <x14:dxf>
              <font>
                <color theme="1"/>
              </font>
              <fill>
                <patternFill>
                  <bgColor theme="9" tint="0.59996337778862885"/>
                </patternFill>
              </fill>
            </x14:dxf>
          </x14:cfRule>
          <x14:cfRule type="expression" priority="67" id="{709B2BB9-B1AA-814F-A84B-19E766EE7C43}">
            <xm:f>OR(Oktober!$C9="emnedag")</xm:f>
            <x14:dxf>
              <font>
                <color theme="1"/>
              </font>
              <fill>
                <patternFill>
                  <bgColor theme="5" tint="0.59996337778862885"/>
                </patternFill>
              </fill>
            </x14:dxf>
          </x14:cfRule>
          <xm:sqref>K3:O33</xm:sqref>
        </x14:conditionalFormatting>
        <x14:conditionalFormatting xmlns:xm="http://schemas.microsoft.com/office/excel/2006/main">
          <x14:cfRule type="expression" priority="13" id="{DD61B19E-8B3C-EF49-802C-8FD3F32076CA}">
            <xm:f>OR(November!$C9="Skema 4")</xm:f>
            <x14:dxf>
              <font>
                <color theme="0"/>
              </font>
              <fill>
                <patternFill>
                  <bgColor theme="4" tint="-0.24994659260841701"/>
                </patternFill>
              </fill>
            </x14:dxf>
          </x14:cfRule>
          <x14:cfRule type="expression" priority="12" id="{969B370B-0733-C84C-A898-E17064F14700}">
            <xm:f>OR(November!$C9="Skema 3")</xm:f>
            <x14:dxf>
              <font>
                <color theme="0"/>
              </font>
              <fill>
                <patternFill>
                  <bgColor theme="4" tint="0.39994506668294322"/>
                </patternFill>
              </fill>
            </x14:dxf>
          </x14:cfRule>
          <x14:cfRule type="expression" priority="11" id="{C39CFCCE-590E-594E-8C8F-DDAEEAB6361A}">
            <xm:f>OR(November!$C9="Skema 2")</xm:f>
            <x14:dxf>
              <font>
                <color theme="1"/>
              </font>
              <fill>
                <patternFill>
                  <bgColor theme="4" tint="0.59996337778862885"/>
                </patternFill>
              </fill>
            </x14:dxf>
          </x14:cfRule>
          <x14:cfRule type="expression" priority="28" id="{A170BAD0-3D79-FB41-B5D8-84995AE84347}">
            <xm:f>OR(November!$C9="Ikke relevant")</xm:f>
            <x14:dxf>
              <font>
                <color theme="0"/>
              </font>
              <fill>
                <patternFill>
                  <bgColor theme="1"/>
                </patternFill>
              </fill>
            </x14:dxf>
          </x14:cfRule>
          <x14:cfRule type="expression" priority="10" id="{317FFB8E-3019-7141-B243-77D777EC5A65}">
            <xm:f>OR(November!$C9="Skema 1")</xm:f>
            <x14:dxf>
              <font>
                <color theme="1"/>
              </font>
              <fill>
                <patternFill>
                  <bgColor theme="4" tint="0.79998168889431442"/>
                </patternFill>
              </fill>
            </x14:dxf>
          </x14:cfRule>
          <x14:cfRule type="expression" priority="52" id="{CED4A093-82D9-C644-B41E-DD3A41825021}">
            <xm:f>OR(November!$C9="pæd.dag")</xm:f>
            <x14:dxf>
              <font>
                <color theme="1"/>
              </font>
              <fill>
                <patternFill>
                  <bgColor theme="7" tint="0.39994506668294322"/>
                </patternFill>
              </fill>
            </x14:dxf>
          </x14:cfRule>
          <x14:cfRule type="expression" priority="53" id="{0E350EAE-BD99-3A46-9436-D482887C3178}">
            <xm:f>OR(November!$C9="nul-dag")</xm:f>
            <x14:dxf>
              <font>
                <color theme="1"/>
              </font>
              <fill>
                <patternFill>
                  <bgColor theme="5" tint="0.79998168889431442"/>
                </patternFill>
              </fill>
            </x14:dxf>
          </x14:cfRule>
          <x14:cfRule type="expression" priority="54" id="{63CD135A-29CA-194D-840C-48CAFE0078F0}">
            <xm:f>OR(November!$C9="SH-dag")</xm:f>
            <x14:dxf>
              <font>
                <color theme="1"/>
              </font>
              <fill>
                <patternFill>
                  <bgColor rgb="FFFF2F82"/>
                </patternFill>
              </fill>
            </x14:dxf>
          </x14:cfRule>
          <x14:cfRule type="expression" priority="55" id="{B2597A19-09A9-1A4F-A327-F393C182067B}">
            <xm:f>OR(November!$C9="ekskursion")</xm:f>
            <x14:dxf>
              <font>
                <color theme="1"/>
              </font>
              <fill>
                <patternFill>
                  <bgColor rgb="FFFFFF00"/>
                </patternFill>
              </fill>
            </x14:dxf>
          </x14:cfRule>
          <x14:cfRule type="expression" priority="56" id="{55362959-AF26-2744-85D8-C7595B5E2976}">
            <xm:f>OR(November!$C9="lejrskole")</xm:f>
            <x14:dxf>
              <font>
                <color theme="1"/>
              </font>
              <fill>
                <patternFill>
                  <bgColor theme="8" tint="0.59996337778862885"/>
                </patternFill>
              </fill>
            </x14:dxf>
          </x14:cfRule>
          <x14:cfRule type="expression" priority="57" id="{3B5C389C-3B05-4E44-A6F5-C3F1A1F27D69}">
            <xm:f>OR(November!$C9="emnedag")</xm:f>
            <x14:dxf>
              <font>
                <color theme="1"/>
              </font>
              <fill>
                <patternFill>
                  <bgColor theme="5" tint="0.59996337778862885"/>
                </patternFill>
              </fill>
            </x14:dxf>
          </x14:cfRule>
          <x14:cfRule type="expression" priority="58" id="{3F74E116-1BCF-674C-ADEA-3F09A8626D16}">
            <xm:f>OR(November!$C9="fagdag")</xm:f>
            <x14:dxf>
              <font>
                <color theme="1"/>
              </font>
              <fill>
                <patternFill>
                  <bgColor theme="9" tint="0.59996337778862885"/>
                </patternFill>
              </fill>
            </x14:dxf>
          </x14:cfRule>
          <x14:cfRule type="expression" priority="59" id="{3748DFC3-871A-A943-A15C-451B4B624013}">
            <xm:f>OR(November!$C9="feriedag")</xm:f>
            <x14:dxf>
              <font>
                <color theme="1"/>
              </font>
              <fill>
                <patternFill>
                  <bgColor theme="6" tint="0.39994506668294322"/>
                </patternFill>
              </fill>
            </x14:dxf>
          </x14:cfRule>
          <x14:cfRule type="expression" priority="60" id="{DCA403BE-4695-E243-9B31-CDE573D32BF5}">
            <xm:f>OR(November!$C9="weekend")</xm:f>
            <x14:dxf>
              <font>
                <color theme="1"/>
              </font>
              <fill>
                <patternFill>
                  <bgColor theme="0" tint="-0.14996795556505021"/>
                </patternFill>
              </fill>
            </x14:dxf>
          </x14:cfRule>
          <x14:cfRule type="expression" priority="61" stopIfTrue="1" id="{24164010-B51D-2D40-ACA9-B60FB02B040C}">
            <xm:f>OR(November!$C9="Orlov")</xm:f>
            <x14:dxf>
              <font>
                <color theme="0"/>
              </font>
              <fill>
                <patternFill patternType="solid">
                  <bgColor theme="6" tint="-0.24994659260841701"/>
                </patternFill>
              </fill>
            </x14:dxf>
          </x14:cfRule>
          <xm:sqref>P3:T32</xm:sqref>
        </x14:conditionalFormatting>
        <x14:conditionalFormatting xmlns:xm="http://schemas.microsoft.com/office/excel/2006/main">
          <x14:cfRule type="expression" priority="51" stopIfTrue="1" id="{D358BCF8-85AC-BA40-A836-B48949AC57B2}">
            <xm:f>OR(December!$C9="Orlov")</xm:f>
            <x14:dxf>
              <font>
                <color theme="0"/>
              </font>
              <fill>
                <patternFill patternType="solid">
                  <bgColor theme="6" tint="-0.24994659260841701"/>
                </patternFill>
              </fill>
            </x14:dxf>
          </x14:cfRule>
          <x14:cfRule type="expression" priority="50" id="{BDCCCECE-18A6-DD4D-8287-DDB782F9579C}">
            <xm:f>OR(December!$C9="weekend")</xm:f>
            <x14:dxf>
              <font>
                <color theme="1"/>
              </font>
              <fill>
                <patternFill>
                  <bgColor theme="0" tint="-0.14996795556505021"/>
                </patternFill>
              </fill>
            </x14:dxf>
          </x14:cfRule>
          <x14:cfRule type="expression" priority="49" id="{3B95DC54-79FB-6E4F-8DC6-A7F8452A83D1}">
            <xm:f>OR(December!$C9="feriedag")</xm:f>
            <x14:dxf>
              <font>
                <color theme="1"/>
              </font>
              <fill>
                <patternFill>
                  <bgColor theme="6" tint="0.39994506668294322"/>
                </patternFill>
              </fill>
            </x14:dxf>
          </x14:cfRule>
          <x14:cfRule type="expression" priority="48" id="{CA67FB30-F316-FD41-AA7D-A3FFA6ACA202}">
            <xm:f>OR(December!$C9="fagdag")</xm:f>
            <x14:dxf>
              <font>
                <color theme="1"/>
              </font>
              <fill>
                <patternFill>
                  <bgColor theme="9" tint="0.59996337778862885"/>
                </patternFill>
              </fill>
            </x14:dxf>
          </x14:cfRule>
          <x14:cfRule type="expression" priority="47" id="{31D0F7ED-008C-A643-9630-E35BCC2D5713}">
            <xm:f>OR(December!$C9="emnedag")</xm:f>
            <x14:dxf>
              <font>
                <color theme="1"/>
              </font>
              <fill>
                <patternFill>
                  <bgColor theme="5" tint="0.59996337778862885"/>
                </patternFill>
              </fill>
            </x14:dxf>
          </x14:cfRule>
          <x14:cfRule type="expression" priority="46" id="{1F34D948-7D51-6C4D-9C12-EA1C00ECAA0D}">
            <xm:f>OR(December!$C9="lejrskole")</xm:f>
            <x14:dxf>
              <font>
                <color theme="1"/>
              </font>
              <fill>
                <patternFill>
                  <bgColor theme="8" tint="0.59996337778862885"/>
                </patternFill>
              </fill>
            </x14:dxf>
          </x14:cfRule>
          <x14:cfRule type="expression" priority="45" id="{42C6D939-E342-794F-8D68-4D2A92B68661}">
            <xm:f>OR(December!$C9="ekskursion")</xm:f>
            <x14:dxf>
              <font>
                <color theme="1"/>
              </font>
              <fill>
                <patternFill>
                  <bgColor rgb="FFFFFF00"/>
                </patternFill>
              </fill>
            </x14:dxf>
          </x14:cfRule>
          <x14:cfRule type="expression" priority="44" id="{95FF3B6C-9C43-8444-AAF4-1564645F2098}">
            <xm:f>OR(December!$C9="SH-dag")</xm:f>
            <x14:dxf>
              <font>
                <color theme="1"/>
              </font>
              <fill>
                <patternFill>
                  <bgColor rgb="FFFF2F82"/>
                </patternFill>
              </fill>
            </x14:dxf>
          </x14:cfRule>
          <x14:cfRule type="expression" priority="43" id="{B713B3FF-E644-6F43-9A39-F213E292C09D}">
            <xm:f>OR(December!$C9="nul-dag")</xm:f>
            <x14:dxf>
              <font>
                <color theme="1"/>
              </font>
              <fill>
                <patternFill>
                  <bgColor theme="5" tint="0.79998168889431442"/>
                </patternFill>
              </fill>
            </x14:dxf>
          </x14:cfRule>
          <x14:cfRule type="expression" priority="42" id="{07ADBFA5-B73D-CF41-95CD-1AFA8C6192DD}">
            <xm:f>OR(December!$C9="pæd.dag")</xm:f>
            <x14:dxf>
              <font>
                <color theme="1"/>
              </font>
              <fill>
                <patternFill>
                  <bgColor theme="7" tint="0.39994506668294322"/>
                </patternFill>
              </fill>
            </x14:dxf>
          </x14:cfRule>
          <x14:cfRule type="expression" priority="6" id="{D7EBA1BC-C9AE-7D4C-B30E-EC1B416868F4}">
            <xm:f>OR(December!$C9="Skema 1")</xm:f>
            <x14:dxf>
              <font>
                <color theme="1"/>
              </font>
              <fill>
                <patternFill>
                  <bgColor theme="4" tint="0.79998168889431442"/>
                </patternFill>
              </fill>
            </x14:dxf>
          </x14:cfRule>
          <x14:cfRule type="expression" priority="7" id="{FD4C3246-21CD-9743-87F3-620C8162FD86}">
            <xm:f>OR(December!$C9="Skema 2")</xm:f>
            <x14:dxf>
              <font>
                <color theme="1"/>
              </font>
              <fill>
                <patternFill>
                  <bgColor theme="4" tint="0.59996337778862885"/>
                </patternFill>
              </fill>
            </x14:dxf>
          </x14:cfRule>
          <x14:cfRule type="expression" priority="8" id="{502BE986-C74F-B04A-8751-28403A9BF494}">
            <xm:f>OR(December!$C9="Skema 3")</xm:f>
            <x14:dxf>
              <font>
                <color theme="0"/>
              </font>
              <fill>
                <patternFill>
                  <bgColor theme="4" tint="0.39994506668294322"/>
                </patternFill>
              </fill>
            </x14:dxf>
          </x14:cfRule>
          <x14:cfRule type="expression" priority="9" id="{BEEEB4A5-6AC8-FE43-9BC2-6A542C8813C9}">
            <xm:f>OR(December!$C9="Skema 4")</xm:f>
            <x14:dxf>
              <font>
                <color theme="0"/>
              </font>
              <fill>
                <patternFill>
                  <bgColor theme="4" tint="-0.24994659260841701"/>
                </patternFill>
              </fill>
            </x14:dxf>
          </x14:cfRule>
          <x14:cfRule type="expression" priority="27" id="{9B0E3D34-4C10-B641-9750-3FD87A54691D}">
            <xm:f>OR(December!$C9="Ikke relevant")</xm:f>
            <x14:dxf>
              <font>
                <color theme="0"/>
              </font>
              <fill>
                <patternFill>
                  <bgColor theme="1"/>
                </patternFill>
              </fill>
            </x14:dxf>
          </x14:cfRule>
          <xm:sqref>U3:Y33</xm:sqref>
        </x14:conditionalFormatting>
        <x14:conditionalFormatting xmlns:xm="http://schemas.microsoft.com/office/excel/2006/main">
          <x14:cfRule type="expression" priority="36" id="{A0D0FAB6-EDC2-F04E-9AA0-AC37C2D8CFA0}">
            <xm:f>OR(Januar!$C9="lejrskole")</xm:f>
            <x14:dxf>
              <font>
                <color theme="1"/>
              </font>
              <fill>
                <patternFill>
                  <bgColor theme="8" tint="0.59996337778862885"/>
                </patternFill>
              </fill>
            </x14:dxf>
          </x14:cfRule>
          <x14:cfRule type="expression" priority="35" id="{0A364475-486F-F548-AA5E-0240AD74B6F5}">
            <xm:f>OR(Januar!$C9="ekskursion")</xm:f>
            <x14:dxf>
              <font>
                <color theme="1"/>
              </font>
              <fill>
                <patternFill>
                  <bgColor rgb="FFFFFF00"/>
                </patternFill>
              </fill>
            </x14:dxf>
          </x14:cfRule>
          <x14:cfRule type="expression" priority="34" id="{59A55BCC-8EC7-6B46-8D8B-F62C6CFA6265}">
            <xm:f>OR(Januar!$C9="SH-dag")</xm:f>
            <x14:dxf>
              <font>
                <color theme="1"/>
              </font>
              <fill>
                <patternFill>
                  <bgColor rgb="FFFF2F82"/>
                </patternFill>
              </fill>
            </x14:dxf>
          </x14:cfRule>
          <x14:cfRule type="expression" priority="33" id="{52D09256-9D97-6546-A35A-A627276E2390}">
            <xm:f>OR(Januar!$C9="nul-dag")</xm:f>
            <x14:dxf>
              <font>
                <color theme="1"/>
              </font>
              <fill>
                <patternFill>
                  <bgColor theme="5" tint="0.79998168889431442"/>
                </patternFill>
              </fill>
            </x14:dxf>
          </x14:cfRule>
          <x14:cfRule type="expression" priority="32" id="{7DE50EC5-7141-694F-940D-A8D18C9104D2}">
            <xm:f>OR(Januar!$C9="pæd.dag")</xm:f>
            <x14:dxf>
              <font>
                <color theme="1"/>
              </font>
              <fill>
                <patternFill>
                  <bgColor theme="7" tint="0.39994506668294322"/>
                </patternFill>
              </fill>
            </x14:dxf>
          </x14:cfRule>
          <x14:cfRule type="expression" priority="37" id="{C3669A06-ECE3-1C4C-8A9E-AC7AB2A13144}">
            <xm:f>OR(Januar!$C9="emnedag")</xm:f>
            <x14:dxf>
              <font>
                <color theme="1"/>
              </font>
              <fill>
                <patternFill>
                  <bgColor theme="5" tint="0.59996337778862885"/>
                </patternFill>
              </fill>
            </x14:dxf>
          </x14:cfRule>
          <x14:cfRule type="expression" priority="26" id="{FDE39F5A-D65C-1344-816C-86CD370A3ECF}">
            <xm:f>OR(Januar!$C9="Ikke relevant")</xm:f>
            <x14:dxf>
              <font>
                <color theme="0"/>
              </font>
              <fill>
                <patternFill>
                  <bgColor theme="1"/>
                </patternFill>
              </fill>
            </x14:dxf>
          </x14:cfRule>
          <x14:cfRule type="expression" priority="38" id="{2A6AFF4D-71BF-5445-99EA-CFA1FD023307}">
            <xm:f>OR(Januar!$C9="fagdag")</xm:f>
            <x14:dxf>
              <font>
                <color theme="1"/>
              </font>
              <fill>
                <patternFill>
                  <bgColor theme="9" tint="0.59996337778862885"/>
                </patternFill>
              </fill>
            </x14:dxf>
          </x14:cfRule>
          <x14:cfRule type="expression" priority="39" id="{D62CD6F0-FB94-BE49-8742-DBB545E12DAE}">
            <xm:f>OR(Januar!$C9="feriedag")</xm:f>
            <x14:dxf>
              <font>
                <color theme="1"/>
              </font>
              <fill>
                <patternFill>
                  <bgColor theme="6" tint="0.39994506668294322"/>
                </patternFill>
              </fill>
            </x14:dxf>
          </x14:cfRule>
          <x14:cfRule type="expression" priority="40" id="{90360773-D299-7A4E-8D20-330CE4CDECBF}">
            <xm:f>OR(Januar!$C9="weekend")</xm:f>
            <x14:dxf>
              <font>
                <color theme="1"/>
              </font>
              <fill>
                <patternFill>
                  <bgColor theme="0" tint="-0.14996795556505021"/>
                </patternFill>
              </fill>
            </x14:dxf>
          </x14:cfRule>
          <x14:cfRule type="expression" priority="41" stopIfTrue="1" id="{84623046-F60B-3C47-9B00-5232AB04FE96}">
            <xm:f>OR(Januar!$C9="Orlov")</xm:f>
            <x14:dxf>
              <font>
                <color theme="0"/>
              </font>
              <fill>
                <patternFill patternType="solid">
                  <bgColor theme="6" tint="-0.24994659260841701"/>
                </patternFill>
              </fill>
            </x14:dxf>
          </x14:cfRule>
          <x14:cfRule type="expression" priority="5" id="{62F71BAE-4588-E24E-A4E5-F0C02F99DE26}">
            <xm:f>OR(Januar!$C9="Skema 4")</xm:f>
            <x14:dxf>
              <font>
                <color theme="0"/>
              </font>
              <fill>
                <patternFill>
                  <bgColor theme="4" tint="-0.24994659260841701"/>
                </patternFill>
              </fill>
            </x14:dxf>
          </x14:cfRule>
          <x14:cfRule type="expression" priority="4" id="{F39B1262-9811-2243-A35C-56E5B44D5636}">
            <xm:f>OR(Januar!$C9="Skema 3")</xm:f>
            <x14:dxf>
              <font>
                <color theme="0"/>
              </font>
              <fill>
                <patternFill>
                  <bgColor theme="4" tint="0.39994506668294322"/>
                </patternFill>
              </fill>
            </x14:dxf>
          </x14:cfRule>
          <x14:cfRule type="expression" priority="3" id="{40A8624D-C4DB-6E47-AA8C-162FE7A3C02E}">
            <xm:f>OR(Januar!$C9="Skema 2")</xm:f>
            <x14:dxf>
              <font>
                <color theme="1"/>
              </font>
              <fill>
                <patternFill>
                  <bgColor theme="4" tint="0.59996337778862885"/>
                </patternFill>
              </fill>
            </x14:dxf>
          </x14:cfRule>
          <x14:cfRule type="expression" priority="2" id="{574FAC8E-B719-8248-AB94-253102EF7EAF}">
            <xm:f>OR(Januar!$C9="Skema 1")</xm:f>
            <x14:dxf>
              <font>
                <color theme="1"/>
              </font>
              <fill>
                <patternFill>
                  <bgColor theme="4" tint="0.79998168889431442"/>
                </patternFill>
              </fill>
            </x14:dxf>
          </x14:cfRule>
          <xm:sqref>Z3:AD33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40"/>
  <sheetViews>
    <sheetView showGridLines="0" showZeros="0" topLeftCell="A6" zoomScale="80" zoomScaleNormal="80" zoomScalePageLayoutView="80" workbookViewId="0">
      <selection activeCell="O43" sqref="O43"/>
    </sheetView>
  </sheetViews>
  <sheetFormatPr baseColWidth="10" defaultColWidth="12.5" defaultRowHeight="36" customHeight="1"/>
  <cols>
    <col min="1" max="2" width="4.33203125" style="75" customWidth="1"/>
    <col min="3" max="3" width="7.83203125" style="76" customWidth="1"/>
    <col min="4" max="4" width="20.1640625" style="76" customWidth="1"/>
    <col min="5" max="5" width="3.1640625" style="74" customWidth="1"/>
    <col min="6" max="7" width="4.33203125" style="75" customWidth="1"/>
    <col min="8" max="8" width="8" style="76" customWidth="1"/>
    <col min="9" max="9" width="20.33203125" style="76" customWidth="1"/>
    <col min="10" max="10" width="5" style="74" customWidth="1"/>
    <col min="11" max="12" width="4.33203125" style="75" customWidth="1"/>
    <col min="13" max="13" width="7.83203125" style="76" customWidth="1"/>
    <col min="14" max="14" width="20.1640625" style="76" customWidth="1"/>
    <col min="15" max="15" width="4" style="74" customWidth="1"/>
    <col min="16" max="17" width="4.33203125" style="75" customWidth="1"/>
    <col min="18" max="18" width="7.83203125" style="76" customWidth="1"/>
    <col min="19" max="19" width="20.1640625" style="76" customWidth="1"/>
    <col min="20" max="20" width="4" style="74" customWidth="1"/>
    <col min="21" max="21" width="5.33203125" style="75" customWidth="1"/>
    <col min="22" max="22" width="4.33203125" style="75" customWidth="1"/>
    <col min="23" max="23" width="7.83203125" style="76" customWidth="1"/>
    <col min="24" max="24" width="20.1640625" style="76" customWidth="1"/>
    <col min="25" max="25" width="4" style="74" customWidth="1"/>
    <col min="26" max="27" width="4.33203125" style="75" customWidth="1"/>
    <col min="28" max="28" width="7.83203125" style="76" customWidth="1"/>
    <col min="29" max="29" width="20.1640625" style="76" customWidth="1"/>
    <col min="30" max="30" width="4" style="74" customWidth="1"/>
    <col min="31" max="16384" width="12.5" style="63"/>
  </cols>
  <sheetData>
    <row r="1" spans="1:30" ht="36" customHeight="1">
      <c r="A1" s="597" t="str">
        <f>'1.halvaar'!A1</f>
        <v>Halvårskalender for Beate Simonsen vedr. skoleåret 2024-2025</v>
      </c>
      <c r="B1" s="598"/>
      <c r="C1" s="599"/>
      <c r="D1" s="599"/>
      <c r="E1" s="600"/>
      <c r="F1" s="601"/>
      <c r="G1" s="598"/>
      <c r="H1" s="599"/>
      <c r="I1" s="599"/>
      <c r="J1" s="602"/>
      <c r="K1" s="601"/>
      <c r="L1" s="598"/>
      <c r="M1" s="599"/>
      <c r="N1" s="599"/>
      <c r="O1" s="602"/>
      <c r="P1" s="601"/>
      <c r="Q1" s="598"/>
      <c r="R1" s="599"/>
      <c r="S1" s="599"/>
      <c r="T1" s="602"/>
      <c r="U1" s="601"/>
      <c r="V1" s="598"/>
      <c r="W1" s="599"/>
      <c r="X1" s="599"/>
      <c r="Y1" s="602"/>
      <c r="Z1" s="601"/>
      <c r="AA1" s="598"/>
      <c r="AB1" s="599"/>
      <c r="AC1" s="599"/>
      <c r="AD1" s="600"/>
    </row>
    <row r="2" spans="1:30" s="62" customFormat="1" ht="23" customHeight="1">
      <c r="A2" s="591" t="s">
        <v>99</v>
      </c>
      <c r="B2" s="587"/>
      <c r="C2" s="588"/>
      <c r="D2" s="588"/>
      <c r="E2" s="589"/>
      <c r="F2" s="586" t="s">
        <v>100</v>
      </c>
      <c r="G2" s="587"/>
      <c r="H2" s="588"/>
      <c r="I2" s="588"/>
      <c r="J2" s="589"/>
      <c r="K2" s="586" t="s">
        <v>101</v>
      </c>
      <c r="L2" s="587"/>
      <c r="M2" s="588"/>
      <c r="N2" s="588"/>
      <c r="O2" s="589"/>
      <c r="P2" s="586" t="s">
        <v>102</v>
      </c>
      <c r="Q2" s="587"/>
      <c r="R2" s="588"/>
      <c r="S2" s="588"/>
      <c r="T2" s="589"/>
      <c r="U2" s="586" t="s">
        <v>103</v>
      </c>
      <c r="V2" s="587"/>
      <c r="W2" s="588"/>
      <c r="X2" s="588"/>
      <c r="Y2" s="589"/>
      <c r="Z2" s="586" t="s">
        <v>104</v>
      </c>
      <c r="AA2" s="587"/>
      <c r="AB2" s="588"/>
      <c r="AC2" s="588"/>
      <c r="AD2" s="589"/>
    </row>
    <row r="3" spans="1:30" ht="23" customHeight="1">
      <c r="A3" s="592">
        <f>Aar!Y3</f>
        <v>1</v>
      </c>
      <c r="B3" s="593" t="str">
        <f>Aar!Z3</f>
        <v>lø</v>
      </c>
      <c r="C3" s="594" t="str">
        <f>Februar!C9</f>
        <v>Weekend</v>
      </c>
      <c r="D3" s="595" t="str">
        <f>Februar!DN9</f>
        <v/>
      </c>
      <c r="E3" s="596" t="str">
        <f>Februar!D9</f>
        <v/>
      </c>
      <c r="F3" s="128">
        <f>Aar!AC3</f>
        <v>1</v>
      </c>
      <c r="G3" s="128" t="str">
        <f>Aar!AD3</f>
        <v>lø</v>
      </c>
      <c r="H3" s="128" t="str">
        <f>Aar!AE3</f>
        <v>Weekend</v>
      </c>
      <c r="I3" s="581" t="str">
        <f>Marts!DN9</f>
        <v/>
      </c>
      <c r="J3" s="577" t="str">
        <f>Marts!D9</f>
        <v/>
      </c>
      <c r="K3" s="128">
        <f>Aar!AG3</f>
        <v>1</v>
      </c>
      <c r="L3" s="128" t="str">
        <f>Aar!AH3</f>
        <v>ti</v>
      </c>
      <c r="M3" s="128" t="str">
        <f>Aar!AI3</f>
        <v>Skema 2</v>
      </c>
      <c r="N3" s="581" t="str">
        <f>April!DN9</f>
        <v/>
      </c>
      <c r="O3" s="575" t="str">
        <f>April!D9</f>
        <v/>
      </c>
      <c r="P3" s="576">
        <f>Aar!AK3</f>
        <v>1</v>
      </c>
      <c r="Q3" s="128" t="str">
        <f>Aar!AL3</f>
        <v>to</v>
      </c>
      <c r="R3" s="128" t="str">
        <f>Aar!AM3</f>
        <v>Skema 2</v>
      </c>
      <c r="S3" s="581" t="str">
        <f>Maj!DN9</f>
        <v/>
      </c>
      <c r="T3" s="577" t="str">
        <f>Maj!D9</f>
        <v/>
      </c>
      <c r="U3" s="576">
        <f>Aar!AO3</f>
        <v>1</v>
      </c>
      <c r="V3" s="128" t="str">
        <f>Aar!AP3</f>
        <v>sø</v>
      </c>
      <c r="W3" s="128" t="str">
        <f>Aar!AQ3</f>
        <v>Weekend</v>
      </c>
      <c r="X3" s="581" t="str">
        <f>Juni!DN9</f>
        <v/>
      </c>
      <c r="Y3" s="575" t="str">
        <f>Juni!D9</f>
        <v/>
      </c>
      <c r="Z3" s="576">
        <f>Aar!AS3</f>
        <v>1</v>
      </c>
      <c r="AA3" s="128" t="str">
        <f>Aar!AT3</f>
        <v>ti</v>
      </c>
      <c r="AB3" s="128" t="str">
        <f>Aar!AU3</f>
        <v>Pæd.dag</v>
      </c>
      <c r="AC3" s="581" t="str">
        <f>Juli!DN9</f>
        <v/>
      </c>
      <c r="AD3" s="577" t="str">
        <f>Juli!D9</f>
        <v/>
      </c>
    </row>
    <row r="4" spans="1:30" ht="23" customHeight="1">
      <c r="A4" s="576">
        <f>Aar!Y4</f>
        <v>2</v>
      </c>
      <c r="B4" s="128" t="str">
        <f>Aar!Z4</f>
        <v>sø</v>
      </c>
      <c r="C4" s="129" t="str">
        <f>Februar!C10</f>
        <v>Weekend</v>
      </c>
      <c r="D4" s="580" t="str">
        <f>Februar!DN10</f>
        <v/>
      </c>
      <c r="E4" s="579" t="str">
        <f>Aar!AB4</f>
        <v/>
      </c>
      <c r="F4" s="128">
        <f>Aar!AC4</f>
        <v>2</v>
      </c>
      <c r="G4" s="128" t="str">
        <f>Aar!AD4</f>
        <v>sø</v>
      </c>
      <c r="H4" s="128" t="str">
        <f>Aar!AE4</f>
        <v>Weekend</v>
      </c>
      <c r="I4" s="581" t="str">
        <f>Marts!DN10</f>
        <v/>
      </c>
      <c r="J4" s="577" t="str">
        <f>Marts!D10</f>
        <v/>
      </c>
      <c r="K4" s="128">
        <f>Aar!AG4</f>
        <v>2</v>
      </c>
      <c r="L4" s="128" t="str">
        <f>Aar!AH4</f>
        <v>on</v>
      </c>
      <c r="M4" s="128" t="str">
        <f>Aar!AI4</f>
        <v>Skema 2</v>
      </c>
      <c r="N4" s="581" t="str">
        <f>April!DN10</f>
        <v/>
      </c>
      <c r="O4" s="575" t="str">
        <f>April!D10</f>
        <v/>
      </c>
      <c r="P4" s="576">
        <f>Aar!AK4</f>
        <v>2</v>
      </c>
      <c r="Q4" s="128" t="str">
        <f>Aar!AL4</f>
        <v>fr</v>
      </c>
      <c r="R4" s="128" t="str">
        <f>Aar!AM4</f>
        <v>Skema 2</v>
      </c>
      <c r="S4" s="581" t="str">
        <f>Maj!DN10</f>
        <v/>
      </c>
      <c r="T4" s="577" t="str">
        <f>Maj!D10</f>
        <v/>
      </c>
      <c r="U4" s="576">
        <f>Aar!AO4</f>
        <v>2</v>
      </c>
      <c r="V4" s="128" t="str">
        <f>Aar!AP4</f>
        <v>ma</v>
      </c>
      <c r="W4" s="128" t="str">
        <f>Aar!AQ4</f>
        <v>Skema 2</v>
      </c>
      <c r="X4" s="581" t="str">
        <f>Juni!DN10</f>
        <v/>
      </c>
      <c r="Y4" s="575">
        <f>Juni!D10</f>
        <v>22.714285714285715</v>
      </c>
      <c r="Z4" s="576">
        <f>Aar!AS4</f>
        <v>2</v>
      </c>
      <c r="AA4" s="128" t="str">
        <f>Aar!AT4</f>
        <v>on</v>
      </c>
      <c r="AB4" s="128" t="str">
        <f>Aar!AU4</f>
        <v>Nul-dag</v>
      </c>
      <c r="AC4" s="581" t="str">
        <f>Juli!DN10</f>
        <v/>
      </c>
      <c r="AD4" s="577" t="str">
        <f>Juli!D10</f>
        <v/>
      </c>
    </row>
    <row r="5" spans="1:30" ht="23" customHeight="1">
      <c r="A5" s="576">
        <f>Aar!Y5</f>
        <v>3</v>
      </c>
      <c r="B5" s="128" t="str">
        <f>Aar!Z5</f>
        <v>ma</v>
      </c>
      <c r="C5" s="129" t="str">
        <f>Februar!C11</f>
        <v>Skema 2</v>
      </c>
      <c r="D5" s="580" t="str">
        <f>Februar!DN11</f>
        <v/>
      </c>
      <c r="E5" s="579">
        <f>Aar!AB5</f>
        <v>5.7142857142857144</v>
      </c>
      <c r="F5" s="128">
        <f>Aar!AC5</f>
        <v>3</v>
      </c>
      <c r="G5" s="128" t="str">
        <f>Aar!AD5</f>
        <v>ma</v>
      </c>
      <c r="H5" s="128" t="str">
        <f>Aar!AE5</f>
        <v>Skema 2</v>
      </c>
      <c r="I5" s="581" t="str">
        <f>Marts!DN11</f>
        <v/>
      </c>
      <c r="J5" s="577">
        <f>Marts!D11</f>
        <v>9.7142857142857135</v>
      </c>
      <c r="K5" s="128">
        <f>Aar!AG5</f>
        <v>3</v>
      </c>
      <c r="L5" s="128" t="str">
        <f>Aar!AH5</f>
        <v>to</v>
      </c>
      <c r="M5" s="128" t="str">
        <f>Aar!AI5</f>
        <v>Skema 2</v>
      </c>
      <c r="N5" s="581" t="str">
        <f>April!DN11</f>
        <v/>
      </c>
      <c r="O5" s="575" t="str">
        <f>April!D11</f>
        <v/>
      </c>
      <c r="P5" s="576">
        <f>Aar!AK5</f>
        <v>3</v>
      </c>
      <c r="Q5" s="128" t="str">
        <f>Aar!AL5</f>
        <v>lø</v>
      </c>
      <c r="R5" s="128" t="str">
        <f>Aar!AM5</f>
        <v>Weekend</v>
      </c>
      <c r="S5" s="581" t="str">
        <f>Maj!DN11</f>
        <v/>
      </c>
      <c r="T5" s="577" t="str">
        <f>Maj!D11</f>
        <v/>
      </c>
      <c r="U5" s="576">
        <f>Aar!AO5</f>
        <v>3</v>
      </c>
      <c r="V5" s="128" t="str">
        <f>Aar!AP5</f>
        <v>ti</v>
      </c>
      <c r="W5" s="128" t="str">
        <f>Aar!AQ5</f>
        <v>Skema 2</v>
      </c>
      <c r="X5" s="581" t="str">
        <f>Juni!DN11</f>
        <v/>
      </c>
      <c r="Y5" s="575" t="str">
        <f>Juni!D11</f>
        <v/>
      </c>
      <c r="Z5" s="576">
        <f>Aar!AS5</f>
        <v>3</v>
      </c>
      <c r="AA5" s="128" t="str">
        <f>Aar!AT5</f>
        <v>to</v>
      </c>
      <c r="AB5" s="128" t="str">
        <f>Aar!AU5</f>
        <v>Nul-dag</v>
      </c>
      <c r="AC5" s="581" t="str">
        <f>Juli!DN11</f>
        <v/>
      </c>
      <c r="AD5" s="577" t="str">
        <f>Juli!D11</f>
        <v/>
      </c>
    </row>
    <row r="6" spans="1:30" ht="23" customHeight="1">
      <c r="A6" s="576">
        <f>Aar!Y6</f>
        <v>4</v>
      </c>
      <c r="B6" s="128" t="str">
        <f>Aar!Z6</f>
        <v>ti</v>
      </c>
      <c r="C6" s="129" t="str">
        <f>Februar!C12</f>
        <v>Skema 2</v>
      </c>
      <c r="D6" s="580" t="str">
        <f>Februar!DN12</f>
        <v/>
      </c>
      <c r="E6" s="579" t="str">
        <f>Aar!AB6</f>
        <v/>
      </c>
      <c r="F6" s="128">
        <f>Aar!AC6</f>
        <v>4</v>
      </c>
      <c r="G6" s="128" t="str">
        <f>Aar!AD6</f>
        <v>ti</v>
      </c>
      <c r="H6" s="128" t="str">
        <f>Aar!AE6</f>
        <v>Skema 2</v>
      </c>
      <c r="I6" s="581" t="str">
        <f>Marts!DN12</f>
        <v/>
      </c>
      <c r="J6" s="577" t="str">
        <f>Marts!D12</f>
        <v/>
      </c>
      <c r="K6" s="128">
        <f>Aar!AG6</f>
        <v>4</v>
      </c>
      <c r="L6" s="128" t="str">
        <f>Aar!AH6</f>
        <v>fr</v>
      </c>
      <c r="M6" s="128" t="str">
        <f>Aar!AI6</f>
        <v>Skema 2</v>
      </c>
      <c r="N6" s="581" t="str">
        <f>April!DN12</f>
        <v/>
      </c>
      <c r="O6" s="575" t="str">
        <f>April!D12</f>
        <v/>
      </c>
      <c r="P6" s="576">
        <f>Aar!AK6</f>
        <v>4</v>
      </c>
      <c r="Q6" s="128" t="str">
        <f>Aar!AL6</f>
        <v>sø</v>
      </c>
      <c r="R6" s="128" t="str">
        <f>Aar!AM6</f>
        <v>Weekend</v>
      </c>
      <c r="S6" s="581" t="str">
        <f>Maj!DN12</f>
        <v/>
      </c>
      <c r="T6" s="577" t="str">
        <f>Maj!D12</f>
        <v/>
      </c>
      <c r="U6" s="576">
        <f>Aar!AO6</f>
        <v>4</v>
      </c>
      <c r="V6" s="128" t="str">
        <f>Aar!AP6</f>
        <v>on</v>
      </c>
      <c r="W6" s="128" t="str">
        <f>Aar!AQ6</f>
        <v>Skema 2</v>
      </c>
      <c r="X6" s="581" t="str">
        <f>Juni!DN12</f>
        <v/>
      </c>
      <c r="Y6" s="575" t="str">
        <f>Juni!D12</f>
        <v/>
      </c>
      <c r="Z6" s="576">
        <f>Aar!AS6</f>
        <v>4</v>
      </c>
      <c r="AA6" s="128" t="str">
        <f>Aar!AT6</f>
        <v>fr</v>
      </c>
      <c r="AB6" s="128" t="str">
        <f>Aar!AU6</f>
        <v>Nul-dag</v>
      </c>
      <c r="AC6" s="581" t="str">
        <f>Juli!DN12</f>
        <v/>
      </c>
      <c r="AD6" s="577" t="str">
        <f>Juli!D12</f>
        <v/>
      </c>
    </row>
    <row r="7" spans="1:30" ht="23" customHeight="1">
      <c r="A7" s="576">
        <f>Aar!Y7</f>
        <v>5</v>
      </c>
      <c r="B7" s="128" t="str">
        <f>Aar!Z7</f>
        <v>on</v>
      </c>
      <c r="C7" s="129" t="str">
        <f>Februar!C13</f>
        <v>Skema 2</v>
      </c>
      <c r="D7" s="580" t="str">
        <f>Februar!DN13</f>
        <v/>
      </c>
      <c r="E7" s="579" t="str">
        <f>Aar!AB7</f>
        <v/>
      </c>
      <c r="F7" s="128">
        <f>Aar!AC7</f>
        <v>5</v>
      </c>
      <c r="G7" s="128" t="str">
        <f>Aar!AD7</f>
        <v>on</v>
      </c>
      <c r="H7" s="128" t="str">
        <f>Aar!AE7</f>
        <v>Skema 2</v>
      </c>
      <c r="I7" s="581" t="str">
        <f>Marts!DN13</f>
        <v/>
      </c>
      <c r="J7" s="577" t="str">
        <f>Marts!D13</f>
        <v/>
      </c>
      <c r="K7" s="128">
        <f>Aar!AG7</f>
        <v>5</v>
      </c>
      <c r="L7" s="128" t="str">
        <f>Aar!AH7</f>
        <v>lø</v>
      </c>
      <c r="M7" s="128" t="str">
        <f>Aar!AI7</f>
        <v>Weekend</v>
      </c>
      <c r="N7" s="581" t="str">
        <f>April!DN13</f>
        <v/>
      </c>
      <c r="O7" s="575" t="str">
        <f>April!D13</f>
        <v/>
      </c>
      <c r="P7" s="576">
        <f>Aar!AK7</f>
        <v>5</v>
      </c>
      <c r="Q7" s="128" t="str">
        <f>Aar!AL7</f>
        <v>ma</v>
      </c>
      <c r="R7" s="128" t="str">
        <f>Aar!AM7</f>
        <v>Skema 2</v>
      </c>
      <c r="S7" s="581" t="str">
        <f>Maj!DN13</f>
        <v/>
      </c>
      <c r="T7" s="577">
        <f>Maj!D13</f>
        <v>18.714285714285715</v>
      </c>
      <c r="U7" s="576">
        <f>Aar!AO7</f>
        <v>5</v>
      </c>
      <c r="V7" s="128" t="str">
        <f>Aar!AP7</f>
        <v>to</v>
      </c>
      <c r="W7" s="128" t="str">
        <f>Aar!AQ7</f>
        <v>Nul-dag</v>
      </c>
      <c r="X7" s="581" t="str">
        <f>Juni!DN13</f>
        <v>Grundlovsdag</v>
      </c>
      <c r="Y7" s="575" t="str">
        <f>Juni!D13</f>
        <v/>
      </c>
      <c r="Z7" s="576">
        <f>Aar!AS7</f>
        <v>5</v>
      </c>
      <c r="AA7" s="128" t="str">
        <f>Aar!AT7</f>
        <v>lø</v>
      </c>
      <c r="AB7" s="128" t="str">
        <f>Aar!AU7</f>
        <v>Weekend</v>
      </c>
      <c r="AC7" s="581" t="str">
        <f>Juli!DN13</f>
        <v/>
      </c>
      <c r="AD7" s="577" t="str">
        <f>Juli!D13</f>
        <v/>
      </c>
    </row>
    <row r="8" spans="1:30" ht="23" customHeight="1">
      <c r="A8" s="576">
        <f>Aar!Y8</f>
        <v>6</v>
      </c>
      <c r="B8" s="128" t="str">
        <f>Aar!Z8</f>
        <v>to</v>
      </c>
      <c r="C8" s="129" t="str">
        <f>Februar!C14</f>
        <v>Skema 2</v>
      </c>
      <c r="D8" s="580" t="str">
        <f>Februar!DN14</f>
        <v/>
      </c>
      <c r="E8" s="579" t="str">
        <f>Aar!AB8</f>
        <v/>
      </c>
      <c r="F8" s="128">
        <f>Aar!AC8</f>
        <v>6</v>
      </c>
      <c r="G8" s="128" t="str">
        <f>Aar!AD8</f>
        <v>to</v>
      </c>
      <c r="H8" s="128" t="str">
        <f>Aar!AE8</f>
        <v>Skema 2</v>
      </c>
      <c r="I8" s="581" t="str">
        <f>Marts!DN14</f>
        <v/>
      </c>
      <c r="J8" s="577" t="str">
        <f>Marts!D14</f>
        <v/>
      </c>
      <c r="K8" s="128">
        <f>Aar!AG8</f>
        <v>6</v>
      </c>
      <c r="L8" s="128" t="str">
        <f>Aar!AH8</f>
        <v>sø</v>
      </c>
      <c r="M8" s="128" t="str">
        <f>Aar!AI8</f>
        <v>Weekend</v>
      </c>
      <c r="N8" s="581" t="str">
        <f>April!DN14</f>
        <v/>
      </c>
      <c r="O8" s="575" t="str">
        <f>April!D14</f>
        <v/>
      </c>
      <c r="P8" s="576">
        <f>Aar!AK8</f>
        <v>6</v>
      </c>
      <c r="Q8" s="128" t="str">
        <f>Aar!AL8</f>
        <v>ti</v>
      </c>
      <c r="R8" s="128" t="str">
        <f>Aar!AM8</f>
        <v>Skema 2</v>
      </c>
      <c r="S8" s="581" t="str">
        <f>Maj!DN14</f>
        <v/>
      </c>
      <c r="T8" s="577" t="str">
        <f>Maj!D14</f>
        <v/>
      </c>
      <c r="U8" s="576">
        <f>Aar!AO8</f>
        <v>6</v>
      </c>
      <c r="V8" s="128" t="str">
        <f>Aar!AP8</f>
        <v>fr</v>
      </c>
      <c r="W8" s="128" t="str">
        <f>Aar!AQ8</f>
        <v>Skema 2</v>
      </c>
      <c r="X8" s="581" t="str">
        <f>Juni!DN14</f>
        <v/>
      </c>
      <c r="Y8" s="575" t="str">
        <f>Juni!D14</f>
        <v/>
      </c>
      <c r="Z8" s="576">
        <f>Aar!AS8</f>
        <v>6</v>
      </c>
      <c r="AA8" s="128" t="str">
        <f>Aar!AT8</f>
        <v>sø</v>
      </c>
      <c r="AB8" s="128" t="str">
        <f>Aar!AU8</f>
        <v>Weekend</v>
      </c>
      <c r="AC8" s="581" t="str">
        <f>Juli!DN14</f>
        <v/>
      </c>
      <c r="AD8" s="577" t="str">
        <f>Juli!D14</f>
        <v/>
      </c>
    </row>
    <row r="9" spans="1:30" ht="23" customHeight="1">
      <c r="A9" s="576">
        <f>Aar!Y9</f>
        <v>7</v>
      </c>
      <c r="B9" s="128" t="str">
        <f>Aar!Z9</f>
        <v>fr</v>
      </c>
      <c r="C9" s="129" t="str">
        <f>Februar!C15</f>
        <v>Skema 2</v>
      </c>
      <c r="D9" s="580" t="str">
        <f>Februar!DN15</f>
        <v/>
      </c>
      <c r="E9" s="579" t="str">
        <f>Aar!AB9</f>
        <v/>
      </c>
      <c r="F9" s="128">
        <f>Aar!AC9</f>
        <v>7</v>
      </c>
      <c r="G9" s="128" t="str">
        <f>Aar!AD9</f>
        <v>fr</v>
      </c>
      <c r="H9" s="128" t="str">
        <f>Aar!AE9</f>
        <v>Skema 2</v>
      </c>
      <c r="I9" s="581" t="str">
        <f>Marts!DN15</f>
        <v/>
      </c>
      <c r="J9" s="577" t="str">
        <f>Marts!D15</f>
        <v/>
      </c>
      <c r="K9" s="128">
        <f>Aar!AG9</f>
        <v>7</v>
      </c>
      <c r="L9" s="128" t="str">
        <f>Aar!AH9</f>
        <v>ma</v>
      </c>
      <c r="M9" s="128" t="str">
        <f>Aar!AI9</f>
        <v>Skema 2</v>
      </c>
      <c r="N9" s="581" t="str">
        <f>April!DN15</f>
        <v>Skolehjem</v>
      </c>
      <c r="O9" s="575">
        <f>April!D15</f>
        <v>14.714285714285714</v>
      </c>
      <c r="P9" s="576">
        <f>Aar!AK9</f>
        <v>7</v>
      </c>
      <c r="Q9" s="128" t="str">
        <f>Aar!AL9</f>
        <v>on</v>
      </c>
      <c r="R9" s="128" t="str">
        <f>Aar!AM9</f>
        <v>Skema 2</v>
      </c>
      <c r="S9" s="581" t="str">
        <f>Maj!DN15</f>
        <v/>
      </c>
      <c r="T9" s="577" t="str">
        <f>Maj!D15</f>
        <v/>
      </c>
      <c r="U9" s="576">
        <f>Aar!AO9</f>
        <v>7</v>
      </c>
      <c r="V9" s="128" t="str">
        <f>Aar!AP9</f>
        <v>lø</v>
      </c>
      <c r="W9" s="128" t="str">
        <f>Aar!AQ9</f>
        <v>Weekend</v>
      </c>
      <c r="X9" s="581" t="str">
        <f>Juni!DN15</f>
        <v/>
      </c>
      <c r="Y9" s="575" t="str">
        <f>Juni!D15</f>
        <v/>
      </c>
      <c r="Z9" s="576">
        <f>Aar!AS9</f>
        <v>7</v>
      </c>
      <c r="AA9" s="128" t="str">
        <f>Aar!AT9</f>
        <v>ma</v>
      </c>
      <c r="AB9" s="128" t="str">
        <f>Aar!AU9</f>
        <v>Nul-dag</v>
      </c>
      <c r="AC9" s="581" t="str">
        <f>Juli!DN15</f>
        <v/>
      </c>
      <c r="AD9" s="577">
        <f>Juli!D15</f>
        <v>27.714285714285715</v>
      </c>
    </row>
    <row r="10" spans="1:30" ht="23" customHeight="1">
      <c r="A10" s="576">
        <f>Aar!Y10</f>
        <v>8</v>
      </c>
      <c r="B10" s="128" t="str">
        <f>Aar!Z10</f>
        <v>lø</v>
      </c>
      <c r="C10" s="129" t="str">
        <f>Februar!C16</f>
        <v>Weekend</v>
      </c>
      <c r="D10" s="580" t="str">
        <f>Februar!DN16</f>
        <v/>
      </c>
      <c r="E10" s="579" t="str">
        <f>Aar!AB10</f>
        <v/>
      </c>
      <c r="F10" s="128">
        <f>Aar!AC10</f>
        <v>8</v>
      </c>
      <c r="G10" s="128" t="str">
        <f>Aar!AD10</f>
        <v>lø</v>
      </c>
      <c r="H10" s="128" t="str">
        <f>Aar!AE10</f>
        <v>Weekend</v>
      </c>
      <c r="I10" s="581" t="str">
        <f>Marts!DN16</f>
        <v/>
      </c>
      <c r="J10" s="577" t="str">
        <f>Marts!D16</f>
        <v/>
      </c>
      <c r="K10" s="128">
        <f>Aar!AG10</f>
        <v>8</v>
      </c>
      <c r="L10" s="128" t="str">
        <f>Aar!AH10</f>
        <v>ti</v>
      </c>
      <c r="M10" s="128" t="str">
        <f>Aar!AI10</f>
        <v>Skema 2</v>
      </c>
      <c r="N10" s="581" t="str">
        <f>April!DN16</f>
        <v>Skolehjem</v>
      </c>
      <c r="O10" s="575" t="str">
        <f>April!D16</f>
        <v/>
      </c>
      <c r="P10" s="576">
        <f>Aar!AK10</f>
        <v>8</v>
      </c>
      <c r="Q10" s="128" t="str">
        <f>Aar!AL10</f>
        <v>to</v>
      </c>
      <c r="R10" s="128" t="str">
        <f>Aar!AM10</f>
        <v>Skema 2</v>
      </c>
      <c r="S10" s="581" t="str">
        <f>Maj!DN16</f>
        <v/>
      </c>
      <c r="T10" s="577" t="str">
        <f>Maj!D16</f>
        <v/>
      </c>
      <c r="U10" s="576">
        <f>Aar!AO10</f>
        <v>8</v>
      </c>
      <c r="V10" s="128" t="str">
        <f>Aar!AP10</f>
        <v>sø</v>
      </c>
      <c r="W10" s="128" t="str">
        <f>Aar!AQ10</f>
        <v>Weekend</v>
      </c>
      <c r="X10" s="581" t="str">
        <f>Juni!DN16</f>
        <v>Pinsedag</v>
      </c>
      <c r="Y10" s="575" t="str">
        <f>Juni!D16</f>
        <v/>
      </c>
      <c r="Z10" s="576">
        <f>Aar!AS10</f>
        <v>8</v>
      </c>
      <c r="AA10" s="128" t="str">
        <f>Aar!AT10</f>
        <v>ti</v>
      </c>
      <c r="AB10" s="128" t="str">
        <f>Aar!AU10</f>
        <v>Feriedag</v>
      </c>
      <c r="AC10" s="581" t="str">
        <f>Juli!DN16</f>
        <v>Sommerferie</v>
      </c>
      <c r="AD10" s="577" t="str">
        <f>Juli!D16</f>
        <v/>
      </c>
    </row>
    <row r="11" spans="1:30" ht="23" customHeight="1">
      <c r="A11" s="576">
        <f>Aar!Y11</f>
        <v>9</v>
      </c>
      <c r="B11" s="128" t="str">
        <f>Aar!Z11</f>
        <v>sø</v>
      </c>
      <c r="C11" s="129" t="str">
        <f>Februar!C17</f>
        <v>Weekend</v>
      </c>
      <c r="D11" s="580" t="str">
        <f>Februar!DN17</f>
        <v/>
      </c>
      <c r="E11" s="579" t="str">
        <f>Aar!AB11</f>
        <v/>
      </c>
      <c r="F11" s="128">
        <f>Aar!AC11</f>
        <v>9</v>
      </c>
      <c r="G11" s="128" t="str">
        <f>Aar!AD11</f>
        <v>sø</v>
      </c>
      <c r="H11" s="128" t="str">
        <f>Aar!AE11</f>
        <v>Weekend</v>
      </c>
      <c r="I11" s="581" t="str">
        <f>Marts!DN17</f>
        <v/>
      </c>
      <c r="J11" s="577" t="str">
        <f>Marts!D17</f>
        <v/>
      </c>
      <c r="K11" s="128">
        <f>Aar!AG11</f>
        <v>9</v>
      </c>
      <c r="L11" s="128" t="str">
        <f>Aar!AH11</f>
        <v>on</v>
      </c>
      <c r="M11" s="128" t="str">
        <f>Aar!AI11</f>
        <v>Skema 2</v>
      </c>
      <c r="N11" s="581" t="str">
        <f>April!DN17</f>
        <v/>
      </c>
      <c r="O11" s="575" t="str">
        <f>April!D17</f>
        <v/>
      </c>
      <c r="P11" s="576">
        <f>Aar!AK11</f>
        <v>9</v>
      </c>
      <c r="Q11" s="128" t="str">
        <f>Aar!AL11</f>
        <v>fr</v>
      </c>
      <c r="R11" s="128" t="str">
        <f>Aar!AM11</f>
        <v>Skema 2</v>
      </c>
      <c r="S11" s="581" t="str">
        <f>Maj!DN17</f>
        <v/>
      </c>
      <c r="T11" s="577" t="str">
        <f>Maj!D17</f>
        <v/>
      </c>
      <c r="U11" s="576">
        <f>Aar!AO11</f>
        <v>9</v>
      </c>
      <c r="V11" s="128" t="str">
        <f>Aar!AP11</f>
        <v>ma</v>
      </c>
      <c r="W11" s="128" t="str">
        <f>Aar!AQ11</f>
        <v>SH-dag</v>
      </c>
      <c r="X11" s="581" t="str">
        <f>Juni!DN17</f>
        <v>2. pinsedag</v>
      </c>
      <c r="Y11" s="575">
        <f>Juni!D17</f>
        <v>23.714285714285715</v>
      </c>
      <c r="Z11" s="576">
        <f>Aar!AS11</f>
        <v>9</v>
      </c>
      <c r="AA11" s="128" t="str">
        <f>Aar!AT11</f>
        <v>on</v>
      </c>
      <c r="AB11" s="128" t="str">
        <f>Aar!AU11</f>
        <v>Feriedag</v>
      </c>
      <c r="AC11" s="581" t="str">
        <f>Juli!DN17</f>
        <v>Sommerferie</v>
      </c>
      <c r="AD11" s="577" t="str">
        <f>Juli!D17</f>
        <v/>
      </c>
    </row>
    <row r="12" spans="1:30" ht="23" customHeight="1">
      <c r="A12" s="576">
        <f>Aar!Y12</f>
        <v>10</v>
      </c>
      <c r="B12" s="128" t="str">
        <f>Aar!Z12</f>
        <v>ma</v>
      </c>
      <c r="C12" s="129" t="str">
        <f>Februar!C18</f>
        <v>Nul-dag</v>
      </c>
      <c r="D12" s="580" t="str">
        <f>Februar!DN18</f>
        <v>Elevernes vinterferie</v>
      </c>
      <c r="E12" s="579">
        <f>Aar!AB12</f>
        <v>6.7142857142857144</v>
      </c>
      <c r="F12" s="128">
        <f>Aar!AC12</f>
        <v>10</v>
      </c>
      <c r="G12" s="128" t="str">
        <f>Aar!AD12</f>
        <v>ma</v>
      </c>
      <c r="H12" s="128" t="str">
        <f>Aar!AE12</f>
        <v>Skema 2</v>
      </c>
      <c r="I12" s="581" t="str">
        <f>Marts!DN18</f>
        <v/>
      </c>
      <c r="J12" s="577">
        <f>Marts!D18</f>
        <v>10.714285714285714</v>
      </c>
      <c r="K12" s="128">
        <f>Aar!AG12</f>
        <v>10</v>
      </c>
      <c r="L12" s="128" t="str">
        <f>Aar!AH12</f>
        <v>to</v>
      </c>
      <c r="M12" s="128" t="str">
        <f>Aar!AI12</f>
        <v>Skema 2</v>
      </c>
      <c r="N12" s="581" t="str">
        <f>April!DN18</f>
        <v/>
      </c>
      <c r="O12" s="575" t="str">
        <f>April!D18</f>
        <v/>
      </c>
      <c r="P12" s="576">
        <f>Aar!AK12</f>
        <v>10</v>
      </c>
      <c r="Q12" s="128" t="str">
        <f>Aar!AL12</f>
        <v>lø</v>
      </c>
      <c r="R12" s="128" t="str">
        <f>Aar!AM12</f>
        <v>Weekend</v>
      </c>
      <c r="S12" s="581" t="str">
        <f>Maj!DN18</f>
        <v/>
      </c>
      <c r="T12" s="577" t="str">
        <f>Maj!D18</f>
        <v/>
      </c>
      <c r="U12" s="576">
        <f>Aar!AO12</f>
        <v>10</v>
      </c>
      <c r="V12" s="128" t="str">
        <f>Aar!AP12</f>
        <v>ti</v>
      </c>
      <c r="W12" s="128" t="str">
        <f>Aar!AQ12</f>
        <v>Skema 2</v>
      </c>
      <c r="X12" s="581" t="str">
        <f>Juni!DN18</f>
        <v/>
      </c>
      <c r="Y12" s="575" t="str">
        <f>Juni!D18</f>
        <v/>
      </c>
      <c r="Z12" s="576">
        <f>Aar!AS12</f>
        <v>10</v>
      </c>
      <c r="AA12" s="128" t="str">
        <f>Aar!AT12</f>
        <v>to</v>
      </c>
      <c r="AB12" s="128" t="str">
        <f>Aar!AU12</f>
        <v>Feriedag</v>
      </c>
      <c r="AC12" s="581" t="str">
        <f>Juli!DN18</f>
        <v>Sommerferie</v>
      </c>
      <c r="AD12" s="577" t="str">
        <f>Juli!D18</f>
        <v/>
      </c>
    </row>
    <row r="13" spans="1:30" ht="23" customHeight="1">
      <c r="A13" s="576">
        <f>Aar!Y13</f>
        <v>11</v>
      </c>
      <c r="B13" s="128" t="str">
        <f>Aar!Z13</f>
        <v>ti</v>
      </c>
      <c r="C13" s="129" t="str">
        <f>Februar!C19</f>
        <v>Nul-dag</v>
      </c>
      <c r="D13" s="580" t="str">
        <f>Februar!DN19</f>
        <v>Elevernes vinterferie</v>
      </c>
      <c r="E13" s="579" t="str">
        <f>Aar!AB13</f>
        <v/>
      </c>
      <c r="F13" s="128">
        <f>Aar!AC13</f>
        <v>11</v>
      </c>
      <c r="G13" s="128" t="str">
        <f>Aar!AD13</f>
        <v>ti</v>
      </c>
      <c r="H13" s="128" t="str">
        <f>Aar!AE13</f>
        <v>Skema 2</v>
      </c>
      <c r="I13" s="581" t="str">
        <f>Marts!DN19</f>
        <v/>
      </c>
      <c r="J13" s="577" t="str">
        <f>Marts!D19</f>
        <v/>
      </c>
      <c r="K13" s="128">
        <f>Aar!AG13</f>
        <v>11</v>
      </c>
      <c r="L13" s="128" t="str">
        <f>Aar!AH13</f>
        <v>fr</v>
      </c>
      <c r="M13" s="128" t="str">
        <f>Aar!AI13</f>
        <v>Skema 2</v>
      </c>
      <c r="N13" s="581" t="str">
        <f>April!DN19</f>
        <v/>
      </c>
      <c r="O13" s="575" t="str">
        <f>April!D19</f>
        <v/>
      </c>
      <c r="P13" s="576">
        <f>Aar!AK13</f>
        <v>11</v>
      </c>
      <c r="Q13" s="128" t="str">
        <f>Aar!AL13</f>
        <v>sø</v>
      </c>
      <c r="R13" s="128" t="str">
        <f>Aar!AM13</f>
        <v>Weekend</v>
      </c>
      <c r="S13" s="581" t="str">
        <f>Maj!DN19</f>
        <v/>
      </c>
      <c r="T13" s="577" t="str">
        <f>Maj!D19</f>
        <v/>
      </c>
      <c r="U13" s="576">
        <f>Aar!AO13</f>
        <v>11</v>
      </c>
      <c r="V13" s="128" t="str">
        <f>Aar!AP13</f>
        <v>on</v>
      </c>
      <c r="W13" s="128" t="str">
        <f>Aar!AQ13</f>
        <v>Skema 2</v>
      </c>
      <c r="X13" s="581" t="str">
        <f>Juni!DN19</f>
        <v/>
      </c>
      <c r="Y13" s="575" t="str">
        <f>Juni!D19</f>
        <v/>
      </c>
      <c r="Z13" s="576">
        <f>Aar!AS13</f>
        <v>11</v>
      </c>
      <c r="AA13" s="128" t="str">
        <f>Aar!AT13</f>
        <v>fr</v>
      </c>
      <c r="AB13" s="128" t="str">
        <f>Aar!AU13</f>
        <v>Feriedag</v>
      </c>
      <c r="AC13" s="581" t="str">
        <f>Juli!DN19</f>
        <v>Sommerferie</v>
      </c>
      <c r="AD13" s="577" t="str">
        <f>Juli!D19</f>
        <v/>
      </c>
    </row>
    <row r="14" spans="1:30" ht="23" customHeight="1">
      <c r="A14" s="576">
        <f>Aar!Y14</f>
        <v>12</v>
      </c>
      <c r="B14" s="128" t="str">
        <f>Aar!Z14</f>
        <v>on</v>
      </c>
      <c r="C14" s="129" t="str">
        <f>Februar!C20</f>
        <v>Nul-dag</v>
      </c>
      <c r="D14" s="580" t="str">
        <f>Februar!DN20</f>
        <v>Elevernes vinterferie</v>
      </c>
      <c r="E14" s="579" t="str">
        <f>Aar!AB14</f>
        <v/>
      </c>
      <c r="F14" s="128">
        <f>Aar!AC14</f>
        <v>12</v>
      </c>
      <c r="G14" s="128" t="str">
        <f>Aar!AD14</f>
        <v>on</v>
      </c>
      <c r="H14" s="128" t="str">
        <f>Aar!AE14</f>
        <v>Skema 2</v>
      </c>
      <c r="I14" s="581" t="str">
        <f>Marts!DN20</f>
        <v/>
      </c>
      <c r="J14" s="577" t="str">
        <f>Marts!D20</f>
        <v/>
      </c>
      <c r="K14" s="128">
        <f>Aar!AG14</f>
        <v>12</v>
      </c>
      <c r="L14" s="128" t="str">
        <f>Aar!AH14</f>
        <v>lø</v>
      </c>
      <c r="M14" s="128" t="str">
        <f>Aar!AI14</f>
        <v>Weekend</v>
      </c>
      <c r="N14" s="581" t="str">
        <f>April!DN20</f>
        <v/>
      </c>
      <c r="O14" s="575" t="str">
        <f>April!D20</f>
        <v/>
      </c>
      <c r="P14" s="576">
        <f>Aar!AK14</f>
        <v>12</v>
      </c>
      <c r="Q14" s="128" t="str">
        <f>Aar!AL14</f>
        <v>ma</v>
      </c>
      <c r="R14" s="128" t="str">
        <f>Aar!AM14</f>
        <v>Skema 2</v>
      </c>
      <c r="S14" s="581" t="str">
        <f>Maj!DN20</f>
        <v/>
      </c>
      <c r="T14" s="577">
        <f>Maj!D20</f>
        <v>19.714285714285715</v>
      </c>
      <c r="U14" s="576">
        <f>Aar!AO14</f>
        <v>12</v>
      </c>
      <c r="V14" s="128" t="str">
        <f>Aar!AP14</f>
        <v>to</v>
      </c>
      <c r="W14" s="128" t="str">
        <f>Aar!AQ14</f>
        <v>Skema 2</v>
      </c>
      <c r="X14" s="581" t="str">
        <f>Juni!DN20</f>
        <v/>
      </c>
      <c r="Y14" s="575" t="str">
        <f>Juni!D20</f>
        <v/>
      </c>
      <c r="Z14" s="576">
        <f>Aar!AS14</f>
        <v>12</v>
      </c>
      <c r="AA14" s="128" t="str">
        <f>Aar!AT14</f>
        <v>lø</v>
      </c>
      <c r="AB14" s="128" t="str">
        <f>Aar!AU14</f>
        <v>Weekend</v>
      </c>
      <c r="AC14" s="581" t="str">
        <f>Juli!DN20</f>
        <v/>
      </c>
      <c r="AD14" s="577" t="str">
        <f>Juli!D20</f>
        <v/>
      </c>
    </row>
    <row r="15" spans="1:30" ht="23" customHeight="1">
      <c r="A15" s="576">
        <f>Aar!Y15</f>
        <v>13</v>
      </c>
      <c r="B15" s="128" t="str">
        <f>Aar!Z15</f>
        <v>to</v>
      </c>
      <c r="C15" s="129" t="str">
        <f>Februar!C21</f>
        <v>Nul-dag</v>
      </c>
      <c r="D15" s="580" t="str">
        <f>Februar!DN21</f>
        <v>Elevernes vinterferie</v>
      </c>
      <c r="E15" s="579" t="str">
        <f>Aar!AB15</f>
        <v/>
      </c>
      <c r="F15" s="128">
        <f>Aar!AC15</f>
        <v>13</v>
      </c>
      <c r="G15" s="128" t="str">
        <f>Aar!AD15</f>
        <v>to</v>
      </c>
      <c r="H15" s="128" t="str">
        <f>Aar!AE15</f>
        <v>Skema 2</v>
      </c>
      <c r="I15" s="581" t="str">
        <f>Marts!DN21</f>
        <v/>
      </c>
      <c r="J15" s="577" t="str">
        <f>Marts!D21</f>
        <v/>
      </c>
      <c r="K15" s="128">
        <f>Aar!AG15</f>
        <v>13</v>
      </c>
      <c r="L15" s="128" t="str">
        <f>Aar!AH15</f>
        <v>sø</v>
      </c>
      <c r="M15" s="128" t="str">
        <f>Aar!AI15</f>
        <v>Weekend</v>
      </c>
      <c r="N15" s="581" t="str">
        <f>April!DN21</f>
        <v/>
      </c>
      <c r="O15" s="575" t="str">
        <f>April!D21</f>
        <v/>
      </c>
      <c r="P15" s="576">
        <f>Aar!AK15</f>
        <v>13</v>
      </c>
      <c r="Q15" s="128" t="str">
        <f>Aar!AL15</f>
        <v>ti</v>
      </c>
      <c r="R15" s="128" t="str">
        <f>Aar!AM15</f>
        <v>Lejrskole</v>
      </c>
      <c r="S15" s="581" t="str">
        <f>Maj!DN21</f>
        <v>Storlejr - kl. 8:00</v>
      </c>
      <c r="T15" s="577" t="str">
        <f>Maj!D21</f>
        <v/>
      </c>
      <c r="U15" s="576">
        <f>Aar!AO15</f>
        <v>13</v>
      </c>
      <c r="V15" s="128" t="str">
        <f>Aar!AP15</f>
        <v>fr</v>
      </c>
      <c r="W15" s="128" t="str">
        <f>Aar!AQ15</f>
        <v>Skema 2</v>
      </c>
      <c r="X15" s="581" t="str">
        <f>Juni!DN21</f>
        <v/>
      </c>
      <c r="Y15" s="575" t="str">
        <f>Juni!D21</f>
        <v/>
      </c>
      <c r="Z15" s="576">
        <f>Aar!AS15</f>
        <v>13</v>
      </c>
      <c r="AA15" s="128" t="str">
        <f>Aar!AT15</f>
        <v>sø</v>
      </c>
      <c r="AB15" s="128" t="str">
        <f>Aar!AU15</f>
        <v>Weekend</v>
      </c>
      <c r="AC15" s="581" t="str">
        <f>Juli!DN21</f>
        <v/>
      </c>
      <c r="AD15" s="577" t="str">
        <f>Juli!D21</f>
        <v/>
      </c>
    </row>
    <row r="16" spans="1:30" ht="23" customHeight="1">
      <c r="A16" s="576">
        <f>Aar!Y16</f>
        <v>14</v>
      </c>
      <c r="B16" s="128" t="str">
        <f>Aar!Z16</f>
        <v>fr</v>
      </c>
      <c r="C16" s="129" t="str">
        <f>Februar!C22</f>
        <v>Nul-dag</v>
      </c>
      <c r="D16" s="580" t="str">
        <f>Februar!DN22</f>
        <v>Elevernes vinterferie</v>
      </c>
      <c r="E16" s="579" t="str">
        <f>Aar!AB16</f>
        <v/>
      </c>
      <c r="F16" s="128">
        <f>Aar!AC16</f>
        <v>14</v>
      </c>
      <c r="G16" s="128" t="str">
        <f>Aar!AD16</f>
        <v>fr</v>
      </c>
      <c r="H16" s="128" t="str">
        <f>Aar!AE16</f>
        <v>Pæd.dag</v>
      </c>
      <c r="I16" s="581" t="str">
        <f>Marts!DN22</f>
        <v>Forældrene underviser</v>
      </c>
      <c r="J16" s="577" t="str">
        <f>Marts!D22</f>
        <v/>
      </c>
      <c r="K16" s="128">
        <f>Aar!AG16</f>
        <v>14</v>
      </c>
      <c r="L16" s="128" t="str">
        <f>Aar!AH16</f>
        <v>ma</v>
      </c>
      <c r="M16" s="128" t="str">
        <f>Aar!AI16</f>
        <v>Nul-dag</v>
      </c>
      <c r="N16" s="581" t="str">
        <f>April!DN22</f>
        <v/>
      </c>
      <c r="O16" s="575">
        <f>April!D22</f>
        <v>15.714285714285714</v>
      </c>
      <c r="P16" s="576">
        <f>Aar!AK16</f>
        <v>14</v>
      </c>
      <c r="Q16" s="128" t="str">
        <f>Aar!AL16</f>
        <v>on</v>
      </c>
      <c r="R16" s="128" t="str">
        <f>Aar!AM16</f>
        <v>Lejrskole</v>
      </c>
      <c r="S16" s="581" t="str">
        <f>Maj!DN22</f>
        <v>Storlejr</v>
      </c>
      <c r="T16" s="577" t="str">
        <f>Maj!D22</f>
        <v/>
      </c>
      <c r="U16" s="576">
        <f>Aar!AO16</f>
        <v>14</v>
      </c>
      <c r="V16" s="128" t="str">
        <f>Aar!AP16</f>
        <v>lø</v>
      </c>
      <c r="W16" s="128" t="str">
        <f>Aar!AQ16</f>
        <v>Weekend</v>
      </c>
      <c r="X16" s="581" t="str">
        <f>Juni!DN22</f>
        <v/>
      </c>
      <c r="Y16" s="575" t="str">
        <f>Juni!D22</f>
        <v/>
      </c>
      <c r="Z16" s="576">
        <f>Aar!AS16</f>
        <v>14</v>
      </c>
      <c r="AA16" s="128" t="str">
        <f>Aar!AT16</f>
        <v>ma</v>
      </c>
      <c r="AB16" s="128" t="str">
        <f>Aar!AU16</f>
        <v>Feriedag</v>
      </c>
      <c r="AC16" s="581" t="str">
        <f>Juli!DN22</f>
        <v>Sommerferie</v>
      </c>
      <c r="AD16" s="577">
        <f>Juli!D22</f>
        <v>28.714285714285715</v>
      </c>
    </row>
    <row r="17" spans="1:30" ht="23" customHeight="1">
      <c r="A17" s="576">
        <f>Aar!Y17</f>
        <v>15</v>
      </c>
      <c r="B17" s="128" t="str">
        <f>Aar!Z17</f>
        <v>lø</v>
      </c>
      <c r="C17" s="129" t="str">
        <f>Februar!C23</f>
        <v>Weekend</v>
      </c>
      <c r="D17" s="580" t="str">
        <f>Februar!DN23</f>
        <v/>
      </c>
      <c r="E17" s="579" t="str">
        <f>Aar!AB17</f>
        <v/>
      </c>
      <c r="F17" s="128">
        <f>Aar!AC17</f>
        <v>15</v>
      </c>
      <c r="G17" s="128" t="str">
        <f>Aar!AD17</f>
        <v>lø</v>
      </c>
      <c r="H17" s="128" t="str">
        <f>Aar!AE17</f>
        <v>Weekend</v>
      </c>
      <c r="I17" s="581" t="str">
        <f>Marts!DN23</f>
        <v/>
      </c>
      <c r="J17" s="577" t="str">
        <f>Marts!D23</f>
        <v/>
      </c>
      <c r="K17" s="128">
        <f>Aar!AG17</f>
        <v>15</v>
      </c>
      <c r="L17" s="128" t="str">
        <f>Aar!AH17</f>
        <v>ti</v>
      </c>
      <c r="M17" s="128" t="str">
        <f>Aar!AI17</f>
        <v>Nul-dag</v>
      </c>
      <c r="N17" s="581" t="str">
        <f>April!DN23</f>
        <v/>
      </c>
      <c r="O17" s="575" t="str">
        <f>April!D23</f>
        <v/>
      </c>
      <c r="P17" s="576">
        <f>Aar!AK17</f>
        <v>15</v>
      </c>
      <c r="Q17" s="128" t="str">
        <f>Aar!AL17</f>
        <v>to</v>
      </c>
      <c r="R17" s="128" t="str">
        <f>Aar!AM17</f>
        <v>Lejrskole</v>
      </c>
      <c r="S17" s="581" t="str">
        <f>Maj!DN23</f>
        <v>Storlejr - forventet hjemkomst kl. 17</v>
      </c>
      <c r="T17" s="577" t="str">
        <f>Maj!D23</f>
        <v/>
      </c>
      <c r="U17" s="576">
        <f>Aar!AO17</f>
        <v>15</v>
      </c>
      <c r="V17" s="128" t="str">
        <f>Aar!AP17</f>
        <v>sø</v>
      </c>
      <c r="W17" s="128" t="str">
        <f>Aar!AQ17</f>
        <v>Weekend</v>
      </c>
      <c r="X17" s="581" t="str">
        <f>Juni!DN23</f>
        <v/>
      </c>
      <c r="Y17" s="575" t="str">
        <f>Juni!D23</f>
        <v/>
      </c>
      <c r="Z17" s="576">
        <f>Aar!AS17</f>
        <v>15</v>
      </c>
      <c r="AA17" s="128" t="str">
        <f>Aar!AT17</f>
        <v>ti</v>
      </c>
      <c r="AB17" s="128" t="str">
        <f>Aar!AU17</f>
        <v>Feriedag</v>
      </c>
      <c r="AC17" s="581" t="str">
        <f>Juli!DN23</f>
        <v>Sommerferie</v>
      </c>
      <c r="AD17" s="577" t="str">
        <f>Juli!D23</f>
        <v/>
      </c>
    </row>
    <row r="18" spans="1:30" ht="23" customHeight="1">
      <c r="A18" s="576">
        <f>Aar!Y18</f>
        <v>16</v>
      </c>
      <c r="B18" s="128" t="str">
        <f>Aar!Z18</f>
        <v>sø</v>
      </c>
      <c r="C18" s="129" t="str">
        <f>Februar!C24</f>
        <v>Weekend</v>
      </c>
      <c r="D18" s="580" t="str">
        <f>Februar!DN24</f>
        <v/>
      </c>
      <c r="E18" s="579" t="str">
        <f>Aar!AB18</f>
        <v/>
      </c>
      <c r="F18" s="128">
        <f>Aar!AC18</f>
        <v>16</v>
      </c>
      <c r="G18" s="128" t="str">
        <f>Aar!AD18</f>
        <v>sø</v>
      </c>
      <c r="H18" s="128" t="str">
        <f>Aar!AE18</f>
        <v>Weekend</v>
      </c>
      <c r="I18" s="581" t="str">
        <f>Marts!DN24</f>
        <v/>
      </c>
      <c r="J18" s="577" t="str">
        <f>Marts!D24</f>
        <v/>
      </c>
      <c r="K18" s="128">
        <f>Aar!AG18</f>
        <v>16</v>
      </c>
      <c r="L18" s="128" t="str">
        <f>Aar!AH18</f>
        <v>on</v>
      </c>
      <c r="M18" s="128" t="str">
        <f>Aar!AI18</f>
        <v>Nul-dag</v>
      </c>
      <c r="N18" s="581" t="str">
        <f>April!DN24</f>
        <v/>
      </c>
      <c r="O18" s="575" t="str">
        <f>April!D24</f>
        <v/>
      </c>
      <c r="P18" s="576">
        <f>Aar!AK18</f>
        <v>16</v>
      </c>
      <c r="Q18" s="128" t="str">
        <f>Aar!AL18</f>
        <v>fr</v>
      </c>
      <c r="R18" s="128" t="str">
        <f>Aar!AM18</f>
        <v>Skema 2</v>
      </c>
      <c r="S18" s="581" t="str">
        <f>Maj!DN24</f>
        <v/>
      </c>
      <c r="T18" s="577" t="str">
        <f>Maj!D24</f>
        <v/>
      </c>
      <c r="U18" s="576">
        <f>Aar!AO18</f>
        <v>16</v>
      </c>
      <c r="V18" s="128" t="str">
        <f>Aar!AP18</f>
        <v>ma</v>
      </c>
      <c r="W18" s="128" t="str">
        <f>Aar!AQ18</f>
        <v>Skema 2</v>
      </c>
      <c r="X18" s="581" t="str">
        <f>Juni!DN24</f>
        <v/>
      </c>
      <c r="Y18" s="575">
        <f>Juni!D24</f>
        <v>24.714285714285715</v>
      </c>
      <c r="Z18" s="576">
        <f>Aar!AS18</f>
        <v>16</v>
      </c>
      <c r="AA18" s="128" t="str">
        <f>Aar!AT18</f>
        <v>on</v>
      </c>
      <c r="AB18" s="128" t="str">
        <f>Aar!AU18</f>
        <v>Feriedag</v>
      </c>
      <c r="AC18" s="581" t="str">
        <f>Juli!DN24</f>
        <v>Sommerferie</v>
      </c>
      <c r="AD18" s="577" t="str">
        <f>Juli!D24</f>
        <v/>
      </c>
    </row>
    <row r="19" spans="1:30" ht="23" customHeight="1">
      <c r="A19" s="576">
        <f>Aar!Y19</f>
        <v>17</v>
      </c>
      <c r="B19" s="128" t="str">
        <f>Aar!Z19</f>
        <v>ma</v>
      </c>
      <c r="C19" s="129" t="str">
        <f>Februar!C25</f>
        <v>Skema 2</v>
      </c>
      <c r="D19" s="580" t="str">
        <f>Februar!DN25</f>
        <v/>
      </c>
      <c r="E19" s="579">
        <f>Aar!AB19</f>
        <v>7.7142857142857144</v>
      </c>
      <c r="F19" s="128">
        <f>Aar!AC19</f>
        <v>17</v>
      </c>
      <c r="G19" s="128" t="str">
        <f>Aar!AD19</f>
        <v>ma</v>
      </c>
      <c r="H19" s="128" t="str">
        <f>Aar!AE19</f>
        <v>Skema 2</v>
      </c>
      <c r="I19" s="581" t="str">
        <f>Marts!DN25</f>
        <v/>
      </c>
      <c r="J19" s="577">
        <f>Marts!D25</f>
        <v>11.714285714285714</v>
      </c>
      <c r="K19" s="128">
        <f>Aar!AG19</f>
        <v>17</v>
      </c>
      <c r="L19" s="128" t="str">
        <f>Aar!AH19</f>
        <v>to</v>
      </c>
      <c r="M19" s="128" t="str">
        <f>Aar!AI19</f>
        <v>SH-dag</v>
      </c>
      <c r="N19" s="581" t="str">
        <f>April!DN25</f>
        <v>Skærtorsdag</v>
      </c>
      <c r="O19" s="575" t="str">
        <f>April!D25</f>
        <v/>
      </c>
      <c r="P19" s="576">
        <f>Aar!AK19</f>
        <v>17</v>
      </c>
      <c r="Q19" s="128" t="str">
        <f>Aar!AL19</f>
        <v>lø</v>
      </c>
      <c r="R19" s="128" t="str">
        <f>Aar!AM19</f>
        <v>Weekend</v>
      </c>
      <c r="S19" s="581" t="str">
        <f>Maj!DN25</f>
        <v/>
      </c>
      <c r="T19" s="577" t="str">
        <f>Maj!D25</f>
        <v/>
      </c>
      <c r="U19" s="576">
        <f>Aar!AO19</f>
        <v>17</v>
      </c>
      <c r="V19" s="128" t="str">
        <f>Aar!AP19</f>
        <v>ti</v>
      </c>
      <c r="W19" s="128" t="str">
        <f>Aar!AQ19</f>
        <v>Skema 2</v>
      </c>
      <c r="X19" s="581" t="str">
        <f>Juni!DN25</f>
        <v/>
      </c>
      <c r="Y19" s="575" t="str">
        <f>Juni!D25</f>
        <v/>
      </c>
      <c r="Z19" s="576">
        <f>Aar!AS19</f>
        <v>17</v>
      </c>
      <c r="AA19" s="128" t="str">
        <f>Aar!AT19</f>
        <v>to</v>
      </c>
      <c r="AB19" s="128" t="str">
        <f>Aar!AU19</f>
        <v>Feriedag</v>
      </c>
      <c r="AC19" s="581" t="str">
        <f>Juli!DN25</f>
        <v>Sommerferie</v>
      </c>
      <c r="AD19" s="577" t="str">
        <f>Juli!D25</f>
        <v/>
      </c>
    </row>
    <row r="20" spans="1:30" ht="23" customHeight="1">
      <c r="A20" s="576">
        <f>Aar!Y20</f>
        <v>18</v>
      </c>
      <c r="B20" s="128" t="str">
        <f>Aar!Z20</f>
        <v>ti</v>
      </c>
      <c r="C20" s="129" t="str">
        <f>Februar!C26</f>
        <v>Skema 2</v>
      </c>
      <c r="D20" s="580" t="str">
        <f>Februar!DN26</f>
        <v/>
      </c>
      <c r="E20" s="579" t="str">
        <f>Aar!AB20</f>
        <v/>
      </c>
      <c r="F20" s="128">
        <f>Aar!AC20</f>
        <v>18</v>
      </c>
      <c r="G20" s="128" t="str">
        <f>Aar!AD20</f>
        <v>ti</v>
      </c>
      <c r="H20" s="128" t="str">
        <f>Aar!AE20</f>
        <v>Skema 2</v>
      </c>
      <c r="I20" s="581" t="str">
        <f>Marts!DN26</f>
        <v/>
      </c>
      <c r="J20" s="577" t="str">
        <f>Marts!D26</f>
        <v/>
      </c>
      <c r="K20" s="128">
        <f>Aar!AG20</f>
        <v>18</v>
      </c>
      <c r="L20" s="128" t="str">
        <f>Aar!AH20</f>
        <v>fr</v>
      </c>
      <c r="M20" s="128" t="str">
        <f>Aar!AI20</f>
        <v>SH-dag</v>
      </c>
      <c r="N20" s="581" t="str">
        <f>April!DN26</f>
        <v>Langfredag</v>
      </c>
      <c r="O20" s="575" t="str">
        <f>April!D26</f>
        <v/>
      </c>
      <c r="P20" s="576">
        <f>Aar!AK20</f>
        <v>18</v>
      </c>
      <c r="Q20" s="128" t="str">
        <f>Aar!AL20</f>
        <v>sø</v>
      </c>
      <c r="R20" s="128" t="str">
        <f>Aar!AM20</f>
        <v>Weekend</v>
      </c>
      <c r="S20" s="581" t="str">
        <f>Maj!DN26</f>
        <v/>
      </c>
      <c r="T20" s="577" t="str">
        <f>Maj!D26</f>
        <v/>
      </c>
      <c r="U20" s="576">
        <f>Aar!AO20</f>
        <v>18</v>
      </c>
      <c r="V20" s="128" t="str">
        <f>Aar!AP20</f>
        <v>on</v>
      </c>
      <c r="W20" s="128" t="str">
        <f>Aar!AQ20</f>
        <v>Skema 2</v>
      </c>
      <c r="X20" s="581" t="str">
        <f>Juni!DN26</f>
        <v/>
      </c>
      <c r="Y20" s="575" t="str">
        <f>Juni!D26</f>
        <v/>
      </c>
      <c r="Z20" s="576">
        <f>Aar!AS20</f>
        <v>18</v>
      </c>
      <c r="AA20" s="128" t="str">
        <f>Aar!AT20</f>
        <v>fr</v>
      </c>
      <c r="AB20" s="128" t="str">
        <f>Aar!AU20</f>
        <v>Feriedag</v>
      </c>
      <c r="AC20" s="581" t="str">
        <f>Juli!DN26</f>
        <v>Sommerferie</v>
      </c>
      <c r="AD20" s="577" t="str">
        <f>Juli!D26</f>
        <v/>
      </c>
    </row>
    <row r="21" spans="1:30" ht="23" customHeight="1">
      <c r="A21" s="576">
        <f>Aar!Y21</f>
        <v>19</v>
      </c>
      <c r="B21" s="128" t="str">
        <f>Aar!Z21</f>
        <v>on</v>
      </c>
      <c r="C21" s="129" t="str">
        <f>Februar!C27</f>
        <v>Skema 2</v>
      </c>
      <c r="D21" s="580" t="str">
        <f>Februar!DN27</f>
        <v/>
      </c>
      <c r="E21" s="579" t="str">
        <f>Aar!AB21</f>
        <v/>
      </c>
      <c r="F21" s="128">
        <f>Aar!AC21</f>
        <v>19</v>
      </c>
      <c r="G21" s="128" t="str">
        <f>Aar!AD21</f>
        <v>on</v>
      </c>
      <c r="H21" s="128" t="str">
        <f>Aar!AE21</f>
        <v>Emnedag</v>
      </c>
      <c r="I21" s="581" t="str">
        <f>Marts!DN27</f>
        <v>Tværdag med naboskole</v>
      </c>
      <c r="J21" s="577" t="str">
        <f>Marts!D27</f>
        <v/>
      </c>
      <c r="K21" s="128">
        <f>Aar!AG21</f>
        <v>19</v>
      </c>
      <c r="L21" s="128" t="str">
        <f>Aar!AH21</f>
        <v>lø</v>
      </c>
      <c r="M21" s="128" t="str">
        <f>Aar!AI21</f>
        <v>Weekend</v>
      </c>
      <c r="N21" s="581" t="str">
        <f>April!DN27</f>
        <v/>
      </c>
      <c r="O21" s="575" t="str">
        <f>April!D27</f>
        <v/>
      </c>
      <c r="P21" s="576">
        <f>Aar!AK21</f>
        <v>19</v>
      </c>
      <c r="Q21" s="128" t="str">
        <f>Aar!AL21</f>
        <v>ma</v>
      </c>
      <c r="R21" s="128" t="str">
        <f>Aar!AM21</f>
        <v>Skema 2</v>
      </c>
      <c r="S21" s="581" t="str">
        <f>Maj!DN27</f>
        <v/>
      </c>
      <c r="T21" s="577">
        <f>Maj!D27</f>
        <v>20.714285714285715</v>
      </c>
      <c r="U21" s="576">
        <f>Aar!AO21</f>
        <v>19</v>
      </c>
      <c r="V21" s="128" t="str">
        <f>Aar!AP21</f>
        <v>to</v>
      </c>
      <c r="W21" s="128" t="str">
        <f>Aar!AQ21</f>
        <v>Skema 2</v>
      </c>
      <c r="X21" s="581" t="str">
        <f>Juni!DN27</f>
        <v/>
      </c>
      <c r="Y21" s="575" t="str">
        <f>Juni!D27</f>
        <v/>
      </c>
      <c r="Z21" s="576">
        <f>Aar!AS21</f>
        <v>19</v>
      </c>
      <c r="AA21" s="128" t="str">
        <f>Aar!AT21</f>
        <v>lø</v>
      </c>
      <c r="AB21" s="128" t="str">
        <f>Aar!AU21</f>
        <v>Weekend</v>
      </c>
      <c r="AC21" s="581" t="str">
        <f>Juli!DN27</f>
        <v/>
      </c>
      <c r="AD21" s="577" t="str">
        <f>Juli!D27</f>
        <v/>
      </c>
    </row>
    <row r="22" spans="1:30" ht="23" customHeight="1">
      <c r="A22" s="576">
        <f>Aar!Y22</f>
        <v>20</v>
      </c>
      <c r="B22" s="128" t="str">
        <f>Aar!Z22</f>
        <v>to</v>
      </c>
      <c r="C22" s="129" t="str">
        <f>Februar!C28</f>
        <v>Fagdag</v>
      </c>
      <c r="D22" s="580" t="str">
        <f>Februar!DN28</f>
        <v>Dansk fagdag</v>
      </c>
      <c r="E22" s="579" t="str">
        <f>Aar!AB22</f>
        <v/>
      </c>
      <c r="F22" s="128">
        <f>Aar!AC22</f>
        <v>20</v>
      </c>
      <c r="G22" s="128" t="str">
        <f>Aar!AD22</f>
        <v>to</v>
      </c>
      <c r="H22" s="128" t="str">
        <f>Aar!AE22</f>
        <v>Emnedag</v>
      </c>
      <c r="I22" s="581" t="str">
        <f>Marts!DN28</f>
        <v>Tværdag med naboskole</v>
      </c>
      <c r="J22" s="577" t="str">
        <f>Marts!D28</f>
        <v/>
      </c>
      <c r="K22" s="128">
        <f>Aar!AG22</f>
        <v>20</v>
      </c>
      <c r="L22" s="128" t="str">
        <f>Aar!AH22</f>
        <v>sø</v>
      </c>
      <c r="M22" s="128" t="str">
        <f>Aar!AI22</f>
        <v>Weekend</v>
      </c>
      <c r="N22" s="581" t="str">
        <f>April!DN28</f>
        <v>Påskedag</v>
      </c>
      <c r="O22" s="575" t="str">
        <f>April!D28</f>
        <v/>
      </c>
      <c r="P22" s="576">
        <f>Aar!AK22</f>
        <v>20</v>
      </c>
      <c r="Q22" s="128" t="str">
        <f>Aar!AL22</f>
        <v>ti</v>
      </c>
      <c r="R22" s="128" t="str">
        <f>Aar!AM22</f>
        <v>Skema 2</v>
      </c>
      <c r="S22" s="581" t="str">
        <f>Maj!DN28</f>
        <v/>
      </c>
      <c r="T22" s="577" t="str">
        <f>Maj!D28</f>
        <v/>
      </c>
      <c r="U22" s="576">
        <f>Aar!AO22</f>
        <v>20</v>
      </c>
      <c r="V22" s="128" t="str">
        <f>Aar!AP22</f>
        <v>fr</v>
      </c>
      <c r="W22" s="128" t="str">
        <f>Aar!AQ22</f>
        <v>Skema 2</v>
      </c>
      <c r="X22" s="581" t="str">
        <f>Juni!DN28</f>
        <v/>
      </c>
      <c r="Y22" s="575" t="str">
        <f>Juni!D28</f>
        <v/>
      </c>
      <c r="Z22" s="576">
        <f>Aar!AS22</f>
        <v>20</v>
      </c>
      <c r="AA22" s="128" t="str">
        <f>Aar!AT22</f>
        <v>sø</v>
      </c>
      <c r="AB22" s="128" t="str">
        <f>Aar!AU22</f>
        <v>Weekend</v>
      </c>
      <c r="AC22" s="581" t="str">
        <f>Juli!DN28</f>
        <v/>
      </c>
      <c r="AD22" s="577" t="str">
        <f>Juli!D28</f>
        <v/>
      </c>
    </row>
    <row r="23" spans="1:30" ht="23" customHeight="1">
      <c r="A23" s="576">
        <f>Aar!Y23</f>
        <v>21</v>
      </c>
      <c r="B23" s="128" t="str">
        <f>Aar!Z23</f>
        <v>fr</v>
      </c>
      <c r="C23" s="129" t="str">
        <f>Februar!C29</f>
        <v>Skema 2</v>
      </c>
      <c r="D23" s="580" t="str">
        <f>Februar!DN29</f>
        <v/>
      </c>
      <c r="E23" s="579" t="str">
        <f>Aar!AB23</f>
        <v/>
      </c>
      <c r="F23" s="128">
        <f>Aar!AC23</f>
        <v>21</v>
      </c>
      <c r="G23" s="128" t="str">
        <f>Aar!AD23</f>
        <v>fr</v>
      </c>
      <c r="H23" s="128" t="str">
        <f>Aar!AE23</f>
        <v>Skema 2</v>
      </c>
      <c r="I23" s="581" t="str">
        <f>Marts!DN29</f>
        <v/>
      </c>
      <c r="J23" s="577" t="str">
        <f>Marts!D29</f>
        <v/>
      </c>
      <c r="K23" s="128">
        <f>Aar!AG23</f>
        <v>21</v>
      </c>
      <c r="L23" s="128" t="str">
        <f>Aar!AH23</f>
        <v>ma</v>
      </c>
      <c r="M23" s="128" t="str">
        <f>Aar!AI23</f>
        <v>SH-dag</v>
      </c>
      <c r="N23" s="581" t="str">
        <f>April!DN29</f>
        <v>2. påskedag</v>
      </c>
      <c r="O23" s="575">
        <f>April!D29</f>
        <v>16.714285714285715</v>
      </c>
      <c r="P23" s="576">
        <f>Aar!AK23</f>
        <v>21</v>
      </c>
      <c r="Q23" s="128" t="str">
        <f>Aar!AL23</f>
        <v>on</v>
      </c>
      <c r="R23" s="128" t="str">
        <f>Aar!AM23</f>
        <v>Skema 2</v>
      </c>
      <c r="S23" s="581" t="str">
        <f>Maj!DN29</f>
        <v/>
      </c>
      <c r="T23" s="577" t="str">
        <f>Maj!D29</f>
        <v/>
      </c>
      <c r="U23" s="576">
        <f>Aar!AO23</f>
        <v>21</v>
      </c>
      <c r="V23" s="128" t="str">
        <f>Aar!AP23</f>
        <v>lø</v>
      </c>
      <c r="W23" s="128" t="str">
        <f>Aar!AQ23</f>
        <v>Weekend</v>
      </c>
      <c r="X23" s="581" t="str">
        <f>Juni!DN29</f>
        <v/>
      </c>
      <c r="Y23" s="575" t="str">
        <f>Juni!D29</f>
        <v/>
      </c>
      <c r="Z23" s="576">
        <f>Aar!AS23</f>
        <v>21</v>
      </c>
      <c r="AA23" s="128" t="str">
        <f>Aar!AT23</f>
        <v>ma</v>
      </c>
      <c r="AB23" s="128" t="str">
        <f>Aar!AU23</f>
        <v>Feriedag</v>
      </c>
      <c r="AC23" s="581" t="str">
        <f>Juli!DN29</f>
        <v>Sommerferie</v>
      </c>
      <c r="AD23" s="577">
        <f>Juli!D29</f>
        <v>29.714285714285715</v>
      </c>
    </row>
    <row r="24" spans="1:30" ht="23" customHeight="1">
      <c r="A24" s="576">
        <f>Aar!Y24</f>
        <v>22</v>
      </c>
      <c r="B24" s="128" t="str">
        <f>Aar!Z24</f>
        <v>lø</v>
      </c>
      <c r="C24" s="129" t="str">
        <f>Februar!C30</f>
        <v>Weekend</v>
      </c>
      <c r="D24" s="580" t="str">
        <f>Februar!DN30</f>
        <v/>
      </c>
      <c r="E24" s="579" t="str">
        <f>Aar!AB24</f>
        <v/>
      </c>
      <c r="F24" s="128">
        <f>Aar!AC24</f>
        <v>22</v>
      </c>
      <c r="G24" s="128" t="str">
        <f>Aar!AD24</f>
        <v>lø</v>
      </c>
      <c r="H24" s="128" t="str">
        <f>Aar!AE24</f>
        <v>Weekend</v>
      </c>
      <c r="I24" s="581" t="str">
        <f>Marts!DN30</f>
        <v/>
      </c>
      <c r="J24" s="577" t="str">
        <f>Marts!D30</f>
        <v/>
      </c>
      <c r="K24" s="128">
        <f>Aar!AG24</f>
        <v>22</v>
      </c>
      <c r="L24" s="128" t="str">
        <f>Aar!AH24</f>
        <v>ti</v>
      </c>
      <c r="M24" s="128" t="str">
        <f>Aar!AI24</f>
        <v>Skema 2</v>
      </c>
      <c r="N24" s="581" t="str">
        <f>April!DN30</f>
        <v/>
      </c>
      <c r="O24" s="575" t="str">
        <f>April!D30</f>
        <v/>
      </c>
      <c r="P24" s="576">
        <f>Aar!AK24</f>
        <v>22</v>
      </c>
      <c r="Q24" s="128" t="str">
        <f>Aar!AL24</f>
        <v>to</v>
      </c>
      <c r="R24" s="128" t="str">
        <f>Aar!AM24</f>
        <v>Skema 2</v>
      </c>
      <c r="S24" s="581" t="str">
        <f>Maj!DN30</f>
        <v/>
      </c>
      <c r="T24" s="577" t="str">
        <f>Maj!D30</f>
        <v/>
      </c>
      <c r="U24" s="576">
        <f>Aar!AO24</f>
        <v>22</v>
      </c>
      <c r="V24" s="128" t="str">
        <f>Aar!AP24</f>
        <v>sø</v>
      </c>
      <c r="W24" s="128" t="str">
        <f>Aar!AQ24</f>
        <v>Weekend</v>
      </c>
      <c r="X24" s="581" t="str">
        <f>Juni!DN30</f>
        <v/>
      </c>
      <c r="Y24" s="575" t="str">
        <f>Juni!D30</f>
        <v/>
      </c>
      <c r="Z24" s="576">
        <f>Aar!AS24</f>
        <v>22</v>
      </c>
      <c r="AA24" s="128" t="str">
        <f>Aar!AT24</f>
        <v>ti</v>
      </c>
      <c r="AB24" s="128" t="str">
        <f>Aar!AU24</f>
        <v>Feriedag</v>
      </c>
      <c r="AC24" s="581" t="str">
        <f>Juli!DN30</f>
        <v>Sommerferie</v>
      </c>
      <c r="AD24" s="577" t="str">
        <f>Juli!D30</f>
        <v/>
      </c>
    </row>
    <row r="25" spans="1:30" ht="23" customHeight="1">
      <c r="A25" s="576">
        <f>Aar!Y25</f>
        <v>23</v>
      </c>
      <c r="B25" s="128" t="str">
        <f>Aar!Z25</f>
        <v>sø</v>
      </c>
      <c r="C25" s="129" t="str">
        <f>Februar!C31</f>
        <v>Weekend</v>
      </c>
      <c r="D25" s="580" t="str">
        <f>Februar!DN31</f>
        <v/>
      </c>
      <c r="E25" s="579" t="str">
        <f>Aar!AB25</f>
        <v/>
      </c>
      <c r="F25" s="128">
        <f>Aar!AC25</f>
        <v>23</v>
      </c>
      <c r="G25" s="128" t="str">
        <f>Aar!AD25</f>
        <v>sø</v>
      </c>
      <c r="H25" s="128" t="str">
        <f>Aar!AE25</f>
        <v>Weekend</v>
      </c>
      <c r="I25" s="581" t="str">
        <f>Marts!DN31</f>
        <v/>
      </c>
      <c r="J25" s="577" t="str">
        <f>Marts!D31</f>
        <v/>
      </c>
      <c r="K25" s="128">
        <f>Aar!AG25</f>
        <v>23</v>
      </c>
      <c r="L25" s="128" t="str">
        <f>Aar!AH25</f>
        <v>on</v>
      </c>
      <c r="M25" s="128" t="str">
        <f>Aar!AI25</f>
        <v>Skema 2</v>
      </c>
      <c r="N25" s="581" t="str">
        <f>April!DN31</f>
        <v/>
      </c>
      <c r="O25" s="575" t="str">
        <f>April!D31</f>
        <v/>
      </c>
      <c r="P25" s="576">
        <f>Aar!AK25</f>
        <v>23</v>
      </c>
      <c r="Q25" s="128" t="str">
        <f>Aar!AL25</f>
        <v>fr</v>
      </c>
      <c r="R25" s="128" t="str">
        <f>Aar!AM25</f>
        <v>Skema 2</v>
      </c>
      <c r="S25" s="581" t="str">
        <f>Maj!DN31</f>
        <v/>
      </c>
      <c r="T25" s="577" t="str">
        <f>Maj!D31</f>
        <v/>
      </c>
      <c r="U25" s="576">
        <f>Aar!AO25</f>
        <v>23</v>
      </c>
      <c r="V25" s="128" t="str">
        <f>Aar!AP25</f>
        <v>ma</v>
      </c>
      <c r="W25" s="128" t="str">
        <f>Aar!AQ25</f>
        <v>Skema 2</v>
      </c>
      <c r="X25" s="581" t="str">
        <f>Juni!DN31</f>
        <v/>
      </c>
      <c r="Y25" s="575">
        <f>Juni!D31</f>
        <v>25.714285714285715</v>
      </c>
      <c r="Z25" s="576">
        <f>Aar!AS25</f>
        <v>23</v>
      </c>
      <c r="AA25" s="128" t="str">
        <f>Aar!AT25</f>
        <v>on</v>
      </c>
      <c r="AB25" s="128" t="str">
        <f>Aar!AU25</f>
        <v>Feriedag</v>
      </c>
      <c r="AC25" s="581" t="str">
        <f>Juli!DN31</f>
        <v>Sommerferie</v>
      </c>
      <c r="AD25" s="577" t="str">
        <f>Juli!D31</f>
        <v/>
      </c>
    </row>
    <row r="26" spans="1:30" ht="23" customHeight="1">
      <c r="A26" s="576">
        <f>Aar!Y26</f>
        <v>24</v>
      </c>
      <c r="B26" s="128" t="str">
        <f>Aar!Z26</f>
        <v>ma</v>
      </c>
      <c r="C26" s="129" t="str">
        <f>Februar!C32</f>
        <v>Skema 2</v>
      </c>
      <c r="D26" s="580" t="str">
        <f>Februar!DN32</f>
        <v/>
      </c>
      <c r="E26" s="579">
        <f>Aar!AB26</f>
        <v>8.7142857142857135</v>
      </c>
      <c r="F26" s="128">
        <f>Aar!AC26</f>
        <v>24</v>
      </c>
      <c r="G26" s="128" t="str">
        <f>Aar!AD26</f>
        <v>ma</v>
      </c>
      <c r="H26" s="128" t="str">
        <f>Aar!AE26</f>
        <v>Skema 2</v>
      </c>
      <c r="I26" s="581" t="str">
        <f>Marts!DN32</f>
        <v/>
      </c>
      <c r="J26" s="577">
        <f>Marts!D32</f>
        <v>12.714285714285714</v>
      </c>
      <c r="K26" s="128">
        <f>Aar!AG26</f>
        <v>24</v>
      </c>
      <c r="L26" s="128" t="str">
        <f>Aar!AH26</f>
        <v>to</v>
      </c>
      <c r="M26" s="128" t="str">
        <f>Aar!AI26</f>
        <v>Skema 2</v>
      </c>
      <c r="N26" s="581" t="str">
        <f>April!DN32</f>
        <v/>
      </c>
      <c r="O26" s="575" t="str">
        <f>April!D32</f>
        <v/>
      </c>
      <c r="P26" s="576">
        <f>Aar!AK26</f>
        <v>24</v>
      </c>
      <c r="Q26" s="128" t="str">
        <f>Aar!AL26</f>
        <v>lø</v>
      </c>
      <c r="R26" s="128" t="str">
        <f>Aar!AM26</f>
        <v>Weekend</v>
      </c>
      <c r="S26" s="581" t="str">
        <f>Maj!DN32</f>
        <v/>
      </c>
      <c r="T26" s="577" t="str">
        <f>Maj!D32</f>
        <v/>
      </c>
      <c r="U26" s="576">
        <f>Aar!AO26</f>
        <v>24</v>
      </c>
      <c r="V26" s="128" t="str">
        <f>Aar!AP26</f>
        <v>ti</v>
      </c>
      <c r="W26" s="128" t="str">
        <f>Aar!AQ26</f>
        <v>Skema 2</v>
      </c>
      <c r="X26" s="581" t="str">
        <f>Juni!DN32</f>
        <v/>
      </c>
      <c r="Y26" s="575" t="str">
        <f>Juni!D32</f>
        <v/>
      </c>
      <c r="Z26" s="576">
        <f>Aar!AS26</f>
        <v>24</v>
      </c>
      <c r="AA26" s="128" t="str">
        <f>Aar!AT26</f>
        <v>to</v>
      </c>
      <c r="AB26" s="128" t="str">
        <f>Aar!AU26</f>
        <v>Feriedag</v>
      </c>
      <c r="AC26" s="581" t="str">
        <f>Juli!DN32</f>
        <v>Sommerferie</v>
      </c>
      <c r="AD26" s="577" t="str">
        <f>Juli!D32</f>
        <v/>
      </c>
    </row>
    <row r="27" spans="1:30" ht="23" customHeight="1">
      <c r="A27" s="576">
        <f>Aar!Y27</f>
        <v>25</v>
      </c>
      <c r="B27" s="128" t="str">
        <f>Aar!Z27</f>
        <v>ti</v>
      </c>
      <c r="C27" s="129" t="str">
        <f>Februar!C33</f>
        <v>Skema 2</v>
      </c>
      <c r="D27" s="580" t="str">
        <f>Februar!DN33</f>
        <v/>
      </c>
      <c r="E27" s="579" t="str">
        <f>Aar!AB27</f>
        <v/>
      </c>
      <c r="F27" s="128">
        <f>Aar!AC27</f>
        <v>25</v>
      </c>
      <c r="G27" s="128" t="str">
        <f>Aar!AD27</f>
        <v>ti</v>
      </c>
      <c r="H27" s="128" t="str">
        <f>Aar!AE27</f>
        <v>Skema 2</v>
      </c>
      <c r="I27" s="581" t="str">
        <f>Marts!DN33</f>
        <v/>
      </c>
      <c r="J27" s="577" t="str">
        <f>Marts!D33</f>
        <v/>
      </c>
      <c r="K27" s="128">
        <f>Aar!AG27</f>
        <v>25</v>
      </c>
      <c r="L27" s="128" t="str">
        <f>Aar!AH27</f>
        <v>fr</v>
      </c>
      <c r="M27" s="128" t="str">
        <f>Aar!AI27</f>
        <v>Skema 2</v>
      </c>
      <c r="N27" s="581" t="str">
        <f>April!DN33</f>
        <v/>
      </c>
      <c r="O27" s="575" t="str">
        <f>April!D33</f>
        <v/>
      </c>
      <c r="P27" s="576">
        <f>Aar!AK27</f>
        <v>25</v>
      </c>
      <c r="Q27" s="128" t="str">
        <f>Aar!AL27</f>
        <v>sø</v>
      </c>
      <c r="R27" s="128" t="str">
        <f>Aar!AM27</f>
        <v>Weekend</v>
      </c>
      <c r="S27" s="581" t="str">
        <f>Maj!DN33</f>
        <v/>
      </c>
      <c r="T27" s="577" t="str">
        <f>Maj!D33</f>
        <v/>
      </c>
      <c r="U27" s="576">
        <f>Aar!AO27</f>
        <v>25</v>
      </c>
      <c r="V27" s="128" t="str">
        <f>Aar!AP27</f>
        <v>on</v>
      </c>
      <c r="W27" s="128" t="str">
        <f>Aar!AQ27</f>
        <v>Skema 2</v>
      </c>
      <c r="X27" s="581" t="str">
        <f>Juni!DN33</f>
        <v/>
      </c>
      <c r="Y27" s="575" t="str">
        <f>Juni!D33</f>
        <v/>
      </c>
      <c r="Z27" s="576">
        <f>Aar!AS27</f>
        <v>25</v>
      </c>
      <c r="AA27" s="128" t="str">
        <f>Aar!AT27</f>
        <v>fr</v>
      </c>
      <c r="AB27" s="128" t="str">
        <f>Aar!AU27</f>
        <v>Feriedag</v>
      </c>
      <c r="AC27" s="581" t="str">
        <f>Juli!DN33</f>
        <v>Sommerferie</v>
      </c>
      <c r="AD27" s="577" t="str">
        <f>Juli!D33</f>
        <v/>
      </c>
    </row>
    <row r="28" spans="1:30" ht="23" customHeight="1">
      <c r="A28" s="576">
        <f>Aar!Y28</f>
        <v>26</v>
      </c>
      <c r="B28" s="128" t="str">
        <f>Aar!Z28</f>
        <v>on</v>
      </c>
      <c r="C28" s="129" t="str">
        <f>Februar!C34</f>
        <v>Skema 2</v>
      </c>
      <c r="D28" s="580" t="str">
        <f>Februar!DN34</f>
        <v/>
      </c>
      <c r="E28" s="579" t="str">
        <f>Aar!AB28</f>
        <v/>
      </c>
      <c r="F28" s="128">
        <f>Aar!AC28</f>
        <v>26</v>
      </c>
      <c r="G28" s="128" t="str">
        <f>Aar!AD28</f>
        <v>on</v>
      </c>
      <c r="H28" s="128" t="str">
        <f>Aar!AE28</f>
        <v>Skema 2</v>
      </c>
      <c r="I28" s="581" t="str">
        <f>Marts!DN34</f>
        <v/>
      </c>
      <c r="J28" s="577" t="str">
        <f>Marts!D34</f>
        <v/>
      </c>
      <c r="K28" s="128">
        <f>Aar!AG28</f>
        <v>26</v>
      </c>
      <c r="L28" s="128" t="str">
        <f>Aar!AH28</f>
        <v>lø</v>
      </c>
      <c r="M28" s="128" t="str">
        <f>Aar!AI28</f>
        <v>Weekend</v>
      </c>
      <c r="N28" s="581" t="str">
        <f>April!DN34</f>
        <v/>
      </c>
      <c r="O28" s="575" t="str">
        <f>April!D34</f>
        <v/>
      </c>
      <c r="P28" s="576">
        <f>Aar!AK28</f>
        <v>26</v>
      </c>
      <c r="Q28" s="128" t="str">
        <f>Aar!AL28</f>
        <v>ma</v>
      </c>
      <c r="R28" s="128" t="str">
        <f>Aar!AM28</f>
        <v>Skema 2</v>
      </c>
      <c r="S28" s="581" t="str">
        <f>Maj!DN34</f>
        <v/>
      </c>
      <c r="T28" s="577">
        <f>Maj!D34</f>
        <v>21.714285714285715</v>
      </c>
      <c r="U28" s="576">
        <f>Aar!AO28</f>
        <v>26</v>
      </c>
      <c r="V28" s="128" t="str">
        <f>Aar!AP28</f>
        <v>to</v>
      </c>
      <c r="W28" s="128" t="str">
        <f>Aar!AQ28</f>
        <v>Skema 2</v>
      </c>
      <c r="X28" s="581" t="str">
        <f>Juni!DN34</f>
        <v/>
      </c>
      <c r="Y28" s="575" t="str">
        <f>Juni!D34</f>
        <v/>
      </c>
      <c r="Z28" s="576">
        <f>Aar!AS28</f>
        <v>26</v>
      </c>
      <c r="AA28" s="128" t="str">
        <f>Aar!AT28</f>
        <v>lø</v>
      </c>
      <c r="AB28" s="128" t="str">
        <f>Aar!AU28</f>
        <v>Weekend</v>
      </c>
      <c r="AC28" s="581" t="str">
        <f>Juli!DN34</f>
        <v/>
      </c>
      <c r="AD28" s="577" t="str">
        <f>Juli!D34</f>
        <v/>
      </c>
    </row>
    <row r="29" spans="1:30" ht="23" customHeight="1">
      <c r="A29" s="576">
        <f>Aar!Y29</f>
        <v>27</v>
      </c>
      <c r="B29" s="128" t="str">
        <f>Aar!Z29</f>
        <v>to</v>
      </c>
      <c r="C29" s="129" t="str">
        <f>Februar!C35</f>
        <v>Skema 2</v>
      </c>
      <c r="D29" s="580" t="str">
        <f>Februar!DN35</f>
        <v/>
      </c>
      <c r="E29" s="579" t="str">
        <f>Aar!AB29</f>
        <v/>
      </c>
      <c r="F29" s="128">
        <f>Aar!AC29</f>
        <v>27</v>
      </c>
      <c r="G29" s="128" t="str">
        <f>Aar!AD29</f>
        <v>to</v>
      </c>
      <c r="H29" s="128" t="str">
        <f>Aar!AE29</f>
        <v>Skema 2</v>
      </c>
      <c r="I29" s="581" t="str">
        <f>Marts!DN35</f>
        <v/>
      </c>
      <c r="J29" s="577" t="str">
        <f>Marts!D35</f>
        <v/>
      </c>
      <c r="K29" s="128">
        <f>Aar!AG29</f>
        <v>27</v>
      </c>
      <c r="L29" s="128" t="str">
        <f>Aar!AH29</f>
        <v>sø</v>
      </c>
      <c r="M29" s="128" t="str">
        <f>Aar!AI29</f>
        <v>Weekend</v>
      </c>
      <c r="N29" s="581" t="str">
        <f>April!DN35</f>
        <v/>
      </c>
      <c r="O29" s="575" t="str">
        <f>April!D35</f>
        <v/>
      </c>
      <c r="P29" s="576">
        <f>Aar!AK29</f>
        <v>27</v>
      </c>
      <c r="Q29" s="128" t="str">
        <f>Aar!AL29</f>
        <v>ti</v>
      </c>
      <c r="R29" s="128" t="str">
        <f>Aar!AM29</f>
        <v>Skema 2</v>
      </c>
      <c r="S29" s="581" t="str">
        <f>Maj!DN35</f>
        <v/>
      </c>
      <c r="T29" s="577" t="str">
        <f>Maj!D35</f>
        <v/>
      </c>
      <c r="U29" s="576">
        <f>Aar!AO29</f>
        <v>27</v>
      </c>
      <c r="V29" s="128" t="str">
        <f>Aar!AP29</f>
        <v>fr</v>
      </c>
      <c r="W29" s="128" t="str">
        <f>Aar!AQ29</f>
        <v>Fagdag</v>
      </c>
      <c r="X29" s="581" t="str">
        <f>Juni!DN35</f>
        <v>Sidste skoledag og Sommerfest 17-22</v>
      </c>
      <c r="Y29" s="575" t="str">
        <f>Juni!D35</f>
        <v/>
      </c>
      <c r="Z29" s="576">
        <f>Aar!AS29</f>
        <v>27</v>
      </c>
      <c r="AA29" s="128" t="str">
        <f>Aar!AT29</f>
        <v>sø</v>
      </c>
      <c r="AB29" s="128" t="str">
        <f>Aar!AU29</f>
        <v>Weekend</v>
      </c>
      <c r="AC29" s="581" t="str">
        <f>Juli!DN35</f>
        <v/>
      </c>
      <c r="AD29" s="577" t="str">
        <f>Juli!D35</f>
        <v/>
      </c>
    </row>
    <row r="30" spans="1:30" ht="23" customHeight="1">
      <c r="A30" s="576">
        <f>Aar!Y30</f>
        <v>28</v>
      </c>
      <c r="B30" s="128" t="str">
        <f>Aar!Z30</f>
        <v>fr</v>
      </c>
      <c r="C30" s="129" t="str">
        <f>Februar!C36</f>
        <v>Skema 2</v>
      </c>
      <c r="D30" s="580" t="str">
        <f>Februar!DN36</f>
        <v/>
      </c>
      <c r="E30" s="579" t="str">
        <f>Aar!AB30</f>
        <v/>
      </c>
      <c r="F30" s="128">
        <f>Aar!AC30</f>
        <v>28</v>
      </c>
      <c r="G30" s="128" t="str">
        <f>Aar!AD30</f>
        <v>fr</v>
      </c>
      <c r="H30" s="128" t="str">
        <f>Aar!AE30</f>
        <v>Skema 2</v>
      </c>
      <c r="I30" s="581" t="str">
        <f>Marts!DN36</f>
        <v/>
      </c>
      <c r="J30" s="577" t="str">
        <f>Marts!D36</f>
        <v/>
      </c>
      <c r="K30" s="128">
        <f>Aar!AG30</f>
        <v>28</v>
      </c>
      <c r="L30" s="128" t="str">
        <f>Aar!AH30</f>
        <v>ma</v>
      </c>
      <c r="M30" s="128" t="str">
        <f>Aar!AI30</f>
        <v>Skema 2</v>
      </c>
      <c r="N30" s="581" t="str">
        <f>April!DN36</f>
        <v/>
      </c>
      <c r="O30" s="575">
        <f>April!D36</f>
        <v>17.714285714285715</v>
      </c>
      <c r="P30" s="576">
        <f>Aar!AK30</f>
        <v>28</v>
      </c>
      <c r="Q30" s="128" t="str">
        <f>Aar!AL30</f>
        <v>on</v>
      </c>
      <c r="R30" s="128" t="str">
        <f>Aar!AM30</f>
        <v>Skema 2</v>
      </c>
      <c r="S30" s="581" t="str">
        <f>Maj!DN36</f>
        <v/>
      </c>
      <c r="T30" s="577" t="str">
        <f>Maj!D36</f>
        <v/>
      </c>
      <c r="U30" s="576">
        <f>Aar!AO30</f>
        <v>28</v>
      </c>
      <c r="V30" s="128" t="str">
        <f>Aar!AP30</f>
        <v>lø</v>
      </c>
      <c r="W30" s="128" t="str">
        <f>Aar!AQ30</f>
        <v>Weekend</v>
      </c>
      <c r="X30" s="581" t="str">
        <f>Juni!DN36</f>
        <v/>
      </c>
      <c r="Y30" s="575" t="str">
        <f>Juni!D36</f>
        <v/>
      </c>
      <c r="Z30" s="576">
        <f>Aar!AS30</f>
        <v>28</v>
      </c>
      <c r="AA30" s="128" t="str">
        <f>Aar!AT30</f>
        <v>ma</v>
      </c>
      <c r="AB30" s="128" t="str">
        <f>Aar!AU30</f>
        <v>Feriedag</v>
      </c>
      <c r="AC30" s="581" t="str">
        <f>Juli!DN36</f>
        <v>Sommerferie</v>
      </c>
      <c r="AD30" s="577">
        <f>Juli!D36</f>
        <v>30.714285714285715</v>
      </c>
    </row>
    <row r="31" spans="1:30" ht="23" customHeight="1">
      <c r="A31" s="197">
        <f>Aar!Y31</f>
        <v>0</v>
      </c>
      <c r="B31" s="198">
        <f>Aar!Z31</f>
        <v>0</v>
      </c>
      <c r="C31" s="614" t="str">
        <f>Februar!C37</f>
        <v>Ikke relevant</v>
      </c>
      <c r="D31" s="615" t="str">
        <f>Februar!DN37</f>
        <v/>
      </c>
      <c r="E31" s="616" t="str">
        <f>Aar!AB31</f>
        <v/>
      </c>
      <c r="F31" s="128">
        <f>Aar!AC31</f>
        <v>29</v>
      </c>
      <c r="G31" s="128" t="str">
        <f>Aar!AD31</f>
        <v>lø</v>
      </c>
      <c r="H31" s="128" t="str">
        <f>Aar!AE31</f>
        <v>Weekend</v>
      </c>
      <c r="I31" s="581" t="str">
        <f>Marts!DN37</f>
        <v/>
      </c>
      <c r="J31" s="577" t="str">
        <f>Marts!D37</f>
        <v/>
      </c>
      <c r="K31" s="128">
        <f>Aar!AG31</f>
        <v>29</v>
      </c>
      <c r="L31" s="128" t="str">
        <f>Aar!AH31</f>
        <v>ti</v>
      </c>
      <c r="M31" s="128" t="str">
        <f>Aar!AI31</f>
        <v>Skema 2</v>
      </c>
      <c r="N31" s="581" t="str">
        <f>April!DN37</f>
        <v/>
      </c>
      <c r="O31" s="575" t="str">
        <f>April!D37</f>
        <v/>
      </c>
      <c r="P31" s="576">
        <f>Aar!AK31</f>
        <v>29</v>
      </c>
      <c r="Q31" s="128" t="str">
        <f>Aar!AL31</f>
        <v>to</v>
      </c>
      <c r="R31" s="128" t="str">
        <f>Aar!AM31</f>
        <v>SH-dag</v>
      </c>
      <c r="S31" s="581" t="str">
        <f>Maj!DN37</f>
        <v>Kristi himmelfatsdag</v>
      </c>
      <c r="T31" s="577" t="str">
        <f>Maj!D37</f>
        <v/>
      </c>
      <c r="U31" s="576">
        <f>Aar!AO31</f>
        <v>29</v>
      </c>
      <c r="V31" s="128" t="str">
        <f>Aar!AP31</f>
        <v>sø</v>
      </c>
      <c r="W31" s="128" t="str">
        <f>Aar!AQ31</f>
        <v>Weekend</v>
      </c>
      <c r="X31" s="581" t="str">
        <f>Juni!DN37</f>
        <v/>
      </c>
      <c r="Y31" s="575" t="str">
        <f>Juni!D37</f>
        <v/>
      </c>
      <c r="Z31" s="576">
        <f>Aar!AS31</f>
        <v>29</v>
      </c>
      <c r="AA31" s="128" t="str">
        <f>Aar!AT31</f>
        <v>ti</v>
      </c>
      <c r="AB31" s="128" t="str">
        <f>Aar!AU31</f>
        <v>Feriedag</v>
      </c>
      <c r="AC31" s="581" t="str">
        <f>Juli!DN37</f>
        <v>Sommerferie</v>
      </c>
      <c r="AD31" s="577" t="str">
        <f>Juli!D37</f>
        <v/>
      </c>
    </row>
    <row r="32" spans="1:30" ht="23" customHeight="1">
      <c r="A32" s="79"/>
      <c r="B32" s="79"/>
      <c r="C32" s="80"/>
      <c r="D32" s="80"/>
      <c r="E32" s="459"/>
      <c r="F32" s="576">
        <f>Aar!AC32</f>
        <v>30</v>
      </c>
      <c r="G32" s="128" t="str">
        <f>Aar!AD32</f>
        <v>sø</v>
      </c>
      <c r="H32" s="128" t="str">
        <f>Aar!AE32</f>
        <v>Weekend</v>
      </c>
      <c r="I32" s="556" t="str">
        <f>Marts!DN38</f>
        <v/>
      </c>
      <c r="J32" s="577" t="str">
        <f>Marts!D38</f>
        <v/>
      </c>
      <c r="K32" s="128">
        <f>Aar!AG32</f>
        <v>30</v>
      </c>
      <c r="L32" s="128" t="str">
        <f>Aar!AH32</f>
        <v>on</v>
      </c>
      <c r="M32" s="128" t="str">
        <f>Aar!AI32</f>
        <v>Skema 2</v>
      </c>
      <c r="N32" s="581" t="str">
        <f>April!DN38</f>
        <v/>
      </c>
      <c r="O32" s="575" t="str">
        <f>April!D38</f>
        <v/>
      </c>
      <c r="P32" s="576">
        <f>Aar!AK32</f>
        <v>30</v>
      </c>
      <c r="Q32" s="128" t="str">
        <f>Aar!AL32</f>
        <v>fr</v>
      </c>
      <c r="R32" s="128" t="str">
        <f>Aar!AM32</f>
        <v>Nul-dag</v>
      </c>
      <c r="S32" s="581" t="str">
        <f>Maj!DN38</f>
        <v/>
      </c>
      <c r="T32" s="577" t="str">
        <f>Maj!D38</f>
        <v/>
      </c>
      <c r="U32" s="576">
        <f>Aar!AO32</f>
        <v>30</v>
      </c>
      <c r="V32" s="128" t="str">
        <f>Aar!AP32</f>
        <v>ma</v>
      </c>
      <c r="W32" s="128" t="str">
        <f>Aar!AQ32</f>
        <v>Pæd.dag</v>
      </c>
      <c r="X32" s="581" t="str">
        <f>Juni!DN38</f>
        <v/>
      </c>
      <c r="Y32" s="575">
        <f>Juni!D38</f>
        <v>26.714285714285715</v>
      </c>
      <c r="Z32" s="576">
        <f>Aar!AS32</f>
        <v>30</v>
      </c>
      <c r="AA32" s="128" t="str">
        <f>Aar!AT32</f>
        <v>on</v>
      </c>
      <c r="AB32" s="128" t="str">
        <f>Aar!AU32</f>
        <v>Feriedag</v>
      </c>
      <c r="AC32" s="581" t="str">
        <f>Juli!DN38</f>
        <v>Sommerferie</v>
      </c>
      <c r="AD32" s="577" t="str">
        <f>Juli!D38</f>
        <v/>
      </c>
    </row>
    <row r="33" spans="1:30" ht="23" customHeight="1">
      <c r="A33" s="79"/>
      <c r="B33" s="79"/>
      <c r="C33" s="80"/>
      <c r="D33" s="80"/>
      <c r="E33" s="459"/>
      <c r="F33" s="576">
        <f>Aar!AC33</f>
        <v>31</v>
      </c>
      <c r="G33" s="128" t="str">
        <f>Aar!AD33</f>
        <v>ma</v>
      </c>
      <c r="H33" s="128" t="str">
        <f>Aar!AE33</f>
        <v>Skema 2</v>
      </c>
      <c r="I33" s="581" t="str">
        <f>Marts!DN39</f>
        <v/>
      </c>
      <c r="J33" s="577">
        <f>Marts!D39</f>
        <v>13.714285714285714</v>
      </c>
      <c r="K33" s="79"/>
      <c r="L33" s="79"/>
      <c r="M33" s="80"/>
      <c r="N33" s="582"/>
      <c r="O33" s="459"/>
      <c r="P33" s="576">
        <f>Aar!AK33</f>
        <v>31</v>
      </c>
      <c r="Q33" s="128" t="str">
        <f>Aar!AL33</f>
        <v>lø</v>
      </c>
      <c r="R33" s="128" t="str">
        <f>Aar!AM33</f>
        <v>Weekend</v>
      </c>
      <c r="S33" s="581" t="str">
        <f>Maj!DN39</f>
        <v/>
      </c>
      <c r="T33" s="577" t="str">
        <f>Maj!D39</f>
        <v/>
      </c>
      <c r="U33" s="79"/>
      <c r="V33" s="79"/>
      <c r="W33" s="80"/>
      <c r="X33" s="80"/>
      <c r="Y33" s="459"/>
      <c r="Z33" s="576">
        <f>Aar!AS33</f>
        <v>31</v>
      </c>
      <c r="AA33" s="128" t="str">
        <f>Aar!AT33</f>
        <v>to</v>
      </c>
      <c r="AB33" s="128" t="str">
        <f>Aar!AU33</f>
        <v>Feriedag</v>
      </c>
      <c r="AC33" s="581" t="str">
        <f>Juli!DN39</f>
        <v>Sommerferie</v>
      </c>
      <c r="AD33" s="577" t="str">
        <f>Juli!D39</f>
        <v/>
      </c>
    </row>
    <row r="34" spans="1:30" ht="23" customHeight="1">
      <c r="A34" s="71"/>
      <c r="B34" s="71"/>
      <c r="C34" s="71">
        <f>Aar!Z34</f>
        <v>20</v>
      </c>
      <c r="D34" s="71" t="str">
        <f>Aar!AA34</f>
        <v xml:space="preserve"> arbejdsdage</v>
      </c>
      <c r="E34" s="71"/>
      <c r="F34" s="71"/>
      <c r="G34" s="71"/>
      <c r="H34" s="71">
        <f>Aar!AD34</f>
        <v>21</v>
      </c>
      <c r="I34" s="71" t="str">
        <f>Aar!AE34</f>
        <v xml:space="preserve"> arbejdsdage</v>
      </c>
      <c r="J34" s="71"/>
      <c r="K34" s="71"/>
      <c r="L34" s="71"/>
      <c r="M34" s="71">
        <f>Aar!AH34</f>
        <v>19</v>
      </c>
      <c r="N34" s="71" t="str">
        <f>Aar!AI34</f>
        <v xml:space="preserve"> arbejdsdage</v>
      </c>
      <c r="O34" s="71"/>
      <c r="P34" s="71"/>
      <c r="Q34" s="71"/>
      <c r="R34" s="71">
        <f>Aar!AL34</f>
        <v>21</v>
      </c>
      <c r="S34" s="71" t="str">
        <f>Aar!AM34</f>
        <v xml:space="preserve"> arbejdsdage</v>
      </c>
      <c r="T34" s="71"/>
      <c r="U34" s="71"/>
      <c r="V34" s="71"/>
      <c r="W34" s="71">
        <f>Aar!AP34</f>
        <v>20</v>
      </c>
      <c r="X34" s="71" t="str">
        <f>Aar!AQ34</f>
        <v xml:space="preserve"> arbejdsdage</v>
      </c>
      <c r="Y34" s="71"/>
      <c r="Z34" s="71"/>
      <c r="AA34" s="71"/>
      <c r="AB34" s="529">
        <f>Aar!AT34</f>
        <v>23</v>
      </c>
      <c r="AC34" s="529" t="str">
        <f>Aar!AU34</f>
        <v xml:space="preserve"> arbejdsdage</v>
      </c>
      <c r="AD34" s="71"/>
    </row>
    <row r="35" spans="1:30" ht="23" customHeight="1" thickBot="1">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row>
    <row r="36" spans="1:30" ht="29" customHeight="1" thickBot="1">
      <c r="A36" s="1450" t="str">
        <f>"I alt for hele skoleåret "&amp;Vejledning!B3&amp;""</f>
        <v>I alt for hele skoleåret Vejledning til planlægningsværtøj vedr.</v>
      </c>
      <c r="B36" s="1451"/>
      <c r="C36" s="1451"/>
      <c r="D36" s="1451"/>
      <c r="E36" s="1451"/>
      <c r="F36" s="1451"/>
      <c r="G36" s="1451"/>
      <c r="H36" s="1451"/>
      <c r="I36" s="1451"/>
      <c r="J36" s="1451"/>
      <c r="K36" s="1451"/>
      <c r="L36" s="1451"/>
      <c r="M36" s="1451"/>
      <c r="N36" s="1451"/>
      <c r="O36" s="1451"/>
      <c r="P36" s="1451"/>
      <c r="Q36" s="1451"/>
      <c r="R36" s="1451"/>
      <c r="S36" s="1451"/>
      <c r="T36" s="1451"/>
      <c r="U36" s="1452"/>
      <c r="V36" s="116"/>
      <c r="W36" s="117"/>
      <c r="X36" s="113"/>
      <c r="Y36" s="71"/>
      <c r="Z36" s="71"/>
      <c r="AA36" s="71"/>
      <c r="AB36" s="71"/>
      <c r="AC36" s="71"/>
      <c r="AD36" s="71"/>
    </row>
    <row r="37" spans="1:30" ht="23" customHeight="1">
      <c r="A37" s="1453" t="s">
        <v>118</v>
      </c>
      <c r="B37" s="1454"/>
      <c r="C37" s="1454"/>
      <c r="D37" s="1454"/>
      <c r="E37" s="1454"/>
      <c r="F37" s="1454"/>
      <c r="G37" s="1454"/>
      <c r="H37" s="131">
        <f>Aar!G37</f>
        <v>177</v>
      </c>
      <c r="I37" s="172"/>
      <c r="J37" s="172"/>
      <c r="K37" s="172"/>
      <c r="L37" s="172"/>
      <c r="M37" s="172"/>
      <c r="N37" s="1455" t="s">
        <v>117</v>
      </c>
      <c r="O37" s="1456"/>
      <c r="P37" s="1456"/>
      <c r="Q37" s="1456"/>
      <c r="R37" s="1456"/>
      <c r="S37" s="1456"/>
      <c r="T37" s="1456"/>
      <c r="U37" s="171">
        <f>Aar!AE37</f>
        <v>6</v>
      </c>
      <c r="V37" s="114"/>
      <c r="W37" s="71"/>
      <c r="X37" s="110"/>
      <c r="Y37" s="110"/>
      <c r="Z37" s="71"/>
      <c r="AA37" s="71"/>
      <c r="AB37" s="109"/>
      <c r="AC37" s="63"/>
      <c r="AD37" s="63"/>
    </row>
    <row r="38" spans="1:30" ht="23" customHeight="1">
      <c r="A38" s="1457" t="s">
        <v>116</v>
      </c>
      <c r="B38" s="1458"/>
      <c r="C38" s="1458"/>
      <c r="D38" s="1458"/>
      <c r="E38" s="1458"/>
      <c r="F38" s="1458"/>
      <c r="G38" s="1458"/>
      <c r="H38" s="168">
        <f>Aar!O37</f>
        <v>15</v>
      </c>
      <c r="I38" s="173"/>
      <c r="J38" s="173"/>
      <c r="K38" s="173"/>
      <c r="L38" s="173"/>
      <c r="M38" s="173"/>
      <c r="N38" s="175" t="s">
        <v>143</v>
      </c>
      <c r="O38" s="1465">
        <f>Aar!O35</f>
        <v>104</v>
      </c>
      <c r="P38" s="1465"/>
      <c r="Q38" s="1465"/>
      <c r="R38" s="167" t="s">
        <v>144</v>
      </c>
      <c r="S38" s="167"/>
      <c r="T38" s="1461">
        <f>Aar!W35</f>
        <v>8</v>
      </c>
      <c r="U38" s="1462"/>
      <c r="V38" s="114"/>
      <c r="W38" s="71"/>
      <c r="X38" s="110"/>
      <c r="Y38" s="110"/>
      <c r="Z38" s="71"/>
      <c r="AA38" s="71"/>
      <c r="AB38" s="109"/>
      <c r="AC38" s="63"/>
      <c r="AD38" s="63"/>
    </row>
    <row r="39" spans="1:30" ht="23" customHeight="1">
      <c r="A39" s="1459" t="s">
        <v>121</v>
      </c>
      <c r="B39" s="1460"/>
      <c r="C39" s="1460"/>
      <c r="D39" s="1460"/>
      <c r="E39" s="1460"/>
      <c r="F39" s="1460"/>
      <c r="G39" s="1460"/>
      <c r="H39" s="169">
        <f>Aar!W37</f>
        <v>7</v>
      </c>
      <c r="I39" s="173"/>
      <c r="J39" s="173"/>
      <c r="K39" s="173"/>
      <c r="L39" s="173"/>
      <c r="M39" s="173"/>
      <c r="N39" s="183" t="s">
        <v>163</v>
      </c>
      <c r="O39" s="1463">
        <f>Aar!AE35</f>
        <v>25</v>
      </c>
      <c r="P39" s="1463"/>
      <c r="Q39" s="1464"/>
      <c r="R39" s="181" t="s">
        <v>164</v>
      </c>
      <c r="S39" s="181"/>
      <c r="T39" s="181"/>
      <c r="U39" s="460">
        <f>Aar!AV35</f>
        <v>1</v>
      </c>
      <c r="V39" s="115"/>
      <c r="W39" s="71"/>
      <c r="X39" s="110"/>
      <c r="Y39" s="110"/>
      <c r="Z39" s="71"/>
      <c r="AA39" s="71"/>
      <c r="AB39" s="109"/>
      <c r="AC39" s="63"/>
      <c r="AD39" s="63"/>
    </row>
    <row r="40" spans="1:30" ht="23" customHeight="1" thickBot="1">
      <c r="A40" s="165" t="s">
        <v>151</v>
      </c>
      <c r="B40" s="166"/>
      <c r="C40" s="166"/>
      <c r="D40" s="166"/>
      <c r="E40" s="166"/>
      <c r="F40" s="166"/>
      <c r="G40" s="166"/>
      <c r="H40" s="170">
        <f>SUM(H37:H39)</f>
        <v>199</v>
      </c>
      <c r="I40" s="174"/>
      <c r="J40" s="174"/>
      <c r="K40" s="174"/>
      <c r="L40" s="174"/>
      <c r="M40" s="174"/>
      <c r="N40" s="464" t="s">
        <v>168</v>
      </c>
      <c r="O40" s="465"/>
      <c r="P40" s="465"/>
      <c r="Q40" s="465">
        <f>Aar!AM35</f>
        <v>23</v>
      </c>
      <c r="R40" s="462" t="s">
        <v>420</v>
      </c>
      <c r="S40" s="462"/>
      <c r="T40" s="462"/>
      <c r="U40" s="463">
        <f>Aar!AV37</f>
        <v>0</v>
      </c>
      <c r="V40" s="114"/>
      <c r="W40" s="71"/>
      <c r="X40" s="110"/>
      <c r="Y40" s="110"/>
      <c r="Z40" s="71"/>
      <c r="AA40" s="71"/>
      <c r="AB40" s="109"/>
      <c r="AC40" s="63"/>
      <c r="AD40" s="63"/>
    </row>
  </sheetData>
  <sheetProtection sheet="1" formatCells="0" formatColumns="0" formatRows="0" insertColumns="0"/>
  <mergeCells count="8">
    <mergeCell ref="A36:U36"/>
    <mergeCell ref="A37:G37"/>
    <mergeCell ref="N37:T37"/>
    <mergeCell ref="A38:G38"/>
    <mergeCell ref="A39:G39"/>
    <mergeCell ref="T38:U38"/>
    <mergeCell ref="O38:Q38"/>
    <mergeCell ref="O39:Q39"/>
  </mergeCells>
  <phoneticPr fontId="5" type="noConversion"/>
  <printOptions horizontalCentered="1" verticalCentered="1"/>
  <pageMargins left="0.35433070866141736" right="0.35433070866141736" top="0.39370078740157483" bottom="0.39370078740157483" header="0.19685039370078741" footer="0.11811023622047245"/>
  <pageSetup paperSize="9" scale="53" orientation="landscape" horizontalDpi="4294967292" verticalDpi="4294967292"/>
  <ignoredErrors>
    <ignoredError sqref="C33:E33 K33:O33 C32:E32 U33:Y33"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92" stopIfTrue="1" id="{97279CEF-ECAE-2646-970C-2A7450844C7C}">
            <xm:f>OR(Februar!$C9="Orlov")</xm:f>
            <x14:dxf>
              <font>
                <color theme="0"/>
              </font>
              <fill>
                <patternFill patternType="solid">
                  <bgColor theme="6" tint="-0.24994659260841701"/>
                </patternFill>
              </fill>
            </x14:dxf>
          </x14:cfRule>
          <x14:cfRule type="expression" priority="91" id="{10B48BC6-8EAF-2942-BB6D-13EE2B42F7DD}">
            <xm:f>OR(Februar!$C9="weekend")</xm:f>
            <x14:dxf>
              <font>
                <color theme="1"/>
              </font>
              <fill>
                <patternFill>
                  <bgColor theme="0" tint="-0.14996795556505021"/>
                </patternFill>
              </fill>
            </x14:dxf>
          </x14:cfRule>
          <x14:cfRule type="expression" priority="90" id="{F6CC4708-7E92-A745-9939-7594EE6EADA0}">
            <xm:f>OR(Februar!$C9="feriedag")</xm:f>
            <x14:dxf>
              <font>
                <color theme="1"/>
              </font>
              <fill>
                <patternFill>
                  <bgColor theme="6" tint="0.39994506668294322"/>
                </patternFill>
              </fill>
            </x14:dxf>
          </x14:cfRule>
          <x14:cfRule type="expression" priority="89" id="{57E068A6-D249-1E4A-84B8-176519CE97D6}">
            <xm:f>OR(Februar!$C9="fagdag")</xm:f>
            <x14:dxf>
              <font>
                <color theme="1"/>
              </font>
              <fill>
                <patternFill>
                  <bgColor theme="9" tint="0.59996337778862885"/>
                </patternFill>
              </fill>
            </x14:dxf>
          </x14:cfRule>
          <x14:cfRule type="expression" priority="88" id="{D5F29B49-D605-7245-83DF-DFB7B5E07041}">
            <xm:f>OR(Februar!$C9="emnedag")</xm:f>
            <x14:dxf>
              <font>
                <color theme="1"/>
              </font>
              <fill>
                <patternFill>
                  <bgColor theme="5" tint="0.59996337778862885"/>
                </patternFill>
              </fill>
            </x14:dxf>
          </x14:cfRule>
          <x14:cfRule type="expression" priority="87" id="{16BF4041-5844-EF42-A47B-6A70837B4FEC}">
            <xm:f>OR(Februar!$C9="lejrskole")</xm:f>
            <x14:dxf>
              <font>
                <color theme="1"/>
              </font>
              <fill>
                <patternFill>
                  <bgColor theme="8" tint="0.59996337778862885"/>
                </patternFill>
              </fill>
            </x14:dxf>
          </x14:cfRule>
          <x14:cfRule type="expression" priority="86" id="{0CC0AE7B-459A-DE49-8983-75A273A5D06F}">
            <xm:f>OR(Februar!$C9="ekskursion")</xm:f>
            <x14:dxf>
              <font>
                <color theme="1"/>
              </font>
              <fill>
                <patternFill>
                  <bgColor rgb="FFFFFF00"/>
                </patternFill>
              </fill>
            </x14:dxf>
          </x14:cfRule>
          <x14:cfRule type="expression" priority="85" id="{06C03DDE-3533-E649-9DE8-8AD68AEE153F}">
            <xm:f>OR(Februar!$C9="SH-dag")</xm:f>
            <x14:dxf>
              <font>
                <color theme="1"/>
              </font>
              <fill>
                <patternFill>
                  <bgColor rgb="FFFF2F82"/>
                </patternFill>
              </fill>
            </x14:dxf>
          </x14:cfRule>
          <x14:cfRule type="expression" priority="32" id="{AA8D41F6-A3CD-5249-A8C0-AF6CB62E51FE}">
            <xm:f>OR(Februar!$C9="Ikke relevant")</xm:f>
            <x14:dxf>
              <font>
                <color theme="0"/>
              </font>
              <fill>
                <patternFill>
                  <bgColor theme="1"/>
                </patternFill>
              </fill>
            </x14:dxf>
          </x14:cfRule>
          <x14:cfRule type="expression" priority="83" id="{4869A631-E5B2-AC4A-9F64-07F866BAB5B5}">
            <xm:f>OR(Februar!$C9="pæd.dag")</xm:f>
            <x14:dxf>
              <font>
                <color theme="1"/>
              </font>
              <fill>
                <patternFill>
                  <bgColor theme="7" tint="0.39994506668294322"/>
                </patternFill>
              </fill>
            </x14:dxf>
          </x14:cfRule>
          <x14:cfRule type="expression" priority="84" id="{39C4D426-F21A-FE41-AD48-523EDD85B599}">
            <xm:f>OR(Februar!$C9="nul-dag")</xm:f>
            <x14:dxf>
              <font>
                <color theme="1"/>
              </font>
              <fill>
                <patternFill>
                  <bgColor theme="5" tint="0.79998168889431442"/>
                </patternFill>
              </fill>
            </x14:dxf>
          </x14:cfRule>
          <x14:cfRule type="expression" priority="24" id="{E96A00CC-49F7-8B42-B1D7-8CF5307B2C13}">
            <xm:f>OR(Februar!$C9="Skema 4")</xm:f>
            <x14:dxf>
              <font>
                <color theme="0"/>
              </font>
              <fill>
                <patternFill>
                  <bgColor theme="4" tint="-0.24994659260841701"/>
                </patternFill>
              </fill>
            </x14:dxf>
          </x14:cfRule>
          <x14:cfRule type="expression" priority="23" id="{F7929E43-28A2-6B4D-8A95-49373E998490}">
            <xm:f>OR(Februar!$C9="Skema 3")</xm:f>
            <x14:dxf>
              <font>
                <color theme="0"/>
              </font>
              <fill>
                <patternFill>
                  <bgColor theme="4" tint="0.39994506668294322"/>
                </patternFill>
              </fill>
            </x14:dxf>
          </x14:cfRule>
          <x14:cfRule type="expression" priority="22" id="{E6DCFBEB-E6D1-244B-BC94-3093EE48BAFD}">
            <xm:f>OR(Februar!$C9="Skema 2")</xm:f>
            <x14:dxf>
              <font>
                <color theme="1"/>
              </font>
              <fill>
                <patternFill>
                  <bgColor theme="4" tint="0.59996337778862885"/>
                </patternFill>
              </fill>
            </x14:dxf>
          </x14:cfRule>
          <x14:cfRule type="expression" priority="21" id="{0AB281AD-E70D-B542-939D-EF5BD8824FD8}">
            <xm:f>OR(Februar!$C9="Skema 1")</xm:f>
            <x14:dxf>
              <font>
                <color theme="1"/>
              </font>
              <fill>
                <patternFill>
                  <bgColor theme="4" tint="0.79998168889431442"/>
                </patternFill>
              </fill>
            </x14:dxf>
          </x14:cfRule>
          <xm:sqref>A3:E31</xm:sqref>
        </x14:conditionalFormatting>
        <x14:conditionalFormatting xmlns:xm="http://schemas.microsoft.com/office/excel/2006/main">
          <x14:cfRule type="expression" priority="82" stopIfTrue="1" id="{A19BC286-75C7-384E-9180-53B85FFC3066}">
            <xm:f>OR(Marts!$C9="Orlov")</xm:f>
            <x14:dxf>
              <font>
                <color theme="0"/>
              </font>
              <fill>
                <patternFill patternType="solid">
                  <bgColor theme="6" tint="-0.24994659260841701"/>
                </patternFill>
              </fill>
            </x14:dxf>
          </x14:cfRule>
          <x14:cfRule type="expression" priority="17" id="{D2EC0C15-42B0-6D4C-A256-9BBBA2237861}">
            <xm:f>OR(Marts!$C9="Skema 1")</xm:f>
            <x14:dxf>
              <font>
                <color theme="1"/>
              </font>
              <fill>
                <patternFill>
                  <bgColor theme="4" tint="0.79998168889431442"/>
                </patternFill>
              </fill>
            </x14:dxf>
          </x14:cfRule>
          <x14:cfRule type="expression" priority="18" id="{2668D4B4-6813-6441-B780-22F04DA03A65}">
            <xm:f>OR(Marts!$C9="Skema 2")</xm:f>
            <x14:dxf>
              <font>
                <color theme="1"/>
              </font>
              <fill>
                <patternFill>
                  <bgColor theme="4" tint="0.59996337778862885"/>
                </patternFill>
              </fill>
            </x14:dxf>
          </x14:cfRule>
          <x14:cfRule type="expression" priority="19" id="{183EF8EE-7380-EA42-A43E-539681C98578}">
            <xm:f>OR(Marts!$C9="Skema 3")</xm:f>
            <x14:dxf>
              <font>
                <color theme="0"/>
              </font>
              <fill>
                <patternFill>
                  <bgColor theme="4" tint="0.39994506668294322"/>
                </patternFill>
              </fill>
            </x14:dxf>
          </x14:cfRule>
          <x14:cfRule type="expression" priority="20" id="{45049CC7-BA0C-4E4F-8BA7-F857EC8F7012}">
            <xm:f>OR(Marts!$C9="Skema 4")</xm:f>
            <x14:dxf>
              <font>
                <color theme="0"/>
              </font>
              <fill>
                <patternFill>
                  <bgColor theme="4" tint="-0.24994659260841701"/>
                </patternFill>
              </fill>
            </x14:dxf>
          </x14:cfRule>
          <x14:cfRule type="expression" priority="73" id="{6D6BFA12-E389-EF41-92A5-388BBB962CF0}">
            <xm:f>OR(Marts!$C9="pæd.dag")</xm:f>
            <x14:dxf>
              <font>
                <color theme="1"/>
              </font>
              <fill>
                <patternFill>
                  <bgColor theme="7" tint="0.39994506668294322"/>
                </patternFill>
              </fill>
            </x14:dxf>
          </x14:cfRule>
          <x14:cfRule type="expression" priority="74" id="{537C09DA-DA59-4148-AEB0-9861A919B227}">
            <xm:f>OR(Marts!$C9="nul-dag")</xm:f>
            <x14:dxf>
              <font>
                <color theme="1"/>
              </font>
              <fill>
                <patternFill>
                  <bgColor theme="5" tint="0.79998168889431442"/>
                </patternFill>
              </fill>
            </x14:dxf>
          </x14:cfRule>
          <x14:cfRule type="expression" priority="75" id="{58971DDF-F166-E042-B167-6C2F1BBE6AD0}">
            <xm:f>OR(Marts!$C9="SH-dag")</xm:f>
            <x14:dxf>
              <font>
                <color theme="1"/>
              </font>
              <fill>
                <patternFill>
                  <bgColor rgb="FFFF2F82"/>
                </patternFill>
              </fill>
            </x14:dxf>
          </x14:cfRule>
          <x14:cfRule type="expression" priority="76" id="{0F5CAAAC-B94A-0946-BE6A-D17B3DED7811}">
            <xm:f>OR(Marts!$C9="ekskursion")</xm:f>
            <x14:dxf>
              <font>
                <color theme="1"/>
              </font>
              <fill>
                <patternFill>
                  <bgColor rgb="FFFFFF00"/>
                </patternFill>
              </fill>
            </x14:dxf>
          </x14:cfRule>
          <x14:cfRule type="expression" priority="77" id="{2B18A6A9-445C-114D-B7BF-725EB47AD762}">
            <xm:f>OR(Marts!$C9="lejrskole")</xm:f>
            <x14:dxf>
              <font>
                <color theme="1"/>
              </font>
              <fill>
                <patternFill>
                  <bgColor theme="8" tint="0.59996337778862885"/>
                </patternFill>
              </fill>
            </x14:dxf>
          </x14:cfRule>
          <x14:cfRule type="expression" priority="78" id="{8E5C35AA-8A39-4A4A-9284-8B2E3E35C756}">
            <xm:f>OR(Marts!$C9="emnedag")</xm:f>
            <x14:dxf>
              <font>
                <color theme="1"/>
              </font>
              <fill>
                <patternFill>
                  <bgColor theme="5" tint="0.59996337778862885"/>
                </patternFill>
              </fill>
            </x14:dxf>
          </x14:cfRule>
          <x14:cfRule type="expression" priority="79" id="{373C7241-B62D-9B49-AF38-D031587F45C8}">
            <xm:f>OR(Marts!$C9="fagdag")</xm:f>
            <x14:dxf>
              <font>
                <color theme="1"/>
              </font>
              <fill>
                <patternFill>
                  <bgColor theme="9" tint="0.59996337778862885"/>
                </patternFill>
              </fill>
            </x14:dxf>
          </x14:cfRule>
          <x14:cfRule type="expression" priority="80" id="{0D652B04-5C4F-1145-9D7E-C15326BC13C5}">
            <xm:f>OR(Marts!$C9="feriedag")</xm:f>
            <x14:dxf>
              <font>
                <color theme="1"/>
              </font>
              <fill>
                <patternFill>
                  <bgColor theme="6" tint="0.39994506668294322"/>
                </patternFill>
              </fill>
            </x14:dxf>
          </x14:cfRule>
          <x14:cfRule type="expression" priority="31" id="{3AB6D212-85A0-F04D-920B-A92267DB488B}">
            <xm:f>OR(Marts!$C9="Ikke relevant")</xm:f>
            <x14:dxf>
              <font>
                <color theme="0"/>
              </font>
              <fill>
                <patternFill>
                  <bgColor theme="1"/>
                </patternFill>
              </fill>
            </x14:dxf>
          </x14:cfRule>
          <x14:cfRule type="expression" priority="81" id="{2F51A462-F28C-7B4A-8F6B-B8F18F2E47B6}">
            <xm:f>OR(Marts!$C9="weekend")</xm:f>
            <x14:dxf>
              <font>
                <color theme="1"/>
              </font>
              <fill>
                <patternFill>
                  <bgColor theme="0" tint="-0.14996795556505021"/>
                </patternFill>
              </fill>
            </x14:dxf>
          </x14:cfRule>
          <xm:sqref>F3:J33</xm:sqref>
        </x14:conditionalFormatting>
        <x14:conditionalFormatting xmlns:xm="http://schemas.microsoft.com/office/excel/2006/main">
          <x14:cfRule type="expression" priority="16" id="{B911483F-34B1-0841-AE6D-1366C2EBA141}">
            <xm:f>OR(April!$C9="Skema 4")</xm:f>
            <x14:dxf>
              <font>
                <color theme="0"/>
              </font>
              <fill>
                <patternFill>
                  <bgColor theme="4" tint="-0.24994659260841701"/>
                </patternFill>
              </fill>
            </x14:dxf>
          </x14:cfRule>
          <x14:cfRule type="expression" priority="63" id="{DC92B041-9CB0-7C47-B533-E9085F59E8A9}">
            <xm:f>OR(April!$C9="pæd.dag")</xm:f>
            <x14:dxf>
              <font>
                <color theme="1"/>
              </font>
              <fill>
                <patternFill>
                  <bgColor theme="7" tint="0.39994506668294322"/>
                </patternFill>
              </fill>
            </x14:dxf>
          </x14:cfRule>
          <x14:cfRule type="expression" priority="30" id="{6306EA6E-7EFD-BB4E-8E6A-C4B3394E39EE}">
            <xm:f>OR(April!$C9="ikke relevant")</xm:f>
            <x14:dxf>
              <font>
                <color theme="0"/>
              </font>
              <fill>
                <patternFill>
                  <bgColor theme="1"/>
                </patternFill>
              </fill>
            </x14:dxf>
          </x14:cfRule>
          <x14:cfRule type="expression" priority="64" id="{7CE152F0-A425-1248-8322-25979A2FFD16}">
            <xm:f>OR(April!$C9="nul-dag")</xm:f>
            <x14:dxf>
              <font>
                <color theme="1"/>
              </font>
              <fill>
                <patternFill>
                  <bgColor theme="5" tint="0.79998168889431442"/>
                </patternFill>
              </fill>
            </x14:dxf>
          </x14:cfRule>
          <x14:cfRule type="expression" priority="65" id="{D075334A-CE3A-494E-9982-667528C25034}">
            <xm:f>OR(April!$C9="SH-dag")</xm:f>
            <x14:dxf>
              <font>
                <color theme="1"/>
              </font>
              <fill>
                <patternFill>
                  <bgColor rgb="FFFF2F82"/>
                </patternFill>
              </fill>
            </x14:dxf>
          </x14:cfRule>
          <x14:cfRule type="expression" priority="66" id="{86C9FF40-FEB8-0C4D-973A-8E7738579157}">
            <xm:f>OR(April!$C9="ekskursion")</xm:f>
            <x14:dxf>
              <font>
                <color theme="1"/>
              </font>
              <fill>
                <patternFill>
                  <bgColor rgb="FFFFFF00"/>
                </patternFill>
              </fill>
            </x14:dxf>
          </x14:cfRule>
          <x14:cfRule type="expression" priority="67" id="{AEDC18A4-7A62-8344-BB27-BC03F4283E41}">
            <xm:f>OR(April!$C9="lejrskole")</xm:f>
            <x14:dxf>
              <font>
                <color theme="1"/>
              </font>
              <fill>
                <patternFill>
                  <bgColor theme="8" tint="0.59996337778862885"/>
                </patternFill>
              </fill>
            </x14:dxf>
          </x14:cfRule>
          <x14:cfRule type="expression" priority="13" id="{7477664D-0AAF-0243-81B7-83C3931736AA}">
            <xm:f>OR(April!$C9="Skema 1")</xm:f>
            <x14:dxf>
              <font>
                <color theme="1"/>
              </font>
              <fill>
                <patternFill>
                  <bgColor theme="4" tint="0.79998168889431442"/>
                </patternFill>
              </fill>
            </x14:dxf>
          </x14:cfRule>
          <x14:cfRule type="expression" priority="14" id="{47044C37-6CDB-764B-8156-51B877293132}">
            <xm:f>OR(April!$C9="Skema 2")</xm:f>
            <x14:dxf>
              <font>
                <color theme="1"/>
              </font>
              <fill>
                <patternFill>
                  <bgColor theme="4" tint="0.59996337778862885"/>
                </patternFill>
              </fill>
            </x14:dxf>
          </x14:cfRule>
          <x14:cfRule type="expression" priority="15" id="{9F6CA0E6-3F7E-A742-8DFE-4D197D13EA50}">
            <xm:f>OR(April!$C9="Skema 3")</xm:f>
            <x14:dxf>
              <font>
                <color theme="0"/>
              </font>
              <fill>
                <patternFill>
                  <bgColor theme="4" tint="0.39994506668294322"/>
                </patternFill>
              </fill>
            </x14:dxf>
          </x14:cfRule>
          <x14:cfRule type="expression" priority="72" stopIfTrue="1" id="{75133B94-247C-034A-8A6D-3FA79206DDF4}">
            <xm:f>OR(April!$C9="Orlov")</xm:f>
            <x14:dxf>
              <font>
                <color theme="0"/>
              </font>
              <fill>
                <patternFill patternType="solid">
                  <bgColor theme="6" tint="-0.24994659260841701"/>
                </patternFill>
              </fill>
            </x14:dxf>
          </x14:cfRule>
          <x14:cfRule type="expression" priority="71" id="{A75B3236-996A-9B43-B894-25887F31CA82}">
            <xm:f>OR(April!$C9="weekend")</xm:f>
            <x14:dxf>
              <font>
                <color theme="1"/>
              </font>
              <fill>
                <patternFill>
                  <bgColor theme="0" tint="-0.14996795556505021"/>
                </patternFill>
              </fill>
            </x14:dxf>
          </x14:cfRule>
          <x14:cfRule type="expression" priority="70" id="{65DBF272-472D-7A49-B91E-CDD7C79D2FE8}">
            <xm:f>OR(April!$C9="feriedag")</xm:f>
            <x14:dxf>
              <font>
                <color theme="1"/>
              </font>
              <fill>
                <patternFill>
                  <bgColor theme="6" tint="0.39994506668294322"/>
                </patternFill>
              </fill>
            </x14:dxf>
          </x14:cfRule>
          <x14:cfRule type="expression" priority="69" id="{D6B95BC6-48E7-BE4E-953A-B0B01E962921}">
            <xm:f>OR(April!$C9="fagdag")</xm:f>
            <x14:dxf>
              <font>
                <color theme="1"/>
              </font>
              <fill>
                <patternFill>
                  <bgColor theme="9" tint="0.59996337778862885"/>
                </patternFill>
              </fill>
            </x14:dxf>
          </x14:cfRule>
          <x14:cfRule type="expression" priority="68" id="{8D108F10-178F-994B-B53E-B126B41262A3}">
            <xm:f>OR(April!$C9="emnedag")</xm:f>
            <x14:dxf>
              <font>
                <color theme="1"/>
              </font>
              <fill>
                <patternFill>
                  <bgColor theme="5" tint="0.59996337778862885"/>
                </patternFill>
              </fill>
            </x14:dxf>
          </x14:cfRule>
          <xm:sqref>K3:O32</xm:sqref>
        </x14:conditionalFormatting>
        <x14:conditionalFormatting xmlns:xm="http://schemas.microsoft.com/office/excel/2006/main">
          <x14:cfRule type="expression" priority="12" id="{EDA7D371-A004-6C45-86BF-4760DC1B3BE6}">
            <xm:f>OR(Maj!$C9="Skema 4")</xm:f>
            <x14:dxf>
              <font>
                <color theme="0"/>
              </font>
              <fill>
                <patternFill>
                  <bgColor theme="4" tint="-0.24994659260841701"/>
                </patternFill>
              </fill>
            </x14:dxf>
          </x14:cfRule>
          <x14:cfRule type="expression" priority="11" id="{1AED923F-68EC-994E-8111-6DE1953F8846}">
            <xm:f>OR(Maj!$C9="Skema 3")</xm:f>
            <x14:dxf>
              <font>
                <color theme="0"/>
              </font>
              <fill>
                <patternFill>
                  <bgColor theme="4" tint="0.39994506668294322"/>
                </patternFill>
              </fill>
            </x14:dxf>
          </x14:cfRule>
          <x14:cfRule type="expression" priority="10" id="{01BF3053-383D-954B-B219-0EC7917AC7FB}">
            <xm:f>OR(Maj!$C9="Skema 2")</xm:f>
            <x14:dxf>
              <font>
                <color theme="1"/>
              </font>
              <fill>
                <patternFill>
                  <bgColor theme="4" tint="0.59996337778862885"/>
                </patternFill>
              </fill>
            </x14:dxf>
          </x14:cfRule>
          <x14:cfRule type="expression" priority="29" id="{8931C539-23F9-3D4C-BF47-13E25A58A4D9}">
            <xm:f>OR(Maj!$C9="Ikke relevant")</xm:f>
            <x14:dxf>
              <font>
                <color theme="0"/>
              </font>
              <fill>
                <patternFill>
                  <bgColor theme="1"/>
                </patternFill>
              </fill>
            </x14:dxf>
          </x14:cfRule>
          <x14:cfRule type="expression" priority="9" id="{03041ED0-70A6-B841-82DD-8E909FE4848C}">
            <xm:f>OR(Maj!$C9="Skema 1")</xm:f>
            <x14:dxf>
              <font>
                <color theme="1"/>
              </font>
              <fill>
                <patternFill>
                  <bgColor theme="4" tint="0.79998168889431442"/>
                </patternFill>
              </fill>
            </x14:dxf>
          </x14:cfRule>
          <x14:cfRule type="expression" priority="53" id="{50CD2F4D-996F-2E48-9022-BAB76BF43BAB}">
            <xm:f>OR(Maj!$C9="pæd.dag")</xm:f>
            <x14:dxf>
              <font>
                <color theme="1"/>
              </font>
              <fill>
                <patternFill>
                  <bgColor theme="7" tint="0.39994506668294322"/>
                </patternFill>
              </fill>
            </x14:dxf>
          </x14:cfRule>
          <x14:cfRule type="expression" priority="54" id="{474248A2-6E04-9542-963A-C43CDF25A209}">
            <xm:f>OR(Maj!$C9="nul-dag")</xm:f>
            <x14:dxf>
              <font>
                <color theme="1"/>
              </font>
              <fill>
                <patternFill>
                  <bgColor theme="5" tint="0.79998168889431442"/>
                </patternFill>
              </fill>
            </x14:dxf>
          </x14:cfRule>
          <x14:cfRule type="expression" priority="55" id="{7AE2C63B-BDB1-684F-958D-34FE6BDDFCE3}">
            <xm:f>OR(Maj!$C9="SH-dag")</xm:f>
            <x14:dxf>
              <font>
                <color theme="1"/>
              </font>
              <fill>
                <patternFill>
                  <bgColor rgb="FFFF2F82"/>
                </patternFill>
              </fill>
            </x14:dxf>
          </x14:cfRule>
          <x14:cfRule type="expression" priority="56" id="{B6E9AB86-49BF-A44A-92F6-92D75FC06D26}">
            <xm:f>OR(Maj!$C9="ekskursion")</xm:f>
            <x14:dxf>
              <font>
                <color theme="1"/>
              </font>
              <fill>
                <patternFill>
                  <bgColor rgb="FFFFFF00"/>
                </patternFill>
              </fill>
            </x14:dxf>
          </x14:cfRule>
          <x14:cfRule type="expression" priority="57" id="{D4188B95-6B50-0B41-B1B1-3525B3093F6D}">
            <xm:f>OR(Maj!$C9="lejrskole")</xm:f>
            <x14:dxf>
              <font>
                <color theme="1"/>
              </font>
              <fill>
                <patternFill>
                  <bgColor theme="8" tint="0.59996337778862885"/>
                </patternFill>
              </fill>
            </x14:dxf>
          </x14:cfRule>
          <x14:cfRule type="expression" priority="58" id="{D07F190B-00C6-BE49-A3BF-2A5442CAF3E6}">
            <xm:f>OR(Maj!$C9="emnedag")</xm:f>
            <x14:dxf>
              <font>
                <color theme="1"/>
              </font>
              <fill>
                <patternFill>
                  <bgColor theme="5" tint="0.59996337778862885"/>
                </patternFill>
              </fill>
            </x14:dxf>
          </x14:cfRule>
          <x14:cfRule type="expression" priority="59" id="{0A28D22A-A4B3-3745-87F1-178CFAAB8A9E}">
            <xm:f>OR(Maj!$C9="fagdag")</xm:f>
            <x14:dxf>
              <font>
                <color theme="1"/>
              </font>
              <fill>
                <patternFill>
                  <bgColor theme="9" tint="0.59996337778862885"/>
                </patternFill>
              </fill>
            </x14:dxf>
          </x14:cfRule>
          <x14:cfRule type="expression" priority="60" id="{51495512-FECE-E14B-B72B-4B8AD254C6F0}">
            <xm:f>OR(Maj!$C9="feriedag")</xm:f>
            <x14:dxf>
              <font>
                <color theme="1"/>
              </font>
              <fill>
                <patternFill>
                  <bgColor theme="6" tint="0.39994506668294322"/>
                </patternFill>
              </fill>
            </x14:dxf>
          </x14:cfRule>
          <x14:cfRule type="expression" priority="61" id="{B2568CEC-E71A-5046-BDBB-3FF7DE9CC555}">
            <xm:f>OR(Maj!$C9="weekend")</xm:f>
            <x14:dxf>
              <font>
                <color theme="1"/>
              </font>
              <fill>
                <patternFill>
                  <bgColor theme="0" tint="-0.14996795556505021"/>
                </patternFill>
              </fill>
            </x14:dxf>
          </x14:cfRule>
          <x14:cfRule type="expression" priority="62" stopIfTrue="1" id="{EC84CFD7-C053-2144-ACE4-DC211962BDBB}">
            <xm:f>OR(Maj!$C9="Orlov")</xm:f>
            <x14:dxf>
              <font>
                <color theme="0"/>
              </font>
              <fill>
                <patternFill patternType="solid">
                  <bgColor theme="6" tint="-0.24994659260841701"/>
                </patternFill>
              </fill>
            </x14:dxf>
          </x14:cfRule>
          <xm:sqref>P3:T33</xm:sqref>
        </x14:conditionalFormatting>
        <x14:conditionalFormatting xmlns:xm="http://schemas.microsoft.com/office/excel/2006/main">
          <x14:cfRule type="expression" priority="52" stopIfTrue="1" id="{A8C3538A-4F35-6C46-8AC0-A42EC24299DE}">
            <xm:f>OR(Juni!$C9="Orlov")</xm:f>
            <x14:dxf>
              <font>
                <color theme="0"/>
              </font>
              <fill>
                <patternFill patternType="solid">
                  <bgColor theme="6" tint="-0.24994659260841701"/>
                </patternFill>
              </fill>
            </x14:dxf>
          </x14:cfRule>
          <x14:cfRule type="expression" priority="51" id="{4C3AAFF6-429E-B148-ABA3-4235BAD6AF07}">
            <xm:f>OR(Juni!$C9="weekend")</xm:f>
            <x14:dxf>
              <font>
                <color theme="1"/>
              </font>
              <fill>
                <patternFill>
                  <bgColor theme="0" tint="-0.14996795556505021"/>
                </patternFill>
              </fill>
            </x14:dxf>
          </x14:cfRule>
          <x14:cfRule type="expression" priority="50" id="{16B5986B-0CB3-EF48-9F62-D21F4540C027}">
            <xm:f>OR(Juni!$C9="feriedag")</xm:f>
            <x14:dxf>
              <font>
                <color theme="1"/>
              </font>
              <fill>
                <patternFill>
                  <bgColor theme="6" tint="0.39994506668294322"/>
                </patternFill>
              </fill>
            </x14:dxf>
          </x14:cfRule>
          <x14:cfRule type="expression" priority="49" id="{C3A6622B-2656-1148-8021-15583886E755}">
            <xm:f>OR(Juni!$C9="fagdag")</xm:f>
            <x14:dxf>
              <font>
                <color theme="1"/>
              </font>
              <fill>
                <patternFill>
                  <bgColor theme="9" tint="0.59996337778862885"/>
                </patternFill>
              </fill>
            </x14:dxf>
          </x14:cfRule>
          <x14:cfRule type="expression" priority="48" id="{9AACDA6B-04BD-9740-94B5-3C14DC59DD13}">
            <xm:f>OR(Juni!$C9="emnedag")</xm:f>
            <x14:dxf>
              <font>
                <color theme="1"/>
              </font>
              <fill>
                <patternFill>
                  <bgColor theme="5" tint="0.59996337778862885"/>
                </patternFill>
              </fill>
            </x14:dxf>
          </x14:cfRule>
          <x14:cfRule type="expression" priority="47" id="{1424242C-FBB8-D24D-BDB5-1A4762F47231}">
            <xm:f>OR(Juni!$C9="lejrskole")</xm:f>
            <x14:dxf>
              <font>
                <color theme="1"/>
              </font>
              <fill>
                <patternFill>
                  <bgColor theme="8" tint="0.59996337778862885"/>
                </patternFill>
              </fill>
            </x14:dxf>
          </x14:cfRule>
          <x14:cfRule type="expression" priority="46" id="{929A9DD8-CC91-C644-BF67-D6FE634ED795}">
            <xm:f>OR(Juni!$C9="ekskursion")</xm:f>
            <x14:dxf>
              <font>
                <color theme="1"/>
              </font>
              <fill>
                <patternFill>
                  <bgColor rgb="FFFFFF00"/>
                </patternFill>
              </fill>
            </x14:dxf>
          </x14:cfRule>
          <x14:cfRule type="expression" priority="45" id="{E0EAF2A4-095E-234E-B0BB-557171345B2A}">
            <xm:f>OR(Juni!$C9="SH-dag")</xm:f>
            <x14:dxf>
              <font>
                <color theme="1"/>
              </font>
              <fill>
                <patternFill>
                  <bgColor rgb="FFFF2F82"/>
                </patternFill>
              </fill>
            </x14:dxf>
          </x14:cfRule>
          <x14:cfRule type="expression" priority="44" id="{6984B7EC-16D3-4C4A-BA3B-40F03CB56610}">
            <xm:f>OR(Juni!$C9="nul-dag")</xm:f>
            <x14:dxf>
              <font>
                <color theme="1"/>
              </font>
              <fill>
                <patternFill>
                  <bgColor theme="5" tint="0.79998168889431442"/>
                </patternFill>
              </fill>
            </x14:dxf>
          </x14:cfRule>
          <x14:cfRule type="expression" priority="43" id="{D966B48E-945A-A64F-9C79-43029C85E30F}">
            <xm:f>OR(Juni!$C9="pæd.dag")</xm:f>
            <x14:dxf>
              <font>
                <color theme="1"/>
              </font>
              <fill>
                <patternFill>
                  <bgColor theme="7" tint="0.39994506668294322"/>
                </patternFill>
              </fill>
            </x14:dxf>
          </x14:cfRule>
          <x14:cfRule type="expression" priority="5" id="{9F57C169-AA27-104B-AD9F-B4377E1640CB}">
            <xm:f>OR(Juni!$C9="Skema 1")</xm:f>
            <x14:dxf>
              <font>
                <color theme="1"/>
              </font>
              <fill>
                <patternFill>
                  <bgColor theme="4" tint="0.79998168889431442"/>
                </patternFill>
              </fill>
            </x14:dxf>
          </x14:cfRule>
          <x14:cfRule type="expression" priority="6" id="{E0BFBAEA-0D07-8347-BF7D-0D8EBD03E44E}">
            <xm:f>OR(Juni!$C9="Skema 2")</xm:f>
            <x14:dxf>
              <font>
                <color theme="1"/>
              </font>
              <fill>
                <patternFill>
                  <bgColor theme="4" tint="0.59996337778862885"/>
                </patternFill>
              </fill>
            </x14:dxf>
          </x14:cfRule>
          <x14:cfRule type="expression" priority="7" id="{43FD1777-4FED-EC45-A034-2F64B6909D76}">
            <xm:f>OR(Juni!$C9="Skema 3")</xm:f>
            <x14:dxf>
              <font>
                <color theme="0"/>
              </font>
              <fill>
                <patternFill>
                  <bgColor theme="4" tint="0.39994506668294322"/>
                </patternFill>
              </fill>
            </x14:dxf>
          </x14:cfRule>
          <x14:cfRule type="expression" priority="8" id="{CC0D2052-B582-BC4E-8EC0-5218D205E5D8}">
            <xm:f>OR(Juni!$C9="Skema 4")</xm:f>
            <x14:dxf>
              <font>
                <color theme="0"/>
              </font>
              <fill>
                <patternFill>
                  <bgColor theme="4" tint="-0.24994659260841701"/>
                </patternFill>
              </fill>
            </x14:dxf>
          </x14:cfRule>
          <x14:cfRule type="expression" priority="26" id="{F0ABB181-A066-8D49-86E7-9AEF13BDC583}">
            <xm:f>OR(Juni!$C9="Ikke relevant")</xm:f>
            <x14:dxf>
              <font>
                <color theme="0"/>
              </font>
              <fill>
                <patternFill>
                  <bgColor theme="1"/>
                </patternFill>
              </fill>
            </x14:dxf>
          </x14:cfRule>
          <xm:sqref>U3:Y32</xm:sqref>
        </x14:conditionalFormatting>
        <x14:conditionalFormatting xmlns:xm="http://schemas.microsoft.com/office/excel/2006/main">
          <x14:cfRule type="expression" priority="37" id="{68A3A017-2778-6742-A269-1079E334C9D2}">
            <xm:f>OR(Juli!$C9="lejrskole")</xm:f>
            <x14:dxf>
              <font>
                <color theme="1"/>
              </font>
              <fill>
                <patternFill>
                  <bgColor theme="8" tint="0.59996337778862885"/>
                </patternFill>
              </fill>
            </x14:dxf>
          </x14:cfRule>
          <x14:cfRule type="expression" priority="36" id="{1CE3DB7B-733A-E640-B601-A4D92D9964F8}">
            <xm:f>OR(Juli!$C9="ekskursion")</xm:f>
            <x14:dxf>
              <font>
                <color theme="1"/>
              </font>
              <fill>
                <patternFill>
                  <bgColor rgb="FFFFFF00"/>
                </patternFill>
              </fill>
            </x14:dxf>
          </x14:cfRule>
          <x14:cfRule type="expression" priority="35" id="{099C738A-55FA-FF4B-83F9-9DBABCB4DF0F}">
            <xm:f>OR(Juli!$C9="SH-dag")</xm:f>
            <x14:dxf>
              <font>
                <color theme="1"/>
              </font>
              <fill>
                <patternFill>
                  <bgColor rgb="FFFF2F82"/>
                </patternFill>
              </fill>
            </x14:dxf>
          </x14:cfRule>
          <x14:cfRule type="expression" priority="34" id="{93A40936-AA49-0443-9ADE-D6753D0D065C}">
            <xm:f>OR(Juli!$C9="nul-dag")</xm:f>
            <x14:dxf>
              <font>
                <color theme="1"/>
              </font>
              <fill>
                <patternFill>
                  <bgColor theme="5" tint="0.79998168889431442"/>
                </patternFill>
              </fill>
            </x14:dxf>
          </x14:cfRule>
          <x14:cfRule type="expression" priority="33" id="{D517ADF8-817F-054B-9146-3E87DEC8739B}">
            <xm:f>OR(Juli!$C9="pæd.dag")</xm:f>
            <x14:dxf>
              <font>
                <color theme="1"/>
              </font>
              <fill>
                <patternFill>
                  <bgColor theme="7" tint="0.39994506668294322"/>
                </patternFill>
              </fill>
            </x14:dxf>
          </x14:cfRule>
          <x14:cfRule type="expression" priority="38" id="{859ACBD8-07BA-B942-AF66-F8C8D62755F0}">
            <xm:f>OR(Juli!$C9="emnedag")</xm:f>
            <x14:dxf>
              <font>
                <color theme="1"/>
              </font>
              <fill>
                <patternFill>
                  <bgColor theme="5" tint="0.59996337778862885"/>
                </patternFill>
              </fill>
            </x14:dxf>
          </x14:cfRule>
          <x14:cfRule type="expression" priority="25" id="{F0BEE529-422E-E340-A6EC-06762E977344}">
            <xm:f>OR(Juli!$C9="Ikke relevant")</xm:f>
            <x14:dxf>
              <font>
                <color theme="0"/>
              </font>
              <fill>
                <patternFill>
                  <bgColor theme="1"/>
                </patternFill>
              </fill>
            </x14:dxf>
          </x14:cfRule>
          <x14:cfRule type="expression" priority="39" id="{085CD43C-CE64-454C-BA3B-E1E7DF101E99}">
            <xm:f>OR(Juli!$C9="fagdag")</xm:f>
            <x14:dxf>
              <font>
                <color theme="1"/>
              </font>
              <fill>
                <patternFill>
                  <bgColor theme="9" tint="0.59996337778862885"/>
                </patternFill>
              </fill>
            </x14:dxf>
          </x14:cfRule>
          <x14:cfRule type="expression" priority="40" id="{11A4B951-B98F-A043-A2A9-84ECB369DD41}">
            <xm:f>OR(Juli!$C9="feriedag")</xm:f>
            <x14:dxf>
              <font>
                <color theme="1"/>
              </font>
              <fill>
                <patternFill>
                  <bgColor theme="6" tint="0.39994506668294322"/>
                </patternFill>
              </fill>
            </x14:dxf>
          </x14:cfRule>
          <x14:cfRule type="expression" priority="41" id="{00544BEC-1ED1-374C-B735-C09CF59E796D}">
            <xm:f>OR(Juli!$C9="weekend")</xm:f>
            <x14:dxf>
              <font>
                <color theme="1"/>
              </font>
              <fill>
                <patternFill>
                  <bgColor theme="0" tint="-0.14996795556505021"/>
                </patternFill>
              </fill>
            </x14:dxf>
          </x14:cfRule>
          <x14:cfRule type="expression" priority="42" stopIfTrue="1" id="{7CF96F1D-A969-D441-8FE0-B4A2FADD1DAB}">
            <xm:f>OR(Juli!$C9="Orlov")</xm:f>
            <x14:dxf>
              <font>
                <color theme="0"/>
              </font>
              <fill>
                <patternFill patternType="solid">
                  <bgColor theme="6" tint="-0.24994659260841701"/>
                </patternFill>
              </fill>
            </x14:dxf>
          </x14:cfRule>
          <x14:cfRule type="expression" priority="4" id="{FF8A0C49-7711-2148-84C9-C6A2DAD7D220}">
            <xm:f>OR(Juli!$C9="Skema 4")</xm:f>
            <x14:dxf>
              <font>
                <color theme="0"/>
              </font>
              <fill>
                <patternFill>
                  <bgColor theme="4" tint="-0.24994659260841701"/>
                </patternFill>
              </fill>
            </x14:dxf>
          </x14:cfRule>
          <x14:cfRule type="expression" priority="3" id="{FEFA4618-0E81-6343-8086-7C039E3E2BF2}">
            <xm:f>OR(Juli!$C9="Skema 3")</xm:f>
            <x14:dxf>
              <font>
                <color theme="0"/>
              </font>
              <fill>
                <patternFill>
                  <bgColor theme="4" tint="0.39994506668294322"/>
                </patternFill>
              </fill>
            </x14:dxf>
          </x14:cfRule>
          <x14:cfRule type="expression" priority="2" id="{19F797BC-D9FE-684D-9BA2-0572330AF9D9}">
            <xm:f>OR(Juli!$C9="Skema 2")</xm:f>
            <x14:dxf>
              <font>
                <color theme="1"/>
              </font>
              <fill>
                <patternFill>
                  <bgColor theme="4" tint="0.59996337778862885"/>
                </patternFill>
              </fill>
            </x14:dxf>
          </x14:cfRule>
          <x14:cfRule type="expression" priority="1" id="{AD285191-2CE1-8B4F-96B3-7DBA611FD62F}">
            <xm:f>OR(Juli!$C9="Skema 1")</xm:f>
            <x14:dxf>
              <font>
                <color theme="1"/>
              </font>
              <fill>
                <patternFill>
                  <bgColor theme="4" tint="0.79998168889431442"/>
                </patternFill>
              </fill>
            </x14:dxf>
          </x14:cfRule>
          <xm:sqref>Z3:AD33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15DB-DEA5-C94D-B3BE-3DBDEF43D8C7}">
  <sheetPr>
    <tabColor rgb="FFFFFF00"/>
    <pageSetUpPr fitToPage="1"/>
  </sheetPr>
  <dimension ref="A1:J24"/>
  <sheetViews>
    <sheetView zoomScaleNormal="100" workbookViewId="0">
      <selection activeCell="A9" sqref="A9:J9"/>
    </sheetView>
  </sheetViews>
  <sheetFormatPr baseColWidth="10" defaultRowHeight="16"/>
  <sheetData>
    <row r="1" spans="1:10" ht="55" customHeight="1">
      <c r="A1" s="736" t="s">
        <v>528</v>
      </c>
      <c r="B1" s="736"/>
      <c r="C1" s="736"/>
      <c r="D1" s="736"/>
      <c r="E1" s="736"/>
      <c r="F1" s="736"/>
      <c r="G1" s="736"/>
      <c r="H1" s="736"/>
      <c r="I1" s="736"/>
      <c r="J1" s="736"/>
    </row>
    <row r="2" spans="1:10">
      <c r="A2" s="730"/>
      <c r="B2" s="730"/>
      <c r="C2" s="730"/>
      <c r="D2" s="730"/>
      <c r="E2" s="730"/>
      <c r="F2" s="730"/>
      <c r="G2" s="730"/>
      <c r="H2" s="730"/>
      <c r="I2" s="730"/>
      <c r="J2" s="730"/>
    </row>
    <row r="3" spans="1:10" ht="21">
      <c r="A3" s="727" t="s">
        <v>520</v>
      </c>
      <c r="B3" s="727"/>
      <c r="C3" s="727"/>
      <c r="D3" s="727"/>
      <c r="E3" s="727"/>
      <c r="F3" s="727"/>
      <c r="G3" s="727"/>
      <c r="H3" s="727"/>
      <c r="I3" s="727"/>
      <c r="J3" s="727"/>
    </row>
    <row r="4" spans="1:10">
      <c r="A4" s="734" t="s">
        <v>521</v>
      </c>
      <c r="B4" s="734"/>
      <c r="C4" s="734"/>
      <c r="D4" s="734"/>
      <c r="E4" s="734"/>
      <c r="F4" s="734"/>
      <c r="G4" s="734"/>
      <c r="H4" s="734"/>
      <c r="I4" s="734"/>
      <c r="J4" s="734"/>
    </row>
    <row r="5" spans="1:10">
      <c r="A5" s="734"/>
      <c r="B5" s="734"/>
      <c r="C5" s="734"/>
      <c r="D5" s="734"/>
      <c r="E5" s="734"/>
      <c r="F5" s="734"/>
      <c r="G5" s="734"/>
      <c r="H5" s="734"/>
      <c r="I5" s="734"/>
      <c r="J5" s="734"/>
    </row>
    <row r="6" spans="1:10" ht="21">
      <c r="A6" s="727" t="s">
        <v>513</v>
      </c>
      <c r="B6" s="727"/>
      <c r="C6" s="727"/>
      <c r="D6" s="727"/>
      <c r="E6" s="727"/>
      <c r="F6" s="727"/>
      <c r="G6" s="727"/>
      <c r="H6" s="727"/>
      <c r="I6" s="727"/>
      <c r="J6" s="727"/>
    </row>
    <row r="7" spans="1:10">
      <c r="A7" s="734" t="s">
        <v>522</v>
      </c>
      <c r="B7" s="734"/>
      <c r="C7" s="734"/>
      <c r="D7" s="734"/>
      <c r="E7" s="734"/>
      <c r="F7" s="734"/>
      <c r="G7" s="734"/>
      <c r="H7" s="734"/>
      <c r="I7" s="734"/>
      <c r="J7" s="734"/>
    </row>
    <row r="8" spans="1:10">
      <c r="A8" s="734"/>
      <c r="B8" s="734"/>
      <c r="C8" s="734"/>
      <c r="D8" s="734"/>
      <c r="E8" s="734"/>
      <c r="F8" s="734"/>
      <c r="G8" s="734"/>
      <c r="H8" s="734"/>
      <c r="I8" s="734"/>
      <c r="J8" s="734"/>
    </row>
    <row r="9" spans="1:10" ht="21">
      <c r="A9" s="727" t="s">
        <v>523</v>
      </c>
      <c r="B9" s="727"/>
      <c r="C9" s="727"/>
      <c r="D9" s="727"/>
      <c r="E9" s="727"/>
      <c r="F9" s="727"/>
      <c r="G9" s="727"/>
      <c r="H9" s="727"/>
      <c r="I9" s="727"/>
      <c r="J9" s="727"/>
    </row>
    <row r="10" spans="1:10">
      <c r="A10" s="734" t="s">
        <v>524</v>
      </c>
      <c r="B10" s="734"/>
      <c r="C10" s="734"/>
      <c r="D10" s="734"/>
      <c r="E10" s="734"/>
      <c r="F10" s="734"/>
      <c r="G10" s="734"/>
      <c r="H10" s="734"/>
      <c r="I10" s="734"/>
      <c r="J10" s="734"/>
    </row>
    <row r="11" spans="1:10" ht="19">
      <c r="A11" s="737" t="s">
        <v>751</v>
      </c>
      <c r="B11" s="737"/>
      <c r="C11" s="737"/>
      <c r="D11" s="737"/>
      <c r="E11" s="737"/>
      <c r="F11" s="737"/>
      <c r="G11" s="737"/>
      <c r="H11" s="737"/>
      <c r="I11" s="737"/>
      <c r="J11" s="737"/>
    </row>
    <row r="12" spans="1:10" ht="80" customHeight="1">
      <c r="A12" s="728" t="s">
        <v>749</v>
      </c>
      <c r="B12" s="728"/>
      <c r="C12" s="728"/>
      <c r="D12" s="728"/>
      <c r="E12" s="728"/>
      <c r="F12" s="728"/>
      <c r="G12" s="728"/>
      <c r="H12" s="728"/>
      <c r="I12" s="728"/>
      <c r="J12" s="728"/>
    </row>
    <row r="13" spans="1:10" ht="36" customHeight="1">
      <c r="A13" s="728" t="s">
        <v>750</v>
      </c>
      <c r="B13" s="728"/>
      <c r="C13" s="728"/>
      <c r="D13" s="728"/>
      <c r="E13" s="728"/>
      <c r="F13" s="728"/>
      <c r="G13" s="728"/>
      <c r="H13" s="728"/>
      <c r="I13" s="728"/>
      <c r="J13" s="728"/>
    </row>
    <row r="14" spans="1:10" ht="26" customHeight="1">
      <c r="A14" s="726"/>
      <c r="B14" s="726"/>
      <c r="C14" s="726"/>
      <c r="D14" s="726"/>
      <c r="E14" s="726"/>
      <c r="F14" s="726"/>
      <c r="G14" s="726"/>
      <c r="H14" s="726"/>
      <c r="I14" s="726"/>
      <c r="J14" s="726"/>
    </row>
    <row r="15" spans="1:10" ht="21">
      <c r="A15" s="727" t="s">
        <v>525</v>
      </c>
      <c r="B15" s="727"/>
      <c r="C15" s="727"/>
      <c r="D15" s="727"/>
      <c r="E15" s="727"/>
      <c r="F15" s="727"/>
      <c r="G15" s="727"/>
      <c r="H15" s="727"/>
      <c r="I15" s="727"/>
      <c r="J15" s="727"/>
    </row>
    <row r="16" spans="1:10" ht="45" customHeight="1">
      <c r="A16" s="738" t="s">
        <v>752</v>
      </c>
      <c r="B16" s="738"/>
      <c r="C16" s="738"/>
      <c r="D16" s="738"/>
      <c r="E16" s="738"/>
      <c r="F16" s="738"/>
      <c r="G16" s="738"/>
      <c r="H16" s="738"/>
      <c r="I16" s="738"/>
      <c r="J16" s="738"/>
    </row>
    <row r="17" spans="1:10" ht="50" customHeight="1">
      <c r="A17" s="735" t="s">
        <v>753</v>
      </c>
      <c r="B17" s="735"/>
      <c r="C17" s="735"/>
      <c r="D17" s="735"/>
      <c r="E17" s="735"/>
      <c r="F17" s="735"/>
      <c r="G17" s="735"/>
      <c r="H17" s="735"/>
      <c r="I17" s="735"/>
      <c r="J17" s="735"/>
    </row>
    <row r="18" spans="1:10" ht="54" customHeight="1">
      <c r="A18" s="728" t="s">
        <v>526</v>
      </c>
      <c r="B18" s="728"/>
      <c r="C18" s="728"/>
      <c r="D18" s="728"/>
      <c r="E18" s="728"/>
      <c r="F18" s="728"/>
      <c r="G18" s="728"/>
      <c r="H18" s="728"/>
      <c r="I18" s="728"/>
      <c r="J18" s="728"/>
    </row>
    <row r="19" spans="1:10" ht="127" customHeight="1">
      <c r="A19" s="732" t="s">
        <v>573</v>
      </c>
      <c r="B19" s="733"/>
      <c r="C19" s="733"/>
      <c r="D19" s="733"/>
      <c r="E19" s="733"/>
      <c r="F19" s="733"/>
      <c r="G19" s="733"/>
      <c r="H19" s="733"/>
      <c r="I19" s="733"/>
      <c r="J19" s="733"/>
    </row>
    <row r="20" spans="1:10">
      <c r="A20" s="734"/>
      <c r="B20" s="734"/>
      <c r="C20" s="734"/>
      <c r="D20" s="734"/>
      <c r="E20" s="734"/>
      <c r="F20" s="734"/>
      <c r="G20" s="734"/>
      <c r="H20" s="734"/>
      <c r="I20" s="734"/>
      <c r="J20" s="734"/>
    </row>
    <row r="21" spans="1:10" ht="21">
      <c r="A21" s="727" t="s">
        <v>514</v>
      </c>
      <c r="B21" s="727"/>
      <c r="C21" s="727"/>
      <c r="D21" s="727"/>
      <c r="E21" s="727"/>
      <c r="F21" s="727"/>
      <c r="G21" s="727"/>
      <c r="H21" s="727"/>
      <c r="I21" s="727"/>
      <c r="J21" s="727"/>
    </row>
    <row r="22" spans="1:10" ht="117" customHeight="1">
      <c r="A22" s="735" t="s">
        <v>754</v>
      </c>
      <c r="B22" s="735"/>
      <c r="C22" s="735"/>
      <c r="D22" s="735"/>
      <c r="E22" s="735"/>
      <c r="F22" s="735"/>
      <c r="G22" s="735"/>
      <c r="H22" s="735"/>
      <c r="I22" s="735"/>
      <c r="J22" s="735"/>
    </row>
    <row r="23" spans="1:10" ht="41" customHeight="1">
      <c r="A23" s="728" t="s">
        <v>529</v>
      </c>
      <c r="B23" s="728"/>
      <c r="C23" s="728"/>
      <c r="D23" s="728"/>
      <c r="E23" s="728"/>
      <c r="F23" s="728"/>
      <c r="G23" s="728"/>
      <c r="H23" s="728"/>
      <c r="I23" s="728"/>
      <c r="J23" s="728"/>
    </row>
    <row r="24" spans="1:10" ht="68" customHeight="1">
      <c r="A24" s="728" t="s">
        <v>527</v>
      </c>
      <c r="B24" s="728"/>
      <c r="C24" s="728"/>
      <c r="D24" s="728"/>
      <c r="E24" s="728"/>
      <c r="F24" s="728"/>
      <c r="G24" s="728"/>
      <c r="H24" s="728"/>
      <c r="I24" s="728"/>
      <c r="J24" s="728"/>
    </row>
  </sheetData>
  <sheetProtection sheet="1" objects="1" scenarios="1"/>
  <mergeCells count="24">
    <mergeCell ref="A18:J18"/>
    <mergeCell ref="A13:J13"/>
    <mergeCell ref="A14:J14"/>
    <mergeCell ref="A11:J11"/>
    <mergeCell ref="A16:J16"/>
    <mergeCell ref="A17:J17"/>
    <mergeCell ref="A15:J15"/>
    <mergeCell ref="A12:J12"/>
    <mergeCell ref="A1:J1"/>
    <mergeCell ref="A2:J2"/>
    <mergeCell ref="A3:J3"/>
    <mergeCell ref="A4:J4"/>
    <mergeCell ref="A6:J6"/>
    <mergeCell ref="A7:J7"/>
    <mergeCell ref="A9:J9"/>
    <mergeCell ref="A10:J10"/>
    <mergeCell ref="A5:J5"/>
    <mergeCell ref="A8:J8"/>
    <mergeCell ref="A21:J21"/>
    <mergeCell ref="A23:J23"/>
    <mergeCell ref="A24:J24"/>
    <mergeCell ref="A19:J19"/>
    <mergeCell ref="A20:J20"/>
    <mergeCell ref="A22:J22"/>
  </mergeCells>
  <pageMargins left="0.7" right="0.7" top="0.75" bottom="0.75" header="0.3" footer="0.3"/>
  <pageSetup paperSize="9" scale="76"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22"/>
  <sheetViews>
    <sheetView showZeros="0" workbookViewId="0">
      <selection activeCell="C4" sqref="C4"/>
    </sheetView>
  </sheetViews>
  <sheetFormatPr baseColWidth="10" defaultRowHeight="16"/>
  <cols>
    <col min="3" max="7" width="15.83203125" customWidth="1"/>
  </cols>
  <sheetData>
    <row r="1" spans="1:7" ht="32" customHeight="1">
      <c r="A1" s="1467" t="str">
        <f>Skemaoplysninger!A5</f>
        <v>Skema 1 vedr. Beate Simonsen</v>
      </c>
      <c r="B1" s="1467"/>
      <c r="C1" s="1467"/>
      <c r="D1" s="1467"/>
      <c r="E1" s="1467"/>
      <c r="F1" s="1467"/>
      <c r="G1" s="1468"/>
    </row>
    <row r="2" spans="1:7" ht="32" customHeight="1">
      <c r="A2" s="1466" t="s">
        <v>219</v>
      </c>
      <c r="B2" s="1466"/>
      <c r="C2" s="1466"/>
      <c r="D2" s="1469" t="str">
        <f>Skemaoplysninger!F7</f>
        <v>01.08.2024</v>
      </c>
      <c r="E2" s="1469"/>
      <c r="F2" s="1469" t="str">
        <f>Skemaoplysninger!J7</f>
        <v>31.12.2024</v>
      </c>
      <c r="G2" s="1469"/>
    </row>
    <row r="3" spans="1:7" s="49" customFormat="1" ht="32" customHeight="1">
      <c r="A3" s="274" t="s">
        <v>64</v>
      </c>
      <c r="B3" s="274" t="s">
        <v>65</v>
      </c>
      <c r="C3" s="275" t="s">
        <v>34</v>
      </c>
      <c r="D3" s="275" t="s">
        <v>35</v>
      </c>
      <c r="E3" s="275" t="s">
        <v>36</v>
      </c>
      <c r="F3" s="275" t="s">
        <v>37</v>
      </c>
      <c r="G3" s="276" t="s">
        <v>38</v>
      </c>
    </row>
    <row r="4" spans="1:7" ht="20" customHeight="1">
      <c r="A4" s="37">
        <f>IF(Skemaoplysninger!A11&gt;0,Skemaoplysninger!B11,"")</f>
        <v>0.33333333333333331</v>
      </c>
      <c r="B4" s="37">
        <f>IF(Skemaoplysninger!A11&gt;0,Skemaoplysninger!C11,"")</f>
        <v>0.34027777777777773</v>
      </c>
      <c r="C4" s="29" t="str">
        <f>IF(Skemaoplysninger!E11&gt;0,Skemaoplysninger!E11,"")</f>
        <v/>
      </c>
      <c r="D4" s="29" t="str">
        <f>IF(Skemaoplysninger!G11&gt;0,Skemaoplysninger!G11,"")</f>
        <v/>
      </c>
      <c r="E4" s="29" t="str">
        <f>IF(Skemaoplysninger!I11&gt;0,Skemaoplysninger!I11,"")</f>
        <v>MS</v>
      </c>
      <c r="F4" s="29" t="str">
        <f>IF(Skemaoplysninger!K11&gt;0,Skemaoplysninger!K11,"")</f>
        <v>Tilsyn til ms</v>
      </c>
      <c r="G4" s="29" t="str">
        <f>IF(Skemaoplysninger!M11&gt;0,Skemaoplysninger!M11,"")</f>
        <v>Tilsyn til ms</v>
      </c>
    </row>
    <row r="5" spans="1:7" ht="20" customHeight="1">
      <c r="A5" s="38">
        <f>IF(Skemaoplysninger!A12&gt;0,Skemaoplysninger!B12,"")</f>
        <v>0.34027777777777773</v>
      </c>
      <c r="B5" s="38">
        <f>IF(Skemaoplysninger!A12&gt;0,Skemaoplysninger!C12,"")</f>
        <v>0.35416666666666663</v>
      </c>
      <c r="C5" s="277" t="str">
        <f>IF(Skemaoplysninger!E12&gt;0,Skemaoplysninger!E12,"")</f>
        <v/>
      </c>
      <c r="D5" s="277" t="str">
        <f>IF(Skemaoplysninger!G12&gt;0,Skemaoplysninger!G12,"")</f>
        <v/>
      </c>
      <c r="E5" s="277" t="str">
        <f>IF(Skemaoplysninger!I12&gt;0,Skemaoplysninger!I12,"")</f>
        <v>Fortælling</v>
      </c>
      <c r="F5" s="277" t="str">
        <f>IF(Skemaoplysninger!K12&gt;0,Skemaoplysninger!K12,"")</f>
        <v>Tilsyn fortælling</v>
      </c>
      <c r="G5" s="277" t="str">
        <f>IF(Skemaoplysninger!M12&gt;0,Skemaoplysninger!M12,"")</f>
        <v>Tilsyn fortælling</v>
      </c>
    </row>
    <row r="6" spans="1:7" ht="20" customHeight="1">
      <c r="A6" s="37">
        <f>IF(Skemaoplysninger!A13&gt;0,Skemaoplysninger!B13,"")</f>
        <v>0.35416666666666663</v>
      </c>
      <c r="B6" s="37">
        <f>IF(Skemaoplysninger!A13&gt;0,Skemaoplysninger!C13,"")</f>
        <v>0.36111111111111105</v>
      </c>
      <c r="C6" s="29" t="str">
        <f>IF(Skemaoplysninger!E13&gt;0,Skemaoplysninger!E13,"")</f>
        <v/>
      </c>
      <c r="D6" s="29" t="str">
        <f>IF(Skemaoplysninger!G13&gt;0,Skemaoplysninger!G13,"")</f>
        <v/>
      </c>
      <c r="E6" s="29" t="str">
        <f>IF(Skemaoplysninger!I13&gt;0,Skemaoplysninger!I13,"")</f>
        <v>Vi går til time</v>
      </c>
      <c r="F6" s="29" t="str">
        <f>IF(Skemaoplysninger!K13&gt;0,Skemaoplysninger!K13,"")</f>
        <v>Vi går til time</v>
      </c>
      <c r="G6" s="29" t="str">
        <f>IF(Skemaoplysninger!M13&gt;0,Skemaoplysninger!M13,"")</f>
        <v>Vi går til time</v>
      </c>
    </row>
    <row r="7" spans="1:7" ht="20" customHeight="1">
      <c r="A7" s="38">
        <f>IF(Skemaoplysninger!A14&gt;0,Skemaoplysninger!B14,"")</f>
        <v>0.36111111111111105</v>
      </c>
      <c r="B7" s="38">
        <f>IF(Skemaoplysninger!A14&gt;0,Skemaoplysninger!C14,"")</f>
        <v>0.39236111111111105</v>
      </c>
      <c r="C7" s="277" t="str">
        <f>IF(Skemaoplysninger!E14&gt;0,Skemaoplysninger!E14,"")</f>
        <v>Dansk</v>
      </c>
      <c r="D7" s="277" t="str">
        <f>IF(Skemaoplysninger!G14&gt;0,Skemaoplysninger!G14,"")</f>
        <v>Matematik</v>
      </c>
      <c r="E7" s="277" t="str">
        <f>IF(Skemaoplysninger!I14&gt;0,Skemaoplysninger!I14,"")</f>
        <v>Dansk</v>
      </c>
      <c r="F7" s="277" t="str">
        <f>IF(Skemaoplysninger!K14&gt;0,Skemaoplysninger!K14,"")</f>
        <v>Eng.</v>
      </c>
      <c r="G7" s="277" t="str">
        <f>IF(Skemaoplysninger!M14&gt;0,Skemaoplysninger!M14,"")</f>
        <v>Eng.</v>
      </c>
    </row>
    <row r="8" spans="1:7" ht="20" customHeight="1">
      <c r="A8" s="37">
        <f>IF(Skemaoplysninger!A15&gt;0,Skemaoplysninger!B15,"")</f>
        <v>0.39236111111111105</v>
      </c>
      <c r="B8" s="37">
        <f>IF(Skemaoplysninger!A15&gt;0,Skemaoplysninger!C15,"")</f>
        <v>0.39930555555555547</v>
      </c>
      <c r="C8" s="29" t="str">
        <f>IF(Skemaoplysninger!E15&gt;0,Skemaoplysninger!E15,"")</f>
        <v>Tilsyn</v>
      </c>
      <c r="D8" s="29" t="str">
        <f>IF(Skemaoplysninger!G15&gt;0,Skemaoplysninger!G15,"")</f>
        <v>Tilsyn</v>
      </c>
      <c r="E8" s="29" t="str">
        <f>IF(Skemaoplysninger!I15&gt;0,Skemaoplysninger!I15,"")</f>
        <v>Tilsyn</v>
      </c>
      <c r="F8" s="29" t="str">
        <f>IF(Skemaoplysninger!K15&gt;0,Skemaoplysninger!K15,"")</f>
        <v>Tilsyn</v>
      </c>
      <c r="G8" s="29" t="str">
        <f>IF(Skemaoplysninger!M15&gt;0,Skemaoplysninger!M15,"")</f>
        <v>Tilsyn</v>
      </c>
    </row>
    <row r="9" spans="1:7" ht="20" customHeight="1">
      <c r="A9" s="38">
        <f>IF(Skemaoplysninger!A16&gt;0,Skemaoplysninger!B16,"")</f>
        <v>0.39930555555555547</v>
      </c>
      <c r="B9" s="38">
        <f>IF(Skemaoplysninger!A16&gt;0,Skemaoplysninger!C16,"")</f>
        <v>0.43055555555555547</v>
      </c>
      <c r="C9" s="277" t="str">
        <f>IF(Skemaoplysninger!E16&gt;0,Skemaoplysninger!E16,"")</f>
        <v>Dansk</v>
      </c>
      <c r="D9" s="277" t="str">
        <f>IF(Skemaoplysninger!G16&gt;0,Skemaoplysninger!G16,"")</f>
        <v>Matematik</v>
      </c>
      <c r="E9" s="277" t="str">
        <f>IF(Skemaoplysninger!I16&gt;0,Skemaoplysninger!I16,"")</f>
        <v>Dansk</v>
      </c>
      <c r="F9" s="277" t="str">
        <f>IF(Skemaoplysninger!K16&gt;0,Skemaoplysninger!K16,"")</f>
        <v xml:space="preserve">Eng. </v>
      </c>
      <c r="G9" s="277" t="str">
        <f>IF(Skemaoplysninger!M16&gt;0,Skemaoplysninger!M16,"")</f>
        <v>Eng.</v>
      </c>
    </row>
    <row r="10" spans="1:7" ht="20" customHeight="1">
      <c r="A10" s="37">
        <f>IF(Skemaoplysninger!A17&gt;0,Skemaoplysninger!B17,"")</f>
        <v>0.43055555555555547</v>
      </c>
      <c r="B10" s="37">
        <f>IF(Skemaoplysninger!A17&gt;0,Skemaoplysninger!C17,"")</f>
        <v>0.43749999999999989</v>
      </c>
      <c r="C10" s="29" t="str">
        <f>IF(Skemaoplysninger!E17&gt;0,Skemaoplysninger!E17,"")</f>
        <v>Tilsyn</v>
      </c>
      <c r="D10" s="29" t="str">
        <f>IF(Skemaoplysninger!G17&gt;0,Skemaoplysninger!G17,"")</f>
        <v>Tilsyn</v>
      </c>
      <c r="E10" s="29" t="str">
        <f>IF(Skemaoplysninger!I17&gt;0,Skemaoplysninger!I17,"")</f>
        <v>Tilsyn</v>
      </c>
      <c r="F10" s="29" t="str">
        <f>IF(Skemaoplysninger!K17&gt;0,Skemaoplysninger!K17,"")</f>
        <v>Tilsyn</v>
      </c>
      <c r="G10" s="29" t="str">
        <f>IF(Skemaoplysninger!M17&gt;0,Skemaoplysninger!M17,"")</f>
        <v>Tilsyn</v>
      </c>
    </row>
    <row r="11" spans="1:7" ht="20" customHeight="1">
      <c r="A11" s="38">
        <f>IF(Skemaoplysninger!A18&gt;0,Skemaoplysninger!B18,"")</f>
        <v>0.43749999999999989</v>
      </c>
      <c r="B11" s="38">
        <f>IF(Skemaoplysninger!A18&gt;0,Skemaoplysninger!C18,"")</f>
        <v>0.46874999999999989</v>
      </c>
      <c r="C11" s="277" t="str">
        <f>IF(Skemaoplysninger!E18&gt;0,Skemaoplysninger!E18,"")</f>
        <v>Musik</v>
      </c>
      <c r="D11" s="277" t="str">
        <f>IF(Skemaoplysninger!G18&gt;0,Skemaoplysninger!G18,"")</f>
        <v>Dansk</v>
      </c>
      <c r="E11" s="277" t="str">
        <f>IF(Skemaoplysninger!I18&gt;0,Skemaoplysninger!I18,"")</f>
        <v>Dansk</v>
      </c>
      <c r="F11" s="277" t="str">
        <f>IF(Skemaoplysninger!K18&gt;0,Skemaoplysninger!K18,"")</f>
        <v>Dansk</v>
      </c>
      <c r="G11" s="277" t="str">
        <f>IF(Skemaoplysninger!M18&gt;0,Skemaoplysninger!M18,"")</f>
        <v>Musik</v>
      </c>
    </row>
    <row r="12" spans="1:7" ht="20" customHeight="1">
      <c r="A12" s="37">
        <f>IF(Skemaoplysninger!A19&gt;0,Skemaoplysninger!B19,"")</f>
        <v>0.46874999999999989</v>
      </c>
      <c r="B12" s="37">
        <f>IF(Skemaoplysninger!A19&gt;0,Skemaoplysninger!C19,"")</f>
        <v>0.4895833333333332</v>
      </c>
      <c r="C12" s="29" t="str">
        <f>IF(Skemaoplysninger!E19&gt;0,Skemaoplysninger!E19,"")</f>
        <v>Gårdvagt</v>
      </c>
      <c r="D12" s="29" t="str">
        <f>IF(Skemaoplysninger!G19&gt;0,Skemaoplysninger!G19,"")</f>
        <v>Tilsyn</v>
      </c>
      <c r="E12" s="29" t="str">
        <f>IF(Skemaoplysninger!I19&gt;0,Skemaoplysninger!I19,"")</f>
        <v>Tilsyn</v>
      </c>
      <c r="F12" s="29" t="str">
        <f>IF(Skemaoplysninger!K19&gt;0,Skemaoplysninger!K19,"")</f>
        <v>Tilsyn</v>
      </c>
      <c r="G12" s="29" t="str">
        <f>IF(Skemaoplysninger!M19&gt;0,Skemaoplysninger!M19,"")</f>
        <v>Tilsyn</v>
      </c>
    </row>
    <row r="13" spans="1:7" ht="20" customHeight="1">
      <c r="A13" s="38">
        <f>IF(Skemaoplysninger!A20&gt;0,Skemaoplysninger!B20,"")</f>
        <v>0.4895833333333332</v>
      </c>
      <c r="B13" s="38">
        <f>IF(Skemaoplysninger!A20&gt;0,Skemaoplysninger!C20,"")</f>
        <v>0.52083333333333326</v>
      </c>
      <c r="C13" s="277" t="str">
        <f>IF(Skemaoplysninger!E20&gt;0,Skemaoplysninger!E20,"")</f>
        <v>Idræt</v>
      </c>
      <c r="D13" s="277" t="str">
        <f>IF(Skemaoplysninger!G20&gt;0,Skemaoplysninger!G20,"")</f>
        <v>Dansk</v>
      </c>
      <c r="E13" s="277" t="str">
        <f>IF(Skemaoplysninger!I20&gt;0,Skemaoplysninger!I20,"")</f>
        <v>Dansk</v>
      </c>
      <c r="F13" s="277" t="str">
        <f>IF(Skemaoplysninger!K20&gt;0,Skemaoplysninger!K20,"")</f>
        <v>Billidkunst</v>
      </c>
      <c r="G13" s="277" t="str">
        <f>IF(Skemaoplysninger!M20&gt;0,Skemaoplysninger!M20,"")</f>
        <v>Klassens time</v>
      </c>
    </row>
    <row r="14" spans="1:7" ht="20" customHeight="1">
      <c r="A14" s="37">
        <f>IF(Skemaoplysninger!A21&gt;0,Skemaoplysninger!B21,"")</f>
        <v>0.52083333333333326</v>
      </c>
      <c r="B14" s="37">
        <f>IF(Skemaoplysninger!A21&gt;0,Skemaoplysninger!C21,"")</f>
        <v>0.52777777777777768</v>
      </c>
      <c r="C14" s="29" t="str">
        <f>IF(Skemaoplysninger!E21&gt;0,Skemaoplysninger!E21,"")</f>
        <v>Idræt</v>
      </c>
      <c r="D14" s="29" t="str">
        <f>IF(Skemaoplysninger!G21&gt;0,Skemaoplysninger!G21,"")</f>
        <v>Tilsyn</v>
      </c>
      <c r="E14" s="29" t="str">
        <f>IF(Skemaoplysninger!I21&gt;0,Skemaoplysninger!I21,"")</f>
        <v>Tilsyn</v>
      </c>
      <c r="F14" s="29" t="str">
        <f>IF(Skemaoplysninger!K21&gt;0,Skemaoplysninger!K21,"")</f>
        <v/>
      </c>
      <c r="G14" s="29" t="str">
        <f>IF(Skemaoplysninger!M21&gt;0,Skemaoplysninger!M21,"")</f>
        <v/>
      </c>
    </row>
    <row r="15" spans="1:7" ht="20" customHeight="1">
      <c r="A15" s="38">
        <f>IF(Skemaoplysninger!A22&gt;0,Skemaoplysninger!B22,"")</f>
        <v>0.52777777777777768</v>
      </c>
      <c r="B15" s="38">
        <f>IF(Skemaoplysninger!A22&gt;0,Skemaoplysninger!C22,"")</f>
        <v>0.55902777777777768</v>
      </c>
      <c r="C15" s="277" t="str">
        <f>IF(Skemaoplysninger!E22&gt;0,Skemaoplysninger!E22,"")</f>
        <v>Idræt</v>
      </c>
      <c r="D15" s="277" t="str">
        <f>IF(Skemaoplysninger!G22&gt;0,Skemaoplysninger!G22,"")</f>
        <v>Natur/teknik</v>
      </c>
      <c r="E15" s="277" t="str">
        <f>IF(Skemaoplysninger!I22&gt;0,Skemaoplysninger!I22,"")</f>
        <v>Samfundsfag</v>
      </c>
      <c r="F15" s="277" t="str">
        <f>IF(Skemaoplysninger!K22&gt;0,Skemaoplysninger!K22,"")</f>
        <v/>
      </c>
      <c r="G15" s="277" t="str">
        <f>IF(Skemaoplysninger!M22&gt;0,Skemaoplysninger!M22,"")</f>
        <v/>
      </c>
    </row>
    <row r="16" spans="1:7" ht="20" customHeight="1">
      <c r="A16" s="37">
        <f>IF(Skemaoplysninger!A23&gt;0,Skemaoplysninger!B23,"")</f>
        <v>0.55902777777777768</v>
      </c>
      <c r="B16" s="37">
        <f>IF(Skemaoplysninger!A23&gt;0,Skemaoplysninger!C23,"")</f>
        <v>0.59027777777777768</v>
      </c>
      <c r="C16" s="29" t="str">
        <f>IF(Skemaoplysninger!E23&gt;0,Skemaoplysninger!E23,"")</f>
        <v/>
      </c>
      <c r="D16" s="29" t="str">
        <f>IF(Skemaoplysninger!G23&gt;0,Skemaoplysninger!G23,"")</f>
        <v>Natur/teknik</v>
      </c>
      <c r="E16" s="29" t="str">
        <f>IF(Skemaoplysninger!I23&gt;0,Skemaoplysninger!I23,"")</f>
        <v>Samfundsfag</v>
      </c>
      <c r="F16" s="29" t="str">
        <f>IF(Skemaoplysninger!K23&gt;0,Skemaoplysninger!K23,"")</f>
        <v/>
      </c>
      <c r="G16" s="29" t="str">
        <f>IF(Skemaoplysninger!M23&gt;0,Skemaoplysninger!M23,"")</f>
        <v/>
      </c>
    </row>
    <row r="17" spans="1:7" ht="20" customHeight="1">
      <c r="A17" s="38" t="str">
        <f>IF(Skemaoplysninger!A24&gt;0,Skemaoplysninger!B24,"")</f>
        <v/>
      </c>
      <c r="B17" s="38" t="str">
        <f>IF(Skemaoplysninger!A24&gt;0,Skemaoplysninger!C24,"")</f>
        <v/>
      </c>
      <c r="C17" s="277" t="str">
        <f>IF(Skemaoplysninger!E24&gt;0,Skemaoplysninger!E24,"")</f>
        <v/>
      </c>
      <c r="D17" s="277" t="str">
        <f>IF(Skemaoplysninger!G24&gt;0,Skemaoplysninger!G24,"")</f>
        <v/>
      </c>
      <c r="E17" s="277" t="str">
        <f>IF(Skemaoplysninger!I24&gt;0,Skemaoplysninger!I24,"")</f>
        <v/>
      </c>
      <c r="F17" s="277" t="str">
        <f>IF(Skemaoplysninger!K24&gt;0,Skemaoplysninger!K24,"")</f>
        <v/>
      </c>
      <c r="G17" s="277" t="str">
        <f>IF(Skemaoplysninger!M24&gt;0,Skemaoplysninger!M24,"")</f>
        <v/>
      </c>
    </row>
    <row r="18" spans="1:7" ht="20" customHeight="1">
      <c r="A18" s="37" t="str">
        <f>IF(Skemaoplysninger!A25&gt;0,Skemaoplysninger!B25,"")</f>
        <v/>
      </c>
      <c r="B18" s="37" t="str">
        <f>IF(Skemaoplysninger!A25&gt;0,Skemaoplysninger!C25,"")</f>
        <v/>
      </c>
      <c r="C18" s="29" t="str">
        <f>IF(Skemaoplysninger!E25&gt;0,Skemaoplysninger!E25,"")</f>
        <v/>
      </c>
      <c r="D18" s="29" t="str">
        <f>IF(Skemaoplysninger!G25&gt;0,Skemaoplysninger!G25,"")</f>
        <v/>
      </c>
      <c r="E18" s="29" t="str">
        <f>IF(Skemaoplysninger!I25&gt;0,Skemaoplysninger!I25,"")</f>
        <v/>
      </c>
      <c r="F18" s="29" t="str">
        <f>IF(Skemaoplysninger!K25&gt;0,Skemaoplysninger!K25,"")</f>
        <v/>
      </c>
      <c r="G18" s="29" t="str">
        <f>IF(Skemaoplysninger!M25&gt;0,Skemaoplysninger!M25,"")</f>
        <v/>
      </c>
    </row>
    <row r="19" spans="1:7" ht="20" customHeight="1">
      <c r="A19" s="38" t="str">
        <f>IF(Skemaoplysninger!A26&gt;0,Skemaoplysninger!B26,"")</f>
        <v/>
      </c>
      <c r="B19" s="38" t="str">
        <f>IF(Skemaoplysninger!A26&gt;0,Skemaoplysninger!C26,"")</f>
        <v/>
      </c>
      <c r="C19" s="277" t="str">
        <f>IF(Skemaoplysninger!E26&gt;0,Skemaoplysninger!E26,"")</f>
        <v/>
      </c>
      <c r="D19" s="277" t="str">
        <f>IF(Skemaoplysninger!G26&gt;0,Skemaoplysninger!G26,"")</f>
        <v/>
      </c>
      <c r="E19" s="277" t="str">
        <f>IF(Skemaoplysninger!I26&gt;0,Skemaoplysninger!I26,"")</f>
        <v/>
      </c>
      <c r="F19" s="277" t="str">
        <f>IF(Skemaoplysninger!K26&gt;0,Skemaoplysninger!K26,"")</f>
        <v/>
      </c>
      <c r="G19" s="277" t="str">
        <f>IF(Skemaoplysninger!M26&gt;0,Skemaoplysninger!M26,"")</f>
        <v/>
      </c>
    </row>
    <row r="20" spans="1:7" ht="20" customHeight="1">
      <c r="A20" s="37" t="str">
        <f>IF(Skemaoplysninger!A27&gt;0,Skemaoplysninger!B27,"")</f>
        <v/>
      </c>
      <c r="B20" s="37" t="str">
        <f>IF(Skemaoplysninger!A27&gt;0,Skemaoplysninger!C27,"")</f>
        <v/>
      </c>
      <c r="C20" s="29" t="str">
        <f>IF(Skemaoplysninger!E27&gt;0,Skemaoplysninger!E27,"")</f>
        <v/>
      </c>
      <c r="D20" s="29" t="str">
        <f>IF(Skemaoplysninger!G27&gt;0,Skemaoplysninger!G27,"")</f>
        <v/>
      </c>
      <c r="E20" s="29" t="str">
        <f>IF(Skemaoplysninger!I27&gt;0,Skemaoplysninger!I27,"")</f>
        <v/>
      </c>
      <c r="F20" s="29" t="str">
        <f>IF(Skemaoplysninger!K27&gt;0,Skemaoplysninger!K27,"")</f>
        <v/>
      </c>
      <c r="G20" s="29" t="str">
        <f>IF(Skemaoplysninger!M27&gt;0,Skemaoplysninger!M27,"")</f>
        <v/>
      </c>
    </row>
    <row r="21" spans="1:7" ht="20" customHeight="1">
      <c r="A21" s="38" t="str">
        <f>IF(Skemaoplysninger!A28&gt;0,Skemaoplysninger!B28,"")</f>
        <v/>
      </c>
      <c r="B21" s="38" t="str">
        <f>IF(Skemaoplysninger!A28&gt;0,Skemaoplysninger!C28,"")</f>
        <v/>
      </c>
      <c r="C21" s="277" t="str">
        <f>IF(Skemaoplysninger!E28&gt;0,Skemaoplysninger!E28,"")</f>
        <v/>
      </c>
      <c r="D21" s="277" t="str">
        <f>IF(Skemaoplysninger!G28&gt;0,Skemaoplysninger!G28,"")</f>
        <v/>
      </c>
      <c r="E21" s="277" t="str">
        <f>IF(Skemaoplysninger!I28&gt;0,Skemaoplysninger!I28,"")</f>
        <v/>
      </c>
      <c r="F21" s="277" t="str">
        <f>IF(Skemaoplysninger!K28&gt;0,Skemaoplysninger!K28,"")</f>
        <v/>
      </c>
      <c r="G21" s="277" t="str">
        <f>IF(Skemaoplysninger!M28&gt;0,Skemaoplysninger!M28,"")</f>
        <v/>
      </c>
    </row>
    <row r="22" spans="1:7" ht="20" customHeight="1">
      <c r="A22" s="37" t="str">
        <f>IF(Skemaoplysninger!A29&gt;0,Skemaoplysninger!B29,"")</f>
        <v/>
      </c>
      <c r="B22" s="37" t="str">
        <f>IF(Skemaoplysninger!A29&gt;0,Skemaoplysninger!C29,"")</f>
        <v/>
      </c>
      <c r="C22" s="29" t="str">
        <f>IF(Skemaoplysninger!E29&gt;0,Skemaoplysninger!E29,"")</f>
        <v/>
      </c>
      <c r="D22" s="29" t="str">
        <f>IF(Skemaoplysninger!G29&gt;0,Skemaoplysninger!G29,"")</f>
        <v/>
      </c>
      <c r="E22" s="29" t="str">
        <f>IF(Skemaoplysninger!I29&gt;0,Skemaoplysninger!I29,"")</f>
        <v/>
      </c>
      <c r="F22" s="29" t="str">
        <f>IF(Skemaoplysninger!K29&gt;0,Skemaoplysninger!K29,"")</f>
        <v/>
      </c>
      <c r="G22" s="29" t="str">
        <f>IF(Skemaoplysninger!M29&gt;0,Skemaoplysninger!M29,"")</f>
        <v/>
      </c>
    </row>
  </sheetData>
  <sheetProtection sheet="1" objects="1" scenarios="1"/>
  <mergeCells count="4">
    <mergeCell ref="A2:C2"/>
    <mergeCell ref="A1:G1"/>
    <mergeCell ref="D2:E2"/>
    <mergeCell ref="F2:G2"/>
  </mergeCells>
  <pageMargins left="0.7" right="0.7" top="0.75" bottom="0.75" header="0.3" footer="0.3"/>
  <pageSetup paperSize="9" orientation="landscape" horizontalDpi="0"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sheetPr>
  <dimension ref="A1:G22"/>
  <sheetViews>
    <sheetView showZeros="0" workbookViewId="0">
      <selection activeCell="A4" sqref="A4"/>
    </sheetView>
  </sheetViews>
  <sheetFormatPr baseColWidth="10" defaultRowHeight="16"/>
  <cols>
    <col min="3" max="7" width="15.83203125" customWidth="1"/>
  </cols>
  <sheetData>
    <row r="1" spans="1:7" ht="32" customHeight="1">
      <c r="A1" s="1467" t="str">
        <f>Skemaoplysninger!O5</f>
        <v>Skema 2 vedr. Beate Simonsen</v>
      </c>
      <c r="B1" s="1467"/>
      <c r="C1" s="1467"/>
      <c r="D1" s="1467"/>
      <c r="E1" s="1467"/>
      <c r="F1" s="1467"/>
      <c r="G1" s="1468"/>
    </row>
    <row r="2" spans="1:7" ht="32" customHeight="1">
      <c r="A2" s="1466" t="s">
        <v>219</v>
      </c>
      <c r="B2" s="1466"/>
      <c r="C2" s="1466"/>
      <c r="D2" s="1469" t="str">
        <f>Skemaoplysninger!T7</f>
        <v>01.01.2025</v>
      </c>
      <c r="E2" s="1469"/>
      <c r="F2" s="1469" t="str">
        <f>Skemaoplysninger!X7</f>
        <v>31.07.2025</v>
      </c>
      <c r="G2" s="1469"/>
    </row>
    <row r="3" spans="1:7" ht="32" customHeight="1">
      <c r="A3" s="274" t="s">
        <v>64</v>
      </c>
      <c r="B3" s="274" t="s">
        <v>65</v>
      </c>
      <c r="C3" s="275" t="s">
        <v>34</v>
      </c>
      <c r="D3" s="275" t="s">
        <v>35</v>
      </c>
      <c r="E3" s="275" t="s">
        <v>36</v>
      </c>
      <c r="F3" s="275" t="s">
        <v>37</v>
      </c>
      <c r="G3" s="276" t="s">
        <v>38</v>
      </c>
    </row>
    <row r="4" spans="1:7" ht="20" customHeight="1">
      <c r="A4" s="37">
        <f>IF(Skemaoplysninger!O11&gt;0,Skemaoplysninger!P11,"")</f>
        <v>0.33333333333333331</v>
      </c>
      <c r="B4" s="37">
        <f>IF(Skemaoplysninger!O11&gt;0,Skemaoplysninger!Q11,"")</f>
        <v>0.34027777777777773</v>
      </c>
      <c r="C4" s="29" t="str">
        <f>IF(Skemaoplysninger!O11&gt;0,Skemaoplysninger!S11,"")</f>
        <v>Tilsyn ms</v>
      </c>
      <c r="D4" s="29" t="str">
        <f>IF(Skemaoplysninger!O11&gt;0,Skemaoplysninger!U11,"")</f>
        <v>Tilsyn ms</v>
      </c>
      <c r="E4" s="29" t="str">
        <f>IF(Skemaoplysninger!O11&gt;0,Skemaoplysninger!W11,"")</f>
        <v>MS</v>
      </c>
      <c r="F4" s="29">
        <f>IF(Skemaoplysninger!O11&gt;0,Skemaoplysninger!Y11,"")</f>
        <v>0</v>
      </c>
      <c r="G4" s="29">
        <f>IF(Skemaoplysninger!O11&gt;0,Skemaoplysninger!AA11,"")</f>
        <v>0</v>
      </c>
    </row>
    <row r="5" spans="1:7" ht="20" customHeight="1">
      <c r="A5" s="38">
        <f>IF(Skemaoplysninger!O12&gt;0,Skemaoplysninger!P12,"")</f>
        <v>0.34027777777777773</v>
      </c>
      <c r="B5" s="38">
        <f>IF(Skemaoplysninger!O12&gt;0,Skemaoplysninger!Q12,"")</f>
        <v>0.35416666666666663</v>
      </c>
      <c r="C5" s="277" t="str">
        <f>IF(Skemaoplysninger!O12&gt;0,Skemaoplysninger!S12,"")</f>
        <v>Tilsyn ms</v>
      </c>
      <c r="D5" s="277" t="str">
        <f>IF(Skemaoplysninger!O12&gt;0,Skemaoplysninger!U12,"")</f>
        <v>Tilsyn ms</v>
      </c>
      <c r="E5" s="277" t="str">
        <f>IF(Skemaoplysninger!O12&gt;0,Skemaoplysninger!W12,"")</f>
        <v>Fortælling</v>
      </c>
      <c r="F5" s="277">
        <f>IF(Skemaoplysninger!O12&gt;0,Skemaoplysninger!Y12,"")</f>
        <v>0</v>
      </c>
      <c r="G5" s="277">
        <f>IF(Skemaoplysninger!O12&gt;0,Skemaoplysninger!AA12,"")</f>
        <v>0</v>
      </c>
    </row>
    <row r="6" spans="1:7" ht="20" customHeight="1">
      <c r="A6" s="37">
        <f>IF(Skemaoplysninger!O13&gt;0,Skemaoplysninger!P13,"")</f>
        <v>0.35416666666666663</v>
      </c>
      <c r="B6" s="37">
        <f>IF(Skemaoplysninger!O13&gt;0,Skemaoplysninger!Q13,"")</f>
        <v>0.36111111111111105</v>
      </c>
      <c r="C6" s="29" t="str">
        <f>IF(Skemaoplysninger!O13&gt;0,Skemaoplysninger!S13,"")</f>
        <v>Vi går til time</v>
      </c>
      <c r="D6" s="29" t="str">
        <f>IF(Skemaoplysninger!O13&gt;0,Skemaoplysninger!U13,"")</f>
        <v>Vi går til time</v>
      </c>
      <c r="E6" s="29" t="str">
        <f>IF(Skemaoplysninger!O13&gt;0,Skemaoplysninger!W13,"")</f>
        <v>Vi går til time</v>
      </c>
      <c r="F6" s="29">
        <f>IF(Skemaoplysninger!O13&gt;0,Skemaoplysninger!Y13,"")</f>
        <v>0</v>
      </c>
      <c r="G6" s="29">
        <f>IF(Skemaoplysninger!O13&gt;0,Skemaoplysninger!AA13,"")</f>
        <v>0</v>
      </c>
    </row>
    <row r="7" spans="1:7" ht="20" customHeight="1">
      <c r="A7" s="38">
        <f>IF(Skemaoplysninger!O14&gt;0,Skemaoplysninger!P14,"")</f>
        <v>0.36111111111111105</v>
      </c>
      <c r="B7" s="38">
        <f>IF(Skemaoplysninger!O14&gt;0,Skemaoplysninger!Q14,"")</f>
        <v>0.39236111111111105</v>
      </c>
      <c r="C7" s="277" t="str">
        <f>IF(Skemaoplysninger!O14&gt;0,Skemaoplysninger!S14,"")</f>
        <v>Eng.</v>
      </c>
      <c r="D7" s="277" t="str">
        <f>IF(Skemaoplysninger!O14&gt;0,Skemaoplysninger!U14,"")</f>
        <v>Dansk</v>
      </c>
      <c r="E7" s="277" t="str">
        <f>IF(Skemaoplysninger!O14&gt;0,Skemaoplysninger!W14,"")</f>
        <v>Tværfag</v>
      </c>
      <c r="F7" s="277" t="str">
        <f>IF(Skemaoplysninger!O14&gt;0,Skemaoplysninger!Y14,"")</f>
        <v>Natur/teknik</v>
      </c>
      <c r="G7" s="277" t="str">
        <f>IF(Skemaoplysninger!O14&gt;0,Skemaoplysninger!AA14,"")</f>
        <v>Musik</v>
      </c>
    </row>
    <row r="8" spans="1:7" ht="20" customHeight="1">
      <c r="A8" s="37">
        <f>IF(Skemaoplysninger!O15&gt;0,Skemaoplysninger!P15,"")</f>
        <v>0.39236111111111105</v>
      </c>
      <c r="B8" s="37">
        <f>IF(Skemaoplysninger!O15&gt;0,Skemaoplysninger!Q15,"")</f>
        <v>0.39930555555555547</v>
      </c>
      <c r="C8" s="29" t="str">
        <f>IF(Skemaoplysninger!O15&gt;0,Skemaoplysninger!S15,"")</f>
        <v xml:space="preserve">Tilsyn  </v>
      </c>
      <c r="D8" s="29" t="str">
        <f>IF(Skemaoplysninger!O15&gt;0,Skemaoplysninger!U15,"")</f>
        <v xml:space="preserve">Tilsyn  </v>
      </c>
      <c r="E8" s="29" t="str">
        <f>IF(Skemaoplysninger!O15&gt;0,Skemaoplysninger!W15,"")</f>
        <v>Tilsyn</v>
      </c>
      <c r="F8" s="29" t="str">
        <f>IF(Skemaoplysninger!O15&gt;0,Skemaoplysninger!Y15,"")</f>
        <v>Tilsyn</v>
      </c>
      <c r="G8" s="29" t="str">
        <f>IF(Skemaoplysninger!O15&gt;0,Skemaoplysninger!AA15,"")</f>
        <v>Tilsyn</v>
      </c>
    </row>
    <row r="9" spans="1:7" ht="20" customHeight="1">
      <c r="A9" s="38">
        <f>IF(Skemaoplysninger!O16&gt;0,Skemaoplysninger!P16,"")</f>
        <v>0.39930555555555547</v>
      </c>
      <c r="B9" s="38">
        <f>IF(Skemaoplysninger!O16&gt;0,Skemaoplysninger!Q16,"")</f>
        <v>0.43055555555555547</v>
      </c>
      <c r="C9" s="277" t="str">
        <f>IF(Skemaoplysninger!O16&gt;0,Skemaoplysninger!S16,"")</f>
        <v>Eng.</v>
      </c>
      <c r="D9" s="277" t="str">
        <f>IF(Skemaoplysninger!O16&gt;0,Skemaoplysninger!U16,"")</f>
        <v>Dansk</v>
      </c>
      <c r="E9" s="277" t="str">
        <f>IF(Skemaoplysninger!O16&gt;0,Skemaoplysninger!W16,"")</f>
        <v>Tvæfag</v>
      </c>
      <c r="F9" s="277" t="str">
        <f>IF(Skemaoplysninger!O16&gt;0,Skemaoplysninger!Y16,"")</f>
        <v>Natur/teknik</v>
      </c>
      <c r="G9" s="277" t="str">
        <f>IF(Skemaoplysninger!O16&gt;0,Skemaoplysninger!AA16,"")</f>
        <v>Musik</v>
      </c>
    </row>
    <row r="10" spans="1:7" ht="20" customHeight="1">
      <c r="A10" s="37">
        <f>IF(Skemaoplysninger!O17&gt;0,Skemaoplysninger!P17,"")</f>
        <v>0.43055555555555547</v>
      </c>
      <c r="B10" s="37">
        <f>IF(Skemaoplysninger!O17&gt;0,Skemaoplysninger!Q17,"")</f>
        <v>0.43749999999999989</v>
      </c>
      <c r="C10" s="29" t="str">
        <f>IF(Skemaoplysninger!O17&gt;0,Skemaoplysninger!S17,"")</f>
        <v>Tilsyn</v>
      </c>
      <c r="D10" s="29" t="str">
        <f>IF(Skemaoplysninger!O17&gt;0,Skemaoplysninger!U17,"")</f>
        <v xml:space="preserve">Tilsyn  </v>
      </c>
      <c r="E10" s="29" t="str">
        <f>IF(Skemaoplysninger!O17&gt;0,Skemaoplysninger!W17,"")</f>
        <v>Tilsyn</v>
      </c>
      <c r="F10" s="29" t="str">
        <f>IF(Skemaoplysninger!O17&gt;0,Skemaoplysninger!Y17,"")</f>
        <v>Tilsyn</v>
      </c>
      <c r="G10" s="29" t="str">
        <f>IF(Skemaoplysninger!O17&gt;0,Skemaoplysninger!AA17,"")</f>
        <v>Tilsyn</v>
      </c>
    </row>
    <row r="11" spans="1:7" ht="20" customHeight="1">
      <c r="A11" s="37">
        <f>IF(Skemaoplysninger!O18&gt;0,Skemaoplysninger!P18,"")</f>
        <v>0.43749999999999989</v>
      </c>
      <c r="B11" s="37">
        <f>IF(Skemaoplysninger!O18&gt;0,Skemaoplysninger!Q18,"")</f>
        <v>0.46874999999999989</v>
      </c>
      <c r="C11" s="29" t="str">
        <f>IF(Skemaoplysninger!O18&gt;0,Skemaoplysninger!S18,"")</f>
        <v>Svømning og idræt</v>
      </c>
      <c r="D11" s="29" t="str">
        <f>IF(Skemaoplysninger!O18&gt;0,Skemaoplysninger!U18,"")</f>
        <v>Samfundsfag</v>
      </c>
      <c r="E11" s="29" t="str">
        <f>IF(Skemaoplysninger!O18&gt;0,Skemaoplysninger!W18,"")</f>
        <v>Tværfag</v>
      </c>
      <c r="F11" s="29" t="str">
        <f>IF(Skemaoplysninger!O18&gt;0,Skemaoplysninger!Y18,"")</f>
        <v>Matematik</v>
      </c>
      <c r="G11" s="29" t="str">
        <f>IF(Skemaoplysninger!O18&gt;0,Skemaoplysninger!AA18,"")</f>
        <v>Matematik</v>
      </c>
    </row>
    <row r="12" spans="1:7" ht="20" customHeight="1">
      <c r="A12" s="37">
        <f>IF(Skemaoplysninger!O19&gt;0,Skemaoplysninger!P19,"")</f>
        <v>0.46874999999999989</v>
      </c>
      <c r="B12" s="37">
        <f>IF(Skemaoplysninger!O19&gt;0,Skemaoplysninger!Q19,"")</f>
        <v>0.4895833333333332</v>
      </c>
      <c r="C12" s="29" t="str">
        <f>IF(Skemaoplysninger!O19&gt;0,Skemaoplysninger!S19,"")</f>
        <v>Svømning og idræt</v>
      </c>
      <c r="D12" s="29" t="str">
        <f>IF(Skemaoplysninger!O19&gt;0,Skemaoplysninger!U19,"")</f>
        <v>Tilsyn</v>
      </c>
      <c r="E12" s="29" t="str">
        <f>IF(Skemaoplysninger!O19&gt;0,Skemaoplysninger!W19,"")</f>
        <v>Tilsyn</v>
      </c>
      <c r="F12" s="29" t="str">
        <f>IF(Skemaoplysninger!O19&gt;0,Skemaoplysninger!Y19,"")</f>
        <v>Tilsyn</v>
      </c>
      <c r="G12" s="29" t="str">
        <f>IF(Skemaoplysninger!O19&gt;0,Skemaoplysninger!AA19,"")</f>
        <v>Gårdvagt</v>
      </c>
    </row>
    <row r="13" spans="1:7" ht="20" customHeight="1">
      <c r="A13" s="38">
        <f>IF(Skemaoplysninger!O20&gt;0,Skemaoplysninger!P20,"")</f>
        <v>0.4895833333333332</v>
      </c>
      <c r="B13" s="38">
        <f>IF(Skemaoplysninger!O20&gt;0,Skemaoplysninger!Q20,"")</f>
        <v>0.52083333333333326</v>
      </c>
      <c r="C13" s="277" t="str">
        <f>IF(Skemaoplysninger!O20&gt;0,Skemaoplysninger!S20,"")</f>
        <v>Svømning og idræt</v>
      </c>
      <c r="D13" s="277" t="str">
        <f>IF(Skemaoplysninger!O20&gt;0,Skemaoplysninger!U20,"")</f>
        <v>Samfundsfag</v>
      </c>
      <c r="E13" s="277" t="str">
        <f>IF(Skemaoplysninger!O20&gt;0,Skemaoplysninger!W20,"")</f>
        <v>Tværfag</v>
      </c>
      <c r="F13" s="277" t="str">
        <f>IF(Skemaoplysninger!O20&gt;0,Skemaoplysninger!Y20,"")</f>
        <v>Matematik</v>
      </c>
      <c r="G13" s="277" t="str">
        <f>IF(Skemaoplysninger!O20&gt;0,Skemaoplysninger!AA20,"")</f>
        <v>Klassens time</v>
      </c>
    </row>
    <row r="14" spans="1:7" ht="20" customHeight="1">
      <c r="A14" s="37">
        <f>IF(Skemaoplysninger!O21&gt;0,Skemaoplysninger!P21,"")</f>
        <v>0.52083333333333326</v>
      </c>
      <c r="B14" s="37">
        <f>IF(Skemaoplysninger!O21&gt;0,Skemaoplysninger!Q21,"")</f>
        <v>0.55208333333333326</v>
      </c>
      <c r="C14" s="29">
        <f>IF(Skemaoplysninger!O21&gt;0,Skemaoplysninger!S21,"")</f>
        <v>0</v>
      </c>
      <c r="D14" s="29" t="str">
        <f>IF(Skemaoplysninger!O21&gt;0,Skemaoplysninger!U21,"")</f>
        <v>Samfundsfag</v>
      </c>
      <c r="E14" s="29" t="str">
        <f>IF(Skemaoplysninger!O21&gt;0,Skemaoplysninger!W21,"")</f>
        <v>Tværfag</v>
      </c>
      <c r="F14" s="29">
        <f>IF(Skemaoplysninger!O21&gt;0,Skemaoplysninger!Y21,"")</f>
        <v>0</v>
      </c>
      <c r="G14" s="29">
        <f>IF(Skemaoplysninger!O21&gt;0,Skemaoplysninger!AA21,"")</f>
        <v>0</v>
      </c>
    </row>
    <row r="15" spans="1:7" ht="20" customHeight="1">
      <c r="A15" s="38" t="str">
        <f>IF(Skemaoplysninger!O22&gt;0,Skemaoplysninger!P22,"")</f>
        <v/>
      </c>
      <c r="B15" s="38" t="str">
        <f>IF(Skemaoplysninger!O22&gt;0,Skemaoplysninger!Q22,"")</f>
        <v/>
      </c>
      <c r="C15" s="277" t="str">
        <f>IF(Skemaoplysninger!O22&gt;0,Skemaoplysninger!S22,"")</f>
        <v/>
      </c>
      <c r="D15" s="277" t="str">
        <f>IF(Skemaoplysninger!O22&gt;0,Skemaoplysninger!U22,"")</f>
        <v/>
      </c>
      <c r="E15" s="277" t="str">
        <f>IF(Skemaoplysninger!O22&gt;0,Skemaoplysninger!W22,"")</f>
        <v/>
      </c>
      <c r="F15" s="277" t="str">
        <f>IF(Skemaoplysninger!O22&gt;0,Skemaoplysninger!Y22,"")</f>
        <v/>
      </c>
      <c r="G15" s="277" t="str">
        <f>IF(Skemaoplysninger!O22&gt;0,Skemaoplysninger!AA22,"")</f>
        <v/>
      </c>
    </row>
    <row r="16" spans="1:7" ht="20" customHeight="1">
      <c r="A16" s="37" t="str">
        <f>IF(Skemaoplysninger!O23&gt;0,Skemaoplysninger!P23,"")</f>
        <v/>
      </c>
      <c r="B16" s="37" t="str">
        <f>IF(Skemaoplysninger!O23&gt;0,Skemaoplysninger!Q23,"")</f>
        <v/>
      </c>
      <c r="C16" s="29" t="str">
        <f>IF(Skemaoplysninger!O23&gt;0,Skemaoplysninger!S23,"")</f>
        <v/>
      </c>
      <c r="D16" s="29" t="str">
        <f>IF(Skemaoplysninger!O23&gt;0,Skemaoplysninger!U23,"")</f>
        <v/>
      </c>
      <c r="E16" s="29" t="str">
        <f>IF(Skemaoplysninger!O23&gt;0,Skemaoplysninger!W23,"")</f>
        <v/>
      </c>
      <c r="F16" s="29" t="str">
        <f>IF(Skemaoplysninger!O23&gt;0,Skemaoplysninger!Y23,"")</f>
        <v/>
      </c>
      <c r="G16" s="29" t="str">
        <f>IF(Skemaoplysninger!O23&gt;0,Skemaoplysninger!AA23,"")</f>
        <v/>
      </c>
    </row>
    <row r="17" spans="1:7" ht="20" customHeight="1">
      <c r="A17" s="38" t="str">
        <f>IF(Skemaoplysninger!O24&gt;0,Skemaoplysninger!P24,"")</f>
        <v/>
      </c>
      <c r="B17" s="38" t="str">
        <f>IF(Skemaoplysninger!O24&gt;0,Skemaoplysninger!Q24,"")</f>
        <v/>
      </c>
      <c r="C17" s="277" t="str">
        <f>IF(Skemaoplysninger!O24&gt;0,Skemaoplysninger!S24,"")</f>
        <v/>
      </c>
      <c r="D17" s="277" t="str">
        <f>IF(Skemaoplysninger!O24&gt;0,Skemaoplysninger!U24,"")</f>
        <v/>
      </c>
      <c r="E17" s="277" t="str">
        <f>IF(Skemaoplysninger!O24&gt;0,Skemaoplysninger!W24,"")</f>
        <v/>
      </c>
      <c r="F17" s="277" t="str">
        <f>IF(Skemaoplysninger!O24&gt;0,Skemaoplysninger!Y24,"")</f>
        <v/>
      </c>
      <c r="G17" s="277" t="str">
        <f>IF(Skemaoplysninger!O24&gt;0,Skemaoplysninger!AA24,"")</f>
        <v/>
      </c>
    </row>
    <row r="18" spans="1:7" ht="20" customHeight="1">
      <c r="A18" s="37" t="str">
        <f>IF(Skemaoplysninger!O25&gt;0,Skemaoplysninger!P25,"")</f>
        <v/>
      </c>
      <c r="B18" s="37" t="str">
        <f>IF(Skemaoplysninger!O25&gt;0,Skemaoplysninger!Q25,"")</f>
        <v/>
      </c>
      <c r="C18" s="29" t="str">
        <f>IF(Skemaoplysninger!O25&gt;0,Skemaoplysninger!S25,"")</f>
        <v/>
      </c>
      <c r="D18" s="29" t="str">
        <f>IF(Skemaoplysninger!O25&gt;0,Skemaoplysninger!U25,"")</f>
        <v/>
      </c>
      <c r="E18" s="29" t="str">
        <f>IF(Skemaoplysninger!O25&gt;0,Skemaoplysninger!W25,"")</f>
        <v/>
      </c>
      <c r="F18" s="29" t="str">
        <f>IF(Skemaoplysninger!O25&gt;0,Skemaoplysninger!Y25,"")</f>
        <v/>
      </c>
      <c r="G18" s="29" t="str">
        <f>IF(Skemaoplysninger!O25&gt;0,Skemaoplysninger!AA25,"")</f>
        <v/>
      </c>
    </row>
    <row r="19" spans="1:7" ht="20" customHeight="1">
      <c r="A19" s="38" t="str">
        <f>IF(Skemaoplysninger!O26&gt;0,Skemaoplysninger!P26,"")</f>
        <v/>
      </c>
      <c r="B19" s="38" t="str">
        <f>IF(Skemaoplysninger!O26&gt;0,Skemaoplysninger!Q26,"")</f>
        <v/>
      </c>
      <c r="C19" s="277" t="str">
        <f>IF(Skemaoplysninger!O26&gt;0,Skemaoplysninger!S26,"")</f>
        <v/>
      </c>
      <c r="D19" s="277" t="str">
        <f>IF(Skemaoplysninger!O26&gt;0,Skemaoplysninger!U26,"")</f>
        <v/>
      </c>
      <c r="E19" s="277" t="str">
        <f>IF(Skemaoplysninger!O26&gt;0,Skemaoplysninger!W26,"")</f>
        <v/>
      </c>
      <c r="F19" s="277" t="str">
        <f>IF(Skemaoplysninger!O26&gt;0,Skemaoplysninger!Y26,"")</f>
        <v/>
      </c>
      <c r="G19" s="277" t="str">
        <f>IF(Skemaoplysninger!O26&gt;0,Skemaoplysninger!AA26,"")</f>
        <v/>
      </c>
    </row>
    <row r="20" spans="1:7" ht="20" customHeight="1">
      <c r="A20" s="37" t="str">
        <f>IF(Skemaoplysninger!O27&gt;0,Skemaoplysninger!P27,"")</f>
        <v/>
      </c>
      <c r="B20" s="37" t="str">
        <f>IF(Skemaoplysninger!O27&gt;0,Skemaoplysninger!Q27,"")</f>
        <v/>
      </c>
      <c r="C20" s="29" t="str">
        <f>IF(Skemaoplysninger!O27&gt;0,Skemaoplysninger!S27,"")</f>
        <v/>
      </c>
      <c r="D20" s="29" t="str">
        <f>IF(Skemaoplysninger!O27&gt;0,Skemaoplysninger!U27,"")</f>
        <v/>
      </c>
      <c r="E20" s="29" t="str">
        <f>IF(Skemaoplysninger!O27&gt;0,Skemaoplysninger!W27,"")</f>
        <v/>
      </c>
      <c r="F20" s="29" t="str">
        <f>IF(Skemaoplysninger!O27&gt;0,Skemaoplysninger!Y27,"")</f>
        <v/>
      </c>
      <c r="G20" s="29" t="str">
        <f>IF(Skemaoplysninger!O27&gt;0,Skemaoplysninger!AA27,"")</f>
        <v/>
      </c>
    </row>
    <row r="21" spans="1:7" ht="20" customHeight="1">
      <c r="A21" s="38" t="str">
        <f>IF(Skemaoplysninger!O28&gt;0,Skemaoplysninger!P28,"")</f>
        <v/>
      </c>
      <c r="B21" s="38" t="str">
        <f>IF(Skemaoplysninger!O28&gt;0,Skemaoplysninger!Q28,"")</f>
        <v/>
      </c>
      <c r="C21" s="277" t="str">
        <f>IF(Skemaoplysninger!O28&gt;0,Skemaoplysninger!S28,"")</f>
        <v/>
      </c>
      <c r="D21" s="277" t="str">
        <f>IF(Skemaoplysninger!O28&gt;0,Skemaoplysninger!U28,"")</f>
        <v/>
      </c>
      <c r="E21" s="277" t="str">
        <f>IF(Skemaoplysninger!O28&gt;0,Skemaoplysninger!W28,"")</f>
        <v/>
      </c>
      <c r="F21" s="277" t="str">
        <f>IF(Skemaoplysninger!O28&gt;0,Skemaoplysninger!Y28,"")</f>
        <v/>
      </c>
      <c r="G21" s="277" t="str">
        <f>IF(Skemaoplysninger!O28&gt;0,Skemaoplysninger!AA28,"")</f>
        <v/>
      </c>
    </row>
    <row r="22" spans="1:7" ht="20" customHeight="1">
      <c r="A22" s="37" t="str">
        <f>IF(Skemaoplysninger!O29&gt;0,Skemaoplysninger!P29,"")</f>
        <v/>
      </c>
      <c r="B22" s="37" t="str">
        <f>IF(Skemaoplysninger!O29&gt;0,Skemaoplysninger!Q29,"")</f>
        <v/>
      </c>
      <c r="C22" s="29" t="str">
        <f>IF(Skemaoplysninger!O29&gt;0,Skemaoplysninger!S29,"")</f>
        <v/>
      </c>
      <c r="D22" s="29" t="str">
        <f>IF(Skemaoplysninger!O29&gt;0,Skemaoplysninger!U29,"")</f>
        <v/>
      </c>
      <c r="E22" s="29" t="str">
        <f>IF(Skemaoplysninger!O29&gt;0,Skemaoplysninger!W29,"")</f>
        <v/>
      </c>
      <c r="F22" s="29" t="str">
        <f>IF(Skemaoplysninger!O29&gt;0,Skemaoplysninger!Y29,"")</f>
        <v/>
      </c>
      <c r="G22" s="29" t="str">
        <f>IF(Skemaoplysninger!O29&gt;0,Skemaoplysninger!AA29,"")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sheetPr>
  <dimension ref="A1:G22"/>
  <sheetViews>
    <sheetView showZeros="0" workbookViewId="0">
      <selection activeCell="F17" sqref="F17"/>
    </sheetView>
  </sheetViews>
  <sheetFormatPr baseColWidth="10" defaultRowHeight="16"/>
  <cols>
    <col min="3" max="7" width="15.83203125" customWidth="1"/>
  </cols>
  <sheetData>
    <row r="1" spans="1:7" ht="32" customHeight="1">
      <c r="A1" s="1467" t="str">
        <f>Skemaoplysninger!AC5</f>
        <v>Skema 3 vedr. Beate Simonsen</v>
      </c>
      <c r="B1" s="1467"/>
      <c r="C1" s="1467"/>
      <c r="D1" s="1467"/>
      <c r="E1" s="1467"/>
      <c r="F1" s="1467"/>
      <c r="G1" s="1468"/>
    </row>
    <row r="2" spans="1:7" ht="32" customHeight="1">
      <c r="A2" s="1466" t="s">
        <v>219</v>
      </c>
      <c r="B2" s="1466"/>
      <c r="C2" s="1466"/>
      <c r="D2" s="1469">
        <f>Skemaoplysninger!AH7</f>
        <v>0</v>
      </c>
      <c r="E2" s="1469"/>
      <c r="F2" s="1469">
        <f>Skemaoplysninger!AL7</f>
        <v>0</v>
      </c>
      <c r="G2" s="1469"/>
    </row>
    <row r="3" spans="1:7" ht="32" customHeight="1">
      <c r="A3" s="274" t="s">
        <v>64</v>
      </c>
      <c r="B3" s="274" t="s">
        <v>65</v>
      </c>
      <c r="C3" s="275" t="s">
        <v>34</v>
      </c>
      <c r="D3" s="275" t="s">
        <v>35</v>
      </c>
      <c r="E3" s="275" t="s">
        <v>36</v>
      </c>
      <c r="F3" s="275" t="s">
        <v>37</v>
      </c>
      <c r="G3" s="276" t="s">
        <v>38</v>
      </c>
    </row>
    <row r="4" spans="1:7" ht="20" customHeight="1">
      <c r="A4" s="37" t="str">
        <f>IF(Skemaoplysninger!AC11&gt;0,Skemaoplysninger!AD11,"")</f>
        <v/>
      </c>
      <c r="B4" s="37" t="str">
        <f>IF(Skemaoplysninger!AC11&gt;0,Skemaoplysninger!AE11,"")</f>
        <v/>
      </c>
      <c r="C4" s="29" t="str">
        <f>IF(Skemaoplysninger!AC11&gt;0,Skemaoplysninger!AG11,"")</f>
        <v/>
      </c>
      <c r="D4" s="29" t="str">
        <f>IF(Skemaoplysninger!AC11&gt;0,Skemaoplysninger!AI11,"")</f>
        <v/>
      </c>
      <c r="E4" s="29" t="str">
        <f>IF(Skemaoplysninger!AC11&gt;0,Skemaoplysninger!AK11,"")</f>
        <v/>
      </c>
      <c r="F4" s="29" t="str">
        <f>IF(Skemaoplysninger!AC11&gt;0,Skemaoplysninger!AM11,"")</f>
        <v/>
      </c>
      <c r="G4" s="29" t="str">
        <f>IF(Skemaoplysninger!AC11&gt;0,Skemaoplysninger!AO11,"")</f>
        <v/>
      </c>
    </row>
    <row r="5" spans="1:7" ht="20" customHeight="1">
      <c r="A5" s="38" t="str">
        <f>IF(Skemaoplysninger!AC12&gt;0,Skemaoplysninger!AD12,"")</f>
        <v/>
      </c>
      <c r="B5" s="38" t="str">
        <f>IF(Skemaoplysninger!AC12&gt;0,Skemaoplysninger!AE12,"")</f>
        <v/>
      </c>
      <c r="C5" s="277" t="str">
        <f>IF(Skemaoplysninger!AC12&gt;0,Skemaoplysninger!AG12,"")</f>
        <v/>
      </c>
      <c r="D5" s="277" t="str">
        <f>IF(Skemaoplysninger!AC12&gt;0,Skemaoplysninger!AI12,"")</f>
        <v/>
      </c>
      <c r="E5" s="277" t="str">
        <f>IF(Skemaoplysninger!AC12&gt;0,Skemaoplysninger!AK12,"")</f>
        <v/>
      </c>
      <c r="F5" s="277" t="str">
        <f>IF(Skemaoplysninger!AC12&gt;0,Skemaoplysninger!AM12,"")</f>
        <v/>
      </c>
      <c r="G5" s="277" t="str">
        <f>IF(Skemaoplysninger!AC12&gt;0,Skemaoplysninger!AO12,"")</f>
        <v/>
      </c>
    </row>
    <row r="6" spans="1:7" ht="20" customHeight="1">
      <c r="A6" s="37" t="str">
        <f>IF(Skemaoplysninger!AC13&gt;0,Skemaoplysninger!AD13,"")</f>
        <v/>
      </c>
      <c r="B6" s="37" t="str">
        <f>IF(Skemaoplysninger!AC13&gt;0,Skemaoplysninger!AE13,"")</f>
        <v/>
      </c>
      <c r="C6" s="29" t="str">
        <f>IF(Skemaoplysninger!AC13&gt;0,Skemaoplysninger!AG13,"")</f>
        <v/>
      </c>
      <c r="D6" s="29" t="str">
        <f>IF(Skemaoplysninger!AC13&gt;0,Skemaoplysninger!AI13,"")</f>
        <v/>
      </c>
      <c r="E6" s="29" t="str">
        <f>IF(Skemaoplysninger!AC13&gt;0,Skemaoplysninger!AK13,"")</f>
        <v/>
      </c>
      <c r="F6" s="29" t="str">
        <f>IF(Skemaoplysninger!AC13&gt;0,Skemaoplysninger!AM13,"")</f>
        <v/>
      </c>
      <c r="G6" s="29" t="str">
        <f>IF(Skemaoplysninger!AC13&gt;0,Skemaoplysninger!AO13,"")</f>
        <v/>
      </c>
    </row>
    <row r="7" spans="1:7" ht="20" customHeight="1">
      <c r="A7" s="38" t="str">
        <f>IF(Skemaoplysninger!AC14&gt;0,Skemaoplysninger!AD14,"")</f>
        <v/>
      </c>
      <c r="B7" s="38" t="str">
        <f>IF(Skemaoplysninger!AC14&gt;0,Skemaoplysninger!AE14,"")</f>
        <v/>
      </c>
      <c r="C7" s="277" t="str">
        <f>IF(Skemaoplysninger!AC14&gt;0,Skemaoplysninger!AG14,"")</f>
        <v/>
      </c>
      <c r="D7" s="277" t="str">
        <f>IF(Skemaoplysninger!AC14&gt;0,Skemaoplysninger!AI14,"")</f>
        <v/>
      </c>
      <c r="E7" s="277" t="str">
        <f>IF(Skemaoplysninger!AC14&gt;0,Skemaoplysninger!AK14,"")</f>
        <v/>
      </c>
      <c r="F7" s="277" t="str">
        <f>IF(Skemaoplysninger!AC14&gt;0,Skemaoplysninger!AM14,"")</f>
        <v/>
      </c>
      <c r="G7" s="277" t="str">
        <f>IF(Skemaoplysninger!AC14&gt;0,Skemaoplysninger!AO14,"")</f>
        <v/>
      </c>
    </row>
    <row r="8" spans="1:7" ht="20" customHeight="1">
      <c r="A8" s="37" t="str">
        <f>IF(Skemaoplysninger!AC15&gt;0,Skemaoplysninger!AD15,"")</f>
        <v/>
      </c>
      <c r="B8" s="37" t="str">
        <f>IF(Skemaoplysninger!AC15&gt;0,Skemaoplysninger!AE15,"")</f>
        <v/>
      </c>
      <c r="C8" s="29" t="str">
        <f>IF(Skemaoplysninger!AC15&gt;0,Skemaoplysninger!AG15,"")</f>
        <v/>
      </c>
      <c r="D8" s="29" t="str">
        <f>IF(Skemaoplysninger!AC15&gt;0,Skemaoplysninger!AI15,"")</f>
        <v/>
      </c>
      <c r="E8" s="29" t="str">
        <f>IF(Skemaoplysninger!AC15&gt;0,Skemaoplysninger!AK15,"")</f>
        <v/>
      </c>
      <c r="F8" s="29" t="str">
        <f>IF(Skemaoplysninger!AC15&gt;0,Skemaoplysninger!AM15,"")</f>
        <v/>
      </c>
      <c r="G8" s="29" t="str">
        <f>IF(Skemaoplysninger!AC15&gt;0,Skemaoplysninger!AO15,"")</f>
        <v/>
      </c>
    </row>
    <row r="9" spans="1:7" ht="20" customHeight="1">
      <c r="A9" s="38" t="str">
        <f>IF(Skemaoplysninger!AC16&gt;0,Skemaoplysninger!AD16,"")</f>
        <v/>
      </c>
      <c r="B9" s="38" t="str">
        <f>IF(Skemaoplysninger!AC16&gt;0,Skemaoplysninger!AE16,"")</f>
        <v/>
      </c>
      <c r="C9" s="277" t="str">
        <f>IF(Skemaoplysninger!AC16&gt;0,Skemaoplysninger!AG16,"")</f>
        <v/>
      </c>
      <c r="D9" s="277" t="str">
        <f>IF(Skemaoplysninger!AC16&gt;0,Skemaoplysninger!AI16,"")</f>
        <v/>
      </c>
      <c r="E9" s="277" t="str">
        <f>IF(Skemaoplysninger!AC16&gt;0,Skemaoplysninger!AK16,"")</f>
        <v/>
      </c>
      <c r="F9" s="277" t="str">
        <f>IF(Skemaoplysninger!AC16&gt;0,Skemaoplysninger!AM16,"")</f>
        <v/>
      </c>
      <c r="G9" s="277" t="str">
        <f>IF(Skemaoplysninger!AC16&gt;0,Skemaoplysninger!AO16,"")</f>
        <v/>
      </c>
    </row>
    <row r="10" spans="1:7" ht="20" customHeight="1">
      <c r="A10" s="37" t="str">
        <f>IF(Skemaoplysninger!AC17&gt;0,Skemaoplysninger!AD17,"")</f>
        <v/>
      </c>
      <c r="B10" s="37" t="str">
        <f>IF(Skemaoplysninger!AC17&gt;0,Skemaoplysninger!AE17,"")</f>
        <v/>
      </c>
      <c r="C10" s="29" t="str">
        <f>IF(Skemaoplysninger!AC17&gt;0,Skemaoplysninger!AG17,"")</f>
        <v/>
      </c>
      <c r="D10" s="29" t="str">
        <f>IF(Skemaoplysninger!AC17&gt;0,Skemaoplysninger!AI17,"")</f>
        <v/>
      </c>
      <c r="E10" s="29" t="str">
        <f>IF(Skemaoplysninger!AC17&gt;0,Skemaoplysninger!AK17,"")</f>
        <v/>
      </c>
      <c r="F10" s="29" t="str">
        <f>IF(Skemaoplysninger!AC17&gt;0,Skemaoplysninger!AM17,"")</f>
        <v/>
      </c>
      <c r="G10" s="29" t="str">
        <f>IF(Skemaoplysninger!AC17&gt;0,Skemaoplysninger!AO17,"")</f>
        <v/>
      </c>
    </row>
    <row r="11" spans="1:7" ht="20" customHeight="1">
      <c r="A11" s="38" t="str">
        <f>IF(Skemaoplysninger!AC18&gt;0,Skemaoplysninger!AD18,"")</f>
        <v/>
      </c>
      <c r="B11" s="38" t="str">
        <f>IF(Skemaoplysninger!AC18&gt;0,Skemaoplysninger!AE18,"")</f>
        <v/>
      </c>
      <c r="C11" s="277" t="str">
        <f>IF(Skemaoplysninger!AC18&gt;0,Skemaoplysninger!AG18,"")</f>
        <v/>
      </c>
      <c r="D11" s="277" t="str">
        <f>IF(Skemaoplysninger!AC18&gt;0,Skemaoplysninger!AI18,"")</f>
        <v/>
      </c>
      <c r="E11" s="277" t="str">
        <f>IF(Skemaoplysninger!AC18&gt;0,Skemaoplysninger!AK18,"")</f>
        <v/>
      </c>
      <c r="F11" s="277" t="str">
        <f>IF(Skemaoplysninger!AC18&gt;0,Skemaoplysninger!AM18,"")</f>
        <v/>
      </c>
      <c r="G11" s="277" t="str">
        <f>IF(Skemaoplysninger!AC18&gt;0,Skemaoplysninger!AO18,"")</f>
        <v/>
      </c>
    </row>
    <row r="12" spans="1:7" ht="20" customHeight="1">
      <c r="A12" s="37" t="str">
        <f>IF(Skemaoplysninger!AC19&gt;0,Skemaoplysninger!AD19,"")</f>
        <v/>
      </c>
      <c r="B12" s="37" t="str">
        <f>IF(Skemaoplysninger!AC19&gt;0,Skemaoplysninger!AE19,"")</f>
        <v/>
      </c>
      <c r="C12" s="29" t="str">
        <f>IF(Skemaoplysninger!AC19&gt;0,Skemaoplysninger!AG19,"")</f>
        <v/>
      </c>
      <c r="D12" s="29" t="str">
        <f>IF(Skemaoplysninger!AC19&gt;0,Skemaoplysninger!AI19,"")</f>
        <v/>
      </c>
      <c r="E12" s="29" t="str">
        <f>IF(Skemaoplysninger!AC19&gt;0,Skemaoplysninger!AK19,"")</f>
        <v/>
      </c>
      <c r="F12" s="29" t="str">
        <f>IF(Skemaoplysninger!AC19&gt;0,Skemaoplysninger!AM19,"")</f>
        <v/>
      </c>
      <c r="G12" s="29" t="str">
        <f>IF(Skemaoplysninger!AC19&gt;0,Skemaoplysninger!AO19,"")</f>
        <v/>
      </c>
    </row>
    <row r="13" spans="1:7" ht="20" customHeight="1">
      <c r="A13" s="38" t="str">
        <f>IF(Skemaoplysninger!AC20&gt;0,Skemaoplysninger!AD20,"")</f>
        <v/>
      </c>
      <c r="B13" s="38" t="str">
        <f>IF(Skemaoplysninger!AC20&gt;0,Skemaoplysninger!AE20,"")</f>
        <v/>
      </c>
      <c r="C13" s="277" t="str">
        <f>IF(Skemaoplysninger!AC20&gt;0,Skemaoplysninger!AG20,"")</f>
        <v/>
      </c>
      <c r="D13" s="277" t="str">
        <f>IF(Skemaoplysninger!AC20&gt;0,Skemaoplysninger!AI20,"")</f>
        <v/>
      </c>
      <c r="E13" s="277" t="str">
        <f>IF(Skemaoplysninger!AC20&gt;0,Skemaoplysninger!AK20,"")</f>
        <v/>
      </c>
      <c r="F13" s="277" t="str">
        <f>IF(Skemaoplysninger!AC20&gt;0,Skemaoplysninger!AM20,"")</f>
        <v/>
      </c>
      <c r="G13" s="277" t="str">
        <f>IF(Skemaoplysninger!AC20&gt;0,Skemaoplysninger!AO20,"")</f>
        <v/>
      </c>
    </row>
    <row r="14" spans="1:7" ht="20" customHeight="1">
      <c r="A14" s="37" t="str">
        <f>IF(Skemaoplysninger!AC21&gt;0,Skemaoplysninger!AD21,"")</f>
        <v/>
      </c>
      <c r="B14" s="37" t="str">
        <f>IF(Skemaoplysninger!AC21&gt;0,Skemaoplysninger!AE21,"")</f>
        <v/>
      </c>
      <c r="C14" s="29" t="str">
        <f>IF(Skemaoplysninger!AC21&gt;0,Skemaoplysninger!AG21,"")</f>
        <v/>
      </c>
      <c r="D14" s="29" t="str">
        <f>IF(Skemaoplysninger!AC21&gt;0,Skemaoplysninger!AI21,"")</f>
        <v/>
      </c>
      <c r="E14" s="29" t="str">
        <f>IF(Skemaoplysninger!AC21&gt;0,Skemaoplysninger!AK21,"")</f>
        <v/>
      </c>
      <c r="F14" s="29" t="str">
        <f>IF(Skemaoplysninger!AC21&gt;0,Skemaoplysninger!AM21,"")</f>
        <v/>
      </c>
      <c r="G14" s="29" t="str">
        <f>IF(Skemaoplysninger!AC21&gt;0,Skemaoplysninger!AO21,"")</f>
        <v/>
      </c>
    </row>
    <row r="15" spans="1:7" ht="20" customHeight="1">
      <c r="A15" s="38" t="str">
        <f>IF(Skemaoplysninger!AC22&gt;0,Skemaoplysninger!AD22,"")</f>
        <v/>
      </c>
      <c r="B15" s="38" t="str">
        <f>IF(Skemaoplysninger!AC22&gt;0,Skemaoplysninger!AE22,"")</f>
        <v/>
      </c>
      <c r="C15" s="277" t="str">
        <f>IF(Skemaoplysninger!AC22&gt;0,Skemaoplysninger!AG22,"")</f>
        <v/>
      </c>
      <c r="D15" s="277" t="str">
        <f>IF(Skemaoplysninger!AC22&gt;0,Skemaoplysninger!AI22,"")</f>
        <v/>
      </c>
      <c r="E15" s="277" t="str">
        <f>IF(Skemaoplysninger!AC22&gt;0,Skemaoplysninger!AK22,"")</f>
        <v/>
      </c>
      <c r="F15" s="277" t="str">
        <f>IF(Skemaoplysninger!AC22&gt;0,Skemaoplysninger!AM22,"")</f>
        <v/>
      </c>
      <c r="G15" s="277" t="str">
        <f>IF(Skemaoplysninger!AC22&gt;0,Skemaoplysninger!AO22,"")</f>
        <v/>
      </c>
    </row>
    <row r="16" spans="1:7" ht="20" customHeight="1">
      <c r="A16" s="37" t="str">
        <f>IF(Skemaoplysninger!AC23&gt;0,Skemaoplysninger!AD23,"")</f>
        <v/>
      </c>
      <c r="B16" s="37" t="str">
        <f>IF(Skemaoplysninger!AC23&gt;0,Skemaoplysninger!AE23,"")</f>
        <v/>
      </c>
      <c r="C16" s="29" t="str">
        <f>IF(Skemaoplysninger!AC23&gt;0,Skemaoplysninger!AG23,"")</f>
        <v/>
      </c>
      <c r="D16" s="29" t="str">
        <f>IF(Skemaoplysninger!AC23&gt;0,Skemaoplysninger!AI23,"")</f>
        <v/>
      </c>
      <c r="E16" s="29" t="str">
        <f>IF(Skemaoplysninger!AC23&gt;0,Skemaoplysninger!AK23,"")</f>
        <v/>
      </c>
      <c r="F16" s="29" t="str">
        <f>IF(Skemaoplysninger!AC23&gt;0,Skemaoplysninger!AM23,"")</f>
        <v/>
      </c>
      <c r="G16" s="29" t="str">
        <f>IF(Skemaoplysninger!AC23&gt;0,Skemaoplysninger!AO23,"")</f>
        <v/>
      </c>
    </row>
    <row r="17" spans="1:7" ht="20" customHeight="1">
      <c r="A17" s="38" t="str">
        <f>IF(Skemaoplysninger!AC24&gt;0,Skemaoplysninger!AD24,"")</f>
        <v/>
      </c>
      <c r="B17" s="38" t="str">
        <f>IF(Skemaoplysninger!AC24&gt;0,Skemaoplysninger!AE24,"")</f>
        <v/>
      </c>
      <c r="C17" s="277" t="str">
        <f>IF(Skemaoplysninger!AC24&gt;0,Skemaoplysninger!AG24,"")</f>
        <v/>
      </c>
      <c r="D17" s="277" t="str">
        <f>IF(Skemaoplysninger!AC24&gt;0,Skemaoplysninger!AI24,"")</f>
        <v/>
      </c>
      <c r="E17" s="277" t="str">
        <f>IF(Skemaoplysninger!AC24&gt;0,Skemaoplysninger!AK24,"")</f>
        <v/>
      </c>
      <c r="F17" s="277" t="str">
        <f>IF(Skemaoplysninger!AC24&gt;0,Skemaoplysninger!AM24,"")</f>
        <v/>
      </c>
      <c r="G17" s="277" t="str">
        <f>IF(Skemaoplysninger!AC24&gt;0,Skemaoplysninger!AO24,"")</f>
        <v/>
      </c>
    </row>
    <row r="18" spans="1:7" ht="20" customHeight="1">
      <c r="A18" s="37" t="str">
        <f>IF(Skemaoplysninger!AC25&gt;0,Skemaoplysninger!AD25,"")</f>
        <v/>
      </c>
      <c r="B18" s="37" t="str">
        <f>IF(Skemaoplysninger!AC25&gt;0,Skemaoplysninger!AE25,"")</f>
        <v/>
      </c>
      <c r="C18" s="29" t="str">
        <f>IF(Skemaoplysninger!AC25&gt;0,Skemaoplysninger!AG25,"")</f>
        <v/>
      </c>
      <c r="D18" s="29" t="str">
        <f>IF(Skemaoplysninger!AC25&gt;0,Skemaoplysninger!AI25,"")</f>
        <v/>
      </c>
      <c r="E18" s="29" t="str">
        <f>IF(Skemaoplysninger!AC25&gt;0,Skemaoplysninger!AK25,"")</f>
        <v/>
      </c>
      <c r="F18" s="29" t="str">
        <f>IF(Skemaoplysninger!AC25&gt;0,Skemaoplysninger!AM25,"")</f>
        <v/>
      </c>
      <c r="G18" s="29" t="str">
        <f>IF(Skemaoplysninger!AC25&gt;0,Skemaoplysninger!AO25,"")</f>
        <v/>
      </c>
    </row>
    <row r="19" spans="1:7" ht="20" customHeight="1">
      <c r="A19" s="38" t="str">
        <f>IF(Skemaoplysninger!AC26&gt;0,Skemaoplysninger!AD26,"")</f>
        <v/>
      </c>
      <c r="B19" s="38" t="str">
        <f>IF(Skemaoplysninger!AC26&gt;0,Skemaoplysninger!AE26,"")</f>
        <v/>
      </c>
      <c r="C19" s="277" t="str">
        <f>IF(Skemaoplysninger!AC26&gt;0,Skemaoplysninger!AG26,"")</f>
        <v/>
      </c>
      <c r="D19" s="277" t="str">
        <f>IF(Skemaoplysninger!AC26&gt;0,Skemaoplysninger!AI26,"")</f>
        <v/>
      </c>
      <c r="E19" s="277" t="str">
        <f>IF(Skemaoplysninger!AC26&gt;0,Skemaoplysninger!AK26,"")</f>
        <v/>
      </c>
      <c r="F19" s="277" t="str">
        <f>IF(Skemaoplysninger!AC26&gt;0,Skemaoplysninger!AM26,"")</f>
        <v/>
      </c>
      <c r="G19" s="277" t="str">
        <f>IF(Skemaoplysninger!AC26&gt;0,Skemaoplysninger!AO26,"")</f>
        <v/>
      </c>
    </row>
    <row r="20" spans="1:7" ht="20" customHeight="1">
      <c r="A20" s="37" t="str">
        <f>IF(Skemaoplysninger!AC27&gt;0,Skemaoplysninger!AD27,"")</f>
        <v/>
      </c>
      <c r="B20" s="37" t="str">
        <f>IF(Skemaoplysninger!AC27&gt;0,Skemaoplysninger!AE27,"")</f>
        <v/>
      </c>
      <c r="C20" s="29" t="str">
        <f>IF(Skemaoplysninger!AC27&gt;0,Skemaoplysninger!AG27,"")</f>
        <v/>
      </c>
      <c r="D20" s="29" t="str">
        <f>IF(Skemaoplysninger!AC27&gt;0,Skemaoplysninger!AI27,"")</f>
        <v/>
      </c>
      <c r="E20" s="29" t="str">
        <f>IF(Skemaoplysninger!AC27&gt;0,Skemaoplysninger!AK27,"")</f>
        <v/>
      </c>
      <c r="F20" s="29" t="str">
        <f>IF(Skemaoplysninger!AC27&gt;0,Skemaoplysninger!AM27,"")</f>
        <v/>
      </c>
      <c r="G20" s="29" t="str">
        <f>IF(Skemaoplysninger!AC27&gt;0,Skemaoplysninger!AO27,"")</f>
        <v/>
      </c>
    </row>
    <row r="21" spans="1:7" ht="20" customHeight="1">
      <c r="A21" s="38" t="str">
        <f>IF(Skemaoplysninger!AC28&gt;0,Skemaoplysninger!AD28,"")</f>
        <v/>
      </c>
      <c r="B21" s="38" t="str">
        <f>IF(Skemaoplysninger!AC28&gt;0,Skemaoplysninger!AE28,"")</f>
        <v/>
      </c>
      <c r="C21" s="277" t="str">
        <f>IF(Skemaoplysninger!AC28&gt;0,Skemaoplysninger!AG28,"")</f>
        <v/>
      </c>
      <c r="D21" s="277" t="str">
        <f>IF(Skemaoplysninger!AC28&gt;0,Skemaoplysninger!AI28,"")</f>
        <v/>
      </c>
      <c r="E21" s="277" t="str">
        <f>IF(Skemaoplysninger!AC28&gt;0,Skemaoplysninger!AK28,"")</f>
        <v/>
      </c>
      <c r="F21" s="277" t="str">
        <f>IF(Skemaoplysninger!AC28&gt;0,Skemaoplysninger!AM28,"")</f>
        <v/>
      </c>
      <c r="G21" s="277" t="str">
        <f>IF(Skemaoplysninger!AC28&gt;0,Skemaoplysninger!AO28,"")</f>
        <v/>
      </c>
    </row>
    <row r="22" spans="1:7" ht="20" customHeight="1">
      <c r="A22" s="37" t="str">
        <f>IF(Skemaoplysninger!AC29&gt;0,Skemaoplysninger!AD29,"")</f>
        <v/>
      </c>
      <c r="B22" s="37" t="str">
        <f>IF(Skemaoplysninger!AC29&gt;0,Skemaoplysninger!AE29,"")</f>
        <v/>
      </c>
      <c r="C22" s="29" t="str">
        <f>IF(Skemaoplysninger!AC29&gt;0,Skemaoplysninger!AG29,"")</f>
        <v/>
      </c>
      <c r="D22" s="29" t="str">
        <f>IF(Skemaoplysninger!AC29&gt;0,Skemaoplysninger!AI29,"")</f>
        <v/>
      </c>
      <c r="E22" s="29" t="str">
        <f>IF(Skemaoplysninger!AC29&gt;0,Skemaoplysninger!AK29,"")</f>
        <v/>
      </c>
      <c r="F22" s="29" t="str">
        <f>IF(Skemaoplysninger!AC29&gt;0,Skemaoplysninger!AM29,"")</f>
        <v/>
      </c>
      <c r="G22" s="29" t="str">
        <f>IF(Skemaoplysninger!AC29&gt;0,Skemaoplysninger!AO29,"")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sheetPr>
  <dimension ref="A1:G22"/>
  <sheetViews>
    <sheetView showZeros="0" workbookViewId="0">
      <selection activeCell="F27" sqref="F27"/>
    </sheetView>
  </sheetViews>
  <sheetFormatPr baseColWidth="10" defaultRowHeight="16"/>
  <cols>
    <col min="3" max="7" width="15.83203125" customWidth="1"/>
  </cols>
  <sheetData>
    <row r="1" spans="1:7" ht="32" customHeight="1">
      <c r="A1" s="1467" t="str">
        <f>Skemaoplysninger!AQ5</f>
        <v>Skema 4 vedr. Beate Simonsen</v>
      </c>
      <c r="B1" s="1467"/>
      <c r="C1" s="1467"/>
      <c r="D1" s="1467"/>
      <c r="E1" s="1467"/>
      <c r="F1" s="1467"/>
      <c r="G1" s="1468"/>
    </row>
    <row r="2" spans="1:7" ht="32" customHeight="1">
      <c r="A2" s="1466" t="s">
        <v>219</v>
      </c>
      <c r="B2" s="1466"/>
      <c r="C2" s="1466"/>
      <c r="D2" s="1469">
        <f>Skemaoplysninger!AV7</f>
        <v>0</v>
      </c>
      <c r="E2" s="1469"/>
      <c r="F2" s="1469">
        <f>Skemaoplysninger!AZ7</f>
        <v>0</v>
      </c>
      <c r="G2" s="1469"/>
    </row>
    <row r="3" spans="1:7" ht="32" customHeight="1">
      <c r="A3" s="274" t="s">
        <v>64</v>
      </c>
      <c r="B3" s="274" t="s">
        <v>65</v>
      </c>
      <c r="C3" s="275" t="s">
        <v>34</v>
      </c>
      <c r="D3" s="275" t="s">
        <v>35</v>
      </c>
      <c r="E3" s="275" t="s">
        <v>36</v>
      </c>
      <c r="F3" s="275" t="s">
        <v>37</v>
      </c>
      <c r="G3" s="276" t="s">
        <v>38</v>
      </c>
    </row>
    <row r="4" spans="1:7" ht="20" customHeight="1">
      <c r="A4" s="37" t="str">
        <f>IF(Skemaoplysninger!AQ11&gt;0,Skemaoplysninger!AR11,"")</f>
        <v/>
      </c>
      <c r="B4" s="37" t="str">
        <f>IF(Skemaoplysninger!AQ11&gt;0,Skemaoplysninger!AS11,"")</f>
        <v/>
      </c>
      <c r="C4" s="29" t="str">
        <f>IF(Skemaoplysninger!AQ11&gt;0,Skemaoplysninger!AU11,"")</f>
        <v/>
      </c>
      <c r="D4" s="29" t="str">
        <f>IF(Skemaoplysninger!AQ11&gt;0,Skemaoplysninger!AW11,"")</f>
        <v/>
      </c>
      <c r="E4" s="29" t="str">
        <f>IF(Skemaoplysninger!AQ11&gt;0,Skemaoplysninger!AY11,"")</f>
        <v/>
      </c>
      <c r="F4" s="29" t="str">
        <f>IF(Skemaoplysninger!AQ11&gt;0,Skemaoplysninger!BA11,"")</f>
        <v/>
      </c>
      <c r="G4" s="29" t="str">
        <f>IF(Skemaoplysninger!AQ11&gt;0,Skemaoplysninger!BC11,"")</f>
        <v/>
      </c>
    </row>
    <row r="5" spans="1:7" ht="20" customHeight="1">
      <c r="A5" s="38" t="str">
        <f>IF(Skemaoplysninger!AQ12&gt;0,Skemaoplysninger!AR12,"")</f>
        <v/>
      </c>
      <c r="B5" s="38" t="str">
        <f>IF(Skemaoplysninger!AQ12&gt;0,Skemaoplysninger!AS12,"")</f>
        <v/>
      </c>
      <c r="C5" s="277" t="str">
        <f>IF(Skemaoplysninger!AQ12&gt;0,Skemaoplysninger!AU12,"")</f>
        <v/>
      </c>
      <c r="D5" s="277" t="str">
        <f>IF(Skemaoplysninger!AQ12&gt;0,Skemaoplysninger!AW12,"")</f>
        <v/>
      </c>
      <c r="E5" s="277" t="str">
        <f>IF(Skemaoplysninger!AQ12&gt;0,Skemaoplysninger!AY12,"")</f>
        <v/>
      </c>
      <c r="F5" s="277" t="str">
        <f>IF(Skemaoplysninger!AQ12&gt;0,Skemaoplysninger!BA12,"")</f>
        <v/>
      </c>
      <c r="G5" s="277" t="str">
        <f>IF(Skemaoplysninger!AQ12&gt;0,Skemaoplysninger!BC12,"")</f>
        <v/>
      </c>
    </row>
    <row r="6" spans="1:7" ht="20" customHeight="1">
      <c r="A6" s="37" t="str">
        <f>IF(Skemaoplysninger!AQ13&gt;0,Skemaoplysninger!AR13,"")</f>
        <v/>
      </c>
      <c r="B6" s="37" t="str">
        <f>IF(Skemaoplysninger!AQ13&gt;0,Skemaoplysninger!AS13,"")</f>
        <v/>
      </c>
      <c r="C6" s="29" t="str">
        <f>IF(Skemaoplysninger!AQ13&gt;0,Skemaoplysninger!AU13,"")</f>
        <v/>
      </c>
      <c r="D6" s="29" t="str">
        <f>IF(Skemaoplysninger!AQ13&gt;0,Skemaoplysninger!AW13,"")</f>
        <v/>
      </c>
      <c r="E6" s="29" t="str">
        <f>IF(Skemaoplysninger!AQ13&gt;0,Skemaoplysninger!AY13,"")</f>
        <v/>
      </c>
      <c r="F6" s="29" t="str">
        <f>IF(Skemaoplysninger!AQ13&gt;0,Skemaoplysninger!BA13,"")</f>
        <v/>
      </c>
      <c r="G6" s="29" t="str">
        <f>IF(Skemaoplysninger!AQ13&gt;0,Skemaoplysninger!BC13,"")</f>
        <v/>
      </c>
    </row>
    <row r="7" spans="1:7" ht="20" customHeight="1">
      <c r="A7" s="38" t="str">
        <f>IF(Skemaoplysninger!AQ14&gt;0,Skemaoplysninger!AR14,"")</f>
        <v/>
      </c>
      <c r="B7" s="38" t="str">
        <f>IF(Skemaoplysninger!AQ14&gt;0,Skemaoplysninger!AS14,"")</f>
        <v/>
      </c>
      <c r="C7" s="277" t="str">
        <f>IF(Skemaoplysninger!AQ14&gt;0,Skemaoplysninger!AU14,"")</f>
        <v/>
      </c>
      <c r="D7" s="277" t="str">
        <f>IF(Skemaoplysninger!AQ14&gt;0,Skemaoplysninger!AW14,"")</f>
        <v/>
      </c>
      <c r="E7" s="277" t="str">
        <f>IF(Skemaoplysninger!AQ14&gt;0,Skemaoplysninger!AY14,"")</f>
        <v/>
      </c>
      <c r="F7" s="277" t="str">
        <f>IF(Skemaoplysninger!AQ14&gt;0,Skemaoplysninger!BA14,"")</f>
        <v/>
      </c>
      <c r="G7" s="277" t="str">
        <f>IF(Skemaoplysninger!AQ14&gt;0,Skemaoplysninger!BC14,"")</f>
        <v/>
      </c>
    </row>
    <row r="8" spans="1:7" ht="20" customHeight="1">
      <c r="A8" s="37" t="str">
        <f>IF(Skemaoplysninger!AQ15&gt;0,Skemaoplysninger!AR15,"")</f>
        <v/>
      </c>
      <c r="B8" s="37" t="str">
        <f>IF(Skemaoplysninger!AQ15&gt;0,Skemaoplysninger!AS15,"")</f>
        <v/>
      </c>
      <c r="C8" s="29" t="str">
        <f>IF(Skemaoplysninger!AQ15&gt;0,Skemaoplysninger!AU15,"")</f>
        <v/>
      </c>
      <c r="D8" s="29" t="str">
        <f>IF(Skemaoplysninger!AQ15&gt;0,Skemaoplysninger!AW15,"")</f>
        <v/>
      </c>
      <c r="E8" s="29" t="str">
        <f>IF(Skemaoplysninger!AQ15&gt;0,Skemaoplysninger!AY15,"")</f>
        <v/>
      </c>
      <c r="F8" s="29" t="str">
        <f>IF(Skemaoplysninger!AQ15&gt;0,Skemaoplysninger!BA15,"")</f>
        <v/>
      </c>
      <c r="G8" s="29" t="str">
        <f>IF(Skemaoplysninger!AQ15&gt;0,Skemaoplysninger!BC15,"")</f>
        <v/>
      </c>
    </row>
    <row r="9" spans="1:7" ht="20" customHeight="1">
      <c r="A9" s="38" t="str">
        <f>IF(Skemaoplysninger!AQ16&gt;0,Skemaoplysninger!AR16,"")</f>
        <v/>
      </c>
      <c r="B9" s="38" t="str">
        <f>IF(Skemaoplysninger!AQ16&gt;0,Skemaoplysninger!AS16,"")</f>
        <v/>
      </c>
      <c r="C9" s="277" t="str">
        <f>IF(Skemaoplysninger!AQ16&gt;0,Skemaoplysninger!AU16,"")</f>
        <v/>
      </c>
      <c r="D9" s="277" t="str">
        <f>IF(Skemaoplysninger!AQ16&gt;0,Skemaoplysninger!AW16,"")</f>
        <v/>
      </c>
      <c r="E9" s="277" t="str">
        <f>IF(Skemaoplysninger!AQ16&gt;0,Skemaoplysninger!AY16,"")</f>
        <v/>
      </c>
      <c r="F9" s="277" t="str">
        <f>IF(Skemaoplysninger!AQ16&gt;0,Skemaoplysninger!BA16,"")</f>
        <v/>
      </c>
      <c r="G9" s="277" t="str">
        <f>IF(Skemaoplysninger!AQ16&gt;0,Skemaoplysninger!BC16,"")</f>
        <v/>
      </c>
    </row>
    <row r="10" spans="1:7" ht="20" customHeight="1">
      <c r="A10" s="37" t="str">
        <f>IF(Skemaoplysninger!AQ17&gt;0,Skemaoplysninger!AR17,"")</f>
        <v/>
      </c>
      <c r="B10" s="37" t="str">
        <f>IF(Skemaoplysninger!AQ17&gt;0,Skemaoplysninger!AS17,"")</f>
        <v/>
      </c>
      <c r="C10" s="29" t="str">
        <f>IF(Skemaoplysninger!AQ17&gt;0,Skemaoplysninger!AU17,"")</f>
        <v/>
      </c>
      <c r="D10" s="29" t="str">
        <f>IF(Skemaoplysninger!AQ17&gt;0,Skemaoplysninger!AW17,"")</f>
        <v/>
      </c>
      <c r="E10" s="29" t="str">
        <f>IF(Skemaoplysninger!AQ17&gt;0,Skemaoplysninger!AY17,"")</f>
        <v/>
      </c>
      <c r="F10" s="29" t="str">
        <f>IF(Skemaoplysninger!AQ17&gt;0,Skemaoplysninger!BA17,"")</f>
        <v/>
      </c>
      <c r="G10" s="29" t="str">
        <f>IF(Skemaoplysninger!AQ17&gt;0,Skemaoplysninger!BC17,"")</f>
        <v/>
      </c>
    </row>
    <row r="11" spans="1:7" ht="20" customHeight="1">
      <c r="A11" s="38" t="str">
        <f>IF(Skemaoplysninger!AQ18&gt;0,Skemaoplysninger!AR18,"")</f>
        <v/>
      </c>
      <c r="B11" s="38" t="str">
        <f>IF(Skemaoplysninger!AQ18&gt;0,Skemaoplysninger!AS18,"")</f>
        <v/>
      </c>
      <c r="C11" s="277" t="str">
        <f>IF(Skemaoplysninger!AQ18&gt;0,Skemaoplysninger!AU18,"")</f>
        <v/>
      </c>
      <c r="D11" s="277" t="str">
        <f>IF(Skemaoplysninger!AQ18&gt;0,Skemaoplysninger!AW18,"")</f>
        <v/>
      </c>
      <c r="E11" s="277" t="str">
        <f>IF(Skemaoplysninger!AQ18&gt;0,Skemaoplysninger!AY18,"")</f>
        <v/>
      </c>
      <c r="F11" s="277" t="str">
        <f>IF(Skemaoplysninger!AQ18&gt;0,Skemaoplysninger!BA18,"")</f>
        <v/>
      </c>
      <c r="G11" s="277" t="str">
        <f>IF(Skemaoplysninger!AQ18&gt;0,Skemaoplysninger!BC18,"")</f>
        <v/>
      </c>
    </row>
    <row r="12" spans="1:7" ht="20" customHeight="1">
      <c r="A12" s="37" t="str">
        <f>IF(Skemaoplysninger!AQ19&gt;0,Skemaoplysninger!AR19,"")</f>
        <v/>
      </c>
      <c r="B12" s="37" t="str">
        <f>IF(Skemaoplysninger!AQ19&gt;0,Skemaoplysninger!AS19,"")</f>
        <v/>
      </c>
      <c r="C12" s="29" t="str">
        <f>IF(Skemaoplysninger!AQ19&gt;0,Skemaoplysninger!AU19,"")</f>
        <v/>
      </c>
      <c r="D12" s="29" t="str">
        <f>IF(Skemaoplysninger!AQ19&gt;0,Skemaoplysninger!AW19,"")</f>
        <v/>
      </c>
      <c r="E12" s="29" t="str">
        <f>IF(Skemaoplysninger!AQ19&gt;0,Skemaoplysninger!AY19,"")</f>
        <v/>
      </c>
      <c r="F12" s="29" t="str">
        <f>IF(Skemaoplysninger!AQ19&gt;0,Skemaoplysninger!BA19,"")</f>
        <v/>
      </c>
      <c r="G12" s="29" t="str">
        <f>IF(Skemaoplysninger!AQ19&gt;0,Skemaoplysninger!BC19,"")</f>
        <v/>
      </c>
    </row>
    <row r="13" spans="1:7" ht="20" customHeight="1">
      <c r="A13" s="38" t="str">
        <f>IF(Skemaoplysninger!AQ20&gt;0,Skemaoplysninger!AR20,"")</f>
        <v/>
      </c>
      <c r="B13" s="38" t="str">
        <f>IF(Skemaoplysninger!AQ20&gt;0,Skemaoplysninger!AS20,"")</f>
        <v/>
      </c>
      <c r="C13" s="277" t="str">
        <f>IF(Skemaoplysninger!AQ20&gt;0,Skemaoplysninger!AU20,"")</f>
        <v/>
      </c>
      <c r="D13" s="277" t="str">
        <f>IF(Skemaoplysninger!AQ20&gt;0,Skemaoplysninger!AW20,"")</f>
        <v/>
      </c>
      <c r="E13" s="277" t="str">
        <f>IF(Skemaoplysninger!AQ20&gt;0,Skemaoplysninger!AY20,"")</f>
        <v/>
      </c>
      <c r="F13" s="277" t="str">
        <f>IF(Skemaoplysninger!AQ20&gt;0,Skemaoplysninger!BA20,"")</f>
        <v/>
      </c>
      <c r="G13" s="277" t="str">
        <f>IF(Skemaoplysninger!AQ20&gt;0,Skemaoplysninger!BC20,"")</f>
        <v/>
      </c>
    </row>
    <row r="14" spans="1:7" ht="20" customHeight="1">
      <c r="A14" s="37" t="str">
        <f>IF(Skemaoplysninger!AQ21&gt;0,Skemaoplysninger!AR21,"")</f>
        <v/>
      </c>
      <c r="B14" s="37" t="str">
        <f>IF(Skemaoplysninger!AQ21&gt;0,Skemaoplysninger!AS21,"")</f>
        <v/>
      </c>
      <c r="C14" s="29" t="str">
        <f>IF(Skemaoplysninger!AQ21&gt;0,Skemaoplysninger!AU21,"")</f>
        <v/>
      </c>
      <c r="D14" s="29" t="str">
        <f>IF(Skemaoplysninger!AQ21&gt;0,Skemaoplysninger!AW21,"")</f>
        <v/>
      </c>
      <c r="E14" s="29" t="str">
        <f>IF(Skemaoplysninger!AQ21&gt;0,Skemaoplysninger!AY21,"")</f>
        <v/>
      </c>
      <c r="F14" s="29" t="str">
        <f>IF(Skemaoplysninger!AQ21&gt;0,Skemaoplysninger!BA21,"")</f>
        <v/>
      </c>
      <c r="G14" s="29" t="str">
        <f>IF(Skemaoplysninger!AQ21&gt;0,Skemaoplysninger!BC21,"")</f>
        <v/>
      </c>
    </row>
    <row r="15" spans="1:7" ht="20" customHeight="1">
      <c r="A15" s="38" t="str">
        <f>IF(Skemaoplysninger!AQ22&gt;0,Skemaoplysninger!AR22,"")</f>
        <v/>
      </c>
      <c r="B15" s="38" t="str">
        <f>IF(Skemaoplysninger!AQ22&gt;0,Skemaoplysninger!AS22,"")</f>
        <v/>
      </c>
      <c r="C15" s="277" t="str">
        <f>IF(Skemaoplysninger!AQ22&gt;0,Skemaoplysninger!AU22,"")</f>
        <v/>
      </c>
      <c r="D15" s="277" t="str">
        <f>IF(Skemaoplysninger!AQ22&gt;0,Skemaoplysninger!AW22,"")</f>
        <v/>
      </c>
      <c r="E15" s="277" t="str">
        <f>IF(Skemaoplysninger!AQ22&gt;0,Skemaoplysninger!AY22,"")</f>
        <v/>
      </c>
      <c r="F15" s="277" t="str">
        <f>IF(Skemaoplysninger!AQ22&gt;0,Skemaoplysninger!BA22,"")</f>
        <v/>
      </c>
      <c r="G15" s="277" t="str">
        <f>IF(Skemaoplysninger!AQ22&gt;0,Skemaoplysninger!BC22,"")</f>
        <v/>
      </c>
    </row>
    <row r="16" spans="1:7" ht="20" customHeight="1">
      <c r="A16" s="37" t="str">
        <f>IF(Skemaoplysninger!AQ23&gt;0,Skemaoplysninger!AR23,"")</f>
        <v/>
      </c>
      <c r="B16" s="37" t="str">
        <f>IF(Skemaoplysninger!AQ23&gt;0,Skemaoplysninger!AS23,"")</f>
        <v/>
      </c>
      <c r="C16" s="29" t="str">
        <f>IF(Skemaoplysninger!AQ23&gt;0,Skemaoplysninger!AU23,"")</f>
        <v/>
      </c>
      <c r="D16" s="29" t="str">
        <f>IF(Skemaoplysninger!AQ23&gt;0,Skemaoplysninger!AW23,"")</f>
        <v/>
      </c>
      <c r="E16" s="29" t="str">
        <f>IF(Skemaoplysninger!AQ23&gt;0,Skemaoplysninger!AY23,"")</f>
        <v/>
      </c>
      <c r="F16" s="29" t="str">
        <f>IF(Skemaoplysninger!AQ23&gt;0,Skemaoplysninger!BA23,"")</f>
        <v/>
      </c>
      <c r="G16" s="29" t="str">
        <f>IF(Skemaoplysninger!AQ23&gt;0,Skemaoplysninger!BC23,"")</f>
        <v/>
      </c>
    </row>
    <row r="17" spans="1:7" ht="20" customHeight="1">
      <c r="A17" s="38" t="str">
        <f>IF(Skemaoplysninger!AQ24&gt;0,Skemaoplysninger!AR24,"")</f>
        <v/>
      </c>
      <c r="B17" s="38" t="str">
        <f>IF(Skemaoplysninger!AQ24&gt;0,Skemaoplysninger!AS24,"")</f>
        <v/>
      </c>
      <c r="C17" s="277" t="str">
        <f>IF(Skemaoplysninger!AQ24&gt;0,Skemaoplysninger!AU24,"")</f>
        <v/>
      </c>
      <c r="D17" s="277" t="str">
        <f>IF(Skemaoplysninger!AQ24&gt;0,Skemaoplysninger!AW24,"")</f>
        <v/>
      </c>
      <c r="E17" s="277" t="str">
        <f>IF(Skemaoplysninger!AQ24&gt;0,Skemaoplysninger!AY24,"")</f>
        <v/>
      </c>
      <c r="F17" s="277" t="str">
        <f>IF(Skemaoplysninger!AQ24&gt;0,Skemaoplysninger!BA24,"")</f>
        <v/>
      </c>
      <c r="G17" s="277" t="str">
        <f>IF(Skemaoplysninger!AQ24&gt;0,Skemaoplysninger!BC24,"")</f>
        <v/>
      </c>
    </row>
    <row r="18" spans="1:7" ht="20" customHeight="1">
      <c r="A18" s="37" t="str">
        <f>IF(Skemaoplysninger!AQ25&gt;0,Skemaoplysninger!AR25,"")</f>
        <v/>
      </c>
      <c r="B18" s="37" t="str">
        <f>IF(Skemaoplysninger!AQ25&gt;0,Skemaoplysninger!AS25,"")</f>
        <v/>
      </c>
      <c r="C18" s="29" t="str">
        <f>IF(Skemaoplysninger!AQ25&gt;0,Skemaoplysninger!AU25,"")</f>
        <v/>
      </c>
      <c r="D18" s="29" t="str">
        <f>IF(Skemaoplysninger!AQ25&gt;0,Skemaoplysninger!AW25,"")</f>
        <v/>
      </c>
      <c r="E18" s="29" t="str">
        <f>IF(Skemaoplysninger!AQ25&gt;0,Skemaoplysninger!AY25,"")</f>
        <v/>
      </c>
      <c r="F18" s="29" t="str">
        <f>IF(Skemaoplysninger!AQ25&gt;0,Skemaoplysninger!BA25,"")</f>
        <v/>
      </c>
      <c r="G18" s="29" t="str">
        <f>IF(Skemaoplysninger!AQ25&gt;0,Skemaoplysninger!BC25,"")</f>
        <v/>
      </c>
    </row>
    <row r="19" spans="1:7" ht="20" customHeight="1">
      <c r="A19" s="38" t="str">
        <f>IF(Skemaoplysninger!AQ26&gt;0,Skemaoplysninger!AR26,"")</f>
        <v/>
      </c>
      <c r="B19" s="38" t="str">
        <f>IF(Skemaoplysninger!AQ26&gt;0,Skemaoplysninger!AS26,"")</f>
        <v/>
      </c>
      <c r="C19" s="277" t="str">
        <f>IF(Skemaoplysninger!AQ26&gt;0,Skemaoplysninger!AU26,"")</f>
        <v/>
      </c>
      <c r="D19" s="277" t="str">
        <f>IF(Skemaoplysninger!AQ26&gt;0,Skemaoplysninger!AW26,"")</f>
        <v/>
      </c>
      <c r="E19" s="277" t="str">
        <f>IF(Skemaoplysninger!AQ26&gt;0,Skemaoplysninger!AY26,"")</f>
        <v/>
      </c>
      <c r="F19" s="277" t="str">
        <f>IF(Skemaoplysninger!AQ26&gt;0,Skemaoplysninger!BA26,"")</f>
        <v/>
      </c>
      <c r="G19" s="277" t="str">
        <f>IF(Skemaoplysninger!AQ26&gt;0,Skemaoplysninger!BC26,"")</f>
        <v/>
      </c>
    </row>
    <row r="20" spans="1:7" ht="20" customHeight="1">
      <c r="A20" s="37" t="str">
        <f>IF(Skemaoplysninger!AQ27&gt;0,Skemaoplysninger!AR27,"")</f>
        <v/>
      </c>
      <c r="B20" s="37" t="str">
        <f>IF(Skemaoplysninger!AQ27&gt;0,Skemaoplysninger!AS27,"")</f>
        <v/>
      </c>
      <c r="C20" s="29" t="str">
        <f>IF(Skemaoplysninger!AQ27&gt;0,Skemaoplysninger!AU27,"")</f>
        <v/>
      </c>
      <c r="D20" s="29" t="str">
        <f>IF(Skemaoplysninger!AQ27&gt;0,Skemaoplysninger!AW27,"")</f>
        <v/>
      </c>
      <c r="E20" s="29" t="str">
        <f>IF(Skemaoplysninger!AQ27&gt;0,Skemaoplysninger!AY27,"")</f>
        <v/>
      </c>
      <c r="F20" s="29" t="str">
        <f>IF(Skemaoplysninger!AQ27&gt;0,Skemaoplysninger!BA27,"")</f>
        <v/>
      </c>
      <c r="G20" s="29" t="str">
        <f>IF(Skemaoplysninger!AQ27&gt;0,Skemaoplysninger!BC27,"")</f>
        <v/>
      </c>
    </row>
    <row r="21" spans="1:7" ht="20" customHeight="1">
      <c r="A21" s="38" t="str">
        <f>IF(Skemaoplysninger!AQ28&gt;0,Skemaoplysninger!AR28,"")</f>
        <v/>
      </c>
      <c r="B21" s="38" t="str">
        <f>IF(Skemaoplysninger!AQ28&gt;0,Skemaoplysninger!AS28,"")</f>
        <v/>
      </c>
      <c r="C21" s="277" t="str">
        <f>IF(Skemaoplysninger!AQ28&gt;0,Skemaoplysninger!AU28,"")</f>
        <v/>
      </c>
      <c r="D21" s="277" t="str">
        <f>IF(Skemaoplysninger!AQ28&gt;0,Skemaoplysninger!AW28,"")</f>
        <v/>
      </c>
      <c r="E21" s="277" t="str">
        <f>IF(Skemaoplysninger!AQ28&gt;0,Skemaoplysninger!AY28,"")</f>
        <v/>
      </c>
      <c r="F21" s="277" t="str">
        <f>IF(Skemaoplysninger!AQ28&gt;0,Skemaoplysninger!BA28,"")</f>
        <v/>
      </c>
      <c r="G21" s="277" t="str">
        <f>IF(Skemaoplysninger!AQ28&gt;0,Skemaoplysninger!BC28,"")</f>
        <v/>
      </c>
    </row>
    <row r="22" spans="1:7" ht="20" customHeight="1">
      <c r="A22" s="37" t="str">
        <f>IF(Skemaoplysninger!AQ29&gt;0,Skemaoplysninger!AR29,"")</f>
        <v/>
      </c>
      <c r="B22" s="37" t="str">
        <f>IF(Skemaoplysninger!AQ29&gt;0,Skemaoplysninger!AS29,"")</f>
        <v/>
      </c>
      <c r="C22" s="29" t="str">
        <f>IF(Skemaoplysninger!AQ29&gt;0,Skemaoplysninger!AU29,"")</f>
        <v/>
      </c>
      <c r="D22" s="29" t="str">
        <f>IF(Skemaoplysninger!AQ29&gt;0,Skemaoplysninger!AW29,"")</f>
        <v/>
      </c>
      <c r="E22" s="29" t="str">
        <f>IF(Skemaoplysninger!AQ29&gt;0,Skemaoplysninger!AY29,"")</f>
        <v/>
      </c>
      <c r="F22" s="29" t="str">
        <f>IF(Skemaoplysninger!AQ29&gt;0,Skemaoplysninger!BA29,"")</f>
        <v/>
      </c>
      <c r="G22" s="29" t="str">
        <f>IF(Skemaoplysninger!AQ29&gt;0,Skemaoplysninger!BC29,"")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D9BD-A92F-5949-8977-EBD5B49CE0F1}">
  <sheetPr>
    <pageSetUpPr fitToPage="1"/>
  </sheetPr>
  <dimension ref="A1:AW33"/>
  <sheetViews>
    <sheetView workbookViewId="0">
      <selection activeCell="B4" sqref="B4"/>
    </sheetView>
  </sheetViews>
  <sheetFormatPr baseColWidth="10" defaultRowHeight="16"/>
  <cols>
    <col min="1" max="2" width="2.83203125" customWidth="1"/>
    <col min="3" max="3" width="11.83203125" customWidth="1"/>
    <col min="4" max="4" width="2.83203125" style="184"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301" t="str">
        <f>"Årskalender for "&amp;[3]Maaned!A1&amp;" 2024-2025"</f>
        <v>Årskalender for Min egen skole 2024-2025</v>
      </c>
      <c r="B1" s="302"/>
      <c r="C1" s="303"/>
      <c r="D1" s="304"/>
      <c r="E1" s="303"/>
      <c r="F1" s="302"/>
      <c r="G1" s="303"/>
      <c r="H1" s="304"/>
      <c r="I1" s="303"/>
      <c r="J1" s="302"/>
      <c r="K1" s="303"/>
      <c r="L1" s="304"/>
      <c r="M1" s="303"/>
      <c r="N1" s="302"/>
      <c r="O1" s="303"/>
      <c r="P1" s="304"/>
      <c r="Q1" s="303"/>
      <c r="R1" s="302"/>
      <c r="S1" s="303"/>
      <c r="T1" s="304"/>
      <c r="U1" s="303"/>
      <c r="V1" s="302"/>
      <c r="W1" s="303"/>
      <c r="X1" s="304"/>
      <c r="Y1" s="303"/>
      <c r="Z1" s="302"/>
      <c r="AA1" s="303"/>
      <c r="AB1" s="304"/>
      <c r="AC1" s="303"/>
      <c r="AD1" s="302"/>
      <c r="AE1" s="303"/>
      <c r="AF1" s="304"/>
      <c r="AG1" s="303"/>
      <c r="AH1" s="302"/>
      <c r="AI1" s="303"/>
      <c r="AJ1" s="304"/>
      <c r="AK1" s="303"/>
      <c r="AL1" s="302"/>
      <c r="AM1" s="303"/>
      <c r="AN1" s="304"/>
      <c r="AO1" s="303"/>
      <c r="AP1" s="302"/>
      <c r="AQ1" s="303"/>
      <c r="AR1" s="304"/>
      <c r="AS1" s="303"/>
      <c r="AT1" s="302"/>
      <c r="AU1" s="303"/>
      <c r="AV1" s="305"/>
    </row>
    <row r="2" spans="1:48" ht="18">
      <c r="A2" s="306" t="s">
        <v>91</v>
      </c>
      <c r="B2" s="307"/>
      <c r="C2" s="308"/>
      <c r="D2" s="309"/>
      <c r="E2" s="306" t="s">
        <v>92</v>
      </c>
      <c r="F2" s="307"/>
      <c r="G2" s="308"/>
      <c r="H2" s="309"/>
      <c r="I2" s="310" t="s">
        <v>93</v>
      </c>
      <c r="J2" s="307"/>
      <c r="K2" s="308"/>
      <c r="L2" s="309"/>
      <c r="M2" s="306" t="s">
        <v>94</v>
      </c>
      <c r="N2" s="307"/>
      <c r="O2" s="308"/>
      <c r="P2" s="309"/>
      <c r="Q2" s="306" t="s">
        <v>95</v>
      </c>
      <c r="R2" s="307"/>
      <c r="S2" s="308"/>
      <c r="T2" s="309"/>
      <c r="U2" s="306" t="s">
        <v>96</v>
      </c>
      <c r="V2" s="307"/>
      <c r="W2" s="308"/>
      <c r="X2" s="309"/>
      <c r="Y2" s="310" t="s">
        <v>99</v>
      </c>
      <c r="Z2" s="307"/>
      <c r="AA2" s="308"/>
      <c r="AB2" s="309"/>
      <c r="AC2" s="306" t="s">
        <v>100</v>
      </c>
      <c r="AD2" s="307"/>
      <c r="AE2" s="308"/>
      <c r="AF2" s="309"/>
      <c r="AG2" s="306" t="s">
        <v>101</v>
      </c>
      <c r="AH2" s="307"/>
      <c r="AI2" s="308"/>
      <c r="AJ2" s="309"/>
      <c r="AK2" s="306" t="s">
        <v>102</v>
      </c>
      <c r="AL2" s="307"/>
      <c r="AM2" s="308"/>
      <c r="AN2" s="309"/>
      <c r="AO2" s="306" t="s">
        <v>103</v>
      </c>
      <c r="AP2" s="307"/>
      <c r="AQ2" s="308"/>
      <c r="AR2" s="309"/>
      <c r="AS2" s="306" t="s">
        <v>104</v>
      </c>
      <c r="AT2" s="307"/>
      <c r="AU2" s="308"/>
      <c r="AV2" s="309"/>
    </row>
    <row r="3" spans="1:48">
      <c r="A3" s="530">
        <v>1</v>
      </c>
      <c r="B3" s="531" t="s">
        <v>156</v>
      </c>
      <c r="C3" s="532"/>
      <c r="D3" s="533">
        <v>31.285714285714285</v>
      </c>
      <c r="E3" s="535">
        <v>1</v>
      </c>
      <c r="F3" s="536" t="s">
        <v>159</v>
      </c>
      <c r="G3" s="537"/>
      <c r="H3" s="540" t="s">
        <v>142</v>
      </c>
      <c r="I3" s="530">
        <v>1</v>
      </c>
      <c r="J3" s="531" t="s">
        <v>157</v>
      </c>
      <c r="K3" s="532"/>
      <c r="L3" s="539" t="s">
        <v>142</v>
      </c>
      <c r="M3" s="530"/>
      <c r="N3" s="531" t="s">
        <v>158</v>
      </c>
      <c r="O3" s="532"/>
      <c r="P3" s="539" t="s">
        <v>142</v>
      </c>
      <c r="Q3" s="535">
        <v>1</v>
      </c>
      <c r="R3" s="536" t="s">
        <v>159</v>
      </c>
      <c r="S3" s="537"/>
      <c r="T3" s="538" t="s">
        <v>142</v>
      </c>
      <c r="U3" s="535">
        <v>1</v>
      </c>
      <c r="V3" s="536" t="s">
        <v>153</v>
      </c>
      <c r="W3" s="537" t="s">
        <v>141</v>
      </c>
      <c r="X3" s="538"/>
      <c r="Y3" s="535">
        <v>1</v>
      </c>
      <c r="Z3" s="536" t="s">
        <v>154</v>
      </c>
      <c r="AA3" s="537"/>
      <c r="AB3" s="540" t="s">
        <v>142</v>
      </c>
      <c r="AC3" s="535">
        <v>1</v>
      </c>
      <c r="AD3" s="536" t="s">
        <v>154</v>
      </c>
      <c r="AE3" s="537"/>
      <c r="AF3" s="538" t="s">
        <v>142</v>
      </c>
      <c r="AG3" s="530">
        <v>1</v>
      </c>
      <c r="AH3" s="531" t="s">
        <v>157</v>
      </c>
      <c r="AI3" s="532"/>
      <c r="AJ3" s="534"/>
      <c r="AK3" s="530">
        <v>1</v>
      </c>
      <c r="AL3" s="531" t="s">
        <v>156</v>
      </c>
      <c r="AM3" s="532"/>
      <c r="AN3" s="539"/>
      <c r="AO3" s="535">
        <v>1</v>
      </c>
      <c r="AP3" s="536" t="s">
        <v>159</v>
      </c>
      <c r="AQ3" s="537"/>
      <c r="AR3" s="540" t="s">
        <v>142</v>
      </c>
      <c r="AS3" s="530">
        <v>1</v>
      </c>
      <c r="AT3" s="531" t="s">
        <v>157</v>
      </c>
      <c r="AU3" s="532"/>
      <c r="AV3" s="539"/>
    </row>
    <row r="4" spans="1:48">
      <c r="A4" s="530">
        <v>2</v>
      </c>
      <c r="B4" s="531" t="s">
        <v>158</v>
      </c>
      <c r="C4" s="532"/>
      <c r="D4" s="533" t="s">
        <v>142</v>
      </c>
      <c r="E4" s="530">
        <v>2</v>
      </c>
      <c r="F4" s="531" t="s">
        <v>155</v>
      </c>
      <c r="G4" s="532"/>
      <c r="H4" s="534">
        <v>36</v>
      </c>
      <c r="I4" s="530">
        <v>2</v>
      </c>
      <c r="J4" s="531" t="s">
        <v>153</v>
      </c>
      <c r="K4" s="532"/>
      <c r="L4" s="539"/>
      <c r="M4" s="535">
        <v>2</v>
      </c>
      <c r="N4" s="536" t="s">
        <v>154</v>
      </c>
      <c r="O4" s="537"/>
      <c r="P4" s="538" t="s">
        <v>142</v>
      </c>
      <c r="Q4" s="530">
        <v>2</v>
      </c>
      <c r="R4" s="531" t="s">
        <v>155</v>
      </c>
      <c r="S4" s="532"/>
      <c r="T4" s="539">
        <v>49</v>
      </c>
      <c r="U4" s="530">
        <v>2</v>
      </c>
      <c r="V4" s="531" t="s">
        <v>156</v>
      </c>
      <c r="W4" s="532"/>
      <c r="X4" s="539"/>
      <c r="Y4" s="535">
        <v>2</v>
      </c>
      <c r="Z4" s="536" t="s">
        <v>159</v>
      </c>
      <c r="AA4" s="537"/>
      <c r="AB4" s="540" t="s">
        <v>142</v>
      </c>
      <c r="AC4" s="535">
        <v>2</v>
      </c>
      <c r="AD4" s="536" t="s">
        <v>159</v>
      </c>
      <c r="AE4" s="537"/>
      <c r="AF4" s="538" t="s">
        <v>142</v>
      </c>
      <c r="AG4" s="530">
        <v>2</v>
      </c>
      <c r="AH4" s="531" t="s">
        <v>153</v>
      </c>
      <c r="AI4" s="532"/>
      <c r="AJ4" s="534" t="s">
        <v>142</v>
      </c>
      <c r="AK4" s="530">
        <v>2</v>
      </c>
      <c r="AL4" s="531" t="s">
        <v>158</v>
      </c>
      <c r="AM4" s="532"/>
      <c r="AN4" s="539" t="s">
        <v>142</v>
      </c>
      <c r="AO4" s="530">
        <v>2</v>
      </c>
      <c r="AP4" s="531" t="s">
        <v>155</v>
      </c>
      <c r="AQ4" s="532"/>
      <c r="AR4" s="534">
        <v>23</v>
      </c>
      <c r="AS4" s="530">
        <v>2</v>
      </c>
      <c r="AT4" s="531" t="s">
        <v>153</v>
      </c>
      <c r="AU4" s="532"/>
      <c r="AV4" s="539" t="s">
        <v>142</v>
      </c>
    </row>
    <row r="5" spans="1:48">
      <c r="A5" s="535">
        <v>3</v>
      </c>
      <c r="B5" s="536" t="s">
        <v>154</v>
      </c>
      <c r="C5" s="537"/>
      <c r="D5" s="619" t="s">
        <v>142</v>
      </c>
      <c r="E5" s="530">
        <v>3</v>
      </c>
      <c r="F5" s="531" t="s">
        <v>157</v>
      </c>
      <c r="G5" s="532"/>
      <c r="H5" s="534" t="s">
        <v>142</v>
      </c>
      <c r="I5" s="530">
        <v>3</v>
      </c>
      <c r="J5" s="531" t="s">
        <v>156</v>
      </c>
      <c r="K5" s="532"/>
      <c r="L5" s="539"/>
      <c r="M5" s="535">
        <v>3</v>
      </c>
      <c r="N5" s="536" t="s">
        <v>159</v>
      </c>
      <c r="O5" s="537"/>
      <c r="P5" s="538" t="s">
        <v>142</v>
      </c>
      <c r="Q5" s="530">
        <v>3</v>
      </c>
      <c r="R5" s="531" t="s">
        <v>157</v>
      </c>
      <c r="S5" s="532"/>
      <c r="T5" s="539" t="s">
        <v>142</v>
      </c>
      <c r="U5" s="530">
        <v>3</v>
      </c>
      <c r="V5" s="531" t="s">
        <v>158</v>
      </c>
      <c r="W5" s="532"/>
      <c r="X5" s="539" t="s">
        <v>142</v>
      </c>
      <c r="Y5" s="530">
        <v>3</v>
      </c>
      <c r="Z5" s="531" t="s">
        <v>155</v>
      </c>
      <c r="AA5" s="532"/>
      <c r="AB5" s="534">
        <v>6</v>
      </c>
      <c r="AC5" s="530">
        <v>3</v>
      </c>
      <c r="AD5" s="531" t="s">
        <v>155</v>
      </c>
      <c r="AE5" s="532"/>
      <c r="AF5" s="539">
        <v>10</v>
      </c>
      <c r="AG5" s="530">
        <v>3</v>
      </c>
      <c r="AH5" s="531" t="s">
        <v>156</v>
      </c>
      <c r="AI5" s="532"/>
      <c r="AJ5" s="534"/>
      <c r="AK5" s="535">
        <v>3</v>
      </c>
      <c r="AL5" s="536" t="s">
        <v>154</v>
      </c>
      <c r="AM5" s="537"/>
      <c r="AN5" s="538" t="s">
        <v>142</v>
      </c>
      <c r="AO5" s="530">
        <v>3</v>
      </c>
      <c r="AP5" s="531" t="s">
        <v>157</v>
      </c>
      <c r="AQ5" s="532"/>
      <c r="AR5" s="534"/>
      <c r="AS5" s="530">
        <v>3</v>
      </c>
      <c r="AT5" s="531" t="s">
        <v>156</v>
      </c>
      <c r="AU5" s="532"/>
      <c r="AV5" s="539"/>
    </row>
    <row r="6" spans="1:48">
      <c r="A6" s="535">
        <v>4</v>
      </c>
      <c r="B6" s="536" t="s">
        <v>159</v>
      </c>
      <c r="C6" s="537"/>
      <c r="D6" s="619" t="s">
        <v>142</v>
      </c>
      <c r="E6" s="530">
        <v>4</v>
      </c>
      <c r="F6" s="531" t="s">
        <v>153</v>
      </c>
      <c r="G6" s="532"/>
      <c r="H6" s="534"/>
      <c r="I6" s="530">
        <v>4</v>
      </c>
      <c r="J6" s="531" t="s">
        <v>158</v>
      </c>
      <c r="K6" s="532"/>
      <c r="L6" s="539" t="s">
        <v>142</v>
      </c>
      <c r="M6" s="530">
        <v>4</v>
      </c>
      <c r="N6" s="531" t="s">
        <v>155</v>
      </c>
      <c r="O6" s="532"/>
      <c r="P6" s="539">
        <v>45</v>
      </c>
      <c r="Q6" s="530">
        <v>4</v>
      </c>
      <c r="R6" s="531" t="s">
        <v>153</v>
      </c>
      <c r="S6" s="532"/>
      <c r="T6" s="539"/>
      <c r="U6" s="535">
        <v>4</v>
      </c>
      <c r="V6" s="536" t="s">
        <v>154</v>
      </c>
      <c r="W6" s="537"/>
      <c r="X6" s="538" t="s">
        <v>142</v>
      </c>
      <c r="Y6" s="530">
        <v>4</v>
      </c>
      <c r="Z6" s="531" t="s">
        <v>157</v>
      </c>
      <c r="AA6" s="532"/>
      <c r="AB6" s="534" t="s">
        <v>142</v>
      </c>
      <c r="AC6" s="530">
        <v>4</v>
      </c>
      <c r="AD6" s="531" t="s">
        <v>157</v>
      </c>
      <c r="AE6" s="532"/>
      <c r="AF6" s="539"/>
      <c r="AG6" s="530">
        <v>4</v>
      </c>
      <c r="AH6" s="531" t="s">
        <v>158</v>
      </c>
      <c r="AI6" s="532"/>
      <c r="AJ6" s="534" t="s">
        <v>142</v>
      </c>
      <c r="AK6" s="535">
        <v>4</v>
      </c>
      <c r="AL6" s="536" t="s">
        <v>159</v>
      </c>
      <c r="AM6" s="537"/>
      <c r="AN6" s="538" t="s">
        <v>142</v>
      </c>
      <c r="AO6" s="530">
        <v>4</v>
      </c>
      <c r="AP6" s="531" t="s">
        <v>153</v>
      </c>
      <c r="AQ6" s="532"/>
      <c r="AR6" s="534" t="s">
        <v>142</v>
      </c>
      <c r="AS6" s="530">
        <v>4</v>
      </c>
      <c r="AT6" s="531" t="s">
        <v>158</v>
      </c>
      <c r="AU6" s="532"/>
      <c r="AV6" s="539" t="s">
        <v>142</v>
      </c>
    </row>
    <row r="7" spans="1:48">
      <c r="A7" s="530">
        <v>5</v>
      </c>
      <c r="B7" s="531" t="s">
        <v>155</v>
      </c>
      <c r="C7" s="532"/>
      <c r="D7" s="542">
        <v>32</v>
      </c>
      <c r="E7" s="530">
        <v>5</v>
      </c>
      <c r="F7" s="531" t="s">
        <v>156</v>
      </c>
      <c r="G7" s="532"/>
      <c r="H7" s="534"/>
      <c r="I7" s="535">
        <v>5</v>
      </c>
      <c r="J7" s="536" t="s">
        <v>154</v>
      </c>
      <c r="K7" s="537"/>
      <c r="L7" s="538" t="s">
        <v>142</v>
      </c>
      <c r="M7" s="530">
        <v>5</v>
      </c>
      <c r="N7" s="531" t="s">
        <v>157</v>
      </c>
      <c r="O7" s="532"/>
      <c r="P7" s="539" t="s">
        <v>142</v>
      </c>
      <c r="Q7" s="530">
        <v>5</v>
      </c>
      <c r="R7" s="531" t="s">
        <v>156</v>
      </c>
      <c r="S7" s="532"/>
      <c r="T7" s="539"/>
      <c r="U7" s="535">
        <v>5</v>
      </c>
      <c r="V7" s="536" t="s">
        <v>159</v>
      </c>
      <c r="W7" s="537"/>
      <c r="X7" s="538" t="s">
        <v>142</v>
      </c>
      <c r="Y7" s="530">
        <v>5</v>
      </c>
      <c r="Z7" s="531" t="s">
        <v>153</v>
      </c>
      <c r="AA7" s="532"/>
      <c r="AB7" s="534"/>
      <c r="AC7" s="530">
        <v>5</v>
      </c>
      <c r="AD7" s="531" t="s">
        <v>153</v>
      </c>
      <c r="AE7" s="532"/>
      <c r="AF7" s="539" t="s">
        <v>142</v>
      </c>
      <c r="AG7" s="535">
        <v>5</v>
      </c>
      <c r="AH7" s="536" t="s">
        <v>154</v>
      </c>
      <c r="AI7" s="537"/>
      <c r="AJ7" s="540" t="s">
        <v>142</v>
      </c>
      <c r="AK7" s="530">
        <v>5</v>
      </c>
      <c r="AL7" s="531" t="s">
        <v>155</v>
      </c>
      <c r="AM7" s="532"/>
      <c r="AN7" s="539">
        <v>19</v>
      </c>
      <c r="AO7" s="530">
        <v>5</v>
      </c>
      <c r="AP7" s="531" t="s">
        <v>156</v>
      </c>
      <c r="AQ7" s="532" t="s">
        <v>218</v>
      </c>
      <c r="AR7" s="534"/>
      <c r="AS7" s="535">
        <v>5</v>
      </c>
      <c r="AT7" s="536" t="s">
        <v>154</v>
      </c>
      <c r="AU7" s="537"/>
      <c r="AV7" s="538" t="s">
        <v>142</v>
      </c>
    </row>
    <row r="8" spans="1:48">
      <c r="A8" s="530">
        <v>6</v>
      </c>
      <c r="B8" s="531" t="s">
        <v>157</v>
      </c>
      <c r="C8" s="532"/>
      <c r="D8" s="542" t="s">
        <v>142</v>
      </c>
      <c r="E8" s="530">
        <v>6</v>
      </c>
      <c r="F8" s="531" t="s">
        <v>158</v>
      </c>
      <c r="G8" s="532"/>
      <c r="H8" s="534" t="s">
        <v>142</v>
      </c>
      <c r="I8" s="535">
        <v>6</v>
      </c>
      <c r="J8" s="536" t="s">
        <v>159</v>
      </c>
      <c r="K8" s="537"/>
      <c r="L8" s="538" t="s">
        <v>142</v>
      </c>
      <c r="M8" s="530">
        <v>6</v>
      </c>
      <c r="N8" s="531" t="s">
        <v>153</v>
      </c>
      <c r="O8" s="532"/>
      <c r="P8" s="539"/>
      <c r="Q8" s="530">
        <v>6</v>
      </c>
      <c r="R8" s="531" t="s">
        <v>158</v>
      </c>
      <c r="S8" s="532"/>
      <c r="T8" s="539" t="s">
        <v>142</v>
      </c>
      <c r="U8" s="530">
        <v>6</v>
      </c>
      <c r="V8" s="531" t="s">
        <v>155</v>
      </c>
      <c r="W8" s="532"/>
      <c r="X8" s="539">
        <v>2</v>
      </c>
      <c r="Y8" s="530">
        <v>6</v>
      </c>
      <c r="Z8" s="531" t="s">
        <v>156</v>
      </c>
      <c r="AA8" s="532"/>
      <c r="AB8" s="534"/>
      <c r="AC8" s="530">
        <v>6</v>
      </c>
      <c r="AD8" s="531" t="s">
        <v>156</v>
      </c>
      <c r="AE8" s="532"/>
      <c r="AF8" s="539"/>
      <c r="AG8" s="535">
        <v>6</v>
      </c>
      <c r="AH8" s="536" t="s">
        <v>159</v>
      </c>
      <c r="AI8" s="537"/>
      <c r="AJ8" s="540" t="s">
        <v>142</v>
      </c>
      <c r="AK8" s="530">
        <v>6</v>
      </c>
      <c r="AL8" s="531" t="s">
        <v>157</v>
      </c>
      <c r="AM8" s="532"/>
      <c r="AN8" s="539"/>
      <c r="AO8" s="530">
        <v>6</v>
      </c>
      <c r="AP8" s="531" t="s">
        <v>158</v>
      </c>
      <c r="AQ8" s="532"/>
      <c r="AR8" s="534" t="s">
        <v>142</v>
      </c>
      <c r="AS8" s="535">
        <v>6</v>
      </c>
      <c r="AT8" s="536" t="s">
        <v>159</v>
      </c>
      <c r="AU8" s="537"/>
      <c r="AV8" s="538" t="s">
        <v>142</v>
      </c>
    </row>
    <row r="9" spans="1:48">
      <c r="A9" s="530">
        <v>7</v>
      </c>
      <c r="B9" s="531" t="s">
        <v>153</v>
      </c>
      <c r="C9" s="532"/>
      <c r="D9" s="542"/>
      <c r="E9" s="535">
        <v>7</v>
      </c>
      <c r="F9" s="536" t="s">
        <v>154</v>
      </c>
      <c r="G9" s="537"/>
      <c r="H9" s="540" t="s">
        <v>142</v>
      </c>
      <c r="I9" s="530">
        <v>7</v>
      </c>
      <c r="J9" s="531" t="s">
        <v>155</v>
      </c>
      <c r="K9" s="532"/>
      <c r="L9" s="539">
        <v>41</v>
      </c>
      <c r="M9" s="530">
        <v>7</v>
      </c>
      <c r="N9" s="531" t="s">
        <v>156</v>
      </c>
      <c r="O9" s="532"/>
      <c r="P9" s="539"/>
      <c r="Q9" s="535">
        <v>7</v>
      </c>
      <c r="R9" s="536" t="s">
        <v>154</v>
      </c>
      <c r="S9" s="537"/>
      <c r="T9" s="538" t="s">
        <v>142</v>
      </c>
      <c r="U9" s="530">
        <v>7</v>
      </c>
      <c r="V9" s="531" t="s">
        <v>157</v>
      </c>
      <c r="W9" s="532"/>
      <c r="X9" s="539" t="s">
        <v>142</v>
      </c>
      <c r="Y9" s="530">
        <v>7</v>
      </c>
      <c r="Z9" s="531" t="s">
        <v>158</v>
      </c>
      <c r="AA9" s="532"/>
      <c r="AB9" s="534" t="s">
        <v>142</v>
      </c>
      <c r="AC9" s="530">
        <v>7</v>
      </c>
      <c r="AD9" s="531" t="s">
        <v>158</v>
      </c>
      <c r="AE9" s="532"/>
      <c r="AF9" s="539" t="s">
        <v>142</v>
      </c>
      <c r="AG9" s="530">
        <v>7</v>
      </c>
      <c r="AH9" s="531" t="s">
        <v>155</v>
      </c>
      <c r="AI9" s="532"/>
      <c r="AJ9" s="534">
        <v>15</v>
      </c>
      <c r="AK9" s="530">
        <v>7</v>
      </c>
      <c r="AL9" s="531" t="s">
        <v>153</v>
      </c>
      <c r="AM9" s="532"/>
      <c r="AN9" s="539" t="s">
        <v>142</v>
      </c>
      <c r="AO9" s="535">
        <v>7</v>
      </c>
      <c r="AP9" s="536" t="s">
        <v>154</v>
      </c>
      <c r="AQ9" s="537"/>
      <c r="AR9" s="540" t="s">
        <v>142</v>
      </c>
      <c r="AS9" s="530">
        <v>7</v>
      </c>
      <c r="AT9" s="531" t="s">
        <v>155</v>
      </c>
      <c r="AU9" s="532"/>
      <c r="AV9" s="539">
        <v>28</v>
      </c>
    </row>
    <row r="10" spans="1:48">
      <c r="A10" s="530">
        <v>8</v>
      </c>
      <c r="B10" s="531" t="s">
        <v>156</v>
      </c>
      <c r="C10" s="532"/>
      <c r="D10" s="533"/>
      <c r="E10" s="535">
        <v>8</v>
      </c>
      <c r="F10" s="536" t="s">
        <v>159</v>
      </c>
      <c r="G10" s="537"/>
      <c r="H10" s="540" t="s">
        <v>142</v>
      </c>
      <c r="I10" s="530">
        <v>8</v>
      </c>
      <c r="J10" s="531" t="s">
        <v>157</v>
      </c>
      <c r="K10" s="532"/>
      <c r="L10" s="539" t="s">
        <v>142</v>
      </c>
      <c r="M10" s="530">
        <v>8</v>
      </c>
      <c r="N10" s="531" t="s">
        <v>158</v>
      </c>
      <c r="O10" s="532"/>
      <c r="P10" s="539" t="s">
        <v>142</v>
      </c>
      <c r="Q10" s="535">
        <v>8</v>
      </c>
      <c r="R10" s="536" t="s">
        <v>159</v>
      </c>
      <c r="S10" s="537"/>
      <c r="T10" s="538" t="s">
        <v>142</v>
      </c>
      <c r="U10" s="530">
        <v>8</v>
      </c>
      <c r="V10" s="531" t="s">
        <v>153</v>
      </c>
      <c r="W10" s="532"/>
      <c r="X10" s="539"/>
      <c r="Y10" s="535">
        <v>8</v>
      </c>
      <c r="Z10" s="536" t="s">
        <v>154</v>
      </c>
      <c r="AA10" s="537"/>
      <c r="AB10" s="540" t="s">
        <v>142</v>
      </c>
      <c r="AC10" s="535">
        <v>8</v>
      </c>
      <c r="AD10" s="536" t="s">
        <v>154</v>
      </c>
      <c r="AE10" s="537"/>
      <c r="AF10" s="538" t="s">
        <v>142</v>
      </c>
      <c r="AG10" s="530">
        <v>8</v>
      </c>
      <c r="AH10" s="531" t="s">
        <v>157</v>
      </c>
      <c r="AI10" s="532"/>
      <c r="AJ10" s="534"/>
      <c r="AK10" s="530">
        <v>8</v>
      </c>
      <c r="AL10" s="531" t="s">
        <v>156</v>
      </c>
      <c r="AM10" s="532"/>
      <c r="AN10" s="539"/>
      <c r="AO10" s="535">
        <v>8</v>
      </c>
      <c r="AP10" s="536" t="s">
        <v>159</v>
      </c>
      <c r="AQ10" s="537" t="s">
        <v>177</v>
      </c>
      <c r="AR10" s="540" t="s">
        <v>142</v>
      </c>
      <c r="AS10" s="530">
        <v>8</v>
      </c>
      <c r="AT10" s="531" t="s">
        <v>157</v>
      </c>
      <c r="AU10" s="532"/>
      <c r="AV10" s="539"/>
    </row>
    <row r="11" spans="1:48">
      <c r="A11" s="530">
        <v>9</v>
      </c>
      <c r="B11" s="531" t="s">
        <v>158</v>
      </c>
      <c r="C11" s="532"/>
      <c r="D11" s="533" t="s">
        <v>142</v>
      </c>
      <c r="E11" s="530">
        <v>9</v>
      </c>
      <c r="F11" s="531" t="s">
        <v>155</v>
      </c>
      <c r="G11" s="532"/>
      <c r="H11" s="534">
        <v>37</v>
      </c>
      <c r="I11" s="530">
        <v>9</v>
      </c>
      <c r="J11" s="531" t="s">
        <v>153</v>
      </c>
      <c r="K11" s="532"/>
      <c r="L11" s="539"/>
      <c r="M11" s="535">
        <v>9</v>
      </c>
      <c r="N11" s="536" t="s">
        <v>154</v>
      </c>
      <c r="O11" s="537"/>
      <c r="P11" s="538" t="s">
        <v>142</v>
      </c>
      <c r="Q11" s="530">
        <v>9</v>
      </c>
      <c r="R11" s="531" t="s">
        <v>155</v>
      </c>
      <c r="S11" s="532"/>
      <c r="T11" s="539">
        <v>50</v>
      </c>
      <c r="U11" s="530">
        <v>9</v>
      </c>
      <c r="V11" s="531" t="s">
        <v>156</v>
      </c>
      <c r="W11" s="532"/>
      <c r="X11" s="539"/>
      <c r="Y11" s="535">
        <v>9</v>
      </c>
      <c r="Z11" s="536" t="s">
        <v>159</v>
      </c>
      <c r="AA11" s="537"/>
      <c r="AB11" s="540" t="s">
        <v>142</v>
      </c>
      <c r="AC11" s="535">
        <v>9</v>
      </c>
      <c r="AD11" s="536" t="s">
        <v>159</v>
      </c>
      <c r="AE11" s="537"/>
      <c r="AF11" s="538" t="s">
        <v>142</v>
      </c>
      <c r="AG11" s="530">
        <v>9</v>
      </c>
      <c r="AH11" s="531" t="s">
        <v>153</v>
      </c>
      <c r="AI11" s="532"/>
      <c r="AJ11" s="534" t="s">
        <v>142</v>
      </c>
      <c r="AK11" s="530">
        <v>9</v>
      </c>
      <c r="AL11" s="531" t="s">
        <v>158</v>
      </c>
      <c r="AM11" s="620"/>
      <c r="AN11" s="539" t="s">
        <v>142</v>
      </c>
      <c r="AO11" s="535">
        <v>9</v>
      </c>
      <c r="AP11" s="536" t="s">
        <v>155</v>
      </c>
      <c r="AQ11" s="537" t="s">
        <v>552</v>
      </c>
      <c r="AR11" s="540">
        <v>24</v>
      </c>
      <c r="AS11" s="530">
        <v>9</v>
      </c>
      <c r="AT11" s="531" t="s">
        <v>153</v>
      </c>
      <c r="AU11" s="532"/>
      <c r="AV11" s="539" t="s">
        <v>142</v>
      </c>
    </row>
    <row r="12" spans="1:48">
      <c r="A12" s="535">
        <v>10</v>
      </c>
      <c r="B12" s="536" t="s">
        <v>154</v>
      </c>
      <c r="C12" s="537"/>
      <c r="D12" s="619" t="s">
        <v>142</v>
      </c>
      <c r="E12" s="530">
        <v>10</v>
      </c>
      <c r="F12" s="531" t="s">
        <v>157</v>
      </c>
      <c r="G12" s="532"/>
      <c r="H12" s="534" t="s">
        <v>142</v>
      </c>
      <c r="I12" s="530">
        <v>10</v>
      </c>
      <c r="J12" s="531" t="s">
        <v>156</v>
      </c>
      <c r="K12" s="532"/>
      <c r="L12" s="539"/>
      <c r="M12" s="535">
        <v>10</v>
      </c>
      <c r="N12" s="536" t="s">
        <v>159</v>
      </c>
      <c r="O12" s="537"/>
      <c r="P12" s="538" t="s">
        <v>142</v>
      </c>
      <c r="Q12" s="530">
        <v>10</v>
      </c>
      <c r="R12" s="531" t="s">
        <v>157</v>
      </c>
      <c r="S12" s="532"/>
      <c r="T12" s="539" t="s">
        <v>142</v>
      </c>
      <c r="U12" s="530">
        <v>10</v>
      </c>
      <c r="V12" s="531" t="s">
        <v>158</v>
      </c>
      <c r="W12" s="532"/>
      <c r="X12" s="539" t="s">
        <v>142</v>
      </c>
      <c r="Y12" s="530">
        <v>10</v>
      </c>
      <c r="Z12" s="531" t="s">
        <v>155</v>
      </c>
      <c r="AA12" s="532"/>
      <c r="AB12" s="534">
        <v>7</v>
      </c>
      <c r="AC12" s="530">
        <v>10</v>
      </c>
      <c r="AD12" s="531" t="s">
        <v>155</v>
      </c>
      <c r="AE12" s="532"/>
      <c r="AF12" s="539">
        <v>11</v>
      </c>
      <c r="AG12" s="530">
        <v>10</v>
      </c>
      <c r="AH12" s="531" t="s">
        <v>156</v>
      </c>
      <c r="AI12" s="532"/>
      <c r="AJ12" s="534"/>
      <c r="AK12" s="535">
        <v>10</v>
      </c>
      <c r="AL12" s="536" t="s">
        <v>154</v>
      </c>
      <c r="AM12" s="537"/>
      <c r="AN12" s="538" t="s">
        <v>142</v>
      </c>
      <c r="AO12" s="530">
        <v>10</v>
      </c>
      <c r="AP12" s="531" t="s">
        <v>157</v>
      </c>
      <c r="AQ12" s="532"/>
      <c r="AR12" s="534"/>
      <c r="AS12" s="530">
        <v>10</v>
      </c>
      <c r="AT12" s="531" t="s">
        <v>156</v>
      </c>
      <c r="AU12" s="532"/>
      <c r="AV12" s="539"/>
    </row>
    <row r="13" spans="1:48">
      <c r="A13" s="535">
        <v>11</v>
      </c>
      <c r="B13" s="536" t="s">
        <v>159</v>
      </c>
      <c r="C13" s="537"/>
      <c r="D13" s="619" t="s">
        <v>142</v>
      </c>
      <c r="E13" s="530">
        <v>11</v>
      </c>
      <c r="F13" s="531" t="s">
        <v>153</v>
      </c>
      <c r="G13" s="532"/>
      <c r="H13" s="534"/>
      <c r="I13" s="530">
        <v>11</v>
      </c>
      <c r="J13" s="531" t="s">
        <v>158</v>
      </c>
      <c r="K13" s="532"/>
      <c r="L13" s="539" t="s">
        <v>142</v>
      </c>
      <c r="M13" s="530">
        <v>11</v>
      </c>
      <c r="N13" s="531" t="s">
        <v>155</v>
      </c>
      <c r="O13" s="532"/>
      <c r="P13" s="539">
        <v>46</v>
      </c>
      <c r="Q13" s="530">
        <v>11</v>
      </c>
      <c r="R13" s="531" t="s">
        <v>153</v>
      </c>
      <c r="S13" s="532"/>
      <c r="T13" s="539"/>
      <c r="U13" s="535">
        <v>11</v>
      </c>
      <c r="V13" s="536" t="s">
        <v>154</v>
      </c>
      <c r="W13" s="537"/>
      <c r="X13" s="538" t="s">
        <v>142</v>
      </c>
      <c r="Y13" s="530">
        <v>11</v>
      </c>
      <c r="Z13" s="531" t="s">
        <v>157</v>
      </c>
      <c r="AA13" s="532"/>
      <c r="AB13" s="534" t="s">
        <v>142</v>
      </c>
      <c r="AC13" s="530">
        <v>11</v>
      </c>
      <c r="AD13" s="531" t="s">
        <v>157</v>
      </c>
      <c r="AE13" s="532"/>
      <c r="AF13" s="539"/>
      <c r="AG13" s="530">
        <v>11</v>
      </c>
      <c r="AH13" s="531" t="s">
        <v>158</v>
      </c>
      <c r="AI13" s="532"/>
      <c r="AJ13" s="534" t="s">
        <v>142</v>
      </c>
      <c r="AK13" s="535">
        <v>11</v>
      </c>
      <c r="AL13" s="536" t="s">
        <v>159</v>
      </c>
      <c r="AM13" s="537"/>
      <c r="AN13" s="538" t="s">
        <v>142</v>
      </c>
      <c r="AO13" s="530">
        <v>11</v>
      </c>
      <c r="AP13" s="531" t="s">
        <v>153</v>
      </c>
      <c r="AQ13" s="532"/>
      <c r="AR13" s="534" t="s">
        <v>142</v>
      </c>
      <c r="AS13" s="530">
        <v>11</v>
      </c>
      <c r="AT13" s="531" t="s">
        <v>158</v>
      </c>
      <c r="AU13" s="532"/>
      <c r="AV13" s="539" t="s">
        <v>142</v>
      </c>
    </row>
    <row r="14" spans="1:48">
      <c r="A14" s="530">
        <v>12</v>
      </c>
      <c r="B14" s="531" t="s">
        <v>155</v>
      </c>
      <c r="C14" s="532"/>
      <c r="D14" s="542">
        <v>33</v>
      </c>
      <c r="E14" s="530">
        <v>12</v>
      </c>
      <c r="F14" s="531" t="s">
        <v>156</v>
      </c>
      <c r="G14" s="532"/>
      <c r="H14" s="534"/>
      <c r="I14" s="535">
        <v>12</v>
      </c>
      <c r="J14" s="536" t="s">
        <v>154</v>
      </c>
      <c r="K14" s="537"/>
      <c r="L14" s="538" t="s">
        <v>142</v>
      </c>
      <c r="M14" s="530">
        <v>12</v>
      </c>
      <c r="N14" s="531" t="s">
        <v>157</v>
      </c>
      <c r="O14" s="532"/>
      <c r="P14" s="539" t="s">
        <v>142</v>
      </c>
      <c r="Q14" s="530">
        <v>12</v>
      </c>
      <c r="R14" s="531" t="s">
        <v>156</v>
      </c>
      <c r="S14" s="532"/>
      <c r="T14" s="539"/>
      <c r="U14" s="535">
        <v>12</v>
      </c>
      <c r="V14" s="536" t="s">
        <v>159</v>
      </c>
      <c r="W14" s="537"/>
      <c r="X14" s="538" t="s">
        <v>142</v>
      </c>
      <c r="Y14" s="530">
        <v>12</v>
      </c>
      <c r="Z14" s="531" t="s">
        <v>153</v>
      </c>
      <c r="AA14" s="532"/>
      <c r="AB14" s="534"/>
      <c r="AC14" s="530">
        <v>12</v>
      </c>
      <c r="AD14" s="531" t="s">
        <v>153</v>
      </c>
      <c r="AE14" s="532"/>
      <c r="AF14" s="539" t="s">
        <v>142</v>
      </c>
      <c r="AG14" s="535">
        <v>12</v>
      </c>
      <c r="AH14" s="536" t="s">
        <v>154</v>
      </c>
      <c r="AI14" s="537"/>
      <c r="AJ14" s="540" t="s">
        <v>142</v>
      </c>
      <c r="AK14" s="530">
        <v>12</v>
      </c>
      <c r="AL14" s="531" t="s">
        <v>155</v>
      </c>
      <c r="AM14" s="532"/>
      <c r="AN14" s="539">
        <v>20</v>
      </c>
      <c r="AO14" s="530">
        <v>12</v>
      </c>
      <c r="AP14" s="531" t="s">
        <v>156</v>
      </c>
      <c r="AQ14" s="532"/>
      <c r="AR14" s="534"/>
      <c r="AS14" s="535">
        <v>12</v>
      </c>
      <c r="AT14" s="536" t="s">
        <v>154</v>
      </c>
      <c r="AU14" s="537"/>
      <c r="AV14" s="538" t="s">
        <v>142</v>
      </c>
    </row>
    <row r="15" spans="1:48">
      <c r="A15" s="530">
        <v>13</v>
      </c>
      <c r="B15" s="531" t="s">
        <v>157</v>
      </c>
      <c r="C15" s="532"/>
      <c r="D15" s="542" t="s">
        <v>142</v>
      </c>
      <c r="E15" s="530">
        <v>13</v>
      </c>
      <c r="F15" s="531" t="s">
        <v>158</v>
      </c>
      <c r="G15" s="532"/>
      <c r="H15" s="534" t="s">
        <v>142</v>
      </c>
      <c r="I15" s="535">
        <v>13</v>
      </c>
      <c r="J15" s="536" t="s">
        <v>159</v>
      </c>
      <c r="K15" s="537"/>
      <c r="L15" s="538" t="s">
        <v>142</v>
      </c>
      <c r="M15" s="530">
        <v>13</v>
      </c>
      <c r="N15" s="531" t="s">
        <v>153</v>
      </c>
      <c r="O15" s="532"/>
      <c r="P15" s="539"/>
      <c r="Q15" s="530">
        <v>13</v>
      </c>
      <c r="R15" s="531" t="s">
        <v>158</v>
      </c>
      <c r="S15" s="532"/>
      <c r="T15" s="539" t="s">
        <v>142</v>
      </c>
      <c r="U15" s="530">
        <v>13</v>
      </c>
      <c r="V15" s="531" t="s">
        <v>155</v>
      </c>
      <c r="W15" s="532"/>
      <c r="X15" s="539">
        <v>3</v>
      </c>
      <c r="Y15" s="530">
        <v>13</v>
      </c>
      <c r="Z15" s="531" t="s">
        <v>156</v>
      </c>
      <c r="AA15" s="532"/>
      <c r="AB15" s="534"/>
      <c r="AC15" s="530">
        <v>13</v>
      </c>
      <c r="AD15" s="531" t="s">
        <v>156</v>
      </c>
      <c r="AE15" s="532"/>
      <c r="AF15" s="539"/>
      <c r="AG15" s="535">
        <v>13</v>
      </c>
      <c r="AH15" s="536" t="s">
        <v>159</v>
      </c>
      <c r="AI15" s="537" t="s">
        <v>176</v>
      </c>
      <c r="AJ15" s="540" t="s">
        <v>142</v>
      </c>
      <c r="AK15" s="530">
        <v>13</v>
      </c>
      <c r="AL15" s="531" t="s">
        <v>157</v>
      </c>
      <c r="AM15" s="532"/>
      <c r="AN15" s="539"/>
      <c r="AO15" s="530">
        <v>13</v>
      </c>
      <c r="AP15" s="531" t="s">
        <v>158</v>
      </c>
      <c r="AQ15" s="532"/>
      <c r="AR15" s="534" t="s">
        <v>142</v>
      </c>
      <c r="AS15" s="535">
        <v>13</v>
      </c>
      <c r="AT15" s="536" t="s">
        <v>159</v>
      </c>
      <c r="AU15" s="537"/>
      <c r="AV15" s="538" t="s">
        <v>142</v>
      </c>
    </row>
    <row r="16" spans="1:48">
      <c r="A16" s="530">
        <v>14</v>
      </c>
      <c r="B16" s="531" t="s">
        <v>153</v>
      </c>
      <c r="C16" s="532"/>
      <c r="D16" s="542"/>
      <c r="E16" s="535">
        <v>14</v>
      </c>
      <c r="F16" s="536" t="s">
        <v>154</v>
      </c>
      <c r="G16" s="537"/>
      <c r="H16" s="540" t="s">
        <v>142</v>
      </c>
      <c r="I16" s="530">
        <v>14</v>
      </c>
      <c r="J16" s="531" t="s">
        <v>155</v>
      </c>
      <c r="K16" s="532"/>
      <c r="L16" s="539">
        <v>42</v>
      </c>
      <c r="M16" s="530">
        <v>14</v>
      </c>
      <c r="N16" s="531" t="s">
        <v>156</v>
      </c>
      <c r="O16" s="532"/>
      <c r="P16" s="539"/>
      <c r="Q16" s="535">
        <v>14</v>
      </c>
      <c r="R16" s="536" t="s">
        <v>154</v>
      </c>
      <c r="S16" s="537"/>
      <c r="T16" s="538" t="s">
        <v>142</v>
      </c>
      <c r="U16" s="530">
        <v>14</v>
      </c>
      <c r="V16" s="531" t="s">
        <v>157</v>
      </c>
      <c r="W16" s="532"/>
      <c r="X16" s="539" t="s">
        <v>142</v>
      </c>
      <c r="Y16" s="530">
        <v>14</v>
      </c>
      <c r="Z16" s="531" t="s">
        <v>158</v>
      </c>
      <c r="AA16" s="532"/>
      <c r="AB16" s="534" t="s">
        <v>142</v>
      </c>
      <c r="AC16" s="530">
        <v>14</v>
      </c>
      <c r="AD16" s="531" t="s">
        <v>158</v>
      </c>
      <c r="AE16" s="532"/>
      <c r="AF16" s="539" t="s">
        <v>142</v>
      </c>
      <c r="AG16" s="530">
        <v>14</v>
      </c>
      <c r="AH16" s="531" t="s">
        <v>155</v>
      </c>
      <c r="AI16" s="532"/>
      <c r="AJ16" s="534">
        <v>16</v>
      </c>
      <c r="AK16" s="530">
        <v>14</v>
      </c>
      <c r="AL16" s="531" t="s">
        <v>153</v>
      </c>
      <c r="AM16" s="532"/>
      <c r="AN16" s="539" t="s">
        <v>142</v>
      </c>
      <c r="AO16" s="535">
        <v>14</v>
      </c>
      <c r="AP16" s="536" t="s">
        <v>154</v>
      </c>
      <c r="AQ16" s="537"/>
      <c r="AR16" s="540" t="s">
        <v>142</v>
      </c>
      <c r="AS16" s="530">
        <v>14</v>
      </c>
      <c r="AT16" s="531" t="s">
        <v>155</v>
      </c>
      <c r="AU16" s="532"/>
      <c r="AV16" s="539">
        <v>29</v>
      </c>
    </row>
    <row r="17" spans="1:49">
      <c r="A17" s="530">
        <v>15</v>
      </c>
      <c r="B17" s="531" t="s">
        <v>156</v>
      </c>
      <c r="C17" s="532"/>
      <c r="D17" s="533"/>
      <c r="E17" s="535">
        <v>15</v>
      </c>
      <c r="F17" s="536" t="s">
        <v>159</v>
      </c>
      <c r="G17" s="537"/>
      <c r="H17" s="540" t="s">
        <v>142</v>
      </c>
      <c r="I17" s="530">
        <v>15</v>
      </c>
      <c r="J17" s="531" t="s">
        <v>157</v>
      </c>
      <c r="K17" s="532"/>
      <c r="L17" s="539" t="s">
        <v>142</v>
      </c>
      <c r="M17" s="530">
        <v>15</v>
      </c>
      <c r="N17" s="531" t="s">
        <v>158</v>
      </c>
      <c r="O17" s="532"/>
      <c r="P17" s="539" t="s">
        <v>142</v>
      </c>
      <c r="Q17" s="535">
        <v>15</v>
      </c>
      <c r="R17" s="536" t="s">
        <v>159</v>
      </c>
      <c r="S17" s="537"/>
      <c r="T17" s="538" t="s">
        <v>142</v>
      </c>
      <c r="U17" s="530">
        <v>15</v>
      </c>
      <c r="V17" s="531" t="s">
        <v>153</v>
      </c>
      <c r="W17" s="532"/>
      <c r="X17" s="539"/>
      <c r="Y17" s="535">
        <v>15</v>
      </c>
      <c r="Z17" s="536" t="s">
        <v>154</v>
      </c>
      <c r="AA17" s="537"/>
      <c r="AB17" s="540" t="s">
        <v>142</v>
      </c>
      <c r="AC17" s="535">
        <v>15</v>
      </c>
      <c r="AD17" s="536" t="s">
        <v>154</v>
      </c>
      <c r="AE17" s="537"/>
      <c r="AF17" s="538" t="s">
        <v>142</v>
      </c>
      <c r="AG17" s="530">
        <v>15</v>
      </c>
      <c r="AH17" s="531" t="s">
        <v>157</v>
      </c>
      <c r="AI17" s="532"/>
      <c r="AJ17" s="534"/>
      <c r="AK17" s="530">
        <v>15</v>
      </c>
      <c r="AL17" s="531" t="s">
        <v>156</v>
      </c>
      <c r="AM17" s="532"/>
      <c r="AN17" s="539"/>
      <c r="AO17" s="535">
        <v>15</v>
      </c>
      <c r="AP17" s="536" t="s">
        <v>159</v>
      </c>
      <c r="AQ17" s="537"/>
      <c r="AR17" s="540" t="s">
        <v>142</v>
      </c>
      <c r="AS17" s="530">
        <v>15</v>
      </c>
      <c r="AT17" s="531" t="s">
        <v>157</v>
      </c>
      <c r="AU17" s="532"/>
      <c r="AV17" s="539"/>
    </row>
    <row r="18" spans="1:49">
      <c r="A18" s="530">
        <v>16</v>
      </c>
      <c r="B18" s="531" t="s">
        <v>158</v>
      </c>
      <c r="C18" s="532"/>
      <c r="D18" s="533" t="s">
        <v>142</v>
      </c>
      <c r="E18" s="530">
        <v>16</v>
      </c>
      <c r="F18" s="531" t="s">
        <v>155</v>
      </c>
      <c r="G18" s="532"/>
      <c r="H18" s="534">
        <v>38</v>
      </c>
      <c r="I18" s="530">
        <v>16</v>
      </c>
      <c r="J18" s="531" t="s">
        <v>153</v>
      </c>
      <c r="K18" s="532"/>
      <c r="L18" s="539"/>
      <c r="M18" s="535">
        <v>16</v>
      </c>
      <c r="N18" s="536" t="s">
        <v>154</v>
      </c>
      <c r="O18" s="537"/>
      <c r="P18" s="538" t="s">
        <v>142</v>
      </c>
      <c r="Q18" s="530">
        <v>16</v>
      </c>
      <c r="R18" s="531" t="s">
        <v>155</v>
      </c>
      <c r="S18" s="532"/>
      <c r="T18" s="539">
        <v>51</v>
      </c>
      <c r="U18" s="530">
        <v>16</v>
      </c>
      <c r="V18" s="531" t="s">
        <v>156</v>
      </c>
      <c r="W18" s="532"/>
      <c r="X18" s="539"/>
      <c r="Y18" s="535">
        <v>16</v>
      </c>
      <c r="Z18" s="536" t="s">
        <v>159</v>
      </c>
      <c r="AA18" s="537"/>
      <c r="AB18" s="540" t="s">
        <v>142</v>
      </c>
      <c r="AC18" s="535">
        <v>16</v>
      </c>
      <c r="AD18" s="536" t="s">
        <v>159</v>
      </c>
      <c r="AE18" s="537"/>
      <c r="AF18" s="538" t="s">
        <v>142</v>
      </c>
      <c r="AG18" s="530">
        <v>16</v>
      </c>
      <c r="AH18" s="531" t="s">
        <v>153</v>
      </c>
      <c r="AI18" s="532"/>
      <c r="AJ18" s="534" t="s">
        <v>142</v>
      </c>
      <c r="AK18" s="530">
        <v>16</v>
      </c>
      <c r="AL18" s="531" t="s">
        <v>158</v>
      </c>
      <c r="AM18" s="532"/>
      <c r="AN18" s="539" t="s">
        <v>142</v>
      </c>
      <c r="AO18" s="530">
        <v>16</v>
      </c>
      <c r="AP18" s="531" t="s">
        <v>155</v>
      </c>
      <c r="AQ18" s="532"/>
      <c r="AR18" s="534">
        <v>25</v>
      </c>
      <c r="AS18" s="530">
        <v>16</v>
      </c>
      <c r="AT18" s="531" t="s">
        <v>153</v>
      </c>
      <c r="AU18" s="532"/>
      <c r="AV18" s="539" t="s">
        <v>142</v>
      </c>
    </row>
    <row r="19" spans="1:49">
      <c r="A19" s="535">
        <v>17</v>
      </c>
      <c r="B19" s="536" t="s">
        <v>154</v>
      </c>
      <c r="C19" s="537"/>
      <c r="D19" s="619" t="s">
        <v>142</v>
      </c>
      <c r="E19" s="530">
        <v>17</v>
      </c>
      <c r="F19" s="531" t="s">
        <v>157</v>
      </c>
      <c r="G19" s="532"/>
      <c r="H19" s="534" t="s">
        <v>142</v>
      </c>
      <c r="I19" s="530">
        <v>17</v>
      </c>
      <c r="J19" s="531" t="s">
        <v>156</v>
      </c>
      <c r="K19" s="532"/>
      <c r="L19" s="539"/>
      <c r="M19" s="535">
        <v>17</v>
      </c>
      <c r="N19" s="536" t="s">
        <v>159</v>
      </c>
      <c r="O19" s="537"/>
      <c r="P19" s="538" t="s">
        <v>142</v>
      </c>
      <c r="Q19" s="530">
        <v>17</v>
      </c>
      <c r="R19" s="531" t="s">
        <v>157</v>
      </c>
      <c r="S19" s="532"/>
      <c r="T19" s="539" t="s">
        <v>142</v>
      </c>
      <c r="U19" s="530">
        <v>17</v>
      </c>
      <c r="V19" s="531" t="s">
        <v>158</v>
      </c>
      <c r="W19" s="532"/>
      <c r="X19" s="539" t="s">
        <v>142</v>
      </c>
      <c r="Y19" s="530">
        <v>17</v>
      </c>
      <c r="Z19" s="531" t="s">
        <v>155</v>
      </c>
      <c r="AA19" s="532"/>
      <c r="AB19" s="534">
        <v>8</v>
      </c>
      <c r="AC19" s="530">
        <v>17</v>
      </c>
      <c r="AD19" s="531" t="s">
        <v>155</v>
      </c>
      <c r="AE19" s="532"/>
      <c r="AF19" s="539">
        <v>12</v>
      </c>
      <c r="AG19" s="535">
        <v>17</v>
      </c>
      <c r="AH19" s="536" t="s">
        <v>156</v>
      </c>
      <c r="AI19" s="537" t="s">
        <v>105</v>
      </c>
      <c r="AJ19" s="540"/>
      <c r="AK19" s="535">
        <v>17</v>
      </c>
      <c r="AL19" s="536" t="s">
        <v>154</v>
      </c>
      <c r="AM19" s="537"/>
      <c r="AN19" s="538" t="s">
        <v>142</v>
      </c>
      <c r="AO19" s="530">
        <v>17</v>
      </c>
      <c r="AP19" s="531" t="s">
        <v>157</v>
      </c>
      <c r="AQ19" s="532"/>
      <c r="AR19" s="534"/>
      <c r="AS19" s="530">
        <v>17</v>
      </c>
      <c r="AT19" s="531" t="s">
        <v>156</v>
      </c>
      <c r="AU19" s="532"/>
      <c r="AV19" s="539"/>
    </row>
    <row r="20" spans="1:49">
      <c r="A20" s="535">
        <v>18</v>
      </c>
      <c r="B20" s="536" t="s">
        <v>159</v>
      </c>
      <c r="C20" s="537"/>
      <c r="D20" s="619" t="s">
        <v>142</v>
      </c>
      <c r="E20" s="530">
        <v>18</v>
      </c>
      <c r="F20" s="531" t="s">
        <v>153</v>
      </c>
      <c r="G20" s="532"/>
      <c r="H20" s="534"/>
      <c r="I20" s="530">
        <v>18</v>
      </c>
      <c r="J20" s="531" t="s">
        <v>158</v>
      </c>
      <c r="K20" s="532"/>
      <c r="L20" s="539" t="s">
        <v>142</v>
      </c>
      <c r="M20" s="530">
        <v>18</v>
      </c>
      <c r="N20" s="531" t="s">
        <v>155</v>
      </c>
      <c r="O20" s="532"/>
      <c r="P20" s="539">
        <v>47</v>
      </c>
      <c r="Q20" s="530">
        <v>18</v>
      </c>
      <c r="R20" s="531" t="s">
        <v>153</v>
      </c>
      <c r="S20" s="532"/>
      <c r="T20" s="539"/>
      <c r="U20" s="535">
        <v>18</v>
      </c>
      <c r="V20" s="536" t="s">
        <v>154</v>
      </c>
      <c r="W20" s="537"/>
      <c r="X20" s="538" t="s">
        <v>142</v>
      </c>
      <c r="Y20" s="530">
        <v>18</v>
      </c>
      <c r="Z20" s="531" t="s">
        <v>157</v>
      </c>
      <c r="AA20" s="532"/>
      <c r="AB20" s="534" t="s">
        <v>142</v>
      </c>
      <c r="AC20" s="530">
        <v>18</v>
      </c>
      <c r="AD20" s="531" t="s">
        <v>157</v>
      </c>
      <c r="AE20" s="532"/>
      <c r="AF20" s="539"/>
      <c r="AG20" s="535">
        <v>18</v>
      </c>
      <c r="AH20" s="536" t="s">
        <v>158</v>
      </c>
      <c r="AI20" s="537" t="s">
        <v>167</v>
      </c>
      <c r="AJ20" s="540" t="s">
        <v>142</v>
      </c>
      <c r="AK20" s="535">
        <v>18</v>
      </c>
      <c r="AL20" s="536" t="s">
        <v>159</v>
      </c>
      <c r="AM20" s="1470"/>
      <c r="AN20" s="1471"/>
      <c r="AO20" s="530">
        <v>18</v>
      </c>
      <c r="AP20" s="531" t="s">
        <v>153</v>
      </c>
      <c r="AQ20" s="532"/>
      <c r="AR20" s="534" t="s">
        <v>142</v>
      </c>
      <c r="AS20" s="530">
        <v>18</v>
      </c>
      <c r="AT20" s="545" t="s">
        <v>158</v>
      </c>
      <c r="AU20" s="532"/>
      <c r="AV20" s="539" t="s">
        <v>142</v>
      </c>
    </row>
    <row r="21" spans="1:49">
      <c r="A21" s="530">
        <v>19</v>
      </c>
      <c r="B21" s="531" t="s">
        <v>155</v>
      </c>
      <c r="C21" s="532"/>
      <c r="D21" s="542">
        <v>34</v>
      </c>
      <c r="E21" s="530">
        <v>19</v>
      </c>
      <c r="F21" s="531" t="s">
        <v>156</v>
      </c>
      <c r="G21" s="532"/>
      <c r="H21" s="534"/>
      <c r="I21" s="535">
        <v>19</v>
      </c>
      <c r="J21" s="536" t="s">
        <v>154</v>
      </c>
      <c r="K21" s="537"/>
      <c r="L21" s="538" t="s">
        <v>142</v>
      </c>
      <c r="M21" s="530">
        <v>19</v>
      </c>
      <c r="N21" s="531" t="s">
        <v>157</v>
      </c>
      <c r="O21" s="532"/>
      <c r="P21" s="539" t="s">
        <v>142</v>
      </c>
      <c r="Q21" s="530">
        <v>19</v>
      </c>
      <c r="R21" s="531" t="s">
        <v>156</v>
      </c>
      <c r="S21" s="532"/>
      <c r="T21" s="539"/>
      <c r="U21" s="535">
        <v>19</v>
      </c>
      <c r="V21" s="536" t="s">
        <v>159</v>
      </c>
      <c r="W21" s="537"/>
      <c r="X21" s="538" t="s">
        <v>142</v>
      </c>
      <c r="Y21" s="530">
        <v>19</v>
      </c>
      <c r="Z21" s="531" t="s">
        <v>153</v>
      </c>
      <c r="AA21" s="532"/>
      <c r="AB21" s="534"/>
      <c r="AC21" s="530">
        <v>19</v>
      </c>
      <c r="AD21" s="531" t="s">
        <v>153</v>
      </c>
      <c r="AE21" s="532"/>
      <c r="AF21" s="539" t="s">
        <v>142</v>
      </c>
      <c r="AG21" s="535">
        <v>19</v>
      </c>
      <c r="AH21" s="536" t="s">
        <v>154</v>
      </c>
      <c r="AI21" s="537"/>
      <c r="AJ21" s="540" t="s">
        <v>142</v>
      </c>
      <c r="AK21" s="530">
        <v>19</v>
      </c>
      <c r="AL21" s="531" t="s">
        <v>155</v>
      </c>
      <c r="AM21" s="532"/>
      <c r="AN21" s="539">
        <v>21</v>
      </c>
      <c r="AO21" s="530">
        <v>19</v>
      </c>
      <c r="AP21" s="531" t="s">
        <v>156</v>
      </c>
      <c r="AQ21" s="532"/>
      <c r="AR21" s="534"/>
      <c r="AS21" s="535">
        <v>19</v>
      </c>
      <c r="AT21" s="536" t="s">
        <v>154</v>
      </c>
      <c r="AU21" s="537"/>
      <c r="AV21" s="538" t="s">
        <v>142</v>
      </c>
    </row>
    <row r="22" spans="1:49">
      <c r="A22" s="530">
        <v>20</v>
      </c>
      <c r="B22" s="531" t="s">
        <v>157</v>
      </c>
      <c r="C22" s="532"/>
      <c r="D22" s="542" t="s">
        <v>142</v>
      </c>
      <c r="E22" s="530">
        <v>20</v>
      </c>
      <c r="F22" s="531" t="s">
        <v>158</v>
      </c>
      <c r="G22" s="532"/>
      <c r="H22" s="534" t="s">
        <v>142</v>
      </c>
      <c r="I22" s="535">
        <v>20</v>
      </c>
      <c r="J22" s="536" t="s">
        <v>159</v>
      </c>
      <c r="K22" s="537"/>
      <c r="L22" s="538" t="s">
        <v>142</v>
      </c>
      <c r="M22" s="530">
        <v>20</v>
      </c>
      <c r="N22" s="531" t="s">
        <v>153</v>
      </c>
      <c r="O22" s="532"/>
      <c r="P22" s="539"/>
      <c r="Q22" s="530">
        <v>20</v>
      </c>
      <c r="R22" s="531" t="s">
        <v>158</v>
      </c>
      <c r="S22" s="532"/>
      <c r="T22" s="539" t="s">
        <v>142</v>
      </c>
      <c r="U22" s="530">
        <v>20</v>
      </c>
      <c r="V22" s="531" t="s">
        <v>155</v>
      </c>
      <c r="W22" s="532"/>
      <c r="X22" s="539">
        <v>4</v>
      </c>
      <c r="Y22" s="530">
        <v>20</v>
      </c>
      <c r="Z22" s="531" t="s">
        <v>156</v>
      </c>
      <c r="AA22" s="532"/>
      <c r="AB22" s="534"/>
      <c r="AC22" s="530">
        <v>20</v>
      </c>
      <c r="AD22" s="531" t="s">
        <v>156</v>
      </c>
      <c r="AE22" s="532"/>
      <c r="AF22" s="539"/>
      <c r="AG22" s="535">
        <v>20</v>
      </c>
      <c r="AH22" s="536" t="s">
        <v>159</v>
      </c>
      <c r="AI22" s="537" t="s">
        <v>114</v>
      </c>
      <c r="AJ22" s="540" t="s">
        <v>142</v>
      </c>
      <c r="AK22" s="530">
        <v>20</v>
      </c>
      <c r="AL22" s="531" t="s">
        <v>157</v>
      </c>
      <c r="AM22" s="532"/>
      <c r="AN22" s="539"/>
      <c r="AO22" s="530">
        <v>20</v>
      </c>
      <c r="AP22" s="545" t="s">
        <v>158</v>
      </c>
      <c r="AQ22" s="532"/>
      <c r="AR22" s="534" t="s">
        <v>142</v>
      </c>
      <c r="AS22" s="535">
        <v>20</v>
      </c>
      <c r="AT22" s="536" t="s">
        <v>159</v>
      </c>
      <c r="AU22" s="537"/>
      <c r="AV22" s="538" t="s">
        <v>142</v>
      </c>
    </row>
    <row r="23" spans="1:49">
      <c r="A23" s="530">
        <v>21</v>
      </c>
      <c r="B23" s="531" t="s">
        <v>153</v>
      </c>
      <c r="C23" s="532"/>
      <c r="D23" s="542"/>
      <c r="E23" s="535">
        <v>21</v>
      </c>
      <c r="F23" s="536" t="s">
        <v>154</v>
      </c>
      <c r="G23" s="537"/>
      <c r="H23" s="540" t="s">
        <v>142</v>
      </c>
      <c r="I23" s="530">
        <v>21</v>
      </c>
      <c r="J23" s="531" t="s">
        <v>155</v>
      </c>
      <c r="K23" s="532"/>
      <c r="L23" s="539">
        <v>43</v>
      </c>
      <c r="M23" s="530">
        <v>21</v>
      </c>
      <c r="N23" s="531" t="s">
        <v>156</v>
      </c>
      <c r="O23" s="532"/>
      <c r="P23" s="539"/>
      <c r="Q23" s="535">
        <v>21</v>
      </c>
      <c r="R23" s="536" t="s">
        <v>154</v>
      </c>
      <c r="S23" s="537"/>
      <c r="T23" s="538" t="s">
        <v>142</v>
      </c>
      <c r="U23" s="530">
        <v>21</v>
      </c>
      <c r="V23" s="531" t="s">
        <v>157</v>
      </c>
      <c r="W23" s="532"/>
      <c r="X23" s="539" t="s">
        <v>142</v>
      </c>
      <c r="Y23" s="530">
        <v>21</v>
      </c>
      <c r="Z23" s="531" t="s">
        <v>158</v>
      </c>
      <c r="AA23" s="532"/>
      <c r="AB23" s="534" t="s">
        <v>142</v>
      </c>
      <c r="AC23" s="530">
        <v>21</v>
      </c>
      <c r="AD23" s="531" t="s">
        <v>158</v>
      </c>
      <c r="AE23" s="532"/>
      <c r="AF23" s="539" t="s">
        <v>142</v>
      </c>
      <c r="AG23" s="535">
        <v>21</v>
      </c>
      <c r="AH23" s="536" t="s">
        <v>155</v>
      </c>
      <c r="AI23" s="537" t="s">
        <v>313</v>
      </c>
      <c r="AJ23" s="540">
        <v>17</v>
      </c>
      <c r="AK23" s="530">
        <v>21</v>
      </c>
      <c r="AL23" s="531" t="s">
        <v>153</v>
      </c>
      <c r="AM23" s="532"/>
      <c r="AN23" s="539" t="s">
        <v>142</v>
      </c>
      <c r="AO23" s="535">
        <v>21</v>
      </c>
      <c r="AP23" s="536" t="s">
        <v>154</v>
      </c>
      <c r="AQ23" s="537"/>
      <c r="AR23" s="540" t="s">
        <v>142</v>
      </c>
      <c r="AS23" s="530">
        <v>21</v>
      </c>
      <c r="AT23" s="545" t="s">
        <v>155</v>
      </c>
      <c r="AU23" s="532"/>
      <c r="AV23" s="539">
        <v>30</v>
      </c>
      <c r="AW23" s="4"/>
    </row>
    <row r="24" spans="1:49">
      <c r="A24" s="530">
        <v>22</v>
      </c>
      <c r="B24" s="531" t="s">
        <v>156</v>
      </c>
      <c r="C24" s="532"/>
      <c r="D24" s="542"/>
      <c r="E24" s="535">
        <v>22</v>
      </c>
      <c r="F24" s="536" t="s">
        <v>159</v>
      </c>
      <c r="G24" s="537"/>
      <c r="H24" s="540" t="s">
        <v>142</v>
      </c>
      <c r="I24" s="530">
        <v>22</v>
      </c>
      <c r="J24" s="531" t="s">
        <v>157</v>
      </c>
      <c r="K24" s="532"/>
      <c r="L24" s="539" t="s">
        <v>142</v>
      </c>
      <c r="M24" s="530">
        <v>22</v>
      </c>
      <c r="N24" s="531" t="s">
        <v>158</v>
      </c>
      <c r="O24" s="532"/>
      <c r="P24" s="539" t="s">
        <v>142</v>
      </c>
      <c r="Q24" s="535">
        <v>22</v>
      </c>
      <c r="R24" s="536" t="s">
        <v>159</v>
      </c>
      <c r="S24" s="537"/>
      <c r="T24" s="538" t="s">
        <v>142</v>
      </c>
      <c r="U24" s="530">
        <v>22</v>
      </c>
      <c r="V24" s="531" t="s">
        <v>153</v>
      </c>
      <c r="W24" s="532"/>
      <c r="X24" s="539"/>
      <c r="Y24" s="535">
        <v>22</v>
      </c>
      <c r="Z24" s="536" t="s">
        <v>154</v>
      </c>
      <c r="AA24" s="537"/>
      <c r="AB24" s="540" t="s">
        <v>142</v>
      </c>
      <c r="AC24" s="535">
        <v>22</v>
      </c>
      <c r="AD24" s="536" t="s">
        <v>154</v>
      </c>
      <c r="AE24" s="537"/>
      <c r="AF24" s="538" t="s">
        <v>142</v>
      </c>
      <c r="AG24" s="530">
        <v>22</v>
      </c>
      <c r="AH24" s="531" t="s">
        <v>157</v>
      </c>
      <c r="AI24" s="532"/>
      <c r="AJ24" s="534"/>
      <c r="AK24" s="530">
        <v>22</v>
      </c>
      <c r="AL24" s="531" t="s">
        <v>156</v>
      </c>
      <c r="AM24" s="532"/>
      <c r="AN24" s="539"/>
      <c r="AO24" s="535">
        <v>22</v>
      </c>
      <c r="AP24" s="536" t="s">
        <v>159</v>
      </c>
      <c r="AQ24" s="537"/>
      <c r="AR24" s="540" t="s">
        <v>142</v>
      </c>
      <c r="AS24" s="530">
        <v>22</v>
      </c>
      <c r="AT24" s="531" t="s">
        <v>157</v>
      </c>
      <c r="AU24" s="532"/>
      <c r="AV24" s="539"/>
      <c r="AW24" s="4"/>
    </row>
    <row r="25" spans="1:49">
      <c r="A25" s="530">
        <v>23</v>
      </c>
      <c r="B25" s="531" t="s">
        <v>158</v>
      </c>
      <c r="C25" s="532"/>
      <c r="D25" s="542" t="s">
        <v>142</v>
      </c>
      <c r="E25" s="530">
        <v>23</v>
      </c>
      <c r="F25" s="531" t="s">
        <v>155</v>
      </c>
      <c r="G25" s="532"/>
      <c r="H25" s="534">
        <v>39</v>
      </c>
      <c r="I25" s="530">
        <v>23</v>
      </c>
      <c r="J25" s="531" t="s">
        <v>153</v>
      </c>
      <c r="K25" s="532"/>
      <c r="L25" s="539"/>
      <c r="M25" s="535">
        <v>23</v>
      </c>
      <c r="N25" s="536" t="s">
        <v>154</v>
      </c>
      <c r="O25" s="537"/>
      <c r="P25" s="538" t="s">
        <v>142</v>
      </c>
      <c r="Q25" s="530">
        <v>23</v>
      </c>
      <c r="R25" s="531" t="s">
        <v>155</v>
      </c>
      <c r="S25" s="532"/>
      <c r="T25" s="539">
        <v>52</v>
      </c>
      <c r="U25" s="530">
        <v>23</v>
      </c>
      <c r="V25" s="531" t="s">
        <v>156</v>
      </c>
      <c r="W25" s="532"/>
      <c r="X25" s="539"/>
      <c r="Y25" s="535">
        <v>23</v>
      </c>
      <c r="Z25" s="536" t="s">
        <v>159</v>
      </c>
      <c r="AA25" s="537"/>
      <c r="AB25" s="540" t="s">
        <v>142</v>
      </c>
      <c r="AC25" s="535">
        <v>23</v>
      </c>
      <c r="AD25" s="536" t="s">
        <v>159</v>
      </c>
      <c r="AE25" s="537"/>
      <c r="AF25" s="538" t="s">
        <v>142</v>
      </c>
      <c r="AG25" s="530">
        <v>23</v>
      </c>
      <c r="AH25" s="531" t="s">
        <v>153</v>
      </c>
      <c r="AI25" s="532"/>
      <c r="AJ25" s="534" t="s">
        <v>142</v>
      </c>
      <c r="AK25" s="530">
        <v>23</v>
      </c>
      <c r="AL25" s="545" t="s">
        <v>158</v>
      </c>
      <c r="AM25" s="532"/>
      <c r="AN25" s="539" t="s">
        <v>142</v>
      </c>
      <c r="AO25" s="530">
        <v>23</v>
      </c>
      <c r="AP25" s="545" t="s">
        <v>155</v>
      </c>
      <c r="AQ25" s="532"/>
      <c r="AR25" s="534">
        <v>26</v>
      </c>
      <c r="AS25" s="530">
        <v>23</v>
      </c>
      <c r="AT25" s="531" t="s">
        <v>153</v>
      </c>
      <c r="AU25" s="532"/>
      <c r="AV25" s="539" t="s">
        <v>142</v>
      </c>
    </row>
    <row r="26" spans="1:49">
      <c r="A26" s="535">
        <v>24</v>
      </c>
      <c r="B26" s="536" t="s">
        <v>154</v>
      </c>
      <c r="C26" s="537"/>
      <c r="D26" s="541" t="s">
        <v>142</v>
      </c>
      <c r="E26" s="530">
        <v>24</v>
      </c>
      <c r="F26" s="531" t="s">
        <v>157</v>
      </c>
      <c r="G26" s="532"/>
      <c r="H26" s="534" t="s">
        <v>142</v>
      </c>
      <c r="I26" s="530">
        <v>24</v>
      </c>
      <c r="J26" s="531" t="s">
        <v>156</v>
      </c>
      <c r="K26" s="532"/>
      <c r="L26" s="539"/>
      <c r="M26" s="535">
        <v>24</v>
      </c>
      <c r="N26" s="536" t="s">
        <v>159</v>
      </c>
      <c r="O26" s="537"/>
      <c r="P26" s="538" t="s">
        <v>142</v>
      </c>
      <c r="Q26" s="530">
        <v>24</v>
      </c>
      <c r="R26" s="531" t="s">
        <v>157</v>
      </c>
      <c r="S26" s="532" t="s">
        <v>130</v>
      </c>
      <c r="T26" s="539" t="s">
        <v>142</v>
      </c>
      <c r="U26" s="530">
        <v>24</v>
      </c>
      <c r="V26" s="531" t="s">
        <v>158</v>
      </c>
      <c r="W26" s="532"/>
      <c r="X26" s="539" t="s">
        <v>142</v>
      </c>
      <c r="Y26" s="530">
        <v>24</v>
      </c>
      <c r="Z26" s="531" t="s">
        <v>155</v>
      </c>
      <c r="AA26" s="532"/>
      <c r="AB26" s="534">
        <v>9</v>
      </c>
      <c r="AC26" s="530">
        <v>24</v>
      </c>
      <c r="AD26" s="531" t="s">
        <v>155</v>
      </c>
      <c r="AE26" s="532"/>
      <c r="AF26" s="539">
        <v>13</v>
      </c>
      <c r="AG26" s="530">
        <v>24</v>
      </c>
      <c r="AH26" s="531" t="s">
        <v>156</v>
      </c>
      <c r="AI26" s="532"/>
      <c r="AJ26" s="534"/>
      <c r="AK26" s="535">
        <v>24</v>
      </c>
      <c r="AL26" s="536" t="s">
        <v>154</v>
      </c>
      <c r="AM26" s="537"/>
      <c r="AN26" s="538" t="s">
        <v>142</v>
      </c>
      <c r="AO26" s="530">
        <v>24</v>
      </c>
      <c r="AP26" s="531" t="s">
        <v>157</v>
      </c>
      <c r="AQ26" s="532"/>
      <c r="AR26" s="534"/>
      <c r="AS26" s="530">
        <v>24</v>
      </c>
      <c r="AT26" s="531" t="s">
        <v>156</v>
      </c>
      <c r="AU26" s="532"/>
      <c r="AV26" s="539"/>
    </row>
    <row r="27" spans="1:49">
      <c r="A27" s="535">
        <v>25</v>
      </c>
      <c r="B27" s="536" t="s">
        <v>159</v>
      </c>
      <c r="C27" s="537"/>
      <c r="D27" s="541" t="s">
        <v>142</v>
      </c>
      <c r="E27" s="530">
        <v>25</v>
      </c>
      <c r="F27" s="531" t="s">
        <v>153</v>
      </c>
      <c r="G27" s="532"/>
      <c r="H27" s="534"/>
      <c r="I27" s="530">
        <v>25</v>
      </c>
      <c r="J27" s="531" t="s">
        <v>158</v>
      </c>
      <c r="K27" s="532"/>
      <c r="L27" s="539" t="s">
        <v>142</v>
      </c>
      <c r="M27" s="530">
        <v>25</v>
      </c>
      <c r="N27" s="531" t="s">
        <v>155</v>
      </c>
      <c r="O27" s="532"/>
      <c r="P27" s="539">
        <v>48</v>
      </c>
      <c r="Q27" s="535">
        <v>25</v>
      </c>
      <c r="R27" s="536" t="s">
        <v>153</v>
      </c>
      <c r="S27" s="537" t="s">
        <v>318</v>
      </c>
      <c r="T27" s="538"/>
      <c r="U27" s="535">
        <v>25</v>
      </c>
      <c r="V27" s="536" t="s">
        <v>154</v>
      </c>
      <c r="W27" s="537"/>
      <c r="X27" s="538" t="s">
        <v>142</v>
      </c>
      <c r="Y27" s="530">
        <v>25</v>
      </c>
      <c r="Z27" s="531" t="s">
        <v>157</v>
      </c>
      <c r="AA27" s="532"/>
      <c r="AB27" s="534" t="s">
        <v>142</v>
      </c>
      <c r="AC27" s="530">
        <v>25</v>
      </c>
      <c r="AD27" s="531" t="s">
        <v>157</v>
      </c>
      <c r="AE27" s="532"/>
      <c r="AF27" s="539"/>
      <c r="AG27" s="530">
        <v>25</v>
      </c>
      <c r="AH27" s="545" t="s">
        <v>158</v>
      </c>
      <c r="AI27" s="532"/>
      <c r="AJ27" s="534" t="s">
        <v>142</v>
      </c>
      <c r="AK27" s="535">
        <v>25</v>
      </c>
      <c r="AL27" s="536" t="s">
        <v>159</v>
      </c>
      <c r="AM27" s="537"/>
      <c r="AN27" s="538" t="s">
        <v>142</v>
      </c>
      <c r="AO27" s="530">
        <v>25</v>
      </c>
      <c r="AP27" s="531" t="s">
        <v>153</v>
      </c>
      <c r="AQ27" s="532"/>
      <c r="AR27" s="534" t="s">
        <v>142</v>
      </c>
      <c r="AS27" s="530">
        <v>25</v>
      </c>
      <c r="AT27" s="531" t="s">
        <v>158</v>
      </c>
      <c r="AU27" s="532"/>
      <c r="AV27" s="539" t="s">
        <v>142</v>
      </c>
    </row>
    <row r="28" spans="1:49">
      <c r="A28" s="530">
        <v>26</v>
      </c>
      <c r="B28" s="531" t="s">
        <v>155</v>
      </c>
      <c r="C28" s="532"/>
      <c r="D28" s="542">
        <v>35</v>
      </c>
      <c r="E28" s="530">
        <v>26</v>
      </c>
      <c r="F28" s="531" t="s">
        <v>156</v>
      </c>
      <c r="G28" s="532"/>
      <c r="H28" s="534"/>
      <c r="I28" s="535">
        <v>26</v>
      </c>
      <c r="J28" s="536" t="s">
        <v>154</v>
      </c>
      <c r="K28" s="537"/>
      <c r="L28" s="538" t="s">
        <v>142</v>
      </c>
      <c r="M28" s="530">
        <v>26</v>
      </c>
      <c r="N28" s="531" t="s">
        <v>157</v>
      </c>
      <c r="O28" s="532"/>
      <c r="P28" s="539" t="s">
        <v>142</v>
      </c>
      <c r="Q28" s="535">
        <v>26</v>
      </c>
      <c r="R28" s="536" t="s">
        <v>156</v>
      </c>
      <c r="S28" s="537" t="s">
        <v>97</v>
      </c>
      <c r="T28" s="538"/>
      <c r="U28" s="535">
        <v>26</v>
      </c>
      <c r="V28" s="536" t="s">
        <v>159</v>
      </c>
      <c r="W28" s="537"/>
      <c r="X28" s="538" t="s">
        <v>142</v>
      </c>
      <c r="Y28" s="530">
        <v>26</v>
      </c>
      <c r="Z28" s="531" t="s">
        <v>153</v>
      </c>
      <c r="AA28" s="532"/>
      <c r="AB28" s="534"/>
      <c r="AC28" s="530">
        <v>26</v>
      </c>
      <c r="AD28" s="531" t="s">
        <v>153</v>
      </c>
      <c r="AE28" s="532"/>
      <c r="AF28" s="539" t="s">
        <v>142</v>
      </c>
      <c r="AG28" s="535">
        <v>26</v>
      </c>
      <c r="AH28" s="536" t="s">
        <v>154</v>
      </c>
      <c r="AI28" s="537"/>
      <c r="AJ28" s="540" t="s">
        <v>142</v>
      </c>
      <c r="AK28" s="530">
        <v>26</v>
      </c>
      <c r="AL28" s="545" t="s">
        <v>155</v>
      </c>
      <c r="AM28" s="532"/>
      <c r="AN28" s="539">
        <v>22</v>
      </c>
      <c r="AO28" s="530">
        <v>26</v>
      </c>
      <c r="AP28" s="531" t="s">
        <v>156</v>
      </c>
      <c r="AQ28" s="532"/>
      <c r="AR28" s="534"/>
      <c r="AS28" s="535">
        <v>26</v>
      </c>
      <c r="AT28" s="549" t="s">
        <v>154</v>
      </c>
      <c r="AU28" s="537"/>
      <c r="AV28" s="538" t="s">
        <v>142</v>
      </c>
    </row>
    <row r="29" spans="1:49">
      <c r="A29" s="530">
        <v>27</v>
      </c>
      <c r="B29" s="531" t="s">
        <v>157</v>
      </c>
      <c r="C29" s="532"/>
      <c r="D29" s="542" t="s">
        <v>142</v>
      </c>
      <c r="E29" s="530">
        <v>27</v>
      </c>
      <c r="F29" s="531" t="s">
        <v>158</v>
      </c>
      <c r="G29" s="532"/>
      <c r="H29" s="534" t="s">
        <v>142</v>
      </c>
      <c r="I29" s="535">
        <v>27</v>
      </c>
      <c r="J29" s="536" t="s">
        <v>159</v>
      </c>
      <c r="K29" s="537"/>
      <c r="L29" s="538" t="s">
        <v>142</v>
      </c>
      <c r="M29" s="530">
        <v>27</v>
      </c>
      <c r="N29" s="531" t="s">
        <v>153</v>
      </c>
      <c r="O29" s="532"/>
      <c r="P29" s="539"/>
      <c r="Q29" s="530">
        <v>27</v>
      </c>
      <c r="R29" s="531" t="s">
        <v>158</v>
      </c>
      <c r="S29" s="532"/>
      <c r="T29" s="539" t="s">
        <v>142</v>
      </c>
      <c r="U29" s="530">
        <v>27</v>
      </c>
      <c r="V29" s="531" t="s">
        <v>155</v>
      </c>
      <c r="W29" s="532"/>
      <c r="X29" s="539">
        <v>5</v>
      </c>
      <c r="Y29" s="530">
        <v>27</v>
      </c>
      <c r="Z29" s="531" t="s">
        <v>156</v>
      </c>
      <c r="AA29" s="532"/>
      <c r="AB29" s="534"/>
      <c r="AC29" s="530">
        <v>27</v>
      </c>
      <c r="AD29" s="531" t="s">
        <v>156</v>
      </c>
      <c r="AE29" s="532"/>
      <c r="AF29" s="539"/>
      <c r="AG29" s="535">
        <v>27</v>
      </c>
      <c r="AH29" s="536" t="s">
        <v>159</v>
      </c>
      <c r="AI29" s="537"/>
      <c r="AJ29" s="540" t="s">
        <v>142</v>
      </c>
      <c r="AK29" s="530">
        <v>27</v>
      </c>
      <c r="AL29" s="531" t="s">
        <v>157</v>
      </c>
      <c r="AM29" s="532"/>
      <c r="AN29" s="539"/>
      <c r="AO29" s="530">
        <v>27</v>
      </c>
      <c r="AP29" s="531" t="s">
        <v>158</v>
      </c>
      <c r="AQ29" s="532"/>
      <c r="AR29" s="534" t="s">
        <v>142</v>
      </c>
      <c r="AS29" s="535">
        <v>27</v>
      </c>
      <c r="AT29" s="536" t="s">
        <v>159</v>
      </c>
      <c r="AU29" s="537"/>
      <c r="AV29" s="538" t="s">
        <v>142</v>
      </c>
    </row>
    <row r="30" spans="1:49">
      <c r="A30" s="530">
        <v>28</v>
      </c>
      <c r="B30" s="531" t="s">
        <v>153</v>
      </c>
      <c r="C30" s="532"/>
      <c r="D30" s="542"/>
      <c r="E30" s="535">
        <v>28</v>
      </c>
      <c r="F30" s="536" t="s">
        <v>154</v>
      </c>
      <c r="G30" s="537"/>
      <c r="H30" s="540" t="s">
        <v>142</v>
      </c>
      <c r="I30" s="530">
        <v>28</v>
      </c>
      <c r="J30" s="531" t="s">
        <v>155</v>
      </c>
      <c r="K30" s="532"/>
      <c r="L30" s="539">
        <v>44</v>
      </c>
      <c r="M30" s="530">
        <v>28</v>
      </c>
      <c r="N30" s="531" t="s">
        <v>156</v>
      </c>
      <c r="O30" s="532"/>
      <c r="P30" s="539"/>
      <c r="Q30" s="535">
        <v>28</v>
      </c>
      <c r="R30" s="536" t="s">
        <v>154</v>
      </c>
      <c r="S30" s="537"/>
      <c r="T30" s="538" t="s">
        <v>142</v>
      </c>
      <c r="U30" s="530">
        <v>28</v>
      </c>
      <c r="V30" s="531" t="s">
        <v>157</v>
      </c>
      <c r="W30" s="532"/>
      <c r="X30" s="539" t="s">
        <v>142</v>
      </c>
      <c r="Y30" s="530">
        <v>28</v>
      </c>
      <c r="Z30" s="545" t="s">
        <v>158</v>
      </c>
      <c r="AA30" s="532"/>
      <c r="AB30" s="539" t="s">
        <v>142</v>
      </c>
      <c r="AC30" s="530">
        <v>28</v>
      </c>
      <c r="AD30" s="545" t="s">
        <v>158</v>
      </c>
      <c r="AE30" s="532"/>
      <c r="AF30" s="539" t="s">
        <v>142</v>
      </c>
      <c r="AG30" s="530">
        <v>28</v>
      </c>
      <c r="AH30" s="545" t="s">
        <v>155</v>
      </c>
      <c r="AI30" s="532"/>
      <c r="AJ30" s="534">
        <v>18</v>
      </c>
      <c r="AK30" s="530">
        <v>28</v>
      </c>
      <c r="AL30" s="531" t="s">
        <v>153</v>
      </c>
      <c r="AM30" s="532"/>
      <c r="AN30" s="539" t="s">
        <v>142</v>
      </c>
      <c r="AO30" s="535">
        <v>28</v>
      </c>
      <c r="AP30" s="549" t="s">
        <v>154</v>
      </c>
      <c r="AQ30" s="537"/>
      <c r="AR30" s="540" t="s">
        <v>142</v>
      </c>
      <c r="AS30" s="530">
        <v>28</v>
      </c>
      <c r="AT30" s="531" t="s">
        <v>155</v>
      </c>
      <c r="AU30" s="532"/>
      <c r="AV30" s="539">
        <v>31</v>
      </c>
    </row>
    <row r="31" spans="1:49">
      <c r="A31" s="530">
        <v>29</v>
      </c>
      <c r="B31" s="531" t="s">
        <v>156</v>
      </c>
      <c r="C31" s="532"/>
      <c r="D31" s="533"/>
      <c r="E31" s="535">
        <v>29</v>
      </c>
      <c r="F31" s="536" t="s">
        <v>159</v>
      </c>
      <c r="G31" s="537"/>
      <c r="H31" s="540" t="s">
        <v>142</v>
      </c>
      <c r="I31" s="530">
        <v>29</v>
      </c>
      <c r="J31" s="531" t="s">
        <v>157</v>
      </c>
      <c r="K31" s="532"/>
      <c r="L31" s="539" t="s">
        <v>142</v>
      </c>
      <c r="M31" s="530">
        <v>29</v>
      </c>
      <c r="N31" s="531" t="s">
        <v>158</v>
      </c>
      <c r="O31" s="532"/>
      <c r="P31" s="539" t="s">
        <v>142</v>
      </c>
      <c r="Q31" s="535">
        <v>29</v>
      </c>
      <c r="R31" s="536" t="s">
        <v>159</v>
      </c>
      <c r="S31" s="537"/>
      <c r="T31" s="538" t="s">
        <v>142</v>
      </c>
      <c r="U31" s="530">
        <v>29</v>
      </c>
      <c r="V31" s="531" t="s">
        <v>153</v>
      </c>
      <c r="W31" s="532"/>
      <c r="X31" s="539"/>
      <c r="Y31" s="197"/>
      <c r="Z31" s="198"/>
      <c r="AA31" s="199"/>
      <c r="AB31" s="208"/>
      <c r="AC31" s="535">
        <v>29</v>
      </c>
      <c r="AD31" s="536" t="s">
        <v>154</v>
      </c>
      <c r="AE31" s="537"/>
      <c r="AF31" s="538" t="s">
        <v>142</v>
      </c>
      <c r="AG31" s="530">
        <v>29</v>
      </c>
      <c r="AH31" s="531" t="s">
        <v>157</v>
      </c>
      <c r="AI31" s="532"/>
      <c r="AJ31" s="534"/>
      <c r="AK31" s="535">
        <v>29</v>
      </c>
      <c r="AL31" s="536" t="s">
        <v>156</v>
      </c>
      <c r="AM31" s="537" t="s">
        <v>553</v>
      </c>
      <c r="AN31" s="538"/>
      <c r="AO31" s="535">
        <v>29</v>
      </c>
      <c r="AP31" s="536" t="s">
        <v>159</v>
      </c>
      <c r="AQ31" s="537"/>
      <c r="AR31" s="540" t="s">
        <v>142</v>
      </c>
      <c r="AS31" s="530">
        <v>29</v>
      </c>
      <c r="AT31" s="531" t="s">
        <v>157</v>
      </c>
      <c r="AU31" s="532"/>
      <c r="AV31" s="539"/>
    </row>
    <row r="32" spans="1:49">
      <c r="A32" s="530">
        <v>30</v>
      </c>
      <c r="B32" s="531" t="s">
        <v>158</v>
      </c>
      <c r="C32" s="532"/>
      <c r="D32" s="533" t="s">
        <v>142</v>
      </c>
      <c r="E32" s="530">
        <v>30</v>
      </c>
      <c r="F32" s="531" t="s">
        <v>155</v>
      </c>
      <c r="G32" s="532"/>
      <c r="H32" s="534">
        <v>40</v>
      </c>
      <c r="I32" s="530">
        <v>30</v>
      </c>
      <c r="J32" s="531" t="s">
        <v>153</v>
      </c>
      <c r="K32" s="532"/>
      <c r="L32" s="539"/>
      <c r="M32" s="535">
        <v>30</v>
      </c>
      <c r="N32" s="536" t="s">
        <v>154</v>
      </c>
      <c r="O32" s="537"/>
      <c r="P32" s="538" t="s">
        <v>142</v>
      </c>
      <c r="Q32" s="530">
        <v>30</v>
      </c>
      <c r="R32" s="531" t="s">
        <v>155</v>
      </c>
      <c r="S32" s="532"/>
      <c r="T32" s="539">
        <v>1</v>
      </c>
      <c r="U32" s="530">
        <v>30</v>
      </c>
      <c r="V32" s="531" t="s">
        <v>156</v>
      </c>
      <c r="W32" s="532"/>
      <c r="X32" s="539"/>
      <c r="Y32" s="204"/>
      <c r="Z32" s="205"/>
      <c r="AA32" s="206"/>
      <c r="AB32" s="207"/>
      <c r="AC32" s="535">
        <v>30</v>
      </c>
      <c r="AD32" s="536" t="s">
        <v>159</v>
      </c>
      <c r="AE32" s="537"/>
      <c r="AF32" s="538" t="s">
        <v>142</v>
      </c>
      <c r="AG32" s="530">
        <v>30</v>
      </c>
      <c r="AH32" s="531" t="s">
        <v>153</v>
      </c>
      <c r="AI32" s="532"/>
      <c r="AJ32" s="534" t="s">
        <v>142</v>
      </c>
      <c r="AK32" s="530">
        <v>30</v>
      </c>
      <c r="AL32" s="531" t="s">
        <v>158</v>
      </c>
      <c r="AM32" s="532"/>
      <c r="AN32" s="539" t="s">
        <v>142</v>
      </c>
      <c r="AO32" s="530">
        <v>30</v>
      </c>
      <c r="AP32" s="531" t="s">
        <v>155</v>
      </c>
      <c r="AQ32" s="532"/>
      <c r="AR32" s="534">
        <v>27</v>
      </c>
      <c r="AS32" s="530">
        <v>30</v>
      </c>
      <c r="AT32" s="531" t="s">
        <v>153</v>
      </c>
      <c r="AU32" s="532"/>
      <c r="AV32" s="539" t="s">
        <v>142</v>
      </c>
    </row>
    <row r="33" spans="1:48">
      <c r="A33" s="535">
        <v>31</v>
      </c>
      <c r="B33" s="536" t="s">
        <v>154</v>
      </c>
      <c r="C33" s="537"/>
      <c r="D33" s="619" t="s">
        <v>142</v>
      </c>
      <c r="E33" s="204"/>
      <c r="F33" s="205"/>
      <c r="G33" s="206"/>
      <c r="H33" s="543"/>
      <c r="I33" s="544">
        <v>31</v>
      </c>
      <c r="J33" s="545" t="s">
        <v>156</v>
      </c>
      <c r="K33" s="546"/>
      <c r="L33" s="547"/>
      <c r="M33" s="204"/>
      <c r="N33" s="205"/>
      <c r="O33" s="206"/>
      <c r="P33" s="207"/>
      <c r="Q33" s="544">
        <v>31</v>
      </c>
      <c r="R33" s="545" t="s">
        <v>157</v>
      </c>
      <c r="S33" s="621" t="s">
        <v>129</v>
      </c>
      <c r="T33" s="547" t="s">
        <v>142</v>
      </c>
      <c r="U33" s="544">
        <v>31</v>
      </c>
      <c r="V33" s="545" t="s">
        <v>158</v>
      </c>
      <c r="W33" s="546"/>
      <c r="X33" s="547" t="s">
        <v>142</v>
      </c>
      <c r="AC33" s="544">
        <v>31</v>
      </c>
      <c r="AD33" s="545" t="s">
        <v>155</v>
      </c>
      <c r="AE33" s="546"/>
      <c r="AF33" s="547">
        <v>14</v>
      </c>
      <c r="AG33" s="204"/>
      <c r="AH33" s="205"/>
      <c r="AI33" s="206"/>
      <c r="AJ33" s="207"/>
      <c r="AK33" s="548">
        <v>31</v>
      </c>
      <c r="AL33" s="549" t="s">
        <v>154</v>
      </c>
      <c r="AM33" s="551"/>
      <c r="AN33" s="550" t="s">
        <v>142</v>
      </c>
      <c r="AO33" s="204"/>
      <c r="AP33" s="205"/>
      <c r="AQ33" s="206"/>
      <c r="AR33" s="207"/>
      <c r="AS33" s="544">
        <v>31</v>
      </c>
      <c r="AT33" s="545" t="s">
        <v>156</v>
      </c>
      <c r="AU33" s="546"/>
      <c r="AV33" s="547"/>
    </row>
  </sheetData>
  <mergeCells count="1">
    <mergeCell ref="AM20:AN20"/>
  </mergeCells>
  <pageMargins left="0.7" right="0.7" top="0.75" bottom="0.75" header="0.3" footer="0.3"/>
  <pageSetup paperSize="9" scale="48" orientation="landscape"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FD849-6585-0B4F-ACD4-90A6627B4891}">
  <sheetPr>
    <pageSetUpPr fitToPage="1"/>
  </sheetPr>
  <dimension ref="A1:X33"/>
  <sheetViews>
    <sheetView workbookViewId="0">
      <selection activeCell="B4" sqref="B4"/>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472" t="str">
        <f>'TOMT ÅR'!A1</f>
        <v>Årskalender for Min egen skole 2024-2025</v>
      </c>
      <c r="B1" s="1473"/>
      <c r="C1" s="1473"/>
      <c r="D1" s="1473"/>
      <c r="E1" s="1473"/>
      <c r="F1" s="1473"/>
      <c r="G1" s="1473"/>
      <c r="H1" s="1473"/>
      <c r="I1" s="1473"/>
      <c r="J1" s="1473"/>
      <c r="K1" s="1473"/>
      <c r="L1" s="1473"/>
      <c r="M1" s="1473"/>
      <c r="N1" s="1473"/>
      <c r="O1" s="1473"/>
      <c r="P1" s="1473"/>
      <c r="Q1" s="1473"/>
      <c r="R1" s="1473"/>
      <c r="S1" s="1473"/>
      <c r="T1" s="1473"/>
      <c r="U1" s="1473"/>
      <c r="V1" s="1473"/>
      <c r="W1" s="1473"/>
      <c r="X1" s="1474"/>
    </row>
    <row r="2" spans="1:24" ht="18">
      <c r="A2" s="306" t="s">
        <v>91</v>
      </c>
      <c r="B2" s="307"/>
      <c r="C2" s="308"/>
      <c r="D2" s="309"/>
      <c r="E2" s="306" t="s">
        <v>92</v>
      </c>
      <c r="F2" s="307"/>
      <c r="G2" s="308"/>
      <c r="H2" s="309"/>
      <c r="I2" s="310" t="s">
        <v>93</v>
      </c>
      <c r="J2" s="307"/>
      <c r="K2" s="308"/>
      <c r="L2" s="309"/>
      <c r="M2" s="306" t="s">
        <v>94</v>
      </c>
      <c r="N2" s="307"/>
      <c r="O2" s="308"/>
      <c r="P2" s="309"/>
      <c r="Q2" s="306" t="s">
        <v>95</v>
      </c>
      <c r="R2" s="307"/>
      <c r="S2" s="308"/>
      <c r="T2" s="309"/>
      <c r="U2" s="306" t="s">
        <v>96</v>
      </c>
      <c r="V2" s="307"/>
      <c r="W2" s="308"/>
      <c r="X2" s="309"/>
    </row>
    <row r="3" spans="1:24">
      <c r="A3" s="530">
        <v>1</v>
      </c>
      <c r="B3" s="531" t="s">
        <v>156</v>
      </c>
      <c r="C3" s="532"/>
      <c r="D3" s="533">
        <v>31.285714285714285</v>
      </c>
      <c r="E3" s="535">
        <v>1</v>
      </c>
      <c r="F3" s="536" t="s">
        <v>159</v>
      </c>
      <c r="G3" s="537"/>
      <c r="H3" s="540" t="s">
        <v>142</v>
      </c>
      <c r="I3" s="530">
        <v>1</v>
      </c>
      <c r="J3" s="531" t="s">
        <v>157</v>
      </c>
      <c r="K3" s="532"/>
      <c r="L3" s="539" t="s">
        <v>142</v>
      </c>
      <c r="M3" s="530"/>
      <c r="N3" s="531" t="s">
        <v>158</v>
      </c>
      <c r="O3" s="532"/>
      <c r="P3" s="539" t="s">
        <v>142</v>
      </c>
      <c r="Q3" s="535">
        <v>1</v>
      </c>
      <c r="R3" s="536" t="s">
        <v>159</v>
      </c>
      <c r="S3" s="537"/>
      <c r="T3" s="538" t="s">
        <v>142</v>
      </c>
      <c r="U3" s="535">
        <v>1</v>
      </c>
      <c r="V3" s="536" t="s">
        <v>153</v>
      </c>
      <c r="W3" s="537" t="s">
        <v>141</v>
      </c>
      <c r="X3" s="538"/>
    </row>
    <row r="4" spans="1:24">
      <c r="A4" s="530">
        <v>2</v>
      </c>
      <c r="B4" s="531" t="s">
        <v>158</v>
      </c>
      <c r="C4" s="532"/>
      <c r="D4" s="533" t="s">
        <v>142</v>
      </c>
      <c r="E4" s="530">
        <v>2</v>
      </c>
      <c r="F4" s="531" t="s">
        <v>155</v>
      </c>
      <c r="G4" s="532"/>
      <c r="H4" s="534">
        <v>36</v>
      </c>
      <c r="I4" s="530">
        <v>2</v>
      </c>
      <c r="J4" s="531" t="s">
        <v>153</v>
      </c>
      <c r="K4" s="532"/>
      <c r="L4" s="539"/>
      <c r="M4" s="535">
        <v>2</v>
      </c>
      <c r="N4" s="536" t="s">
        <v>154</v>
      </c>
      <c r="O4" s="537"/>
      <c r="P4" s="538" t="s">
        <v>142</v>
      </c>
      <c r="Q4" s="530">
        <v>2</v>
      </c>
      <c r="R4" s="531" t="s">
        <v>155</v>
      </c>
      <c r="S4" s="532"/>
      <c r="T4" s="539">
        <v>49</v>
      </c>
      <c r="U4" s="530">
        <v>2</v>
      </c>
      <c r="V4" s="531" t="s">
        <v>156</v>
      </c>
      <c r="W4" s="532"/>
      <c r="X4" s="539"/>
    </row>
    <row r="5" spans="1:24">
      <c r="A5" s="535">
        <v>3</v>
      </c>
      <c r="B5" s="536" t="s">
        <v>154</v>
      </c>
      <c r="C5" s="537"/>
      <c r="D5" s="619" t="s">
        <v>142</v>
      </c>
      <c r="E5" s="530">
        <v>3</v>
      </c>
      <c r="F5" s="531" t="s">
        <v>157</v>
      </c>
      <c r="G5" s="532"/>
      <c r="H5" s="534" t="s">
        <v>142</v>
      </c>
      <c r="I5" s="530">
        <v>3</v>
      </c>
      <c r="J5" s="531" t="s">
        <v>156</v>
      </c>
      <c r="K5" s="532"/>
      <c r="L5" s="539"/>
      <c r="M5" s="535">
        <v>3</v>
      </c>
      <c r="N5" s="536" t="s">
        <v>159</v>
      </c>
      <c r="O5" s="537"/>
      <c r="P5" s="538" t="s">
        <v>142</v>
      </c>
      <c r="Q5" s="530">
        <v>3</v>
      </c>
      <c r="R5" s="531" t="s">
        <v>157</v>
      </c>
      <c r="S5" s="532"/>
      <c r="T5" s="539" t="s">
        <v>142</v>
      </c>
      <c r="U5" s="530">
        <v>3</v>
      </c>
      <c r="V5" s="531" t="s">
        <v>158</v>
      </c>
      <c r="W5" s="532"/>
      <c r="X5" s="539" t="s">
        <v>142</v>
      </c>
    </row>
    <row r="6" spans="1:24">
      <c r="A6" s="535">
        <v>4</v>
      </c>
      <c r="B6" s="536" t="s">
        <v>159</v>
      </c>
      <c r="C6" s="537"/>
      <c r="D6" s="619" t="s">
        <v>142</v>
      </c>
      <c r="E6" s="530">
        <v>4</v>
      </c>
      <c r="F6" s="531" t="s">
        <v>153</v>
      </c>
      <c r="G6" s="532"/>
      <c r="H6" s="534"/>
      <c r="I6" s="530">
        <v>4</v>
      </c>
      <c r="J6" s="531" t="s">
        <v>158</v>
      </c>
      <c r="K6" s="532"/>
      <c r="L6" s="539" t="s">
        <v>142</v>
      </c>
      <c r="M6" s="530">
        <v>4</v>
      </c>
      <c r="N6" s="531" t="s">
        <v>155</v>
      </c>
      <c r="O6" s="532"/>
      <c r="P6" s="539">
        <v>45</v>
      </c>
      <c r="Q6" s="530">
        <v>4</v>
      </c>
      <c r="R6" s="531" t="s">
        <v>153</v>
      </c>
      <c r="S6" s="532"/>
      <c r="T6" s="539"/>
      <c r="U6" s="535">
        <v>4</v>
      </c>
      <c r="V6" s="536" t="s">
        <v>154</v>
      </c>
      <c r="W6" s="537"/>
      <c r="X6" s="538" t="s">
        <v>142</v>
      </c>
    </row>
    <row r="7" spans="1:24">
      <c r="A7" s="530">
        <v>5</v>
      </c>
      <c r="B7" s="531" t="s">
        <v>155</v>
      </c>
      <c r="C7" s="532"/>
      <c r="D7" s="542">
        <v>32</v>
      </c>
      <c r="E7" s="530">
        <v>5</v>
      </c>
      <c r="F7" s="531" t="s">
        <v>156</v>
      </c>
      <c r="G7" s="532"/>
      <c r="H7" s="534"/>
      <c r="I7" s="535">
        <v>5</v>
      </c>
      <c r="J7" s="536" t="s">
        <v>154</v>
      </c>
      <c r="K7" s="537"/>
      <c r="L7" s="538" t="s">
        <v>142</v>
      </c>
      <c r="M7" s="530">
        <v>5</v>
      </c>
      <c r="N7" s="531" t="s">
        <v>157</v>
      </c>
      <c r="O7" s="532"/>
      <c r="P7" s="539" t="s">
        <v>142</v>
      </c>
      <c r="Q7" s="530">
        <v>5</v>
      </c>
      <c r="R7" s="531" t="s">
        <v>156</v>
      </c>
      <c r="S7" s="532"/>
      <c r="T7" s="539"/>
      <c r="U7" s="535">
        <v>5</v>
      </c>
      <c r="V7" s="536" t="s">
        <v>159</v>
      </c>
      <c r="W7" s="537"/>
      <c r="X7" s="538" t="s">
        <v>142</v>
      </c>
    </row>
    <row r="8" spans="1:24">
      <c r="A8" s="530">
        <v>6</v>
      </c>
      <c r="B8" s="531" t="s">
        <v>157</v>
      </c>
      <c r="C8" s="532"/>
      <c r="D8" s="542" t="s">
        <v>142</v>
      </c>
      <c r="E8" s="530">
        <v>6</v>
      </c>
      <c r="F8" s="531" t="s">
        <v>158</v>
      </c>
      <c r="G8" s="532"/>
      <c r="H8" s="534" t="s">
        <v>142</v>
      </c>
      <c r="I8" s="535">
        <v>6</v>
      </c>
      <c r="J8" s="536" t="s">
        <v>159</v>
      </c>
      <c r="K8" s="537"/>
      <c r="L8" s="538" t="s">
        <v>142</v>
      </c>
      <c r="M8" s="530">
        <v>6</v>
      </c>
      <c r="N8" s="531" t="s">
        <v>153</v>
      </c>
      <c r="O8" s="532"/>
      <c r="P8" s="539"/>
      <c r="Q8" s="530">
        <v>6</v>
      </c>
      <c r="R8" s="531" t="s">
        <v>158</v>
      </c>
      <c r="S8" s="532"/>
      <c r="T8" s="539" t="s">
        <v>142</v>
      </c>
      <c r="U8" s="530">
        <v>6</v>
      </c>
      <c r="V8" s="531" t="s">
        <v>155</v>
      </c>
      <c r="W8" s="532"/>
      <c r="X8" s="539">
        <v>2</v>
      </c>
    </row>
    <row r="9" spans="1:24">
      <c r="A9" s="530">
        <v>7</v>
      </c>
      <c r="B9" s="531" t="s">
        <v>153</v>
      </c>
      <c r="C9" s="532"/>
      <c r="D9" s="542"/>
      <c r="E9" s="535">
        <v>7</v>
      </c>
      <c r="F9" s="536" t="s">
        <v>154</v>
      </c>
      <c r="G9" s="537"/>
      <c r="H9" s="540" t="s">
        <v>142</v>
      </c>
      <c r="I9" s="530">
        <v>7</v>
      </c>
      <c r="J9" s="531" t="s">
        <v>155</v>
      </c>
      <c r="K9" s="532"/>
      <c r="L9" s="539">
        <v>41</v>
      </c>
      <c r="M9" s="530">
        <v>7</v>
      </c>
      <c r="N9" s="531" t="s">
        <v>156</v>
      </c>
      <c r="O9" s="532"/>
      <c r="P9" s="539"/>
      <c r="Q9" s="535">
        <v>7</v>
      </c>
      <c r="R9" s="536" t="s">
        <v>154</v>
      </c>
      <c r="S9" s="537"/>
      <c r="T9" s="538" t="s">
        <v>142</v>
      </c>
      <c r="U9" s="530">
        <v>7</v>
      </c>
      <c r="V9" s="531" t="s">
        <v>157</v>
      </c>
      <c r="W9" s="532"/>
      <c r="X9" s="539" t="s">
        <v>142</v>
      </c>
    </row>
    <row r="10" spans="1:24">
      <c r="A10" s="530">
        <v>8</v>
      </c>
      <c r="B10" s="531" t="s">
        <v>156</v>
      </c>
      <c r="C10" s="532"/>
      <c r="D10" s="533"/>
      <c r="E10" s="535">
        <v>8</v>
      </c>
      <c r="F10" s="536" t="s">
        <v>159</v>
      </c>
      <c r="G10" s="537"/>
      <c r="H10" s="540" t="s">
        <v>142</v>
      </c>
      <c r="I10" s="530">
        <v>8</v>
      </c>
      <c r="J10" s="531" t="s">
        <v>157</v>
      </c>
      <c r="K10" s="532"/>
      <c r="L10" s="539" t="s">
        <v>142</v>
      </c>
      <c r="M10" s="530">
        <v>8</v>
      </c>
      <c r="N10" s="531" t="s">
        <v>158</v>
      </c>
      <c r="O10" s="532"/>
      <c r="P10" s="539" t="s">
        <v>142</v>
      </c>
      <c r="Q10" s="535">
        <v>8</v>
      </c>
      <c r="R10" s="536" t="s">
        <v>159</v>
      </c>
      <c r="S10" s="537"/>
      <c r="T10" s="538" t="s">
        <v>142</v>
      </c>
      <c r="U10" s="530">
        <v>8</v>
      </c>
      <c r="V10" s="531" t="s">
        <v>153</v>
      </c>
      <c r="W10" s="532"/>
      <c r="X10" s="539"/>
    </row>
    <row r="11" spans="1:24">
      <c r="A11" s="530">
        <v>9</v>
      </c>
      <c r="B11" s="531" t="s">
        <v>158</v>
      </c>
      <c r="C11" s="532"/>
      <c r="D11" s="533" t="s">
        <v>142</v>
      </c>
      <c r="E11" s="530">
        <v>9</v>
      </c>
      <c r="F11" s="531" t="s">
        <v>155</v>
      </c>
      <c r="G11" s="532"/>
      <c r="H11" s="534">
        <v>37</v>
      </c>
      <c r="I11" s="530">
        <v>9</v>
      </c>
      <c r="J11" s="531" t="s">
        <v>153</v>
      </c>
      <c r="K11" s="532"/>
      <c r="L11" s="539"/>
      <c r="M11" s="535">
        <v>9</v>
      </c>
      <c r="N11" s="536" t="s">
        <v>154</v>
      </c>
      <c r="O11" s="537"/>
      <c r="P11" s="538" t="s">
        <v>142</v>
      </c>
      <c r="Q11" s="530">
        <v>9</v>
      </c>
      <c r="R11" s="531" t="s">
        <v>155</v>
      </c>
      <c r="S11" s="532"/>
      <c r="T11" s="539">
        <v>50</v>
      </c>
      <c r="U11" s="530">
        <v>9</v>
      </c>
      <c r="V11" s="531" t="s">
        <v>156</v>
      </c>
      <c r="W11" s="532"/>
      <c r="X11" s="539"/>
    </row>
    <row r="12" spans="1:24">
      <c r="A12" s="535">
        <v>10</v>
      </c>
      <c r="B12" s="536" t="s">
        <v>154</v>
      </c>
      <c r="C12" s="537"/>
      <c r="D12" s="619" t="s">
        <v>142</v>
      </c>
      <c r="E12" s="530">
        <v>10</v>
      </c>
      <c r="F12" s="531" t="s">
        <v>157</v>
      </c>
      <c r="G12" s="532"/>
      <c r="H12" s="534" t="s">
        <v>142</v>
      </c>
      <c r="I12" s="530">
        <v>10</v>
      </c>
      <c r="J12" s="531" t="s">
        <v>156</v>
      </c>
      <c r="K12" s="532"/>
      <c r="L12" s="539"/>
      <c r="M12" s="535">
        <v>10</v>
      </c>
      <c r="N12" s="536" t="s">
        <v>159</v>
      </c>
      <c r="O12" s="537"/>
      <c r="P12" s="538" t="s">
        <v>142</v>
      </c>
      <c r="Q12" s="530">
        <v>10</v>
      </c>
      <c r="R12" s="531" t="s">
        <v>157</v>
      </c>
      <c r="S12" s="532"/>
      <c r="T12" s="539" t="s">
        <v>142</v>
      </c>
      <c r="U12" s="530">
        <v>10</v>
      </c>
      <c r="V12" s="531" t="s">
        <v>158</v>
      </c>
      <c r="W12" s="532"/>
      <c r="X12" s="539" t="s">
        <v>142</v>
      </c>
    </row>
    <row r="13" spans="1:24">
      <c r="A13" s="535">
        <v>11</v>
      </c>
      <c r="B13" s="536" t="s">
        <v>159</v>
      </c>
      <c r="C13" s="537"/>
      <c r="D13" s="619" t="s">
        <v>142</v>
      </c>
      <c r="E13" s="530">
        <v>11</v>
      </c>
      <c r="F13" s="531" t="s">
        <v>153</v>
      </c>
      <c r="G13" s="532"/>
      <c r="H13" s="534"/>
      <c r="I13" s="530">
        <v>11</v>
      </c>
      <c r="J13" s="531" t="s">
        <v>158</v>
      </c>
      <c r="K13" s="532"/>
      <c r="L13" s="539" t="s">
        <v>142</v>
      </c>
      <c r="M13" s="530">
        <v>11</v>
      </c>
      <c r="N13" s="531" t="s">
        <v>155</v>
      </c>
      <c r="O13" s="532"/>
      <c r="P13" s="539">
        <v>46</v>
      </c>
      <c r="Q13" s="530">
        <v>11</v>
      </c>
      <c r="R13" s="531" t="s">
        <v>153</v>
      </c>
      <c r="S13" s="532"/>
      <c r="T13" s="539"/>
      <c r="U13" s="535">
        <v>11</v>
      </c>
      <c r="V13" s="536" t="s">
        <v>154</v>
      </c>
      <c r="W13" s="537"/>
      <c r="X13" s="538" t="s">
        <v>142</v>
      </c>
    </row>
    <row r="14" spans="1:24">
      <c r="A14" s="530">
        <v>12</v>
      </c>
      <c r="B14" s="531" t="s">
        <v>155</v>
      </c>
      <c r="C14" s="532"/>
      <c r="D14" s="542">
        <v>33</v>
      </c>
      <c r="E14" s="530">
        <v>12</v>
      </c>
      <c r="F14" s="531" t="s">
        <v>156</v>
      </c>
      <c r="G14" s="532"/>
      <c r="H14" s="534"/>
      <c r="I14" s="535">
        <v>12</v>
      </c>
      <c r="J14" s="536" t="s">
        <v>154</v>
      </c>
      <c r="K14" s="537"/>
      <c r="L14" s="538" t="s">
        <v>142</v>
      </c>
      <c r="M14" s="530">
        <v>12</v>
      </c>
      <c r="N14" s="531" t="s">
        <v>157</v>
      </c>
      <c r="O14" s="532"/>
      <c r="P14" s="539" t="s">
        <v>142</v>
      </c>
      <c r="Q14" s="530">
        <v>12</v>
      </c>
      <c r="R14" s="531" t="s">
        <v>156</v>
      </c>
      <c r="S14" s="532"/>
      <c r="T14" s="539"/>
      <c r="U14" s="535">
        <v>12</v>
      </c>
      <c r="V14" s="536" t="s">
        <v>159</v>
      </c>
      <c r="W14" s="537"/>
      <c r="X14" s="538" t="s">
        <v>142</v>
      </c>
    </row>
    <row r="15" spans="1:24">
      <c r="A15" s="530">
        <v>13</v>
      </c>
      <c r="B15" s="531" t="s">
        <v>157</v>
      </c>
      <c r="C15" s="532"/>
      <c r="D15" s="542" t="s">
        <v>142</v>
      </c>
      <c r="E15" s="530">
        <v>13</v>
      </c>
      <c r="F15" s="531" t="s">
        <v>158</v>
      </c>
      <c r="G15" s="532"/>
      <c r="H15" s="534" t="s">
        <v>142</v>
      </c>
      <c r="I15" s="535">
        <v>13</v>
      </c>
      <c r="J15" s="536" t="s">
        <v>159</v>
      </c>
      <c r="K15" s="537"/>
      <c r="L15" s="538" t="s">
        <v>142</v>
      </c>
      <c r="M15" s="530">
        <v>13</v>
      </c>
      <c r="N15" s="531" t="s">
        <v>153</v>
      </c>
      <c r="O15" s="532"/>
      <c r="P15" s="539"/>
      <c r="Q15" s="530">
        <v>13</v>
      </c>
      <c r="R15" s="531" t="s">
        <v>158</v>
      </c>
      <c r="S15" s="532"/>
      <c r="T15" s="539" t="s">
        <v>142</v>
      </c>
      <c r="U15" s="530">
        <v>13</v>
      </c>
      <c r="V15" s="531" t="s">
        <v>155</v>
      </c>
      <c r="W15" s="532"/>
      <c r="X15" s="539">
        <v>3</v>
      </c>
    </row>
    <row r="16" spans="1:24">
      <c r="A16" s="530">
        <v>14</v>
      </c>
      <c r="B16" s="531" t="s">
        <v>153</v>
      </c>
      <c r="C16" s="532"/>
      <c r="D16" s="542"/>
      <c r="E16" s="535">
        <v>14</v>
      </c>
      <c r="F16" s="536" t="s">
        <v>154</v>
      </c>
      <c r="G16" s="537"/>
      <c r="H16" s="540" t="s">
        <v>142</v>
      </c>
      <c r="I16" s="530">
        <v>14</v>
      </c>
      <c r="J16" s="531" t="s">
        <v>155</v>
      </c>
      <c r="K16" s="532"/>
      <c r="L16" s="539">
        <v>42</v>
      </c>
      <c r="M16" s="530">
        <v>14</v>
      </c>
      <c r="N16" s="531" t="s">
        <v>156</v>
      </c>
      <c r="O16" s="532"/>
      <c r="P16" s="539"/>
      <c r="Q16" s="535">
        <v>14</v>
      </c>
      <c r="R16" s="536" t="s">
        <v>154</v>
      </c>
      <c r="S16" s="537"/>
      <c r="T16" s="538" t="s">
        <v>142</v>
      </c>
      <c r="U16" s="530">
        <v>14</v>
      </c>
      <c r="V16" s="531" t="s">
        <v>157</v>
      </c>
      <c r="W16" s="532"/>
      <c r="X16" s="539" t="s">
        <v>142</v>
      </c>
    </row>
    <row r="17" spans="1:24">
      <c r="A17" s="530">
        <v>15</v>
      </c>
      <c r="B17" s="531" t="s">
        <v>156</v>
      </c>
      <c r="C17" s="532"/>
      <c r="D17" s="533"/>
      <c r="E17" s="535">
        <v>15</v>
      </c>
      <c r="F17" s="536" t="s">
        <v>159</v>
      </c>
      <c r="G17" s="537"/>
      <c r="H17" s="540" t="s">
        <v>142</v>
      </c>
      <c r="I17" s="530">
        <v>15</v>
      </c>
      <c r="J17" s="531" t="s">
        <v>157</v>
      </c>
      <c r="K17" s="532"/>
      <c r="L17" s="539" t="s">
        <v>142</v>
      </c>
      <c r="M17" s="530">
        <v>15</v>
      </c>
      <c r="N17" s="531" t="s">
        <v>158</v>
      </c>
      <c r="O17" s="532"/>
      <c r="P17" s="539" t="s">
        <v>142</v>
      </c>
      <c r="Q17" s="535">
        <v>15</v>
      </c>
      <c r="R17" s="536" t="s">
        <v>159</v>
      </c>
      <c r="S17" s="537"/>
      <c r="T17" s="538" t="s">
        <v>142</v>
      </c>
      <c r="U17" s="530">
        <v>15</v>
      </c>
      <c r="V17" s="531" t="s">
        <v>153</v>
      </c>
      <c r="W17" s="532"/>
      <c r="X17" s="539"/>
    </row>
    <row r="18" spans="1:24">
      <c r="A18" s="530">
        <v>16</v>
      </c>
      <c r="B18" s="531" t="s">
        <v>158</v>
      </c>
      <c r="C18" s="532"/>
      <c r="D18" s="533" t="s">
        <v>142</v>
      </c>
      <c r="E18" s="530">
        <v>16</v>
      </c>
      <c r="F18" s="531" t="s">
        <v>155</v>
      </c>
      <c r="G18" s="532"/>
      <c r="H18" s="534">
        <v>38</v>
      </c>
      <c r="I18" s="530">
        <v>16</v>
      </c>
      <c r="J18" s="531" t="s">
        <v>153</v>
      </c>
      <c r="K18" s="532"/>
      <c r="L18" s="539"/>
      <c r="M18" s="535">
        <v>16</v>
      </c>
      <c r="N18" s="536" t="s">
        <v>154</v>
      </c>
      <c r="O18" s="537"/>
      <c r="P18" s="538" t="s">
        <v>142</v>
      </c>
      <c r="Q18" s="530">
        <v>16</v>
      </c>
      <c r="R18" s="531" t="s">
        <v>155</v>
      </c>
      <c r="S18" s="532"/>
      <c r="T18" s="539">
        <v>51</v>
      </c>
      <c r="U18" s="530">
        <v>16</v>
      </c>
      <c r="V18" s="531" t="s">
        <v>156</v>
      </c>
      <c r="W18" s="532"/>
      <c r="X18" s="539"/>
    </row>
    <row r="19" spans="1:24">
      <c r="A19" s="535">
        <v>17</v>
      </c>
      <c r="B19" s="536" t="s">
        <v>154</v>
      </c>
      <c r="C19" s="537"/>
      <c r="D19" s="619" t="s">
        <v>142</v>
      </c>
      <c r="E19" s="530">
        <v>17</v>
      </c>
      <c r="F19" s="531" t="s">
        <v>157</v>
      </c>
      <c r="G19" s="532"/>
      <c r="H19" s="534" t="s">
        <v>142</v>
      </c>
      <c r="I19" s="530">
        <v>17</v>
      </c>
      <c r="J19" s="531" t="s">
        <v>156</v>
      </c>
      <c r="K19" s="532"/>
      <c r="L19" s="539"/>
      <c r="M19" s="535">
        <v>17</v>
      </c>
      <c r="N19" s="536" t="s">
        <v>159</v>
      </c>
      <c r="O19" s="537"/>
      <c r="P19" s="538" t="s">
        <v>142</v>
      </c>
      <c r="Q19" s="530">
        <v>17</v>
      </c>
      <c r="R19" s="531" t="s">
        <v>157</v>
      </c>
      <c r="S19" s="532"/>
      <c r="T19" s="539" t="s">
        <v>142</v>
      </c>
      <c r="U19" s="530">
        <v>17</v>
      </c>
      <c r="V19" s="531" t="s">
        <v>158</v>
      </c>
      <c r="W19" s="532"/>
      <c r="X19" s="539" t="s">
        <v>142</v>
      </c>
    </row>
    <row r="20" spans="1:24">
      <c r="A20" s="535">
        <v>18</v>
      </c>
      <c r="B20" s="536" t="s">
        <v>159</v>
      </c>
      <c r="C20" s="537"/>
      <c r="D20" s="619" t="s">
        <v>142</v>
      </c>
      <c r="E20" s="530">
        <v>18</v>
      </c>
      <c r="F20" s="531" t="s">
        <v>153</v>
      </c>
      <c r="G20" s="532"/>
      <c r="H20" s="534"/>
      <c r="I20" s="530">
        <v>18</v>
      </c>
      <c r="J20" s="531" t="s">
        <v>158</v>
      </c>
      <c r="K20" s="532"/>
      <c r="L20" s="539" t="s">
        <v>142</v>
      </c>
      <c r="M20" s="530">
        <v>18</v>
      </c>
      <c r="N20" s="531" t="s">
        <v>155</v>
      </c>
      <c r="O20" s="532"/>
      <c r="P20" s="539">
        <v>47</v>
      </c>
      <c r="Q20" s="530">
        <v>18</v>
      </c>
      <c r="R20" s="531" t="s">
        <v>153</v>
      </c>
      <c r="S20" s="532"/>
      <c r="T20" s="539"/>
      <c r="U20" s="535">
        <v>18</v>
      </c>
      <c r="V20" s="536" t="s">
        <v>154</v>
      </c>
      <c r="W20" s="537"/>
      <c r="X20" s="538" t="s">
        <v>142</v>
      </c>
    </row>
    <row r="21" spans="1:24">
      <c r="A21" s="530">
        <v>19</v>
      </c>
      <c r="B21" s="531" t="s">
        <v>155</v>
      </c>
      <c r="C21" s="532"/>
      <c r="D21" s="542">
        <v>34</v>
      </c>
      <c r="E21" s="530">
        <v>19</v>
      </c>
      <c r="F21" s="531" t="s">
        <v>156</v>
      </c>
      <c r="G21" s="532"/>
      <c r="H21" s="534"/>
      <c r="I21" s="535">
        <v>19</v>
      </c>
      <c r="J21" s="536" t="s">
        <v>154</v>
      </c>
      <c r="K21" s="537"/>
      <c r="L21" s="538" t="s">
        <v>142</v>
      </c>
      <c r="M21" s="530">
        <v>19</v>
      </c>
      <c r="N21" s="531" t="s">
        <v>157</v>
      </c>
      <c r="O21" s="532"/>
      <c r="P21" s="539" t="s">
        <v>142</v>
      </c>
      <c r="Q21" s="530">
        <v>19</v>
      </c>
      <c r="R21" s="531" t="s">
        <v>156</v>
      </c>
      <c r="S21" s="532"/>
      <c r="T21" s="539"/>
      <c r="U21" s="535">
        <v>19</v>
      </c>
      <c r="V21" s="536" t="s">
        <v>159</v>
      </c>
      <c r="W21" s="537"/>
      <c r="X21" s="538" t="s">
        <v>142</v>
      </c>
    </row>
    <row r="22" spans="1:24">
      <c r="A22" s="530">
        <v>20</v>
      </c>
      <c r="B22" s="531" t="s">
        <v>157</v>
      </c>
      <c r="C22" s="532"/>
      <c r="D22" s="542" t="s">
        <v>142</v>
      </c>
      <c r="E22" s="530">
        <v>20</v>
      </c>
      <c r="F22" s="531" t="s">
        <v>158</v>
      </c>
      <c r="G22" s="532"/>
      <c r="H22" s="534" t="s">
        <v>142</v>
      </c>
      <c r="I22" s="535">
        <v>20</v>
      </c>
      <c r="J22" s="536" t="s">
        <v>159</v>
      </c>
      <c r="K22" s="537"/>
      <c r="L22" s="538" t="s">
        <v>142</v>
      </c>
      <c r="M22" s="530">
        <v>20</v>
      </c>
      <c r="N22" s="531" t="s">
        <v>153</v>
      </c>
      <c r="O22" s="532"/>
      <c r="P22" s="539"/>
      <c r="Q22" s="530">
        <v>20</v>
      </c>
      <c r="R22" s="531" t="s">
        <v>158</v>
      </c>
      <c r="S22" s="532"/>
      <c r="T22" s="539" t="s">
        <v>142</v>
      </c>
      <c r="U22" s="530">
        <v>20</v>
      </c>
      <c r="V22" s="531" t="s">
        <v>155</v>
      </c>
      <c r="W22" s="532"/>
      <c r="X22" s="539">
        <v>4</v>
      </c>
    </row>
    <row r="23" spans="1:24">
      <c r="A23" s="530">
        <v>21</v>
      </c>
      <c r="B23" s="531" t="s">
        <v>153</v>
      </c>
      <c r="C23" s="532"/>
      <c r="D23" s="542"/>
      <c r="E23" s="535">
        <v>21</v>
      </c>
      <c r="F23" s="536" t="s">
        <v>154</v>
      </c>
      <c r="G23" s="537"/>
      <c r="H23" s="540" t="s">
        <v>142</v>
      </c>
      <c r="I23" s="530">
        <v>21</v>
      </c>
      <c r="J23" s="531" t="s">
        <v>155</v>
      </c>
      <c r="K23" s="532"/>
      <c r="L23" s="539">
        <v>43</v>
      </c>
      <c r="M23" s="530">
        <v>21</v>
      </c>
      <c r="N23" s="531" t="s">
        <v>156</v>
      </c>
      <c r="O23" s="532"/>
      <c r="P23" s="539"/>
      <c r="Q23" s="535">
        <v>21</v>
      </c>
      <c r="R23" s="536" t="s">
        <v>154</v>
      </c>
      <c r="S23" s="537"/>
      <c r="T23" s="538" t="s">
        <v>142</v>
      </c>
      <c r="U23" s="530">
        <v>21</v>
      </c>
      <c r="V23" s="531" t="s">
        <v>157</v>
      </c>
      <c r="W23" s="532"/>
      <c r="X23" s="539" t="s">
        <v>142</v>
      </c>
    </row>
    <row r="24" spans="1:24">
      <c r="A24" s="530">
        <v>22</v>
      </c>
      <c r="B24" s="531" t="s">
        <v>156</v>
      </c>
      <c r="C24" s="532"/>
      <c r="D24" s="542"/>
      <c r="E24" s="535">
        <v>22</v>
      </c>
      <c r="F24" s="536" t="s">
        <v>159</v>
      </c>
      <c r="G24" s="537"/>
      <c r="H24" s="540" t="s">
        <v>142</v>
      </c>
      <c r="I24" s="530">
        <v>22</v>
      </c>
      <c r="J24" s="531" t="s">
        <v>157</v>
      </c>
      <c r="K24" s="532"/>
      <c r="L24" s="539" t="s">
        <v>142</v>
      </c>
      <c r="M24" s="530">
        <v>22</v>
      </c>
      <c r="N24" s="531" t="s">
        <v>158</v>
      </c>
      <c r="O24" s="532"/>
      <c r="P24" s="539" t="s">
        <v>142</v>
      </c>
      <c r="Q24" s="535">
        <v>22</v>
      </c>
      <c r="R24" s="536" t="s">
        <v>159</v>
      </c>
      <c r="S24" s="537"/>
      <c r="T24" s="538" t="s">
        <v>142</v>
      </c>
      <c r="U24" s="530">
        <v>22</v>
      </c>
      <c r="V24" s="531" t="s">
        <v>153</v>
      </c>
      <c r="W24" s="532"/>
      <c r="X24" s="539"/>
    </row>
    <row r="25" spans="1:24">
      <c r="A25" s="530">
        <v>23</v>
      </c>
      <c r="B25" s="531" t="s">
        <v>158</v>
      </c>
      <c r="C25" s="532"/>
      <c r="D25" s="542" t="s">
        <v>142</v>
      </c>
      <c r="E25" s="530">
        <v>23</v>
      </c>
      <c r="F25" s="531" t="s">
        <v>155</v>
      </c>
      <c r="G25" s="532"/>
      <c r="H25" s="534">
        <v>39</v>
      </c>
      <c r="I25" s="530">
        <v>23</v>
      </c>
      <c r="J25" s="531" t="s">
        <v>153</v>
      </c>
      <c r="K25" s="532"/>
      <c r="L25" s="539"/>
      <c r="M25" s="535">
        <v>23</v>
      </c>
      <c r="N25" s="536" t="s">
        <v>154</v>
      </c>
      <c r="O25" s="537"/>
      <c r="P25" s="538" t="s">
        <v>142</v>
      </c>
      <c r="Q25" s="530">
        <v>23</v>
      </c>
      <c r="R25" s="531" t="s">
        <v>155</v>
      </c>
      <c r="S25" s="532"/>
      <c r="T25" s="539">
        <v>52</v>
      </c>
      <c r="U25" s="530">
        <v>23</v>
      </c>
      <c r="V25" s="531" t="s">
        <v>156</v>
      </c>
      <c r="W25" s="532"/>
      <c r="X25" s="539"/>
    </row>
    <row r="26" spans="1:24">
      <c r="A26" s="535">
        <v>24</v>
      </c>
      <c r="B26" s="536" t="s">
        <v>154</v>
      </c>
      <c r="C26" s="537"/>
      <c r="D26" s="541" t="s">
        <v>142</v>
      </c>
      <c r="E26" s="530">
        <v>24</v>
      </c>
      <c r="F26" s="531" t="s">
        <v>157</v>
      </c>
      <c r="G26" s="532"/>
      <c r="H26" s="534" t="s">
        <v>142</v>
      </c>
      <c r="I26" s="530">
        <v>24</v>
      </c>
      <c r="J26" s="531" t="s">
        <v>156</v>
      </c>
      <c r="K26" s="532"/>
      <c r="L26" s="539"/>
      <c r="M26" s="535">
        <v>24</v>
      </c>
      <c r="N26" s="536" t="s">
        <v>159</v>
      </c>
      <c r="O26" s="537"/>
      <c r="P26" s="538" t="s">
        <v>142</v>
      </c>
      <c r="Q26" s="530">
        <v>24</v>
      </c>
      <c r="R26" s="531" t="s">
        <v>157</v>
      </c>
      <c r="S26" s="532" t="s">
        <v>130</v>
      </c>
      <c r="T26" s="539" t="s">
        <v>142</v>
      </c>
      <c r="U26" s="530">
        <v>24</v>
      </c>
      <c r="V26" s="531" t="s">
        <v>158</v>
      </c>
      <c r="W26" s="532"/>
      <c r="X26" s="539" t="s">
        <v>142</v>
      </c>
    </row>
    <row r="27" spans="1:24">
      <c r="A27" s="535">
        <v>25</v>
      </c>
      <c r="B27" s="536" t="s">
        <v>159</v>
      </c>
      <c r="C27" s="537"/>
      <c r="D27" s="541" t="s">
        <v>142</v>
      </c>
      <c r="E27" s="530">
        <v>25</v>
      </c>
      <c r="F27" s="531" t="s">
        <v>153</v>
      </c>
      <c r="G27" s="532"/>
      <c r="H27" s="534"/>
      <c r="I27" s="530">
        <v>25</v>
      </c>
      <c r="J27" s="531" t="s">
        <v>158</v>
      </c>
      <c r="K27" s="532"/>
      <c r="L27" s="539" t="s">
        <v>142</v>
      </c>
      <c r="M27" s="530">
        <v>25</v>
      </c>
      <c r="N27" s="531" t="s">
        <v>155</v>
      </c>
      <c r="O27" s="532"/>
      <c r="P27" s="539">
        <v>48</v>
      </c>
      <c r="Q27" s="535">
        <v>25</v>
      </c>
      <c r="R27" s="536" t="s">
        <v>153</v>
      </c>
      <c r="S27" s="537" t="s">
        <v>318</v>
      </c>
      <c r="T27" s="538"/>
      <c r="U27" s="535">
        <v>25</v>
      </c>
      <c r="V27" s="536" t="s">
        <v>154</v>
      </c>
      <c r="W27" s="537"/>
      <c r="X27" s="538" t="s">
        <v>142</v>
      </c>
    </row>
    <row r="28" spans="1:24">
      <c r="A28" s="530">
        <v>26</v>
      </c>
      <c r="B28" s="531" t="s">
        <v>155</v>
      </c>
      <c r="C28" s="532"/>
      <c r="D28" s="542">
        <v>35</v>
      </c>
      <c r="E28" s="530">
        <v>26</v>
      </c>
      <c r="F28" s="531" t="s">
        <v>156</v>
      </c>
      <c r="G28" s="532"/>
      <c r="H28" s="534"/>
      <c r="I28" s="535">
        <v>26</v>
      </c>
      <c r="J28" s="536" t="s">
        <v>154</v>
      </c>
      <c r="K28" s="537"/>
      <c r="L28" s="538" t="s">
        <v>142</v>
      </c>
      <c r="M28" s="530">
        <v>26</v>
      </c>
      <c r="N28" s="531" t="s">
        <v>157</v>
      </c>
      <c r="O28" s="532"/>
      <c r="P28" s="539" t="s">
        <v>142</v>
      </c>
      <c r="Q28" s="535">
        <v>26</v>
      </c>
      <c r="R28" s="536" t="s">
        <v>156</v>
      </c>
      <c r="S28" s="537" t="s">
        <v>97</v>
      </c>
      <c r="T28" s="538"/>
      <c r="U28" s="535">
        <v>26</v>
      </c>
      <c r="V28" s="536" t="s">
        <v>159</v>
      </c>
      <c r="W28" s="537"/>
      <c r="X28" s="538" t="s">
        <v>142</v>
      </c>
    </row>
    <row r="29" spans="1:24">
      <c r="A29" s="530">
        <v>27</v>
      </c>
      <c r="B29" s="531" t="s">
        <v>157</v>
      </c>
      <c r="C29" s="532"/>
      <c r="D29" s="542" t="s">
        <v>142</v>
      </c>
      <c r="E29" s="530">
        <v>27</v>
      </c>
      <c r="F29" s="531" t="s">
        <v>158</v>
      </c>
      <c r="G29" s="532"/>
      <c r="H29" s="534" t="s">
        <v>142</v>
      </c>
      <c r="I29" s="535">
        <v>27</v>
      </c>
      <c r="J29" s="536" t="s">
        <v>159</v>
      </c>
      <c r="K29" s="537"/>
      <c r="L29" s="538" t="s">
        <v>142</v>
      </c>
      <c r="M29" s="530">
        <v>27</v>
      </c>
      <c r="N29" s="531" t="s">
        <v>153</v>
      </c>
      <c r="O29" s="532"/>
      <c r="P29" s="539"/>
      <c r="Q29" s="530">
        <v>27</v>
      </c>
      <c r="R29" s="531" t="s">
        <v>158</v>
      </c>
      <c r="S29" s="532"/>
      <c r="T29" s="539" t="s">
        <v>142</v>
      </c>
      <c r="U29" s="530">
        <v>27</v>
      </c>
      <c r="V29" s="531" t="s">
        <v>155</v>
      </c>
      <c r="W29" s="532"/>
      <c r="X29" s="539">
        <v>5</v>
      </c>
    </row>
    <row r="30" spans="1:24">
      <c r="A30" s="530">
        <v>28</v>
      </c>
      <c r="B30" s="531" t="s">
        <v>153</v>
      </c>
      <c r="C30" s="532"/>
      <c r="D30" s="542"/>
      <c r="E30" s="535">
        <v>28</v>
      </c>
      <c r="F30" s="536" t="s">
        <v>154</v>
      </c>
      <c r="G30" s="537"/>
      <c r="H30" s="540" t="s">
        <v>142</v>
      </c>
      <c r="I30" s="530">
        <v>28</v>
      </c>
      <c r="J30" s="531" t="s">
        <v>155</v>
      </c>
      <c r="K30" s="532"/>
      <c r="L30" s="539">
        <v>44</v>
      </c>
      <c r="M30" s="530">
        <v>28</v>
      </c>
      <c r="N30" s="531" t="s">
        <v>156</v>
      </c>
      <c r="O30" s="532"/>
      <c r="P30" s="539"/>
      <c r="Q30" s="535">
        <v>28</v>
      </c>
      <c r="R30" s="536" t="s">
        <v>154</v>
      </c>
      <c r="S30" s="537"/>
      <c r="T30" s="538" t="s">
        <v>142</v>
      </c>
      <c r="U30" s="530">
        <v>28</v>
      </c>
      <c r="V30" s="531" t="s">
        <v>157</v>
      </c>
      <c r="W30" s="532"/>
      <c r="X30" s="539" t="s">
        <v>142</v>
      </c>
    </row>
    <row r="31" spans="1:24">
      <c r="A31" s="530">
        <v>29</v>
      </c>
      <c r="B31" s="531" t="s">
        <v>156</v>
      </c>
      <c r="C31" s="532"/>
      <c r="D31" s="533"/>
      <c r="E31" s="535">
        <v>29</v>
      </c>
      <c r="F31" s="536" t="s">
        <v>159</v>
      </c>
      <c r="G31" s="537"/>
      <c r="H31" s="540" t="s">
        <v>142</v>
      </c>
      <c r="I31" s="530">
        <v>29</v>
      </c>
      <c r="J31" s="531" t="s">
        <v>157</v>
      </c>
      <c r="K31" s="532"/>
      <c r="L31" s="539" t="s">
        <v>142</v>
      </c>
      <c r="M31" s="530">
        <v>29</v>
      </c>
      <c r="N31" s="531" t="s">
        <v>158</v>
      </c>
      <c r="O31" s="532"/>
      <c r="P31" s="539" t="s">
        <v>142</v>
      </c>
      <c r="Q31" s="535">
        <v>29</v>
      </c>
      <c r="R31" s="536" t="s">
        <v>159</v>
      </c>
      <c r="S31" s="537"/>
      <c r="T31" s="538" t="s">
        <v>142</v>
      </c>
      <c r="U31" s="530">
        <v>29</v>
      </c>
      <c r="V31" s="531" t="s">
        <v>153</v>
      </c>
      <c r="W31" s="532"/>
      <c r="X31" s="539"/>
    </row>
    <row r="32" spans="1:24">
      <c r="A32" s="530">
        <v>30</v>
      </c>
      <c r="B32" s="531" t="s">
        <v>158</v>
      </c>
      <c r="C32" s="532"/>
      <c r="D32" s="533" t="s">
        <v>142</v>
      </c>
      <c r="E32" s="530">
        <v>30</v>
      </c>
      <c r="F32" s="531" t="s">
        <v>155</v>
      </c>
      <c r="G32" s="532"/>
      <c r="H32" s="534">
        <v>40</v>
      </c>
      <c r="I32" s="530">
        <v>30</v>
      </c>
      <c r="J32" s="531" t="s">
        <v>153</v>
      </c>
      <c r="K32" s="532"/>
      <c r="L32" s="539"/>
      <c r="M32" s="535">
        <v>30</v>
      </c>
      <c r="N32" s="536" t="s">
        <v>154</v>
      </c>
      <c r="O32" s="537"/>
      <c r="P32" s="538" t="s">
        <v>142</v>
      </c>
      <c r="Q32" s="530">
        <v>30</v>
      </c>
      <c r="R32" s="531" t="s">
        <v>155</v>
      </c>
      <c r="S32" s="532"/>
      <c r="T32" s="539">
        <v>1</v>
      </c>
      <c r="U32" s="530">
        <v>30</v>
      </c>
      <c r="V32" s="531" t="s">
        <v>156</v>
      </c>
      <c r="W32" s="532"/>
      <c r="X32" s="539"/>
    </row>
    <row r="33" spans="1:24">
      <c r="A33" s="535">
        <v>31</v>
      </c>
      <c r="B33" s="536" t="s">
        <v>154</v>
      </c>
      <c r="C33" s="537"/>
      <c r="D33" s="619" t="s">
        <v>142</v>
      </c>
      <c r="E33" s="204"/>
      <c r="F33" s="205"/>
      <c r="G33" s="206"/>
      <c r="H33" s="543"/>
      <c r="I33" s="544">
        <v>31</v>
      </c>
      <c r="J33" s="545" t="s">
        <v>156</v>
      </c>
      <c r="K33" s="546"/>
      <c r="L33" s="547"/>
      <c r="M33" s="204"/>
      <c r="N33" s="205"/>
      <c r="O33" s="206"/>
      <c r="P33" s="207"/>
      <c r="Q33" s="544">
        <v>31</v>
      </c>
      <c r="R33" s="545" t="s">
        <v>157</v>
      </c>
      <c r="S33" s="621" t="s">
        <v>129</v>
      </c>
      <c r="T33" s="547" t="s">
        <v>142</v>
      </c>
      <c r="U33" s="544">
        <v>31</v>
      </c>
      <c r="V33" s="545" t="s">
        <v>158</v>
      </c>
      <c r="W33" s="546"/>
      <c r="X33" s="547" t="s">
        <v>142</v>
      </c>
    </row>
  </sheetData>
  <mergeCells count="1">
    <mergeCell ref="A1:X1"/>
  </mergeCells>
  <pageMargins left="0.7" right="0.7" top="0.75" bottom="0.75" header="0.3" footer="0.3"/>
  <pageSetup paperSize="9" scale="69" orientation="landscape"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706DB-B170-7B44-A058-A208CB5534F6}">
  <sheetPr>
    <pageSetUpPr fitToPage="1"/>
  </sheetPr>
  <dimension ref="A1:X33"/>
  <sheetViews>
    <sheetView workbookViewId="0">
      <selection activeCell="B4" sqref="B4"/>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472" t="str">
        <f>'TOMT ÅR'!A1</f>
        <v>Årskalender for Min egen skole 2024-2025</v>
      </c>
      <c r="B1" s="1473"/>
      <c r="C1" s="1473"/>
      <c r="D1" s="1473"/>
      <c r="E1" s="1473"/>
      <c r="F1" s="1473"/>
      <c r="G1" s="1473"/>
      <c r="H1" s="1473"/>
      <c r="I1" s="1473"/>
      <c r="J1" s="1473"/>
      <c r="K1" s="1473"/>
      <c r="L1" s="1473"/>
      <c r="M1" s="1473"/>
      <c r="N1" s="1473"/>
      <c r="O1" s="1473"/>
      <c r="P1" s="1473"/>
      <c r="Q1" s="1473"/>
      <c r="R1" s="1473"/>
      <c r="S1" s="1473"/>
      <c r="T1" s="1473"/>
      <c r="U1" s="1473"/>
      <c r="V1" s="1473"/>
      <c r="W1" s="1473"/>
      <c r="X1" s="1474"/>
    </row>
    <row r="2" spans="1:24" ht="18">
      <c r="A2" s="310" t="s">
        <v>99</v>
      </c>
      <c r="B2" s="307"/>
      <c r="C2" s="308"/>
      <c r="D2" s="309"/>
      <c r="E2" s="306" t="s">
        <v>100</v>
      </c>
      <c r="F2" s="307"/>
      <c r="G2" s="308"/>
      <c r="H2" s="309"/>
      <c r="I2" s="306" t="s">
        <v>101</v>
      </c>
      <c r="J2" s="307"/>
      <c r="K2" s="308"/>
      <c r="L2" s="309"/>
      <c r="M2" s="306" t="s">
        <v>102</v>
      </c>
      <c r="N2" s="307"/>
      <c r="O2" s="308"/>
      <c r="P2" s="309"/>
      <c r="Q2" s="306" t="s">
        <v>103</v>
      </c>
      <c r="R2" s="307"/>
      <c r="S2" s="308"/>
      <c r="T2" s="309"/>
      <c r="U2" s="306" t="s">
        <v>104</v>
      </c>
      <c r="V2" s="307"/>
      <c r="W2" s="308"/>
      <c r="X2" s="309"/>
    </row>
    <row r="3" spans="1:24">
      <c r="A3" s="535">
        <v>1</v>
      </c>
      <c r="B3" s="536" t="s">
        <v>154</v>
      </c>
      <c r="C3" s="537"/>
      <c r="D3" s="540" t="s">
        <v>142</v>
      </c>
      <c r="E3" s="535">
        <v>1</v>
      </c>
      <c r="F3" s="536" t="s">
        <v>154</v>
      </c>
      <c r="G3" s="537"/>
      <c r="H3" s="538" t="s">
        <v>142</v>
      </c>
      <c r="I3" s="530">
        <v>1</v>
      </c>
      <c r="J3" s="531" t="s">
        <v>157</v>
      </c>
      <c r="K3" s="532"/>
      <c r="L3" s="534"/>
      <c r="M3" s="530">
        <v>1</v>
      </c>
      <c r="N3" s="531" t="s">
        <v>156</v>
      </c>
      <c r="O3" s="532"/>
      <c r="P3" s="539"/>
      <c r="Q3" s="535">
        <v>1</v>
      </c>
      <c r="R3" s="536" t="s">
        <v>159</v>
      </c>
      <c r="S3" s="537"/>
      <c r="T3" s="540" t="s">
        <v>142</v>
      </c>
      <c r="U3" s="530">
        <v>1</v>
      </c>
      <c r="V3" s="531" t="s">
        <v>157</v>
      </c>
      <c r="W3" s="532"/>
      <c r="X3" s="539"/>
    </row>
    <row r="4" spans="1:24">
      <c r="A4" s="535">
        <v>2</v>
      </c>
      <c r="B4" s="536" t="s">
        <v>159</v>
      </c>
      <c r="C4" s="537"/>
      <c r="D4" s="540" t="s">
        <v>142</v>
      </c>
      <c r="E4" s="535">
        <v>2</v>
      </c>
      <c r="F4" s="536" t="s">
        <v>159</v>
      </c>
      <c r="G4" s="537"/>
      <c r="H4" s="538" t="s">
        <v>142</v>
      </c>
      <c r="I4" s="530">
        <v>2</v>
      </c>
      <c r="J4" s="531" t="s">
        <v>153</v>
      </c>
      <c r="K4" s="532"/>
      <c r="L4" s="534" t="s">
        <v>142</v>
      </c>
      <c r="M4" s="530">
        <v>2</v>
      </c>
      <c r="N4" s="531" t="s">
        <v>158</v>
      </c>
      <c r="O4" s="532"/>
      <c r="P4" s="539" t="s">
        <v>142</v>
      </c>
      <c r="Q4" s="530">
        <v>2</v>
      </c>
      <c r="R4" s="531" t="s">
        <v>155</v>
      </c>
      <c r="S4" s="532"/>
      <c r="T4" s="534">
        <v>23</v>
      </c>
      <c r="U4" s="530">
        <v>2</v>
      </c>
      <c r="V4" s="531" t="s">
        <v>153</v>
      </c>
      <c r="W4" s="532"/>
      <c r="X4" s="539" t="s">
        <v>142</v>
      </c>
    </row>
    <row r="5" spans="1:24">
      <c r="A5" s="530">
        <v>3</v>
      </c>
      <c r="B5" s="531" t="s">
        <v>155</v>
      </c>
      <c r="C5" s="532"/>
      <c r="D5" s="534">
        <v>6</v>
      </c>
      <c r="E5" s="530">
        <v>3</v>
      </c>
      <c r="F5" s="531" t="s">
        <v>155</v>
      </c>
      <c r="G5" s="532"/>
      <c r="H5" s="539">
        <v>10</v>
      </c>
      <c r="I5" s="530">
        <v>3</v>
      </c>
      <c r="J5" s="531" t="s">
        <v>156</v>
      </c>
      <c r="K5" s="532"/>
      <c r="L5" s="534"/>
      <c r="M5" s="535">
        <v>3</v>
      </c>
      <c r="N5" s="536" t="s">
        <v>154</v>
      </c>
      <c r="O5" s="537"/>
      <c r="P5" s="538" t="s">
        <v>142</v>
      </c>
      <c r="Q5" s="530">
        <v>3</v>
      </c>
      <c r="R5" s="531" t="s">
        <v>157</v>
      </c>
      <c r="S5" s="532"/>
      <c r="T5" s="534"/>
      <c r="U5" s="530">
        <v>3</v>
      </c>
      <c r="V5" s="531" t="s">
        <v>156</v>
      </c>
      <c r="W5" s="532"/>
      <c r="X5" s="539"/>
    </row>
    <row r="6" spans="1:24">
      <c r="A6" s="530">
        <v>4</v>
      </c>
      <c r="B6" s="531" t="s">
        <v>157</v>
      </c>
      <c r="C6" s="532"/>
      <c r="D6" s="534" t="s">
        <v>142</v>
      </c>
      <c r="E6" s="530">
        <v>4</v>
      </c>
      <c r="F6" s="531" t="s">
        <v>157</v>
      </c>
      <c r="G6" s="532"/>
      <c r="H6" s="539"/>
      <c r="I6" s="530">
        <v>4</v>
      </c>
      <c r="J6" s="531" t="s">
        <v>158</v>
      </c>
      <c r="K6" s="532"/>
      <c r="L6" s="534" t="s">
        <v>142</v>
      </c>
      <c r="M6" s="535">
        <v>4</v>
      </c>
      <c r="N6" s="536" t="s">
        <v>159</v>
      </c>
      <c r="O6" s="537"/>
      <c r="P6" s="538" t="s">
        <v>142</v>
      </c>
      <c r="Q6" s="530">
        <v>4</v>
      </c>
      <c r="R6" s="531" t="s">
        <v>153</v>
      </c>
      <c r="S6" s="532"/>
      <c r="T6" s="534" t="s">
        <v>142</v>
      </c>
      <c r="U6" s="530">
        <v>4</v>
      </c>
      <c r="V6" s="531" t="s">
        <v>158</v>
      </c>
      <c r="W6" s="532"/>
      <c r="X6" s="539" t="s">
        <v>142</v>
      </c>
    </row>
    <row r="7" spans="1:24">
      <c r="A7" s="530">
        <v>5</v>
      </c>
      <c r="B7" s="531" t="s">
        <v>153</v>
      </c>
      <c r="C7" s="532"/>
      <c r="D7" s="534"/>
      <c r="E7" s="530">
        <v>5</v>
      </c>
      <c r="F7" s="531" t="s">
        <v>153</v>
      </c>
      <c r="G7" s="532"/>
      <c r="H7" s="539" t="s">
        <v>142</v>
      </c>
      <c r="I7" s="535">
        <v>5</v>
      </c>
      <c r="J7" s="536" t="s">
        <v>154</v>
      </c>
      <c r="K7" s="537"/>
      <c r="L7" s="540" t="s">
        <v>142</v>
      </c>
      <c r="M7" s="530">
        <v>5</v>
      </c>
      <c r="N7" s="531" t="s">
        <v>155</v>
      </c>
      <c r="O7" s="532"/>
      <c r="P7" s="539">
        <v>19</v>
      </c>
      <c r="Q7" s="530">
        <v>5</v>
      </c>
      <c r="R7" s="531" t="s">
        <v>156</v>
      </c>
      <c r="S7" s="532" t="s">
        <v>218</v>
      </c>
      <c r="T7" s="534"/>
      <c r="U7" s="535">
        <v>5</v>
      </c>
      <c r="V7" s="536" t="s">
        <v>154</v>
      </c>
      <c r="W7" s="537"/>
      <c r="X7" s="538" t="s">
        <v>142</v>
      </c>
    </row>
    <row r="8" spans="1:24">
      <c r="A8" s="530">
        <v>6</v>
      </c>
      <c r="B8" s="531" t="s">
        <v>156</v>
      </c>
      <c r="C8" s="532"/>
      <c r="D8" s="534"/>
      <c r="E8" s="530">
        <v>6</v>
      </c>
      <c r="F8" s="531" t="s">
        <v>156</v>
      </c>
      <c r="G8" s="532"/>
      <c r="H8" s="539"/>
      <c r="I8" s="535">
        <v>6</v>
      </c>
      <c r="J8" s="536" t="s">
        <v>159</v>
      </c>
      <c r="K8" s="537"/>
      <c r="L8" s="540" t="s">
        <v>142</v>
      </c>
      <c r="M8" s="530">
        <v>6</v>
      </c>
      <c r="N8" s="531" t="s">
        <v>157</v>
      </c>
      <c r="O8" s="532"/>
      <c r="P8" s="539"/>
      <c r="Q8" s="530">
        <v>6</v>
      </c>
      <c r="R8" s="531" t="s">
        <v>158</v>
      </c>
      <c r="S8" s="532"/>
      <c r="T8" s="534" t="s">
        <v>142</v>
      </c>
      <c r="U8" s="535">
        <v>6</v>
      </c>
      <c r="V8" s="536" t="s">
        <v>159</v>
      </c>
      <c r="W8" s="537"/>
      <c r="X8" s="538" t="s">
        <v>142</v>
      </c>
    </row>
    <row r="9" spans="1:24">
      <c r="A9" s="530">
        <v>7</v>
      </c>
      <c r="B9" s="531" t="s">
        <v>158</v>
      </c>
      <c r="C9" s="532"/>
      <c r="D9" s="534" t="s">
        <v>142</v>
      </c>
      <c r="E9" s="530">
        <v>7</v>
      </c>
      <c r="F9" s="531" t="s">
        <v>158</v>
      </c>
      <c r="G9" s="532"/>
      <c r="H9" s="539" t="s">
        <v>142</v>
      </c>
      <c r="I9" s="530">
        <v>7</v>
      </c>
      <c r="J9" s="531" t="s">
        <v>155</v>
      </c>
      <c r="K9" s="532"/>
      <c r="L9" s="534">
        <v>15</v>
      </c>
      <c r="M9" s="530">
        <v>7</v>
      </c>
      <c r="N9" s="531" t="s">
        <v>153</v>
      </c>
      <c r="O9" s="532"/>
      <c r="P9" s="539" t="s">
        <v>142</v>
      </c>
      <c r="Q9" s="535">
        <v>7</v>
      </c>
      <c r="R9" s="536" t="s">
        <v>154</v>
      </c>
      <c r="S9" s="537"/>
      <c r="T9" s="540" t="s">
        <v>142</v>
      </c>
      <c r="U9" s="530">
        <v>7</v>
      </c>
      <c r="V9" s="531" t="s">
        <v>155</v>
      </c>
      <c r="W9" s="532"/>
      <c r="X9" s="539">
        <v>28</v>
      </c>
    </row>
    <row r="10" spans="1:24">
      <c r="A10" s="535">
        <v>8</v>
      </c>
      <c r="B10" s="536" t="s">
        <v>154</v>
      </c>
      <c r="C10" s="537"/>
      <c r="D10" s="540" t="s">
        <v>142</v>
      </c>
      <c r="E10" s="535">
        <v>8</v>
      </c>
      <c r="F10" s="536" t="s">
        <v>154</v>
      </c>
      <c r="G10" s="537"/>
      <c r="H10" s="538" t="s">
        <v>142</v>
      </c>
      <c r="I10" s="530">
        <v>8</v>
      </c>
      <c r="J10" s="531" t="s">
        <v>157</v>
      </c>
      <c r="K10" s="532"/>
      <c r="L10" s="534"/>
      <c r="M10" s="530">
        <v>8</v>
      </c>
      <c r="N10" s="531" t="s">
        <v>156</v>
      </c>
      <c r="O10" s="532"/>
      <c r="P10" s="539"/>
      <c r="Q10" s="535">
        <v>8</v>
      </c>
      <c r="R10" s="536" t="s">
        <v>159</v>
      </c>
      <c r="S10" s="537" t="s">
        <v>177</v>
      </c>
      <c r="T10" s="540" t="s">
        <v>142</v>
      </c>
      <c r="U10" s="530">
        <v>8</v>
      </c>
      <c r="V10" s="531" t="s">
        <v>157</v>
      </c>
      <c r="W10" s="532"/>
      <c r="X10" s="539"/>
    </row>
    <row r="11" spans="1:24">
      <c r="A11" s="535">
        <v>9</v>
      </c>
      <c r="B11" s="536" t="s">
        <v>159</v>
      </c>
      <c r="C11" s="537"/>
      <c r="D11" s="540" t="s">
        <v>142</v>
      </c>
      <c r="E11" s="535">
        <v>9</v>
      </c>
      <c r="F11" s="536" t="s">
        <v>159</v>
      </c>
      <c r="G11" s="537"/>
      <c r="H11" s="538" t="s">
        <v>142</v>
      </c>
      <c r="I11" s="530">
        <v>9</v>
      </c>
      <c r="J11" s="531" t="s">
        <v>153</v>
      </c>
      <c r="K11" s="532"/>
      <c r="L11" s="534" t="s">
        <v>142</v>
      </c>
      <c r="M11" s="530">
        <v>9</v>
      </c>
      <c r="N11" s="531" t="s">
        <v>158</v>
      </c>
      <c r="O11" s="620"/>
      <c r="P11" s="539" t="s">
        <v>142</v>
      </c>
      <c r="Q11" s="535">
        <v>9</v>
      </c>
      <c r="R11" s="536" t="s">
        <v>155</v>
      </c>
      <c r="S11" s="537" t="s">
        <v>552</v>
      </c>
      <c r="T11" s="540">
        <v>24</v>
      </c>
      <c r="U11" s="530">
        <v>9</v>
      </c>
      <c r="V11" s="531" t="s">
        <v>153</v>
      </c>
      <c r="W11" s="532"/>
      <c r="X11" s="539" t="s">
        <v>142</v>
      </c>
    </row>
    <row r="12" spans="1:24">
      <c r="A12" s="530">
        <v>10</v>
      </c>
      <c r="B12" s="531" t="s">
        <v>155</v>
      </c>
      <c r="C12" s="532"/>
      <c r="D12" s="534">
        <v>7</v>
      </c>
      <c r="E12" s="530">
        <v>10</v>
      </c>
      <c r="F12" s="531" t="s">
        <v>155</v>
      </c>
      <c r="G12" s="532"/>
      <c r="H12" s="539">
        <v>11</v>
      </c>
      <c r="I12" s="530">
        <v>10</v>
      </c>
      <c r="J12" s="531" t="s">
        <v>156</v>
      </c>
      <c r="K12" s="532"/>
      <c r="L12" s="534"/>
      <c r="M12" s="535">
        <v>10</v>
      </c>
      <c r="N12" s="536" t="s">
        <v>154</v>
      </c>
      <c r="O12" s="537"/>
      <c r="P12" s="538" t="s">
        <v>142</v>
      </c>
      <c r="Q12" s="530">
        <v>10</v>
      </c>
      <c r="R12" s="531" t="s">
        <v>157</v>
      </c>
      <c r="S12" s="532"/>
      <c r="T12" s="534"/>
      <c r="U12" s="530">
        <v>10</v>
      </c>
      <c r="V12" s="531" t="s">
        <v>156</v>
      </c>
      <c r="W12" s="532"/>
      <c r="X12" s="539"/>
    </row>
    <row r="13" spans="1:24">
      <c r="A13" s="530">
        <v>11</v>
      </c>
      <c r="B13" s="531" t="s">
        <v>157</v>
      </c>
      <c r="C13" s="532"/>
      <c r="D13" s="534" t="s">
        <v>142</v>
      </c>
      <c r="E13" s="530">
        <v>11</v>
      </c>
      <c r="F13" s="531" t="s">
        <v>157</v>
      </c>
      <c r="G13" s="532"/>
      <c r="H13" s="539"/>
      <c r="I13" s="530">
        <v>11</v>
      </c>
      <c r="J13" s="531" t="s">
        <v>158</v>
      </c>
      <c r="K13" s="532"/>
      <c r="L13" s="534" t="s">
        <v>142</v>
      </c>
      <c r="M13" s="535">
        <v>11</v>
      </c>
      <c r="N13" s="536" t="s">
        <v>159</v>
      </c>
      <c r="O13" s="537"/>
      <c r="P13" s="538" t="s">
        <v>142</v>
      </c>
      <c r="Q13" s="530">
        <v>11</v>
      </c>
      <c r="R13" s="531" t="s">
        <v>153</v>
      </c>
      <c r="S13" s="532"/>
      <c r="T13" s="534" t="s">
        <v>142</v>
      </c>
      <c r="U13" s="530">
        <v>11</v>
      </c>
      <c r="V13" s="531" t="s">
        <v>158</v>
      </c>
      <c r="W13" s="532"/>
      <c r="X13" s="539" t="s">
        <v>142</v>
      </c>
    </row>
    <row r="14" spans="1:24">
      <c r="A14" s="530">
        <v>12</v>
      </c>
      <c r="B14" s="531" t="s">
        <v>153</v>
      </c>
      <c r="C14" s="532"/>
      <c r="D14" s="534"/>
      <c r="E14" s="530">
        <v>12</v>
      </c>
      <c r="F14" s="531" t="s">
        <v>153</v>
      </c>
      <c r="G14" s="532"/>
      <c r="H14" s="539" t="s">
        <v>142</v>
      </c>
      <c r="I14" s="535">
        <v>12</v>
      </c>
      <c r="J14" s="536" t="s">
        <v>154</v>
      </c>
      <c r="K14" s="537"/>
      <c r="L14" s="540" t="s">
        <v>142</v>
      </c>
      <c r="M14" s="530">
        <v>12</v>
      </c>
      <c r="N14" s="531" t="s">
        <v>155</v>
      </c>
      <c r="O14" s="532"/>
      <c r="P14" s="539">
        <v>20</v>
      </c>
      <c r="Q14" s="530">
        <v>12</v>
      </c>
      <c r="R14" s="531" t="s">
        <v>156</v>
      </c>
      <c r="S14" s="532"/>
      <c r="T14" s="534"/>
      <c r="U14" s="535">
        <v>12</v>
      </c>
      <c r="V14" s="536" t="s">
        <v>154</v>
      </c>
      <c r="W14" s="537"/>
      <c r="X14" s="538" t="s">
        <v>142</v>
      </c>
    </row>
    <row r="15" spans="1:24">
      <c r="A15" s="530">
        <v>13</v>
      </c>
      <c r="B15" s="531" t="s">
        <v>156</v>
      </c>
      <c r="C15" s="532"/>
      <c r="D15" s="534"/>
      <c r="E15" s="530">
        <v>13</v>
      </c>
      <c r="F15" s="531" t="s">
        <v>156</v>
      </c>
      <c r="G15" s="532"/>
      <c r="H15" s="539"/>
      <c r="I15" s="535">
        <v>13</v>
      </c>
      <c r="J15" s="536" t="s">
        <v>159</v>
      </c>
      <c r="K15" s="537" t="s">
        <v>176</v>
      </c>
      <c r="L15" s="540" t="s">
        <v>142</v>
      </c>
      <c r="M15" s="530">
        <v>13</v>
      </c>
      <c r="N15" s="531" t="s">
        <v>157</v>
      </c>
      <c r="O15" s="532"/>
      <c r="P15" s="539"/>
      <c r="Q15" s="530">
        <v>13</v>
      </c>
      <c r="R15" s="531" t="s">
        <v>158</v>
      </c>
      <c r="S15" s="532"/>
      <c r="T15" s="534" t="s">
        <v>142</v>
      </c>
      <c r="U15" s="535">
        <v>13</v>
      </c>
      <c r="V15" s="536" t="s">
        <v>159</v>
      </c>
      <c r="W15" s="537"/>
      <c r="X15" s="538" t="s">
        <v>142</v>
      </c>
    </row>
    <row r="16" spans="1:24">
      <c r="A16" s="530">
        <v>14</v>
      </c>
      <c r="B16" s="531" t="s">
        <v>158</v>
      </c>
      <c r="C16" s="532"/>
      <c r="D16" s="534" t="s">
        <v>142</v>
      </c>
      <c r="E16" s="530">
        <v>14</v>
      </c>
      <c r="F16" s="531" t="s">
        <v>158</v>
      </c>
      <c r="G16" s="532"/>
      <c r="H16" s="539" t="s">
        <v>142</v>
      </c>
      <c r="I16" s="530">
        <v>14</v>
      </c>
      <c r="J16" s="531" t="s">
        <v>155</v>
      </c>
      <c r="K16" s="532"/>
      <c r="L16" s="534">
        <v>16</v>
      </c>
      <c r="M16" s="530">
        <v>14</v>
      </c>
      <c r="N16" s="531" t="s">
        <v>153</v>
      </c>
      <c r="O16" s="532"/>
      <c r="P16" s="539" t="s">
        <v>142</v>
      </c>
      <c r="Q16" s="535">
        <v>14</v>
      </c>
      <c r="R16" s="536" t="s">
        <v>154</v>
      </c>
      <c r="S16" s="537"/>
      <c r="T16" s="540" t="s">
        <v>142</v>
      </c>
      <c r="U16" s="530">
        <v>14</v>
      </c>
      <c r="V16" s="531" t="s">
        <v>155</v>
      </c>
      <c r="W16" s="532"/>
      <c r="X16" s="539">
        <v>29</v>
      </c>
    </row>
    <row r="17" spans="1:24">
      <c r="A17" s="535">
        <v>15</v>
      </c>
      <c r="B17" s="536" t="s">
        <v>154</v>
      </c>
      <c r="C17" s="537"/>
      <c r="D17" s="540" t="s">
        <v>142</v>
      </c>
      <c r="E17" s="535">
        <v>15</v>
      </c>
      <c r="F17" s="536" t="s">
        <v>154</v>
      </c>
      <c r="G17" s="537"/>
      <c r="H17" s="538" t="s">
        <v>142</v>
      </c>
      <c r="I17" s="530">
        <v>15</v>
      </c>
      <c r="J17" s="531" t="s">
        <v>157</v>
      </c>
      <c r="K17" s="532"/>
      <c r="L17" s="534"/>
      <c r="M17" s="530">
        <v>15</v>
      </c>
      <c r="N17" s="531" t="s">
        <v>156</v>
      </c>
      <c r="O17" s="532"/>
      <c r="P17" s="539"/>
      <c r="Q17" s="535">
        <v>15</v>
      </c>
      <c r="R17" s="536" t="s">
        <v>159</v>
      </c>
      <c r="S17" s="537"/>
      <c r="T17" s="540" t="s">
        <v>142</v>
      </c>
      <c r="U17" s="530">
        <v>15</v>
      </c>
      <c r="V17" s="531" t="s">
        <v>157</v>
      </c>
      <c r="W17" s="532"/>
      <c r="X17" s="539"/>
    </row>
    <row r="18" spans="1:24">
      <c r="A18" s="535">
        <v>16</v>
      </c>
      <c r="B18" s="536" t="s">
        <v>159</v>
      </c>
      <c r="C18" s="537"/>
      <c r="D18" s="540" t="s">
        <v>142</v>
      </c>
      <c r="E18" s="535">
        <v>16</v>
      </c>
      <c r="F18" s="536" t="s">
        <v>159</v>
      </c>
      <c r="G18" s="537"/>
      <c r="H18" s="538" t="s">
        <v>142</v>
      </c>
      <c r="I18" s="530">
        <v>16</v>
      </c>
      <c r="J18" s="531" t="s">
        <v>153</v>
      </c>
      <c r="K18" s="532"/>
      <c r="L18" s="534" t="s">
        <v>142</v>
      </c>
      <c r="M18" s="530">
        <v>16</v>
      </c>
      <c r="N18" s="531" t="s">
        <v>158</v>
      </c>
      <c r="O18" s="532"/>
      <c r="P18" s="539" t="s">
        <v>142</v>
      </c>
      <c r="Q18" s="530">
        <v>16</v>
      </c>
      <c r="R18" s="531" t="s">
        <v>155</v>
      </c>
      <c r="S18" s="532"/>
      <c r="T18" s="534">
        <v>25</v>
      </c>
      <c r="U18" s="530">
        <v>16</v>
      </c>
      <c r="V18" s="531" t="s">
        <v>153</v>
      </c>
      <c r="W18" s="532"/>
      <c r="X18" s="539" t="s">
        <v>142</v>
      </c>
    </row>
    <row r="19" spans="1:24">
      <c r="A19" s="530">
        <v>17</v>
      </c>
      <c r="B19" s="531" t="s">
        <v>155</v>
      </c>
      <c r="C19" s="532"/>
      <c r="D19" s="534">
        <v>8</v>
      </c>
      <c r="E19" s="530">
        <v>17</v>
      </c>
      <c r="F19" s="531" t="s">
        <v>155</v>
      </c>
      <c r="G19" s="532"/>
      <c r="H19" s="539">
        <v>12</v>
      </c>
      <c r="I19" s="535">
        <v>17</v>
      </c>
      <c r="J19" s="536" t="s">
        <v>156</v>
      </c>
      <c r="K19" s="537" t="s">
        <v>105</v>
      </c>
      <c r="L19" s="540"/>
      <c r="M19" s="535">
        <v>17</v>
      </c>
      <c r="N19" s="536" t="s">
        <v>154</v>
      </c>
      <c r="O19" s="537"/>
      <c r="P19" s="538" t="s">
        <v>142</v>
      </c>
      <c r="Q19" s="530">
        <v>17</v>
      </c>
      <c r="R19" s="531" t="s">
        <v>157</v>
      </c>
      <c r="S19" s="532"/>
      <c r="T19" s="534"/>
      <c r="U19" s="530">
        <v>17</v>
      </c>
      <c r="V19" s="531" t="s">
        <v>156</v>
      </c>
      <c r="W19" s="532"/>
      <c r="X19" s="539"/>
    </row>
    <row r="20" spans="1:24">
      <c r="A20" s="530">
        <v>18</v>
      </c>
      <c r="B20" s="531" t="s">
        <v>157</v>
      </c>
      <c r="C20" s="532"/>
      <c r="D20" s="534" t="s">
        <v>142</v>
      </c>
      <c r="E20" s="530">
        <v>18</v>
      </c>
      <c r="F20" s="531" t="s">
        <v>157</v>
      </c>
      <c r="G20" s="532"/>
      <c r="H20" s="539"/>
      <c r="I20" s="535">
        <v>18</v>
      </c>
      <c r="J20" s="536" t="s">
        <v>158</v>
      </c>
      <c r="K20" s="537" t="s">
        <v>167</v>
      </c>
      <c r="L20" s="540" t="s">
        <v>142</v>
      </c>
      <c r="M20" s="535">
        <v>18</v>
      </c>
      <c r="N20" s="536" t="s">
        <v>159</v>
      </c>
      <c r="O20" s="1470"/>
      <c r="P20" s="1471"/>
      <c r="Q20" s="530">
        <v>18</v>
      </c>
      <c r="R20" s="531" t="s">
        <v>153</v>
      </c>
      <c r="S20" s="532"/>
      <c r="T20" s="534" t="s">
        <v>142</v>
      </c>
      <c r="U20" s="530">
        <v>18</v>
      </c>
      <c r="V20" s="545" t="s">
        <v>158</v>
      </c>
      <c r="W20" s="532"/>
      <c r="X20" s="539" t="s">
        <v>142</v>
      </c>
    </row>
    <row r="21" spans="1:24">
      <c r="A21" s="530">
        <v>19</v>
      </c>
      <c r="B21" s="531" t="s">
        <v>153</v>
      </c>
      <c r="C21" s="532"/>
      <c r="D21" s="534"/>
      <c r="E21" s="530">
        <v>19</v>
      </c>
      <c r="F21" s="531" t="s">
        <v>153</v>
      </c>
      <c r="G21" s="532"/>
      <c r="H21" s="539" t="s">
        <v>142</v>
      </c>
      <c r="I21" s="535">
        <v>19</v>
      </c>
      <c r="J21" s="536" t="s">
        <v>154</v>
      </c>
      <c r="K21" s="537"/>
      <c r="L21" s="540" t="s">
        <v>142</v>
      </c>
      <c r="M21" s="530">
        <v>19</v>
      </c>
      <c r="N21" s="531" t="s">
        <v>155</v>
      </c>
      <c r="O21" s="532"/>
      <c r="P21" s="539">
        <v>21</v>
      </c>
      <c r="Q21" s="530">
        <v>19</v>
      </c>
      <c r="R21" s="531" t="s">
        <v>156</v>
      </c>
      <c r="S21" s="532"/>
      <c r="T21" s="534"/>
      <c r="U21" s="535">
        <v>19</v>
      </c>
      <c r="V21" s="536" t="s">
        <v>154</v>
      </c>
      <c r="W21" s="537"/>
      <c r="X21" s="538" t="s">
        <v>142</v>
      </c>
    </row>
    <row r="22" spans="1:24">
      <c r="A22" s="530">
        <v>20</v>
      </c>
      <c r="B22" s="531" t="s">
        <v>156</v>
      </c>
      <c r="C22" s="532"/>
      <c r="D22" s="534"/>
      <c r="E22" s="530">
        <v>20</v>
      </c>
      <c r="F22" s="531" t="s">
        <v>156</v>
      </c>
      <c r="G22" s="532"/>
      <c r="H22" s="539"/>
      <c r="I22" s="535">
        <v>20</v>
      </c>
      <c r="J22" s="536" t="s">
        <v>159</v>
      </c>
      <c r="K22" s="537" t="s">
        <v>114</v>
      </c>
      <c r="L22" s="540" t="s">
        <v>142</v>
      </c>
      <c r="M22" s="530">
        <v>20</v>
      </c>
      <c r="N22" s="531" t="s">
        <v>157</v>
      </c>
      <c r="O22" s="532"/>
      <c r="P22" s="539"/>
      <c r="Q22" s="530">
        <v>20</v>
      </c>
      <c r="R22" s="545" t="s">
        <v>158</v>
      </c>
      <c r="S22" s="532"/>
      <c r="T22" s="534" t="s">
        <v>142</v>
      </c>
      <c r="U22" s="535">
        <v>20</v>
      </c>
      <c r="V22" s="536" t="s">
        <v>159</v>
      </c>
      <c r="W22" s="537"/>
      <c r="X22" s="538" t="s">
        <v>142</v>
      </c>
    </row>
    <row r="23" spans="1:24">
      <c r="A23" s="530">
        <v>21</v>
      </c>
      <c r="B23" s="531" t="s">
        <v>158</v>
      </c>
      <c r="C23" s="532"/>
      <c r="D23" s="534" t="s">
        <v>142</v>
      </c>
      <c r="E23" s="530">
        <v>21</v>
      </c>
      <c r="F23" s="531" t="s">
        <v>158</v>
      </c>
      <c r="G23" s="532"/>
      <c r="H23" s="539" t="s">
        <v>142</v>
      </c>
      <c r="I23" s="535">
        <v>21</v>
      </c>
      <c r="J23" s="536" t="s">
        <v>155</v>
      </c>
      <c r="K23" s="537" t="s">
        <v>313</v>
      </c>
      <c r="L23" s="540">
        <v>17</v>
      </c>
      <c r="M23" s="530">
        <v>21</v>
      </c>
      <c r="N23" s="531" t="s">
        <v>153</v>
      </c>
      <c r="O23" s="532"/>
      <c r="P23" s="539" t="s">
        <v>142</v>
      </c>
      <c r="Q23" s="535">
        <v>21</v>
      </c>
      <c r="R23" s="536" t="s">
        <v>154</v>
      </c>
      <c r="S23" s="537"/>
      <c r="T23" s="540" t="s">
        <v>142</v>
      </c>
      <c r="U23" s="530">
        <v>21</v>
      </c>
      <c r="V23" s="545" t="s">
        <v>155</v>
      </c>
      <c r="W23" s="532"/>
      <c r="X23" s="539">
        <v>30</v>
      </c>
    </row>
    <row r="24" spans="1:24">
      <c r="A24" s="535">
        <v>22</v>
      </c>
      <c r="B24" s="536" t="s">
        <v>154</v>
      </c>
      <c r="C24" s="537"/>
      <c r="D24" s="540" t="s">
        <v>142</v>
      </c>
      <c r="E24" s="535">
        <v>22</v>
      </c>
      <c r="F24" s="536" t="s">
        <v>154</v>
      </c>
      <c r="G24" s="537"/>
      <c r="H24" s="538" t="s">
        <v>142</v>
      </c>
      <c r="I24" s="530">
        <v>22</v>
      </c>
      <c r="J24" s="531" t="s">
        <v>157</v>
      </c>
      <c r="K24" s="532"/>
      <c r="L24" s="534"/>
      <c r="M24" s="530">
        <v>22</v>
      </c>
      <c r="N24" s="531" t="s">
        <v>156</v>
      </c>
      <c r="O24" s="532"/>
      <c r="P24" s="539"/>
      <c r="Q24" s="535">
        <v>22</v>
      </c>
      <c r="R24" s="536" t="s">
        <v>159</v>
      </c>
      <c r="S24" s="537"/>
      <c r="T24" s="540" t="s">
        <v>142</v>
      </c>
      <c r="U24" s="530">
        <v>22</v>
      </c>
      <c r="V24" s="531" t="s">
        <v>157</v>
      </c>
      <c r="W24" s="532"/>
      <c r="X24" s="539"/>
    </row>
    <row r="25" spans="1:24">
      <c r="A25" s="535">
        <v>23</v>
      </c>
      <c r="B25" s="536" t="s">
        <v>159</v>
      </c>
      <c r="C25" s="537"/>
      <c r="D25" s="540" t="s">
        <v>142</v>
      </c>
      <c r="E25" s="535">
        <v>23</v>
      </c>
      <c r="F25" s="536" t="s">
        <v>159</v>
      </c>
      <c r="G25" s="537"/>
      <c r="H25" s="538" t="s">
        <v>142</v>
      </c>
      <c r="I25" s="530">
        <v>23</v>
      </c>
      <c r="J25" s="531" t="s">
        <v>153</v>
      </c>
      <c r="K25" s="532"/>
      <c r="L25" s="534" t="s">
        <v>142</v>
      </c>
      <c r="M25" s="530">
        <v>23</v>
      </c>
      <c r="N25" s="545" t="s">
        <v>158</v>
      </c>
      <c r="O25" s="532"/>
      <c r="P25" s="539" t="s">
        <v>142</v>
      </c>
      <c r="Q25" s="530">
        <v>23</v>
      </c>
      <c r="R25" s="545" t="s">
        <v>155</v>
      </c>
      <c r="S25" s="532"/>
      <c r="T25" s="534">
        <v>26</v>
      </c>
      <c r="U25" s="530">
        <v>23</v>
      </c>
      <c r="V25" s="531" t="s">
        <v>153</v>
      </c>
      <c r="W25" s="532"/>
      <c r="X25" s="539" t="s">
        <v>142</v>
      </c>
    </row>
    <row r="26" spans="1:24">
      <c r="A26" s="530">
        <v>24</v>
      </c>
      <c r="B26" s="531" t="s">
        <v>155</v>
      </c>
      <c r="C26" s="532"/>
      <c r="D26" s="534">
        <v>9</v>
      </c>
      <c r="E26" s="530">
        <v>24</v>
      </c>
      <c r="F26" s="531" t="s">
        <v>155</v>
      </c>
      <c r="G26" s="532"/>
      <c r="H26" s="539">
        <v>13</v>
      </c>
      <c r="I26" s="530">
        <v>24</v>
      </c>
      <c r="J26" s="531" t="s">
        <v>156</v>
      </c>
      <c r="K26" s="532"/>
      <c r="L26" s="534"/>
      <c r="M26" s="535">
        <v>24</v>
      </c>
      <c r="N26" s="536" t="s">
        <v>154</v>
      </c>
      <c r="O26" s="537"/>
      <c r="P26" s="538" t="s">
        <v>142</v>
      </c>
      <c r="Q26" s="530">
        <v>24</v>
      </c>
      <c r="R26" s="531" t="s">
        <v>157</v>
      </c>
      <c r="S26" s="532"/>
      <c r="T26" s="534"/>
      <c r="U26" s="530">
        <v>24</v>
      </c>
      <c r="V26" s="531" t="s">
        <v>156</v>
      </c>
      <c r="W26" s="532"/>
      <c r="X26" s="539"/>
    </row>
    <row r="27" spans="1:24">
      <c r="A27" s="530">
        <v>25</v>
      </c>
      <c r="B27" s="531" t="s">
        <v>157</v>
      </c>
      <c r="C27" s="532"/>
      <c r="D27" s="534" t="s">
        <v>142</v>
      </c>
      <c r="E27" s="530">
        <v>25</v>
      </c>
      <c r="F27" s="531" t="s">
        <v>157</v>
      </c>
      <c r="G27" s="532"/>
      <c r="H27" s="539"/>
      <c r="I27" s="530">
        <v>25</v>
      </c>
      <c r="J27" s="545" t="s">
        <v>158</v>
      </c>
      <c r="K27" s="532"/>
      <c r="L27" s="534" t="s">
        <v>142</v>
      </c>
      <c r="M27" s="535">
        <v>25</v>
      </c>
      <c r="N27" s="536" t="s">
        <v>159</v>
      </c>
      <c r="O27" s="537"/>
      <c r="P27" s="538" t="s">
        <v>142</v>
      </c>
      <c r="Q27" s="530">
        <v>25</v>
      </c>
      <c r="R27" s="531" t="s">
        <v>153</v>
      </c>
      <c r="S27" s="532"/>
      <c r="T27" s="534" t="s">
        <v>142</v>
      </c>
      <c r="U27" s="530">
        <v>25</v>
      </c>
      <c r="V27" s="531" t="s">
        <v>158</v>
      </c>
      <c r="W27" s="532"/>
      <c r="X27" s="539" t="s">
        <v>142</v>
      </c>
    </row>
    <row r="28" spans="1:24">
      <c r="A28" s="530">
        <v>26</v>
      </c>
      <c r="B28" s="531" t="s">
        <v>153</v>
      </c>
      <c r="C28" s="532"/>
      <c r="D28" s="534"/>
      <c r="E28" s="530">
        <v>26</v>
      </c>
      <c r="F28" s="531" t="s">
        <v>153</v>
      </c>
      <c r="G28" s="532"/>
      <c r="H28" s="539" t="s">
        <v>142</v>
      </c>
      <c r="I28" s="535">
        <v>26</v>
      </c>
      <c r="J28" s="536" t="s">
        <v>154</v>
      </c>
      <c r="K28" s="537"/>
      <c r="L28" s="540" t="s">
        <v>142</v>
      </c>
      <c r="M28" s="530">
        <v>26</v>
      </c>
      <c r="N28" s="545" t="s">
        <v>155</v>
      </c>
      <c r="O28" s="532"/>
      <c r="P28" s="539">
        <v>22</v>
      </c>
      <c r="Q28" s="530">
        <v>26</v>
      </c>
      <c r="R28" s="531" t="s">
        <v>156</v>
      </c>
      <c r="S28" s="532"/>
      <c r="T28" s="534"/>
      <c r="U28" s="535">
        <v>26</v>
      </c>
      <c r="V28" s="549" t="s">
        <v>154</v>
      </c>
      <c r="W28" s="537"/>
      <c r="X28" s="538" t="s">
        <v>142</v>
      </c>
    </row>
    <row r="29" spans="1:24">
      <c r="A29" s="530">
        <v>27</v>
      </c>
      <c r="B29" s="531" t="s">
        <v>156</v>
      </c>
      <c r="C29" s="532"/>
      <c r="D29" s="534"/>
      <c r="E29" s="530">
        <v>27</v>
      </c>
      <c r="F29" s="531" t="s">
        <v>156</v>
      </c>
      <c r="G29" s="532"/>
      <c r="H29" s="539"/>
      <c r="I29" s="535">
        <v>27</v>
      </c>
      <c r="J29" s="536" t="s">
        <v>159</v>
      </c>
      <c r="K29" s="537"/>
      <c r="L29" s="540" t="s">
        <v>142</v>
      </c>
      <c r="M29" s="530">
        <v>27</v>
      </c>
      <c r="N29" s="531" t="s">
        <v>157</v>
      </c>
      <c r="O29" s="532"/>
      <c r="P29" s="539"/>
      <c r="Q29" s="530">
        <v>27</v>
      </c>
      <c r="R29" s="531" t="s">
        <v>158</v>
      </c>
      <c r="S29" s="532"/>
      <c r="T29" s="534" t="s">
        <v>142</v>
      </c>
      <c r="U29" s="535">
        <v>27</v>
      </c>
      <c r="V29" s="536" t="s">
        <v>159</v>
      </c>
      <c r="W29" s="537"/>
      <c r="X29" s="538" t="s">
        <v>142</v>
      </c>
    </row>
    <row r="30" spans="1:24">
      <c r="A30" s="530">
        <v>28</v>
      </c>
      <c r="B30" s="545" t="s">
        <v>158</v>
      </c>
      <c r="C30" s="532"/>
      <c r="D30" s="539" t="s">
        <v>142</v>
      </c>
      <c r="E30" s="530">
        <v>28</v>
      </c>
      <c r="F30" s="545" t="s">
        <v>158</v>
      </c>
      <c r="G30" s="532"/>
      <c r="H30" s="539" t="s">
        <v>142</v>
      </c>
      <c r="I30" s="530">
        <v>28</v>
      </c>
      <c r="J30" s="545" t="s">
        <v>155</v>
      </c>
      <c r="K30" s="532"/>
      <c r="L30" s="534">
        <v>18</v>
      </c>
      <c r="M30" s="530">
        <v>28</v>
      </c>
      <c r="N30" s="531" t="s">
        <v>153</v>
      </c>
      <c r="O30" s="532"/>
      <c r="P30" s="539" t="s">
        <v>142</v>
      </c>
      <c r="Q30" s="535">
        <v>28</v>
      </c>
      <c r="R30" s="549" t="s">
        <v>154</v>
      </c>
      <c r="S30" s="537"/>
      <c r="T30" s="540" t="s">
        <v>142</v>
      </c>
      <c r="U30" s="530">
        <v>28</v>
      </c>
      <c r="V30" s="531" t="s">
        <v>155</v>
      </c>
      <c r="W30" s="532"/>
      <c r="X30" s="539">
        <v>31</v>
      </c>
    </row>
    <row r="31" spans="1:24">
      <c r="A31" s="197"/>
      <c r="B31" s="198"/>
      <c r="C31" s="199"/>
      <c r="D31" s="208"/>
      <c r="E31" s="535">
        <v>29</v>
      </c>
      <c r="F31" s="536" t="s">
        <v>154</v>
      </c>
      <c r="G31" s="537"/>
      <c r="H31" s="538" t="s">
        <v>142</v>
      </c>
      <c r="I31" s="530">
        <v>29</v>
      </c>
      <c r="J31" s="531" t="s">
        <v>157</v>
      </c>
      <c r="K31" s="532"/>
      <c r="L31" s="534"/>
      <c r="M31" s="535">
        <v>29</v>
      </c>
      <c r="N31" s="536" t="s">
        <v>156</v>
      </c>
      <c r="O31" s="537" t="s">
        <v>553</v>
      </c>
      <c r="P31" s="538"/>
      <c r="Q31" s="535">
        <v>29</v>
      </c>
      <c r="R31" s="536" t="s">
        <v>159</v>
      </c>
      <c r="S31" s="537"/>
      <c r="T31" s="540" t="s">
        <v>142</v>
      </c>
      <c r="U31" s="530">
        <v>29</v>
      </c>
      <c r="V31" s="531" t="s">
        <v>157</v>
      </c>
      <c r="W31" s="532"/>
      <c r="X31" s="539"/>
    </row>
    <row r="32" spans="1:24">
      <c r="A32" s="204"/>
      <c r="B32" s="205"/>
      <c r="C32" s="206"/>
      <c r="D32" s="207"/>
      <c r="E32" s="535">
        <v>30</v>
      </c>
      <c r="F32" s="536" t="s">
        <v>159</v>
      </c>
      <c r="G32" s="537"/>
      <c r="H32" s="538" t="s">
        <v>142</v>
      </c>
      <c r="I32" s="530">
        <v>30</v>
      </c>
      <c r="J32" s="531" t="s">
        <v>153</v>
      </c>
      <c r="K32" s="532"/>
      <c r="L32" s="534" t="s">
        <v>142</v>
      </c>
      <c r="M32" s="530">
        <v>30</v>
      </c>
      <c r="N32" s="531" t="s">
        <v>158</v>
      </c>
      <c r="O32" s="532"/>
      <c r="P32" s="539" t="s">
        <v>142</v>
      </c>
      <c r="Q32" s="530">
        <v>30</v>
      </c>
      <c r="R32" s="531" t="s">
        <v>155</v>
      </c>
      <c r="S32" s="532"/>
      <c r="T32" s="534">
        <v>27</v>
      </c>
      <c r="U32" s="530">
        <v>30</v>
      </c>
      <c r="V32" s="531" t="s">
        <v>153</v>
      </c>
      <c r="W32" s="532"/>
      <c r="X32" s="539" t="s">
        <v>142</v>
      </c>
    </row>
    <row r="33" spans="5:24">
      <c r="E33" s="544">
        <v>31</v>
      </c>
      <c r="F33" s="545" t="s">
        <v>155</v>
      </c>
      <c r="G33" s="546"/>
      <c r="H33" s="547">
        <v>14</v>
      </c>
      <c r="I33" s="204"/>
      <c r="J33" s="205"/>
      <c r="K33" s="206"/>
      <c r="L33" s="207"/>
      <c r="M33" s="548">
        <v>31</v>
      </c>
      <c r="N33" s="549" t="s">
        <v>154</v>
      </c>
      <c r="O33" s="551"/>
      <c r="P33" s="550" t="s">
        <v>142</v>
      </c>
      <c r="Q33" s="204"/>
      <c r="R33" s="205"/>
      <c r="S33" s="206"/>
      <c r="T33" s="207"/>
      <c r="U33" s="544">
        <v>31</v>
      </c>
      <c r="V33" s="545" t="s">
        <v>156</v>
      </c>
      <c r="W33" s="546"/>
      <c r="X33" s="547"/>
    </row>
  </sheetData>
  <mergeCells count="2">
    <mergeCell ref="A1:X1"/>
    <mergeCell ref="O20:P20"/>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F6CBD-364F-6F40-9D72-07780921BA31}">
  <sheetPr>
    <tabColor rgb="FFFFFF00"/>
    <pageSetUpPr fitToPage="1"/>
  </sheetPr>
  <dimension ref="A1:J30"/>
  <sheetViews>
    <sheetView workbookViewId="0">
      <selection activeCell="C8" sqref="C8"/>
    </sheetView>
  </sheetViews>
  <sheetFormatPr baseColWidth="10" defaultRowHeight="16"/>
  <sheetData>
    <row r="1" spans="1:10" ht="24" customHeight="1">
      <c r="A1" s="731" t="s">
        <v>759</v>
      </c>
      <c r="B1" s="731"/>
      <c r="C1" s="731"/>
      <c r="D1" s="731"/>
      <c r="E1" s="731"/>
      <c r="F1" s="731"/>
      <c r="G1" s="731"/>
      <c r="H1" s="731"/>
      <c r="I1" s="731"/>
      <c r="J1" s="714"/>
    </row>
    <row r="3" spans="1:10" ht="24">
      <c r="A3" s="646" t="s">
        <v>584</v>
      </c>
    </row>
    <row r="4" spans="1:10">
      <c r="A4" t="s">
        <v>585</v>
      </c>
    </row>
    <row r="5" spans="1:10" ht="131" customHeight="1">
      <c r="A5" s="728" t="s">
        <v>637</v>
      </c>
      <c r="B5" s="728"/>
      <c r="C5" s="728"/>
      <c r="D5" s="728"/>
      <c r="E5" s="728"/>
      <c r="F5" s="728"/>
      <c r="G5" s="728"/>
      <c r="H5" s="728"/>
      <c r="I5" s="728"/>
    </row>
    <row r="6" spans="1:10" ht="31" customHeight="1">
      <c r="A6" s="728" t="s">
        <v>755</v>
      </c>
      <c r="B6" s="728"/>
      <c r="C6" s="728"/>
      <c r="D6" s="728"/>
      <c r="E6" s="728"/>
      <c r="F6" s="728"/>
      <c r="G6" s="728"/>
      <c r="H6" s="728"/>
      <c r="I6" s="728"/>
    </row>
    <row r="8" spans="1:10" ht="24">
      <c r="A8" s="646" t="s">
        <v>586</v>
      </c>
    </row>
    <row r="9" spans="1:10" ht="34" customHeight="1">
      <c r="A9" s="728" t="s">
        <v>587</v>
      </c>
      <c r="B9" s="728"/>
      <c r="C9" s="728"/>
      <c r="D9" s="728"/>
      <c r="E9" s="728"/>
      <c r="F9" s="728"/>
      <c r="G9" s="728"/>
      <c r="H9" s="728"/>
      <c r="I9" s="728"/>
    </row>
    <row r="10" spans="1:10" ht="19">
      <c r="A10" s="744" t="s">
        <v>588</v>
      </c>
      <c r="B10" s="744"/>
      <c r="C10" s="744"/>
      <c r="D10" s="744"/>
      <c r="E10" s="744"/>
      <c r="F10" s="744"/>
      <c r="G10" s="744"/>
      <c r="H10" s="744"/>
      <c r="I10" s="744"/>
    </row>
    <row r="11" spans="1:10">
      <c r="A11" s="743" t="s">
        <v>520</v>
      </c>
      <c r="B11" s="743"/>
      <c r="C11" s="743"/>
      <c r="D11" s="743"/>
      <c r="E11" s="743"/>
      <c r="F11" s="743"/>
      <c r="G11" s="743"/>
      <c r="H11" s="743"/>
      <c r="I11" s="743"/>
    </row>
    <row r="12" spans="1:10" ht="47" customHeight="1">
      <c r="A12" s="728" t="s">
        <v>589</v>
      </c>
      <c r="B12" s="728"/>
      <c r="C12" s="728"/>
      <c r="D12" s="728"/>
      <c r="E12" s="728"/>
      <c r="F12" s="728"/>
      <c r="G12" s="728"/>
      <c r="H12" s="728"/>
      <c r="I12" s="728"/>
    </row>
    <row r="13" spans="1:10">
      <c r="A13" s="743" t="s">
        <v>590</v>
      </c>
      <c r="B13" s="743"/>
      <c r="C13" s="743"/>
      <c r="D13" s="743"/>
      <c r="E13" s="743"/>
      <c r="F13" s="743"/>
      <c r="G13" s="743"/>
      <c r="H13" s="743"/>
      <c r="I13" s="743"/>
    </row>
    <row r="14" spans="1:10" ht="65" customHeight="1">
      <c r="A14" s="728" t="s">
        <v>591</v>
      </c>
      <c r="B14" s="728"/>
      <c r="C14" s="728"/>
      <c r="D14" s="728"/>
      <c r="E14" s="728"/>
      <c r="F14" s="728"/>
      <c r="G14" s="728"/>
      <c r="H14" s="728"/>
      <c r="I14" s="728"/>
    </row>
    <row r="15" spans="1:10">
      <c r="A15" s="742" t="s">
        <v>592</v>
      </c>
      <c r="B15" s="742"/>
      <c r="C15" s="742"/>
      <c r="D15" s="742"/>
      <c r="E15" s="742"/>
      <c r="F15" s="742"/>
      <c r="G15" s="742"/>
      <c r="H15" s="742"/>
      <c r="I15" s="742"/>
    </row>
    <row r="16" spans="1:10">
      <c r="A16" s="648" t="s">
        <v>595</v>
      </c>
      <c r="B16" s="648"/>
      <c r="C16" s="648"/>
      <c r="D16" s="648"/>
      <c r="E16" s="648"/>
      <c r="F16" s="648"/>
      <c r="G16" s="648"/>
      <c r="H16" s="648"/>
      <c r="I16" s="648"/>
    </row>
    <row r="17" spans="1:9" ht="34" customHeight="1">
      <c r="A17" s="728" t="s">
        <v>756</v>
      </c>
      <c r="B17" s="728"/>
      <c r="C17" s="728"/>
      <c r="D17" s="728"/>
      <c r="E17" s="728"/>
      <c r="F17" s="728"/>
      <c r="G17" s="728"/>
      <c r="H17" s="728"/>
      <c r="I17" s="728"/>
    </row>
    <row r="18" spans="1:9" ht="13" customHeight="1">
      <c r="A18" s="741" t="s">
        <v>162</v>
      </c>
      <c r="B18" s="741"/>
      <c r="C18" s="741"/>
      <c r="D18" s="741"/>
      <c r="E18" s="741"/>
      <c r="F18" s="741"/>
      <c r="G18" s="741"/>
      <c r="H18" s="741"/>
      <c r="I18" s="741"/>
    </row>
    <row r="19" spans="1:9">
      <c r="A19" s="734" t="s">
        <v>593</v>
      </c>
      <c r="B19" s="734"/>
      <c r="C19" s="734"/>
      <c r="D19" s="734"/>
      <c r="E19" s="734"/>
      <c r="F19" s="734"/>
      <c r="G19" s="734"/>
      <c r="H19" s="734"/>
      <c r="I19" s="734"/>
    </row>
    <row r="20" spans="1:9">
      <c r="A20" s="734" t="s">
        <v>594</v>
      </c>
      <c r="B20" s="734"/>
      <c r="C20" s="734"/>
      <c r="D20" s="734"/>
      <c r="E20" s="734"/>
      <c r="F20" s="734"/>
      <c r="G20" s="734"/>
      <c r="H20" s="734"/>
      <c r="I20" s="734"/>
    </row>
    <row r="21" spans="1:9" ht="53" customHeight="1">
      <c r="A21" s="728" t="s">
        <v>638</v>
      </c>
      <c r="B21" s="728"/>
      <c r="C21" s="728"/>
      <c r="D21" s="728"/>
      <c r="E21" s="728"/>
      <c r="F21" s="728"/>
      <c r="G21" s="728"/>
      <c r="H21" s="728"/>
      <c r="I21" s="728"/>
    </row>
    <row r="22" spans="1:9" ht="34" customHeight="1">
      <c r="A22" s="728" t="s">
        <v>639</v>
      </c>
      <c r="B22" s="728"/>
      <c r="C22" s="728"/>
      <c r="D22" s="728"/>
      <c r="E22" s="728"/>
      <c r="F22" s="728"/>
      <c r="G22" s="728"/>
      <c r="H22" s="728"/>
      <c r="I22" s="728"/>
    </row>
    <row r="23" spans="1:9" ht="83" customHeight="1">
      <c r="A23" s="739" t="s">
        <v>640</v>
      </c>
      <c r="B23" s="740"/>
      <c r="C23" s="740"/>
      <c r="D23" s="740"/>
      <c r="E23" s="740"/>
      <c r="F23" s="740"/>
      <c r="G23" s="740"/>
      <c r="H23" s="740"/>
      <c r="I23" s="740"/>
    </row>
    <row r="24" spans="1:9">
      <c r="A24" s="647"/>
    </row>
    <row r="25" spans="1:9" ht="24">
      <c r="A25" s="646" t="s">
        <v>646</v>
      </c>
    </row>
    <row r="26" spans="1:9">
      <c r="A26" s="734" t="s">
        <v>641</v>
      </c>
      <c r="B26" s="734"/>
      <c r="C26" s="734"/>
      <c r="D26" s="734"/>
      <c r="E26" s="734"/>
      <c r="F26" s="734"/>
      <c r="G26" s="734"/>
      <c r="H26" s="734"/>
      <c r="I26" s="734"/>
    </row>
    <row r="27" spans="1:9" ht="31" customHeight="1">
      <c r="A27" s="728" t="s">
        <v>642</v>
      </c>
      <c r="B27" s="728"/>
      <c r="C27" s="728"/>
      <c r="D27" s="728"/>
      <c r="E27" s="728"/>
      <c r="F27" s="728"/>
      <c r="G27" s="728"/>
      <c r="H27" s="728"/>
      <c r="I27" s="728"/>
    </row>
    <row r="28" spans="1:9">
      <c r="A28" s="734" t="s">
        <v>643</v>
      </c>
      <c r="B28" s="734"/>
      <c r="C28" s="734"/>
      <c r="D28" s="734"/>
      <c r="E28" s="734"/>
      <c r="F28" s="734"/>
      <c r="G28" s="734"/>
      <c r="H28" s="734"/>
      <c r="I28" s="734"/>
    </row>
    <row r="29" spans="1:9" ht="31" customHeight="1">
      <c r="A29" s="728" t="s">
        <v>644</v>
      </c>
      <c r="B29" s="728"/>
      <c r="C29" s="728"/>
      <c r="D29" s="728"/>
      <c r="E29" s="728"/>
      <c r="F29" s="728"/>
      <c r="G29" s="728"/>
      <c r="H29" s="728"/>
      <c r="I29" s="728"/>
    </row>
    <row r="30" spans="1:9" ht="31" customHeight="1">
      <c r="A30" s="728" t="s">
        <v>645</v>
      </c>
      <c r="B30" s="728"/>
      <c r="C30" s="728"/>
      <c r="D30" s="728"/>
      <c r="E30" s="728"/>
      <c r="F30" s="728"/>
      <c r="G30" s="728"/>
      <c r="H30" s="728"/>
      <c r="I30" s="728"/>
    </row>
  </sheetData>
  <sheetProtection sheet="1" objects="1" scenarios="1"/>
  <mergeCells count="22">
    <mergeCell ref="A1:I1"/>
    <mergeCell ref="A5:I5"/>
    <mergeCell ref="A12:I12"/>
    <mergeCell ref="A9:I9"/>
    <mergeCell ref="A14:I14"/>
    <mergeCell ref="A13:I13"/>
    <mergeCell ref="A6:I6"/>
    <mergeCell ref="A10:I10"/>
    <mergeCell ref="A11:I11"/>
    <mergeCell ref="A15:I15"/>
    <mergeCell ref="A17:I17"/>
    <mergeCell ref="A19:I19"/>
    <mergeCell ref="A20:I20"/>
    <mergeCell ref="A21:I21"/>
    <mergeCell ref="A28:I28"/>
    <mergeCell ref="A29:I29"/>
    <mergeCell ref="A30:I30"/>
    <mergeCell ref="A23:I23"/>
    <mergeCell ref="A18:I18"/>
    <mergeCell ref="A26:I26"/>
    <mergeCell ref="A27:I27"/>
    <mergeCell ref="A22:I22"/>
  </mergeCells>
  <pageMargins left="0.7" right="0.7" top="0.75" bottom="0.75" header="0.3" footer="0.3"/>
  <pageSetup paperSize="9" scale="84" orientation="portrait" horizontalDpi="0" verticalDpi="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I37"/>
  <sheetViews>
    <sheetView topLeftCell="A3" zoomScale="114" workbookViewId="0">
      <selection activeCell="E12" sqref="E12:H12"/>
    </sheetView>
  </sheetViews>
  <sheetFormatPr baseColWidth="10" defaultRowHeight="16"/>
  <cols>
    <col min="4" max="4" width="23.83203125" customWidth="1"/>
    <col min="9" max="9" width="71.5" hidden="1" customWidth="1"/>
    <col min="10" max="11" width="0" hidden="1" customWidth="1"/>
  </cols>
  <sheetData>
    <row r="1" spans="1:9" ht="80" customHeight="1">
      <c r="A1" s="726"/>
      <c r="B1" s="726"/>
      <c r="C1" s="799" t="s">
        <v>374</v>
      </c>
      <c r="D1" s="799"/>
      <c r="E1" s="799"/>
      <c r="F1" s="799"/>
      <c r="G1" s="799"/>
      <c r="H1" s="799"/>
    </row>
    <row r="2" spans="1:9" ht="122" customHeight="1">
      <c r="A2" s="726"/>
      <c r="B2" s="726"/>
      <c r="C2" s="799" t="s">
        <v>375</v>
      </c>
      <c r="D2" s="799"/>
      <c r="E2" s="799"/>
      <c r="F2" s="799"/>
      <c r="G2" s="799"/>
      <c r="H2" s="799"/>
    </row>
    <row r="3" spans="1:9" ht="115" customHeight="1">
      <c r="A3" s="726"/>
      <c r="B3" s="726"/>
      <c r="C3" s="799" t="s">
        <v>496</v>
      </c>
      <c r="D3" s="799"/>
      <c r="E3" s="799"/>
      <c r="F3" s="799"/>
      <c r="G3" s="799"/>
      <c r="H3" s="799"/>
    </row>
    <row r="4" spans="1:9" ht="59" customHeight="1" thickBot="1">
      <c r="A4" s="801"/>
      <c r="B4" s="801"/>
      <c r="C4" s="800" t="s">
        <v>342</v>
      </c>
      <c r="D4" s="800"/>
      <c r="E4" s="800"/>
      <c r="F4" s="800"/>
      <c r="G4" s="800"/>
      <c r="H4" s="800"/>
    </row>
    <row r="5" spans="1:9" ht="24">
      <c r="A5" s="746" t="s">
        <v>360</v>
      </c>
      <c r="B5" s="748" t="s">
        <v>4</v>
      </c>
      <c r="C5" s="749"/>
      <c r="D5" s="749"/>
      <c r="E5" s="749"/>
      <c r="F5" s="749"/>
      <c r="G5" s="749"/>
      <c r="H5" s="750"/>
    </row>
    <row r="6" spans="1:9" ht="32" customHeight="1">
      <c r="A6" s="747"/>
      <c r="B6" s="332" t="s">
        <v>66</v>
      </c>
      <c r="C6" s="333"/>
      <c r="D6" s="333"/>
      <c r="E6" s="333"/>
      <c r="F6" s="333" t="str">
        <f>Vejledning!B2</f>
        <v>2024-2025</v>
      </c>
      <c r="G6" s="333"/>
      <c r="H6" s="334"/>
    </row>
    <row r="7" spans="1:9">
      <c r="A7" s="747"/>
      <c r="B7" s="751" t="s">
        <v>24</v>
      </c>
      <c r="C7" s="751"/>
      <c r="D7" s="751"/>
      <c r="E7" s="752" t="s">
        <v>554</v>
      </c>
      <c r="F7" s="753"/>
      <c r="G7" s="753"/>
      <c r="H7" s="754"/>
    </row>
    <row r="8" spans="1:9">
      <c r="A8" s="747"/>
      <c r="B8" s="751" t="s">
        <v>53</v>
      </c>
      <c r="C8" s="751"/>
      <c r="D8" s="751"/>
      <c r="E8" s="752" t="s">
        <v>555</v>
      </c>
      <c r="F8" s="753"/>
      <c r="G8" s="753"/>
      <c r="H8" s="754"/>
    </row>
    <row r="9" spans="1:9">
      <c r="A9" s="747"/>
      <c r="B9" s="755" t="s">
        <v>29</v>
      </c>
      <c r="C9" s="756"/>
      <c r="D9" s="757"/>
      <c r="E9" s="764" t="s">
        <v>27</v>
      </c>
      <c r="F9" s="765"/>
      <c r="G9" s="764" t="s">
        <v>28</v>
      </c>
      <c r="H9" s="766"/>
    </row>
    <row r="10" spans="1:9">
      <c r="A10" s="747"/>
      <c r="B10" s="758"/>
      <c r="C10" s="759"/>
      <c r="D10" s="760"/>
      <c r="E10" s="767" t="s">
        <v>334</v>
      </c>
      <c r="F10" s="768"/>
      <c r="G10" s="767" t="str">
        <f>E10</f>
        <v>Dato format dd.mm.åååå</v>
      </c>
      <c r="H10" s="769"/>
    </row>
    <row r="11" spans="1:9">
      <c r="A11" s="747"/>
      <c r="B11" s="761"/>
      <c r="C11" s="762"/>
      <c r="D11" s="763"/>
      <c r="E11" s="770" t="s">
        <v>556</v>
      </c>
      <c r="F11" s="771"/>
      <c r="G11" s="770" t="s">
        <v>557</v>
      </c>
      <c r="H11" s="772"/>
    </row>
    <row r="12" spans="1:9" ht="73" customHeight="1">
      <c r="A12" s="747"/>
      <c r="B12" s="803" t="s">
        <v>418</v>
      </c>
      <c r="C12" s="804"/>
      <c r="D12" s="805"/>
      <c r="E12" s="770" t="s">
        <v>184</v>
      </c>
      <c r="F12" s="806"/>
      <c r="G12" s="806"/>
      <c r="H12" s="772"/>
    </row>
    <row r="13" spans="1:9" ht="35" customHeight="1">
      <c r="A13" s="747"/>
      <c r="B13" s="773" t="s">
        <v>446</v>
      </c>
      <c r="C13" s="773"/>
      <c r="D13" s="773"/>
      <c r="E13" s="781">
        <v>1</v>
      </c>
      <c r="F13" s="782"/>
      <c r="G13" s="782"/>
      <c r="H13" s="783"/>
      <c r="I13" s="41" t="s">
        <v>184</v>
      </c>
    </row>
    <row r="14" spans="1:9" ht="35" customHeight="1">
      <c r="A14" s="747"/>
      <c r="B14" s="793" t="s">
        <v>353</v>
      </c>
      <c r="C14" s="794"/>
      <c r="D14" s="795"/>
      <c r="E14" s="781" t="s">
        <v>185</v>
      </c>
      <c r="F14" s="782"/>
      <c r="G14" s="782"/>
      <c r="H14" s="783"/>
      <c r="I14" s="41" t="s">
        <v>185</v>
      </c>
    </row>
    <row r="15" spans="1:9" ht="17" thickBot="1">
      <c r="A15" s="747"/>
      <c r="B15" s="793" t="s">
        <v>183</v>
      </c>
      <c r="C15" s="794"/>
      <c r="D15" s="795"/>
      <c r="E15" s="796">
        <f>IF(E14="Ja",E13*33.63/37,E13)</f>
        <v>1</v>
      </c>
      <c r="F15" s="797"/>
      <c r="G15" s="797"/>
      <c r="H15" s="798"/>
      <c r="I15" s="41"/>
    </row>
    <row r="16" spans="1:9" ht="30" customHeight="1" thickBot="1">
      <c r="A16" s="745"/>
      <c r="B16" s="745"/>
      <c r="C16" s="745"/>
      <c r="D16" s="745"/>
      <c r="E16" s="745"/>
      <c r="F16" s="745"/>
      <c r="G16" s="745"/>
      <c r="H16" s="745"/>
    </row>
    <row r="17" spans="1:9" ht="32" customHeight="1">
      <c r="A17" s="746" t="s">
        <v>361</v>
      </c>
      <c r="B17" s="784" t="s">
        <v>256</v>
      </c>
      <c r="C17" s="785"/>
      <c r="D17" s="785"/>
      <c r="E17" s="785"/>
      <c r="F17" s="785"/>
      <c r="G17" s="785"/>
      <c r="H17" s="786"/>
      <c r="I17" s="409" t="s">
        <v>320</v>
      </c>
    </row>
    <row r="18" spans="1:9" ht="20" customHeight="1">
      <c r="A18" s="747"/>
      <c r="B18" s="317" t="s">
        <v>257</v>
      </c>
      <c r="C18" s="240"/>
      <c r="D18" s="240"/>
      <c r="E18" s="240"/>
      <c r="F18" s="240"/>
      <c r="G18" s="240"/>
      <c r="H18" s="312"/>
      <c r="I18" s="409" t="s">
        <v>376</v>
      </c>
    </row>
    <row r="19" spans="1:9" ht="65" customHeight="1">
      <c r="A19" s="747"/>
      <c r="B19" s="787" t="s">
        <v>469</v>
      </c>
      <c r="C19" s="788"/>
      <c r="D19" s="788"/>
      <c r="E19" s="788"/>
      <c r="F19" s="788"/>
      <c r="G19" s="788"/>
      <c r="H19" s="789"/>
      <c r="I19" s="409" t="s">
        <v>377</v>
      </c>
    </row>
    <row r="20" spans="1:9" ht="38" customHeight="1">
      <c r="A20" s="747"/>
      <c r="B20" s="787" t="s">
        <v>322</v>
      </c>
      <c r="C20" s="788"/>
      <c r="D20" s="788"/>
      <c r="E20" s="788"/>
      <c r="F20" s="788"/>
      <c r="G20" s="788"/>
      <c r="H20" s="789"/>
      <c r="I20" s="409" t="s">
        <v>321</v>
      </c>
    </row>
    <row r="21" spans="1:9" ht="19" customHeight="1">
      <c r="A21" s="747"/>
      <c r="B21" s="777" t="s">
        <v>323</v>
      </c>
      <c r="C21" s="778"/>
      <c r="D21" s="778"/>
      <c r="E21" s="778"/>
      <c r="F21" s="778"/>
      <c r="G21" s="778"/>
      <c r="H21" s="779"/>
      <c r="I21" s="409" t="s">
        <v>325</v>
      </c>
    </row>
    <row r="22" spans="1:9" ht="30" customHeight="1">
      <c r="A22" s="747"/>
      <c r="B22" s="810" t="s">
        <v>320</v>
      </c>
      <c r="C22" s="811"/>
      <c r="D22" s="811"/>
      <c r="E22" s="811"/>
      <c r="F22" s="811"/>
      <c r="G22" s="811"/>
      <c r="H22" s="812"/>
      <c r="I22" s="409" t="s">
        <v>378</v>
      </c>
    </row>
    <row r="23" spans="1:9" ht="16" customHeight="1">
      <c r="A23" s="747"/>
      <c r="B23" s="790" t="s">
        <v>258</v>
      </c>
      <c r="C23" s="791"/>
      <c r="D23" s="791"/>
      <c r="E23" s="791"/>
      <c r="F23" s="791"/>
      <c r="G23" s="791"/>
      <c r="H23" s="792"/>
      <c r="I23" s="409" t="s">
        <v>379</v>
      </c>
    </row>
    <row r="24" spans="1:9" ht="70" customHeight="1">
      <c r="A24" s="747"/>
      <c r="B24" s="787" t="s">
        <v>470</v>
      </c>
      <c r="C24" s="788"/>
      <c r="D24" s="788"/>
      <c r="E24" s="788"/>
      <c r="F24" s="788"/>
      <c r="G24" s="788"/>
      <c r="H24" s="789"/>
      <c r="I24" s="409" t="s">
        <v>380</v>
      </c>
    </row>
    <row r="25" spans="1:9" ht="20" customHeight="1">
      <c r="A25" s="747"/>
      <c r="B25" s="777" t="s">
        <v>323</v>
      </c>
      <c r="C25" s="778"/>
      <c r="D25" s="778"/>
      <c r="E25" s="778"/>
      <c r="F25" s="778"/>
      <c r="G25" s="778"/>
      <c r="H25" s="779"/>
      <c r="I25" s="409" t="s">
        <v>381</v>
      </c>
    </row>
    <row r="26" spans="1:9" ht="30" customHeight="1" thickBot="1">
      <c r="A26" s="780"/>
      <c r="B26" s="774" t="s">
        <v>321</v>
      </c>
      <c r="C26" s="775"/>
      <c r="D26" s="775"/>
      <c r="E26" s="775"/>
      <c r="F26" s="775"/>
      <c r="G26" s="775"/>
      <c r="H26" s="776"/>
      <c r="I26" s="409" t="s">
        <v>382</v>
      </c>
    </row>
    <row r="27" spans="1:9" ht="30" customHeight="1" thickBot="1">
      <c r="A27" s="745"/>
      <c r="B27" s="745"/>
      <c r="C27" s="745"/>
      <c r="D27" s="745"/>
      <c r="E27" s="745"/>
      <c r="F27" s="745"/>
      <c r="G27" s="745"/>
      <c r="H27" s="745"/>
      <c r="I27" s="397"/>
    </row>
    <row r="28" spans="1:9" ht="26">
      <c r="A28" s="808" t="s">
        <v>232</v>
      </c>
      <c r="B28" s="784" t="s">
        <v>329</v>
      </c>
      <c r="C28" s="785"/>
      <c r="D28" s="785"/>
      <c r="E28" s="785"/>
      <c r="F28" s="785"/>
      <c r="G28" s="785"/>
      <c r="H28" s="786"/>
      <c r="I28" s="409" t="s">
        <v>184</v>
      </c>
    </row>
    <row r="29" spans="1:9" ht="55" customHeight="1">
      <c r="A29" s="809"/>
      <c r="B29" s="773" t="s">
        <v>328</v>
      </c>
      <c r="C29" s="773"/>
      <c r="D29" s="773"/>
      <c r="E29" s="773"/>
      <c r="F29" s="773"/>
      <c r="G29" s="773"/>
      <c r="H29" s="375" t="s">
        <v>185</v>
      </c>
      <c r="I29" s="410" t="s">
        <v>185</v>
      </c>
    </row>
    <row r="30" spans="1:9" ht="40" customHeight="1">
      <c r="A30" s="809"/>
      <c r="B30" s="807" t="s">
        <v>296</v>
      </c>
      <c r="C30" s="807"/>
      <c r="D30" s="807"/>
      <c r="E30" s="807"/>
      <c r="F30" s="807"/>
      <c r="G30" s="807"/>
      <c r="H30" s="411"/>
      <c r="I30" s="397"/>
    </row>
    <row r="31" spans="1:9" ht="41" customHeight="1">
      <c r="A31" s="809"/>
      <c r="B31" s="793" t="s">
        <v>327</v>
      </c>
      <c r="C31" s="794"/>
      <c r="D31" s="794"/>
      <c r="E31" s="794"/>
      <c r="F31" s="794"/>
      <c r="G31" s="795"/>
      <c r="H31" s="331">
        <f>Skemaoplysninger!BD40+Skemaoplysninger!BD41</f>
        <v>208.33333333333331</v>
      </c>
    </row>
    <row r="32" spans="1:9" ht="16" customHeight="1">
      <c r="C32" s="365"/>
      <c r="D32" s="365"/>
      <c r="E32" s="365"/>
      <c r="F32" s="365"/>
      <c r="G32" s="365"/>
      <c r="H32" s="365"/>
    </row>
    <row r="33" spans="1:8" ht="16" customHeight="1">
      <c r="A33" s="730"/>
      <c r="B33" s="730"/>
      <c r="C33" s="802" t="s">
        <v>354</v>
      </c>
      <c r="D33" s="802"/>
      <c r="E33" s="802"/>
      <c r="F33" s="802"/>
      <c r="G33" s="802"/>
      <c r="H33" s="802"/>
    </row>
    <row r="34" spans="1:8" ht="16" customHeight="1">
      <c r="A34" s="730"/>
      <c r="B34" s="730"/>
      <c r="C34" s="802"/>
      <c r="D34" s="802"/>
      <c r="E34" s="802"/>
      <c r="F34" s="802"/>
      <c r="G34" s="802"/>
      <c r="H34" s="802"/>
    </row>
    <row r="35" spans="1:8" ht="31" customHeight="1">
      <c r="A35" s="730"/>
      <c r="B35" s="730"/>
      <c r="C35" s="802"/>
      <c r="D35" s="802"/>
      <c r="E35" s="802"/>
      <c r="F35" s="802"/>
      <c r="G35" s="802"/>
      <c r="H35" s="802"/>
    </row>
    <row r="36" spans="1:8" ht="16" customHeight="1">
      <c r="A36" s="730"/>
      <c r="B36" s="730"/>
      <c r="C36" s="802"/>
      <c r="D36" s="802"/>
      <c r="E36" s="802"/>
      <c r="F36" s="802"/>
      <c r="G36" s="802"/>
      <c r="H36" s="802"/>
    </row>
    <row r="37" spans="1:8">
      <c r="A37" s="730"/>
      <c r="B37" s="730"/>
      <c r="C37" s="802"/>
      <c r="D37" s="802"/>
      <c r="E37" s="802"/>
      <c r="F37" s="802"/>
      <c r="G37" s="802"/>
      <c r="H37" s="802"/>
    </row>
  </sheetData>
  <sheetProtection sheet="1" objects="1" scenarios="1"/>
  <mergeCells count="45">
    <mergeCell ref="C1:H1"/>
    <mergeCell ref="C3:H3"/>
    <mergeCell ref="C4:H4"/>
    <mergeCell ref="A1:B4"/>
    <mergeCell ref="C33:H37"/>
    <mergeCell ref="A33:B37"/>
    <mergeCell ref="B12:D12"/>
    <mergeCell ref="E12:H12"/>
    <mergeCell ref="C2:H2"/>
    <mergeCell ref="B28:H28"/>
    <mergeCell ref="B30:G30"/>
    <mergeCell ref="B31:G31"/>
    <mergeCell ref="A28:A31"/>
    <mergeCell ref="B25:H25"/>
    <mergeCell ref="B29:G29"/>
    <mergeCell ref="B22:H22"/>
    <mergeCell ref="B21:H21"/>
    <mergeCell ref="A17:A26"/>
    <mergeCell ref="E13:H13"/>
    <mergeCell ref="B17:H17"/>
    <mergeCell ref="B19:H19"/>
    <mergeCell ref="B20:H20"/>
    <mergeCell ref="B23:H23"/>
    <mergeCell ref="B24:H24"/>
    <mergeCell ref="B15:D15"/>
    <mergeCell ref="E15:H15"/>
    <mergeCell ref="B14:D14"/>
    <mergeCell ref="E14:H14"/>
    <mergeCell ref="A16:H16"/>
    <mergeCell ref="A27:H27"/>
    <mergeCell ref="A5:A15"/>
    <mergeCell ref="B5:H5"/>
    <mergeCell ref="B7:D7"/>
    <mergeCell ref="E7:H7"/>
    <mergeCell ref="B8:D8"/>
    <mergeCell ref="E8:H8"/>
    <mergeCell ref="B9:D11"/>
    <mergeCell ref="E9:F9"/>
    <mergeCell ref="G9:H9"/>
    <mergeCell ref="E10:F10"/>
    <mergeCell ref="G10:H10"/>
    <mergeCell ref="E11:F11"/>
    <mergeCell ref="G11:H11"/>
    <mergeCell ref="B13:D13"/>
    <mergeCell ref="B26:H26"/>
  </mergeCells>
  <conditionalFormatting sqref="B30">
    <cfRule type="expression" dxfId="993" priority="5">
      <formula>OR($H29="Nej",)</formula>
    </cfRule>
  </conditionalFormatting>
  <conditionalFormatting sqref="B31 H31">
    <cfRule type="expression" dxfId="992" priority="1">
      <formula>OR($H$29="Ja",)</formula>
    </cfRule>
  </conditionalFormatting>
  <conditionalFormatting sqref="B31">
    <cfRule type="expression" dxfId="991" priority="4">
      <formula>OR($J$8="Ja",)</formula>
    </cfRule>
  </conditionalFormatting>
  <conditionalFormatting sqref="B30:H30">
    <cfRule type="expression" dxfId="990" priority="2">
      <formula>OR($H$29="Nej",)</formula>
    </cfRule>
  </conditionalFormatting>
  <conditionalFormatting sqref="H31">
    <cfRule type="expression" dxfId="989" priority="3">
      <formula>OR($J$8="Ja",)</formula>
    </cfRule>
  </conditionalFormatting>
  <dataValidations count="4">
    <dataValidation type="list" allowBlank="1" showInputMessage="1" showErrorMessage="1" sqref="E14:H14 E12:H12" xr:uid="{59E668A3-32EF-B846-8F30-0A5B1C3FF7EE}">
      <formula1>$I$13:$I$14</formula1>
    </dataValidation>
    <dataValidation type="list" allowBlank="1" showInputMessage="1" showErrorMessage="1" sqref="B22:H22" xr:uid="{F392690C-B5FF-3544-B2A6-6282EAEF66E5}">
      <formula1>$I$17:$I$19</formula1>
    </dataValidation>
    <dataValidation type="list" allowBlank="1" showInputMessage="1" showErrorMessage="1" sqref="B26:H26" xr:uid="{220F7218-A30D-3747-81EB-817B46195164}">
      <formula1>$I$20:$I$26</formula1>
    </dataValidation>
    <dataValidation type="list" allowBlank="1" showInputMessage="1" showErrorMessage="1" sqref="H29" xr:uid="{9EBF49C3-9B2C-E947-9002-F99CACDC417C}">
      <formula1>$I$28:$I$29</formula1>
    </dataValidation>
  </dataValidations>
  <pageMargins left="0.7" right="0.7" top="0.75" bottom="0.75" header="0.3" footer="0.3"/>
  <pageSetup paperSize="9" scale="82" orientation="portrait" horizontalDpi="0" verticalDpi="0"/>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BD96"/>
  <sheetViews>
    <sheetView showZeros="0" topLeftCell="A8" zoomScaleNormal="100" workbookViewId="0">
      <selection activeCell="AY17" sqref="AY17"/>
    </sheetView>
  </sheetViews>
  <sheetFormatPr baseColWidth="10" defaultRowHeight="16"/>
  <cols>
    <col min="4" max="4" width="4.83203125" customWidth="1"/>
    <col min="5" max="5" width="14.83203125" customWidth="1"/>
    <col min="6" max="6" width="4.83203125" customWidth="1"/>
    <col min="7" max="7" width="14.83203125" customWidth="1"/>
    <col min="8" max="8" width="4.83203125" customWidth="1"/>
    <col min="9" max="9" width="14.83203125" customWidth="1"/>
    <col min="10" max="10" width="4.83203125" customWidth="1"/>
    <col min="11" max="11" width="14.83203125" customWidth="1"/>
    <col min="12" max="12" width="4.83203125" customWidth="1"/>
    <col min="13" max="13" width="14.83203125" customWidth="1"/>
    <col min="15" max="15" width="12.5" bestFit="1" customWidth="1"/>
    <col min="18" max="18" width="4.83203125" customWidth="1"/>
    <col min="19" max="19" width="14.83203125" customWidth="1"/>
    <col min="20" max="20" width="4.83203125" customWidth="1"/>
    <col min="21" max="21" width="14.83203125" customWidth="1"/>
    <col min="22" max="22" width="4.83203125" customWidth="1"/>
    <col min="23" max="23" width="14.83203125" customWidth="1"/>
    <col min="24" max="24" width="4.83203125" customWidth="1"/>
    <col min="25" max="25" width="14.83203125" customWidth="1"/>
    <col min="26" max="26" width="4.83203125" customWidth="1"/>
    <col min="27" max="27" width="14.83203125" customWidth="1"/>
    <col min="32" max="32" width="4.83203125" customWidth="1"/>
    <col min="33" max="33" width="14.83203125" customWidth="1"/>
    <col min="34" max="34" width="4.83203125" customWidth="1"/>
    <col min="35" max="35" width="14.83203125" customWidth="1"/>
    <col min="36" max="36" width="4.83203125" customWidth="1"/>
    <col min="37" max="37" width="14.83203125" customWidth="1"/>
    <col min="38" max="38" width="4.83203125" customWidth="1"/>
    <col min="39" max="39" width="14.83203125" customWidth="1"/>
    <col min="40" max="40" width="4.83203125" customWidth="1"/>
    <col min="41" max="41" width="14.83203125" customWidth="1"/>
    <col min="46" max="46" width="4.83203125" customWidth="1"/>
    <col min="47" max="47" width="14.83203125" customWidth="1"/>
    <col min="48" max="48" width="4.83203125" customWidth="1"/>
    <col min="49" max="49" width="14.83203125" customWidth="1"/>
    <col min="50" max="50" width="4.83203125" customWidth="1"/>
    <col min="51" max="51" width="14.83203125" customWidth="1"/>
    <col min="52" max="52" width="4.83203125" customWidth="1"/>
    <col min="53" max="53" width="14.83203125" customWidth="1"/>
    <col min="54" max="54" width="4.83203125" customWidth="1"/>
    <col min="55" max="55" width="14.83203125" customWidth="1"/>
  </cols>
  <sheetData>
    <row r="1" spans="1:55" ht="201" customHeight="1">
      <c r="C1" s="813" t="s">
        <v>652</v>
      </c>
      <c r="D1" s="813"/>
      <c r="E1" s="813"/>
      <c r="F1" s="813"/>
      <c r="G1" s="813"/>
      <c r="H1" s="813"/>
      <c r="I1" s="813"/>
      <c r="J1" s="813"/>
      <c r="K1" s="813"/>
      <c r="L1" s="813"/>
      <c r="M1" s="813"/>
      <c r="N1" s="813"/>
      <c r="O1" s="813"/>
      <c r="P1" s="813"/>
      <c r="Q1" s="813"/>
      <c r="R1" s="813"/>
      <c r="S1" s="813"/>
      <c r="AO1" s="41"/>
    </row>
    <row r="2" spans="1:55" ht="71" customHeight="1">
      <c r="A2" s="825" t="s">
        <v>474</v>
      </c>
      <c r="B2" s="825"/>
      <c r="C2" s="825" t="s">
        <v>654</v>
      </c>
      <c r="D2" s="825"/>
      <c r="E2" s="814" t="s">
        <v>655</v>
      </c>
      <c r="F2" s="814"/>
      <c r="G2" s="814"/>
      <c r="H2" s="814"/>
      <c r="I2" s="814"/>
      <c r="J2" s="814"/>
      <c r="K2" s="814"/>
      <c r="L2" s="814"/>
      <c r="M2" s="814"/>
      <c r="N2" s="814"/>
      <c r="O2" s="814"/>
      <c r="P2" s="814"/>
      <c r="Q2" s="814"/>
      <c r="R2" s="814"/>
      <c r="S2" s="814"/>
      <c r="AO2" s="41"/>
    </row>
    <row r="3" spans="1:55" ht="77" customHeight="1">
      <c r="A3" s="825" t="s">
        <v>474</v>
      </c>
      <c r="B3" s="825"/>
      <c r="C3" s="826" t="s">
        <v>653</v>
      </c>
      <c r="D3" s="826"/>
      <c r="E3" s="814" t="s">
        <v>656</v>
      </c>
      <c r="F3" s="814"/>
      <c r="G3" s="814"/>
      <c r="H3" s="814"/>
      <c r="I3" s="814"/>
      <c r="J3" s="814"/>
      <c r="K3" s="814"/>
      <c r="L3" s="814"/>
      <c r="M3" s="814"/>
      <c r="N3" s="814"/>
      <c r="O3" s="814"/>
      <c r="P3" s="814"/>
      <c r="Q3" s="814"/>
      <c r="R3" s="814"/>
      <c r="S3" s="814"/>
      <c r="AO3" s="41"/>
    </row>
    <row r="4" spans="1:55" ht="50" customHeight="1" thickBot="1">
      <c r="C4" s="813" t="s">
        <v>385</v>
      </c>
      <c r="D4" s="813"/>
      <c r="E4" s="813"/>
      <c r="F4" s="813"/>
      <c r="G4" s="813"/>
      <c r="H4" s="813"/>
      <c r="I4" s="813"/>
      <c r="J4" s="813"/>
      <c r="K4" s="813"/>
      <c r="L4" s="813"/>
      <c r="M4" s="813"/>
      <c r="N4" s="813"/>
      <c r="O4" s="813"/>
      <c r="P4" s="813"/>
      <c r="Q4" s="813"/>
      <c r="R4" s="813"/>
      <c r="S4" s="813"/>
      <c r="AO4" s="41"/>
    </row>
    <row r="5" spans="1:55" ht="30" customHeight="1">
      <c r="A5" s="840" t="str">
        <f>"Skema 1 vedr. "&amp;Stamoplysninger!$E$8&amp;""</f>
        <v>Skema 1 vedr. Beate Simonsen</v>
      </c>
      <c r="B5" s="841"/>
      <c r="C5" s="841"/>
      <c r="D5" s="841"/>
      <c r="E5" s="841"/>
      <c r="F5" s="841"/>
      <c r="G5" s="841"/>
      <c r="H5" s="841"/>
      <c r="I5" s="841"/>
      <c r="J5" s="841"/>
      <c r="K5" s="841"/>
      <c r="L5" s="841"/>
      <c r="M5" s="842"/>
      <c r="O5" s="840" t="str">
        <f>"Skema 2 vedr. "&amp;Stamoplysninger!$E$8&amp;""</f>
        <v>Skema 2 vedr. Beate Simonsen</v>
      </c>
      <c r="P5" s="841"/>
      <c r="Q5" s="841"/>
      <c r="R5" s="841"/>
      <c r="S5" s="841"/>
      <c r="T5" s="841"/>
      <c r="U5" s="841"/>
      <c r="V5" s="841"/>
      <c r="W5" s="841"/>
      <c r="X5" s="841"/>
      <c r="Y5" s="841"/>
      <c r="Z5" s="841"/>
      <c r="AA5" s="842"/>
      <c r="AC5" s="840" t="str">
        <f>"Skema 3 vedr. "&amp;Stamoplysninger!$E$8&amp;""</f>
        <v>Skema 3 vedr. Beate Simonsen</v>
      </c>
      <c r="AD5" s="841"/>
      <c r="AE5" s="841"/>
      <c r="AF5" s="841"/>
      <c r="AG5" s="841"/>
      <c r="AH5" s="841"/>
      <c r="AI5" s="841"/>
      <c r="AJ5" s="841"/>
      <c r="AK5" s="841"/>
      <c r="AL5" s="841"/>
      <c r="AM5" s="841"/>
      <c r="AN5" s="841"/>
      <c r="AO5" s="842"/>
      <c r="AQ5" s="840" t="str">
        <f>"Skema 4 vedr. "&amp;Stamoplysninger!$E$8&amp;""</f>
        <v>Skema 4 vedr. Beate Simonsen</v>
      </c>
      <c r="AR5" s="841"/>
      <c r="AS5" s="841"/>
      <c r="AT5" s="841"/>
      <c r="AU5" s="841"/>
      <c r="AV5" s="841"/>
      <c r="AW5" s="841"/>
      <c r="AX5" s="841"/>
      <c r="AY5" s="841"/>
      <c r="AZ5" s="841"/>
      <c r="BA5" s="841"/>
      <c r="BB5" s="841"/>
      <c r="BC5" s="842"/>
    </row>
    <row r="6" spans="1:55" ht="29" customHeight="1">
      <c r="A6" s="843" t="s">
        <v>219</v>
      </c>
      <c r="B6" s="844"/>
      <c r="C6" s="844"/>
      <c r="D6" s="844"/>
      <c r="E6" s="844"/>
      <c r="F6" s="847" t="s">
        <v>27</v>
      </c>
      <c r="G6" s="847"/>
      <c r="H6" s="847"/>
      <c r="I6" s="847"/>
      <c r="J6" s="847" t="s">
        <v>298</v>
      </c>
      <c r="K6" s="847"/>
      <c r="L6" s="847"/>
      <c r="M6" s="848"/>
      <c r="N6" s="41" t="s">
        <v>582</v>
      </c>
      <c r="O6" s="843" t="s">
        <v>219</v>
      </c>
      <c r="P6" s="844"/>
      <c r="Q6" s="844"/>
      <c r="R6" s="844"/>
      <c r="S6" s="844"/>
      <c r="T6" s="847" t="s">
        <v>27</v>
      </c>
      <c r="U6" s="847"/>
      <c r="V6" s="847"/>
      <c r="W6" s="847"/>
      <c r="X6" s="847" t="s">
        <v>298</v>
      </c>
      <c r="Y6" s="847"/>
      <c r="Z6" s="847"/>
      <c r="AA6" s="848"/>
      <c r="AC6" s="843" t="s">
        <v>219</v>
      </c>
      <c r="AD6" s="844"/>
      <c r="AE6" s="844"/>
      <c r="AF6" s="844"/>
      <c r="AG6" s="844"/>
      <c r="AH6" s="847" t="s">
        <v>27</v>
      </c>
      <c r="AI6" s="847"/>
      <c r="AJ6" s="847"/>
      <c r="AK6" s="847"/>
      <c r="AL6" s="847" t="s">
        <v>298</v>
      </c>
      <c r="AM6" s="847"/>
      <c r="AN6" s="847"/>
      <c r="AO6" s="848"/>
      <c r="AQ6" s="843" t="s">
        <v>219</v>
      </c>
      <c r="AR6" s="844"/>
      <c r="AS6" s="844"/>
      <c r="AT6" s="844"/>
      <c r="AU6" s="844"/>
      <c r="AV6" s="847" t="s">
        <v>27</v>
      </c>
      <c r="AW6" s="847"/>
      <c r="AX6" s="847"/>
      <c r="AY6" s="847"/>
      <c r="AZ6" s="847" t="s">
        <v>298</v>
      </c>
      <c r="BA6" s="847"/>
      <c r="BB6" s="847"/>
      <c r="BC6" s="848"/>
    </row>
    <row r="7" spans="1:55" ht="30" customHeight="1">
      <c r="A7" s="845"/>
      <c r="B7" s="846"/>
      <c r="C7" s="846"/>
      <c r="D7" s="846"/>
      <c r="E7" s="846"/>
      <c r="F7" s="849" t="s">
        <v>556</v>
      </c>
      <c r="G7" s="849"/>
      <c r="H7" s="849"/>
      <c r="I7" s="849"/>
      <c r="J7" s="850" t="s">
        <v>681</v>
      </c>
      <c r="K7" s="851"/>
      <c r="L7" s="851"/>
      <c r="M7" s="852"/>
      <c r="N7" s="41"/>
      <c r="O7" s="845"/>
      <c r="P7" s="846"/>
      <c r="Q7" s="846"/>
      <c r="R7" s="846"/>
      <c r="S7" s="846"/>
      <c r="T7" s="849" t="s">
        <v>675</v>
      </c>
      <c r="U7" s="849"/>
      <c r="V7" s="849"/>
      <c r="W7" s="849"/>
      <c r="X7" s="850" t="s">
        <v>557</v>
      </c>
      <c r="Y7" s="851"/>
      <c r="Z7" s="851"/>
      <c r="AA7" s="852"/>
      <c r="AC7" s="845"/>
      <c r="AD7" s="846"/>
      <c r="AE7" s="846"/>
      <c r="AF7" s="846"/>
      <c r="AG7" s="846"/>
      <c r="AH7" s="849"/>
      <c r="AI7" s="849"/>
      <c r="AJ7" s="849"/>
      <c r="AK7" s="849"/>
      <c r="AL7" s="850"/>
      <c r="AM7" s="851"/>
      <c r="AN7" s="851"/>
      <c r="AO7" s="852"/>
      <c r="AQ7" s="845"/>
      <c r="AR7" s="846"/>
      <c r="AS7" s="846"/>
      <c r="AT7" s="846"/>
      <c r="AU7" s="846"/>
      <c r="AV7" s="849"/>
      <c r="AW7" s="849"/>
      <c r="AX7" s="849"/>
      <c r="AY7" s="849"/>
      <c r="AZ7" s="850"/>
      <c r="BA7" s="851"/>
      <c r="BB7" s="851"/>
      <c r="BC7" s="852"/>
    </row>
    <row r="8" spans="1:55" ht="70" customHeight="1">
      <c r="A8" s="853" t="s">
        <v>662</v>
      </c>
      <c r="B8" s="854"/>
      <c r="C8" s="854"/>
      <c r="D8" s="854"/>
      <c r="E8" s="854"/>
      <c r="F8" s="854"/>
      <c r="G8" s="854"/>
      <c r="H8" s="854"/>
      <c r="I8" s="854"/>
      <c r="J8" s="854"/>
      <c r="K8" s="854"/>
      <c r="L8" s="854"/>
      <c r="M8" s="855"/>
      <c r="N8" s="694"/>
      <c r="O8" s="853" t="s">
        <v>663</v>
      </c>
      <c r="P8" s="854"/>
      <c r="Q8" s="854"/>
      <c r="R8" s="854"/>
      <c r="S8" s="854"/>
      <c r="T8" s="854"/>
      <c r="U8" s="854"/>
      <c r="V8" s="854"/>
      <c r="W8" s="854"/>
      <c r="X8" s="854"/>
      <c r="Y8" s="854"/>
      <c r="Z8" s="854"/>
      <c r="AA8" s="855"/>
      <c r="AC8" s="853" t="s">
        <v>664</v>
      </c>
      <c r="AD8" s="854"/>
      <c r="AE8" s="854"/>
      <c r="AF8" s="854"/>
      <c r="AG8" s="854"/>
      <c r="AH8" s="854"/>
      <c r="AI8" s="854"/>
      <c r="AJ8" s="854"/>
      <c r="AK8" s="854"/>
      <c r="AL8" s="854"/>
      <c r="AM8" s="854"/>
      <c r="AN8" s="854"/>
      <c r="AO8" s="855"/>
      <c r="AQ8" s="853" t="s">
        <v>665</v>
      </c>
      <c r="AR8" s="854"/>
      <c r="AS8" s="854"/>
      <c r="AT8" s="854"/>
      <c r="AU8" s="854"/>
      <c r="AV8" s="854"/>
      <c r="AW8" s="854"/>
      <c r="AX8" s="854"/>
      <c r="AY8" s="854"/>
      <c r="AZ8" s="854"/>
      <c r="BA8" s="854"/>
      <c r="BB8" s="854"/>
      <c r="BC8" s="855"/>
    </row>
    <row r="9" spans="1:55" ht="38" customHeight="1">
      <c r="A9" s="856" t="s">
        <v>67</v>
      </c>
      <c r="B9" s="768"/>
      <c r="C9" s="634">
        <v>0.33333333333333331</v>
      </c>
      <c r="D9" s="857" t="s">
        <v>34</v>
      </c>
      <c r="E9" s="858"/>
      <c r="F9" s="857" t="s">
        <v>35</v>
      </c>
      <c r="G9" s="858"/>
      <c r="H9" s="857" t="s">
        <v>36</v>
      </c>
      <c r="I9" s="858"/>
      <c r="J9" s="857" t="s">
        <v>37</v>
      </c>
      <c r="K9" s="858"/>
      <c r="L9" s="857" t="s">
        <v>38</v>
      </c>
      <c r="M9" s="862"/>
      <c r="N9" s="695"/>
      <c r="O9" s="856" t="s">
        <v>67</v>
      </c>
      <c r="P9" s="768"/>
      <c r="Q9" s="40">
        <v>0.33333333333333331</v>
      </c>
      <c r="R9" s="857" t="s">
        <v>34</v>
      </c>
      <c r="S9" s="858"/>
      <c r="T9" s="857" t="s">
        <v>35</v>
      </c>
      <c r="U9" s="858"/>
      <c r="V9" s="857" t="s">
        <v>36</v>
      </c>
      <c r="W9" s="858"/>
      <c r="X9" s="857" t="s">
        <v>37</v>
      </c>
      <c r="Y9" s="858"/>
      <c r="Z9" s="857" t="s">
        <v>38</v>
      </c>
      <c r="AA9" s="862"/>
      <c r="AC9" s="856" t="s">
        <v>67</v>
      </c>
      <c r="AD9" s="768"/>
      <c r="AE9" s="40"/>
      <c r="AF9" s="857" t="s">
        <v>34</v>
      </c>
      <c r="AG9" s="858"/>
      <c r="AH9" s="857" t="s">
        <v>35</v>
      </c>
      <c r="AI9" s="858"/>
      <c r="AJ9" s="857" t="s">
        <v>36</v>
      </c>
      <c r="AK9" s="858"/>
      <c r="AL9" s="857" t="s">
        <v>37</v>
      </c>
      <c r="AM9" s="858"/>
      <c r="AN9" s="857" t="s">
        <v>38</v>
      </c>
      <c r="AO9" s="862"/>
      <c r="AQ9" s="856" t="s">
        <v>67</v>
      </c>
      <c r="AR9" s="768"/>
      <c r="AS9" s="40"/>
      <c r="AT9" s="857" t="s">
        <v>34</v>
      </c>
      <c r="AU9" s="858"/>
      <c r="AV9" s="857" t="s">
        <v>35</v>
      </c>
      <c r="AW9" s="858"/>
      <c r="AX9" s="857" t="s">
        <v>36</v>
      </c>
      <c r="AY9" s="858"/>
      <c r="AZ9" s="857" t="s">
        <v>37</v>
      </c>
      <c r="BA9" s="858"/>
      <c r="BB9" s="857" t="s">
        <v>38</v>
      </c>
      <c r="BC9" s="862"/>
    </row>
    <row r="10" spans="1:55" ht="73" customHeight="1">
      <c r="A10" s="702" t="s">
        <v>666</v>
      </c>
      <c r="B10" s="701" t="s">
        <v>579</v>
      </c>
      <c r="C10" s="635" t="s">
        <v>580</v>
      </c>
      <c r="D10" s="859" t="s">
        <v>581</v>
      </c>
      <c r="E10" s="860"/>
      <c r="F10" s="859" t="s">
        <v>581</v>
      </c>
      <c r="G10" s="860"/>
      <c r="H10" s="859" t="s">
        <v>581</v>
      </c>
      <c r="I10" s="860"/>
      <c r="J10" s="859" t="s">
        <v>581</v>
      </c>
      <c r="K10" s="860"/>
      <c r="L10" s="859" t="s">
        <v>581</v>
      </c>
      <c r="M10" s="861"/>
      <c r="N10" s="696"/>
      <c r="O10" s="702" t="s">
        <v>666</v>
      </c>
      <c r="P10" s="701" t="s">
        <v>579</v>
      </c>
      <c r="Q10" s="635" t="s">
        <v>580</v>
      </c>
      <c r="R10" s="830" t="s">
        <v>581</v>
      </c>
      <c r="S10" s="863"/>
      <c r="T10" s="830" t="s">
        <v>581</v>
      </c>
      <c r="U10" s="863"/>
      <c r="V10" s="830" t="s">
        <v>581</v>
      </c>
      <c r="W10" s="863"/>
      <c r="X10" s="830" t="s">
        <v>581</v>
      </c>
      <c r="Y10" s="863"/>
      <c r="Z10" s="830" t="s">
        <v>581</v>
      </c>
      <c r="AA10" s="831"/>
      <c r="AC10" s="702" t="s">
        <v>666</v>
      </c>
      <c r="AD10" s="701" t="s">
        <v>579</v>
      </c>
      <c r="AE10" s="635" t="s">
        <v>580</v>
      </c>
      <c r="AF10" s="830" t="s">
        <v>581</v>
      </c>
      <c r="AG10" s="863"/>
      <c r="AH10" s="830" t="s">
        <v>581</v>
      </c>
      <c r="AI10" s="863"/>
      <c r="AJ10" s="830" t="s">
        <v>581</v>
      </c>
      <c r="AK10" s="863"/>
      <c r="AL10" s="830" t="s">
        <v>581</v>
      </c>
      <c r="AM10" s="863"/>
      <c r="AN10" s="830" t="s">
        <v>581</v>
      </c>
      <c r="AO10" s="831"/>
      <c r="AQ10" s="702" t="s">
        <v>666</v>
      </c>
      <c r="AR10" s="701" t="s">
        <v>579</v>
      </c>
      <c r="AS10" s="635" t="s">
        <v>580</v>
      </c>
      <c r="AT10" s="830" t="s">
        <v>581</v>
      </c>
      <c r="AU10" s="863"/>
      <c r="AV10" s="830" t="s">
        <v>581</v>
      </c>
      <c r="AW10" s="863"/>
      <c r="AX10" s="830" t="s">
        <v>581</v>
      </c>
      <c r="AY10" s="863"/>
      <c r="AZ10" s="830" t="s">
        <v>581</v>
      </c>
      <c r="BA10" s="863"/>
      <c r="BB10" s="830" t="s">
        <v>581</v>
      </c>
      <c r="BC10" s="831"/>
    </row>
    <row r="11" spans="1:55" ht="33" customHeight="1">
      <c r="A11" s="625">
        <v>6.9444444444444441E-3</v>
      </c>
      <c r="B11" s="699">
        <f>IF(A11&gt;0,C9,"")</f>
        <v>0.33333333333333331</v>
      </c>
      <c r="C11" s="699">
        <f>IF(A11&gt;0,B11+A11,"")</f>
        <v>0.34027777777777773</v>
      </c>
      <c r="D11" s="697"/>
      <c r="E11" s="630"/>
      <c r="F11" s="697"/>
      <c r="G11" s="630"/>
      <c r="H11" s="697" t="s">
        <v>577</v>
      </c>
      <c r="I11" s="630" t="s">
        <v>658</v>
      </c>
      <c r="J11" s="697" t="s">
        <v>578</v>
      </c>
      <c r="K11" s="630" t="s">
        <v>659</v>
      </c>
      <c r="L11" s="697" t="s">
        <v>578</v>
      </c>
      <c r="M11" s="636" t="s">
        <v>659</v>
      </c>
      <c r="N11" s="41" t="s">
        <v>577</v>
      </c>
      <c r="O11" s="625">
        <v>6.9444444444444441E-3</v>
      </c>
      <c r="P11" s="699">
        <f>IF(O11&gt;0,Q9,"")</f>
        <v>0.33333333333333331</v>
      </c>
      <c r="Q11" s="699">
        <f>IF(O11&gt;0,P11+O11,"")</f>
        <v>0.34027777777777773</v>
      </c>
      <c r="R11" s="697" t="s">
        <v>578</v>
      </c>
      <c r="S11" s="630" t="s">
        <v>576</v>
      </c>
      <c r="T11" s="697" t="s">
        <v>578</v>
      </c>
      <c r="U11" s="630" t="s">
        <v>576</v>
      </c>
      <c r="V11" s="697" t="s">
        <v>577</v>
      </c>
      <c r="W11" s="630" t="s">
        <v>658</v>
      </c>
      <c r="X11" s="697"/>
      <c r="Y11" s="630"/>
      <c r="Z11" s="697"/>
      <c r="AA11" s="636"/>
      <c r="AC11" s="625"/>
      <c r="AD11" s="699" t="str">
        <f>IF(AC11&gt;0,AE9,"")</f>
        <v/>
      </c>
      <c r="AE11" s="699" t="str">
        <f>IF(AC11&gt;0,AD11+AC11,"")</f>
        <v/>
      </c>
      <c r="AF11" s="697"/>
      <c r="AG11" s="630"/>
      <c r="AH11" s="697"/>
      <c r="AI11" s="630"/>
      <c r="AJ11" s="697"/>
      <c r="AK11" s="630"/>
      <c r="AL11" s="697"/>
      <c r="AM11" s="630"/>
      <c r="AN11" s="697"/>
      <c r="AO11" s="636"/>
      <c r="AQ11" s="625"/>
      <c r="AR11" s="699" t="str">
        <f>IF(AQ11&gt;0,AS9,"")</f>
        <v/>
      </c>
      <c r="AS11" s="699" t="str">
        <f>IF(AQ11&gt;0,AR11+AQ11,"")</f>
        <v/>
      </c>
      <c r="AT11" s="697"/>
      <c r="AU11" s="630"/>
      <c r="AV11" s="697"/>
      <c r="AW11" s="630"/>
      <c r="AX11" s="697"/>
      <c r="AY11" s="630"/>
      <c r="AZ11" s="697"/>
      <c r="BA11" s="630"/>
      <c r="BB11" s="697"/>
      <c r="BC11" s="636"/>
    </row>
    <row r="12" spans="1:55" ht="33" customHeight="1">
      <c r="A12" s="625">
        <v>1.3888888888888888E-2</v>
      </c>
      <c r="B12" s="38">
        <f>IF(A12&gt;0,C11,"")</f>
        <v>0.34027777777777773</v>
      </c>
      <c r="C12" s="38">
        <f t="shared" ref="C12:C29" si="0">IF(A12&gt;0,B12+A12,"")</f>
        <v>0.35416666666666663</v>
      </c>
      <c r="D12" s="697"/>
      <c r="E12" s="710"/>
      <c r="F12" s="697"/>
      <c r="G12" s="711"/>
      <c r="H12" s="709" t="s">
        <v>577</v>
      </c>
      <c r="I12" s="711" t="s">
        <v>660</v>
      </c>
      <c r="J12" s="709" t="s">
        <v>578</v>
      </c>
      <c r="K12" s="711" t="s">
        <v>661</v>
      </c>
      <c r="L12" s="709" t="s">
        <v>578</v>
      </c>
      <c r="M12" s="712" t="s">
        <v>661</v>
      </c>
      <c r="N12" s="41" t="s">
        <v>578</v>
      </c>
      <c r="O12" s="625">
        <v>1.3888888888888888E-2</v>
      </c>
      <c r="P12" s="38">
        <f>IF(O12&gt;0,Q11,"")</f>
        <v>0.34027777777777773</v>
      </c>
      <c r="Q12" s="38">
        <f t="shared" ref="Q12:Q29" si="1">IF(O12&gt;0,P12+O12,"")</f>
        <v>0.35416666666666663</v>
      </c>
      <c r="R12" s="709" t="s">
        <v>578</v>
      </c>
      <c r="S12" s="710" t="s">
        <v>576</v>
      </c>
      <c r="T12" s="709" t="s">
        <v>578</v>
      </c>
      <c r="U12" s="711" t="s">
        <v>576</v>
      </c>
      <c r="V12" s="709" t="s">
        <v>577</v>
      </c>
      <c r="W12" s="711" t="s">
        <v>660</v>
      </c>
      <c r="X12" s="709"/>
      <c r="Y12" s="711"/>
      <c r="Z12" s="709"/>
      <c r="AA12" s="712"/>
      <c r="AC12" s="625"/>
      <c r="AD12" s="38" t="str">
        <f>IF(AC12&gt;0,AE11,"")</f>
        <v/>
      </c>
      <c r="AE12" s="38" t="str">
        <f t="shared" ref="AE12:AE29" si="2">IF(AC12&gt;0,AD12+AC12,"")</f>
        <v/>
      </c>
      <c r="AF12" s="709"/>
      <c r="AG12" s="710"/>
      <c r="AH12" s="709"/>
      <c r="AI12" s="711"/>
      <c r="AJ12" s="709"/>
      <c r="AK12" s="711"/>
      <c r="AL12" s="709"/>
      <c r="AM12" s="711"/>
      <c r="AN12" s="709"/>
      <c r="AO12" s="712"/>
      <c r="AQ12" s="625"/>
      <c r="AR12" s="38" t="str">
        <f>IF(AQ12&gt;0,AS11,"")</f>
        <v/>
      </c>
      <c r="AS12" s="38" t="str">
        <f t="shared" ref="AS12:AS29" si="3">IF(AQ12&gt;0,AR12+AQ12,"")</f>
        <v/>
      </c>
      <c r="AT12" s="709"/>
      <c r="AU12" s="710"/>
      <c r="AV12" s="709"/>
      <c r="AW12" s="711"/>
      <c r="AX12" s="709"/>
      <c r="AY12" s="711"/>
      <c r="AZ12" s="709"/>
      <c r="BA12" s="711"/>
      <c r="BB12" s="709"/>
      <c r="BC12" s="712"/>
    </row>
    <row r="13" spans="1:55" ht="33" customHeight="1">
      <c r="A13" s="625">
        <v>6.9444444444444441E-3</v>
      </c>
      <c r="B13" s="699">
        <f t="shared" ref="B13:B29" si="4">IF(A13&gt;0,C12,"")</f>
        <v>0.35416666666666663</v>
      </c>
      <c r="C13" s="699">
        <f t="shared" si="0"/>
        <v>0.36111111111111105</v>
      </c>
      <c r="D13" s="697"/>
      <c r="E13" s="630"/>
      <c r="F13" s="697"/>
      <c r="G13" s="612"/>
      <c r="H13" s="697" t="s">
        <v>578</v>
      </c>
      <c r="I13" s="612" t="s">
        <v>667</v>
      </c>
      <c r="J13" s="697" t="s">
        <v>578</v>
      </c>
      <c r="K13" s="612" t="s">
        <v>667</v>
      </c>
      <c r="L13" s="697" t="s">
        <v>578</v>
      </c>
      <c r="M13" s="631" t="s">
        <v>667</v>
      </c>
      <c r="N13" s="41"/>
      <c r="O13" s="625">
        <v>6.9444444444444441E-3</v>
      </c>
      <c r="P13" s="699">
        <f t="shared" ref="P13:P29" si="5">IF(O13&gt;0,Q12,"")</f>
        <v>0.35416666666666663</v>
      </c>
      <c r="Q13" s="699">
        <f t="shared" si="1"/>
        <v>0.36111111111111105</v>
      </c>
      <c r="R13" s="697" t="s">
        <v>578</v>
      </c>
      <c r="S13" s="630" t="s">
        <v>667</v>
      </c>
      <c r="T13" s="697" t="s">
        <v>578</v>
      </c>
      <c r="U13" s="612" t="s">
        <v>667</v>
      </c>
      <c r="V13" s="697" t="s">
        <v>578</v>
      </c>
      <c r="W13" s="612" t="s">
        <v>667</v>
      </c>
      <c r="X13" s="697"/>
      <c r="Y13" s="612"/>
      <c r="Z13" s="697"/>
      <c r="AA13" s="631"/>
      <c r="AC13" s="625"/>
      <c r="AD13" s="699" t="str">
        <f t="shared" ref="AD13:AD29" si="6">IF(AC13&gt;0,AE12,"")</f>
        <v/>
      </c>
      <c r="AE13" s="699" t="str">
        <f t="shared" si="2"/>
        <v/>
      </c>
      <c r="AF13" s="697"/>
      <c r="AG13" s="630"/>
      <c r="AH13" s="697"/>
      <c r="AI13" s="612"/>
      <c r="AJ13" s="697"/>
      <c r="AK13" s="612"/>
      <c r="AL13" s="697"/>
      <c r="AM13" s="612"/>
      <c r="AN13" s="697"/>
      <c r="AO13" s="631"/>
      <c r="AQ13" s="625"/>
      <c r="AR13" s="699" t="str">
        <f t="shared" ref="AR13:AR29" si="7">IF(AQ13&gt;0,AS12,"")</f>
        <v/>
      </c>
      <c r="AS13" s="699" t="str">
        <f t="shared" si="3"/>
        <v/>
      </c>
      <c r="AT13" s="697"/>
      <c r="AU13" s="630"/>
      <c r="AV13" s="697"/>
      <c r="AW13" s="612"/>
      <c r="AX13" s="697"/>
      <c r="AY13" s="612"/>
      <c r="AZ13" s="697"/>
      <c r="BA13" s="612"/>
      <c r="BB13" s="697"/>
      <c r="BC13" s="631"/>
    </row>
    <row r="14" spans="1:55" ht="33" customHeight="1">
      <c r="A14" s="625">
        <v>3.125E-2</v>
      </c>
      <c r="B14" s="38">
        <f t="shared" si="4"/>
        <v>0.36111111111111105</v>
      </c>
      <c r="C14" s="38">
        <f t="shared" si="0"/>
        <v>0.39236111111111105</v>
      </c>
      <c r="D14" s="697" t="s">
        <v>577</v>
      </c>
      <c r="E14" s="710" t="s">
        <v>5</v>
      </c>
      <c r="F14" s="697" t="s">
        <v>577</v>
      </c>
      <c r="G14" s="711" t="s">
        <v>6</v>
      </c>
      <c r="H14" s="709" t="s">
        <v>577</v>
      </c>
      <c r="I14" s="711" t="s">
        <v>5</v>
      </c>
      <c r="J14" s="709" t="s">
        <v>577</v>
      </c>
      <c r="K14" s="711" t="s">
        <v>668</v>
      </c>
      <c r="L14" s="709" t="s">
        <v>577</v>
      </c>
      <c r="M14" s="712" t="s">
        <v>668</v>
      </c>
      <c r="N14" s="41"/>
      <c r="O14" s="625">
        <v>3.125E-2</v>
      </c>
      <c r="P14" s="38">
        <f t="shared" si="5"/>
        <v>0.36111111111111105</v>
      </c>
      <c r="Q14" s="38">
        <f t="shared" si="1"/>
        <v>0.39236111111111105</v>
      </c>
      <c r="R14" s="709" t="s">
        <v>577</v>
      </c>
      <c r="S14" s="710" t="s">
        <v>668</v>
      </c>
      <c r="T14" s="709" t="s">
        <v>577</v>
      </c>
      <c r="U14" s="711" t="s">
        <v>5</v>
      </c>
      <c r="V14" s="709" t="s">
        <v>577</v>
      </c>
      <c r="W14" s="711" t="s">
        <v>679</v>
      </c>
      <c r="X14" s="709" t="s">
        <v>577</v>
      </c>
      <c r="Y14" s="711" t="s">
        <v>674</v>
      </c>
      <c r="Z14" s="709" t="s">
        <v>577</v>
      </c>
      <c r="AA14" s="712" t="s">
        <v>7</v>
      </c>
      <c r="AC14" s="625"/>
      <c r="AD14" s="38" t="str">
        <f t="shared" si="6"/>
        <v/>
      </c>
      <c r="AE14" s="38" t="str">
        <f t="shared" si="2"/>
        <v/>
      </c>
      <c r="AF14" s="709"/>
      <c r="AG14" s="710"/>
      <c r="AH14" s="709"/>
      <c r="AI14" s="711"/>
      <c r="AJ14" s="709"/>
      <c r="AK14" s="711"/>
      <c r="AL14" s="709"/>
      <c r="AM14" s="711"/>
      <c r="AN14" s="709"/>
      <c r="AO14" s="712"/>
      <c r="AQ14" s="625"/>
      <c r="AR14" s="38" t="str">
        <f t="shared" si="7"/>
        <v/>
      </c>
      <c r="AS14" s="38" t="str">
        <f t="shared" si="3"/>
        <v/>
      </c>
      <c r="AT14" s="709"/>
      <c r="AU14" s="710"/>
      <c r="AV14" s="709"/>
      <c r="AW14" s="711"/>
      <c r="AX14" s="709"/>
      <c r="AY14" s="711"/>
      <c r="AZ14" s="709"/>
      <c r="BA14" s="711"/>
      <c r="BB14" s="709"/>
      <c r="BC14" s="712"/>
    </row>
    <row r="15" spans="1:55" ht="33" customHeight="1">
      <c r="A15" s="625">
        <v>6.9444444444444441E-3</v>
      </c>
      <c r="B15" s="699">
        <f t="shared" si="4"/>
        <v>0.39236111111111105</v>
      </c>
      <c r="C15" s="699">
        <f t="shared" si="0"/>
        <v>0.39930555555555547</v>
      </c>
      <c r="D15" s="697" t="s">
        <v>578</v>
      </c>
      <c r="E15" s="630" t="s">
        <v>657</v>
      </c>
      <c r="F15" s="697" t="s">
        <v>578</v>
      </c>
      <c r="G15" s="612" t="s">
        <v>657</v>
      </c>
      <c r="H15" s="697" t="s">
        <v>578</v>
      </c>
      <c r="I15" s="612" t="s">
        <v>657</v>
      </c>
      <c r="J15" s="697" t="s">
        <v>578</v>
      </c>
      <c r="K15" s="612" t="s">
        <v>657</v>
      </c>
      <c r="L15" s="697" t="s">
        <v>578</v>
      </c>
      <c r="M15" s="631" t="s">
        <v>657</v>
      </c>
      <c r="O15" s="625">
        <v>6.9444444444444441E-3</v>
      </c>
      <c r="P15" s="699">
        <f t="shared" si="5"/>
        <v>0.39236111111111105</v>
      </c>
      <c r="Q15" s="699">
        <f t="shared" si="1"/>
        <v>0.39930555555555547</v>
      </c>
      <c r="R15" s="697" t="s">
        <v>578</v>
      </c>
      <c r="S15" s="630" t="s">
        <v>677</v>
      </c>
      <c r="T15" s="697" t="s">
        <v>578</v>
      </c>
      <c r="U15" s="612" t="s">
        <v>677</v>
      </c>
      <c r="V15" s="697" t="s">
        <v>578</v>
      </c>
      <c r="W15" s="612" t="s">
        <v>657</v>
      </c>
      <c r="X15" s="697" t="s">
        <v>578</v>
      </c>
      <c r="Y15" s="612" t="s">
        <v>657</v>
      </c>
      <c r="Z15" s="697" t="s">
        <v>578</v>
      </c>
      <c r="AA15" s="631" t="s">
        <v>657</v>
      </c>
      <c r="AC15" s="625"/>
      <c r="AD15" s="699" t="str">
        <f t="shared" si="6"/>
        <v/>
      </c>
      <c r="AE15" s="699" t="str">
        <f t="shared" si="2"/>
        <v/>
      </c>
      <c r="AF15" s="697"/>
      <c r="AG15" s="630"/>
      <c r="AH15" s="697"/>
      <c r="AI15" s="612"/>
      <c r="AJ15" s="697"/>
      <c r="AK15" s="612"/>
      <c r="AL15" s="697"/>
      <c r="AM15" s="612"/>
      <c r="AN15" s="697"/>
      <c r="AO15" s="631"/>
      <c r="AQ15" s="625"/>
      <c r="AR15" s="699" t="str">
        <f t="shared" si="7"/>
        <v/>
      </c>
      <c r="AS15" s="699" t="str">
        <f t="shared" si="3"/>
        <v/>
      </c>
      <c r="AT15" s="697"/>
      <c r="AU15" s="630"/>
      <c r="AV15" s="697"/>
      <c r="AW15" s="612"/>
      <c r="AX15" s="697"/>
      <c r="AY15" s="612"/>
      <c r="AZ15" s="697"/>
      <c r="BA15" s="612"/>
      <c r="BB15" s="697"/>
      <c r="BC15" s="631"/>
    </row>
    <row r="16" spans="1:55" ht="33" customHeight="1">
      <c r="A16" s="625">
        <v>3.125E-2</v>
      </c>
      <c r="B16" s="38">
        <f t="shared" si="4"/>
        <v>0.39930555555555547</v>
      </c>
      <c r="C16" s="38">
        <f t="shared" si="0"/>
        <v>0.43055555555555547</v>
      </c>
      <c r="D16" s="697" t="s">
        <v>577</v>
      </c>
      <c r="E16" s="710" t="s">
        <v>5</v>
      </c>
      <c r="F16" s="697" t="s">
        <v>577</v>
      </c>
      <c r="G16" s="711" t="s">
        <v>6</v>
      </c>
      <c r="H16" s="709" t="s">
        <v>577</v>
      </c>
      <c r="I16" s="711" t="s">
        <v>5</v>
      </c>
      <c r="J16" s="709" t="s">
        <v>577</v>
      </c>
      <c r="K16" s="711" t="s">
        <v>669</v>
      </c>
      <c r="L16" s="709" t="s">
        <v>577</v>
      </c>
      <c r="M16" s="712" t="s">
        <v>668</v>
      </c>
      <c r="O16" s="625">
        <v>3.125E-2</v>
      </c>
      <c r="P16" s="38">
        <f t="shared" si="5"/>
        <v>0.39930555555555547</v>
      </c>
      <c r="Q16" s="38">
        <f t="shared" si="1"/>
        <v>0.43055555555555547</v>
      </c>
      <c r="R16" s="709" t="s">
        <v>577</v>
      </c>
      <c r="S16" s="710" t="s">
        <v>668</v>
      </c>
      <c r="T16" s="709" t="s">
        <v>577</v>
      </c>
      <c r="U16" s="711" t="s">
        <v>5</v>
      </c>
      <c r="V16" s="709" t="s">
        <v>577</v>
      </c>
      <c r="W16" s="711" t="s">
        <v>680</v>
      </c>
      <c r="X16" s="709" t="s">
        <v>577</v>
      </c>
      <c r="Y16" s="711" t="s">
        <v>674</v>
      </c>
      <c r="Z16" s="709" t="s">
        <v>577</v>
      </c>
      <c r="AA16" s="712" t="s">
        <v>7</v>
      </c>
      <c r="AC16" s="625"/>
      <c r="AD16" s="38" t="str">
        <f t="shared" si="6"/>
        <v/>
      </c>
      <c r="AE16" s="38" t="str">
        <f t="shared" si="2"/>
        <v/>
      </c>
      <c r="AF16" s="709"/>
      <c r="AG16" s="710"/>
      <c r="AH16" s="709"/>
      <c r="AI16" s="711"/>
      <c r="AJ16" s="709"/>
      <c r="AK16" s="711"/>
      <c r="AL16" s="709"/>
      <c r="AM16" s="711"/>
      <c r="AN16" s="709"/>
      <c r="AO16" s="712"/>
      <c r="AQ16" s="625"/>
      <c r="AR16" s="38" t="str">
        <f t="shared" si="7"/>
        <v/>
      </c>
      <c r="AS16" s="38" t="str">
        <f t="shared" si="3"/>
        <v/>
      </c>
      <c r="AT16" s="709"/>
      <c r="AU16" s="710"/>
      <c r="AV16" s="709"/>
      <c r="AW16" s="711"/>
      <c r="AX16" s="709"/>
      <c r="AY16" s="711"/>
      <c r="AZ16" s="709"/>
      <c r="BA16" s="711"/>
      <c r="BB16" s="709"/>
      <c r="BC16" s="712"/>
    </row>
    <row r="17" spans="1:56" ht="33" customHeight="1">
      <c r="A17" s="625">
        <v>6.9444444444444441E-3</v>
      </c>
      <c r="B17" s="699">
        <f t="shared" si="4"/>
        <v>0.43055555555555547</v>
      </c>
      <c r="C17" s="699">
        <f t="shared" si="0"/>
        <v>0.43749999999999989</v>
      </c>
      <c r="D17" s="697" t="s">
        <v>578</v>
      </c>
      <c r="E17" s="630" t="s">
        <v>657</v>
      </c>
      <c r="F17" s="697" t="s">
        <v>578</v>
      </c>
      <c r="G17" s="612" t="s">
        <v>657</v>
      </c>
      <c r="H17" s="697" t="s">
        <v>578</v>
      </c>
      <c r="I17" s="612" t="s">
        <v>657</v>
      </c>
      <c r="J17" s="697" t="s">
        <v>578</v>
      </c>
      <c r="K17" s="612" t="s">
        <v>657</v>
      </c>
      <c r="L17" s="697" t="s">
        <v>578</v>
      </c>
      <c r="M17" s="631" t="s">
        <v>657</v>
      </c>
      <c r="O17" s="625">
        <v>6.9444444444444441E-3</v>
      </c>
      <c r="P17" s="699">
        <f t="shared" si="5"/>
        <v>0.43055555555555547</v>
      </c>
      <c r="Q17" s="699">
        <f t="shared" si="1"/>
        <v>0.43749999999999989</v>
      </c>
      <c r="R17" s="697" t="s">
        <v>578</v>
      </c>
      <c r="S17" s="630" t="s">
        <v>657</v>
      </c>
      <c r="T17" s="697" t="s">
        <v>578</v>
      </c>
      <c r="U17" s="612" t="s">
        <v>677</v>
      </c>
      <c r="V17" s="697" t="s">
        <v>578</v>
      </c>
      <c r="W17" s="612" t="s">
        <v>657</v>
      </c>
      <c r="X17" s="697" t="s">
        <v>578</v>
      </c>
      <c r="Y17" s="612" t="s">
        <v>657</v>
      </c>
      <c r="Z17" s="697" t="s">
        <v>578</v>
      </c>
      <c r="AA17" s="631" t="s">
        <v>657</v>
      </c>
      <c r="AC17" s="625"/>
      <c r="AD17" s="699" t="str">
        <f t="shared" si="6"/>
        <v/>
      </c>
      <c r="AE17" s="699" t="str">
        <f t="shared" si="2"/>
        <v/>
      </c>
      <c r="AF17" s="697"/>
      <c r="AG17" s="630"/>
      <c r="AH17" s="697"/>
      <c r="AI17" s="612"/>
      <c r="AJ17" s="697"/>
      <c r="AK17" s="612"/>
      <c r="AL17" s="697"/>
      <c r="AM17" s="612"/>
      <c r="AN17" s="697"/>
      <c r="AO17" s="631"/>
      <c r="AQ17" s="625"/>
      <c r="AR17" s="699" t="str">
        <f t="shared" si="7"/>
        <v/>
      </c>
      <c r="AS17" s="699" t="str">
        <f t="shared" si="3"/>
        <v/>
      </c>
      <c r="AT17" s="697"/>
      <c r="AU17" s="630"/>
      <c r="AV17" s="697"/>
      <c r="AW17" s="612"/>
      <c r="AX17" s="697"/>
      <c r="AY17" s="612"/>
      <c r="AZ17" s="697"/>
      <c r="BA17" s="612"/>
      <c r="BB17" s="697"/>
      <c r="BC17" s="631"/>
    </row>
    <row r="18" spans="1:56" ht="33" customHeight="1">
      <c r="A18" s="625">
        <v>3.125E-2</v>
      </c>
      <c r="B18" s="38">
        <f t="shared" si="4"/>
        <v>0.43749999999999989</v>
      </c>
      <c r="C18" s="38">
        <f t="shared" si="0"/>
        <v>0.46874999999999989</v>
      </c>
      <c r="D18" s="697" t="s">
        <v>577</v>
      </c>
      <c r="E18" s="710" t="s">
        <v>7</v>
      </c>
      <c r="F18" s="697" t="s">
        <v>577</v>
      </c>
      <c r="G18" s="711" t="s">
        <v>5</v>
      </c>
      <c r="H18" s="709" t="s">
        <v>577</v>
      </c>
      <c r="I18" s="711" t="s">
        <v>5</v>
      </c>
      <c r="J18" s="709" t="s">
        <v>577</v>
      </c>
      <c r="K18" s="711" t="s">
        <v>5</v>
      </c>
      <c r="L18" s="709" t="s">
        <v>577</v>
      </c>
      <c r="M18" s="712" t="s">
        <v>7</v>
      </c>
      <c r="O18" s="625">
        <v>3.125E-2</v>
      </c>
      <c r="P18" s="38">
        <f t="shared" si="5"/>
        <v>0.43749999999999989</v>
      </c>
      <c r="Q18" s="38">
        <f t="shared" si="1"/>
        <v>0.46874999999999989</v>
      </c>
      <c r="R18" s="709" t="s">
        <v>577</v>
      </c>
      <c r="S18" s="710" t="s">
        <v>678</v>
      </c>
      <c r="T18" s="709" t="s">
        <v>577</v>
      </c>
      <c r="U18" s="711" t="s">
        <v>671</v>
      </c>
      <c r="V18" s="709" t="s">
        <v>577</v>
      </c>
      <c r="W18" s="711" t="s">
        <v>679</v>
      </c>
      <c r="X18" s="709" t="s">
        <v>577</v>
      </c>
      <c r="Y18" s="711" t="s">
        <v>6</v>
      </c>
      <c r="Z18" s="709" t="s">
        <v>577</v>
      </c>
      <c r="AA18" s="712" t="s">
        <v>6</v>
      </c>
      <c r="AC18" s="625"/>
      <c r="AD18" s="38" t="str">
        <f t="shared" si="6"/>
        <v/>
      </c>
      <c r="AE18" s="38" t="str">
        <f t="shared" si="2"/>
        <v/>
      </c>
      <c r="AF18" s="709"/>
      <c r="AG18" s="710"/>
      <c r="AH18" s="709"/>
      <c r="AI18" s="711"/>
      <c r="AJ18" s="709"/>
      <c r="AK18" s="711"/>
      <c r="AL18" s="709"/>
      <c r="AM18" s="711"/>
      <c r="AN18" s="709"/>
      <c r="AO18" s="712"/>
      <c r="AQ18" s="625"/>
      <c r="AR18" s="38" t="str">
        <f t="shared" si="7"/>
        <v/>
      </c>
      <c r="AS18" s="38" t="str">
        <f t="shared" si="3"/>
        <v/>
      </c>
      <c r="AT18" s="709"/>
      <c r="AU18" s="710"/>
      <c r="AV18" s="709"/>
      <c r="AW18" s="711"/>
      <c r="AX18" s="709"/>
      <c r="AY18" s="711"/>
      <c r="AZ18" s="709"/>
      <c r="BA18" s="711"/>
      <c r="BB18" s="709"/>
      <c r="BC18" s="712"/>
    </row>
    <row r="19" spans="1:56" ht="33" customHeight="1">
      <c r="A19" s="625">
        <v>2.0833333333333332E-2</v>
      </c>
      <c r="B19" s="699">
        <f t="shared" si="4"/>
        <v>0.46874999999999989</v>
      </c>
      <c r="C19" s="699">
        <f t="shared" si="0"/>
        <v>0.4895833333333332</v>
      </c>
      <c r="D19" s="697" t="s">
        <v>578</v>
      </c>
      <c r="E19" s="630" t="s">
        <v>670</v>
      </c>
      <c r="F19" s="697" t="s">
        <v>578</v>
      </c>
      <c r="G19" s="612" t="s">
        <v>657</v>
      </c>
      <c r="H19" s="697" t="s">
        <v>578</v>
      </c>
      <c r="I19" s="612" t="s">
        <v>657</v>
      </c>
      <c r="J19" s="697" t="s">
        <v>578</v>
      </c>
      <c r="K19" s="612" t="s">
        <v>657</v>
      </c>
      <c r="L19" s="697" t="s">
        <v>578</v>
      </c>
      <c r="M19" s="631" t="s">
        <v>657</v>
      </c>
      <c r="O19" s="625">
        <v>2.0833333333333332E-2</v>
      </c>
      <c r="P19" s="699">
        <f t="shared" si="5"/>
        <v>0.46874999999999989</v>
      </c>
      <c r="Q19" s="699">
        <f t="shared" si="1"/>
        <v>0.4895833333333332</v>
      </c>
      <c r="R19" s="697" t="s">
        <v>577</v>
      </c>
      <c r="S19" s="630" t="s">
        <v>678</v>
      </c>
      <c r="T19" s="697" t="s">
        <v>578</v>
      </c>
      <c r="U19" s="612" t="s">
        <v>657</v>
      </c>
      <c r="V19" s="697" t="s">
        <v>578</v>
      </c>
      <c r="W19" s="612" t="s">
        <v>657</v>
      </c>
      <c r="X19" s="697" t="s">
        <v>578</v>
      </c>
      <c r="Y19" s="612" t="s">
        <v>657</v>
      </c>
      <c r="Z19" s="697" t="s">
        <v>578</v>
      </c>
      <c r="AA19" s="631" t="s">
        <v>670</v>
      </c>
      <c r="AC19" s="625"/>
      <c r="AD19" s="699" t="str">
        <f t="shared" si="6"/>
        <v/>
      </c>
      <c r="AE19" s="699" t="str">
        <f t="shared" si="2"/>
        <v/>
      </c>
      <c r="AF19" s="697"/>
      <c r="AG19" s="630"/>
      <c r="AH19" s="697"/>
      <c r="AI19" s="612"/>
      <c r="AJ19" s="697"/>
      <c r="AK19" s="612"/>
      <c r="AL19" s="697"/>
      <c r="AM19" s="612"/>
      <c r="AN19" s="697"/>
      <c r="AO19" s="631"/>
      <c r="AQ19" s="625"/>
      <c r="AR19" s="699" t="str">
        <f t="shared" si="7"/>
        <v/>
      </c>
      <c r="AS19" s="699" t="str">
        <f t="shared" si="3"/>
        <v/>
      </c>
      <c r="AT19" s="697"/>
      <c r="AU19" s="630"/>
      <c r="AV19" s="697"/>
      <c r="AW19" s="612"/>
      <c r="AX19" s="697"/>
      <c r="AY19" s="612"/>
      <c r="AZ19" s="697"/>
      <c r="BA19" s="612"/>
      <c r="BB19" s="697"/>
      <c r="BC19" s="631"/>
    </row>
    <row r="20" spans="1:56" ht="33" customHeight="1">
      <c r="A20" s="625">
        <v>3.125E-2</v>
      </c>
      <c r="B20" s="38">
        <f t="shared" si="4"/>
        <v>0.4895833333333332</v>
      </c>
      <c r="C20" s="38">
        <f t="shared" si="0"/>
        <v>0.52083333333333326</v>
      </c>
      <c r="D20" s="697" t="s">
        <v>577</v>
      </c>
      <c r="E20" s="710" t="s">
        <v>44</v>
      </c>
      <c r="F20" s="697" t="s">
        <v>577</v>
      </c>
      <c r="G20" s="711" t="s">
        <v>5</v>
      </c>
      <c r="H20" s="709" t="s">
        <v>577</v>
      </c>
      <c r="I20" s="711" t="s">
        <v>5</v>
      </c>
      <c r="J20" s="709" t="s">
        <v>577</v>
      </c>
      <c r="K20" s="711" t="s">
        <v>672</v>
      </c>
      <c r="L20" s="709" t="s">
        <v>577</v>
      </c>
      <c r="M20" s="712" t="s">
        <v>673</v>
      </c>
      <c r="O20" s="625">
        <v>3.125E-2</v>
      </c>
      <c r="P20" s="38">
        <f t="shared" si="5"/>
        <v>0.4895833333333332</v>
      </c>
      <c r="Q20" s="38">
        <f t="shared" si="1"/>
        <v>0.52083333333333326</v>
      </c>
      <c r="R20" s="709" t="s">
        <v>577</v>
      </c>
      <c r="S20" s="710" t="s">
        <v>678</v>
      </c>
      <c r="T20" s="709" t="s">
        <v>577</v>
      </c>
      <c r="U20" s="711" t="s">
        <v>671</v>
      </c>
      <c r="V20" s="709" t="s">
        <v>577</v>
      </c>
      <c r="W20" s="711" t="s">
        <v>679</v>
      </c>
      <c r="X20" s="709" t="s">
        <v>577</v>
      </c>
      <c r="Y20" s="711" t="s">
        <v>6</v>
      </c>
      <c r="Z20" s="709" t="s">
        <v>577</v>
      </c>
      <c r="AA20" s="712" t="s">
        <v>673</v>
      </c>
      <c r="AC20" s="625"/>
      <c r="AD20" s="38" t="str">
        <f t="shared" si="6"/>
        <v/>
      </c>
      <c r="AE20" s="38" t="str">
        <f t="shared" si="2"/>
        <v/>
      </c>
      <c r="AF20" s="709"/>
      <c r="AG20" s="710"/>
      <c r="AH20" s="709"/>
      <c r="AI20" s="711"/>
      <c r="AJ20" s="709"/>
      <c r="AK20" s="711"/>
      <c r="AL20" s="709"/>
      <c r="AM20" s="711"/>
      <c r="AN20" s="709"/>
      <c r="AO20" s="712"/>
      <c r="AQ20" s="625"/>
      <c r="AR20" s="38" t="str">
        <f t="shared" si="7"/>
        <v/>
      </c>
      <c r="AS20" s="38" t="str">
        <f t="shared" si="3"/>
        <v/>
      </c>
      <c r="AT20" s="709"/>
      <c r="AU20" s="710"/>
      <c r="AV20" s="709"/>
      <c r="AW20" s="711"/>
      <c r="AX20" s="709"/>
      <c r="AY20" s="711"/>
      <c r="AZ20" s="709"/>
      <c r="BA20" s="711"/>
      <c r="BB20" s="709"/>
      <c r="BC20" s="712"/>
    </row>
    <row r="21" spans="1:56" ht="33" customHeight="1">
      <c r="A21" s="625">
        <v>6.9444444444444441E-3</v>
      </c>
      <c r="B21" s="699">
        <f t="shared" si="4"/>
        <v>0.52083333333333326</v>
      </c>
      <c r="C21" s="699">
        <f t="shared" si="0"/>
        <v>0.52777777777777768</v>
      </c>
      <c r="D21" s="697" t="s">
        <v>577</v>
      </c>
      <c r="E21" s="630" t="s">
        <v>44</v>
      </c>
      <c r="F21" s="697" t="s">
        <v>578</v>
      </c>
      <c r="G21" s="612" t="s">
        <v>657</v>
      </c>
      <c r="H21" s="697" t="s">
        <v>578</v>
      </c>
      <c r="I21" s="612" t="s">
        <v>657</v>
      </c>
      <c r="J21" s="697"/>
      <c r="K21" s="612"/>
      <c r="L21" s="697"/>
      <c r="M21" s="631"/>
      <c r="O21" s="625">
        <v>3.125E-2</v>
      </c>
      <c r="P21" s="699">
        <f t="shared" si="5"/>
        <v>0.52083333333333326</v>
      </c>
      <c r="Q21" s="699">
        <f t="shared" si="1"/>
        <v>0.55208333333333326</v>
      </c>
      <c r="R21" s="697"/>
      <c r="S21" s="630"/>
      <c r="T21" s="697" t="s">
        <v>577</v>
      </c>
      <c r="U21" s="612" t="s">
        <v>671</v>
      </c>
      <c r="V21" s="697" t="s">
        <v>577</v>
      </c>
      <c r="W21" s="612" t="s">
        <v>679</v>
      </c>
      <c r="X21" s="697"/>
      <c r="Y21" s="612"/>
      <c r="Z21" s="697"/>
      <c r="AA21" s="631"/>
      <c r="AC21" s="625"/>
      <c r="AD21" s="699" t="str">
        <f t="shared" si="6"/>
        <v/>
      </c>
      <c r="AE21" s="699" t="str">
        <f t="shared" si="2"/>
        <v/>
      </c>
      <c r="AF21" s="697"/>
      <c r="AG21" s="630"/>
      <c r="AH21" s="697"/>
      <c r="AI21" s="612"/>
      <c r="AJ21" s="697"/>
      <c r="AK21" s="612"/>
      <c r="AL21" s="697"/>
      <c r="AM21" s="612"/>
      <c r="AN21" s="697"/>
      <c r="AO21" s="631"/>
      <c r="AQ21" s="625"/>
      <c r="AR21" s="699" t="str">
        <f t="shared" si="7"/>
        <v/>
      </c>
      <c r="AS21" s="699" t="str">
        <f t="shared" si="3"/>
        <v/>
      </c>
      <c r="AT21" s="697"/>
      <c r="AU21" s="630"/>
      <c r="AV21" s="697"/>
      <c r="AW21" s="612"/>
      <c r="AX21" s="697"/>
      <c r="AY21" s="612"/>
      <c r="AZ21" s="697"/>
      <c r="BA21" s="612"/>
      <c r="BB21" s="697"/>
      <c r="BC21" s="631"/>
    </row>
    <row r="22" spans="1:56" ht="33" customHeight="1">
      <c r="A22" s="625">
        <v>3.125E-2</v>
      </c>
      <c r="B22" s="38">
        <f t="shared" si="4"/>
        <v>0.52777777777777768</v>
      </c>
      <c r="C22" s="38">
        <f t="shared" si="0"/>
        <v>0.55902777777777768</v>
      </c>
      <c r="D22" s="697" t="s">
        <v>577</v>
      </c>
      <c r="E22" s="710" t="s">
        <v>44</v>
      </c>
      <c r="F22" s="697" t="s">
        <v>577</v>
      </c>
      <c r="G22" s="711" t="s">
        <v>674</v>
      </c>
      <c r="H22" s="709" t="s">
        <v>577</v>
      </c>
      <c r="I22" s="711" t="s">
        <v>671</v>
      </c>
      <c r="J22" s="709"/>
      <c r="K22" s="711"/>
      <c r="L22" s="709"/>
      <c r="M22" s="712"/>
      <c r="O22" s="625"/>
      <c r="P22" s="38" t="str">
        <f t="shared" si="5"/>
        <v/>
      </c>
      <c r="Q22" s="38" t="str">
        <f t="shared" si="1"/>
        <v/>
      </c>
      <c r="R22" s="709"/>
      <c r="S22" s="710"/>
      <c r="T22" s="709"/>
      <c r="U22" s="711"/>
      <c r="V22" s="709"/>
      <c r="W22" s="711"/>
      <c r="X22" s="709"/>
      <c r="Y22" s="711"/>
      <c r="Z22" s="709"/>
      <c r="AA22" s="712"/>
      <c r="AC22" s="625"/>
      <c r="AD22" s="38" t="str">
        <f t="shared" si="6"/>
        <v/>
      </c>
      <c r="AE22" s="38" t="str">
        <f t="shared" si="2"/>
        <v/>
      </c>
      <c r="AF22" s="709"/>
      <c r="AG22" s="710"/>
      <c r="AH22" s="709"/>
      <c r="AI22" s="711"/>
      <c r="AJ22" s="709"/>
      <c r="AK22" s="711"/>
      <c r="AL22" s="709"/>
      <c r="AM22" s="711"/>
      <c r="AN22" s="709"/>
      <c r="AO22" s="712"/>
      <c r="AQ22" s="625"/>
      <c r="AR22" s="38" t="str">
        <f t="shared" si="7"/>
        <v/>
      </c>
      <c r="AS22" s="38" t="str">
        <f t="shared" si="3"/>
        <v/>
      </c>
      <c r="AT22" s="709"/>
      <c r="AU22" s="710"/>
      <c r="AV22" s="709"/>
      <c r="AW22" s="711"/>
      <c r="AX22" s="709"/>
      <c r="AY22" s="711"/>
      <c r="AZ22" s="709"/>
      <c r="BA22" s="711"/>
      <c r="BB22" s="709"/>
      <c r="BC22" s="712"/>
    </row>
    <row r="23" spans="1:56" ht="33" customHeight="1">
      <c r="A23" s="625">
        <v>3.125E-2</v>
      </c>
      <c r="B23" s="699">
        <f t="shared" si="4"/>
        <v>0.55902777777777768</v>
      </c>
      <c r="C23" s="699">
        <f t="shared" si="0"/>
        <v>0.59027777777777768</v>
      </c>
      <c r="D23" s="697"/>
      <c r="E23" s="630"/>
      <c r="F23" s="697" t="s">
        <v>577</v>
      </c>
      <c r="G23" s="612" t="s">
        <v>674</v>
      </c>
      <c r="H23" s="697" t="s">
        <v>577</v>
      </c>
      <c r="I23" s="612" t="s">
        <v>671</v>
      </c>
      <c r="J23" s="697"/>
      <c r="K23" s="612"/>
      <c r="L23" s="697"/>
      <c r="M23" s="631"/>
      <c r="O23" s="625"/>
      <c r="P23" s="699" t="str">
        <f t="shared" si="5"/>
        <v/>
      </c>
      <c r="Q23" s="699" t="str">
        <f t="shared" si="1"/>
        <v/>
      </c>
      <c r="R23" s="697"/>
      <c r="S23" s="630"/>
      <c r="T23" s="697"/>
      <c r="U23" s="612"/>
      <c r="V23" s="697"/>
      <c r="W23" s="612"/>
      <c r="X23" s="697"/>
      <c r="Y23" s="612"/>
      <c r="Z23" s="697"/>
      <c r="AA23" s="631"/>
      <c r="AC23" s="625"/>
      <c r="AD23" s="699" t="str">
        <f t="shared" si="6"/>
        <v/>
      </c>
      <c r="AE23" s="699" t="str">
        <f t="shared" si="2"/>
        <v/>
      </c>
      <c r="AF23" s="697"/>
      <c r="AG23" s="630"/>
      <c r="AH23" s="697"/>
      <c r="AI23" s="612"/>
      <c r="AJ23" s="697"/>
      <c r="AK23" s="612"/>
      <c r="AL23" s="697"/>
      <c r="AM23" s="612"/>
      <c r="AN23" s="697"/>
      <c r="AO23" s="631"/>
      <c r="AQ23" s="625"/>
      <c r="AR23" s="699" t="str">
        <f t="shared" si="7"/>
        <v/>
      </c>
      <c r="AS23" s="699" t="str">
        <f t="shared" si="3"/>
        <v/>
      </c>
      <c r="AT23" s="697"/>
      <c r="AU23" s="630"/>
      <c r="AV23" s="697"/>
      <c r="AW23" s="612"/>
      <c r="AX23" s="697"/>
      <c r="AY23" s="612"/>
      <c r="AZ23" s="697"/>
      <c r="BA23" s="612"/>
      <c r="BB23" s="697"/>
      <c r="BC23" s="631"/>
    </row>
    <row r="24" spans="1:56" ht="33" customHeight="1">
      <c r="A24" s="625"/>
      <c r="B24" s="38" t="str">
        <f t="shared" si="4"/>
        <v/>
      </c>
      <c r="C24" s="38" t="str">
        <f t="shared" si="0"/>
        <v/>
      </c>
      <c r="D24" s="697"/>
      <c r="E24" s="710"/>
      <c r="F24" s="697"/>
      <c r="G24" s="711"/>
      <c r="H24" s="709"/>
      <c r="I24" s="711"/>
      <c r="J24" s="709"/>
      <c r="K24" s="711"/>
      <c r="L24" s="709"/>
      <c r="M24" s="712"/>
      <c r="O24" s="625"/>
      <c r="P24" s="38" t="str">
        <f t="shared" si="5"/>
        <v/>
      </c>
      <c r="Q24" s="38" t="str">
        <f t="shared" si="1"/>
        <v/>
      </c>
      <c r="R24" s="709"/>
      <c r="S24" s="710"/>
      <c r="T24" s="709"/>
      <c r="U24" s="711"/>
      <c r="V24" s="709"/>
      <c r="W24" s="711"/>
      <c r="X24" s="709"/>
      <c r="Y24" s="711"/>
      <c r="Z24" s="709"/>
      <c r="AA24" s="712"/>
      <c r="AC24" s="625"/>
      <c r="AD24" s="38" t="str">
        <f t="shared" si="6"/>
        <v/>
      </c>
      <c r="AE24" s="38" t="str">
        <f t="shared" si="2"/>
        <v/>
      </c>
      <c r="AF24" s="709"/>
      <c r="AG24" s="710"/>
      <c r="AH24" s="709"/>
      <c r="AI24" s="711"/>
      <c r="AJ24" s="709"/>
      <c r="AK24" s="711"/>
      <c r="AL24" s="709"/>
      <c r="AM24" s="711"/>
      <c r="AN24" s="709"/>
      <c r="AO24" s="712"/>
      <c r="AQ24" s="625"/>
      <c r="AR24" s="38" t="str">
        <f t="shared" si="7"/>
        <v/>
      </c>
      <c r="AS24" s="38" t="str">
        <f t="shared" si="3"/>
        <v/>
      </c>
      <c r="AT24" s="709"/>
      <c r="AU24" s="710"/>
      <c r="AV24" s="709"/>
      <c r="AW24" s="711"/>
      <c r="AX24" s="709"/>
      <c r="AY24" s="711"/>
      <c r="AZ24" s="709"/>
      <c r="BA24" s="711"/>
      <c r="BB24" s="709"/>
      <c r="BC24" s="712"/>
    </row>
    <row r="25" spans="1:56" ht="33" customHeight="1">
      <c r="A25" s="625"/>
      <c r="B25" s="699" t="str">
        <f t="shared" si="4"/>
        <v/>
      </c>
      <c r="C25" s="699" t="str">
        <f t="shared" si="0"/>
        <v/>
      </c>
      <c r="D25" s="697"/>
      <c r="E25" s="630"/>
      <c r="F25" s="697"/>
      <c r="G25" s="612"/>
      <c r="H25" s="697"/>
      <c r="I25" s="612"/>
      <c r="J25" s="697"/>
      <c r="K25" s="612"/>
      <c r="L25" s="697"/>
      <c r="M25" s="631"/>
      <c r="O25" s="625"/>
      <c r="P25" s="699" t="str">
        <f t="shared" si="5"/>
        <v/>
      </c>
      <c r="Q25" s="699" t="str">
        <f t="shared" si="1"/>
        <v/>
      </c>
      <c r="R25" s="697"/>
      <c r="S25" s="630"/>
      <c r="T25" s="697"/>
      <c r="U25" s="612"/>
      <c r="V25" s="697"/>
      <c r="W25" s="612"/>
      <c r="X25" s="697"/>
      <c r="Y25" s="612"/>
      <c r="Z25" s="697"/>
      <c r="AA25" s="631"/>
      <c r="AC25" s="625"/>
      <c r="AD25" s="699" t="str">
        <f t="shared" si="6"/>
        <v/>
      </c>
      <c r="AE25" s="699" t="str">
        <f t="shared" si="2"/>
        <v/>
      </c>
      <c r="AF25" s="697"/>
      <c r="AG25" s="630"/>
      <c r="AH25" s="697"/>
      <c r="AI25" s="612"/>
      <c r="AJ25" s="697"/>
      <c r="AK25" s="612"/>
      <c r="AL25" s="697"/>
      <c r="AM25" s="612"/>
      <c r="AN25" s="697"/>
      <c r="AO25" s="631"/>
      <c r="AQ25" s="625"/>
      <c r="AR25" s="699" t="str">
        <f t="shared" si="7"/>
        <v/>
      </c>
      <c r="AS25" s="699" t="str">
        <f t="shared" si="3"/>
        <v/>
      </c>
      <c r="AT25" s="697"/>
      <c r="AU25" s="630"/>
      <c r="AV25" s="697"/>
      <c r="AW25" s="612"/>
      <c r="AX25" s="697"/>
      <c r="AY25" s="612"/>
      <c r="AZ25" s="697"/>
      <c r="BA25" s="612"/>
      <c r="BB25" s="697"/>
      <c r="BC25" s="631"/>
    </row>
    <row r="26" spans="1:56" ht="33" customHeight="1">
      <c r="A26" s="625"/>
      <c r="B26" s="38" t="str">
        <f t="shared" si="4"/>
        <v/>
      </c>
      <c r="C26" s="38" t="str">
        <f t="shared" si="0"/>
        <v/>
      </c>
      <c r="D26" s="697"/>
      <c r="E26" s="710"/>
      <c r="F26" s="697"/>
      <c r="G26" s="711"/>
      <c r="H26" s="709"/>
      <c r="I26" s="711"/>
      <c r="J26" s="709"/>
      <c r="K26" s="711"/>
      <c r="L26" s="709"/>
      <c r="M26" s="712"/>
      <c r="O26" s="625"/>
      <c r="P26" s="38" t="str">
        <f t="shared" si="5"/>
        <v/>
      </c>
      <c r="Q26" s="38" t="str">
        <f t="shared" si="1"/>
        <v/>
      </c>
      <c r="R26" s="709"/>
      <c r="S26" s="710"/>
      <c r="T26" s="709"/>
      <c r="U26" s="711"/>
      <c r="V26" s="709"/>
      <c r="W26" s="711"/>
      <c r="X26" s="709"/>
      <c r="Y26" s="711"/>
      <c r="Z26" s="709"/>
      <c r="AA26" s="712"/>
      <c r="AC26" s="625"/>
      <c r="AD26" s="38" t="str">
        <f t="shared" si="6"/>
        <v/>
      </c>
      <c r="AE26" s="38" t="str">
        <f t="shared" si="2"/>
        <v/>
      </c>
      <c r="AF26" s="709"/>
      <c r="AG26" s="710"/>
      <c r="AH26" s="709"/>
      <c r="AI26" s="711"/>
      <c r="AJ26" s="709"/>
      <c r="AK26" s="711"/>
      <c r="AL26" s="709"/>
      <c r="AM26" s="711"/>
      <c r="AN26" s="709"/>
      <c r="AO26" s="712"/>
      <c r="AQ26" s="625"/>
      <c r="AR26" s="38" t="str">
        <f t="shared" si="7"/>
        <v/>
      </c>
      <c r="AS26" s="38" t="str">
        <f t="shared" si="3"/>
        <v/>
      </c>
      <c r="AT26" s="709"/>
      <c r="AU26" s="710"/>
      <c r="AV26" s="709"/>
      <c r="AW26" s="711"/>
      <c r="AX26" s="709"/>
      <c r="AY26" s="711"/>
      <c r="AZ26" s="709"/>
      <c r="BA26" s="711"/>
      <c r="BB26" s="709"/>
      <c r="BC26" s="712"/>
    </row>
    <row r="27" spans="1:56" ht="33" customHeight="1">
      <c r="A27" s="625"/>
      <c r="B27" s="699" t="str">
        <f t="shared" si="4"/>
        <v/>
      </c>
      <c r="C27" s="699" t="str">
        <f t="shared" si="0"/>
        <v/>
      </c>
      <c r="D27" s="697"/>
      <c r="E27" s="630"/>
      <c r="F27" s="697"/>
      <c r="G27" s="612"/>
      <c r="H27" s="697"/>
      <c r="I27" s="612"/>
      <c r="J27" s="697"/>
      <c r="K27" s="612"/>
      <c r="L27" s="697"/>
      <c r="M27" s="631"/>
      <c r="O27" s="625"/>
      <c r="P27" s="699" t="str">
        <f t="shared" si="5"/>
        <v/>
      </c>
      <c r="Q27" s="699" t="str">
        <f t="shared" si="1"/>
        <v/>
      </c>
      <c r="R27" s="697"/>
      <c r="S27" s="630"/>
      <c r="T27" s="697"/>
      <c r="U27" s="612"/>
      <c r="V27" s="697"/>
      <c r="W27" s="612"/>
      <c r="X27" s="697"/>
      <c r="Y27" s="612"/>
      <c r="Z27" s="697"/>
      <c r="AA27" s="631"/>
      <c r="AC27" s="625"/>
      <c r="AD27" s="699" t="str">
        <f t="shared" si="6"/>
        <v/>
      </c>
      <c r="AE27" s="699" t="str">
        <f t="shared" si="2"/>
        <v/>
      </c>
      <c r="AF27" s="697"/>
      <c r="AG27" s="630"/>
      <c r="AH27" s="697"/>
      <c r="AI27" s="612"/>
      <c r="AJ27" s="697"/>
      <c r="AK27" s="612"/>
      <c r="AL27" s="697"/>
      <c r="AM27" s="612"/>
      <c r="AN27" s="697"/>
      <c r="AO27" s="631"/>
      <c r="AQ27" s="625"/>
      <c r="AR27" s="699" t="str">
        <f t="shared" si="7"/>
        <v/>
      </c>
      <c r="AS27" s="699" t="str">
        <f t="shared" si="3"/>
        <v/>
      </c>
      <c r="AT27" s="697"/>
      <c r="AU27" s="630"/>
      <c r="AV27" s="697"/>
      <c r="AW27" s="612"/>
      <c r="AX27" s="697"/>
      <c r="AY27" s="612"/>
      <c r="AZ27" s="697"/>
      <c r="BA27" s="612"/>
      <c r="BB27" s="697"/>
      <c r="BC27" s="631"/>
    </row>
    <row r="28" spans="1:56" ht="33" customHeight="1">
      <c r="A28" s="625"/>
      <c r="B28" s="38" t="str">
        <f t="shared" si="4"/>
        <v/>
      </c>
      <c r="C28" s="38" t="str">
        <f t="shared" si="0"/>
        <v/>
      </c>
      <c r="D28" s="697"/>
      <c r="E28" s="710"/>
      <c r="F28" s="697"/>
      <c r="G28" s="711"/>
      <c r="H28" s="709"/>
      <c r="I28" s="711"/>
      <c r="J28" s="709"/>
      <c r="K28" s="711"/>
      <c r="L28" s="709"/>
      <c r="M28" s="712"/>
      <c r="O28" s="625"/>
      <c r="P28" s="38" t="str">
        <f t="shared" si="5"/>
        <v/>
      </c>
      <c r="Q28" s="38" t="str">
        <f t="shared" si="1"/>
        <v/>
      </c>
      <c r="R28" s="709"/>
      <c r="S28" s="710"/>
      <c r="T28" s="709"/>
      <c r="U28" s="711"/>
      <c r="V28" s="709"/>
      <c r="W28" s="711"/>
      <c r="X28" s="709"/>
      <c r="Y28" s="711"/>
      <c r="Z28" s="709"/>
      <c r="AA28" s="712"/>
      <c r="AC28" s="625"/>
      <c r="AD28" s="38" t="str">
        <f t="shared" si="6"/>
        <v/>
      </c>
      <c r="AE28" s="38" t="str">
        <f t="shared" si="2"/>
        <v/>
      </c>
      <c r="AF28" s="709"/>
      <c r="AG28" s="710"/>
      <c r="AH28" s="709"/>
      <c r="AI28" s="711"/>
      <c r="AJ28" s="709"/>
      <c r="AK28" s="711"/>
      <c r="AL28" s="709"/>
      <c r="AM28" s="711"/>
      <c r="AN28" s="709"/>
      <c r="AO28" s="712"/>
      <c r="AQ28" s="625"/>
      <c r="AR28" s="38" t="str">
        <f t="shared" si="7"/>
        <v/>
      </c>
      <c r="AS28" s="38" t="str">
        <f t="shared" si="3"/>
        <v/>
      </c>
      <c r="AT28" s="709"/>
      <c r="AU28" s="710"/>
      <c r="AV28" s="709"/>
      <c r="AW28" s="711"/>
      <c r="AX28" s="709"/>
      <c r="AY28" s="711"/>
      <c r="AZ28" s="709"/>
      <c r="BA28" s="711"/>
      <c r="BB28" s="709"/>
      <c r="BC28" s="712"/>
    </row>
    <row r="29" spans="1:56" ht="33" customHeight="1" thickBot="1">
      <c r="A29" s="626"/>
      <c r="B29" s="700" t="str">
        <f t="shared" si="4"/>
        <v/>
      </c>
      <c r="C29" s="700" t="str">
        <f t="shared" si="0"/>
        <v/>
      </c>
      <c r="D29" s="698"/>
      <c r="E29" s="637"/>
      <c r="F29" s="698"/>
      <c r="G29" s="632"/>
      <c r="H29" s="698"/>
      <c r="I29" s="632"/>
      <c r="J29" s="698"/>
      <c r="K29" s="632"/>
      <c r="L29" s="698"/>
      <c r="M29" s="633"/>
      <c r="O29" s="626"/>
      <c r="P29" s="700" t="str">
        <f t="shared" si="5"/>
        <v/>
      </c>
      <c r="Q29" s="700" t="str">
        <f t="shared" si="1"/>
        <v/>
      </c>
      <c r="R29" s="698"/>
      <c r="S29" s="637"/>
      <c r="T29" s="698"/>
      <c r="U29" s="632"/>
      <c r="V29" s="698"/>
      <c r="W29" s="632"/>
      <c r="X29" s="698"/>
      <c r="Y29" s="632"/>
      <c r="Z29" s="698"/>
      <c r="AA29" s="633"/>
      <c r="AC29" s="626"/>
      <c r="AD29" s="700" t="str">
        <f t="shared" si="6"/>
        <v/>
      </c>
      <c r="AE29" s="700" t="str">
        <f t="shared" si="2"/>
        <v/>
      </c>
      <c r="AF29" s="698"/>
      <c r="AG29" s="637"/>
      <c r="AH29" s="698"/>
      <c r="AI29" s="632"/>
      <c r="AJ29" s="698"/>
      <c r="AK29" s="632"/>
      <c r="AL29" s="698"/>
      <c r="AM29" s="632"/>
      <c r="AN29" s="698"/>
      <c r="AO29" s="633"/>
      <c r="AQ29" s="626"/>
      <c r="AR29" s="700" t="str">
        <f t="shared" si="7"/>
        <v/>
      </c>
      <c r="AS29" s="700" t="str">
        <f t="shared" si="3"/>
        <v/>
      </c>
      <c r="AT29" s="698"/>
      <c r="AU29" s="637"/>
      <c r="AV29" s="698"/>
      <c r="AW29" s="632"/>
      <c r="AX29" s="698"/>
      <c r="AY29" s="632"/>
      <c r="AZ29" s="698"/>
      <c r="BA29" s="632"/>
      <c r="BB29" s="698"/>
      <c r="BC29" s="633"/>
    </row>
    <row r="30" spans="1:56" ht="33" hidden="1" customHeight="1">
      <c r="A30" s="821" t="s">
        <v>220</v>
      </c>
      <c r="B30" s="822"/>
      <c r="C30" s="822"/>
      <c r="D30" s="822"/>
      <c r="E30" s="270">
        <f>IF(AND(D11="L",E11&gt;0),A11,0)+IF(AND(D12="L",E12&gt;0),A12,0)+IF(AND(D13="L",E13&gt;0),A13,0)+IF(AND(D14="L",E14&gt;0),A14,0)+IF(AND(D15="L",E15&gt;0),A15,0)+IF(AND(D16="L",E16&gt;0),A16,0)+IF(AND(D17="L",E17&gt;0),A17,0)+IF(AND(D18="L",E18&gt;0),A18,0)+IF(AND(D19="L",E19&gt;0),A19,0)+IF(AND(D20="L",E20&gt;0),A20,0)+IF(AND(D21="L",E21&gt;0),A21,0)+IF(AND(D22="L",E22&gt;0),A22,0)+IF(AND(D23="L",E23&gt;0),A23,0)+IF(AND(D24="L",E24&gt;0),A24,0)+IF(AND(D25="L",E25&gt;0),A25,0)+IF(AND(D26="L",E26&gt;0),A26,0)+IF(AND(D27="L",E27&gt;0),A27,0)+IF(AND(D28="L",E28&gt;0),A28,0)+IF(AND(D29="L",E29&gt;0),A29,0)</f>
        <v>0.16319444444444445</v>
      </c>
      <c r="F30" s="270"/>
      <c r="G30" s="270">
        <f>IF(AND(F11="L",G11&gt;0),$A$11,0)+IF(AND(F12="L",G12&gt;0),$A$12,0)+IF(AND(F13="L",G13&gt;0),$A$13,0)+IF(AND(F14="L",G14&gt;0),$A$14,0)+IF(AND(F15="L",G15&gt;0),$A$15,0)+IF(AND(F16="L",G16&gt;0),$A$16,0)+IF(AND(F17="L",G17&gt;0),$A$17,0)+IF(AND(F18="L",G18&gt;0),$A$18,0)+IF(AND(F19="L",G19&gt;0),$A$19,0)+IF(AND(F20="L",G20&gt;0),$A$20,0)+IF(AND(F21="L",G21&gt;0),$A$21,0)+IF(AND(F22="L",G22&gt;0),$A$22,0)+IF(AND(F23="L",G23&gt;0),$A$23,0)+IF(AND(F24="L",G24&gt;0),$A$24,0)+IF(AND(F25="L",G25&gt;0),$A$25,0)+IF(AND(F26="L",G26&gt;0),$A$26,0)+IF(AND(F27="L",G27&gt;0),$A$27,0)+IF(AND(F28="L",G28&gt;0),$A$28,0)+IF(AND(F29="L",G29&gt;0),$A$29,0)</f>
        <v>0.1875</v>
      </c>
      <c r="H30" s="270"/>
      <c r="I30" s="270">
        <f>IF(AND(H11="L",I11&gt;0),$A$11,0)+IF(AND(H12="L",I12&gt;0),$A$12,0)+IF(AND(H13="L",I13&gt;0),$A$13,0)+IF(AND(H14="L",I14&gt;0),$A$14,0)+IF(AND(H15="L",I15&gt;0),$A$15,0)+IF(AND(H16="L",I16&gt;0),$A$16,0)+IF(AND(H17="L",I17&gt;0),$A$17,0)+IF(AND(H18="L",I18&gt;0),$A$18,0)+IF(AND(H19="L",I19&gt;0),$A$19,0)+IF(AND(H20="L",I20&gt;0),$A$20,0)+IF(AND(H21="L",I21&gt;0),$A$21,0)+IF(AND(H22="L",I22&gt;0),$A$22,0)+IF(AND(H23="L",I23&gt;0),$A$23,0)+IF(AND(H24="L",I24&gt;0),$A$24,0)+IF(AND(H25="L",I25&gt;0),$A$25,0)+IF(AND(H26="L",I26&gt;0),$A$26,0)+IF(AND(H27="L",I27&gt;0),$A$27,0)+IF(AND(H28="L",I28&gt;0),$A$28,0)+IF(AND(H29="L",I29&gt;0),$A$29,0)</f>
        <v>0.20833333333333331</v>
      </c>
      <c r="J30" s="491"/>
      <c r="K30" s="638">
        <f>IF(AND(J11="L",K11&gt;0),$A$11,0)+IF(AND(J12="L",K12&gt;0),$A$12,0)+IF(AND(J13="L",K13&gt;0),$A$13,0)+IF(AND(J14="L",K14&gt;0),$A$14,0)+IF(AND(J15="L",K15&gt;0),$A$15,0)+IF(AND(J16="L",K16&gt;0),$A$16,0)+IF(AND(J17="L",K17&gt;0),$A$17,0)+IF(AND(J18="L",K18&gt;0),$A$18,0)+IF(AND(J19="L",K19&gt;0),$A$19,0)+IF(AND(J20="L",K20&gt;0),$A$20,0)+IF(AND(J21="L",K21&gt;0),$A$21,0)+IF(AND(J22="L",K22&gt;0),$A$22,0)+IF(AND(J23="L",K23&gt;0),$A$23,0)+IF(AND(J24="L",K24&gt;0),$A$24,0)+IF(AND(J25="L",K25&gt;0),$A$25,0)+IF(AND(J26="L",K26&gt;0),$A$26,0)+IF(AND(J27="L",K27&gt;0),$A$27,0)+IF(AND(J28="L",K28&gt;0),$A$28,0)+IF(AND(J29="L",K29&gt;0),$A$29,0)</f>
        <v>0.125</v>
      </c>
      <c r="L30" s="627"/>
      <c r="M30" s="638">
        <f>IF(AND(L11="L",M11&gt;0),$A$11,0)+IF(AND(L12="L",M12&gt;0),$A$12,0)+IF(AND(L13="L",M13&gt;0),$A$13,0)+IF(AND(L14="L",M14&gt;0),$A$14,0)+IF(AND(L15="L",M15&gt;0),$A$15,0)+IF(AND(L16="L",M16&gt;0),$A$16,0)+IF(AND(L17="L",M17&gt;0),$A$17,0)+IF(AND(L18="L",M18&gt;0),$A$18,0)+IF(AND(L19="L",M19&gt;0),$A$19,0)+IF(AND(L20="L",M20&gt;0),$A$20,0)+IF(AND(L21="L",M21&gt;0),$A$21,0)+IF(AND(L22="L",M22&gt;0),$A$22,0)+IF(AND(L23="L",M23&gt;0),$A$23,0)+IF(AND(L24="L",M24&gt;0),$A$24,0)+IF(AND(L25="L",M25&gt;0),$A$25,0)+IF(AND(L26="L",M26&gt;0),$A$26,0)+IF(AND(L27="L",M27&gt;0),$A$27,0)+IF(AND(L28="L",M28&gt;0),$A$28,0)+IF(AND(L29="L",M29&gt;0),$A$29,0)</f>
        <v>0.125</v>
      </c>
      <c r="N30" s="627"/>
      <c r="O30" s="270"/>
      <c r="P30" s="270"/>
      <c r="Q30" s="270"/>
      <c r="R30" s="270"/>
      <c r="S30" s="270">
        <f>IF(AND(R11="L",S11&gt;0),$O$11,0)+IF(AND(R12="L",S12&gt;0),$O$12,0)+IF(AND(R13="L",S13&gt;0),$O$13,0)+IF(AND(R14="L",S14&gt;0),$O$14,0)+IF(AND(R15="L",S15&gt;0),$O$15,0)+IF(AND(R16="L",S16&gt;0),$O$16,0)+IF(AND(R17="L",S17&gt;0),$O$17,0)+IF(AND(R18="L",S18&gt;0),$O$18,0)+IF(AND(R19="L",S19&gt;0),$O$19,0)+IF(AND(R20="L",S20&gt;0),$O$20,0)+IF(AND(R21="L",S21&gt;0),$O$21,0)+IF(AND(R22="L",S22&gt;0),$O$22,0)+IF(AND(R23="L",S23&gt;0),$O$23,0)+IF(AND(R24="L",S24&gt;0),$O$24,0)+IF(AND(R25="L",S25&gt;0),$O$25,0)+IF(AND(R26="L",S26&gt;0),$O$26,0)+IF(AND(R27="L",S27&gt;0),$O$27,0)+IF(AND(R28="L",S28&gt;0),$O$28,0)+IF(AND(R29="L",S29&gt;0),$O$29,0)</f>
        <v>0.14583333333333331</v>
      </c>
      <c r="T30" s="270"/>
      <c r="U30" s="270">
        <f>IF(AND(T11="L",U11&gt;0),$O$11,0)+IF(AND(T12="L",U12&gt;0),$O$12,0)+IF(AND(T13="L",U13&gt;0),$O$13,0)+IF(AND(T14="L",U14&gt;0),$O$14,0)+IF(AND(T15="L",U15&gt;0),$O$15,0)+IF(AND(T16="L",U16&gt;0),$O$16,0)+IF(AND(T17="L",U17&gt;0),$O$17,0)+IF(AND(T18="L",U18&gt;0),$O$18,0)+IF(AND(T19="L",U19&gt;0),$O$19,0)+IF(AND(T20="L",U20&gt;0),$O$20,0)+IF(AND(T21="L",U21&gt;0),$O$21,0)+IF(AND(T22="L",U22&gt;0),$O$22,0)+IF(AND(T23="L",U23&gt;0),$O$23,0)+IF(AND(T24="L",U24&gt;0),$O$24,0)+IF(AND(T25="L",U25&gt;0),$O$25,0)+IF(AND(T26="L",U26&gt;0),$O$26,0)+IF(AND(T27="L",U27&gt;0),$O$27,0)+IF(AND(T28="L",U28&gt;0),$O$28,0)+IF(AND(T29="L",U29&gt;0),$O$29,0)</f>
        <v>0.15625</v>
      </c>
      <c r="V30" s="270"/>
      <c r="W30" s="270">
        <f>IF(AND(V11="L",W11&gt;0),$O$11,0)+IF(AND(V12="L",W12&gt;0),$O$12,0)+IF(AND(V13="L",W13&gt;0),$O$13,0)+IF(AND(V14="L",W14&gt;0),$O$14,0)+IF(AND(V15="L",W15&gt;0),$O$15,0)+IF(AND(V16="L",W16&gt;0),$O$16,0)+IF(AND(V17="L",W17&gt;0),$O$17,0)+IF(AND(V18="L",W18&gt;0),$O$18,0)+IF(AND(V19="L",W19&gt;0),$O$19,0)+IF(AND(V20="L",W20&gt;0),$O$20,0)+IF(AND(V21="L",W21&gt;0),$O$21,0)+IF(AND(V22="L",W22&gt;0),$O$22,0)+IF(AND(V23="L",W23&gt;0),$O$23,0)+IF(AND(V24="L",W24&gt;0),$O$24,0)+IF(AND(V25="L",W25&gt;0),$O$25,0)+IF(AND(V26="L",W26&gt;0),$O$26,0)+IF(AND(V27="L",W27&gt;0),$O$27,0)+IF(AND(V28="L",W28&gt;0),$O$28,0)+IF(AND(V29="L",W29&gt;0),$O$29,0)</f>
        <v>0.17708333333333331</v>
      </c>
      <c r="X30" s="491"/>
      <c r="Y30" s="270">
        <f>IF(AND(X11="L",Y11&gt;0),$O$11,0)+IF(AND(X12="L",Y12&gt;0),$O$12,0)+IF(AND(X13="L",Y13&gt;0),$O$13,0)+IF(AND(X14="L",Y14&gt;0),$O$14,0)+IF(AND(X15="L",Y15&gt;0),$O$15,0)+IF(AND(X16="L",Y16&gt;0),$O$16,0)+IF(AND(X17="L",Y17&gt;0),$O$17,0)+IF(AND(X18="L",Y18&gt;0),$O$18,0)+IF(AND(X19="L",Y19&gt;0),$O$19,0)+IF(AND(X20="L",Y20&gt;0),$O$20,0)+IF(AND(X21="L",Y21&gt;0),$O$21,0)+IF(AND(X22="L",Y22&gt;0),$O$22,0)+IF(AND(X23="L",Y23&gt;0),$O$23,0)+IF(AND(X24="L",Y24&gt;0),$O$24,0)+IF(AND(X25="L",Y25&gt;0),$O$25,0)+IF(AND(X26="L",Y26&gt;0),$O$26,0)+IF(AND(X27="L",Y27&gt;0),$O$27,0)+IF(AND(X28="L",Y28&gt;0),$O$28,0)+IF(AND(X29="L",Y29&gt;0),$O$29,0)</f>
        <v>0.125</v>
      </c>
      <c r="Z30" s="627"/>
      <c r="AA30" s="270">
        <f>IF(AND(Z11="L",AA11&gt;0),$O$11,0)+IF(AND(Z12="L",AA12&gt;0),$O$12,0)+IF(AND(Z13="L",AA13&gt;0),$O$13,0)+IF(AND(Z14="L",AA14&gt;0),$O$14,0)+IF(AND(Z15="L",AA15&gt;0),$O$15,0)+IF(AND(Z16="L",AA16&gt;0),$O$16,0)+IF(AND(Z17="L",AA17&gt;0),$O$17,0)+IF(AND(Z18="L",AA18&gt;0),$O$18,0)+IF(AND(Z19="L",AA19&gt;0),$O$19,0)+IF(AND(Z20="L",AA20&gt;0),$O$20,0)+IF(AND(Z21="L",AA21&gt;0),$O$21,0)+IF(AND(Z22="L",AA22&gt;0),$O$22,0)+IF(AND(Z23="L",AA23&gt;0),$O$23,0)+IF(AND(Z24="L",AA24&gt;0),$O$24,0)+IF(AND(Z25="L",AA25&gt;0),$O$25,0)+IF(AND(Z26="L",AA26&gt;0),$O$26,0)+IF(AND(Z27="L",AA27&gt;0),$O$27,0)+IF(AND(Z28="L",AA28&gt;0),$O$28,0)+IF(AND(Z29="L",AA29&gt;0),$O$29,0)</f>
        <v>0.125</v>
      </c>
      <c r="AB30" s="270"/>
      <c r="AC30" s="270"/>
      <c r="AD30" s="491"/>
      <c r="AE30" s="627"/>
      <c r="AF30" s="627"/>
      <c r="AG30" s="270">
        <f>IF(AND(AF11="L",AG11&gt;0),$AC$11,0)+IF(AND(AF12="L",AG12&gt;0),$AC$12,0)+IF(AND(AF13="L",AG13&gt;0),$AC$13,0)+IF(AND(AF14="L",AG14&gt;0),$AC$14,0)+IF(AND(AF15="L",AG15&gt;0),$AC$15,0)+IF(AND(AF16="L",AG16&gt;0),$AC$16,0)+IF(AND(AF17="L",AG17&gt;0),$AC$17,0)+IF(AND(AF18="L",AG18&gt;0),$AC$18,0)+IF(AND(AF19="L",AG19&gt;0),$AC$19,0)+IF(AND(AF20="L",AG20&gt;0),$AC$20,0)+IF(AND(AF21="L",AG21&gt;0),$AC$21,0)+IF(AND(AF22="L",AG22&gt;0),$AC$22,0)+IF(AND(AF23="L",AG23&gt;0),$AC$23,0)+IF(AND(AF24="L",AG24&gt;0),$AC$24,0)+IF(AND(AF25="L",AG25&gt;0),$AC$25,0)+IF(AND(AF26="L",AG26&gt;0),$AC$26,0)+IF(AND(AF27="L",AG27&gt;0),$AC$27,0)+IF(AND(AF28="L",AG28&gt;0),$AC$28,0)+IF(AND(AF29="L",AG29&gt;0),$AC$29,0)</f>
        <v>0</v>
      </c>
      <c r="AH30" s="627"/>
      <c r="AI30" s="270">
        <f>IF(AND(AH11="L",AI11&gt;0),$AC$11,0)+IF(AND(AH12="L",AI12&gt;0),$AC$12,0)+IF(AND(AH13="L",AI13&gt;0),$AC$13,0)+IF(AND(AH14="L",AI14&gt;0),$AC$14,0)+IF(AND(AH15="L",AI15&gt;0),$AC$15,0)+IF(AND(AH16="L",AI16&gt;0),$AC$16,0)+IF(AND(AH17="L",AI17&gt;0),$AC$17,0)+IF(AND(AH18="L",AI18&gt;0),$AC$18,0)+IF(AND(AH19="L",AI19&gt;0),$AC$19,0)+IF(AND(AH20="L",AI20&gt;0),$AC$20,0)+IF(AND(AH21="L",AI21&gt;0),$AC$21,0)+IF(AND(AH22="L",AI22&gt;0),$AC$22,0)+IF(AND(AH23="L",AI23&gt;0),$AC$23,0)+IF(AND(AH24="L",AI24&gt;0),$AC$24,0)+IF(AND(AH25="L",AI25&gt;0),$AC$25,0)+IF(AND(AH26="L",AI26&gt;0),$AC$26,0)+IF(AND(AH27="L",AI27&gt;0),$AC$27,0)+IF(AND(AH28="L",AI28&gt;0),$AC$28,0)+IF(AND(AH29="L",AI29&gt;0),$AC$29,0)</f>
        <v>0</v>
      </c>
      <c r="AJ30" s="270"/>
      <c r="AK30" s="270">
        <f>IF(AND(AJ11="L",AK11&gt;0),$AC$11,0)+IF(AND(AJ12="L",AK12&gt;0),$AC$12,0)+IF(AND(AJ13="L",AK13&gt;0),$AC$13,0)+IF(AND(AJ14="L",AK14&gt;0),$AC$14,0)+IF(AND(AJ15="L",AK15&gt;0),$AC$15,0)+IF(AND(AJ16="L",AK16&gt;0),$AC$16,0)+IF(AND(AJ17="L",AK17&gt;0),$AC$17,0)+IF(AND(AJ18="L",AK18&gt;0),$AC$18,0)+IF(AND(AJ19="L",AK19&gt;0),$AC$19,0)+IF(AND(AJ20="L",AK20&gt;0),$AC$20,0)+IF(AND(AJ21="L",AK21&gt;0),$AC$21,0)+IF(AND(AJ22="L",AK22&gt;0),$AC$22,0)+IF(AND(AJ23="L",AK23&gt;0),$AC$23,0)+IF(AND(AJ24="L",AK24&gt;0),$AC$24,0)+IF(AND(AJ25="L",AK25&gt;0),$AC$25,0)+IF(AND(AJ26="L",AK26&gt;0),$AC$26,0)+IF(AND(AJ27="L",AK27&gt;0),$AC$27,0)+IF(AND(AJ28="L",AK28&gt;0),$AC$28,0)+IF(AND(AJ29="L",AK29&gt;0),$AC$29,0)</f>
        <v>0</v>
      </c>
      <c r="AL30" s="270"/>
      <c r="AM30" s="270">
        <f>IF(AND(AL11="L",AM11&gt;0),$AC$11,0)+IF(AND(AL12="L",AM12&gt;0),$AC$12,0)+IF(AND(AL13="L",AM13&gt;0),$AC$13,0)+IF(AND(AL14="L",AM14&gt;0),$AC$14,0)+IF(AND(AL15="L",AM15&gt;0),$AC$15,0)+IF(AND(AL16="L",AM16&gt;0),$AC$16,0)+IF(AND(AL17="L",AM17&gt;0),$AC$17,0)+IF(AND(AL18="L",AM18&gt;0),$AC$18,0)+IF(AND(AL19="L",AM19&gt;0),$AC$19,0)+IF(AND(AL20="L",AM20&gt;0),$AC$20,0)+IF(AND(AL21="L",AM21&gt;0),$AC$21,0)+IF(AND(AL22="L",AM22&gt;0),$AC$22,0)+IF(AND(AL23="L",AM23&gt;0),$AC$23,0)+IF(AND(AL24="L",AM24&gt;0),$AC$24,0)+IF(AND(AL25="L",AM25&gt;0),$AC$25,0)+IF(AND(AL26="L",AM26&gt;0),$AC$26,0)+IF(AND(AL27="L",AM27&gt;0),$AC$27,0)+IF(AND(AL28="L",AM28&gt;0),$AC$28,0)+IF(AND(AL29="L",AM29&gt;0),$AC$29,0)</f>
        <v>0</v>
      </c>
      <c r="AN30" s="491"/>
      <c r="AO30" s="270">
        <f>IF(AND(AN11="L",AO11&gt;0),$AC$11,0)+IF(AND(AN12="L",AO12&gt;0),$AC$12,0)+IF(AND(AN13="L",AO13&gt;0),$AC$13,0)+IF(AND(AN14="L",AO14&gt;0),$AC$14,0)+IF(AND(AN15="L",AO15&gt;0),$AC$15,0)+IF(AND(AN16="L",AO16&gt;0),$AC$16,0)+IF(AND(AN17="L",AO17&gt;0),$AC$17,0)+IF(AND(AN18="L",AO18&gt;0),$AC$18,0)+IF(AND(AN19="L",AO19&gt;0),$AC$19,0)+IF(AND(AN20="L",AO20&gt;0),$AC$20,0)+IF(AND(AN21="L",AO21&gt;0),$AC$21,0)+IF(AND(AN22="L",AO22&gt;0),$AC$22,0)+IF(AND(AN23="L",AO23&gt;0),$AC$23,0)+IF(AND(AN24="L",AO24&gt;0),$AC$24,0)+IF(AND(AN25="L",AO25&gt;0),$AC$25,0)+IF(AND(AN26="L",AO26&gt;0),$AC$26,0)+IF(AND(AN27="L",AO27&gt;0),$AC$27,0)+IF(AND(AN28="L",AO28&gt;0),$AC$28,0)+IF(AND(AN29="L",AO29&gt;0),$AC$29,0)</f>
        <v>0</v>
      </c>
      <c r="AU30" s="270">
        <f>IF(AND(AT11="L",AU11&gt;0),$AQ$11,0)+IF(AND(AT12="L",AU12&gt;0),$AQ$12,0)+IF(AND(AT13="L",AU13&gt;0),$AQ$13,0)+IF(AND(AT14="L",AU14&gt;0),$AQ$14,0)+IF(AND(AT15="L",AU15&gt;0),$AQ$15,0)+IF(AND(AT16="L",AU16&gt;0),$AQ$16,0)+IF(AND(AT17="L",AU17&gt;0),$AQ$17,0)+IF(AND(AT18="L",AU18&gt;0),$AQ$18,0)+IF(AND(AT19="L",AU19&gt;0),$AQ$19,0)+IF(AND(AT20="L",AU20&gt;0),$AQ$20,0)+IF(AND(AT21="L",AU21&gt;0),$AQ$21,0)+IF(AND(AT22="L",AU22&gt;0),$AQ$22,0)+IF(AND(AT23="L",AU23&gt;0),$AQ$23,0)+IF(AND(AT24="L",AU24&gt;0),$AQ$24,0)+IF(AND(AT25="L",AU25&gt;0),$AQ$25,0)+IF(AND(AT26="L",AU26&gt;0),$AQ$26,0)+IF(AND(AT27="L",AU27&gt;0),$AQ$27,0)+IF(AND(AT28="L",AU28&gt;0),$AQ$28,0)+IF(AND(AT29="L",AU29&gt;0),$AQ$29,0)</f>
        <v>0</v>
      </c>
      <c r="AW30" s="270">
        <f>IF(AND(AV11="L",AW11&gt;0),$AQ$11,0)+IF(AND(AV12="L",AW12&gt;0),$AQ$12,0)+IF(AND(AV13="L",AW13&gt;0),$AQ$13,0)+IF(AND(AV14="L",AW14&gt;0),$AQ$14,0)+IF(AND(AV15="L",AW15&gt;0),$AQ$15,0)+IF(AND(AV16="L",AW16&gt;0),$AQ$16,0)+IF(AND(AV17="L",AW17&gt;0),$AQ$17,0)+IF(AND(AV18="L",AW18&gt;0),$AQ$18,0)+IF(AND(AV19="L",AW19&gt;0),$AQ$19,0)+IF(AND(AV20="L",AW20&gt;0),$AQ$20,0)+IF(AND(AV21="L",AW21&gt;0),$AQ$21,0)+IF(AND(AV22="L",AW22&gt;0),$AQ$22,0)+IF(AND(AV23="L",AW23&gt;0),$AQ$23,0)+IF(AND(AV24="L",AW24&gt;0),$AQ$24,0)+IF(AND(AV25="L",AW25&gt;0),$AQ$25,0)+IF(AND(AV26="L",AW26&gt;0),$AQ$26,0)+IF(AND(AV27="L",AW27&gt;0),$AQ$27,0)+IF(AND(AV28="L",AW28&gt;0),$AQ$28,0)+IF(AND(AV29="L",AW29&gt;0),$AQ$29,0)</f>
        <v>0</v>
      </c>
      <c r="AY30" s="270">
        <f>IF(AND(AX11="L",AY11&gt;0),$AQ$11,0)+IF(AND(AX12="L",AY12&gt;0),$AQ$12,0)+IF(AND(AX13="L",AY13&gt;0),$AQ$13,0)+IF(AND(AX14="L",AY14&gt;0),$AQ$14,0)+IF(AND(AX15="L",AY15&gt;0),$AQ$15,0)+IF(AND(AX16="L",AY16&gt;0),$AQ$16,0)+IF(AND(AX17="L",AY17&gt;0),$AQ$17,0)+IF(AND(AX18="L",AY18&gt;0),$AQ$18,0)+IF(AND(AX19="L",AY19&gt;0),$AQ$19,0)+IF(AND(AX20="L",AY20&gt;0),$AQ$20,0)+IF(AND(AX21="L",AY21&gt;0),$AQ$21,0)+IF(AND(AX22="L",AY22&gt;0),$AQ$22,0)+IF(AND(AX23="L",AY23&gt;0),$AQ$23,0)+IF(AND(AX24="L",AY24&gt;0),$AQ$24,0)+IF(AND(AX25="L",AY25&gt;0),$AQ$25,0)+IF(AND(AX26="L",AY26&gt;0),$AQ$26,0)+IF(AND(AX27="L",AY27&gt;0),$AQ$27,0)+IF(AND(AX28="L",AY28&gt;0),$AQ$28,0)+IF(AND(AX29="L",AY29&gt;0),$AQ$29,0)</f>
        <v>0</v>
      </c>
      <c r="BA30" s="270">
        <f>IF(AND(AZ11="L",BA11&gt;0),$AQ$11,0)+IF(AND(AZ12="L",BA12&gt;0),$AQ$12,0)+IF(AND(AZ13="L",BA13&gt;0),$AQ$13,0)+IF(AND(AZ14="L",BA14&gt;0),$AQ$14,0)+IF(AND(AZ15="L",BA15&gt;0),$AQ$15,0)+IF(AND(AZ16="L",BA16&gt;0),$AQ$16,0)+IF(AND(AZ17="L",BA17&gt;0),$AQ$17,0)+IF(AND(AZ18="L",BA18&gt;0),$AQ$18,0)+IF(AND(AZ19="L",BA19&gt;0),$AQ$19,0)+IF(AND(AZ20="L",BA20&gt;0),$AQ$20,0)+IF(AND(AZ21="L",BA21&gt;0),$AQ$21,0)+IF(AND(AZ22="L",BA22&gt;0),$AQ$22,0)+IF(AND(AZ23="L",BA23&gt;0),$AQ$23,0)+IF(AND(AZ24="L",BA24&gt;0),$AQ$24,0)+IF(AND(AZ25="L",BA25&gt;0),$AQ$25,0)+IF(AND(AZ26="L",BA26&gt;0),$AQ$26,0)+IF(AND(AZ27="L",BA27&gt;0),$AQ$27,0)+IF(AND(AZ28="L",BA28&gt;0),$AQ$28,0)+IF(AND(AZ29="L",BA29&gt;0),$AQ$29,0)</f>
        <v>0</v>
      </c>
      <c r="BC30" s="270">
        <f>IF(AND(BB11="L",BC11&gt;0),$AQ$11,0)+IF(AND(BB12="L",BC12&gt;0),$AQ$12,0)+IF(AND(BB13="L",BC13&gt;0),$AQ$13,0)+IF(AND(BB14="L",BC14&gt;0),$AQ$14,0)+IF(AND(BB15="L",BC15&gt;0),$AQ$15,0)+IF(AND(BB16="L",BC16&gt;0),$AQ$16,0)+IF(AND(BB17="L",BC17&gt;0),$AQ$17,0)+IF(AND(BB18="L",BC18&gt;0),$AQ$18,0)+IF(AND(BB19="L",BC19&gt;0),$AQ$19,0)+IF(AND(BB20="L",BC20&gt;0),$AQ$20,0)+IF(AND(BB21="L",BC21&gt;0),$AQ$21,0)+IF(AND(BB22="L",BC22&gt;0),$AQ$22,0)+IF(AND(BB23="L",BC23&gt;0),$AQ$23,0)+IF(AND(BB24="L",BC24&gt;0),$AQ$24,0)+IF(AND(BB25="L",BC25&gt;0),$AQ$25,0)+IF(AND(BB26="L",BC26&gt;0),$AQ$26,0)+IF(AND(BB27="L",BC27&gt;0),$AQ$27,0)+IF(AND(BB28="L",BC28&gt;0),$AQ$28,0)+IF(AND(BB29="L",BC29&gt;0),$AQ$29,0)</f>
        <v>0</v>
      </c>
      <c r="BD30" s="491">
        <f>SUM(E30:BC30)</f>
        <v>1.5381944444444442</v>
      </c>
    </row>
    <row r="31" spans="1:56" ht="33" hidden="1" customHeight="1">
      <c r="A31" s="817" t="s">
        <v>473</v>
      </c>
      <c r="B31" s="818"/>
      <c r="C31" s="818"/>
      <c r="D31" s="818"/>
      <c r="E31" s="270">
        <f>IF(AND(D11="E",E11&gt;0),$A$11,0)+IF(AND(D12="E",E12&gt;0),$A$12,0)+IF(AND(D13="E",E13&gt;0),$A$13,0)+IF(AND(D14="E",E14&gt;0),$A$14,0)+IF(AND(D15="E",E15&gt;0),$A$15,0)+IF(AND(D16="E",E16&gt;0),$A$16,0)+IF(AND(D17="E",E17&gt;0),$A$17,0)+IF(AND(D18="E",E18&gt;0),$A$18,0)+IF(AND(D19="E",E19&gt;0),$A$19,0)+IF(AND(D20="E",E20&gt;0),$A$20,0)+IF(AND(D21="E",E21&gt;0),$A$21,0)+IF(AND(D22="E",E22&gt;0),$A$22,0)+IF(AND(D23="E",E23&gt;0),$A$23,0)+IF(AND(D24="E",E24&gt;0),$A$24,0)+IF(AND(D25="E",E25&gt;0),$A$25,0)+IF(AND(D26="E",E26&gt;0),$A$26,0)+IF(AND(D27="E",E27&gt;0),$A$27,0)+IF(AND(D28="E",E28&gt;0),$A$28,0)+IF(AND(D29="E",E29&gt;0),$A$29,0)</f>
        <v>3.4722222222222224E-2</v>
      </c>
      <c r="F31" s="270"/>
      <c r="G31" s="270">
        <f>IF(AND(F11="E",G11&gt;0),$A$11,0)+IF(AND(F12="E",G12&gt;0),$A$12,0)+IF(AND(F13="E",G13&gt;0),$A$13,0)+IF(AND(F14="E",G14&gt;0),$A$14,0)+IF(AND(F15="E",G15&gt;0),$A$15,0)+IF(AND(F16="E",G16&gt;0),$A$16,0)+IF(AND(F17="E",G17&gt;0),$A$17,0)+IF(AND(F18="E",G18&gt;0),$A$18,0)+IF(AND(F19="E",G19&gt;0),$A$19,0)+IF(AND(F20="E",G20&gt;0),$A$20,0)+IF(AND(F21="E",G21&gt;0),$A$21,0)+IF(AND(F22="E",G22&gt;0),$A$22,0)+IF(AND(F23="E",G23&gt;0),$A$23,0)+IF(AND(F24="E",G24&gt;0),$A$24,0)+IF(AND(F25="E",G25&gt;0),$A$25,0)+IF(AND(F26="E",G26&gt;0),$A$26,0)+IF(AND(F27="E",G27&gt;0),$A$27,0)+IF(AND(F28="E",G28&gt;0),$A$28,0)+IF(AND(F29="E",G29&gt;0),$A$29,0)</f>
        <v>4.1666666666666671E-2</v>
      </c>
      <c r="H31" s="270"/>
      <c r="I31" s="270">
        <f>IF(AND(H11="E",I11&gt;0),$A$11,0)+IF(AND(H12="E",I12&gt;0),$A$12,0)+IF(AND(H13="E",I13&gt;0),$A$13,0)+IF(AND(H14="E",I14&gt;0),$A$14,0)+IF(AND(H15="E",I15&gt;0),$A$15,0)+IF(AND(H16="E",I16&gt;0),$A$16,0)+IF(AND(H17="E",I17&gt;0),$A$17,0)+IF(AND(H18="E",I18&gt;0),$A$18,0)+IF(AND(H19="E",I19&gt;0),$A$19,0)+IF(AND(H20="E",I20&gt;0),$A$20,0)+IF(AND(H21="E",I21&gt;0),$A$21,0)+IF(AND(H22="E",I22&gt;0),$A$22,0)+IF(AND(H23="E",I23&gt;0),$A$23,0)+IF(AND(H24="E",I24&gt;0),$A$24,0)+IF(AND(H25="E",I25&gt;0),$A$25,0)+IF(AND(H26="E",I26&gt;0),$A$26,0)+IF(AND(H27="E",I27&gt;0),$A$27,0)+IF(AND(H28="E",I28&gt;0),$A$28,0)+IF(AND(H29="E",I29&gt;0),$A$29,0)</f>
        <v>4.8611111111111105E-2</v>
      </c>
      <c r="K31" s="270">
        <f>IF(AND(J11="E",K11&gt;0),$A$11,0)+IF(AND(J12="E",K12&gt;0),$A$12,0)+IF(AND(J13="E",K13&gt;0),$A$13,0)+IF(AND(J14="E",K14&gt;0),$A$14,0)+IF(AND(J15="E",K15&gt;0),$A$15,0)+IF(AND(J16="E",K16&gt;0),$A$16,0)+IF(AND(J17="E",K17&gt;0),$A$17,0)+IF(AND(J18="E",K18&gt;0),$A$18,0)+IF(AND(J19="E",K19&gt;0),$A$19,0)+IF(AND(J20="E",K20&gt;0),$A$20,0)+IF(AND(J21="E",K21&gt;0),$A$21,0)+IF(AND(J22="E",K22&gt;0),$A$22,0)+IF(AND(J23="E",K23&gt;0),$A$23,0)+IF(AND(J24="E",K24&gt;0),$A$24,0)+IF(AND(J25="E",K25&gt;0),$A$25,0)+IF(AND(J26="E",K26&gt;0),$A$26,0)+IF(AND(J27="E",K27&gt;0),$A$27,0)+IF(AND(J28="E",K28&gt;0),$A$28,0)+IF(AND(J29="E",K29&gt;0),$A$29,0)</f>
        <v>6.25E-2</v>
      </c>
      <c r="L31" s="628"/>
      <c r="M31" s="270">
        <f>IF(AND(L11="E",M11&gt;0),$A$11,0)+IF(AND(L12="E",M12&gt;0),$A$12,0)+IF(AND(L13="E",M13&gt;0),$A$13,0)+IF(AND(L14="E",M14&gt;0),$A$14,0)+IF(AND(L15="E",M15&gt;0),$A$15,0)+IF(AND(L16="E",M16&gt;0),$A$16,0)+IF(AND(L17="E",M17&gt;0),$A$17,0)+IF(AND(L18="E",M18&gt;0),$A$18,0)+IF(AND(L19="E",M19&gt;0),$A$19,0)+IF(AND(L20="E",M20&gt;0),$A$20,0)+IF(AND(L21="E",M21&gt;0),$A$21,0)+IF(AND(L22="E",M22&gt;0),$A$22,0)+IF(AND(L23="E",M23&gt;0),$A$23,0)+IF(AND(L24="E",M24&gt;0),$A$24,0)+IF(AND(L25="E",M25&gt;0),$A$25,0)+IF(AND(L26="E",M26&gt;0),$A$26,0)+IF(AND(L27="E",M27&gt;0),$A$27,0)+IF(AND(L28="E",M28&gt;0),$A$28,0)+IF(AND(L29="E",M29&gt;0),$A$29,0)</f>
        <v>6.25E-2</v>
      </c>
      <c r="N31" s="628"/>
      <c r="O31" s="270"/>
      <c r="P31" s="270"/>
      <c r="Q31" s="270"/>
      <c r="R31" s="270"/>
      <c r="S31" s="270">
        <f>IF(AND(R11="E",S11&gt;0),$O$11,0)+IF(AND(R12="E",S12&gt;0),$O$12,0)+IF(AND(R13="E",S13&gt;0),$O$13,0)+IF(AND(R14="E",S14&gt;0),$O$14,0)+IF(AND(R15="E",S15&gt;0),$O$15,0)+IF(AND(R16="E",S16&gt;0),$O$16,0)+IF(AND(R17="E",S17&gt;0),$O$17,0)+IF(AND(R18="E",S18&gt;0),$O$18,0)+IF(AND(R19="E",S19&gt;0),$O$19,0)+IF(AND(R20="E",S20&gt;0),$O$20,0)+IF(AND(R21="E",S21&gt;0),$O$21,0)+IF(AND(R22="E",S22&gt;0),$O$22,0)+IF(AND(R23="E",S23&gt;0),$O$23,0)+IF(AND(R24="E",S24&gt;0),$O$24,0)+IF(AND(R25="E",S25&gt;0),$O$25,0)+IF(AND(R26="E",S26&gt;0),$O$26,0)+IF(AND(R27="E",S27&gt;0),$O$27,0)+IF(AND(R28="E",S28&gt;0),$O$28,0)+IF(AND(R29="E",S29&gt;0),$O$29,0)</f>
        <v>4.1666666666666671E-2</v>
      </c>
      <c r="T31" s="270"/>
      <c r="U31" s="270">
        <f>IF(AND(T11="E",U11&gt;0),$O$11,0)+IF(AND(T12="E",U12&gt;0),$O$12,0)+IF(AND(T13="E",U13&gt;0),$O$13,0)+IF(AND(T14="E",U14&gt;0),$O$14,0)+IF(AND(T15="E",U15&gt;0),$O$15,0)+IF(AND(T16="E",U16&gt;0),$O$16,0)+IF(AND(T17="E",U17&gt;0),$O$17,0)+IF(AND(T18="E",U18&gt;0),$O$18,0)+IF(AND(T19="E",U19&gt;0),$O$19,0)+IF(AND(T20="E",U20&gt;0),$O$20,0)+IF(AND(T21="E",U21&gt;0),$O$21,0)+IF(AND(T22="E",U22&gt;0),$O$22,0)+IF(AND(T23="E",U23&gt;0),$O$23,0)+IF(AND(T24="E",U24&gt;0),$O$24,0)+IF(AND(T25="E",U25&gt;0),$O$25,0)+IF(AND(T26="E",U26&gt;0),$O$26,0)+IF(AND(T27="E",U27&gt;0),$O$27,0)+IF(AND(T28="E",U28&gt;0),$O$28,0)+IF(AND(T29="E",U29&gt;0),$O$29,0)</f>
        <v>6.25E-2</v>
      </c>
      <c r="V31" s="270"/>
      <c r="W31" s="270">
        <f>IF(AND(V11="E",W11&gt;0),$O$11,0)+IF(AND(V12="E",W12&gt;0),$O$12,0)+IF(AND(V13="E",W13&gt;0),$O$13,0)+IF(AND(V14="E",W14&gt;0),$O$14,0)+IF(AND(V15="E",W15&gt;0),$O$15,0)+IF(AND(V16="E",W16&gt;0),$O$16,0)+IF(AND(V17="E",W17&gt;0),$O$17,0)+IF(AND(V18="E",W18&gt;0),$O$18,0)+IF(AND(V19="E",W19&gt;0),$O$19,0)+IF(AND(V20="E",W20&gt;0),$O$20,0)+IF(AND(V21="E",W21&gt;0),$O$21,0)+IF(AND(V22="E",W22&gt;0),$O$22,0)+IF(AND(V23="E",W23&gt;0),$O$23,0)+IF(AND(V24="E",W24&gt;0),$O$24,0)+IF(AND(V25="E",W25&gt;0),$O$25,0)+IF(AND(V26="E",W26&gt;0),$O$26,0)+IF(AND(V27="E",W27&gt;0),$O$27,0)+IF(AND(V28="E",W28&gt;0),$O$28,0)+IF(AND(V29="E",W29&gt;0),$O$29,0)</f>
        <v>4.1666666666666664E-2</v>
      </c>
      <c r="Y31" s="270">
        <f>IF(AND(X11="E",Y11&gt;0),$O$11,0)+IF(AND(X12="E",Y12&gt;0),$O$12,0)+IF(AND(X13="E",Y13&gt;0),$O$13,0)+IF(AND(X14="E",Y14&gt;0),$O$14,0)+IF(AND(X15="E",Y15&gt;0),$O$15,0)+IF(AND(X16="E",Y16&gt;0),$O$16,0)+IF(AND(X17="E",Y17&gt;0),$O$17,0)+IF(AND(X18="E",Y18&gt;0),$O$18,0)+IF(AND(X19="E",Y19&gt;0),$O$19,0)+IF(AND(X20="E",Y20&gt;0),$O$20,0)+IF(AND(X21="E",Y21&gt;0),$O$21,0)+IF(AND(X22="E",Y22&gt;0),$O$22,0)+IF(AND(X23="E",Y23&gt;0),$O$23,0)+IF(AND(X24="E",Y24&gt;0),$O$24,0)+IF(AND(X25="E",Y25&gt;0),$O$25,0)+IF(AND(X26="E",Y26&gt;0),$O$26,0)+IF(AND(X27="E",Y27&gt;0),$O$27,0)+IF(AND(X28="E",Y28&gt;0),$O$28,0)+IF(AND(X29="E",Y29&gt;0),$O$29,0)</f>
        <v>3.4722222222222224E-2</v>
      </c>
      <c r="Z31" s="628"/>
      <c r="AA31" s="270">
        <f>IF(AND(Z11="E",AA11&gt;0),$O$11,0)+IF(AND(Z12="E",AA12&gt;0),$O$12,0)+IF(AND(Z13="E",AA13&gt;0),$O$13,0)+IF(AND(Z14="E",AA14&gt;0),$O$14,0)+IF(AND(Z15="E",AA15&gt;0),$O$15,0)+IF(AND(Z16="E",AA16&gt;0),$O$16,0)+IF(AND(Z17="E",AA17&gt;0),$O$17,0)+IF(AND(Z18="E",AA18&gt;0),$O$18,0)+IF(AND(Z19="E",AA19&gt;0),$O$19,0)+IF(AND(Z20="E",AA20&gt;0),$O$20,0)+IF(AND(Z21="E",AA21&gt;0),$O$21,0)+IF(AND(Z22="E",AA22&gt;0),$O$22,0)+IF(AND(Z23="E",AA23&gt;0),$O$23,0)+IF(AND(Z24="E",AA24&gt;0),$O$24,0)+IF(AND(Z25="E",AA25&gt;0),$O$25,0)+IF(AND(Z26="E",AA26&gt;0),$O$26,0)+IF(AND(Z27="E",AA27&gt;0),$O$27,0)+IF(AND(Z28="E",AA28&gt;0),$O$28,0)+IF(AND(Z29="E",AA29&gt;0),$O$29,0)</f>
        <v>3.4722222222222224E-2</v>
      </c>
      <c r="AB31" s="270"/>
      <c r="AC31" s="270"/>
      <c r="AE31" s="628"/>
      <c r="AF31" s="628"/>
      <c r="AG31" s="270">
        <f>IF(AND(AF11="E",AG11&gt;0),$AC$11,0)+IF(AND(AF12="E",AG12&gt;0),$AC$12,0)+IF(AND(AF13="E",AG13&gt;0),$AC$13,0)+IF(AND(AF14="E",AG14&gt;0),$AC$14,0)+IF(AND(AF15="E",AG15&gt;0),$AC$15,0)+IF(AND(AF16="E",AG16&gt;0),$AC$16,0)+IF(AND(AF17="E",AG17&gt;0),$AC$17,0)+IF(AND(AF18="E",AG18&gt;0),$AC$18,0)+IF(AND(AF19="E",AG19&gt;0),$AC$19,0)+IF(AND(AF20="E",AG20&gt;0),$AC$20,0)+IF(AND(AF21="E",AG21&gt;0),$AC$21,0)+IF(AND(AF22="E",AG22&gt;0),$AC$22,0)+IF(AND(AF23="E",AG23&gt;0),$AC$23,0)+IF(AND(AF24="E",AG24&gt;0),$AC$24,0)+IF(AND(AF25="E",AG25&gt;0),$AC$25,0)+IF(AND(AF26="E",AG26&gt;0),$AC$26,0)+IF(AND(AF27="E",AG27&gt;0),$AC$27,0)+IF(AND(AF28="E",AG28&gt;0),$AC$28,0)+IF(AND(AF29="E",AG29&gt;0),$AC$29,0)</f>
        <v>0</v>
      </c>
      <c r="AH31" s="628"/>
      <c r="AI31" s="270">
        <f>IF(AND(AH11="E",AI11&gt;0),$AC$11,0)+IF(AND(AH12="E",AI12&gt;0),$AC$12,0)+IF(AND(AH13="E",AI13&gt;0),$AC$13,0)+IF(AND(AH14="E",AI14&gt;0),$AC$14,0)+IF(AND(AH15="E",AI15&gt;0),$AC$15,0)+IF(AND(AH16="E",AI16&gt;0),$AC$16,0)+IF(AND(AH17="E",AI17&gt;0),$AC$17,0)+IF(AND(AH18="E",AI18&gt;0),$AC$18,0)+IF(AND(AH19="E",AI19&gt;0),$AC$19,0)+IF(AND(AH20="E",AI20&gt;0),$AC$20,0)+IF(AND(AH21="E",AI21&gt;0),$AC$21,0)+IF(AND(AH22="E",AI22&gt;0),$AC$22,0)+IF(AND(AH23="E",AI23&gt;0),$AC$23,0)+IF(AND(AH24="E",AI24&gt;0),$AC$24,0)+IF(AND(AH25="E",AI25&gt;0),$AC$25,0)+IF(AND(AH26="E",AI26&gt;0),$AC$26,0)+IF(AND(AH27="E",AI27&gt;0),$AC$27,0)+IF(AND(AH28="E",AI28&gt;0),$AC$28,0)+IF(AND(AH29="E",AI29&gt;0),$AC$29,0)</f>
        <v>0</v>
      </c>
      <c r="AJ31" s="270"/>
      <c r="AK31" s="270">
        <f>IF(AND(AJ11="E",AK11&gt;0),$AC$11,0)+IF(AND(AJ12="E",AK12&gt;0),$AC$12,0)+IF(AND(AJ13="E",AK13&gt;0),$AC$13,0)+IF(AND(AJ14="E",AK14&gt;0),$AC$14,0)+IF(AND(AJ15="E",AK15&gt;0),$AC$15,0)+IF(AND(AJ16="E",AK16&gt;0),$AC$16,0)+IF(AND(AJ17="E",AK17&gt;0),$AC$17,0)+IF(AND(AJ18="E",AK18&gt;0),$AC$18,0)+IF(AND(AJ19="E",AK19&gt;0),$AC$19,0)+IF(AND(AJ20="E",AK20&gt;0),$AC$20,0)+IF(AND(AJ21="E",AK21&gt;0),$AC$21,0)+IF(AND(AJ22="E",AK22&gt;0),$AC$22,0)+IF(AND(AJ23="E",AK23&gt;0),$AC$23,0)+IF(AND(AJ24="E",AK24&gt;0),$AC$24,0)+IF(AND(AJ25="E",AK25&gt;0),$AC$25,0)+IF(AND(AJ26="E",AK26&gt;0),$AC$26,0)+IF(AND(AJ27="E",AK27&gt;0),$AC$27,0)+IF(AND(AJ28="E",AK28&gt;0),$AC$28,0)+IF(AND(AJ29="E",AK29&gt;0),$AC$29,0)</f>
        <v>0</v>
      </c>
      <c r="AL31" s="270"/>
      <c r="AM31" s="270">
        <f>IF(AND(AL11="E",AM11&gt;0),$AC$11,0)+IF(AND(AL12="E",AM12&gt;0),$AC$12,0)+IF(AND(AL13="E",AM13&gt;0),$AC$13,0)+IF(AND(AL14="E",AM14&gt;0),$AC$14,0)+IF(AND(AL15="E",AM15&gt;0),$AC$15,0)+IF(AND(AL16="E",AM16&gt;0),$AC$16,0)+IF(AND(AL17="E",AM17&gt;0),$AC$17,0)+IF(AND(AL18="E",AM18&gt;0),$AC$18,0)+IF(AND(AL19="E",AM19&gt;0),$AC$19,0)+IF(AND(AL20="E",AM20&gt;0),$AC$20,0)+IF(AND(AL21="E",AM21&gt;0),$AC$21,0)+IF(AND(AL22="E",AM22&gt;0),$AC$22,0)+IF(AND(AL23="E",AM23&gt;0),$AC$23,0)+IF(AND(AL24="E",AM24&gt;0),$AC$24,0)+IF(AND(AL25="E",AM25&gt;0),$AC$25,0)+IF(AND(AL26="E",AM26&gt;0),$AC$26,0)+IF(AND(AL27="E",AM27&gt;0),$AC$27,0)+IF(AND(AL28="E",AM28&gt;0),$AC$28,0)+IF(AND(AL29="E",AM29&gt;0),$AC$29,0)</f>
        <v>0</v>
      </c>
      <c r="AO31" s="270">
        <f>IF(AND(AN11="E",AO11&gt;0),$AC$11,0)+IF(AND(AN12="E",AO12&gt;0),$AC$12,0)+IF(AND(AN13="E",AO13&gt;0),$AC$13,0)+IF(AND(AN14="E",AO14&gt;0),$AC$14,0)+IF(AND(AN15="E",AO15&gt;0),$AC$15,0)+IF(AND(AN16="E",AO16&gt;0),$AC$16,0)+IF(AND(AN17="E",AO17&gt;0),$AC$17,0)+IF(AND(AN18="E",AO18&gt;0),$AC$18,0)+IF(AND(AN19="E",AO19&gt;0),$AC$19,0)+IF(AND(AN20="E",AO20&gt;0),$AC$20,0)+IF(AND(AN21="E",AO21&gt;0),$AC$21,0)+IF(AND(AN22="E",AO22&gt;0),$AC$22,0)+IF(AND(AN23="E",AO23&gt;0),$AC$23,0)+IF(AND(AN24="E",AO24&gt;0),$AC$24,0)+IF(AND(AN25="E",AO25&gt;0),$AC$25,0)+IF(AND(AN26="E",AO26&gt;0),$AC$26,0)+IF(AND(AN27="E",AO27&gt;0),$AC$27,0)+IF(AND(AN28="E",AO28&gt;0),$AC$28,0)+IF(AND(AN29="E",AO29&gt;0),$AC$29,0)</f>
        <v>0</v>
      </c>
      <c r="AU31" s="270">
        <f>IF(AND(AT11="E",AU11&gt;0),$AQ$11,0)+IF(AND(AT12="E",AU12&gt;0),$AQ$12,0)+IF(AND(AT13="E",AU13&gt;0),$AQ$13,0)+IF(AND(AT14="E",AU14&gt;0),$AQ$14,0)+IF(AND(AT15="E",AU15&gt;0),$AQ$15,0)+IF(AND(AT16="E",AU16&gt;0),$AQ$16,0)+IF(AND(AT17="E",AU17&gt;0),$AQ$17,0)+IF(AND(AT18="E",AU18&gt;0),$AQ$18,0)+IF(AND(AT19="E",AU19&gt;0),$AQ$19,0)+IF(AND(AT20="E",AU20&gt;0),$AQ$20,0)+IF(AND(AT21="E",AU21&gt;0),$AQ$21,0)+IF(AND(AT22="E",AU22&gt;0),$AQ$22,0)+IF(AND(AT23="E",AU23&gt;0),$AQ$23,0)+IF(AND(AT24="E",AU24&gt;0),$AQ$24,0)+IF(AND(AT25="E",AU25&gt;0),$AQ$25,0)+IF(AND(AT26="E",AU26&gt;0),$AQ$26,0)+IF(AND(AT27="E",AU27&gt;0),$AQ$27,0)+IF(AND(AT28="E",AU28&gt;0),$AQ$28,0)+IF(AND(AT29="E",AU29&gt;0),$AQ$29,0)</f>
        <v>0</v>
      </c>
      <c r="AW31" s="270">
        <f>IF(AND(AV11="E",AW11&gt;0),$AQ$11,0)+IF(AND(AV12="E",AW12&gt;0),$AQ$12,0)+IF(AND(AV13="E",AW13&gt;0),$AQ$13,0)+IF(AND(AV14="E",AW14&gt;0),$AQ$14,0)+IF(AND(AV15="E",AW15&gt;0),$AQ$15,0)+IF(AND(AV16="E",AW16&gt;0),$AQ$16,0)+IF(AND(AV17="E",AW17&gt;0),$AQ$17,0)+IF(AND(AV18="E",AW18&gt;0),$AQ$18,0)+IF(AND(AV19="E",AW19&gt;0),$AQ$19,0)+IF(AND(AV20="E",AW20&gt;0),$AQ$20,0)+IF(AND(AV21="E",AW21&gt;0),$AQ$21,0)+IF(AND(AV22="E",AW22&gt;0),$AQ$22,0)+IF(AND(AV23="E",AW23&gt;0),$AQ$23,0)+IF(AND(AV24="E",AW24&gt;0),$AQ$24,0)+IF(AND(AV25="E",AW25&gt;0),$AQ$25,0)+IF(AND(AV26="E",AW26&gt;0),$AQ$26,0)+IF(AND(AV27="E",AW27&gt;0),$AQ$27,0)+IF(AND(AV28="E",AW28&gt;0),$AQ$28,0)+IF(AND(AV29="E",AW29&gt;0),$AQ$29,0)</f>
        <v>0</v>
      </c>
      <c r="AY31" s="270">
        <f>IF(AND(AX11="E",AY11&gt;0),$AQ$11,0)+IF(AND(AX12="E",AY12&gt;0),$AQ$12,0)+IF(AND(AX13="E",AY13&gt;0),$AQ$13,0)+IF(AND(AX14="E",AY14&gt;0),$AQ$14,0)+IF(AND(AX15="E",AY15&gt;0),$AQ$15,0)+IF(AND(AX16="E",AY16&gt;0),$AQ$16,0)+IF(AND(AX17="E",AY17&gt;0),$AQ$17,0)+IF(AND(AX18="E",AY18&gt;0),$AQ$18,0)+IF(AND(AX19="E",AY19&gt;0),$AQ$19,0)+IF(AND(AX20="E",AY20&gt;0),$AQ$20,0)+IF(AND(AX21="E",AY21&gt;0),$AQ$21,0)+IF(AND(AX22="E",AY22&gt;0),$AQ$22,0)+IF(AND(AX23="E",AY23&gt;0),$AQ$23,0)+IF(AND(AX24="E",AY24&gt;0),$AQ$24,0)+IF(AND(AX25="E",AY25&gt;0),$AQ$25,0)+IF(AND(AX26="E",AY26&gt;0),$AQ$26,0)+IF(AND(AX27="E",AY27&gt;0),$AQ$27,0)+IF(AND(AX28="E",AY28&gt;0),$AQ$28,0)+IF(AND(AX29="E",AY29&gt;0),$AQ$29,0)</f>
        <v>0</v>
      </c>
      <c r="BA31" s="270">
        <f>IF(AND(AZ11="E",BA11&gt;0),$AQ$11,0)+IF(AND(AZ12="E",BA12&gt;0),$AQ$12,0)+IF(AND(AZ13="E",BA13&gt;0),$AQ$13,0)+IF(AND(AZ14="E",BA14&gt;0),$AQ$14,0)+IF(AND(AZ15="E",BA15&gt;0),$AQ$15,0)+IF(AND(AZ16="E",BA16&gt;0),$AQ$16,0)+IF(AND(AZ17="E",BA17&gt;0),$AQ$17,0)+IF(AND(AZ18="E",BA18&gt;0),$AQ$18,0)+IF(AND(AZ19="E",BA19&gt;0),$AQ$19,0)+IF(AND(AZ20="E",BA20&gt;0),$AQ$20,0)+IF(AND(AZ21="E",BA21&gt;0),$AQ$21,0)+IF(AND(AZ22="E",BA22&gt;0),$AQ$22,0)+IF(AND(AZ23="E",BA23&gt;0),$AQ$23,0)+IF(AND(AZ24="E",BA24&gt;0),$AQ$24,0)+IF(AND(AZ25="E",BA25&gt;0),$AQ$25,0)+IF(AND(AZ26="E",BA26&gt;0),$AQ$26,0)+IF(AND(AZ27="E",BA27&gt;0),$AQ$27,0)+IF(AND(AZ28="E",BA28&gt;0),$AQ$28,0)+IF(AND(AZ29="E",BA29&gt;0),$AQ$29,0)</f>
        <v>0</v>
      </c>
      <c r="BC31" s="270">
        <f>IF(AND(BB11="E",BC11&gt;0),$AQ$11,0)+IF(AND(BB12="E",BC12&gt;0),$AQ$12,0)+IF(AND(BB13="E",BC13&gt;0),$AQ$13,0)+IF(AND(BB14="E",BC14&gt;0),$AQ$14,0)+IF(AND(BB15="E",BC15&gt;0),$AQ$15,0)+IF(AND(BB16="E",BC16&gt;0),$AQ$16,0)+IF(AND(BB17="E",BC17&gt;0),$AQ$17,0)+IF(AND(BB18="E",BC18&gt;0),$AQ$18,0)+IF(AND(BB19="E",BC19&gt;0),$AQ$19,0)+IF(AND(BB20="E",BC20&gt;0),$AQ$20,0)+IF(AND(BB21="E",BC21&gt;0),$AQ$21,0)+IF(AND(BB22="E",BC22&gt;0),$AQ$22,0)+IF(AND(BB23="E",BC23&gt;0),$AQ$23,0)+IF(AND(BB24="E",BC24&gt;0),$AQ$24,0)+IF(AND(BB25="E",BC25&gt;0),$AQ$25,0)+IF(AND(BB26="E",BC26&gt;0),$AQ$26,0)+IF(AND(BB27="E",BC27&gt;0),$AQ$27,0)+IF(AND(BB28="E",BC28&gt;0),$AQ$28,0)+IF(AND(BB29="E",BC29&gt;0),$AQ$29,0)</f>
        <v>0</v>
      </c>
    </row>
    <row r="32" spans="1:56" ht="33" hidden="1" customHeight="1">
      <c r="A32" s="815" t="str">
        <f>"Antal ugedage der læses "&amp;A5&amp;":"</f>
        <v>Antal ugedage der læses Skema 1 vedr. Beate Simonsen:</v>
      </c>
      <c r="B32" s="816"/>
      <c r="C32" s="816"/>
      <c r="D32" s="816"/>
      <c r="E32" s="219">
        <f>August!$G$64+September!$G$63+Oktober!$G$64+November!$G$63+December!$G$64+Januar!$G$64+Februar!$G$62+Marts!$G$64+April!$G$63+Maj!$G$64+Juni!$G$63+Juli!$G$64</f>
        <v>14</v>
      </c>
      <c r="F32" s="219"/>
      <c r="G32" s="219">
        <f>August!$G$65+September!$G$64+Oktober!$G$65+November!$G$64+December!$G$65+Januar!$G$65+Februar!$G$63+Marts!$G$65+April!$G$64+Maj!$G$65+Juni!$G$64+Juli!$G$65</f>
        <v>15</v>
      </c>
      <c r="H32" s="219"/>
      <c r="I32" s="219">
        <f>August!$G$66+September!$G$65+Oktober!$G$66+November!$G$65+December!$G$66+Januar!$G$66+Februar!$G$64+Marts!$G$66+April!$G$65+Maj!$G$66+Juni!$G$65+Juli!$G$66</f>
        <v>15</v>
      </c>
      <c r="K32" s="220">
        <f>August!$G$67+September!$G$66+Oktober!$G$67+November!$G$66+December!$G$67+Januar!$G$67+Februar!$G$65+Marts!$G$67+April!$G$66+Maj!$G$67+Juni!$G$66+Juli!$G$67</f>
        <v>16</v>
      </c>
      <c r="L32" s="221"/>
      <c r="M32" s="639">
        <f>August!$G$68+September!$G$67+Oktober!$G$68+November!$G$67+December!$G$68+Januar!$G$68+Februar!$G$66+Marts!$G$68+April!$G$67+Maj!$G$68+Juni!$G$67+Juli!$G$68</f>
        <v>15</v>
      </c>
      <c r="N32" s="222"/>
      <c r="O32" s="219"/>
      <c r="P32" s="219"/>
      <c r="Q32" s="219"/>
      <c r="R32" s="219"/>
      <c r="S32" s="219">
        <f>August!$G$70+September!$G$69+Oktober!$G$70+November!$G$69+December!$G$70+Januar!$G$70+Februar!$G$68+Marts!$G$70+April!$G$69+Maj!$G$70+Juni!$G$69+Juli!$G$70</f>
        <v>21</v>
      </c>
      <c r="U32" s="220">
        <f>August!$G$71+September!$G$70+Oktober!$G$71+November!$G$70+December!$G$71+Januar!$G$71+Februar!$G$69+Marts!$G$71+April!$G$70+Maj!$G$71+Juni!$G$70+Juli!$G$71</f>
        <v>22</v>
      </c>
      <c r="V32" s="221"/>
      <c r="W32" s="222">
        <f>August!$G$72+September!$G$71+Oktober!$G$72+November!$G$71+December!$G$72+Januar!$G$72+Februar!$G$70+Marts!$G$72+April!$G$71+Maj!$G$72+Juni!$G$71+Juli!$G$72</f>
        <v>21</v>
      </c>
      <c r="X32" s="222"/>
      <c r="Y32" s="219">
        <f>August!$G$73+September!$G$72+Oktober!$G$73+November!$G$72+December!$G$73+Januar!$G$73+Februar!$G$71+Marts!$G$73+April!$G$72+Maj!$G$73+Juni!$G$72+Juli!$G$73</f>
        <v>18</v>
      </c>
      <c r="Z32" s="219"/>
      <c r="AA32" s="219">
        <f>August!$G$74+September!$G$73+Oktober!$G$74+November!$G$73+December!$G$74+Januar!$G$74+Februar!$G$72+Marts!$G$74+April!$G$73+Maj!$G$74+Juni!$G$73+Juli!$G$74</f>
        <v>20</v>
      </c>
      <c r="AB32" s="219"/>
      <c r="AC32" s="219"/>
      <c r="AE32" s="220"/>
      <c r="AF32" s="221"/>
      <c r="AG32" s="222">
        <f>August!$G$76+September!$G$75+Oktober!$G$76+November!$G$75+December!$G$76+Januar!$G$76+Februar!$G$74+Marts!$G$76+April!$G$75+Maj!$G$76+Juni!$G$75+Juli!$G$76</f>
        <v>0</v>
      </c>
      <c r="AH32" s="222"/>
      <c r="AI32" s="219">
        <f>August!$G$77+September!$G$76+Oktober!$G$77+November!$G$76+December!$G$77+Januar!$G$77+Februar!$G$75+Marts!$G$77+April!$G$76+Maj!$G$77+Juni!$G$76+Juli!$G$77</f>
        <v>0</v>
      </c>
      <c r="AJ32" s="219"/>
      <c r="AK32" s="219">
        <f>August!$G$78+September!$G$77+Oktober!$G$78+November!$G$77+December!$G$78+Januar!$G$78+Februar!$G$76+Marts!$G$78+April!$G$77+Maj!$G$78+Juni!$G$77+Juli!$G$78</f>
        <v>0</v>
      </c>
      <c r="AL32" s="219"/>
      <c r="AM32" s="219">
        <f>August!$G$79+September!$G$78+Oktober!$G$79+November!$G$78+December!$G$79+Januar!$G$79+Februar!$G$77+Marts!$G$79+April!$G$78+Maj!$G$79+Juni!$G$78+Juli!$G$79</f>
        <v>0</v>
      </c>
      <c r="AO32">
        <f>August!$G$80+September!$G$79+Oktober!$G$80+November!$G$79+December!$G$80+Januar!$G$80+Februar!$G$78+Marts!$G$80+April!$G$79+Maj!$G$80+Juni!$G$79+Juli!$G$80</f>
        <v>0</v>
      </c>
      <c r="AU32">
        <f>August!$G$82+September!$G$81+Oktober!$G$82+November!$G$81+December!$G$82+Januar!$G$82+Februar!$G$80+Marts!$G$82+April!$G$81+Maj!$G$82+Juni!$G$81+Juli!$G$82</f>
        <v>0</v>
      </c>
      <c r="AW32">
        <f>August!$G$83+September!$G$82+Oktober!$G$83+November!$G$82+December!$G$83+Januar!$G$83+Februar!$G$81+Marts!$G$83+April!$G$82+Maj!$G$83+Juni!$G$82+Juli!$G$83</f>
        <v>0</v>
      </c>
      <c r="AY32">
        <f>August!$G$84+September!$G$83+Oktober!$G$84+November!$G$83+December!$G$84+Januar!$G$84+Februar!$G$82+Marts!$G$84+April!$G$83+Maj!$G$84+Juni!$G$83+Juli!$G$84</f>
        <v>0</v>
      </c>
      <c r="BA32">
        <f>August!$G$85+September!$G$84+Oktober!$G$85+November!$G$84+December!$G$85+Januar!$G$85+Februar!$G$83+Marts!$G$85+April!$G$84+Maj!$G$85+Juni!$G$84+Juli!$G$85</f>
        <v>0</v>
      </c>
      <c r="BC32">
        <f>August!$G$86+September!$G$85+Oktober!$G$86+November!$G$85+December!$G$86+Januar!$G$86+Februar!$G$84+Marts!$G$86+April!$G$85+Maj!$G$86+Juni!$G$85+Juli!$G$86</f>
        <v>0</v>
      </c>
      <c r="BD32">
        <f>SUM(E32:BC32)</f>
        <v>177</v>
      </c>
    </row>
    <row r="33" spans="1:56" hidden="1">
      <c r="E33" t="s">
        <v>243</v>
      </c>
    </row>
    <row r="34" spans="1:56" hidden="1">
      <c r="A34" t="s">
        <v>242</v>
      </c>
      <c r="I34" t="s">
        <v>299</v>
      </c>
    </row>
    <row r="35" spans="1:56" hidden="1">
      <c r="E35" t="s">
        <v>34</v>
      </c>
    </row>
    <row r="36" spans="1:56" hidden="1">
      <c r="E36" s="1">
        <f>E30*24</f>
        <v>3.916666666666667</v>
      </c>
      <c r="F36" s="1"/>
      <c r="G36" s="1">
        <f>G30*24</f>
        <v>4.5</v>
      </c>
      <c r="H36" s="1"/>
      <c r="I36" s="1">
        <f>I30*24</f>
        <v>5</v>
      </c>
      <c r="J36" s="1"/>
      <c r="K36" s="1">
        <f>K30*24</f>
        <v>3</v>
      </c>
      <c r="L36" s="1"/>
      <c r="M36" s="1">
        <f>M30*24</f>
        <v>3</v>
      </c>
      <c r="N36" s="1"/>
      <c r="O36" s="1"/>
      <c r="P36" s="1"/>
      <c r="Q36" s="1"/>
      <c r="R36" s="1"/>
      <c r="S36" s="1">
        <f>S30*24</f>
        <v>3.4999999999999996</v>
      </c>
      <c r="T36" s="1"/>
      <c r="U36" s="1">
        <f>U30*24</f>
        <v>3.75</v>
      </c>
      <c r="V36" s="1"/>
      <c r="W36" s="1">
        <f>W30*24</f>
        <v>4.25</v>
      </c>
      <c r="X36" s="1"/>
      <c r="Y36" s="1">
        <f>Y30*24</f>
        <v>3</v>
      </c>
      <c r="Z36" s="1"/>
      <c r="AA36" s="1">
        <f>AA30*24</f>
        <v>3</v>
      </c>
      <c r="AB36" s="1"/>
      <c r="AC36" s="1"/>
      <c r="AD36" s="1"/>
      <c r="AE36" s="1"/>
      <c r="AF36" s="1"/>
      <c r="AG36" s="1">
        <f>AG30*24</f>
        <v>0</v>
      </c>
      <c r="AH36" s="1"/>
      <c r="AI36" s="1">
        <f>AI30*24</f>
        <v>0</v>
      </c>
      <c r="AJ36" s="1"/>
      <c r="AK36" s="1">
        <f>AK30*24</f>
        <v>0</v>
      </c>
      <c r="AL36" s="1"/>
      <c r="AM36" s="1">
        <f>AM30*24</f>
        <v>0</v>
      </c>
      <c r="AN36" s="1"/>
      <c r="AO36" s="1">
        <f>AO30*24</f>
        <v>0</v>
      </c>
      <c r="AP36" s="1"/>
      <c r="AQ36" s="1"/>
      <c r="AR36" s="1"/>
      <c r="AS36" s="1"/>
      <c r="AT36" s="1"/>
      <c r="AU36" s="1">
        <f t="shared" ref="AU36:BA36" si="8">AU30*24</f>
        <v>0</v>
      </c>
      <c r="AV36" s="1"/>
      <c r="AW36" s="1">
        <f t="shared" si="8"/>
        <v>0</v>
      </c>
      <c r="AX36" s="1"/>
      <c r="AY36" s="1">
        <f t="shared" si="8"/>
        <v>0</v>
      </c>
      <c r="AZ36" s="1"/>
      <c r="BA36" s="1">
        <f t="shared" si="8"/>
        <v>0</v>
      </c>
      <c r="BB36" s="1"/>
      <c r="BC36" s="1">
        <f>BC30*24</f>
        <v>0</v>
      </c>
    </row>
    <row r="37" spans="1:56" hidden="1">
      <c r="A37" t="s">
        <v>247</v>
      </c>
      <c r="E37" s="1">
        <f>E36*E32</f>
        <v>54.833333333333336</v>
      </c>
      <c r="F37" s="1"/>
      <c r="G37" s="1">
        <f>G36*G32</f>
        <v>67.5</v>
      </c>
      <c r="H37" s="1"/>
      <c r="I37" s="1">
        <f>I36*I32</f>
        <v>75</v>
      </c>
      <c r="J37" s="1"/>
      <c r="K37" s="1">
        <f>K36*K32</f>
        <v>48</v>
      </c>
      <c r="L37" s="1"/>
      <c r="M37" s="1">
        <f>M36*M32</f>
        <v>45</v>
      </c>
      <c r="N37" s="1"/>
      <c r="O37" s="1"/>
      <c r="P37" s="1"/>
      <c r="Q37" s="1"/>
      <c r="R37" s="1"/>
      <c r="S37" s="1">
        <f>S36*S32</f>
        <v>73.499999999999986</v>
      </c>
      <c r="T37" s="1"/>
      <c r="U37" s="1">
        <f>U36*U32</f>
        <v>82.5</v>
      </c>
      <c r="V37" s="1"/>
      <c r="W37" s="1">
        <f>W36*W32</f>
        <v>89.25</v>
      </c>
      <c r="X37" s="1"/>
      <c r="Y37" s="1">
        <f>Y36*Y32</f>
        <v>54</v>
      </c>
      <c r="Z37" s="1"/>
      <c r="AA37" s="1">
        <f>AA36*AA32</f>
        <v>60</v>
      </c>
      <c r="AB37" s="1"/>
      <c r="AC37" s="1"/>
      <c r="AD37" s="1"/>
      <c r="AE37" s="1"/>
      <c r="AF37" s="1"/>
      <c r="AG37" s="1">
        <f>AG36*AG32</f>
        <v>0</v>
      </c>
      <c r="AH37" s="1"/>
      <c r="AI37" s="1">
        <f>AI36*AI32</f>
        <v>0</v>
      </c>
      <c r="AJ37" s="1"/>
      <c r="AK37" s="1">
        <f>AK36*AK32</f>
        <v>0</v>
      </c>
      <c r="AL37" s="1"/>
      <c r="AM37" s="1">
        <f>AM36*AM32</f>
        <v>0</v>
      </c>
      <c r="AN37" s="1"/>
      <c r="AO37" s="1">
        <f>AO36*AO32</f>
        <v>0</v>
      </c>
      <c r="AP37" s="1"/>
      <c r="AQ37" s="1"/>
      <c r="AR37" s="1"/>
      <c r="AS37" s="1"/>
      <c r="AT37" s="1"/>
      <c r="AU37" s="1">
        <f>AU36*AU32</f>
        <v>0</v>
      </c>
      <c r="AV37" s="1"/>
      <c r="AW37" s="1">
        <f>AW36*AW32</f>
        <v>0</v>
      </c>
      <c r="AX37" s="1"/>
      <c r="AY37" s="1">
        <f>AY36*AY32</f>
        <v>0</v>
      </c>
      <c r="AZ37" s="1"/>
      <c r="BA37" s="1">
        <f>BA36*BA32</f>
        <v>0</v>
      </c>
      <c r="BB37" s="1"/>
      <c r="BC37" s="1">
        <f>BC36*BC32</f>
        <v>0</v>
      </c>
      <c r="BD37" s="1">
        <f>SUM(E37:BC37)</f>
        <v>649.58333333333337</v>
      </c>
    </row>
    <row r="38" spans="1:56" hidden="1">
      <c r="AN38" s="1"/>
    </row>
    <row r="39" spans="1:56" hidden="1">
      <c r="A39" t="s">
        <v>250</v>
      </c>
      <c r="E39" s="1">
        <f>E31*24</f>
        <v>0.83333333333333337</v>
      </c>
      <c r="F39" s="1"/>
      <c r="G39" s="1">
        <f>G31*24</f>
        <v>1</v>
      </c>
      <c r="H39" s="1"/>
      <c r="I39" s="1">
        <f>I31*24</f>
        <v>1.1666666666666665</v>
      </c>
      <c r="J39" s="1"/>
      <c r="K39" s="1">
        <f>K31*24</f>
        <v>1.5</v>
      </c>
      <c r="L39" s="1"/>
      <c r="M39" s="1">
        <f>M31*24</f>
        <v>1.5</v>
      </c>
      <c r="N39" s="1"/>
      <c r="O39" s="1"/>
      <c r="P39" s="1"/>
      <c r="Q39" s="1"/>
      <c r="R39" s="1"/>
      <c r="S39" s="1">
        <f>S31*24</f>
        <v>1</v>
      </c>
      <c r="T39" s="1"/>
      <c r="U39" s="1">
        <f t="shared" ref="U39:AA39" si="9">U31*24</f>
        <v>1.5</v>
      </c>
      <c r="V39" s="1"/>
      <c r="W39" s="1">
        <f t="shared" si="9"/>
        <v>1</v>
      </c>
      <c r="X39" s="1"/>
      <c r="Y39" s="1">
        <f t="shared" si="9"/>
        <v>0.83333333333333337</v>
      </c>
      <c r="Z39" s="1"/>
      <c r="AA39" s="1">
        <f t="shared" si="9"/>
        <v>0.83333333333333337</v>
      </c>
      <c r="AB39" s="1"/>
      <c r="AC39" s="1"/>
      <c r="AD39" s="1"/>
      <c r="AE39" s="1"/>
      <c r="AF39" s="1"/>
      <c r="AG39" s="1">
        <f>AG31*24</f>
        <v>0</v>
      </c>
      <c r="AH39" s="1"/>
      <c r="AI39" s="1">
        <f>AI31*24</f>
        <v>0</v>
      </c>
      <c r="AJ39" s="1"/>
      <c r="AK39" s="1">
        <f>AK31*24</f>
        <v>0</v>
      </c>
      <c r="AL39" s="1"/>
      <c r="AM39" s="1">
        <f>AM31*24</f>
        <v>0</v>
      </c>
      <c r="AN39" s="1"/>
      <c r="AO39" s="1">
        <f>AO31*24</f>
        <v>0</v>
      </c>
      <c r="AP39" s="1"/>
      <c r="AQ39" s="1"/>
      <c r="AR39" s="1"/>
      <c r="AS39" s="1"/>
      <c r="AT39" s="1"/>
      <c r="AU39" s="1">
        <f t="shared" ref="AU39:BC39" si="10">AU31*24</f>
        <v>0</v>
      </c>
      <c r="AV39" s="1"/>
      <c r="AW39" s="1">
        <f t="shared" si="10"/>
        <v>0</v>
      </c>
      <c r="AX39" s="1"/>
      <c r="AY39" s="1">
        <f t="shared" si="10"/>
        <v>0</v>
      </c>
      <c r="AZ39" s="1"/>
      <c r="BA39" s="1">
        <f t="shared" si="10"/>
        <v>0</v>
      </c>
      <c r="BB39" s="1"/>
      <c r="BC39" s="1">
        <f t="shared" si="10"/>
        <v>0</v>
      </c>
    </row>
    <row r="40" spans="1:56" hidden="1">
      <c r="E40" s="1">
        <f>E39*E32</f>
        <v>11.666666666666668</v>
      </c>
      <c r="F40" s="1"/>
      <c r="G40" s="1">
        <f>G39*G32</f>
        <v>15</v>
      </c>
      <c r="H40" s="1"/>
      <c r="I40" s="1">
        <f>I39*I32</f>
        <v>17.499999999999996</v>
      </c>
      <c r="J40" s="1"/>
      <c r="K40" s="1">
        <f>K39*K32</f>
        <v>24</v>
      </c>
      <c r="L40" s="1"/>
      <c r="M40" s="1">
        <f>M39*M32</f>
        <v>22.5</v>
      </c>
      <c r="N40" s="1"/>
      <c r="O40" s="1"/>
      <c r="P40" s="1"/>
      <c r="Q40" s="1"/>
      <c r="R40" s="1"/>
      <c r="S40" s="1">
        <f>S39*S32</f>
        <v>21</v>
      </c>
      <c r="T40" s="1"/>
      <c r="U40" s="1">
        <f>U39*U32</f>
        <v>33</v>
      </c>
      <c r="V40" s="1"/>
      <c r="W40" s="1">
        <f>W39*W32</f>
        <v>21</v>
      </c>
      <c r="X40" s="1"/>
      <c r="Y40" s="1">
        <f>Y39*Y32</f>
        <v>15</v>
      </c>
      <c r="Z40" s="1"/>
      <c r="AA40" s="1">
        <f>AA39*AA32</f>
        <v>16.666666666666668</v>
      </c>
      <c r="AB40" s="1"/>
      <c r="AC40" s="1"/>
      <c r="AD40" s="1"/>
      <c r="AE40" s="1"/>
      <c r="AF40" s="1"/>
      <c r="AG40" s="1">
        <f>AG39*AG32</f>
        <v>0</v>
      </c>
      <c r="AH40" s="1"/>
      <c r="AI40" s="1">
        <f>AI39*AI32</f>
        <v>0</v>
      </c>
      <c r="AJ40" s="1"/>
      <c r="AK40" s="1">
        <f>AK39*AK32</f>
        <v>0</v>
      </c>
      <c r="AL40" s="1"/>
      <c r="AM40" s="1">
        <f>AM39*AM32</f>
        <v>0</v>
      </c>
      <c r="AN40" s="1"/>
      <c r="AO40" s="1">
        <f>AO39*AO32</f>
        <v>0</v>
      </c>
      <c r="AP40" s="1"/>
      <c r="AQ40" s="1"/>
      <c r="AR40" s="1"/>
      <c r="AS40" s="1"/>
      <c r="AT40" s="1"/>
      <c r="AU40" s="1">
        <f>AU39*AU32</f>
        <v>0</v>
      </c>
      <c r="AV40" s="1"/>
      <c r="AW40" s="1">
        <f>AW39*AW32</f>
        <v>0</v>
      </c>
      <c r="AX40" s="1"/>
      <c r="AY40" s="1">
        <f>AY39*AY32</f>
        <v>0</v>
      </c>
      <c r="AZ40" s="1"/>
      <c r="BA40" s="1">
        <f>BA39*BA32</f>
        <v>0</v>
      </c>
      <c r="BB40" s="1"/>
      <c r="BC40" s="1">
        <f>BC39*BC32</f>
        <v>0</v>
      </c>
      <c r="BD40" s="1">
        <f>SUM(E40:BC40)</f>
        <v>197.33333333333331</v>
      </c>
    </row>
    <row r="41" spans="1:56" hidden="1">
      <c r="A41" t="s">
        <v>254</v>
      </c>
      <c r="AN41" s="1">
        <f>August!CB41+August!CC41+September!CB39+September!CC39+Oktober!CB40+Oktober!CC40+November!CB39+November!CC39+December!CB40+December!CC40+Januar!CB40+Januar!CC40+Februar!CB38+Februar!CC38+Marts!CB40+Marts!CC40+April!CB39+April!CC39+Maj!CB40+Maj!CC40+Juni!CB39+Juni!CC39+Juli!CB40+Juli!CC40</f>
        <v>19</v>
      </c>
      <c r="AO41" t="s">
        <v>314</v>
      </c>
      <c r="BD41" s="1">
        <f>August!CB41+September!CB39+Oktober!CB40+November!CB39+December!CB40+Januar!CB40+Februar!CB38+Marts!CB40+April!CB39+Maj!CB40+Juni!CB39+Juli!CB40</f>
        <v>11</v>
      </c>
    </row>
    <row r="42" spans="1:56" ht="17" thickBot="1">
      <c r="AN42" s="1"/>
    </row>
    <row r="43" spans="1:56" ht="45" customHeight="1">
      <c r="A43" s="834" t="s">
        <v>536</v>
      </c>
      <c r="B43" s="835"/>
      <c r="C43" s="835"/>
      <c r="D43" s="835"/>
      <c r="E43" s="835"/>
      <c r="F43" s="835"/>
      <c r="G43" s="835"/>
      <c r="H43" s="835"/>
      <c r="I43" s="836"/>
      <c r="J43" s="397"/>
      <c r="K43" s="376" t="s">
        <v>234</v>
      </c>
      <c r="L43" s="377" t="s">
        <v>236</v>
      </c>
      <c r="M43" s="376" t="s">
        <v>237</v>
      </c>
      <c r="N43" s="377" t="s">
        <v>238</v>
      </c>
      <c r="O43" s="376" t="s">
        <v>282</v>
      </c>
      <c r="P43" s="377" t="s">
        <v>283</v>
      </c>
      <c r="Q43" s="376" t="s">
        <v>284</v>
      </c>
      <c r="R43" s="377" t="s">
        <v>285</v>
      </c>
      <c r="S43" s="376" t="s">
        <v>286</v>
      </c>
      <c r="T43" s="377" t="s">
        <v>287</v>
      </c>
      <c r="U43" s="376" t="s">
        <v>288</v>
      </c>
      <c r="V43" s="377" t="s">
        <v>289</v>
      </c>
    </row>
    <row r="44" spans="1:56" ht="42" customHeight="1" thickBot="1">
      <c r="A44" s="827" t="s">
        <v>535</v>
      </c>
      <c r="B44" s="828"/>
      <c r="C44" s="828"/>
      <c r="D44" s="828"/>
      <c r="E44" s="828"/>
      <c r="F44" s="828"/>
      <c r="G44" s="828"/>
      <c r="H44" s="828"/>
      <c r="I44" s="829"/>
      <c r="J44" s="397"/>
      <c r="K44" s="376"/>
      <c r="L44" s="377"/>
      <c r="M44" s="376"/>
      <c r="N44" s="377"/>
      <c r="O44" s="376"/>
      <c r="P44" s="377"/>
      <c r="Q44" s="376"/>
      <c r="R44" s="377"/>
      <c r="S44" s="376"/>
      <c r="T44" s="377"/>
      <c r="U44" s="376"/>
      <c r="V44" s="377"/>
    </row>
    <row r="45" spans="1:56" ht="44" customHeight="1">
      <c r="A45" s="837" t="s">
        <v>537</v>
      </c>
      <c r="B45" s="838"/>
      <c r="C45" s="838"/>
      <c r="D45" s="838"/>
      <c r="E45" s="838"/>
      <c r="F45" s="839"/>
      <c r="G45" s="833" t="s">
        <v>233</v>
      </c>
      <c r="H45" s="833"/>
      <c r="I45" s="607" t="s">
        <v>235</v>
      </c>
      <c r="J45" s="397"/>
      <c r="K45" s="376"/>
      <c r="L45" s="377"/>
      <c r="M45" s="376"/>
      <c r="N45" s="377"/>
      <c r="O45" s="376"/>
      <c r="P45" s="377"/>
      <c r="Q45" s="376"/>
      <c r="R45" s="377"/>
      <c r="S45" s="376"/>
      <c r="T45" s="377"/>
      <c r="U45" s="376"/>
      <c r="V45" s="377"/>
    </row>
    <row r="46" spans="1:56" ht="16" customHeight="1">
      <c r="A46" s="823" t="s">
        <v>682</v>
      </c>
      <c r="B46" s="824"/>
      <c r="C46" s="824"/>
      <c r="D46" s="824"/>
      <c r="E46" s="824"/>
      <c r="F46" s="820"/>
      <c r="G46" s="819" t="s">
        <v>236</v>
      </c>
      <c r="H46" s="820"/>
      <c r="I46" s="374">
        <v>10</v>
      </c>
      <c r="J46" s="397"/>
      <c r="K46" s="376">
        <f>IF(G46="August",I46,0)</f>
        <v>0</v>
      </c>
      <c r="L46" s="376">
        <f>IF(G46="September",I46,0)</f>
        <v>10</v>
      </c>
      <c r="M46" s="376">
        <f>IF(G46="Oktober",I46,0)</f>
        <v>0</v>
      </c>
      <c r="N46" s="376">
        <f>IF(G46="November",I46,0)</f>
        <v>0</v>
      </c>
      <c r="O46" s="376">
        <f>IF(G46="December",I46,0)</f>
        <v>0</v>
      </c>
      <c r="P46" s="376">
        <f>IF(G46="Januar",I46,0)</f>
        <v>0</v>
      </c>
      <c r="Q46" s="376">
        <f>IF(G46="Februar",I46,0)</f>
        <v>0</v>
      </c>
      <c r="R46" s="376">
        <f>IF(G46="Marts",I46,0)</f>
        <v>0</v>
      </c>
      <c r="S46" s="376">
        <f>IF(G46="April",I46,0)</f>
        <v>0</v>
      </c>
      <c r="T46" s="376">
        <f>IF(G46="Maj",I46,0)</f>
        <v>0</v>
      </c>
      <c r="U46" s="376">
        <f>IF(G46="Juni",I46,0)</f>
        <v>0</v>
      </c>
      <c r="V46" s="376">
        <f>IF(G46="Juli",I46,0)</f>
        <v>0</v>
      </c>
    </row>
    <row r="47" spans="1:56">
      <c r="A47" s="823" t="s">
        <v>683</v>
      </c>
      <c r="B47" s="824"/>
      <c r="C47" s="824"/>
      <c r="D47" s="824"/>
      <c r="E47" s="824"/>
      <c r="F47" s="820"/>
      <c r="G47" s="819" t="s">
        <v>283</v>
      </c>
      <c r="H47" s="820"/>
      <c r="I47" s="374">
        <v>10</v>
      </c>
      <c r="J47" s="397"/>
      <c r="K47" s="376">
        <f t="shared" ref="K47:K90" si="11">IF(G47="August",I47,0)</f>
        <v>0</v>
      </c>
      <c r="L47" s="376">
        <f t="shared" ref="L47:L90" si="12">IF(G47="September",I47,0)</f>
        <v>0</v>
      </c>
      <c r="M47" s="376">
        <f t="shared" ref="M47:M90" si="13">IF(G47="Oktober",I47,0)</f>
        <v>0</v>
      </c>
      <c r="N47" s="376">
        <f t="shared" ref="N47:N90" si="14">IF(G47="November",I47,0)</f>
        <v>0</v>
      </c>
      <c r="O47" s="376">
        <f t="shared" ref="O47:O90" si="15">IF(G47="December",I47,0)</f>
        <v>0</v>
      </c>
      <c r="P47" s="376">
        <f t="shared" ref="P47:P90" si="16">IF(G47="Januar",I47,0)</f>
        <v>10</v>
      </c>
      <c r="Q47" s="376">
        <f t="shared" ref="Q47:Q90" si="17">IF(G47="Februar",I47,0)</f>
        <v>0</v>
      </c>
      <c r="R47" s="376">
        <f t="shared" ref="R47:R90" si="18">IF(G47="Marts",I47,0)</f>
        <v>0</v>
      </c>
      <c r="S47" s="376">
        <f t="shared" ref="S47:S90" si="19">IF(G47="April",I47,0)</f>
        <v>0</v>
      </c>
      <c r="T47" s="376">
        <f t="shared" ref="T47:T90" si="20">IF(G47="Maj",I47,0)</f>
        <v>0</v>
      </c>
      <c r="U47" s="376">
        <f t="shared" ref="U47:U90" si="21">IF(G47="Juni",I47,0)</f>
        <v>0</v>
      </c>
      <c r="V47" s="376">
        <f t="shared" ref="V47:V90" si="22">IF(G47="Juli",I47,0)</f>
        <v>0</v>
      </c>
    </row>
    <row r="48" spans="1:56">
      <c r="A48" s="823" t="s">
        <v>684</v>
      </c>
      <c r="B48" s="824"/>
      <c r="C48" s="824"/>
      <c r="D48" s="824"/>
      <c r="E48" s="824"/>
      <c r="F48" s="820"/>
      <c r="G48" s="819" t="s">
        <v>234</v>
      </c>
      <c r="H48" s="820"/>
      <c r="I48" s="374">
        <v>2</v>
      </c>
      <c r="J48" s="397"/>
      <c r="K48" s="376">
        <f t="shared" si="11"/>
        <v>2</v>
      </c>
      <c r="L48" s="376">
        <f t="shared" si="12"/>
        <v>0</v>
      </c>
      <c r="M48" s="376">
        <f t="shared" si="13"/>
        <v>0</v>
      </c>
      <c r="N48" s="376">
        <f t="shared" si="14"/>
        <v>0</v>
      </c>
      <c r="O48" s="376">
        <f t="shared" si="15"/>
        <v>0</v>
      </c>
      <c r="P48" s="376">
        <f t="shared" si="16"/>
        <v>0</v>
      </c>
      <c r="Q48" s="376">
        <f t="shared" si="17"/>
        <v>0</v>
      </c>
      <c r="R48" s="376">
        <f t="shared" si="18"/>
        <v>0</v>
      </c>
      <c r="S48" s="376">
        <f t="shared" si="19"/>
        <v>0</v>
      </c>
      <c r="T48" s="376">
        <f t="shared" si="20"/>
        <v>0</v>
      </c>
      <c r="U48" s="376">
        <f t="shared" si="21"/>
        <v>0</v>
      </c>
      <c r="V48" s="376">
        <f t="shared" si="22"/>
        <v>0</v>
      </c>
    </row>
    <row r="49" spans="1:22">
      <c r="A49" s="823" t="s">
        <v>685</v>
      </c>
      <c r="B49" s="824"/>
      <c r="C49" s="824"/>
      <c r="D49" s="824"/>
      <c r="E49" s="824"/>
      <c r="F49" s="820"/>
      <c r="G49" s="819" t="s">
        <v>236</v>
      </c>
      <c r="H49" s="820"/>
      <c r="I49" s="374">
        <v>2</v>
      </c>
      <c r="J49" s="397"/>
      <c r="K49" s="376">
        <f>IF(G49="August",I49,0)</f>
        <v>0</v>
      </c>
      <c r="L49" s="376">
        <f>IF(G49="September",I49,0)</f>
        <v>2</v>
      </c>
      <c r="M49" s="376">
        <f>IF(G49="Oktober",I49,0)</f>
        <v>0</v>
      </c>
      <c r="N49" s="376">
        <f>IF(G49="November",I49,0)</f>
        <v>0</v>
      </c>
      <c r="O49" s="376">
        <f>IF(G49="December",I49,0)</f>
        <v>0</v>
      </c>
      <c r="P49" s="376">
        <f>IF(G49="Januar",I49,0)</f>
        <v>0</v>
      </c>
      <c r="Q49" s="376">
        <f>IF(G49="Februar",I49,0)</f>
        <v>0</v>
      </c>
      <c r="R49" s="376">
        <f>IF(G49="Marts",I49,0)</f>
        <v>0</v>
      </c>
      <c r="S49" s="376">
        <f>IF(G49="April",I49,0)</f>
        <v>0</v>
      </c>
      <c r="T49" s="376">
        <f>IF(G49="Maj",I49,0)</f>
        <v>0</v>
      </c>
      <c r="U49" s="376">
        <f>IF(G49="Juni",I49,0)</f>
        <v>0</v>
      </c>
      <c r="V49" s="376">
        <f>IF(G49="Juli",I49,0)</f>
        <v>0</v>
      </c>
    </row>
    <row r="50" spans="1:22">
      <c r="A50" s="823" t="s">
        <v>686</v>
      </c>
      <c r="B50" s="824"/>
      <c r="C50" s="824"/>
      <c r="D50" s="824"/>
      <c r="E50" s="824"/>
      <c r="F50" s="820"/>
      <c r="G50" s="819" t="s">
        <v>237</v>
      </c>
      <c r="H50" s="820"/>
      <c r="I50" s="374">
        <v>2</v>
      </c>
      <c r="J50" s="397"/>
      <c r="K50" s="376">
        <f>IF(G50="August",I50,0)</f>
        <v>0</v>
      </c>
      <c r="L50" s="376">
        <f>IF(G50="September",I50,0)</f>
        <v>0</v>
      </c>
      <c r="M50" s="376">
        <f>IF(G50="Oktober",I50,0)</f>
        <v>2</v>
      </c>
      <c r="N50" s="376">
        <f>IF(G50="November",I50,0)</f>
        <v>0</v>
      </c>
      <c r="O50" s="376">
        <f>IF(G50="December",I50,0)</f>
        <v>0</v>
      </c>
      <c r="P50" s="376">
        <f>IF(G50="Januar",I50,0)</f>
        <v>0</v>
      </c>
      <c r="Q50" s="376">
        <f>IF(G50="Februar",I50,0)</f>
        <v>0</v>
      </c>
      <c r="R50" s="376">
        <f>IF(G50="Marts",I50,0)</f>
        <v>0</v>
      </c>
      <c r="S50" s="376">
        <f>IF(G50="April",I50,0)</f>
        <v>0</v>
      </c>
      <c r="T50" s="376">
        <f>IF(G50="Maj",I50,0)</f>
        <v>0</v>
      </c>
      <c r="U50" s="376">
        <f>IF(G50="Juni",I50,0)</f>
        <v>0</v>
      </c>
      <c r="V50" s="376">
        <f>IF(G50="Juli",I50,0)</f>
        <v>0</v>
      </c>
    </row>
    <row r="51" spans="1:22">
      <c r="A51" s="823" t="s">
        <v>687</v>
      </c>
      <c r="B51" s="824"/>
      <c r="C51" s="824"/>
      <c r="D51" s="824"/>
      <c r="E51" s="824"/>
      <c r="F51" s="820"/>
      <c r="G51" s="819" t="s">
        <v>238</v>
      </c>
      <c r="H51" s="820"/>
      <c r="I51" s="374">
        <v>2</v>
      </c>
      <c r="J51" s="397"/>
      <c r="K51" s="376">
        <f t="shared" si="11"/>
        <v>0</v>
      </c>
      <c r="L51" s="376">
        <f t="shared" si="12"/>
        <v>0</v>
      </c>
      <c r="M51" s="376">
        <f t="shared" si="13"/>
        <v>0</v>
      </c>
      <c r="N51" s="376">
        <f t="shared" si="14"/>
        <v>2</v>
      </c>
      <c r="O51" s="376">
        <f t="shared" si="15"/>
        <v>0</v>
      </c>
      <c r="P51" s="376">
        <f t="shared" si="16"/>
        <v>0</v>
      </c>
      <c r="Q51" s="376">
        <f t="shared" si="17"/>
        <v>0</v>
      </c>
      <c r="R51" s="376">
        <f t="shared" si="18"/>
        <v>0</v>
      </c>
      <c r="S51" s="376">
        <f t="shared" si="19"/>
        <v>0</v>
      </c>
      <c r="T51" s="376">
        <f t="shared" si="20"/>
        <v>0</v>
      </c>
      <c r="U51" s="376">
        <f t="shared" si="21"/>
        <v>0</v>
      </c>
      <c r="V51" s="376">
        <f t="shared" si="22"/>
        <v>0</v>
      </c>
    </row>
    <row r="52" spans="1:22">
      <c r="A52" s="823" t="s">
        <v>688</v>
      </c>
      <c r="B52" s="824"/>
      <c r="C52" s="824"/>
      <c r="D52" s="824"/>
      <c r="E52" s="824"/>
      <c r="F52" s="820"/>
      <c r="G52" s="819" t="s">
        <v>282</v>
      </c>
      <c r="H52" s="820"/>
      <c r="I52" s="374">
        <v>2</v>
      </c>
      <c r="J52" s="397"/>
      <c r="K52" s="376">
        <f t="shared" si="11"/>
        <v>0</v>
      </c>
      <c r="L52" s="376">
        <f t="shared" si="12"/>
        <v>0</v>
      </c>
      <c r="M52" s="376">
        <f t="shared" si="13"/>
        <v>0</v>
      </c>
      <c r="N52" s="376">
        <f t="shared" si="14"/>
        <v>0</v>
      </c>
      <c r="O52" s="376">
        <f t="shared" si="15"/>
        <v>2</v>
      </c>
      <c r="P52" s="376">
        <f t="shared" si="16"/>
        <v>0</v>
      </c>
      <c r="Q52" s="376">
        <f t="shared" si="17"/>
        <v>0</v>
      </c>
      <c r="R52" s="376">
        <f t="shared" si="18"/>
        <v>0</v>
      </c>
      <c r="S52" s="376">
        <f t="shared" si="19"/>
        <v>0</v>
      </c>
      <c r="T52" s="376">
        <f t="shared" si="20"/>
        <v>0</v>
      </c>
      <c r="U52" s="376">
        <f t="shared" si="21"/>
        <v>0</v>
      </c>
      <c r="V52" s="376">
        <f t="shared" si="22"/>
        <v>0</v>
      </c>
    </row>
    <row r="53" spans="1:22">
      <c r="A53" s="823" t="s">
        <v>690</v>
      </c>
      <c r="B53" s="824"/>
      <c r="C53" s="824"/>
      <c r="D53" s="824"/>
      <c r="E53" s="824"/>
      <c r="F53" s="820"/>
      <c r="G53" s="819" t="s">
        <v>283</v>
      </c>
      <c r="H53" s="820"/>
      <c r="I53" s="374">
        <v>2</v>
      </c>
      <c r="J53" s="397"/>
      <c r="K53" s="376">
        <f t="shared" si="11"/>
        <v>0</v>
      </c>
      <c r="L53" s="376">
        <f t="shared" si="12"/>
        <v>0</v>
      </c>
      <c r="M53" s="376">
        <f t="shared" si="13"/>
        <v>0</v>
      </c>
      <c r="N53" s="376">
        <f t="shared" si="14"/>
        <v>0</v>
      </c>
      <c r="O53" s="376">
        <f t="shared" si="15"/>
        <v>0</v>
      </c>
      <c r="P53" s="376">
        <f t="shared" si="16"/>
        <v>2</v>
      </c>
      <c r="Q53" s="376">
        <f t="shared" si="17"/>
        <v>0</v>
      </c>
      <c r="R53" s="376">
        <f t="shared" si="18"/>
        <v>0</v>
      </c>
      <c r="S53" s="376">
        <f t="shared" si="19"/>
        <v>0</v>
      </c>
      <c r="T53" s="376">
        <f t="shared" si="20"/>
        <v>0</v>
      </c>
      <c r="U53" s="376">
        <f t="shared" si="21"/>
        <v>0</v>
      </c>
      <c r="V53" s="376">
        <f t="shared" si="22"/>
        <v>0</v>
      </c>
    </row>
    <row r="54" spans="1:22">
      <c r="A54" s="823" t="s">
        <v>689</v>
      </c>
      <c r="B54" s="824"/>
      <c r="C54" s="824"/>
      <c r="D54" s="824"/>
      <c r="E54" s="824"/>
      <c r="F54" s="820"/>
      <c r="G54" s="819" t="s">
        <v>284</v>
      </c>
      <c r="H54" s="820"/>
      <c r="I54" s="374">
        <v>2</v>
      </c>
      <c r="J54" s="397"/>
      <c r="K54" s="376">
        <f t="shared" si="11"/>
        <v>0</v>
      </c>
      <c r="L54" s="376">
        <f t="shared" si="12"/>
        <v>0</v>
      </c>
      <c r="M54" s="376">
        <f t="shared" si="13"/>
        <v>0</v>
      </c>
      <c r="N54" s="376">
        <f t="shared" si="14"/>
        <v>0</v>
      </c>
      <c r="O54" s="376">
        <f t="shared" si="15"/>
        <v>0</v>
      </c>
      <c r="P54" s="376">
        <f t="shared" si="16"/>
        <v>0</v>
      </c>
      <c r="Q54" s="376">
        <f t="shared" si="17"/>
        <v>2</v>
      </c>
      <c r="R54" s="376">
        <f t="shared" si="18"/>
        <v>0</v>
      </c>
      <c r="S54" s="376">
        <f t="shared" si="19"/>
        <v>0</v>
      </c>
      <c r="T54" s="376">
        <f t="shared" si="20"/>
        <v>0</v>
      </c>
      <c r="U54" s="376">
        <f t="shared" si="21"/>
        <v>0</v>
      </c>
      <c r="V54" s="376">
        <f t="shared" si="22"/>
        <v>0</v>
      </c>
    </row>
    <row r="55" spans="1:22">
      <c r="A55" s="823" t="s">
        <v>691</v>
      </c>
      <c r="B55" s="824"/>
      <c r="C55" s="824"/>
      <c r="D55" s="824"/>
      <c r="E55" s="824"/>
      <c r="F55" s="820"/>
      <c r="G55" s="819" t="s">
        <v>285</v>
      </c>
      <c r="H55" s="820"/>
      <c r="I55" s="374">
        <v>2</v>
      </c>
      <c r="J55" s="397"/>
      <c r="K55" s="376">
        <f t="shared" si="11"/>
        <v>0</v>
      </c>
      <c r="L55" s="376">
        <f t="shared" si="12"/>
        <v>0</v>
      </c>
      <c r="M55" s="376">
        <f t="shared" si="13"/>
        <v>0</v>
      </c>
      <c r="N55" s="376">
        <f t="shared" si="14"/>
        <v>0</v>
      </c>
      <c r="O55" s="376">
        <f t="shared" si="15"/>
        <v>0</v>
      </c>
      <c r="P55" s="376">
        <f t="shared" si="16"/>
        <v>0</v>
      </c>
      <c r="Q55" s="376">
        <f t="shared" si="17"/>
        <v>0</v>
      </c>
      <c r="R55" s="376">
        <f t="shared" si="18"/>
        <v>2</v>
      </c>
      <c r="S55" s="376">
        <f t="shared" si="19"/>
        <v>0</v>
      </c>
      <c r="T55" s="376">
        <f t="shared" si="20"/>
        <v>0</v>
      </c>
      <c r="U55" s="376">
        <f t="shared" si="21"/>
        <v>0</v>
      </c>
      <c r="V55" s="376">
        <f t="shared" si="22"/>
        <v>0</v>
      </c>
    </row>
    <row r="56" spans="1:22">
      <c r="A56" s="823" t="s">
        <v>692</v>
      </c>
      <c r="B56" s="824"/>
      <c r="C56" s="824"/>
      <c r="D56" s="824"/>
      <c r="E56" s="824"/>
      <c r="F56" s="820"/>
      <c r="G56" s="819" t="s">
        <v>286</v>
      </c>
      <c r="H56" s="820"/>
      <c r="I56" s="374">
        <v>2</v>
      </c>
      <c r="J56" s="397"/>
      <c r="K56" s="376">
        <f t="shared" si="11"/>
        <v>0</v>
      </c>
      <c r="L56" s="376">
        <f t="shared" si="12"/>
        <v>0</v>
      </c>
      <c r="M56" s="376">
        <f t="shared" si="13"/>
        <v>0</v>
      </c>
      <c r="N56" s="376">
        <f t="shared" si="14"/>
        <v>0</v>
      </c>
      <c r="O56" s="376">
        <f t="shared" si="15"/>
        <v>0</v>
      </c>
      <c r="P56" s="376">
        <f t="shared" si="16"/>
        <v>0</v>
      </c>
      <c r="Q56" s="376">
        <f t="shared" si="17"/>
        <v>0</v>
      </c>
      <c r="R56" s="376">
        <f t="shared" si="18"/>
        <v>0</v>
      </c>
      <c r="S56" s="376">
        <f t="shared" si="19"/>
        <v>2</v>
      </c>
      <c r="T56" s="376">
        <f t="shared" si="20"/>
        <v>0</v>
      </c>
      <c r="U56" s="376">
        <f t="shared" si="21"/>
        <v>0</v>
      </c>
      <c r="V56" s="376">
        <f t="shared" si="22"/>
        <v>0</v>
      </c>
    </row>
    <row r="57" spans="1:22">
      <c r="A57" s="823" t="s">
        <v>693</v>
      </c>
      <c r="B57" s="824"/>
      <c r="C57" s="824"/>
      <c r="D57" s="824"/>
      <c r="E57" s="824"/>
      <c r="F57" s="820"/>
      <c r="G57" s="819" t="s">
        <v>287</v>
      </c>
      <c r="H57" s="820"/>
      <c r="I57" s="374">
        <v>2</v>
      </c>
      <c r="J57" s="397"/>
      <c r="K57" s="376">
        <f t="shared" si="11"/>
        <v>0</v>
      </c>
      <c r="L57" s="376">
        <f t="shared" si="12"/>
        <v>0</v>
      </c>
      <c r="M57" s="376">
        <f t="shared" si="13"/>
        <v>0</v>
      </c>
      <c r="N57" s="376">
        <f t="shared" si="14"/>
        <v>0</v>
      </c>
      <c r="O57" s="376">
        <f t="shared" si="15"/>
        <v>0</v>
      </c>
      <c r="P57" s="376">
        <f t="shared" si="16"/>
        <v>0</v>
      </c>
      <c r="Q57" s="376">
        <f t="shared" si="17"/>
        <v>0</v>
      </c>
      <c r="R57" s="376">
        <f t="shared" si="18"/>
        <v>0</v>
      </c>
      <c r="S57" s="376">
        <f t="shared" si="19"/>
        <v>0</v>
      </c>
      <c r="T57" s="376">
        <f t="shared" si="20"/>
        <v>2</v>
      </c>
      <c r="U57" s="376">
        <f t="shared" si="21"/>
        <v>0</v>
      </c>
      <c r="V57" s="376">
        <f t="shared" si="22"/>
        <v>0</v>
      </c>
    </row>
    <row r="58" spans="1:22" ht="16" customHeight="1">
      <c r="A58" s="823" t="s">
        <v>694</v>
      </c>
      <c r="B58" s="824"/>
      <c r="C58" s="824"/>
      <c r="D58" s="824"/>
      <c r="E58" s="824"/>
      <c r="F58" s="820"/>
      <c r="G58" s="819" t="s">
        <v>288</v>
      </c>
      <c r="H58" s="820"/>
      <c r="I58" s="374">
        <v>2</v>
      </c>
      <c r="J58" s="397"/>
      <c r="K58" s="376">
        <f t="shared" si="11"/>
        <v>0</v>
      </c>
      <c r="L58" s="376">
        <f t="shared" si="12"/>
        <v>0</v>
      </c>
      <c r="M58" s="376">
        <f t="shared" si="13"/>
        <v>0</v>
      </c>
      <c r="N58" s="376">
        <f t="shared" si="14"/>
        <v>0</v>
      </c>
      <c r="O58" s="376">
        <f t="shared" si="15"/>
        <v>0</v>
      </c>
      <c r="P58" s="376">
        <f t="shared" si="16"/>
        <v>0</v>
      </c>
      <c r="Q58" s="376">
        <f t="shared" si="17"/>
        <v>0</v>
      </c>
      <c r="R58" s="376">
        <f t="shared" si="18"/>
        <v>0</v>
      </c>
      <c r="S58" s="376">
        <f t="shared" si="19"/>
        <v>0</v>
      </c>
      <c r="T58" s="376">
        <f t="shared" si="20"/>
        <v>0</v>
      </c>
      <c r="U58" s="376">
        <f t="shared" si="21"/>
        <v>2</v>
      </c>
      <c r="V58" s="376">
        <f t="shared" si="22"/>
        <v>0</v>
      </c>
    </row>
    <row r="59" spans="1:22">
      <c r="A59" s="823"/>
      <c r="B59" s="824"/>
      <c r="C59" s="824"/>
      <c r="D59" s="824"/>
      <c r="E59" s="824"/>
      <c r="F59" s="820"/>
      <c r="G59" s="819"/>
      <c r="H59" s="820"/>
      <c r="I59" s="374"/>
      <c r="J59" s="397"/>
      <c r="K59" s="376">
        <f t="shared" si="11"/>
        <v>0</v>
      </c>
      <c r="L59" s="376">
        <f t="shared" si="12"/>
        <v>0</v>
      </c>
      <c r="M59" s="376">
        <f t="shared" si="13"/>
        <v>0</v>
      </c>
      <c r="N59" s="376">
        <f t="shared" si="14"/>
        <v>0</v>
      </c>
      <c r="O59" s="376">
        <f t="shared" si="15"/>
        <v>0</v>
      </c>
      <c r="P59" s="376">
        <f t="shared" si="16"/>
        <v>0</v>
      </c>
      <c r="Q59" s="376">
        <f t="shared" si="17"/>
        <v>0</v>
      </c>
      <c r="R59" s="376">
        <f t="shared" si="18"/>
        <v>0</v>
      </c>
      <c r="S59" s="376">
        <f t="shared" si="19"/>
        <v>0</v>
      </c>
      <c r="T59" s="376">
        <f t="shared" si="20"/>
        <v>0</v>
      </c>
      <c r="U59" s="376">
        <f t="shared" si="21"/>
        <v>0</v>
      </c>
      <c r="V59" s="376">
        <f t="shared" si="22"/>
        <v>0</v>
      </c>
    </row>
    <row r="60" spans="1:22">
      <c r="A60" s="823"/>
      <c r="B60" s="824"/>
      <c r="C60" s="824"/>
      <c r="D60" s="824"/>
      <c r="E60" s="824"/>
      <c r="F60" s="820"/>
      <c r="G60" s="819"/>
      <c r="H60" s="820"/>
      <c r="I60" s="374"/>
      <c r="J60" s="397"/>
      <c r="K60" s="376">
        <f t="shared" si="11"/>
        <v>0</v>
      </c>
      <c r="L60" s="376">
        <f t="shared" si="12"/>
        <v>0</v>
      </c>
      <c r="M60" s="376">
        <f t="shared" si="13"/>
        <v>0</v>
      </c>
      <c r="N60" s="376">
        <f t="shared" si="14"/>
        <v>0</v>
      </c>
      <c r="O60" s="376">
        <f t="shared" si="15"/>
        <v>0</v>
      </c>
      <c r="P60" s="376">
        <f t="shared" si="16"/>
        <v>0</v>
      </c>
      <c r="Q60" s="376">
        <f t="shared" si="17"/>
        <v>0</v>
      </c>
      <c r="R60" s="376">
        <f t="shared" si="18"/>
        <v>0</v>
      </c>
      <c r="S60" s="376">
        <f t="shared" si="19"/>
        <v>0</v>
      </c>
      <c r="T60" s="376">
        <f t="shared" si="20"/>
        <v>0</v>
      </c>
      <c r="U60" s="376">
        <f t="shared" si="21"/>
        <v>0</v>
      </c>
      <c r="V60" s="376">
        <f t="shared" si="22"/>
        <v>0</v>
      </c>
    </row>
    <row r="61" spans="1:22">
      <c r="A61" s="823"/>
      <c r="B61" s="824"/>
      <c r="C61" s="824"/>
      <c r="D61" s="824"/>
      <c r="E61" s="824"/>
      <c r="F61" s="820"/>
      <c r="G61" s="819"/>
      <c r="H61" s="820"/>
      <c r="I61" s="374"/>
      <c r="J61" s="397"/>
      <c r="K61" s="376">
        <f t="shared" si="11"/>
        <v>0</v>
      </c>
      <c r="L61" s="376">
        <f t="shared" si="12"/>
        <v>0</v>
      </c>
      <c r="M61" s="376">
        <f t="shared" si="13"/>
        <v>0</v>
      </c>
      <c r="N61" s="376">
        <f t="shared" si="14"/>
        <v>0</v>
      </c>
      <c r="O61" s="376">
        <f t="shared" si="15"/>
        <v>0</v>
      </c>
      <c r="P61" s="376">
        <f t="shared" si="16"/>
        <v>0</v>
      </c>
      <c r="Q61" s="376">
        <f t="shared" si="17"/>
        <v>0</v>
      </c>
      <c r="R61" s="376">
        <f t="shared" si="18"/>
        <v>0</v>
      </c>
      <c r="S61" s="376">
        <f t="shared" si="19"/>
        <v>0</v>
      </c>
      <c r="T61" s="376">
        <f t="shared" si="20"/>
        <v>0</v>
      </c>
      <c r="U61" s="376">
        <f t="shared" si="21"/>
        <v>0</v>
      </c>
      <c r="V61" s="376">
        <f t="shared" si="22"/>
        <v>0</v>
      </c>
    </row>
    <row r="62" spans="1:22">
      <c r="A62" s="823"/>
      <c r="B62" s="824"/>
      <c r="C62" s="824"/>
      <c r="D62" s="824"/>
      <c r="E62" s="824"/>
      <c r="F62" s="820"/>
      <c r="G62" s="819"/>
      <c r="H62" s="820"/>
      <c r="I62" s="374"/>
      <c r="J62" s="397"/>
      <c r="K62" s="376">
        <f t="shared" si="11"/>
        <v>0</v>
      </c>
      <c r="L62" s="376">
        <f t="shared" si="12"/>
        <v>0</v>
      </c>
      <c r="M62" s="376">
        <f t="shared" si="13"/>
        <v>0</v>
      </c>
      <c r="N62" s="376">
        <f t="shared" si="14"/>
        <v>0</v>
      </c>
      <c r="O62" s="376">
        <f t="shared" si="15"/>
        <v>0</v>
      </c>
      <c r="P62" s="376">
        <f t="shared" si="16"/>
        <v>0</v>
      </c>
      <c r="Q62" s="376">
        <f t="shared" si="17"/>
        <v>0</v>
      </c>
      <c r="R62" s="376">
        <f t="shared" si="18"/>
        <v>0</v>
      </c>
      <c r="S62" s="376">
        <f t="shared" si="19"/>
        <v>0</v>
      </c>
      <c r="T62" s="376">
        <f t="shared" si="20"/>
        <v>0</v>
      </c>
      <c r="U62" s="376">
        <f t="shared" si="21"/>
        <v>0</v>
      </c>
      <c r="V62" s="376">
        <f t="shared" si="22"/>
        <v>0</v>
      </c>
    </row>
    <row r="63" spans="1:22">
      <c r="A63" s="823"/>
      <c r="B63" s="824"/>
      <c r="C63" s="824"/>
      <c r="D63" s="824"/>
      <c r="E63" s="824"/>
      <c r="F63" s="820"/>
      <c r="G63" s="819"/>
      <c r="H63" s="820"/>
      <c r="I63" s="374"/>
      <c r="J63" s="397"/>
      <c r="K63" s="376">
        <f t="shared" si="11"/>
        <v>0</v>
      </c>
      <c r="L63" s="376">
        <f t="shared" si="12"/>
        <v>0</v>
      </c>
      <c r="M63" s="376">
        <f t="shared" si="13"/>
        <v>0</v>
      </c>
      <c r="N63" s="376">
        <f t="shared" si="14"/>
        <v>0</v>
      </c>
      <c r="O63" s="376">
        <f t="shared" si="15"/>
        <v>0</v>
      </c>
      <c r="P63" s="376">
        <f t="shared" si="16"/>
        <v>0</v>
      </c>
      <c r="Q63" s="376">
        <f t="shared" si="17"/>
        <v>0</v>
      </c>
      <c r="R63" s="376">
        <f t="shared" si="18"/>
        <v>0</v>
      </c>
      <c r="S63" s="376">
        <f t="shared" si="19"/>
        <v>0</v>
      </c>
      <c r="T63" s="376">
        <f t="shared" si="20"/>
        <v>0</v>
      </c>
      <c r="U63" s="376">
        <f t="shared" si="21"/>
        <v>0</v>
      </c>
      <c r="V63" s="376">
        <f t="shared" si="22"/>
        <v>0</v>
      </c>
    </row>
    <row r="64" spans="1:22">
      <c r="A64" s="823"/>
      <c r="B64" s="824"/>
      <c r="C64" s="824"/>
      <c r="D64" s="824"/>
      <c r="E64" s="824"/>
      <c r="F64" s="820"/>
      <c r="G64" s="819"/>
      <c r="H64" s="820"/>
      <c r="I64" s="374"/>
      <c r="J64" s="397"/>
      <c r="K64" s="376">
        <f t="shared" si="11"/>
        <v>0</v>
      </c>
      <c r="L64" s="376">
        <f t="shared" si="12"/>
        <v>0</v>
      </c>
      <c r="M64" s="376">
        <f t="shared" si="13"/>
        <v>0</v>
      </c>
      <c r="N64" s="376">
        <f t="shared" si="14"/>
        <v>0</v>
      </c>
      <c r="O64" s="376">
        <f t="shared" si="15"/>
        <v>0</v>
      </c>
      <c r="P64" s="376">
        <f t="shared" si="16"/>
        <v>0</v>
      </c>
      <c r="Q64" s="376">
        <f t="shared" si="17"/>
        <v>0</v>
      </c>
      <c r="R64" s="376">
        <f t="shared" si="18"/>
        <v>0</v>
      </c>
      <c r="S64" s="376">
        <f t="shared" si="19"/>
        <v>0</v>
      </c>
      <c r="T64" s="376">
        <f t="shared" si="20"/>
        <v>0</v>
      </c>
      <c r="U64" s="376">
        <f t="shared" si="21"/>
        <v>0</v>
      </c>
      <c r="V64" s="376">
        <f t="shared" si="22"/>
        <v>0</v>
      </c>
    </row>
    <row r="65" spans="1:22">
      <c r="A65" s="823"/>
      <c r="B65" s="824"/>
      <c r="C65" s="824"/>
      <c r="D65" s="824"/>
      <c r="E65" s="824"/>
      <c r="F65" s="820"/>
      <c r="G65" s="819"/>
      <c r="H65" s="820"/>
      <c r="I65" s="374"/>
      <c r="J65" s="397"/>
      <c r="K65" s="376">
        <f t="shared" si="11"/>
        <v>0</v>
      </c>
      <c r="L65" s="376">
        <f t="shared" si="12"/>
        <v>0</v>
      </c>
      <c r="M65" s="376">
        <f t="shared" si="13"/>
        <v>0</v>
      </c>
      <c r="N65" s="376">
        <f t="shared" si="14"/>
        <v>0</v>
      </c>
      <c r="O65" s="376">
        <f t="shared" si="15"/>
        <v>0</v>
      </c>
      <c r="P65" s="376">
        <f t="shared" si="16"/>
        <v>0</v>
      </c>
      <c r="Q65" s="376">
        <f t="shared" si="17"/>
        <v>0</v>
      </c>
      <c r="R65" s="376">
        <f t="shared" si="18"/>
        <v>0</v>
      </c>
      <c r="S65" s="376">
        <f t="shared" si="19"/>
        <v>0</v>
      </c>
      <c r="T65" s="376">
        <f t="shared" si="20"/>
        <v>0</v>
      </c>
      <c r="U65" s="376">
        <f t="shared" si="21"/>
        <v>0</v>
      </c>
      <c r="V65" s="376">
        <f t="shared" si="22"/>
        <v>0</v>
      </c>
    </row>
    <row r="66" spans="1:22">
      <c r="A66" s="823"/>
      <c r="B66" s="824"/>
      <c r="C66" s="824"/>
      <c r="D66" s="824"/>
      <c r="E66" s="824"/>
      <c r="F66" s="820"/>
      <c r="G66" s="819"/>
      <c r="H66" s="820"/>
      <c r="I66" s="374"/>
      <c r="J66" s="397"/>
      <c r="K66" s="376">
        <f t="shared" si="11"/>
        <v>0</v>
      </c>
      <c r="L66" s="376">
        <f t="shared" si="12"/>
        <v>0</v>
      </c>
      <c r="M66" s="376">
        <f t="shared" si="13"/>
        <v>0</v>
      </c>
      <c r="N66" s="376">
        <f t="shared" si="14"/>
        <v>0</v>
      </c>
      <c r="O66" s="376">
        <f t="shared" si="15"/>
        <v>0</v>
      </c>
      <c r="P66" s="376">
        <f t="shared" si="16"/>
        <v>0</v>
      </c>
      <c r="Q66" s="376">
        <f t="shared" si="17"/>
        <v>0</v>
      </c>
      <c r="R66" s="376">
        <f t="shared" si="18"/>
        <v>0</v>
      </c>
      <c r="S66" s="376">
        <f t="shared" si="19"/>
        <v>0</v>
      </c>
      <c r="T66" s="376">
        <f t="shared" si="20"/>
        <v>0</v>
      </c>
      <c r="U66" s="376">
        <f t="shared" si="21"/>
        <v>0</v>
      </c>
      <c r="V66" s="376">
        <f t="shared" si="22"/>
        <v>0</v>
      </c>
    </row>
    <row r="67" spans="1:22">
      <c r="A67" s="823"/>
      <c r="B67" s="824"/>
      <c r="C67" s="824"/>
      <c r="D67" s="824"/>
      <c r="E67" s="824"/>
      <c r="F67" s="820"/>
      <c r="G67" s="819"/>
      <c r="H67" s="820"/>
      <c r="I67" s="374"/>
      <c r="J67" s="397"/>
      <c r="K67" s="376">
        <f t="shared" si="11"/>
        <v>0</v>
      </c>
      <c r="L67" s="376">
        <f t="shared" si="12"/>
        <v>0</v>
      </c>
      <c r="M67" s="376">
        <f t="shared" si="13"/>
        <v>0</v>
      </c>
      <c r="N67" s="376">
        <f t="shared" si="14"/>
        <v>0</v>
      </c>
      <c r="O67" s="376">
        <f t="shared" si="15"/>
        <v>0</v>
      </c>
      <c r="P67" s="376">
        <f t="shared" si="16"/>
        <v>0</v>
      </c>
      <c r="Q67" s="376">
        <f t="shared" si="17"/>
        <v>0</v>
      </c>
      <c r="R67" s="376">
        <f t="shared" si="18"/>
        <v>0</v>
      </c>
      <c r="S67" s="376">
        <f t="shared" si="19"/>
        <v>0</v>
      </c>
      <c r="T67" s="376">
        <f t="shared" si="20"/>
        <v>0</v>
      </c>
      <c r="U67" s="376">
        <f t="shared" si="21"/>
        <v>0</v>
      </c>
      <c r="V67" s="376">
        <f t="shared" si="22"/>
        <v>0</v>
      </c>
    </row>
    <row r="68" spans="1:22">
      <c r="A68" s="823"/>
      <c r="B68" s="824"/>
      <c r="C68" s="824"/>
      <c r="D68" s="824"/>
      <c r="E68" s="824"/>
      <c r="F68" s="820"/>
      <c r="G68" s="819"/>
      <c r="H68" s="820"/>
      <c r="I68" s="374"/>
      <c r="J68" s="397"/>
      <c r="K68" s="376">
        <f t="shared" si="11"/>
        <v>0</v>
      </c>
      <c r="L68" s="376">
        <f t="shared" si="12"/>
        <v>0</v>
      </c>
      <c r="M68" s="376">
        <f t="shared" si="13"/>
        <v>0</v>
      </c>
      <c r="N68" s="376">
        <f t="shared" si="14"/>
        <v>0</v>
      </c>
      <c r="O68" s="376">
        <f t="shared" si="15"/>
        <v>0</v>
      </c>
      <c r="P68" s="376">
        <f t="shared" si="16"/>
        <v>0</v>
      </c>
      <c r="Q68" s="376">
        <f t="shared" si="17"/>
        <v>0</v>
      </c>
      <c r="R68" s="376">
        <f t="shared" si="18"/>
        <v>0</v>
      </c>
      <c r="S68" s="376">
        <f t="shared" si="19"/>
        <v>0</v>
      </c>
      <c r="T68" s="376">
        <f t="shared" si="20"/>
        <v>0</v>
      </c>
      <c r="U68" s="376">
        <f t="shared" si="21"/>
        <v>0</v>
      </c>
      <c r="V68" s="376">
        <f t="shared" si="22"/>
        <v>0</v>
      </c>
    </row>
    <row r="69" spans="1:22">
      <c r="A69" s="823"/>
      <c r="B69" s="824"/>
      <c r="C69" s="824"/>
      <c r="D69" s="824"/>
      <c r="E69" s="824"/>
      <c r="F69" s="820"/>
      <c r="G69" s="819"/>
      <c r="H69" s="820"/>
      <c r="I69" s="374"/>
      <c r="J69" s="397"/>
      <c r="K69" s="376">
        <f t="shared" si="11"/>
        <v>0</v>
      </c>
      <c r="L69" s="376">
        <f t="shared" si="12"/>
        <v>0</v>
      </c>
      <c r="M69" s="376">
        <f t="shared" si="13"/>
        <v>0</v>
      </c>
      <c r="N69" s="376">
        <f t="shared" si="14"/>
        <v>0</v>
      </c>
      <c r="O69" s="376">
        <f t="shared" si="15"/>
        <v>0</v>
      </c>
      <c r="P69" s="376">
        <f t="shared" si="16"/>
        <v>0</v>
      </c>
      <c r="Q69" s="376">
        <f t="shared" si="17"/>
        <v>0</v>
      </c>
      <c r="R69" s="376">
        <f t="shared" si="18"/>
        <v>0</v>
      </c>
      <c r="S69" s="376">
        <f t="shared" si="19"/>
        <v>0</v>
      </c>
      <c r="T69" s="376">
        <f t="shared" si="20"/>
        <v>0</v>
      </c>
      <c r="U69" s="376">
        <f t="shared" si="21"/>
        <v>0</v>
      </c>
      <c r="V69" s="376">
        <f t="shared" si="22"/>
        <v>0</v>
      </c>
    </row>
    <row r="70" spans="1:22">
      <c r="A70" s="823"/>
      <c r="B70" s="824"/>
      <c r="C70" s="824"/>
      <c r="D70" s="824"/>
      <c r="E70" s="824"/>
      <c r="F70" s="820"/>
      <c r="G70" s="819"/>
      <c r="H70" s="820"/>
      <c r="I70" s="374"/>
      <c r="J70" s="397"/>
      <c r="K70" s="376">
        <f t="shared" si="11"/>
        <v>0</v>
      </c>
      <c r="L70" s="376">
        <f t="shared" si="12"/>
        <v>0</v>
      </c>
      <c r="M70" s="376">
        <f t="shared" si="13"/>
        <v>0</v>
      </c>
      <c r="N70" s="376">
        <f t="shared" si="14"/>
        <v>0</v>
      </c>
      <c r="O70" s="376">
        <f t="shared" si="15"/>
        <v>0</v>
      </c>
      <c r="P70" s="376">
        <f t="shared" si="16"/>
        <v>0</v>
      </c>
      <c r="Q70" s="376">
        <f t="shared" si="17"/>
        <v>0</v>
      </c>
      <c r="R70" s="376">
        <f t="shared" si="18"/>
        <v>0</v>
      </c>
      <c r="S70" s="376">
        <f t="shared" si="19"/>
        <v>0</v>
      </c>
      <c r="T70" s="376">
        <f t="shared" si="20"/>
        <v>0</v>
      </c>
      <c r="U70" s="376">
        <f t="shared" si="21"/>
        <v>0</v>
      </c>
      <c r="V70" s="376">
        <f t="shared" si="22"/>
        <v>0</v>
      </c>
    </row>
    <row r="71" spans="1:22">
      <c r="A71" s="823"/>
      <c r="B71" s="824"/>
      <c r="C71" s="824"/>
      <c r="D71" s="824"/>
      <c r="E71" s="824"/>
      <c r="F71" s="820"/>
      <c r="G71" s="819"/>
      <c r="H71" s="820"/>
      <c r="I71" s="374"/>
      <c r="J71" s="397"/>
      <c r="K71" s="376">
        <f t="shared" si="11"/>
        <v>0</v>
      </c>
      <c r="L71" s="376">
        <f t="shared" si="12"/>
        <v>0</v>
      </c>
      <c r="M71" s="376">
        <f t="shared" si="13"/>
        <v>0</v>
      </c>
      <c r="N71" s="376">
        <f t="shared" si="14"/>
        <v>0</v>
      </c>
      <c r="O71" s="376">
        <f t="shared" si="15"/>
        <v>0</v>
      </c>
      <c r="P71" s="376">
        <f t="shared" si="16"/>
        <v>0</v>
      </c>
      <c r="Q71" s="376">
        <f t="shared" si="17"/>
        <v>0</v>
      </c>
      <c r="R71" s="376">
        <f t="shared" si="18"/>
        <v>0</v>
      </c>
      <c r="S71" s="376">
        <f t="shared" si="19"/>
        <v>0</v>
      </c>
      <c r="T71" s="376">
        <f t="shared" si="20"/>
        <v>0</v>
      </c>
      <c r="U71" s="376">
        <f t="shared" si="21"/>
        <v>0</v>
      </c>
      <c r="V71" s="376">
        <f t="shared" si="22"/>
        <v>0</v>
      </c>
    </row>
    <row r="72" spans="1:22">
      <c r="A72" s="823"/>
      <c r="B72" s="824"/>
      <c r="C72" s="824"/>
      <c r="D72" s="824"/>
      <c r="E72" s="824"/>
      <c r="F72" s="820"/>
      <c r="G72" s="819"/>
      <c r="H72" s="820"/>
      <c r="I72" s="374"/>
      <c r="J72" s="397"/>
      <c r="K72" s="376">
        <f t="shared" si="11"/>
        <v>0</v>
      </c>
      <c r="L72" s="376">
        <f t="shared" si="12"/>
        <v>0</v>
      </c>
      <c r="M72" s="376">
        <f t="shared" si="13"/>
        <v>0</v>
      </c>
      <c r="N72" s="376">
        <f t="shared" si="14"/>
        <v>0</v>
      </c>
      <c r="O72" s="376">
        <f t="shared" si="15"/>
        <v>0</v>
      </c>
      <c r="P72" s="376">
        <f t="shared" si="16"/>
        <v>0</v>
      </c>
      <c r="Q72" s="376">
        <f t="shared" si="17"/>
        <v>0</v>
      </c>
      <c r="R72" s="376">
        <f t="shared" si="18"/>
        <v>0</v>
      </c>
      <c r="S72" s="376">
        <f t="shared" si="19"/>
        <v>0</v>
      </c>
      <c r="T72" s="376">
        <f t="shared" si="20"/>
        <v>0</v>
      </c>
      <c r="U72" s="376">
        <f t="shared" si="21"/>
        <v>0</v>
      </c>
      <c r="V72" s="376">
        <f t="shared" si="22"/>
        <v>0</v>
      </c>
    </row>
    <row r="73" spans="1:22">
      <c r="A73" s="823"/>
      <c r="B73" s="824"/>
      <c r="C73" s="824"/>
      <c r="D73" s="824"/>
      <c r="E73" s="824"/>
      <c r="F73" s="820"/>
      <c r="G73" s="819"/>
      <c r="H73" s="820"/>
      <c r="I73" s="374"/>
      <c r="J73" s="397"/>
      <c r="K73" s="376">
        <f t="shared" si="11"/>
        <v>0</v>
      </c>
      <c r="L73" s="376">
        <f t="shared" si="12"/>
        <v>0</v>
      </c>
      <c r="M73" s="376">
        <f t="shared" si="13"/>
        <v>0</v>
      </c>
      <c r="N73" s="376">
        <f t="shared" si="14"/>
        <v>0</v>
      </c>
      <c r="O73" s="376">
        <f t="shared" si="15"/>
        <v>0</v>
      </c>
      <c r="P73" s="376">
        <f t="shared" si="16"/>
        <v>0</v>
      </c>
      <c r="Q73" s="376">
        <f t="shared" si="17"/>
        <v>0</v>
      </c>
      <c r="R73" s="376">
        <f t="shared" si="18"/>
        <v>0</v>
      </c>
      <c r="S73" s="376">
        <f t="shared" si="19"/>
        <v>0</v>
      </c>
      <c r="T73" s="376">
        <f t="shared" si="20"/>
        <v>0</v>
      </c>
      <c r="U73" s="376">
        <f t="shared" si="21"/>
        <v>0</v>
      </c>
      <c r="V73" s="376">
        <f t="shared" si="22"/>
        <v>0</v>
      </c>
    </row>
    <row r="74" spans="1:22">
      <c r="A74" s="823"/>
      <c r="B74" s="824"/>
      <c r="C74" s="824"/>
      <c r="D74" s="824"/>
      <c r="E74" s="824"/>
      <c r="F74" s="820"/>
      <c r="G74" s="819"/>
      <c r="H74" s="820"/>
      <c r="I74" s="374"/>
      <c r="J74" s="397"/>
      <c r="K74" s="376">
        <f t="shared" si="11"/>
        <v>0</v>
      </c>
      <c r="L74" s="376">
        <f t="shared" si="12"/>
        <v>0</v>
      </c>
      <c r="M74" s="376">
        <f t="shared" si="13"/>
        <v>0</v>
      </c>
      <c r="N74" s="376">
        <f t="shared" si="14"/>
        <v>0</v>
      </c>
      <c r="O74" s="376">
        <f t="shared" si="15"/>
        <v>0</v>
      </c>
      <c r="P74" s="376">
        <f t="shared" si="16"/>
        <v>0</v>
      </c>
      <c r="Q74" s="376">
        <f t="shared" si="17"/>
        <v>0</v>
      </c>
      <c r="R74" s="376">
        <f t="shared" si="18"/>
        <v>0</v>
      </c>
      <c r="S74" s="376">
        <f t="shared" si="19"/>
        <v>0</v>
      </c>
      <c r="T74" s="376">
        <f t="shared" si="20"/>
        <v>0</v>
      </c>
      <c r="U74" s="376">
        <f t="shared" si="21"/>
        <v>0</v>
      </c>
      <c r="V74" s="376">
        <f t="shared" si="22"/>
        <v>0</v>
      </c>
    </row>
    <row r="75" spans="1:22">
      <c r="A75" s="823"/>
      <c r="B75" s="824"/>
      <c r="C75" s="824"/>
      <c r="D75" s="824"/>
      <c r="E75" s="824"/>
      <c r="F75" s="820"/>
      <c r="G75" s="819"/>
      <c r="H75" s="820"/>
      <c r="I75" s="374"/>
      <c r="J75" s="397"/>
      <c r="K75" s="376">
        <f t="shared" si="11"/>
        <v>0</v>
      </c>
      <c r="L75" s="376">
        <f t="shared" si="12"/>
        <v>0</v>
      </c>
      <c r="M75" s="376">
        <f t="shared" si="13"/>
        <v>0</v>
      </c>
      <c r="N75" s="376">
        <f t="shared" si="14"/>
        <v>0</v>
      </c>
      <c r="O75" s="376">
        <f t="shared" si="15"/>
        <v>0</v>
      </c>
      <c r="P75" s="376">
        <f t="shared" si="16"/>
        <v>0</v>
      </c>
      <c r="Q75" s="376">
        <f t="shared" si="17"/>
        <v>0</v>
      </c>
      <c r="R75" s="376">
        <f t="shared" si="18"/>
        <v>0</v>
      </c>
      <c r="S75" s="376">
        <f t="shared" si="19"/>
        <v>0</v>
      </c>
      <c r="T75" s="376">
        <f t="shared" si="20"/>
        <v>0</v>
      </c>
      <c r="U75" s="376">
        <f t="shared" si="21"/>
        <v>0</v>
      </c>
      <c r="V75" s="376">
        <f t="shared" si="22"/>
        <v>0</v>
      </c>
    </row>
    <row r="76" spans="1:22">
      <c r="A76" s="823"/>
      <c r="B76" s="824"/>
      <c r="C76" s="824"/>
      <c r="D76" s="824"/>
      <c r="E76" s="824"/>
      <c r="F76" s="820"/>
      <c r="G76" s="819"/>
      <c r="H76" s="820"/>
      <c r="I76" s="374"/>
      <c r="J76" s="397"/>
      <c r="K76" s="376">
        <f t="shared" si="11"/>
        <v>0</v>
      </c>
      <c r="L76" s="376">
        <f t="shared" si="12"/>
        <v>0</v>
      </c>
      <c r="M76" s="376">
        <f t="shared" si="13"/>
        <v>0</v>
      </c>
      <c r="N76" s="376">
        <f t="shared" si="14"/>
        <v>0</v>
      </c>
      <c r="O76" s="376">
        <f t="shared" si="15"/>
        <v>0</v>
      </c>
      <c r="P76" s="376">
        <f t="shared" si="16"/>
        <v>0</v>
      </c>
      <c r="Q76" s="376">
        <f t="shared" si="17"/>
        <v>0</v>
      </c>
      <c r="R76" s="376">
        <f t="shared" si="18"/>
        <v>0</v>
      </c>
      <c r="S76" s="376">
        <f t="shared" si="19"/>
        <v>0</v>
      </c>
      <c r="T76" s="376">
        <f t="shared" si="20"/>
        <v>0</v>
      </c>
      <c r="U76" s="376">
        <f t="shared" si="21"/>
        <v>0</v>
      </c>
      <c r="V76" s="376">
        <f t="shared" si="22"/>
        <v>0</v>
      </c>
    </row>
    <row r="77" spans="1:22">
      <c r="A77" s="823"/>
      <c r="B77" s="824"/>
      <c r="C77" s="824"/>
      <c r="D77" s="824"/>
      <c r="E77" s="824"/>
      <c r="F77" s="820"/>
      <c r="G77" s="819"/>
      <c r="H77" s="820"/>
      <c r="I77" s="374"/>
      <c r="J77" s="397"/>
      <c r="K77" s="376">
        <f t="shared" si="11"/>
        <v>0</v>
      </c>
      <c r="L77" s="376">
        <f t="shared" si="12"/>
        <v>0</v>
      </c>
      <c r="M77" s="376">
        <f t="shared" si="13"/>
        <v>0</v>
      </c>
      <c r="N77" s="376">
        <f t="shared" si="14"/>
        <v>0</v>
      </c>
      <c r="O77" s="376">
        <f t="shared" si="15"/>
        <v>0</v>
      </c>
      <c r="P77" s="376">
        <f t="shared" si="16"/>
        <v>0</v>
      </c>
      <c r="Q77" s="376">
        <f t="shared" si="17"/>
        <v>0</v>
      </c>
      <c r="R77" s="376">
        <f t="shared" si="18"/>
        <v>0</v>
      </c>
      <c r="S77" s="376">
        <f t="shared" si="19"/>
        <v>0</v>
      </c>
      <c r="T77" s="376">
        <f t="shared" si="20"/>
        <v>0</v>
      </c>
      <c r="U77" s="376">
        <f t="shared" si="21"/>
        <v>0</v>
      </c>
      <c r="V77" s="376">
        <f t="shared" si="22"/>
        <v>0</v>
      </c>
    </row>
    <row r="78" spans="1:22">
      <c r="A78" s="823"/>
      <c r="B78" s="824"/>
      <c r="C78" s="824"/>
      <c r="D78" s="824"/>
      <c r="E78" s="824"/>
      <c r="F78" s="820"/>
      <c r="G78" s="819"/>
      <c r="H78" s="820"/>
      <c r="I78" s="374"/>
      <c r="J78" s="397"/>
      <c r="K78" s="376">
        <f t="shared" si="11"/>
        <v>0</v>
      </c>
      <c r="L78" s="376">
        <f t="shared" si="12"/>
        <v>0</v>
      </c>
      <c r="M78" s="376">
        <f t="shared" si="13"/>
        <v>0</v>
      </c>
      <c r="N78" s="376">
        <f t="shared" si="14"/>
        <v>0</v>
      </c>
      <c r="O78" s="376">
        <f t="shared" si="15"/>
        <v>0</v>
      </c>
      <c r="P78" s="376">
        <f t="shared" si="16"/>
        <v>0</v>
      </c>
      <c r="Q78" s="376">
        <f t="shared" si="17"/>
        <v>0</v>
      </c>
      <c r="R78" s="376">
        <f t="shared" si="18"/>
        <v>0</v>
      </c>
      <c r="S78" s="376">
        <f t="shared" si="19"/>
        <v>0</v>
      </c>
      <c r="T78" s="376">
        <f t="shared" si="20"/>
        <v>0</v>
      </c>
      <c r="U78" s="376">
        <f t="shared" si="21"/>
        <v>0</v>
      </c>
      <c r="V78" s="376">
        <f t="shared" si="22"/>
        <v>0</v>
      </c>
    </row>
    <row r="79" spans="1:22">
      <c r="A79" s="823"/>
      <c r="B79" s="824"/>
      <c r="C79" s="824"/>
      <c r="D79" s="824"/>
      <c r="E79" s="824"/>
      <c r="F79" s="820"/>
      <c r="G79" s="819"/>
      <c r="H79" s="820"/>
      <c r="I79" s="374"/>
      <c r="J79" s="397"/>
      <c r="K79" s="376">
        <f t="shared" si="11"/>
        <v>0</v>
      </c>
      <c r="L79" s="376">
        <f t="shared" si="12"/>
        <v>0</v>
      </c>
      <c r="M79" s="376">
        <f t="shared" si="13"/>
        <v>0</v>
      </c>
      <c r="N79" s="376">
        <f t="shared" si="14"/>
        <v>0</v>
      </c>
      <c r="O79" s="376">
        <f t="shared" si="15"/>
        <v>0</v>
      </c>
      <c r="P79" s="376">
        <f t="shared" si="16"/>
        <v>0</v>
      </c>
      <c r="Q79" s="376">
        <f t="shared" si="17"/>
        <v>0</v>
      </c>
      <c r="R79" s="376">
        <f t="shared" si="18"/>
        <v>0</v>
      </c>
      <c r="S79" s="376">
        <f t="shared" si="19"/>
        <v>0</v>
      </c>
      <c r="T79" s="376">
        <f t="shared" si="20"/>
        <v>0</v>
      </c>
      <c r="U79" s="376">
        <f t="shared" si="21"/>
        <v>0</v>
      </c>
      <c r="V79" s="376">
        <f t="shared" si="22"/>
        <v>0</v>
      </c>
    </row>
    <row r="80" spans="1:22">
      <c r="A80" s="823"/>
      <c r="B80" s="824"/>
      <c r="C80" s="824"/>
      <c r="D80" s="824"/>
      <c r="E80" s="824"/>
      <c r="F80" s="820"/>
      <c r="G80" s="819"/>
      <c r="H80" s="820"/>
      <c r="I80" s="374"/>
      <c r="J80" s="397"/>
      <c r="K80" s="376">
        <f t="shared" si="11"/>
        <v>0</v>
      </c>
      <c r="L80" s="376">
        <f t="shared" si="12"/>
        <v>0</v>
      </c>
      <c r="M80" s="376">
        <f t="shared" si="13"/>
        <v>0</v>
      </c>
      <c r="N80" s="376">
        <f t="shared" si="14"/>
        <v>0</v>
      </c>
      <c r="O80" s="376">
        <f t="shared" si="15"/>
        <v>0</v>
      </c>
      <c r="P80" s="376">
        <f t="shared" si="16"/>
        <v>0</v>
      </c>
      <c r="Q80" s="376">
        <f t="shared" si="17"/>
        <v>0</v>
      </c>
      <c r="R80" s="376">
        <f t="shared" si="18"/>
        <v>0</v>
      </c>
      <c r="S80" s="376">
        <f t="shared" si="19"/>
        <v>0</v>
      </c>
      <c r="T80" s="376">
        <f t="shared" si="20"/>
        <v>0</v>
      </c>
      <c r="U80" s="376">
        <f t="shared" si="21"/>
        <v>0</v>
      </c>
      <c r="V80" s="376">
        <f t="shared" si="22"/>
        <v>0</v>
      </c>
    </row>
    <row r="81" spans="1:22">
      <c r="A81" s="823"/>
      <c r="B81" s="824"/>
      <c r="C81" s="824"/>
      <c r="D81" s="824"/>
      <c r="E81" s="824"/>
      <c r="F81" s="820"/>
      <c r="G81" s="819"/>
      <c r="H81" s="820"/>
      <c r="I81" s="374"/>
      <c r="J81" s="397"/>
      <c r="K81" s="376">
        <f t="shared" si="11"/>
        <v>0</v>
      </c>
      <c r="L81" s="376">
        <f t="shared" si="12"/>
        <v>0</v>
      </c>
      <c r="M81" s="376">
        <f t="shared" si="13"/>
        <v>0</v>
      </c>
      <c r="N81" s="376">
        <f t="shared" si="14"/>
        <v>0</v>
      </c>
      <c r="O81" s="376">
        <f t="shared" si="15"/>
        <v>0</v>
      </c>
      <c r="P81" s="376">
        <f t="shared" si="16"/>
        <v>0</v>
      </c>
      <c r="Q81" s="376">
        <f t="shared" si="17"/>
        <v>0</v>
      </c>
      <c r="R81" s="376">
        <f t="shared" si="18"/>
        <v>0</v>
      </c>
      <c r="S81" s="376">
        <f t="shared" si="19"/>
        <v>0</v>
      </c>
      <c r="T81" s="376">
        <f t="shared" si="20"/>
        <v>0</v>
      </c>
      <c r="U81" s="376">
        <f t="shared" si="21"/>
        <v>0</v>
      </c>
      <c r="V81" s="376">
        <f t="shared" si="22"/>
        <v>0</v>
      </c>
    </row>
    <row r="82" spans="1:22">
      <c r="A82" s="823"/>
      <c r="B82" s="824"/>
      <c r="C82" s="824"/>
      <c r="D82" s="824"/>
      <c r="E82" s="824"/>
      <c r="F82" s="820"/>
      <c r="G82" s="819"/>
      <c r="H82" s="820"/>
      <c r="I82" s="374"/>
      <c r="J82" s="397"/>
      <c r="K82" s="376">
        <f t="shared" si="11"/>
        <v>0</v>
      </c>
      <c r="L82" s="376">
        <f t="shared" si="12"/>
        <v>0</v>
      </c>
      <c r="M82" s="376">
        <f t="shared" si="13"/>
        <v>0</v>
      </c>
      <c r="N82" s="376">
        <f t="shared" si="14"/>
        <v>0</v>
      </c>
      <c r="O82" s="376">
        <f t="shared" si="15"/>
        <v>0</v>
      </c>
      <c r="P82" s="376">
        <f t="shared" si="16"/>
        <v>0</v>
      </c>
      <c r="Q82" s="376">
        <f t="shared" si="17"/>
        <v>0</v>
      </c>
      <c r="R82" s="376">
        <f t="shared" si="18"/>
        <v>0</v>
      </c>
      <c r="S82" s="376">
        <f t="shared" si="19"/>
        <v>0</v>
      </c>
      <c r="T82" s="376">
        <f t="shared" si="20"/>
        <v>0</v>
      </c>
      <c r="U82" s="376">
        <f t="shared" si="21"/>
        <v>0</v>
      </c>
      <c r="V82" s="376">
        <f t="shared" si="22"/>
        <v>0</v>
      </c>
    </row>
    <row r="83" spans="1:22">
      <c r="A83" s="823"/>
      <c r="B83" s="824"/>
      <c r="C83" s="824"/>
      <c r="D83" s="824"/>
      <c r="E83" s="824"/>
      <c r="F83" s="820"/>
      <c r="G83" s="819"/>
      <c r="H83" s="820"/>
      <c r="I83" s="374"/>
      <c r="J83" s="397"/>
      <c r="K83" s="376">
        <f t="shared" si="11"/>
        <v>0</v>
      </c>
      <c r="L83" s="376">
        <f t="shared" si="12"/>
        <v>0</v>
      </c>
      <c r="M83" s="376">
        <f t="shared" si="13"/>
        <v>0</v>
      </c>
      <c r="N83" s="376">
        <f t="shared" si="14"/>
        <v>0</v>
      </c>
      <c r="O83" s="376">
        <f t="shared" si="15"/>
        <v>0</v>
      </c>
      <c r="P83" s="376">
        <f t="shared" si="16"/>
        <v>0</v>
      </c>
      <c r="Q83" s="376">
        <f t="shared" si="17"/>
        <v>0</v>
      </c>
      <c r="R83" s="376">
        <f t="shared" si="18"/>
        <v>0</v>
      </c>
      <c r="S83" s="376">
        <f t="shared" si="19"/>
        <v>0</v>
      </c>
      <c r="T83" s="376">
        <f t="shared" si="20"/>
        <v>0</v>
      </c>
      <c r="U83" s="376">
        <f t="shared" si="21"/>
        <v>0</v>
      </c>
      <c r="V83" s="376">
        <f t="shared" si="22"/>
        <v>0</v>
      </c>
    </row>
    <row r="84" spans="1:22">
      <c r="A84" s="823"/>
      <c r="B84" s="824"/>
      <c r="C84" s="824"/>
      <c r="D84" s="824"/>
      <c r="E84" s="824"/>
      <c r="F84" s="820"/>
      <c r="G84" s="819"/>
      <c r="H84" s="820"/>
      <c r="I84" s="374"/>
      <c r="J84" s="397"/>
      <c r="K84" s="376">
        <f t="shared" si="11"/>
        <v>0</v>
      </c>
      <c r="L84" s="376">
        <f t="shared" si="12"/>
        <v>0</v>
      </c>
      <c r="M84" s="376">
        <f t="shared" si="13"/>
        <v>0</v>
      </c>
      <c r="N84" s="376">
        <f t="shared" si="14"/>
        <v>0</v>
      </c>
      <c r="O84" s="376">
        <f t="shared" si="15"/>
        <v>0</v>
      </c>
      <c r="P84" s="376">
        <f t="shared" si="16"/>
        <v>0</v>
      </c>
      <c r="Q84" s="376">
        <f t="shared" si="17"/>
        <v>0</v>
      </c>
      <c r="R84" s="376">
        <f t="shared" si="18"/>
        <v>0</v>
      </c>
      <c r="S84" s="376">
        <f t="shared" si="19"/>
        <v>0</v>
      </c>
      <c r="T84" s="376">
        <f t="shared" si="20"/>
        <v>0</v>
      </c>
      <c r="U84" s="376">
        <f t="shared" si="21"/>
        <v>0</v>
      </c>
      <c r="V84" s="376">
        <f t="shared" si="22"/>
        <v>0</v>
      </c>
    </row>
    <row r="85" spans="1:22">
      <c r="A85" s="823"/>
      <c r="B85" s="824"/>
      <c r="C85" s="824"/>
      <c r="D85" s="824"/>
      <c r="E85" s="824"/>
      <c r="F85" s="820"/>
      <c r="G85" s="819"/>
      <c r="H85" s="820"/>
      <c r="I85" s="374"/>
      <c r="J85" s="397"/>
      <c r="K85" s="376">
        <f t="shared" si="11"/>
        <v>0</v>
      </c>
      <c r="L85" s="376">
        <f t="shared" si="12"/>
        <v>0</v>
      </c>
      <c r="M85" s="376">
        <f t="shared" si="13"/>
        <v>0</v>
      </c>
      <c r="N85" s="376">
        <f t="shared" si="14"/>
        <v>0</v>
      </c>
      <c r="O85" s="376">
        <f t="shared" si="15"/>
        <v>0</v>
      </c>
      <c r="P85" s="376">
        <f t="shared" si="16"/>
        <v>0</v>
      </c>
      <c r="Q85" s="376">
        <f t="shared" si="17"/>
        <v>0</v>
      </c>
      <c r="R85" s="376">
        <f t="shared" si="18"/>
        <v>0</v>
      </c>
      <c r="S85" s="376">
        <f t="shared" si="19"/>
        <v>0</v>
      </c>
      <c r="T85" s="376">
        <f t="shared" si="20"/>
        <v>0</v>
      </c>
      <c r="U85" s="376">
        <f t="shared" si="21"/>
        <v>0</v>
      </c>
      <c r="V85" s="376">
        <f t="shared" si="22"/>
        <v>0</v>
      </c>
    </row>
    <row r="86" spans="1:22">
      <c r="A86" s="823"/>
      <c r="B86" s="824"/>
      <c r="C86" s="824"/>
      <c r="D86" s="824"/>
      <c r="E86" s="824"/>
      <c r="F86" s="820"/>
      <c r="G86" s="819"/>
      <c r="H86" s="820"/>
      <c r="I86" s="374"/>
      <c r="J86" s="397"/>
      <c r="K86" s="376">
        <f t="shared" si="11"/>
        <v>0</v>
      </c>
      <c r="L86" s="376">
        <f t="shared" si="12"/>
        <v>0</v>
      </c>
      <c r="M86" s="376">
        <f t="shared" si="13"/>
        <v>0</v>
      </c>
      <c r="N86" s="376">
        <f t="shared" si="14"/>
        <v>0</v>
      </c>
      <c r="O86" s="376">
        <f t="shared" si="15"/>
        <v>0</v>
      </c>
      <c r="P86" s="376">
        <f t="shared" si="16"/>
        <v>0</v>
      </c>
      <c r="Q86" s="376">
        <f t="shared" si="17"/>
        <v>0</v>
      </c>
      <c r="R86" s="376">
        <f t="shared" si="18"/>
        <v>0</v>
      </c>
      <c r="S86" s="376">
        <f t="shared" si="19"/>
        <v>0</v>
      </c>
      <c r="T86" s="376">
        <f t="shared" si="20"/>
        <v>0</v>
      </c>
      <c r="U86" s="376">
        <f t="shared" si="21"/>
        <v>0</v>
      </c>
      <c r="V86" s="376">
        <f t="shared" si="22"/>
        <v>0</v>
      </c>
    </row>
    <row r="87" spans="1:22">
      <c r="A87" s="823"/>
      <c r="B87" s="824"/>
      <c r="C87" s="824"/>
      <c r="D87" s="824"/>
      <c r="E87" s="824"/>
      <c r="F87" s="820"/>
      <c r="G87" s="819"/>
      <c r="H87" s="820"/>
      <c r="I87" s="374"/>
      <c r="J87" s="397"/>
      <c r="K87" s="376">
        <f t="shared" si="11"/>
        <v>0</v>
      </c>
      <c r="L87" s="376">
        <f t="shared" si="12"/>
        <v>0</v>
      </c>
      <c r="M87" s="376">
        <f t="shared" si="13"/>
        <v>0</v>
      </c>
      <c r="N87" s="376">
        <f t="shared" si="14"/>
        <v>0</v>
      </c>
      <c r="O87" s="376">
        <f t="shared" si="15"/>
        <v>0</v>
      </c>
      <c r="P87" s="376">
        <f t="shared" si="16"/>
        <v>0</v>
      </c>
      <c r="Q87" s="376">
        <f t="shared" si="17"/>
        <v>0</v>
      </c>
      <c r="R87" s="376">
        <f t="shared" si="18"/>
        <v>0</v>
      </c>
      <c r="S87" s="376">
        <f t="shared" si="19"/>
        <v>0</v>
      </c>
      <c r="T87" s="376">
        <f t="shared" si="20"/>
        <v>0</v>
      </c>
      <c r="U87" s="376">
        <f t="shared" si="21"/>
        <v>0</v>
      </c>
      <c r="V87" s="376">
        <f t="shared" si="22"/>
        <v>0</v>
      </c>
    </row>
    <row r="88" spans="1:22">
      <c r="A88" s="823"/>
      <c r="B88" s="824"/>
      <c r="C88" s="824"/>
      <c r="D88" s="824"/>
      <c r="E88" s="824"/>
      <c r="F88" s="820"/>
      <c r="G88" s="819"/>
      <c r="H88" s="820"/>
      <c r="I88" s="374"/>
      <c r="J88" s="397"/>
      <c r="K88" s="376">
        <f t="shared" si="11"/>
        <v>0</v>
      </c>
      <c r="L88" s="376">
        <f t="shared" si="12"/>
        <v>0</v>
      </c>
      <c r="M88" s="376">
        <f t="shared" si="13"/>
        <v>0</v>
      </c>
      <c r="N88" s="376">
        <f t="shared" si="14"/>
        <v>0</v>
      </c>
      <c r="O88" s="376">
        <f t="shared" si="15"/>
        <v>0</v>
      </c>
      <c r="P88" s="376">
        <f t="shared" si="16"/>
        <v>0</v>
      </c>
      <c r="Q88" s="376">
        <f t="shared" si="17"/>
        <v>0</v>
      </c>
      <c r="R88" s="376">
        <f t="shared" si="18"/>
        <v>0</v>
      </c>
      <c r="S88" s="376">
        <f t="shared" si="19"/>
        <v>0</v>
      </c>
      <c r="T88" s="376">
        <f t="shared" si="20"/>
        <v>0</v>
      </c>
      <c r="U88" s="376">
        <f t="shared" si="21"/>
        <v>0</v>
      </c>
      <c r="V88" s="376">
        <f t="shared" si="22"/>
        <v>0</v>
      </c>
    </row>
    <row r="89" spans="1:22">
      <c r="A89" s="823"/>
      <c r="B89" s="824"/>
      <c r="C89" s="824"/>
      <c r="D89" s="824"/>
      <c r="E89" s="824"/>
      <c r="F89" s="820"/>
      <c r="G89" s="819"/>
      <c r="H89" s="820"/>
      <c r="I89" s="374"/>
      <c r="J89" s="397"/>
      <c r="K89" s="376">
        <f t="shared" si="11"/>
        <v>0</v>
      </c>
      <c r="L89" s="376">
        <f t="shared" si="12"/>
        <v>0</v>
      </c>
      <c r="M89" s="376">
        <f t="shared" si="13"/>
        <v>0</v>
      </c>
      <c r="N89" s="376">
        <f t="shared" si="14"/>
        <v>0</v>
      </c>
      <c r="O89" s="376">
        <f t="shared" si="15"/>
        <v>0</v>
      </c>
      <c r="P89" s="376">
        <f t="shared" si="16"/>
        <v>0</v>
      </c>
      <c r="Q89" s="376">
        <f t="shared" si="17"/>
        <v>0</v>
      </c>
      <c r="R89" s="376">
        <f t="shared" si="18"/>
        <v>0</v>
      </c>
      <c r="S89" s="376">
        <f t="shared" si="19"/>
        <v>0</v>
      </c>
      <c r="T89" s="376">
        <f t="shared" si="20"/>
        <v>0</v>
      </c>
      <c r="U89" s="376">
        <f t="shared" si="21"/>
        <v>0</v>
      </c>
      <c r="V89" s="376">
        <f t="shared" si="22"/>
        <v>0</v>
      </c>
    </row>
    <row r="90" spans="1:22" ht="17" thickBot="1">
      <c r="A90" s="823"/>
      <c r="B90" s="824"/>
      <c r="C90" s="824"/>
      <c r="D90" s="824"/>
      <c r="E90" s="824"/>
      <c r="F90" s="820"/>
      <c r="G90" s="819"/>
      <c r="H90" s="820"/>
      <c r="I90" s="374"/>
      <c r="J90" s="397"/>
      <c r="K90" s="376">
        <f t="shared" si="11"/>
        <v>0</v>
      </c>
      <c r="L90" s="376">
        <f t="shared" si="12"/>
        <v>0</v>
      </c>
      <c r="M90" s="376">
        <f t="shared" si="13"/>
        <v>0</v>
      </c>
      <c r="N90" s="376">
        <f t="shared" si="14"/>
        <v>0</v>
      </c>
      <c r="O90" s="376">
        <f t="shared" si="15"/>
        <v>0</v>
      </c>
      <c r="P90" s="376">
        <f t="shared" si="16"/>
        <v>0</v>
      </c>
      <c r="Q90" s="376">
        <f t="shared" si="17"/>
        <v>0</v>
      </c>
      <c r="R90" s="376">
        <f t="shared" si="18"/>
        <v>0</v>
      </c>
      <c r="S90" s="376">
        <f t="shared" si="19"/>
        <v>0</v>
      </c>
      <c r="T90" s="376">
        <f t="shared" si="20"/>
        <v>0</v>
      </c>
      <c r="U90" s="376">
        <f t="shared" si="21"/>
        <v>0</v>
      </c>
      <c r="V90" s="376">
        <f t="shared" si="22"/>
        <v>0</v>
      </c>
    </row>
    <row r="91" spans="1:22" ht="16" customHeight="1" thickBot="1">
      <c r="A91" s="366" t="s">
        <v>240</v>
      </c>
      <c r="B91" s="367"/>
      <c r="C91" s="367"/>
      <c r="D91" s="367"/>
      <c r="E91" s="367"/>
      <c r="F91" s="367"/>
      <c r="G91" s="367"/>
      <c r="H91" s="368"/>
      <c r="I91" s="269">
        <f>SUM(I46:I90)</f>
        <v>42</v>
      </c>
      <c r="J91" s="41"/>
      <c r="K91" s="376">
        <f>SUM(K46:K90)</f>
        <v>2</v>
      </c>
      <c r="L91" s="376">
        <f>SUM(L46:L90)</f>
        <v>12</v>
      </c>
      <c r="M91" s="376">
        <f t="shared" ref="M91:V91" si="23">SUM(M46:M90)</f>
        <v>2</v>
      </c>
      <c r="N91" s="376">
        <f t="shared" si="23"/>
        <v>2</v>
      </c>
      <c r="O91" s="376">
        <f t="shared" si="23"/>
        <v>2</v>
      </c>
      <c r="P91" s="376">
        <f t="shared" si="23"/>
        <v>12</v>
      </c>
      <c r="Q91" s="376">
        <f t="shared" si="23"/>
        <v>2</v>
      </c>
      <c r="R91" s="376">
        <f t="shared" si="23"/>
        <v>2</v>
      </c>
      <c r="S91" s="376">
        <f t="shared" si="23"/>
        <v>2</v>
      </c>
      <c r="T91" s="376">
        <f t="shared" si="23"/>
        <v>2</v>
      </c>
      <c r="U91" s="376">
        <f t="shared" si="23"/>
        <v>2</v>
      </c>
      <c r="V91" s="376">
        <f t="shared" si="23"/>
        <v>0</v>
      </c>
    </row>
    <row r="92" spans="1:22" ht="16" customHeight="1">
      <c r="A92" s="730"/>
      <c r="B92" s="730"/>
      <c r="C92" s="832" t="s">
        <v>538</v>
      </c>
      <c r="D92" s="832"/>
      <c r="E92" s="832"/>
      <c r="F92" s="832"/>
      <c r="G92" s="832"/>
      <c r="H92" s="832"/>
      <c r="I92" s="832"/>
      <c r="J92" s="41"/>
      <c r="K92" s="41"/>
      <c r="L92" s="41"/>
      <c r="M92" s="41"/>
      <c r="N92" s="41"/>
      <c r="O92" s="41"/>
      <c r="P92" s="41"/>
      <c r="Q92" s="41"/>
      <c r="R92" s="41"/>
      <c r="S92" s="41"/>
      <c r="T92" s="41"/>
      <c r="U92" s="41"/>
      <c r="V92" s="41"/>
    </row>
    <row r="93" spans="1:22" ht="16" customHeight="1">
      <c r="A93" s="730"/>
      <c r="B93" s="730"/>
      <c r="C93" s="813"/>
      <c r="D93" s="813"/>
      <c r="E93" s="813"/>
      <c r="F93" s="813"/>
      <c r="G93" s="813"/>
      <c r="H93" s="813"/>
      <c r="I93" s="813"/>
    </row>
    <row r="94" spans="1:22" ht="16" customHeight="1">
      <c r="A94" s="730"/>
      <c r="B94" s="730"/>
      <c r="C94" s="813"/>
      <c r="D94" s="813"/>
      <c r="E94" s="813"/>
      <c r="F94" s="813"/>
      <c r="G94" s="813"/>
      <c r="H94" s="813"/>
      <c r="I94" s="813"/>
    </row>
    <row r="95" spans="1:22" ht="16" customHeight="1">
      <c r="A95" s="730"/>
      <c r="B95" s="730"/>
      <c r="C95" s="813"/>
      <c r="D95" s="813"/>
      <c r="E95" s="813"/>
      <c r="F95" s="813"/>
      <c r="G95" s="813"/>
      <c r="H95" s="813"/>
      <c r="I95" s="813"/>
    </row>
    <row r="96" spans="1:22" ht="19" customHeight="1">
      <c r="A96" s="730"/>
      <c r="B96" s="730"/>
      <c r="C96" s="813"/>
      <c r="D96" s="813"/>
      <c r="E96" s="813"/>
      <c r="F96" s="813"/>
      <c r="G96" s="813"/>
      <c r="H96" s="813"/>
      <c r="I96" s="813"/>
    </row>
  </sheetData>
  <sheetProtection sheet="1" objects="1" scenarios="1"/>
  <mergeCells count="179">
    <mergeCell ref="AQ8:BC8"/>
    <mergeCell ref="AQ9:AR9"/>
    <mergeCell ref="AT9:AU9"/>
    <mergeCell ref="AV9:AW9"/>
    <mergeCell ref="AX9:AY9"/>
    <mergeCell ref="AZ9:BA9"/>
    <mergeCell ref="BB9:BC9"/>
    <mergeCell ref="AT10:AU10"/>
    <mergeCell ref="AV10:AW10"/>
    <mergeCell ref="AX10:AY10"/>
    <mergeCell ref="AZ10:BA10"/>
    <mergeCell ref="BB10:BC10"/>
    <mergeCell ref="R10:S10"/>
    <mergeCell ref="T10:U10"/>
    <mergeCell ref="V10:W10"/>
    <mergeCell ref="X10:Y10"/>
    <mergeCell ref="AC5:AO5"/>
    <mergeCell ref="AC6:AG7"/>
    <mergeCell ref="AH6:AK6"/>
    <mergeCell ref="AL6:AO6"/>
    <mergeCell ref="AH7:AK7"/>
    <mergeCell ref="AL7:AO7"/>
    <mergeCell ref="AC8:AO8"/>
    <mergeCell ref="AC9:AD9"/>
    <mergeCell ref="AF9:AG9"/>
    <mergeCell ref="AH9:AI9"/>
    <mergeCell ref="AJ9:AK9"/>
    <mergeCell ref="AL9:AM9"/>
    <mergeCell ref="AN9:AO9"/>
    <mergeCell ref="AF10:AG10"/>
    <mergeCell ref="AH10:AI10"/>
    <mergeCell ref="AJ10:AK10"/>
    <mergeCell ref="AL10:AM10"/>
    <mergeCell ref="AN10:AO10"/>
    <mergeCell ref="O5:AA5"/>
    <mergeCell ref="A5:M5"/>
    <mergeCell ref="J6:M6"/>
    <mergeCell ref="F6:I6"/>
    <mergeCell ref="F7:I7"/>
    <mergeCell ref="A6:E7"/>
    <mergeCell ref="A8:M8"/>
    <mergeCell ref="J7:M7"/>
    <mergeCell ref="D9:E9"/>
    <mergeCell ref="Z9:AA9"/>
    <mergeCell ref="F9:G9"/>
    <mergeCell ref="A9:B9"/>
    <mergeCell ref="G75:H75"/>
    <mergeCell ref="G76:H76"/>
    <mergeCell ref="G77:H77"/>
    <mergeCell ref="G78:H78"/>
    <mergeCell ref="G60:H60"/>
    <mergeCell ref="G61:H61"/>
    <mergeCell ref="G62:H62"/>
    <mergeCell ref="G63:H63"/>
    <mergeCell ref="G64:H64"/>
    <mergeCell ref="G65:H65"/>
    <mergeCell ref="G66:H66"/>
    <mergeCell ref="G67:H67"/>
    <mergeCell ref="G68:H68"/>
    <mergeCell ref="H10:I10"/>
    <mergeCell ref="J10:K10"/>
    <mergeCell ref="L10:M10"/>
    <mergeCell ref="H9:I9"/>
    <mergeCell ref="J9:K9"/>
    <mergeCell ref="L9:M9"/>
    <mergeCell ref="A89:F89"/>
    <mergeCell ref="G89:H89"/>
    <mergeCell ref="A86:F86"/>
    <mergeCell ref="G86:H86"/>
    <mergeCell ref="A87:F87"/>
    <mergeCell ref="G87:H87"/>
    <mergeCell ref="A88:F88"/>
    <mergeCell ref="G88:H88"/>
    <mergeCell ref="G79:H79"/>
    <mergeCell ref="G80:H80"/>
    <mergeCell ref="A57:F57"/>
    <mergeCell ref="G57:H57"/>
    <mergeCell ref="A85:F85"/>
    <mergeCell ref="G85:H85"/>
    <mergeCell ref="A60:F60"/>
    <mergeCell ref="A61:F61"/>
    <mergeCell ref="A62:F62"/>
    <mergeCell ref="A72:F72"/>
    <mergeCell ref="A78:F78"/>
    <mergeCell ref="A79:F79"/>
    <mergeCell ref="A80:F80"/>
    <mergeCell ref="G69:H69"/>
    <mergeCell ref="G70:H70"/>
    <mergeCell ref="G71:H71"/>
    <mergeCell ref="G72:H72"/>
    <mergeCell ref="G73:H73"/>
    <mergeCell ref="A53:F53"/>
    <mergeCell ref="A63:F63"/>
    <mergeCell ref="A64:F64"/>
    <mergeCell ref="A65:F65"/>
    <mergeCell ref="A66:F66"/>
    <mergeCell ref="A67:F67"/>
    <mergeCell ref="A68:F68"/>
    <mergeCell ref="A69:F69"/>
    <mergeCell ref="A70:F70"/>
    <mergeCell ref="A71:F71"/>
    <mergeCell ref="A73:F73"/>
    <mergeCell ref="A74:F74"/>
    <mergeCell ref="A75:F75"/>
    <mergeCell ref="A76:F76"/>
    <mergeCell ref="A77:F77"/>
    <mergeCell ref="G74:H74"/>
    <mergeCell ref="A46:F46"/>
    <mergeCell ref="G45:H45"/>
    <mergeCell ref="G46:H46"/>
    <mergeCell ref="A43:I43"/>
    <mergeCell ref="A45:F45"/>
    <mergeCell ref="AQ5:BC5"/>
    <mergeCell ref="AQ6:AU7"/>
    <mergeCell ref="AV6:AY6"/>
    <mergeCell ref="AZ6:BC6"/>
    <mergeCell ref="AV7:AY7"/>
    <mergeCell ref="AZ7:BC7"/>
    <mergeCell ref="O6:S7"/>
    <mergeCell ref="T6:W6"/>
    <mergeCell ref="X6:AA6"/>
    <mergeCell ref="T7:W7"/>
    <mergeCell ref="X7:AA7"/>
    <mergeCell ref="O8:AA8"/>
    <mergeCell ref="O9:P9"/>
    <mergeCell ref="R9:S9"/>
    <mergeCell ref="T9:U9"/>
    <mergeCell ref="V9:W9"/>
    <mergeCell ref="X9:Y9"/>
    <mergeCell ref="D10:E10"/>
    <mergeCell ref="F10:G10"/>
    <mergeCell ref="A2:B2"/>
    <mergeCell ref="A3:B3"/>
    <mergeCell ref="A49:F49"/>
    <mergeCell ref="A50:F50"/>
    <mergeCell ref="A51:F51"/>
    <mergeCell ref="G51:H51"/>
    <mergeCell ref="A44:I44"/>
    <mergeCell ref="Z10:AA10"/>
    <mergeCell ref="C92:I96"/>
    <mergeCell ref="A58:F58"/>
    <mergeCell ref="G58:H58"/>
    <mergeCell ref="A59:F59"/>
    <mergeCell ref="A84:F84"/>
    <mergeCell ref="G84:H84"/>
    <mergeCell ref="G52:H52"/>
    <mergeCell ref="G53:H53"/>
    <mergeCell ref="G59:H59"/>
    <mergeCell ref="A81:F81"/>
    <mergeCell ref="G81:H81"/>
    <mergeCell ref="A82:F82"/>
    <mergeCell ref="G82:H82"/>
    <mergeCell ref="A83:F83"/>
    <mergeCell ref="G83:H83"/>
    <mergeCell ref="A52:F52"/>
    <mergeCell ref="C1:S1"/>
    <mergeCell ref="E2:S2"/>
    <mergeCell ref="E3:S3"/>
    <mergeCell ref="A92:B96"/>
    <mergeCell ref="A32:D32"/>
    <mergeCell ref="A31:D31"/>
    <mergeCell ref="G47:H47"/>
    <mergeCell ref="G48:H48"/>
    <mergeCell ref="G49:H49"/>
    <mergeCell ref="G50:H50"/>
    <mergeCell ref="A30:D30"/>
    <mergeCell ref="A54:F54"/>
    <mergeCell ref="A55:F55"/>
    <mergeCell ref="A56:F56"/>
    <mergeCell ref="G54:H54"/>
    <mergeCell ref="G55:H55"/>
    <mergeCell ref="G56:H56"/>
    <mergeCell ref="A47:F47"/>
    <mergeCell ref="A48:F48"/>
    <mergeCell ref="A90:F90"/>
    <mergeCell ref="G90:H90"/>
    <mergeCell ref="C4:S4"/>
    <mergeCell ref="C2:D2"/>
    <mergeCell ref="C3:D3"/>
  </mergeCells>
  <phoneticPr fontId="5" type="noConversion"/>
  <conditionalFormatting sqref="D11:D29">
    <cfRule type="expression" dxfId="988" priority="1" stopIfTrue="1">
      <formula>OR($A11&gt;0,)</formula>
    </cfRule>
  </conditionalFormatting>
  <conditionalFormatting sqref="E11:E29">
    <cfRule type="expression" dxfId="987" priority="569">
      <formula>AND($A11&gt;0,$D11="L")</formula>
    </cfRule>
    <cfRule type="expression" dxfId="986" priority="570">
      <formula>AND($A11&gt;0,$D11="E")</formula>
    </cfRule>
  </conditionalFormatting>
  <conditionalFormatting sqref="F11:F29">
    <cfRule type="expression" dxfId="985" priority="2" stopIfTrue="1">
      <formula>OR($A11&gt;0,)</formula>
    </cfRule>
  </conditionalFormatting>
  <conditionalFormatting sqref="G11:G29">
    <cfRule type="expression" dxfId="984" priority="571" stopIfTrue="1">
      <formula>AND($A11&gt;0,$F11="L")</formula>
    </cfRule>
    <cfRule type="expression" dxfId="983" priority="572">
      <formula>AND($A11&gt;0,$F11="E")</formula>
    </cfRule>
  </conditionalFormatting>
  <conditionalFormatting sqref="G46:I90">
    <cfRule type="expression" dxfId="982" priority="109">
      <formula>OR($A46&gt;0,)</formula>
    </cfRule>
  </conditionalFormatting>
  <conditionalFormatting sqref="G81:I90">
    <cfRule type="expression" dxfId="981" priority="110">
      <formula>OR($B81&gt;0,)</formula>
    </cfRule>
  </conditionalFormatting>
  <conditionalFormatting sqref="H11:H29">
    <cfRule type="expression" dxfId="980" priority="78">
      <formula>OR($A11&gt;0,)</formula>
    </cfRule>
  </conditionalFormatting>
  <conditionalFormatting sqref="I11:I29">
    <cfRule type="expression" dxfId="979" priority="573" stopIfTrue="1">
      <formula>AND($A11&gt;0,$H11="L")</formula>
    </cfRule>
    <cfRule type="expression" dxfId="978" priority="574" stopIfTrue="1">
      <formula>AND($A11&gt;0,$H11="E")</formula>
    </cfRule>
  </conditionalFormatting>
  <conditionalFormatting sqref="J11:J29">
    <cfRule type="expression" dxfId="977" priority="76">
      <formula>OR($A11&gt;0,)</formula>
    </cfRule>
  </conditionalFormatting>
  <conditionalFormatting sqref="K11:K29">
    <cfRule type="expression" dxfId="976" priority="576" stopIfTrue="1">
      <formula>AND($A11&gt;0,$J11="E")</formula>
    </cfRule>
    <cfRule type="expression" dxfId="975" priority="575">
      <formula>AND($A11&gt;0,$J11="L")</formula>
    </cfRule>
  </conditionalFormatting>
  <conditionalFormatting sqref="L11:L29">
    <cfRule type="expression" dxfId="974" priority="74" stopIfTrue="1">
      <formula>OR($A11&gt;0,)</formula>
    </cfRule>
  </conditionalFormatting>
  <conditionalFormatting sqref="M11:M29">
    <cfRule type="expression" dxfId="973" priority="578">
      <formula>AND($A11&gt;0,$L11="E")</formula>
    </cfRule>
    <cfRule type="expression" dxfId="972" priority="577">
      <formula>AND($A11&gt;0,$L11="L")</formula>
    </cfRule>
  </conditionalFormatting>
  <conditionalFormatting sqref="R11:R29">
    <cfRule type="expression" dxfId="971" priority="62">
      <formula>OR($O11&gt;0,)</formula>
    </cfRule>
  </conditionalFormatting>
  <conditionalFormatting sqref="S11:S29">
    <cfRule type="expression" dxfId="970" priority="64" stopIfTrue="1">
      <formula>AND($O11&gt;0,$R11="E")</formula>
    </cfRule>
    <cfRule type="expression" dxfId="969" priority="53" stopIfTrue="1">
      <formula>AND($O11&gt;0,$R11="L")</formula>
    </cfRule>
  </conditionalFormatting>
  <conditionalFormatting sqref="T11:T29">
    <cfRule type="expression" dxfId="968" priority="60" stopIfTrue="1">
      <formula>OR($O11&gt;0,)</formula>
    </cfRule>
  </conditionalFormatting>
  <conditionalFormatting sqref="U11:U29">
    <cfRule type="expression" dxfId="967" priority="51">
      <formula>AND($O11&gt;0,$T11="L")</formula>
    </cfRule>
    <cfRule type="expression" dxfId="966" priority="52" stopIfTrue="1">
      <formula>AND($O11&gt;0,$T11="E")</formula>
    </cfRule>
  </conditionalFormatting>
  <conditionalFormatting sqref="V11:V29">
    <cfRule type="expression" dxfId="965" priority="58">
      <formula>OR($O11&gt;0,)</formula>
    </cfRule>
  </conditionalFormatting>
  <conditionalFormatting sqref="W11:W29">
    <cfRule type="expression" dxfId="964" priority="49">
      <formula>AND($O11&gt;0,$V11="L")</formula>
    </cfRule>
    <cfRule type="expression" dxfId="963" priority="50">
      <formula>AND($O11&gt;0,$V11="E")</formula>
    </cfRule>
  </conditionalFormatting>
  <conditionalFormatting sqref="X11:X29">
    <cfRule type="expression" dxfId="962" priority="56">
      <formula>OR($O11&gt;0,)</formula>
    </cfRule>
  </conditionalFormatting>
  <conditionalFormatting sqref="Y11:Y29">
    <cfRule type="expression" dxfId="961" priority="48">
      <formula>AND($O11&gt;0,$X11="E")</formula>
    </cfRule>
    <cfRule type="expression" dxfId="960" priority="47" stopIfTrue="1">
      <formula>AND($O11&gt;0,$X11="L")</formula>
    </cfRule>
  </conditionalFormatting>
  <conditionalFormatting sqref="Z11:Z29">
    <cfRule type="expression" dxfId="959" priority="54">
      <formula>OR($O11&gt;0,)</formula>
    </cfRule>
  </conditionalFormatting>
  <conditionalFormatting sqref="AA11:AA29">
    <cfRule type="expression" dxfId="958" priority="46" stopIfTrue="1">
      <formula>AND($O11&gt;0,$Z11="E")</formula>
    </cfRule>
    <cfRule type="expression" dxfId="957" priority="45" stopIfTrue="1">
      <formula>AND($O11&gt;0,$Z11="L")</formula>
    </cfRule>
  </conditionalFormatting>
  <conditionalFormatting sqref="AF11:AF29">
    <cfRule type="expression" dxfId="956" priority="42">
      <formula>OR($AC11&gt;0,)</formula>
    </cfRule>
  </conditionalFormatting>
  <conditionalFormatting sqref="AG11:AG29">
    <cfRule type="expression" dxfId="955" priority="44" stopIfTrue="1">
      <formula>AND($AC11&gt;0,$AF11="E")</formula>
    </cfRule>
    <cfRule type="expression" dxfId="954" priority="33" stopIfTrue="1">
      <formula>AND($AC11&gt;0,$AF11="L")</formula>
    </cfRule>
  </conditionalFormatting>
  <conditionalFormatting sqref="AH11:AH29">
    <cfRule type="expression" dxfId="953" priority="40">
      <formula>OR($AC11&gt;0,)</formula>
    </cfRule>
  </conditionalFormatting>
  <conditionalFormatting sqref="AI11:AI29">
    <cfRule type="expression" dxfId="952" priority="31">
      <formula>AND($AC11&gt;0,$AH11="L")</formula>
    </cfRule>
    <cfRule type="expression" dxfId="951" priority="32" stopIfTrue="1">
      <formula>AND($AC11&gt;0,$AH11="E")</formula>
    </cfRule>
  </conditionalFormatting>
  <conditionalFormatting sqref="AJ11:AJ29">
    <cfRule type="expression" dxfId="950" priority="38">
      <formula>OR($AC11&gt;0,)</formula>
    </cfRule>
  </conditionalFormatting>
  <conditionalFormatting sqref="AK11:AK29">
    <cfRule type="expression" dxfId="949" priority="30">
      <formula>AND($AC11&gt;0,$AJ11="E")</formula>
    </cfRule>
    <cfRule type="expression" dxfId="948" priority="29">
      <formula>AND($AC11&gt;0,$AJ11="L")</formula>
    </cfRule>
  </conditionalFormatting>
  <conditionalFormatting sqref="AL11:AL29">
    <cfRule type="expression" dxfId="947" priority="36">
      <formula>OR($AC11&gt;0,)</formula>
    </cfRule>
  </conditionalFormatting>
  <conditionalFormatting sqref="AM11:AM29">
    <cfRule type="expression" dxfId="946" priority="28">
      <formula>AND($AC11&gt;0,$AL11="E")</formula>
    </cfRule>
    <cfRule type="expression" dxfId="945" priority="27" stopIfTrue="1">
      <formula>AND($AC11&gt;0,$AL11="L")</formula>
    </cfRule>
  </conditionalFormatting>
  <conditionalFormatting sqref="AN11:AN29">
    <cfRule type="expression" dxfId="944" priority="34">
      <formula>OR($AC11&gt;0,)</formula>
    </cfRule>
  </conditionalFormatting>
  <conditionalFormatting sqref="AO11:AO29">
    <cfRule type="expression" dxfId="943" priority="26" stopIfTrue="1">
      <formula>AND($AC11&gt;0,$AN11="E")</formula>
    </cfRule>
    <cfRule type="expression" dxfId="942" priority="25" stopIfTrue="1">
      <formula>AND($AC11&gt;0,$AN11="L")</formula>
    </cfRule>
  </conditionalFormatting>
  <conditionalFormatting sqref="AT11:AT29">
    <cfRule type="expression" dxfId="941" priority="22" stopIfTrue="1">
      <formula>OR($AQ11&gt;0,)</formula>
    </cfRule>
  </conditionalFormatting>
  <conditionalFormatting sqref="AU11:AU29">
    <cfRule type="expression" dxfId="940" priority="24" stopIfTrue="1">
      <formula>AND($AQ11&gt;0,$AT11="E")</formula>
    </cfRule>
    <cfRule type="expression" dxfId="939" priority="13" stopIfTrue="1">
      <formula>AND($AQ11&gt;0,$AT11="L")</formula>
    </cfRule>
  </conditionalFormatting>
  <conditionalFormatting sqref="AV11:AV29">
    <cfRule type="expression" dxfId="938" priority="20">
      <formula>OR($AQ11&gt;0,)</formula>
    </cfRule>
  </conditionalFormatting>
  <conditionalFormatting sqref="AW11:AW29">
    <cfRule type="expression" dxfId="937" priority="11">
      <formula>AND($AQ11&gt;0,$AV11="L")</formula>
    </cfRule>
    <cfRule type="expression" dxfId="936" priority="12" stopIfTrue="1">
      <formula>AND($AQ11&gt;0,$AV11="E")</formula>
    </cfRule>
  </conditionalFormatting>
  <conditionalFormatting sqref="AX11:AX29">
    <cfRule type="expression" dxfId="935" priority="18">
      <formula>OR($AQ11&gt;0,)</formula>
    </cfRule>
  </conditionalFormatting>
  <conditionalFormatting sqref="AY11:AY29">
    <cfRule type="expression" dxfId="934" priority="10">
      <formula>AND($AQ11&gt;0,$AX11="E")</formula>
    </cfRule>
    <cfRule type="expression" dxfId="933" priority="9">
      <formula>AND($AQ11&gt;0,$AX11="L")</formula>
    </cfRule>
  </conditionalFormatting>
  <conditionalFormatting sqref="AZ11:AZ29">
    <cfRule type="expression" dxfId="932" priority="16">
      <formula>OR($AQ11&gt;0,)</formula>
    </cfRule>
  </conditionalFormatting>
  <conditionalFormatting sqref="BA11:BA29">
    <cfRule type="expression" dxfId="931" priority="562">
      <formula>AND($AQ11&gt;0,$AZ11="E")</formula>
    </cfRule>
    <cfRule type="expression" dxfId="930" priority="561" stopIfTrue="1">
      <formula>AND($AQ11&gt;0,$AZ11="L")</formula>
    </cfRule>
  </conditionalFormatting>
  <conditionalFormatting sqref="BB11:BB29">
    <cfRule type="expression" dxfId="929" priority="14">
      <formula>OR($AQ11&gt;0,)</formula>
    </cfRule>
  </conditionalFormatting>
  <conditionalFormatting sqref="BC11:BC29">
    <cfRule type="expression" dxfId="928" priority="564" stopIfTrue="1">
      <formula>AND($AQ11&gt;0,$BB11="E")</formula>
    </cfRule>
    <cfRule type="expression" dxfId="927" priority="563" stopIfTrue="1">
      <formula>AND($AQ11&gt;0,$BB11="L")</formula>
    </cfRule>
  </conditionalFormatting>
  <dataValidations count="2">
    <dataValidation type="list" allowBlank="1" showInputMessage="1" showErrorMessage="1" sqref="G46:H90" xr:uid="{B959E193-F64B-2646-AE0E-B939BAAB1791}">
      <formula1>$K$43:$V$43</formula1>
    </dataValidation>
    <dataValidation type="list" allowBlank="1" showInputMessage="1" showErrorMessage="1" sqref="H11:H29 Z11:Z29 AN11:AN29 AT11:AT29 AX11:AX29 AL11:AL29 X11:X29 AF11:AF29 AH11:AH29 AJ11:AJ29 V11:V29 L11:L29 R11:R29 T11:T29 BB11:BB29 J11:J29 F11:F29 AZ11:AZ29 D11:D29 AV11:AV29" xr:uid="{BB49B1B2-8215-E744-AB0B-F29E1E132C33}">
      <formula1>$N$11:$N$12</formula1>
    </dataValidation>
  </dataValidations>
  <pageMargins left="0.7" right="0.7" top="0.75" bottom="0.75" header="0.3" footer="0.3"/>
  <pageSetup paperSize="9" scale="43" fitToWidth="4" orientation="portrait" horizontalDpi="0" verticalDpi="0"/>
  <colBreaks count="3" manualBreakCount="3">
    <brk id="14" min="4" max="90" man="1"/>
    <brk id="28" min="4" max="90" man="1"/>
    <brk id="42" min="4" max="90" man="1"/>
  </col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GC139"/>
  <sheetViews>
    <sheetView topLeftCell="A8" zoomScale="83" zoomScaleNormal="100" workbookViewId="0">
      <selection activeCell="J23" sqref="J23"/>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1" hidden="1" customWidth="1"/>
    <col min="26" max="26" width="7" style="231"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8" hidden="1" customWidth="1"/>
    <col min="105" max="111" width="10.83203125" hidden="1" customWidth="1"/>
    <col min="112" max="112" width="28" hidden="1" customWidth="1"/>
    <col min="113" max="117" width="10.83203125" hidden="1" customWidth="1"/>
    <col min="118" max="118" width="31.1640625" hidden="1" customWidth="1"/>
    <col min="119" max="187" width="0" hidden="1" customWidth="1"/>
  </cols>
  <sheetData>
    <row r="1" spans="1:185" ht="16" customHeight="1">
      <c r="A1" s="357" t="e">
        <f>#REF!</f>
        <v>#REF!</v>
      </c>
      <c r="B1" s="90"/>
      <c r="C1" s="90"/>
      <c r="D1" s="90"/>
      <c r="E1" s="90"/>
      <c r="F1" s="90"/>
      <c r="G1" s="90"/>
      <c r="H1" s="279"/>
      <c r="I1" s="278"/>
      <c r="J1" s="90"/>
      <c r="K1" s="230"/>
      <c r="L1" s="230"/>
      <c r="M1" s="230"/>
      <c r="N1" s="230"/>
      <c r="O1" s="230"/>
      <c r="P1" s="90"/>
      <c r="Q1" s="90"/>
      <c r="R1" s="90"/>
      <c r="S1" s="90"/>
      <c r="T1" s="90"/>
      <c r="U1" s="90"/>
      <c r="V1" s="90"/>
      <c r="W1" s="90"/>
      <c r="Y1" s="246"/>
      <c r="Z1" s="90"/>
      <c r="AB1" s="90"/>
      <c r="AC1" s="90"/>
      <c r="AH1" s="90"/>
      <c r="AI1" s="90"/>
      <c r="CX1" s="248"/>
      <c r="CZ1"/>
    </row>
    <row r="2" spans="1:185" ht="128" customHeight="1">
      <c r="A2" s="921">
        <v>8</v>
      </c>
      <c r="B2" s="921"/>
      <c r="C2" s="921"/>
      <c r="D2" s="921"/>
      <c r="E2" s="813" t="s">
        <v>455</v>
      </c>
      <c r="F2" s="813"/>
      <c r="G2" s="813"/>
      <c r="H2" s="813"/>
      <c r="I2" s="813"/>
      <c r="J2" s="813"/>
      <c r="K2" s="813"/>
      <c r="L2" s="813"/>
      <c r="M2" s="813"/>
      <c r="N2" s="813"/>
      <c r="O2" s="813"/>
      <c r="P2" s="90"/>
      <c r="Q2" s="90"/>
      <c r="R2" s="90"/>
      <c r="S2" s="90"/>
      <c r="T2" s="90"/>
      <c r="U2" s="90"/>
      <c r="V2" s="90"/>
      <c r="W2" s="123" t="s">
        <v>31</v>
      </c>
      <c r="X2" s="90"/>
      <c r="Y2" s="246"/>
      <c r="Z2" s="90"/>
      <c r="AB2" s="90"/>
      <c r="AC2" s="90"/>
      <c r="AH2" s="90"/>
      <c r="AI2" s="90"/>
      <c r="CX2" s="248"/>
      <c r="CZ2"/>
    </row>
    <row r="3" spans="1:185" ht="87" customHeight="1" thickBot="1">
      <c r="A3" s="921"/>
      <c r="B3" s="921"/>
      <c r="C3" s="921"/>
      <c r="D3" s="921"/>
      <c r="E3" s="813" t="s">
        <v>743</v>
      </c>
      <c r="F3" s="813"/>
      <c r="G3" s="813"/>
      <c r="H3" s="813"/>
      <c r="I3" s="813"/>
      <c r="J3" s="813"/>
      <c r="K3" s="813"/>
      <c r="L3" s="813"/>
      <c r="M3" s="813"/>
      <c r="N3" s="813"/>
      <c r="O3" s="813"/>
      <c r="P3" s="90"/>
      <c r="Q3" s="90"/>
      <c r="R3" s="90"/>
      <c r="S3" s="90"/>
      <c r="T3" s="90"/>
      <c r="U3" s="90"/>
      <c r="V3" s="90"/>
      <c r="W3" s="123"/>
      <c r="X3" s="123"/>
      <c r="Y3" s="246"/>
      <c r="Z3" s="90"/>
      <c r="AB3" s="90"/>
      <c r="AC3" s="90"/>
      <c r="AH3" s="90"/>
      <c r="AI3" s="90"/>
      <c r="CX3" s="248"/>
      <c r="CZ3"/>
    </row>
    <row r="4" spans="1:185" ht="17" thickBot="1">
      <c r="A4" s="922" t="s">
        <v>310</v>
      </c>
      <c r="B4" s="923"/>
      <c r="C4" s="923"/>
      <c r="D4" s="923"/>
      <c r="E4" s="923"/>
      <c r="F4" s="923"/>
      <c r="G4" s="923"/>
      <c r="H4" s="923"/>
      <c r="I4" s="923"/>
      <c r="J4" s="923"/>
      <c r="K4" s="923"/>
      <c r="L4" s="923"/>
      <c r="M4" s="923"/>
      <c r="N4" s="923"/>
      <c r="O4" s="923"/>
      <c r="P4" s="923"/>
      <c r="Q4" s="923"/>
      <c r="R4" s="923"/>
      <c r="S4" s="923"/>
      <c r="T4" s="923"/>
      <c r="U4" s="923"/>
      <c r="V4" s="923"/>
      <c r="W4" s="923"/>
      <c r="X4" s="924"/>
      <c r="Y4"/>
      <c r="Z4" s="90"/>
      <c r="AA4" s="90"/>
      <c r="AE4" s="90"/>
      <c r="AF4" s="90"/>
      <c r="AG4" s="90"/>
      <c r="CV4" s="248"/>
      <c r="CW4" s="248"/>
      <c r="CY4"/>
      <c r="CZ4"/>
      <c r="FI4" s="878" t="s">
        <v>636</v>
      </c>
      <c r="FJ4" s="879"/>
      <c r="FK4" s="879"/>
      <c r="FL4" s="879"/>
      <c r="FM4" s="879"/>
      <c r="FN4" s="879"/>
      <c r="FO4" s="879"/>
      <c r="FP4" s="879"/>
      <c r="FQ4" s="879"/>
      <c r="FR4" s="879"/>
      <c r="FS4" s="879"/>
      <c r="FT4" s="879"/>
      <c r="FU4" s="879"/>
      <c r="FV4" s="879"/>
      <c r="FW4" s="879"/>
      <c r="FX4" s="879"/>
      <c r="FY4" s="879"/>
      <c r="FZ4" s="879"/>
      <c r="GA4" s="879"/>
      <c r="GB4" s="879"/>
      <c r="GC4" s="880"/>
    </row>
    <row r="5" spans="1:185" ht="254" thickBot="1">
      <c r="A5" s="915" t="s">
        <v>432</v>
      </c>
      <c r="B5" s="916"/>
      <c r="C5" s="916"/>
      <c r="D5" s="916"/>
      <c r="E5" s="920" t="s">
        <v>311</v>
      </c>
      <c r="F5" s="920"/>
      <c r="G5" s="920"/>
      <c r="H5" s="280" t="s">
        <v>414</v>
      </c>
      <c r="I5" s="438" t="s">
        <v>467</v>
      </c>
      <c r="J5" s="438" t="s">
        <v>468</v>
      </c>
      <c r="K5" s="931" t="s">
        <v>515</v>
      </c>
      <c r="L5" s="931"/>
      <c r="M5" s="486" t="s">
        <v>457</v>
      </c>
      <c r="N5" s="486" t="s">
        <v>433</v>
      </c>
      <c r="O5" s="486" t="s">
        <v>434</v>
      </c>
      <c r="P5" s="487" t="s">
        <v>458</v>
      </c>
      <c r="Q5" s="487" t="s">
        <v>309</v>
      </c>
      <c r="R5" s="487" t="s">
        <v>435</v>
      </c>
      <c r="S5" s="488" t="s">
        <v>465</v>
      </c>
      <c r="T5" s="488" t="s">
        <v>436</v>
      </c>
      <c r="U5" s="488" t="s">
        <v>437</v>
      </c>
      <c r="V5" s="489" t="s">
        <v>459</v>
      </c>
      <c r="W5" s="489" t="s">
        <v>400</v>
      </c>
      <c r="X5" s="490" t="s">
        <v>399</v>
      </c>
      <c r="Y5" s="246"/>
      <c r="Z5" s="90"/>
      <c r="AB5" s="90"/>
      <c r="AC5" s="90"/>
      <c r="AH5" s="90"/>
      <c r="AI5" s="90"/>
      <c r="CX5" s="248"/>
      <c r="CZ5"/>
      <c r="FI5" s="730" t="s">
        <v>634</v>
      </c>
      <c r="FJ5" s="730"/>
      <c r="FK5" s="730"/>
      <c r="FL5" s="730"/>
      <c r="FM5" t="s">
        <v>627</v>
      </c>
      <c r="FO5" s="730" t="s">
        <v>633</v>
      </c>
      <c r="FP5" s="730"/>
      <c r="FQ5" s="730"/>
      <c r="FR5" s="730"/>
    </row>
    <row r="6" spans="1:185" ht="26" customHeight="1" thickBot="1">
      <c r="A6" s="932" t="str">
        <f>""&amp;A8&amp;" måneds kalender for: "&amp;Stamoplysninger!E8&amp;". Måneden vedr. normperioden: "&amp;Stamoplysninger!E11&amp;" - "&amp;Stamoplysninger!G11&amp;"."</f>
        <v>August måneds kalender for: Beate Simonsen. Måneden vedr. normperioden: 01.08.2024 - 31.07.2025.</v>
      </c>
      <c r="B6" s="933"/>
      <c r="C6" s="933"/>
      <c r="D6" s="933"/>
      <c r="E6" s="933"/>
      <c r="F6" s="933"/>
      <c r="G6" s="933"/>
      <c r="H6" s="933"/>
      <c r="I6" s="933"/>
      <c r="J6" s="933"/>
      <c r="K6" s="933"/>
      <c r="L6" s="933"/>
      <c r="M6" s="933"/>
      <c r="N6" s="933"/>
      <c r="O6" s="933"/>
      <c r="P6" s="933"/>
      <c r="Q6" s="933"/>
      <c r="R6" s="933"/>
      <c r="S6" s="925" t="s">
        <v>306</v>
      </c>
      <c r="T6" s="926"/>
      <c r="U6" s="926"/>
      <c r="V6" s="926"/>
      <c r="W6" s="926"/>
      <c r="X6" s="927"/>
      <c r="Y6" s="246"/>
      <c r="Z6" s="90"/>
      <c r="AB6" s="90"/>
      <c r="AC6" s="90"/>
      <c r="AH6" s="90"/>
      <c r="AI6" s="90"/>
      <c r="CX6" s="248"/>
      <c r="CZ6"/>
      <c r="FI6" s="881" t="s">
        <v>620</v>
      </c>
      <c r="FJ6" s="881"/>
      <c r="FK6" s="881"/>
      <c r="FL6" s="881"/>
      <c r="FM6" s="881"/>
      <c r="FN6" s="881"/>
      <c r="FO6" s="881"/>
      <c r="FP6" s="881"/>
      <c r="FQ6" s="881"/>
      <c r="FR6" s="881"/>
      <c r="FU6" t="s">
        <v>635</v>
      </c>
      <c r="FV6" t="s">
        <v>628</v>
      </c>
      <c r="FX6" t="s">
        <v>629</v>
      </c>
      <c r="FZ6" t="s">
        <v>630</v>
      </c>
      <c r="GB6" s="526" t="s">
        <v>631</v>
      </c>
    </row>
    <row r="7" spans="1:185" ht="47" customHeight="1">
      <c r="A7" s="329">
        <v>2024</v>
      </c>
      <c r="B7" s="242"/>
      <c r="C7" s="243"/>
      <c r="D7" s="244"/>
      <c r="E7" s="940" t="s">
        <v>471</v>
      </c>
      <c r="F7" s="941"/>
      <c r="G7" s="942"/>
      <c r="H7" s="326" t="s">
        <v>324</v>
      </c>
      <c r="I7" s="888" t="s">
        <v>466</v>
      </c>
      <c r="J7" s="938" t="s">
        <v>487</v>
      </c>
      <c r="K7" s="934" t="s">
        <v>303</v>
      </c>
      <c r="L7" s="935"/>
      <c r="M7" s="327" t="s">
        <v>304</v>
      </c>
      <c r="N7" s="888" t="s">
        <v>447</v>
      </c>
      <c r="O7" s="888" t="s">
        <v>308</v>
      </c>
      <c r="P7" s="888" t="s">
        <v>456</v>
      </c>
      <c r="Q7" s="888" t="s">
        <v>387</v>
      </c>
      <c r="R7" s="891" t="s">
        <v>516</v>
      </c>
      <c r="S7" s="953" t="s">
        <v>305</v>
      </c>
      <c r="T7" s="954"/>
      <c r="U7" s="954"/>
      <c r="V7" s="954"/>
      <c r="W7" s="954"/>
      <c r="X7" s="955"/>
      <c r="Y7" s="212"/>
      <c r="Z7" s="212"/>
      <c r="AA7" s="890" t="s">
        <v>261</v>
      </c>
      <c r="AB7" s="890"/>
      <c r="AC7" s="890"/>
      <c r="AD7" s="890"/>
      <c r="AE7" s="890"/>
      <c r="AF7" s="209"/>
      <c r="AG7" s="890" t="s">
        <v>222</v>
      </c>
      <c r="AH7" s="890"/>
      <c r="AI7" s="890"/>
      <c r="AJ7" s="890"/>
      <c r="AK7" s="890"/>
      <c r="AL7" s="890" t="s">
        <v>223</v>
      </c>
      <c r="AM7" s="890"/>
      <c r="AN7" s="890"/>
      <c r="AO7" s="890"/>
      <c r="AP7" s="890"/>
      <c r="AQ7" s="890" t="s">
        <v>224</v>
      </c>
      <c r="AR7" s="890"/>
      <c r="AS7" s="890"/>
      <c r="AT7" s="890"/>
      <c r="AU7" s="890"/>
      <c r="AV7" s="890" t="s">
        <v>225</v>
      </c>
      <c r="AW7" s="890"/>
      <c r="AX7" s="890"/>
      <c r="AY7" s="890"/>
      <c r="AZ7" s="890"/>
      <c r="BA7" s="299"/>
      <c r="BB7" s="209"/>
      <c r="BC7" s="890" t="s">
        <v>264</v>
      </c>
      <c r="BD7" s="890"/>
      <c r="BE7" s="890"/>
      <c r="BF7" s="890"/>
      <c r="BG7" s="890" t="s">
        <v>227</v>
      </c>
      <c r="BH7" s="890"/>
      <c r="BI7" s="890"/>
      <c r="BJ7" s="890"/>
      <c r="BK7" s="890"/>
      <c r="BL7" s="890" t="s">
        <v>228</v>
      </c>
      <c r="BM7" s="890"/>
      <c r="BN7" s="890"/>
      <c r="BO7" s="890"/>
      <c r="BP7" s="890"/>
      <c r="BQ7" s="890" t="s">
        <v>229</v>
      </c>
      <c r="BR7" s="890"/>
      <c r="BS7" s="890"/>
      <c r="BT7" s="890"/>
      <c r="BU7" s="890"/>
      <c r="BV7" s="890" t="s">
        <v>230</v>
      </c>
      <c r="BW7" s="890"/>
      <c r="BX7" s="890"/>
      <c r="BY7" s="890"/>
      <c r="BZ7" s="890"/>
      <c r="CD7" s="890" t="s">
        <v>265</v>
      </c>
      <c r="CE7" s="890"/>
      <c r="CF7" s="890"/>
      <c r="CG7" s="890"/>
      <c r="CH7" s="890"/>
      <c r="CI7" s="890" t="s">
        <v>267</v>
      </c>
      <c r="CJ7" s="890"/>
      <c r="CK7" s="890"/>
      <c r="CL7" s="890"/>
      <c r="CM7" s="890"/>
      <c r="CN7" s="890" t="s">
        <v>266</v>
      </c>
      <c r="CO7" s="890"/>
      <c r="CP7" s="890"/>
      <c r="CQ7" s="890"/>
      <c r="CR7" s="890"/>
      <c r="CS7" s="890" t="s">
        <v>268</v>
      </c>
      <c r="CT7" s="890"/>
      <c r="CU7" s="890"/>
      <c r="CV7" s="890"/>
      <c r="CW7" s="890"/>
      <c r="CX7" s="248"/>
      <c r="CZ7"/>
      <c r="DA7" s="730" t="s">
        <v>212</v>
      </c>
      <c r="DB7" s="730"/>
      <c r="DC7" s="730"/>
      <c r="DD7" s="730"/>
      <c r="DE7" s="730"/>
      <c r="DO7" s="1049" t="s">
        <v>320</v>
      </c>
      <c r="DP7" s="1050"/>
      <c r="DQ7" s="1050"/>
      <c r="DR7" s="1050"/>
      <c r="DS7" s="1050"/>
      <c r="DT7" s="1050"/>
      <c r="DU7" s="1050"/>
      <c r="DV7" s="1051"/>
      <c r="DW7" s="1052" t="s">
        <v>320</v>
      </c>
      <c r="DX7" s="1053"/>
      <c r="DY7" s="1053"/>
      <c r="DZ7" s="1053"/>
      <c r="EA7" s="1053"/>
      <c r="EB7" s="1054"/>
      <c r="EC7" s="1055" t="s">
        <v>376</v>
      </c>
      <c r="ED7" s="1056"/>
      <c r="EE7" s="1056"/>
      <c r="EF7" s="1056"/>
      <c r="EG7" s="1056"/>
      <c r="EH7" s="1056"/>
      <c r="EI7" s="1056"/>
      <c r="EJ7" s="1057"/>
      <c r="EK7" s="1058" t="s">
        <v>321</v>
      </c>
      <c r="EL7" s="1059"/>
      <c r="EM7" s="1059"/>
      <c r="EN7" s="1060"/>
      <c r="EO7" s="1058" t="s">
        <v>325</v>
      </c>
      <c r="EP7" s="1059"/>
      <c r="EQ7" s="1059"/>
      <c r="ER7" s="1060"/>
      <c r="ES7" s="873" t="s">
        <v>379</v>
      </c>
      <c r="ET7" s="874"/>
      <c r="EU7" s="874"/>
      <c r="EV7" s="875"/>
      <c r="EW7" s="873" t="s">
        <v>380</v>
      </c>
      <c r="EX7" s="874"/>
      <c r="EY7" s="874"/>
      <c r="EZ7" s="875"/>
      <c r="FA7" s="873" t="s">
        <v>381</v>
      </c>
      <c r="FB7" s="874"/>
      <c r="FC7" s="874"/>
      <c r="FD7" s="875"/>
      <c r="FE7" s="873" t="s">
        <v>382</v>
      </c>
      <c r="FF7" s="874"/>
      <c r="FG7" s="874"/>
      <c r="FH7" s="875"/>
      <c r="FI7" s="883" t="s">
        <v>605</v>
      </c>
      <c r="FJ7" s="884"/>
      <c r="FK7" s="884"/>
      <c r="FL7" s="1061"/>
      <c r="FM7" s="882" t="s">
        <v>381</v>
      </c>
      <c r="FN7" s="882"/>
      <c r="FO7" s="883" t="s">
        <v>632</v>
      </c>
      <c r="FP7" s="884"/>
      <c r="FQ7" s="884"/>
      <c r="FR7" s="885"/>
      <c r="FS7" s="886" t="s">
        <v>622</v>
      </c>
      <c r="FT7" s="887"/>
      <c r="FU7" t="s">
        <v>625</v>
      </c>
      <c r="FV7" s="882" t="s">
        <v>379</v>
      </c>
      <c r="FW7" s="882"/>
      <c r="FX7" s="882" t="s">
        <v>380</v>
      </c>
      <c r="FY7" s="882"/>
      <c r="FZ7" s="882" t="s">
        <v>382</v>
      </c>
      <c r="GA7" s="882"/>
      <c r="GB7" s="882" t="s">
        <v>378</v>
      </c>
      <c r="GC7" s="882"/>
    </row>
    <row r="8" spans="1:185" ht="178" customHeight="1">
      <c r="A8" s="997" t="s">
        <v>234</v>
      </c>
      <c r="B8" s="998"/>
      <c r="C8" s="998"/>
      <c r="D8" s="999"/>
      <c r="E8" s="943"/>
      <c r="F8" s="944"/>
      <c r="G8" s="945"/>
      <c r="H8" s="952" t="s">
        <v>486</v>
      </c>
      <c r="I8" s="937"/>
      <c r="J8" s="939"/>
      <c r="K8" s="328" t="s">
        <v>517</v>
      </c>
      <c r="L8" s="328" t="s">
        <v>518</v>
      </c>
      <c r="M8" s="328" t="s">
        <v>519</v>
      </c>
      <c r="N8" s="889"/>
      <c r="O8" s="889"/>
      <c r="P8" s="889"/>
      <c r="Q8" s="889"/>
      <c r="R8" s="892"/>
      <c r="S8" s="492" t="s">
        <v>738</v>
      </c>
      <c r="T8" s="327" t="s">
        <v>307</v>
      </c>
      <c r="U8" s="327" t="s">
        <v>401</v>
      </c>
      <c r="V8" s="443" t="s">
        <v>439</v>
      </c>
      <c r="W8" s="443" t="s">
        <v>438</v>
      </c>
      <c r="X8" s="444" t="s">
        <v>398</v>
      </c>
      <c r="Y8" s="212" t="s">
        <v>279</v>
      </c>
      <c r="Z8" s="212" t="s">
        <v>280</v>
      </c>
      <c r="AA8" s="300" t="s">
        <v>211</v>
      </c>
      <c r="AB8" t="s">
        <v>136</v>
      </c>
      <c r="AC8" t="s">
        <v>139</v>
      </c>
      <c r="AD8" t="s">
        <v>138</v>
      </c>
      <c r="AE8" t="s">
        <v>137</v>
      </c>
      <c r="AF8" t="s">
        <v>416</v>
      </c>
      <c r="AG8" t="s">
        <v>34</v>
      </c>
      <c r="AH8" t="s">
        <v>35</v>
      </c>
      <c r="AI8" t="s">
        <v>36</v>
      </c>
      <c r="AJ8" t="s">
        <v>37</v>
      </c>
      <c r="AK8" t="s">
        <v>38</v>
      </c>
      <c r="AL8" t="s">
        <v>34</v>
      </c>
      <c r="AM8" t="s">
        <v>35</v>
      </c>
      <c r="AN8" t="s">
        <v>36</v>
      </c>
      <c r="AO8" t="s">
        <v>37</v>
      </c>
      <c r="AP8" t="s">
        <v>38</v>
      </c>
      <c r="AQ8" t="s">
        <v>34</v>
      </c>
      <c r="AR8" t="s">
        <v>35</v>
      </c>
      <c r="AS8" t="s">
        <v>36</v>
      </c>
      <c r="AT8" t="s">
        <v>37</v>
      </c>
      <c r="AU8" t="s">
        <v>38</v>
      </c>
      <c r="AV8" t="s">
        <v>34</v>
      </c>
      <c r="AW8" t="s">
        <v>35</v>
      </c>
      <c r="AX8" t="s">
        <v>36</v>
      </c>
      <c r="AY8" t="s">
        <v>37</v>
      </c>
      <c r="AZ8" t="s">
        <v>38</v>
      </c>
      <c r="BA8" t="s">
        <v>226</v>
      </c>
      <c r="BB8" s="228" t="s">
        <v>213</v>
      </c>
      <c r="BC8" t="s">
        <v>263</v>
      </c>
      <c r="BD8" t="s">
        <v>262</v>
      </c>
      <c r="BE8" t="s">
        <v>248</v>
      </c>
      <c r="BF8" t="s">
        <v>249</v>
      </c>
      <c r="BG8" t="s">
        <v>34</v>
      </c>
      <c r="BH8" t="s">
        <v>35</v>
      </c>
      <c r="BI8" t="s">
        <v>36</v>
      </c>
      <c r="BJ8" t="s">
        <v>37</v>
      </c>
      <c r="BK8" t="s">
        <v>38</v>
      </c>
      <c r="BL8" t="s">
        <v>34</v>
      </c>
      <c r="BM8" t="s">
        <v>35</v>
      </c>
      <c r="BN8" t="s">
        <v>36</v>
      </c>
      <c r="BO8" t="s">
        <v>37</v>
      </c>
      <c r="BP8" t="s">
        <v>38</v>
      </c>
      <c r="BQ8" t="s">
        <v>34</v>
      </c>
      <c r="BR8" t="s">
        <v>35</v>
      </c>
      <c r="BS8" t="s">
        <v>36</v>
      </c>
      <c r="BT8" t="s">
        <v>37</v>
      </c>
      <c r="BU8" t="s">
        <v>38</v>
      </c>
      <c r="BV8" t="s">
        <v>34</v>
      </c>
      <c r="BW8" t="s">
        <v>35</v>
      </c>
      <c r="BX8" t="s">
        <v>36</v>
      </c>
      <c r="BY8" t="s">
        <v>37</v>
      </c>
      <c r="BZ8" t="s">
        <v>38</v>
      </c>
      <c r="CA8" s="112" t="s">
        <v>231</v>
      </c>
      <c r="CB8" s="234" t="s">
        <v>251</v>
      </c>
      <c r="CC8" s="300" t="s">
        <v>252</v>
      </c>
      <c r="CD8" t="s">
        <v>34</v>
      </c>
      <c r="CE8" t="s">
        <v>35</v>
      </c>
      <c r="CF8" t="s">
        <v>36</v>
      </c>
      <c r="CG8" t="s">
        <v>37</v>
      </c>
      <c r="CH8" t="s">
        <v>38</v>
      </c>
      <c r="CI8" t="s">
        <v>34</v>
      </c>
      <c r="CJ8" t="s">
        <v>35</v>
      </c>
      <c r="CK8" t="s">
        <v>36</v>
      </c>
      <c r="CL8" t="s">
        <v>37</v>
      </c>
      <c r="CM8" t="s">
        <v>38</v>
      </c>
      <c r="CN8" t="s">
        <v>34</v>
      </c>
      <c r="CO8" t="s">
        <v>35</v>
      </c>
      <c r="CP8" t="s">
        <v>36</v>
      </c>
      <c r="CQ8" t="s">
        <v>37</v>
      </c>
      <c r="CR8" t="s">
        <v>38</v>
      </c>
      <c r="CS8" t="s">
        <v>34</v>
      </c>
      <c r="CT8" t="s">
        <v>35</v>
      </c>
      <c r="CU8" t="s">
        <v>36</v>
      </c>
      <c r="CV8" t="s">
        <v>37</v>
      </c>
      <c r="CW8" t="s">
        <v>38</v>
      </c>
      <c r="CX8" s="248" t="s">
        <v>277</v>
      </c>
      <c r="CY8" s="248" t="s">
        <v>269</v>
      </c>
      <c r="CZ8" s="248" t="s">
        <v>270</v>
      </c>
      <c r="DA8" s="248" t="s">
        <v>271</v>
      </c>
      <c r="DB8" s="248" t="s">
        <v>272</v>
      </c>
      <c r="DC8" s="248" t="s">
        <v>273</v>
      </c>
      <c r="DD8" s="248" t="s">
        <v>274</v>
      </c>
      <c r="DE8" s="248" t="s">
        <v>275</v>
      </c>
      <c r="DF8" s="248" t="s">
        <v>276</v>
      </c>
      <c r="DG8" s="248"/>
      <c r="DO8" s="649" t="s">
        <v>720</v>
      </c>
      <c r="DP8" s="300" t="s">
        <v>721</v>
      </c>
      <c r="DQ8" s="703" t="s">
        <v>725</v>
      </c>
      <c r="DR8" s="703" t="s">
        <v>722</v>
      </c>
      <c r="DS8" s="650" t="s">
        <v>727</v>
      </c>
      <c r="DT8" s="650" t="str">
        <f>DP8</f>
        <v>Ulempetillæg på weekenddage - kræver der er sat kryds i weekendarbejde. KOLONNE I</v>
      </c>
      <c r="DU8" s="705" t="s">
        <v>728</v>
      </c>
      <c r="DV8" s="704" t="str">
        <f>DR8</f>
        <v>Ulempetillæg ændringer på weekenddage. Kræver der er sat kryds i ændring i timetal og at det er en weekeend. KOLONNE I OG S</v>
      </c>
      <c r="DW8" s="649" t="s">
        <v>598</v>
      </c>
      <c r="DX8" s="300" t="s">
        <v>596</v>
      </c>
      <c r="DY8" s="300" t="s">
        <v>597</v>
      </c>
      <c r="DZ8" s="650" t="str">
        <f>DW8</f>
        <v>17-06 timer til udbetaling inkl. ændringer 17-06</v>
      </c>
      <c r="EA8" s="650" t="str">
        <f>DX8</f>
        <v>Ulempetillæg på weekenddage</v>
      </c>
      <c r="EB8" s="651" t="str">
        <f>DY8</f>
        <v>Ulempetillæg ændringer på weekenddage</v>
      </c>
      <c r="EC8" s="706" t="s">
        <v>723</v>
      </c>
      <c r="ED8" s="703" t="s">
        <v>724</v>
      </c>
      <c r="EE8" s="703" t="s">
        <v>726</v>
      </c>
      <c r="EF8" s="703" t="s">
        <v>722</v>
      </c>
      <c r="EG8" s="650" t="s">
        <v>727</v>
      </c>
      <c r="EH8" s="705" t="str">
        <f>ED8</f>
        <v>Ulempetillæg på weekenddage til afspadsering. Kræver der er sat kryds i weekendarb. KOLONNE I</v>
      </c>
      <c r="EI8" s="705" t="s">
        <v>728</v>
      </c>
      <c r="EJ8" s="704" t="str">
        <f>EF8</f>
        <v>Ulempetillæg ændringer på weekenddage. Kræver der er sat kryds i ændring i timetal og at det er en weekeend. KOLONNE I OG S</v>
      </c>
      <c r="EK8" s="656" t="s">
        <v>730</v>
      </c>
      <c r="EL8" s="654" t="s">
        <v>729</v>
      </c>
      <c r="EM8" s="655" t="s">
        <v>733</v>
      </c>
      <c r="EN8" s="657" t="s">
        <v>732</v>
      </c>
      <c r="EO8" s="656" t="s">
        <v>730</v>
      </c>
      <c r="EP8" s="654" t="s">
        <v>729</v>
      </c>
      <c r="EQ8" s="655" t="s">
        <v>733</v>
      </c>
      <c r="ER8" s="657" t="s">
        <v>732</v>
      </c>
      <c r="ES8" s="656" t="s">
        <v>734</v>
      </c>
      <c r="ET8" s="654" t="s">
        <v>735</v>
      </c>
      <c r="EU8" s="655" t="s">
        <v>731</v>
      </c>
      <c r="EV8" s="657" t="s">
        <v>736</v>
      </c>
      <c r="EW8" s="656" t="s">
        <v>734</v>
      </c>
      <c r="EX8" s="654" t="s">
        <v>735</v>
      </c>
      <c r="EY8" s="655" t="s">
        <v>731</v>
      </c>
      <c r="EZ8" s="657" t="s">
        <v>736</v>
      </c>
      <c r="FA8" s="656" t="s">
        <v>737</v>
      </c>
      <c r="FB8" s="654" t="s">
        <v>735</v>
      </c>
      <c r="FC8" s="655" t="s">
        <v>731</v>
      </c>
      <c r="FD8" s="657" t="s">
        <v>736</v>
      </c>
      <c r="FE8" s="656" t="str">
        <f>FA8</f>
        <v>Weekendtimer på weekenddage</v>
      </c>
      <c r="FF8" s="654" t="s">
        <v>735</v>
      </c>
      <c r="FG8" s="655" t="s">
        <v>731</v>
      </c>
      <c r="FH8" s="657" t="s">
        <v>736</v>
      </c>
      <c r="FI8" s="682" t="s">
        <v>619</v>
      </c>
      <c r="FJ8" s="654" t="s">
        <v>600</v>
      </c>
      <c r="FK8" s="682" t="s">
        <v>619</v>
      </c>
      <c r="FL8" s="657" t="s">
        <v>600</v>
      </c>
      <c r="FM8" s="683" t="s">
        <v>613</v>
      </c>
      <c r="FN8" s="684" t="s">
        <v>614</v>
      </c>
      <c r="FO8" s="682" t="s">
        <v>599</v>
      </c>
      <c r="FP8" s="654" t="s">
        <v>600</v>
      </c>
      <c r="FQ8" s="686" t="s">
        <v>599</v>
      </c>
      <c r="FR8" s="687" t="s">
        <v>600</v>
      </c>
      <c r="FS8" s="691" t="s">
        <v>621</v>
      </c>
      <c r="FT8" s="684" t="s">
        <v>621</v>
      </c>
      <c r="FU8" s="300" t="s">
        <v>624</v>
      </c>
      <c r="FV8" s="683" t="s">
        <v>626</v>
      </c>
      <c r="FW8" s="683" t="s">
        <v>626</v>
      </c>
      <c r="FX8" s="683" t="s">
        <v>626</v>
      </c>
      <c r="FY8" s="683" t="s">
        <v>626</v>
      </c>
      <c r="FZ8" s="683" t="s">
        <v>615</v>
      </c>
      <c r="GA8" s="684" t="s">
        <v>616</v>
      </c>
      <c r="GB8" s="683" t="s">
        <v>615</v>
      </c>
      <c r="GC8" s="684" t="s">
        <v>616</v>
      </c>
    </row>
    <row r="9" spans="1:185" ht="20" customHeight="1">
      <c r="A9" s="1000"/>
      <c r="B9" s="1001"/>
      <c r="C9" s="1001"/>
      <c r="D9" s="1002"/>
      <c r="E9" s="946"/>
      <c r="F9" s="947"/>
      <c r="G9" s="948"/>
      <c r="H9" s="889"/>
      <c r="I9" s="928" t="s">
        <v>383</v>
      </c>
      <c r="J9" s="936"/>
      <c r="K9" s="928" t="s">
        <v>326</v>
      </c>
      <c r="L9" s="929"/>
      <c r="M9" s="929"/>
      <c r="N9" s="929"/>
      <c r="O9" s="929"/>
      <c r="P9" s="929"/>
      <c r="Q9" s="929"/>
      <c r="R9" s="929"/>
      <c r="S9" s="956" t="s">
        <v>383</v>
      </c>
      <c r="T9" s="929"/>
      <c r="U9" s="936"/>
      <c r="V9" s="928" t="s">
        <v>384</v>
      </c>
      <c r="W9" s="929"/>
      <c r="X9" s="930"/>
      <c r="Y9" s="212"/>
      <c r="Z9" s="212"/>
      <c r="AA9" s="300"/>
      <c r="BB9" s="228"/>
      <c r="CA9" s="112"/>
      <c r="CB9" s="234"/>
      <c r="CC9" s="300"/>
      <c r="CX9" s="248"/>
      <c r="DA9" s="248"/>
      <c r="DB9" s="248"/>
      <c r="DC9" s="248"/>
      <c r="DD9" s="248"/>
      <c r="DE9" s="248"/>
      <c r="DF9" s="248"/>
      <c r="DG9" s="248"/>
      <c r="DH9" t="s">
        <v>493</v>
      </c>
      <c r="DI9" t="s">
        <v>494</v>
      </c>
      <c r="DJ9" t="s">
        <v>495</v>
      </c>
      <c r="DO9" s="652"/>
      <c r="DS9" s="1063" t="s">
        <v>162</v>
      </c>
      <c r="DT9" s="1063"/>
      <c r="DU9" s="1063"/>
      <c r="DV9" s="1064"/>
      <c r="DW9" s="652"/>
      <c r="DZ9" s="1065" t="s">
        <v>162</v>
      </c>
      <c r="EA9" s="1065"/>
      <c r="EB9" s="1066"/>
      <c r="EG9" s="1065" t="s">
        <v>162</v>
      </c>
      <c r="EH9" s="1065"/>
      <c r="EI9" s="1065"/>
      <c r="EJ9" s="653"/>
      <c r="EK9" s="283"/>
      <c r="EL9" s="251"/>
      <c r="EM9" s="876" t="s">
        <v>162</v>
      </c>
      <c r="EN9" s="877"/>
      <c r="EO9" s="283"/>
      <c r="EP9" s="251"/>
      <c r="EQ9" s="876" t="s">
        <v>162</v>
      </c>
      <c r="ER9" s="877"/>
      <c r="ES9" s="283"/>
      <c r="ET9" s="251"/>
      <c r="EU9" s="876" t="s">
        <v>162</v>
      </c>
      <c r="EV9" s="877"/>
      <c r="EW9" s="283"/>
      <c r="EX9" s="251"/>
      <c r="EY9" s="876" t="s">
        <v>162</v>
      </c>
      <c r="EZ9" s="877"/>
      <c r="FA9" s="283"/>
      <c r="FB9" s="251"/>
      <c r="FC9" s="876" t="s">
        <v>162</v>
      </c>
      <c r="FD9" s="877"/>
      <c r="FE9" s="283"/>
      <c r="FF9" s="251"/>
      <c r="FG9" s="876" t="s">
        <v>162</v>
      </c>
      <c r="FH9" s="877"/>
      <c r="FI9" s="283"/>
      <c r="FJ9" s="251"/>
      <c r="FK9" s="876" t="s">
        <v>162</v>
      </c>
      <c r="FL9" s="877"/>
      <c r="FN9" s="645" t="s">
        <v>160</v>
      </c>
      <c r="FO9" s="283"/>
      <c r="FP9" s="251"/>
      <c r="FQ9" s="876" t="s">
        <v>162</v>
      </c>
      <c r="FR9" s="1062"/>
      <c r="FS9" s="283"/>
      <c r="FT9" s="692" t="s">
        <v>160</v>
      </c>
      <c r="FW9" s="645" t="s">
        <v>160</v>
      </c>
      <c r="FY9" s="645" t="s">
        <v>160</v>
      </c>
      <c r="GA9" s="645" t="s">
        <v>160</v>
      </c>
      <c r="GC9" s="645" t="s">
        <v>160</v>
      </c>
    </row>
    <row r="10" spans="1:185">
      <c r="A10" s="245">
        <f>IF(ISNUMBER(A8),A8+1,1)</f>
        <v>1</v>
      </c>
      <c r="B10" s="128" t="str">
        <f t="shared" ref="B10:B40" si="0">CHOOSE(MOD(WEEKDAY(DATE(A$7,A$2,A10)),7)+1,"lø","sø","ma","ti","on","to","fr",)</f>
        <v>to</v>
      </c>
      <c r="C10" s="129" t="s">
        <v>210</v>
      </c>
      <c r="D10" s="130" t="str">
        <f t="shared" ref="D10:D40" si="1">IF(B10="ma",(DATE(A$7,A$2,A10)-DATE(A$7,1,1)+7)/7,"")</f>
        <v/>
      </c>
      <c r="E10" s="917" t="s">
        <v>113</v>
      </c>
      <c r="F10" s="918"/>
      <c r="G10" s="919"/>
      <c r="H10" s="298"/>
      <c r="I10" s="527"/>
      <c r="J10" s="413"/>
      <c r="K10" s="380"/>
      <c r="L10" s="380"/>
      <c r="M10" s="380"/>
      <c r="N10" s="318">
        <f>BA10</f>
        <v>0</v>
      </c>
      <c r="O10" s="318">
        <f>CA10</f>
        <v>0</v>
      </c>
      <c r="P10" s="318">
        <f>IF(Stamoplysninger!$H$29="JA",August!DG10,CX10)</f>
        <v>0</v>
      </c>
      <c r="Q10" s="318">
        <f>IF(OR(C10="Lejrskole",C10="Ekskursion"),0,N10-O10-P10)</f>
        <v>0</v>
      </c>
      <c r="R10" s="412"/>
      <c r="S10" s="324"/>
      <c r="T10" s="325"/>
      <c r="U10" s="325"/>
      <c r="V10" s="435"/>
      <c r="W10" s="412"/>
      <c r="X10" s="642"/>
      <c r="Y10">
        <f>IF($S$10="x",V10-N10,0)</f>
        <v>0</v>
      </c>
      <c r="Z10">
        <f t="shared" ref="Z10:Z40" si="2">IF(T10="x",W10-O10,0)</f>
        <v>0</v>
      </c>
      <c r="AA10" s="1">
        <f t="shared" ref="AA10:AA40" si="3">IF(C10="emnedag",K10,0)</f>
        <v>0</v>
      </c>
      <c r="AB10" s="1">
        <f t="shared" ref="AB10:AB40" si="4">IF(C10="fagdag",K10,0)</f>
        <v>0</v>
      </c>
      <c r="AC10" s="1">
        <f t="shared" ref="AC10:AC40" si="5">IF(C10="Pæd.dag",K10,0)</f>
        <v>0</v>
      </c>
      <c r="AD10" s="1">
        <f t="shared" ref="AD10:AD40" si="6">IF(C10="Ekskursion",K10,0)</f>
        <v>0</v>
      </c>
      <c r="AE10" s="1">
        <f t="shared" ref="AE10:AE40" si="7">IF(C10="Lejrskole",K10,0)</f>
        <v>0</v>
      </c>
      <c r="AF10" s="1">
        <f>IF(C10="Orlov",Stamoplysninger!$E$15*7.4,0)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40" si="8">SUM(AA10:AZ10)</f>
        <v>0</v>
      </c>
      <c r="BB10" s="229">
        <f t="shared" ref="BB10:BB40" si="9">SUM(AG10:AK10)*24</f>
        <v>0</v>
      </c>
      <c r="BC10" s="1">
        <f>IF($C$10="Lejrskole",$L$10,0)</f>
        <v>0</v>
      </c>
      <c r="BD10" s="1">
        <f t="shared" ref="BD10:BD40" si="10">IF(C10="Ekskursion",L10,0)</f>
        <v>0</v>
      </c>
      <c r="BE10" s="1">
        <f t="shared" ref="BE10:BE40" si="11">IF(C10="fagdag",L10,0)</f>
        <v>0</v>
      </c>
      <c r="BF10" s="1">
        <f t="shared" ref="BF10:BF40" si="12">IF(C10="emnedag",L10,0)</f>
        <v>0</v>
      </c>
      <c r="BG10" s="210" t="str">
        <f>IF(AND(C10="Skema 1",B10="ma"),Skemaoplysninger!$E$30,"")</f>
        <v/>
      </c>
      <c r="BH10" s="210" t="str">
        <f>IF(AND(C10="Skema 1",B10="ti"),Skemaoplysninger!$G$30,"")</f>
        <v/>
      </c>
      <c r="BI10" s="210" t="str">
        <f>IF(AND(C10="Skema 1",B10="on"),Skemaoplysninger!$I$30,"")</f>
        <v/>
      </c>
      <c r="BJ10" s="210" t="str">
        <f>IF(AND(C10="Skema 1",B10="to"),Skemaoplysninger!$K$30,"")</f>
        <v/>
      </c>
      <c r="BK10" s="210" t="str">
        <f>IF(AND(C10="Skema 1",B10="fr"),Skemaoplysninger!$M$30,"")</f>
        <v/>
      </c>
      <c r="BL10" s="210" t="str">
        <f>IF(AND(C10="Skema 2",B10="ma"),Skemaoplysninger!$S$30,"")</f>
        <v/>
      </c>
      <c r="BM10" s="210" t="str">
        <f>IF(AND(C10="Skema 2",B10="ti"),Skemaoplysninger!$U$30,"")</f>
        <v/>
      </c>
      <c r="BN10" s="210" t="str">
        <f>IF(AND(C10="Skema 2",B10="on"),Skemaoplysninger!$W$30,"")</f>
        <v/>
      </c>
      <c r="BO10" s="210" t="str">
        <f>IF(AND(C10="Skema 2",B10="to"),Skemaoplysninger!$Y$30,"")</f>
        <v/>
      </c>
      <c r="BP10" s="210" t="str">
        <f>IF(AND(C10="Skema 2",B10="fr"),Skemaoplysninger!$AA$30,"")</f>
        <v/>
      </c>
      <c r="BQ10" s="210" t="str">
        <f>IF(AND(C10="Skema 3",B10="ma"),Skemaoplysninger!$AG$30,"")</f>
        <v/>
      </c>
      <c r="BR10" s="210" t="str">
        <f>IF(AND(C10="Skema 3",B10="ti"),Skemaoplysninger!$AI$30,"")</f>
        <v/>
      </c>
      <c r="BS10" s="210" t="str">
        <f>IF(AND(C10="Skema 3",B10="on"),Skemaoplysninger!$AK$30,"")</f>
        <v/>
      </c>
      <c r="BT10" s="210" t="str">
        <f>IF(AND(C10="Skema 3",B10="to"),Skemaoplysninger!$AM$30,"")</f>
        <v/>
      </c>
      <c r="BU10" s="210" t="str">
        <f>IF(AND(C10="Skema 3",B10="fr"),Skemaoplysninger!$AO$30,"")</f>
        <v/>
      </c>
      <c r="BV10" s="210" t="str">
        <f>IF(AND(C10="Skema 4",B10="ma"),Skemaoplysninger!$AU$30,"")</f>
        <v/>
      </c>
      <c r="BW10" s="210" t="str">
        <f>IF(AND(C10="Skema 4",B10="ti"),Skemaoplysninger!$AW$30,"")</f>
        <v/>
      </c>
      <c r="BX10" s="210" t="str">
        <f>IF(AND(C10="Skema 4",B10="on"),Skemaoplysninger!$AY$30,"")</f>
        <v/>
      </c>
      <c r="BY10" s="210" t="str">
        <f>IF(AND(C10="Skema 4",B10="to"),Skemaoplysninger!$BA$30,"")</f>
        <v/>
      </c>
      <c r="BZ10" s="210" t="str">
        <f>IF(AND(C10="Skema 4",B10="fr"),Skemaoplysninger!$BC$30,"")</f>
        <v/>
      </c>
      <c r="CA10" s="1">
        <f>SUM(BG10:BZ10)*24+SUM(BC10:BF10)</f>
        <v>0</v>
      </c>
      <c r="CB10" s="1">
        <f t="shared" ref="CB10:CB40" si="13">IF(C10="fagdag",M10,0)</f>
        <v>0</v>
      </c>
      <c r="CC10" s="1">
        <f t="shared" ref="CC10:CC40" si="14">IF(C10="emnedag",M10,0)</f>
        <v>0</v>
      </c>
      <c r="CD10" s="210" t="str">
        <f>IF(AND(C10="Skema 1",B10="ma"),Skemaoplysninger!$E$31,"")</f>
        <v/>
      </c>
      <c r="CE10" s="210" t="str">
        <f>IF(AND(C10="Skema 1",B10="ti"),Skemaoplysninger!$G$31,"")</f>
        <v/>
      </c>
      <c r="CF10" s="210" t="str">
        <f>IF(AND(C10="Skema 1",B10="on"),Skemaoplysninger!$I$31,"")</f>
        <v/>
      </c>
      <c r="CG10" s="210" t="str">
        <f>IF(AND(C10="Skema 1",B10="to"),Skemaoplysninger!$K$31,"")</f>
        <v/>
      </c>
      <c r="CH10" s="210" t="str">
        <f>IF(AND(C10="Skema 1",B10="fr"),Skemaoplysninger!$M$31,"")</f>
        <v/>
      </c>
      <c r="CI10" s="210" t="str">
        <f>IF(AND(C10="Skema 2",B10="ma"),Skemaoplysninger!$S$31,"")</f>
        <v/>
      </c>
      <c r="CJ10" s="210" t="str">
        <f>IF(AND(C10="Skema 2",B10="ti"),Skemaoplysninger!$U$31,"")</f>
        <v/>
      </c>
      <c r="CK10" s="210" t="str">
        <f>IF(AND(C10="Skema 2",B10="on"),Skemaoplysninger!$W$31,"")</f>
        <v/>
      </c>
      <c r="CL10" s="210" t="str">
        <f>IF(AND(C10="Skema 2",B10="to"),Skemaoplysninger!$Y$31,"")</f>
        <v/>
      </c>
      <c r="CM10" s="210" t="str">
        <f>IF(AND(C10="Skema 2",B10="fr"),Skemaoplysninger!$AA$31,"")</f>
        <v/>
      </c>
      <c r="CN10" s="210" t="str">
        <f>IF(AND(C10="Skema 3",B10="ma"),Skemaoplysninger!$AG$31,"")</f>
        <v/>
      </c>
      <c r="CO10" s="210" t="str">
        <f>IF(AND(C10="Skema 3",B10="ti"),Skemaoplysninger!$AI$31,"")</f>
        <v/>
      </c>
      <c r="CP10" s="210" t="str">
        <f>IF(AND(C10="Skema 3",B10="on"),Skemaoplysninger!$AK$31,"")</f>
        <v/>
      </c>
      <c r="CQ10" s="210" t="str">
        <f>IF(AND(C10="Skema 3",B10="to"),Skemaoplysninger!$AM$31,"")</f>
        <v/>
      </c>
      <c r="CR10" s="210" t="str">
        <f>IF(AND(C10="Skema 3",B10="fr"),Skemaoplysninger!$AO$31,"")</f>
        <v/>
      </c>
      <c r="CS10" s="210" t="str">
        <f>IF(AND(C10="Skema 4",B10="ma"),Skemaoplysninger!$AU$31,"")</f>
        <v/>
      </c>
      <c r="CT10" s="210" t="str">
        <f>IF(AND(C10="Skema 4",B10="ti"),Skemaoplysninger!$AW$31,"")</f>
        <v/>
      </c>
      <c r="CU10" s="210" t="str">
        <f>IF(AND(C10="Skema 4",B10="on"),Skemaoplysninger!$AY$31,"")</f>
        <v/>
      </c>
      <c r="CV10" s="210" t="str">
        <f>IF(AND(C10="Skema 4",B10="to"),Skemaoplysninger!$BA$31,"")</f>
        <v/>
      </c>
      <c r="CW10" s="210" t="str">
        <f>IF(AND(C10="Skema 4",B10="fr"),Skemaoplysninger!$BC$31,"")</f>
        <v/>
      </c>
      <c r="CX10" s="249">
        <f>IF(Stamoplysninger!$H$29="NEJ",SUM(CD10:CW10)*24+CB10+CC10,0)</f>
        <v>0</v>
      </c>
      <c r="CY10" s="249">
        <f>IF(C10="Skema 1",Stamoplysninger!$H$30/200,0)</f>
        <v>0</v>
      </c>
      <c r="CZ10" s="249">
        <f>IF(C10="Skema 2",Stamoplysninger!$H$30/200,0)</f>
        <v>0</v>
      </c>
      <c r="DA10" s="249">
        <f>IF(C10="Skema 3",Stamoplysninger!$H$30/200,0)</f>
        <v>0</v>
      </c>
      <c r="DB10" s="249">
        <f>IF(C10="Skema 4",Stamoplysninger!$H$30/200,0)</f>
        <v>0</v>
      </c>
      <c r="DC10" s="249">
        <f>IF(C10="fagdag",Stamoplysninger!$H$30/200,0)</f>
        <v>0</v>
      </c>
      <c r="DD10" s="249">
        <f>IF(C10="emnedag",Stamoplysninger!$H$30/200,0)</f>
        <v>0</v>
      </c>
      <c r="DE10" s="249">
        <f>IF(C10="lejrskole",Stamoplysninger!$H$30/200,0)</f>
        <v>0</v>
      </c>
      <c r="DF10" s="249">
        <f>IF(C10="ekskursion",Stamoplysninger!$H$30/200,0)</f>
        <v>0</v>
      </c>
      <c r="DG10" s="249">
        <f>SUM(CY10:DF10)</f>
        <v>0</v>
      </c>
      <c r="DH10" t="str">
        <f>IF(AND(E10&gt;0,H10&gt;0),""&amp;E10&amp;" og "&amp;H10&amp;"","")</f>
        <v/>
      </c>
      <c r="DI10" t="str">
        <f>IF(H10="",E10,"")</f>
        <v>Sommerferie</v>
      </c>
      <c r="DJ10" t="str">
        <f>IF(E10="",H10,"")</f>
        <v/>
      </c>
      <c r="DK10" t="str">
        <f t="shared" ref="DK10:DL41" si="15">IF(DH10=0,"",DH10)</f>
        <v/>
      </c>
      <c r="DL10" t="str">
        <f>IF(DI10=0,"",DI10)</f>
        <v>Sommerferie</v>
      </c>
      <c r="DM10" t="str">
        <f>IF(DJ10=0,"",DJ10)</f>
        <v/>
      </c>
      <c r="DN10" t="str">
        <f>DK10&amp;""&amp;DL10&amp;""&amp;DM10</f>
        <v>Sommerferie</v>
      </c>
      <c r="DO10" s="652">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71">
        <f>IF(AND(Stamoplysninger!$B$22="Ulempetillæg udbetales med 25% af nettotimelønnen.",C10="ikke relevant"),(R10)/4,0)</f>
        <v>0</v>
      </c>
      <c r="DT10" s="671">
        <f>IF(AND(AND(Stamoplysninger!$B$22="Ulempetillæg udbetales med 25% af nettotimelønnen.",I10="X",C10="Ikke relevant")),K10/4,0)</f>
        <v>0</v>
      </c>
      <c r="DU10" s="671">
        <f>IF(AND(AND(Stamoplysninger!$B$22="Ulempetillæg udbetales med 25% af nettotimelønnen.",C10="ikke relevant",U10="X")),(X10/4),0)</f>
        <v>0</v>
      </c>
      <c r="DV10" s="672">
        <f>IF(AND(AND(AND(Stamoplysninger!$B$22="Ulempetillæg udbetales med 25% af nettotimelønnen.",I10="X",C10="Ikke relevant",S10="X"))),V10/4,0)</f>
        <v>0</v>
      </c>
      <c r="DW10" s="652"/>
      <c r="DZ10" s="671"/>
      <c r="EA10" s="671"/>
      <c r="EB10" s="672"/>
      <c r="EC10" s="652">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71">
        <f>IF(AND(Stamoplysninger!$B$22="Ulempetillæg afspadseres med 25%(Kræver en aftale imellem ledelsen og den ansatte)",C10="ikke relevant"),(R10)/4,0)</f>
        <v>0</v>
      </c>
      <c r="EH10" s="671">
        <f>IF(AND(AND(Stamoplysninger!$B$22="Ulempetillæg afspadseres med 25%(Kræver en aftale imellem ledelsen og den ansatte)",I10="X",C10="Ikke relevant")),K10/4,0)</f>
        <v>0</v>
      </c>
      <c r="EI10" s="671">
        <f>IF(AND(AND(Stamoplysninger!$B$22="Ulempetillæg afspadseres med 25%(Kræver en aftale imellem ledelsen og den ansatte)",U10="X",C10="Ikke relevant")),X10/4,0)</f>
        <v>0</v>
      </c>
      <c r="EJ10" s="671">
        <f>IF(AND(AND(AND(Stamoplysninger!$B$22="Ulempetillæg afspadseres med 25%(Kræver en aftale imellem ledelsen og den ansatte)",I10="X",C10="Ikke relevant",S10="X"))),V10/4,0)</f>
        <v>0</v>
      </c>
      <c r="EK10" s="283">
        <f>IF(AND(Stamoplysninger!$B$26="Weekendtimer og weekendtillæg afspadseres.",$I$9="X"),$K$9*1.5,0)</f>
        <v>0</v>
      </c>
      <c r="EL10" s="251">
        <f>IF(AND(AND(Stamoplysninger!$B$26="Weekendtimer og weekendtillæg afspadseres.",$I$9="X",$S$9="X")),$V$9*1.5,0)</f>
        <v>0</v>
      </c>
      <c r="EM10" s="674">
        <f>IF(AND(AND(Stamoplysninger!$B$26="Weekendtimer og weekendtillæg afspadseres.",$I$9="X",$C$9="ikke relevant")),$K$9*1.5,0)</f>
        <v>0</v>
      </c>
      <c r="EN10" s="675">
        <f>IF(AND(AND(AND(Stamoplysninger!$B$26="Weekendtimer og weekendtillæg afspadseres.",$I$9="X",$C$9="ikke relevant",$S$9="X"))),($V$9*1.5),0)</f>
        <v>0</v>
      </c>
      <c r="EO10" s="283">
        <f>IF(AND(Stamoplysninger!$B$26="Weekendtimer og weekendtillæg udbetales.",$I$9="X"),$K$9*1.5,0)</f>
        <v>0</v>
      </c>
      <c r="EP10" s="251">
        <f>IF(AND(AND(Stamoplysninger!$B$26="Weekendtimer og weekendtillæg udbetales.",$I$9="X",$S$9="X")),$V$9*1.5,0)</f>
        <v>0</v>
      </c>
      <c r="EQ10" s="674">
        <f>IF(AND(AND(Stamoplysninger!$B$26="Weekendtimer og weekendtillæg udbetales.",$I$9="X",$C$9="ikke relevant")),$K$9*1.5,0)</f>
        <v>0</v>
      </c>
      <c r="ER10" s="675">
        <f>IF(AND(AND(AND(Stamoplysninger!$B$26="Weekendtimer og weekendtillæg udbetales.",$I$9="X",$C$9="ikke relevant",$S$9="X"))),($V$9*1.5),0)</f>
        <v>0</v>
      </c>
      <c r="ES10" s="283">
        <f>IF(AND(Stamoplysninger!$B$26="Der er indgået lokalaftale omkring weekendtimer.(Kræver aftale med TR/FSL) Weekendtillæg afspadseres.",$I$9="X"),$K$9*0.5,0)</f>
        <v>0</v>
      </c>
      <c r="ET10" s="251">
        <f>IF(AND(AND(Stamoplysninger!$B$26="Der er indgået lokalaftale omkring weekendtimer.(Kræver aftale med TR/FSL) Weekendtillæg afspadseres.",$I$9="X",$S$9="X")),$V$9*0.5,0)</f>
        <v>0</v>
      </c>
      <c r="EU10" s="674">
        <f>IF(AND(AND(Stamoplysninger!$B$26="Der er indgået lokalaftale omkring weekendtimer.(Kræver aftale med TR/FSL) Weekendtillæg afspadseres.",$I$9="X",$C$9="ikke relevant")),$K$9*0.5,0)</f>
        <v>0</v>
      </c>
      <c r="EV10" s="675">
        <f>IF(AND(AND(AND(Stamoplysninger!$B$26="Der er indgået lokalaftale omkring weekendtimer.(Kræver aftale med TR/FSL) Weekendtillæg afspadseres.",$I$9="X",$C$9="ikke relevant",$S$9="X"))),($V$9*0.5),0)</f>
        <v>0</v>
      </c>
      <c r="EW10" s="283">
        <f>IF(AND(Stamoplysninger!$B$26="Der er indgået lokalaftale omkring weekendtimer(Kræver aftale med TR/FSL). Weekendtillæg udbetales.",$I$9="X"),$K$9*0.5,0)</f>
        <v>0</v>
      </c>
      <c r="EX10" s="251">
        <f>IF(AND(AND(Stamoplysninger!$B$26="Der er indgået lokalaftale omkring weekendtimer(Kræver aftale med TR/FSL). Weekendtillæg udbetales.",$I$9="X",$S$9="X")),$V$9*0.5,0)</f>
        <v>0</v>
      </c>
      <c r="EY10" s="674">
        <f>IF(AND(AND(Stamoplysninger!$B$26="Der er indgået lokalaftale omkring weekendtimer(Kræver aftale med TR/FSL). Weekendtillæg udbetales.",$I$9="X",$C$9="ikke relevant")),$K$9*0.5,0)</f>
        <v>0</v>
      </c>
      <c r="EZ10" s="675">
        <f>IF(AND(AND(AND(Stamoplysninger!$B$26="Der er indgået lokalaftale omkring weekendtimer(Kræver aftale med TR/FSL). Weekendtillæg udbetales.",$I$9="X",$C$9="ikke relevant",$S$9="X"))),($V$9*0.5),0)</f>
        <v>0</v>
      </c>
      <c r="FA10" s="283">
        <f>IF(AND(Stamoplysninger!$B$26="Der er indgået lokalaftale omkring weekendtillæg(Kræver aftale med TR/FSL). Weekendtimerne afspadseres.",I10="X"),K10,0)</f>
        <v>0</v>
      </c>
      <c r="FB10" s="251">
        <f>IF(AND(AND(Stamoplysninger!$B$26="Der er indgået lokalaftale omkring weekendtillæg(Kræver aftale med TR/FSL). Weekendtimerne afspadseres.",I10="X",S10="X")),V10,0)</f>
        <v>0</v>
      </c>
      <c r="FC10" s="674">
        <f>IF(AND(AND(Stamoplysninger!$B$26="Der er indgået lokalaftale omkring weekendtillæg(Kræver aftale med TR/FSL). Weekendtimerne afspadseres..",I10="X",C10="ikke relevant")),K10,0)</f>
        <v>0</v>
      </c>
      <c r="FD10" s="675">
        <f>IF(AND(AND(AND(Stamoplysninger!$B$26="Der er indgået lokalaftale omkring weekendtillæg(Kræver aftale med TR/FSL). Weekendtimerne afspadseres.",I10="X",C10="ikke relevant",S10="X"))),(V10),0)</f>
        <v>0</v>
      </c>
      <c r="FE10" s="283">
        <f>IF(AND(Stamoplysninger!$B$26="Der er indgået lokalaftale omkring weekendtillæg(Kræver aftale med TR/FSL). Weekendtimerne udbetales.",I10="X"),K10,0)</f>
        <v>0</v>
      </c>
      <c r="FF10" s="251">
        <f>IF(AND(AND(Stamoplysninger!$B$26="Der er indgået lokalaftale omkring weekendtillæg(Kræver aftale med TR/FSL). Weekendtimerne udbetales.",I10="X",S10="X")),V10,0)</f>
        <v>0</v>
      </c>
      <c r="FG10" s="674">
        <f>IF(AND(AND(Stamoplysninger!$B$26="Der er indgået lokalaftale omkring weekendtillæg(Kræver aftale med TR/FSL). Weekendtimerne udbetales.",I10="X",C10="ikke relevant")),K10,0)</f>
        <v>0</v>
      </c>
      <c r="FH10" s="675">
        <f>IF(AND(AND(AND(Stamoplysninger!$B$26="Der er indgået lokalaftale omkring weekendtillæg(Kræver aftale med TR/FSL). Weekendtimerne udbetales.",I10="X",C10="ikke relevant",S10="X"))),(V10),0)</f>
        <v>0</v>
      </c>
      <c r="FI10" s="283">
        <f>IF(AND(Stamoplysninger!$B$26="Weekendtimer og weekendtillæg afspadseres.",I10="X"),K10,0)</f>
        <v>0</v>
      </c>
      <c r="FJ10" s="251">
        <f>IF(AND(Stamoplysninger!$B$26="Weekendtimer og weekendtillæg afspadseres.",I10="X"),(K10+V10)/2,0)</f>
        <v>0</v>
      </c>
      <c r="FK10" s="674">
        <f>IF(AND(AND(Stamoplysninger!$B$26="Weekendtimer og weekendtillæg afspadseres.",I10="X",C10="ikke relevant")),K10,0)</f>
        <v>0</v>
      </c>
      <c r="FL10" s="675">
        <f>IF(AND(AND(Stamoplysninger!$B$26="Weekendtimer og weekendtillæg afspadseres.",I10="X",C10="ikke relevant")),(K10+V10)/2,0)</f>
        <v>0</v>
      </c>
      <c r="FM10" s="283">
        <f>IF(AND(Stamoplysninger!$B$26="Der er indgået lokalaftale omkring weekendtillæg(Kræver aftale med TR/FSL). Weekendtimerne afspadseres.",I10="X"),K10,0)</f>
        <v>0</v>
      </c>
      <c r="FN10" s="674">
        <f>IF(AND(AND(Stamoplysninger!$B$26="Der er indgået lokalaftale omkring weekendtillæg(Kræver aftale med TR/FSL). Weekendtimerne afspadseres.",I10="X",C10="ikke relevant")),K10,0)</f>
        <v>0</v>
      </c>
      <c r="FO10" s="283">
        <f>IF(AND(Stamoplysninger!$B$26="Weekendtimer og weekendtillæg udbetales.",I10="X"),K10,0)</f>
        <v>0</v>
      </c>
      <c r="FP10" s="251">
        <f>IF(AND(Stamoplysninger!$B$26="Weekendtimer og weekendtillæg udbetales.",AA10="X"),(AC10+AN10)/2,0)</f>
        <v>0</v>
      </c>
      <c r="FQ10" s="674">
        <f>IF(AND(AND(Stamoplysninger!$B$26="Weekendtimer og weekendtillæg udbetales.",I10="X",C10="ikke relevant")),K10,0)</f>
        <v>0</v>
      </c>
      <c r="FR10" s="688">
        <f>IF(AND(AND(Stamoplysninger!$B$26="Weekendtimer og weekendtillæg udbetales.",AA10="X",U10="ikke relevant")),(AC10+AN10)/2,0)</f>
        <v>0</v>
      </c>
      <c r="FS10" s="283">
        <f t="shared" ref="FS10:FS38" si="16">IF(AND(I10="X",S10="X"),V10,0)</f>
        <v>0</v>
      </c>
      <c r="FT10" s="658">
        <f t="shared" ref="FT10:FT38" si="17">IF(AND(AND(C10="ikke relevant",I10="X",S10="X")),V10,0)</f>
        <v>0</v>
      </c>
      <c r="FU10">
        <f t="shared" ref="FU10:FU29" si="18">IF(AND(C10="weekend",I10="X"),K10,0)</f>
        <v>0</v>
      </c>
      <c r="FV10" s="283">
        <f>IF(AND(Stamoplysninger!$B$26="Der er indgået lokalaftale omkring weekendtimer.(Kræver aftale med TR/FSL) Weekendtillæg afspadseres.",I10="X"),K10,0)</f>
        <v>0</v>
      </c>
      <c r="FW10" s="674">
        <f>IF(AND(AND(Stamoplysninger!$B$26="Der er indgået lokalaftale omkring weekendtimer.(Kræver aftale med TR/FSL) Weekendtillæg afspadseres.",I10="X",C10="ikke relevant")),K10,0)</f>
        <v>0</v>
      </c>
      <c r="FX10" s="283">
        <f>IF(AND(Stamoplysninger!$B$26="Der er indgået lokalaftale omkring weekendtimer(Kræver aftale med TR/FSL). Weekendtillæg udbetales.",I10="X"),K10,0)</f>
        <v>0</v>
      </c>
      <c r="FY10" s="674">
        <f>IF(AND(AND(Stamoplysninger!$B$26="Der er indgået lokalaftale omkring weekendtimer(Kræver aftale med TR/FSL). Weekendtillæg udbetales.",I10="X",C10="ikke relevant")),K10,0)</f>
        <v>0</v>
      </c>
      <c r="FZ10" s="283">
        <f>IF(AND(Stamoplysninger!$B$26="Der er indgået lokalaftale omkring weekendtillæg(Kræver aftale med TR/FSL). Weekendtimerne udbetales.",I10="X"),K10,0)</f>
        <v>0</v>
      </c>
      <c r="GA10" s="674">
        <f>IF(AND(AND(Stamoplysninger!$B$26="Der er indgået lokalaftale omkring weekendtillæg(Kræver aftale med TR/FSL). Weekendtimerne udbetales.",I10="X",C10="ikke relevant")),K10,0)</f>
        <v>0</v>
      </c>
      <c r="GB10" s="283">
        <f>IF(AND(Stamoplysninger!$B$26="Der er indgået lokalaftale omkring weekendtimer og weekendtillæg.(Kræver aftale med TR/FSL).",I10="X"),K10,0)</f>
        <v>0</v>
      </c>
      <c r="GC10" s="674">
        <f>IF(AND(AND(Stamoplysninger!$B$26="Der er indgået lokalaftale omkring weekendtimer og weekendtillæg.(Kræver aftale med TR/FSL).",I10="X",C10="ikke relevant")),K10,0)</f>
        <v>0</v>
      </c>
    </row>
    <row r="11" spans="1:185">
      <c r="A11" s="245">
        <f t="shared" ref="A11:A39" si="19">IF(ISNUMBER(A10),A10+1,1)</f>
        <v>2</v>
      </c>
      <c r="B11" s="128" t="str">
        <f t="shared" si="0"/>
        <v>fr</v>
      </c>
      <c r="C11" s="129" t="s">
        <v>210</v>
      </c>
      <c r="D11" s="130" t="str">
        <f t="shared" si="1"/>
        <v/>
      </c>
      <c r="E11" s="917" t="s">
        <v>113</v>
      </c>
      <c r="F11" s="918"/>
      <c r="G11" s="919"/>
      <c r="H11" s="298"/>
      <c r="I11" s="527"/>
      <c r="J11" s="413"/>
      <c r="K11" s="380"/>
      <c r="L11" s="380"/>
      <c r="M11" s="380"/>
      <c r="N11" s="318">
        <f t="shared" ref="N11:N40" si="20">BA11</f>
        <v>0</v>
      </c>
      <c r="O11" s="318">
        <f t="shared" ref="O11:O40" si="21">CA11</f>
        <v>0</v>
      </c>
      <c r="P11" s="318">
        <f>IF(Stamoplysninger!$H$29="JA",August!DG11,CX11)</f>
        <v>0</v>
      </c>
      <c r="Q11" s="318">
        <f t="shared" ref="Q11:Q40" si="22">IF(OR(C11="Lejrskole",C11="Ekskursion"),0,N11-O11-P11)</f>
        <v>0</v>
      </c>
      <c r="R11" s="412"/>
      <c r="S11" s="324"/>
      <c r="T11" s="325"/>
      <c r="U11" s="325"/>
      <c r="V11" s="435"/>
      <c r="W11" s="412"/>
      <c r="X11" s="642"/>
      <c r="Y11">
        <f t="shared" ref="Y11:Y40" si="23">IF(S11="x",V11-N11,0)</f>
        <v>0</v>
      </c>
      <c r="Z11">
        <f t="shared" si="2"/>
        <v>0</v>
      </c>
      <c r="AA11" s="1">
        <f t="shared" si="3"/>
        <v>0</v>
      </c>
      <c r="AB11" s="1">
        <f t="shared" si="4"/>
        <v>0</v>
      </c>
      <c r="AC11" s="1">
        <f t="shared" si="5"/>
        <v>0</v>
      </c>
      <c r="AD11" s="1">
        <f t="shared" si="6"/>
        <v>0</v>
      </c>
      <c r="AE11" s="1">
        <f t="shared" si="7"/>
        <v>0</v>
      </c>
      <c r="AF11" s="1">
        <f>IF(C11="Orlov",Stamoplysninger!$E$15*7.4,0)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8"/>
        <v>0</v>
      </c>
      <c r="BB11" s="229">
        <f t="shared" si="9"/>
        <v>0</v>
      </c>
      <c r="BC11" s="1">
        <f t="shared" ref="BC11:BC40" si="24">IF(C11="Lejrskole",L11,0)</f>
        <v>0</v>
      </c>
      <c r="BD11" s="1">
        <f t="shared" si="10"/>
        <v>0</v>
      </c>
      <c r="BE11" s="1">
        <f t="shared" si="11"/>
        <v>0</v>
      </c>
      <c r="BF11" s="1">
        <f t="shared" si="12"/>
        <v>0</v>
      </c>
      <c r="BG11" s="210" t="str">
        <f>IF(AND(C11="Skema 1",B11="ma"),Skemaoplysninger!$E$30,"")</f>
        <v/>
      </c>
      <c r="BH11" s="210" t="str">
        <f>IF(AND(C11="Skema 1",B11="ti"),Skemaoplysninger!$G$30,"")</f>
        <v/>
      </c>
      <c r="BI11" s="210" t="str">
        <f>IF(AND(C11="Skema 1",B11="on"),Skemaoplysninger!$I$30,"")</f>
        <v/>
      </c>
      <c r="BJ11" s="210" t="str">
        <f>IF(AND(C11="Skema 1",B11="to"),Skemaoplysninger!$K$30,"")</f>
        <v/>
      </c>
      <c r="BK11" s="210" t="str">
        <f>IF(AND(C11="Skema 1",B11="fr"),Skemaoplysninger!$M$30,"")</f>
        <v/>
      </c>
      <c r="BL11" s="210" t="str">
        <f>IF(AND(C11="Skema 2",B11="ma"),Skemaoplysninger!$S$30,"")</f>
        <v/>
      </c>
      <c r="BM11" s="210" t="str">
        <f>IF(AND(C11="Skema 2",B11="ti"),Skemaoplysninger!$U$30,"")</f>
        <v/>
      </c>
      <c r="BN11" s="210" t="str">
        <f>IF(AND(C11="Skema 2",B11="on"),Skemaoplysninger!$W$30,"")</f>
        <v/>
      </c>
      <c r="BO11" s="210" t="str">
        <f>IF(AND(C11="Skema 2",B11="to"),Skemaoplysninger!$Y$30,"")</f>
        <v/>
      </c>
      <c r="BP11" s="210" t="str">
        <f>IF(AND(C11="Skema 2",B11="fr"),Skemaoplysninger!$AA$30,"")</f>
        <v/>
      </c>
      <c r="BQ11" s="210" t="str">
        <f>IF(AND(C11="Skema 3",B11="ma"),Skemaoplysninger!$AG$30,"")</f>
        <v/>
      </c>
      <c r="BR11" s="210" t="str">
        <f>IF(AND(C11="Skema 3",B11="ti"),Skemaoplysninger!$AI$30,"")</f>
        <v/>
      </c>
      <c r="BS11" s="210" t="str">
        <f>IF(AND(C11="Skema 3",B11="on"),Skemaoplysninger!$AK$30,"")</f>
        <v/>
      </c>
      <c r="BT11" s="210" t="str">
        <f>IF(AND(C11="Skema 3",B11="to"),Skemaoplysninger!$AM$30,"")</f>
        <v/>
      </c>
      <c r="BU11" s="210" t="str">
        <f>IF(AND(C11="Skema 3",B11="fr"),Skemaoplysninger!$AO$30,"")</f>
        <v/>
      </c>
      <c r="BV11" s="210" t="str">
        <f>IF(AND(C11="Skema 4",B11="ma"),Skemaoplysninger!$AU$30,"")</f>
        <v/>
      </c>
      <c r="BW11" s="210" t="str">
        <f>IF(AND(C11="Skema 4",B11="ti"),Skemaoplysninger!$AW$30,"")</f>
        <v/>
      </c>
      <c r="BX11" s="210" t="str">
        <f>IF(AND(C11="Skema 4",B11="on"),Skemaoplysninger!$AY$30,"")</f>
        <v/>
      </c>
      <c r="BY11" s="210" t="str">
        <f>IF(AND(C11="Skema 4",B11="to"),Skemaoplysninger!$BA$30,"")</f>
        <v/>
      </c>
      <c r="BZ11" s="210" t="str">
        <f>IF(AND(C11="Skema 4",B11="fr"),Skemaoplysninger!$BC$30,"")</f>
        <v/>
      </c>
      <c r="CA11" s="1">
        <f t="shared" ref="CA11:CA40" si="25">SUM(BG11:BZ11)*24+SUM(BC11:BF11)</f>
        <v>0</v>
      </c>
      <c r="CB11" s="1">
        <f t="shared" si="13"/>
        <v>0</v>
      </c>
      <c r="CC11" s="1">
        <f t="shared" si="14"/>
        <v>0</v>
      </c>
      <c r="CD11" s="210" t="str">
        <f>IF(AND(C11="Skema 1",B11="ma"),Skemaoplysninger!$E$31,"")</f>
        <v/>
      </c>
      <c r="CE11" s="210" t="str">
        <f>IF(AND(C11="Skema 1",B11="ti"),Skemaoplysninger!$G$31,"")</f>
        <v/>
      </c>
      <c r="CF11" s="210" t="str">
        <f>IF(AND(C11="Skema 1",B11="on"),Skemaoplysninger!$I$31,"")</f>
        <v/>
      </c>
      <c r="CG11" s="210" t="str">
        <f>IF(AND(C11="Skema 1",B11="to"),Skemaoplysninger!$K$31,"")</f>
        <v/>
      </c>
      <c r="CH11" s="210" t="str">
        <f>IF(AND(C11="Skema 1",B11="fr"),Skemaoplysninger!$M$31,"")</f>
        <v/>
      </c>
      <c r="CI11" s="210" t="str">
        <f>IF(AND(C11="Skema 2",B11="ma"),Skemaoplysninger!$S$31,"")</f>
        <v/>
      </c>
      <c r="CJ11" s="210" t="str">
        <f>IF(AND(C11="Skema 2",B11="ti"),Skemaoplysninger!$U$31,"")</f>
        <v/>
      </c>
      <c r="CK11" s="210" t="str">
        <f>IF(AND(C11="Skema 2",B11="on"),Skemaoplysninger!$W$31,"")</f>
        <v/>
      </c>
      <c r="CL11" s="210" t="str">
        <f>IF(AND(C11="Skema 2",B11="to"),Skemaoplysninger!$Y$31,"")</f>
        <v/>
      </c>
      <c r="CM11" s="210" t="str">
        <f>IF(AND(C11="Skema 2",B11="fr"),Skemaoplysninger!$AA$31,"")</f>
        <v/>
      </c>
      <c r="CN11" s="210" t="str">
        <f>IF(AND(C11="Skema 3",B11="ma"),Skemaoplysninger!$AG$31,"")</f>
        <v/>
      </c>
      <c r="CO11" s="210" t="str">
        <f>IF(AND(C11="Skema 3",B11="ti"),Skemaoplysninger!$AI$31,"")</f>
        <v/>
      </c>
      <c r="CP11" s="210" t="str">
        <f>IF(AND(C11="Skema 3",B11="on"),Skemaoplysninger!$AK$31,"")</f>
        <v/>
      </c>
      <c r="CQ11" s="210" t="str">
        <f>IF(AND(C11="Skema 3",B11="to"),Skemaoplysninger!$AM$31,"")</f>
        <v/>
      </c>
      <c r="CR11" s="210" t="str">
        <f>IF(AND(C11="Skema 3",B11="fr"),Skemaoplysninger!$AO$31,"")</f>
        <v/>
      </c>
      <c r="CS11" s="210" t="str">
        <f>IF(AND(C11="Skema 4",B11="ma"),Skemaoplysninger!$AU$31,"")</f>
        <v/>
      </c>
      <c r="CT11" s="210" t="str">
        <f>IF(AND(C11="Skema 4",B11="ti"),Skemaoplysninger!$AW$31,"")</f>
        <v/>
      </c>
      <c r="CU11" s="210" t="str">
        <f>IF(AND(C11="Skema 4",B11="on"),Skemaoplysninger!$AY$31,"")</f>
        <v/>
      </c>
      <c r="CV11" s="210" t="str">
        <f>IF(AND(C11="Skema 4",B11="to"),Skemaoplysninger!$BA$31,"")</f>
        <v/>
      </c>
      <c r="CW11" s="210" t="str">
        <f>IF(AND(C11="Skema 4",B11="fr"),Skemaoplysninger!$BC$31,"")</f>
        <v/>
      </c>
      <c r="CX11" s="249">
        <f>IF(Stamoplysninger!$H$29="NEJ",SUM(CD11:CW11)*24+CB11+CC11,0)</f>
        <v>0</v>
      </c>
      <c r="CY11" s="249">
        <f>IF(C11="Skema 1",Stamoplysninger!$H$30/200,0)</f>
        <v>0</v>
      </c>
      <c r="CZ11" s="249">
        <f>IF(C11="Skema 2",Stamoplysninger!$H$30/200,0)</f>
        <v>0</v>
      </c>
      <c r="DA11" s="249">
        <f>IF(C11="Skema 3",Stamoplysninger!$H$30/200,0)</f>
        <v>0</v>
      </c>
      <c r="DB11" s="249">
        <f>IF(C11="Skema 4",Stamoplysninger!$H$30/200,0)</f>
        <v>0</v>
      </c>
      <c r="DC11" s="249">
        <f>IF(C11="fagdag",Stamoplysninger!$H$30/200,0)</f>
        <v>0</v>
      </c>
      <c r="DD11" s="249">
        <f>IF(C11="emnedag",Stamoplysninger!$H$30/200,0)</f>
        <v>0</v>
      </c>
      <c r="DE11" s="249">
        <f>IF(C11="lejrskole",Stamoplysninger!$H$30/200,0)</f>
        <v>0</v>
      </c>
      <c r="DF11" s="249">
        <f>IF(C11="ekskursion",Stamoplysninger!$H$30/200,0)</f>
        <v>0</v>
      </c>
      <c r="DG11" s="249">
        <f t="shared" ref="DG11:DG40" si="26">SUM(CY11:DF11)</f>
        <v>0</v>
      </c>
      <c r="DH11" t="str">
        <f t="shared" ref="DH11:DH40" si="27">IF(AND(E11&gt;0,H11&gt;0),""&amp;E11&amp;" og "&amp;H11&amp;"","")</f>
        <v/>
      </c>
      <c r="DI11" t="str">
        <f t="shared" ref="DI11:DI40" si="28">IF(H11="",E11,"")</f>
        <v>Sommerferie</v>
      </c>
      <c r="DJ11" t="str">
        <f t="shared" ref="DJ11:DJ40" si="29">IF(E11="",H11,"")</f>
        <v/>
      </c>
      <c r="DK11" t="str">
        <f t="shared" si="15"/>
        <v/>
      </c>
      <c r="DL11" t="str">
        <f t="shared" si="15"/>
        <v>Sommerferie</v>
      </c>
      <c r="DM11" t="str">
        <f t="shared" ref="DM11:DM41" si="30">IF(DJ11=0,"",DJ11)</f>
        <v/>
      </c>
      <c r="DN11" t="str">
        <f t="shared" ref="DN11:DN40" si="31">DK11&amp;""&amp;DL11&amp;""&amp;DM11</f>
        <v>Sommerferie</v>
      </c>
      <c r="DO11" s="652">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71">
        <f>IF(AND(Stamoplysninger!$B$22="Ulempetillæg udbetales med 25% af nettotimelønnen.",C11="ikke relevant"),(R11)/4,0)</f>
        <v>0</v>
      </c>
      <c r="DT11" s="671">
        <f>IF(AND(AND(Stamoplysninger!$B$22="Ulempetillæg udbetales med 25% af nettotimelønnen.",I11="X",C11="Ikke relevant")),K11/4,0)</f>
        <v>0</v>
      </c>
      <c r="DU11" s="671">
        <f>IF(AND(AND(Stamoplysninger!$B$22="Ulempetillæg udbetales med 25% af nettotimelønnen.",C11="ikke relevant",U11="X")),(X11/4),0)</f>
        <v>0</v>
      </c>
      <c r="DV11" s="672">
        <f>IF(AND(AND(AND(Stamoplysninger!$B$22="Ulempetillæg udbetales med 25% af nettotimelønnen.",I11="X",C11="Ikke relevant",S11="X"))),V11/4,0)</f>
        <v>0</v>
      </c>
      <c r="DW11" s="652"/>
      <c r="DZ11" s="671"/>
      <c r="EA11" s="671"/>
      <c r="EB11" s="672"/>
      <c r="EC11" s="652">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71">
        <f>IF(AND(Stamoplysninger!$B$22="Ulempetillæg afspadseres med 25%(Kræver en aftale imellem ledelsen og den ansatte)",C11="ikke relevant"),(R11)/4,0)</f>
        <v>0</v>
      </c>
      <c r="EH11" s="671">
        <f>IF(AND(AND(Stamoplysninger!$B$22="Ulempetillæg afspadseres med 25%(Kræver en aftale imellem ledelsen og den ansatte)",I11="X",C11="Ikke relevant")),K11/4,0)</f>
        <v>0</v>
      </c>
      <c r="EI11" s="671">
        <f>IF(AND(AND(Stamoplysninger!$B$22="Ulempetillæg afspadseres med 25%(Kræver en aftale imellem ledelsen og den ansatte)",U11="X",C11="Ikke relevant")),X11/4,0)</f>
        <v>0</v>
      </c>
      <c r="EJ11" s="671">
        <f>IF(AND(AND(AND(Stamoplysninger!$B$22="Ulempetillæg afspadseres med 25%(Kræver en aftale imellem ledelsen og den ansatte)",I11="X",C11="Ikke relevant",S11="X"))),V11/4,0)</f>
        <v>0</v>
      </c>
      <c r="EK11" s="283">
        <f>IF(AND(Stamoplysninger!$B$26="Weekendtimer og weekendtillæg afspadseres.",I11="X"),K11*1.5,0)</f>
        <v>0</v>
      </c>
      <c r="EL11" s="251">
        <f>IF(AND(AND(Stamoplysninger!$B$26="Weekendtimer og weekendtillæg afspadseres.",I11="X",S11="X")),V11*1.5,0)</f>
        <v>0</v>
      </c>
      <c r="EM11" s="674">
        <f>IF(AND(AND(Stamoplysninger!$B$26="Weekendtimer og weekendtillæg afspadseres.",I11="X",C11="ikke relevant")),K11*1.5,0)</f>
        <v>0</v>
      </c>
      <c r="EN11" s="675">
        <f>IF(AND(AND(AND(Stamoplysninger!$B$26="Weekendtimer og weekendtillæg afspadseres.",I11="X",C11="ikke relevant",S11="X"))),(V11*1.5),0)</f>
        <v>0</v>
      </c>
      <c r="EO11" s="283">
        <f>IF(AND(Stamoplysninger!$B$26="Weekendtimer og weekendtillæg udbetales.",I11="X"),K11*1.5,0)</f>
        <v>0</v>
      </c>
      <c r="EP11" s="251">
        <f>IF(AND(AND(Stamoplysninger!$B$26="Weekendtimer og weekendtillæg udbetales.",I11="X",S11="X")),V11*1.5,0)</f>
        <v>0</v>
      </c>
      <c r="EQ11" s="674">
        <f>IF(AND(AND(Stamoplysninger!$B$26="Weekendtimer og weekendtillæg udbetales.",I11="X",C11="ikke relevant")),K11*1.5,0)</f>
        <v>0</v>
      </c>
      <c r="ER11" s="675">
        <f>IF(AND(AND(AND(Stamoplysninger!$B$26="Weekendtimer og weekendtillæg udbetales.",I11="X",C11="ikke relevant",S11="X"))),(V11*1.5),0)</f>
        <v>0</v>
      </c>
      <c r="ES11" s="283">
        <f>IF(AND(Stamoplysninger!$B$26="Der er indgået lokalaftale omkring weekendtimer.(Kræver aftale med TR/FSL) Weekendtillæg afspadseres.",I11="X"),K11*0.5,0)</f>
        <v>0</v>
      </c>
      <c r="ET11" s="251">
        <f>IF(AND(AND(Stamoplysninger!$B$26="Der er indgået lokalaftale omkring weekendtimer.(Kræver aftale med TR/FSL) Weekendtillæg afspadseres.",I11="X",S11="X")),V11*0.5,0)</f>
        <v>0</v>
      </c>
      <c r="EU11" s="674">
        <f>IF(AND(AND(Stamoplysninger!$B$26="Der er indgået lokalaftale omkring weekendtimer.(Kræver aftale med TR/FSL) Weekendtillæg afspadseres.",I11="X",C11="ikke relevant")),K11*0.5,0)</f>
        <v>0</v>
      </c>
      <c r="EV11" s="675">
        <f>IF(AND(AND(AND(Stamoplysninger!$B$26="Der er indgået lokalaftale omkring weekendtimer.(Kræver aftale med TR/FSL) Weekendtillæg afspadseres.",I11="X",C11="ikke relevant",S11="X"))),(V11*0.5),0)</f>
        <v>0</v>
      </c>
      <c r="EW11" s="283">
        <f>IF(AND(Stamoplysninger!$B$26="Der er indgået lokalaftale omkring weekendtimer(Kræver aftale med TR/FSL). Weekendtillæg udbetales.",I11="X"),K11*0.5,0)</f>
        <v>0</v>
      </c>
      <c r="EX11" s="251">
        <f>IF(AND(AND(Stamoplysninger!$B$26="Der er indgået lokalaftale omkring weekendtimer(Kræver aftale med TR/FSL). Weekendtillæg udbetales.",I11="X",S11="X")),V11*0.5,0)</f>
        <v>0</v>
      </c>
      <c r="EY11" s="674">
        <f>IF(AND(AND(Stamoplysninger!$B$26="Der er indgået lokalaftale omkring weekendtimer(Kræver aftale med TR/FSL). Weekendtillæg udbetales.",I11="X",C11="ikke relevant")),K11*0.5,0)</f>
        <v>0</v>
      </c>
      <c r="EZ11" s="675">
        <f>IF(AND(AND(AND(Stamoplysninger!$B$26="Der er indgået lokalaftale omkring weekendtimer(Kræver aftale med TR/FSL). Weekendtillæg udbetales.",I11="X",C11="ikke relevant",S11="X"))),(V11*0.5),0)</f>
        <v>0</v>
      </c>
      <c r="FA11" s="283">
        <f>IF(AND(Stamoplysninger!$B$26="Der er indgået lokalaftale omkring weekendtillæg(Kræver aftale med TR/FSL). Weekendtimerne afspadseres.",I11="X"),K11,0)</f>
        <v>0</v>
      </c>
      <c r="FB11" s="251">
        <f>IF(AND(AND(Stamoplysninger!$B$26="Der er indgået lokalaftale omkring weekendtillæg(Kræver aftale med TR/FSL). Weekendtimerne afspadseres.",I11="X",S11="X")),V11,0)</f>
        <v>0</v>
      </c>
      <c r="FC11" s="674">
        <f>IF(AND(AND(Stamoplysninger!$B$26="Der er indgået lokalaftale omkring weekendtillæg(Kræver aftale med TR/FSL). Weekendtimerne afspadseres..",I11="X",C11="ikke relevant")),K11,0)</f>
        <v>0</v>
      </c>
      <c r="FD11" s="675">
        <f>IF(AND(AND(AND(Stamoplysninger!$B$26="Der er indgået lokalaftale omkring weekendtillæg(Kræver aftale med TR/FSL). Weekendtimerne afspadseres.",I11="X",C11="ikke relevant",S11="X"))),(V11),0)</f>
        <v>0</v>
      </c>
      <c r="FE11" s="283">
        <f>IF(AND(Stamoplysninger!$B$26="Der er indgået lokalaftale omkring weekendtillæg(Kræver aftale med TR/FSL). Weekendtimerne udbetales.",I11="X"),K11,0)</f>
        <v>0</v>
      </c>
      <c r="FF11" s="251">
        <f>IF(AND(AND(Stamoplysninger!$B$26="Der er indgået lokalaftale omkring weekendtillæg(Kræver aftale med TR/FSL). Weekendtimerne udbetales.",I11="X",S11="X")),V11,0)</f>
        <v>0</v>
      </c>
      <c r="FG11" s="674">
        <f>IF(AND(AND(Stamoplysninger!$B$26="Der er indgået lokalaftale omkring weekendtillæg(Kræver aftale med TR/FSL). Weekendtimerne udbetales.",I11="X",C11="ikke relevant")),K11,0)</f>
        <v>0</v>
      </c>
      <c r="FH11" s="675">
        <f>IF(AND(AND(AND(Stamoplysninger!$B$26="Der er indgået lokalaftale omkring weekendtillæg(Kræver aftale med TR/FSL). Weekendtimerne udbetales.",I11="X",C11="ikke relevant",S11="X"))),(V11),0)</f>
        <v>0</v>
      </c>
      <c r="FI11" s="283">
        <f>IF(AND(Stamoplysninger!$B$26="Weekendtimer og weekendtillæg afspadseres.",I11="X"),K11,0)</f>
        <v>0</v>
      </c>
      <c r="FJ11" s="251">
        <f>IF(AND(Stamoplysninger!$B$26="Weekendtimer og weekendtillæg afspadseres.",Y11="X"),(AA11+AL11)/2,0)</f>
        <v>0</v>
      </c>
      <c r="FK11" s="674">
        <f>IF(AND(AND(Stamoplysninger!$B$26="Weekendtimer og weekendtillæg afspadseres.",I11="X",C11="ikke relevant")),K11,0)</f>
        <v>0</v>
      </c>
      <c r="FL11" s="675">
        <f>IF(AND(AND(Stamoplysninger!$B$26="Weekendtimer og weekendtillæg afspadseres.",Y11="X",S11="ikke relevant")),(AA11+AL11)/2,0)</f>
        <v>0</v>
      </c>
      <c r="FM11" s="283">
        <f>IF(AND(Stamoplysninger!$B$26="Der er indgået lokalaftale omkring weekendtillæg(Kræver aftale med TR/FSL). Weekendtimerne afspadseres.",I11="X"),K11,0)</f>
        <v>0</v>
      </c>
      <c r="FN11" s="674">
        <f>IF(AND(AND(Stamoplysninger!$B$26="Der er indgået lokalaftale omkring weekendtillæg(Kræver aftale med TR/FSL). Weekendtimerne afspadseres.",I11="X",C11="ikke relevant")),K11,0)</f>
        <v>0</v>
      </c>
      <c r="FO11" s="283">
        <f>IF(AND(Stamoplysninger!$B$26="Weekendtimer og weekendtillæg udbetales.",I11="X"),K11,0)</f>
        <v>0</v>
      </c>
      <c r="FP11" s="251">
        <f>IF(AND(Stamoplysninger!$B$26="Weekendtimer og weekendtillæg udbetales.",AA11="X"),(AC11+AN11)/2,0)</f>
        <v>0</v>
      </c>
      <c r="FQ11" s="674">
        <f>IF(AND(AND(Stamoplysninger!$B$26="Weekendtimer og weekendtillæg udbetales.",I11="X",C11="ikke relevant")),K11,0)</f>
        <v>0</v>
      </c>
      <c r="FR11" s="688">
        <f>IF(AND(AND(Stamoplysninger!$B$26="Weekendtimer og weekendtillæg udbetales.",AA11="X",U11="ikke relevant")),(AC11+AN11)/2,0)</f>
        <v>0</v>
      </c>
      <c r="FS11" s="283">
        <f t="shared" si="16"/>
        <v>0</v>
      </c>
      <c r="FT11" s="658">
        <f t="shared" si="17"/>
        <v>0</v>
      </c>
      <c r="FU11">
        <f t="shared" si="18"/>
        <v>0</v>
      </c>
      <c r="FV11" s="283">
        <f>IF(AND(Stamoplysninger!$B$26="Der er indgået lokalaftale omkring weekendtimer.(Kræver aftale med TR/FSL) Weekendtillæg afspadseres.",I11="X"),K11,0)</f>
        <v>0</v>
      </c>
      <c r="FW11" s="674">
        <f>IF(AND(AND(Stamoplysninger!$B$26="Der er indgået lokalaftale omkring weekendtimer.(Kræver aftale med TR/FSL) Weekendtillæg afspadseres.",I11="X",C11="ikke relevant")),K11,0)</f>
        <v>0</v>
      </c>
      <c r="FX11" s="283">
        <f>IF(AND(Stamoplysninger!$B$26="Der er indgået lokalaftale omkring weekendtimer(Kræver aftale med TR/FSL). Weekendtillæg udbetales.",I11="X"),K11,0)</f>
        <v>0</v>
      </c>
      <c r="FY11" s="674">
        <f>IF(AND(AND(Stamoplysninger!$B$26="Der er indgået lokalaftale omkring weekendtimer(Kræver aftale med TR/FSL). Weekendtillæg udbetales.",I11="X",C11="ikke relevant")),K11,0)</f>
        <v>0</v>
      </c>
      <c r="FZ11" s="283">
        <f>IF(AND(Stamoplysninger!$B$26="Der er indgået lokalaftale omkring weekendtillæg(Kræver aftale med TR/FSL). Weekendtimerne udbetales.",I11="X"),K11,0)</f>
        <v>0</v>
      </c>
      <c r="GA11" s="674">
        <f>IF(AND(AND(Stamoplysninger!$B$26="Der er indgået lokalaftale omkring weekendtillæg(Kræver aftale med TR/FSL). Weekendtimerne udbetales.",I11="X",C11="ikke relevant")),K11,0)</f>
        <v>0</v>
      </c>
      <c r="GB11" s="283">
        <f>IF(AND(Stamoplysninger!$B$26="Der er indgået lokalaftale omkring weekendtimer og weekendtillæg.(Kræver aftale med TR/FSL).",I11="X"),K11,0)</f>
        <v>0</v>
      </c>
      <c r="GC11" s="674">
        <f>IF(AND(AND(Stamoplysninger!$B$26="Der er indgået lokalaftale omkring weekendtimer og weekendtillæg.(Kræver aftale med TR/FSL).",I11="X",C11="ikke relevant")),K11,0)</f>
        <v>0</v>
      </c>
    </row>
    <row r="12" spans="1:185">
      <c r="A12" s="245">
        <f t="shared" si="19"/>
        <v>3</v>
      </c>
      <c r="B12" s="128" t="str">
        <f t="shared" si="0"/>
        <v>lø</v>
      </c>
      <c r="C12" s="129" t="s">
        <v>120</v>
      </c>
      <c r="D12" s="130" t="str">
        <f t="shared" si="1"/>
        <v/>
      </c>
      <c r="E12" s="917"/>
      <c r="F12" s="918"/>
      <c r="G12" s="919"/>
      <c r="H12" s="298"/>
      <c r="I12" s="413"/>
      <c r="J12" s="413"/>
      <c r="K12" s="380"/>
      <c r="L12" s="380"/>
      <c r="M12" s="380"/>
      <c r="N12" s="318">
        <f t="shared" si="20"/>
        <v>0</v>
      </c>
      <c r="O12" s="318">
        <f t="shared" si="21"/>
        <v>0</v>
      </c>
      <c r="P12" s="318">
        <f>IF(Stamoplysninger!$H$29="JA",August!DG12,CX12)</f>
        <v>0</v>
      </c>
      <c r="Q12" s="318">
        <f t="shared" si="22"/>
        <v>0</v>
      </c>
      <c r="R12" s="412"/>
      <c r="S12" s="324"/>
      <c r="T12" s="325"/>
      <c r="U12" s="325"/>
      <c r="V12" s="435"/>
      <c r="W12" s="412"/>
      <c r="X12" s="642"/>
      <c r="Y12">
        <f t="shared" si="23"/>
        <v>0</v>
      </c>
      <c r="Z12">
        <f t="shared" si="2"/>
        <v>0</v>
      </c>
      <c r="AA12" s="1">
        <f t="shared" si="3"/>
        <v>0</v>
      </c>
      <c r="AB12" s="1">
        <f t="shared" si="4"/>
        <v>0</v>
      </c>
      <c r="AC12" s="1">
        <f t="shared" si="5"/>
        <v>0</v>
      </c>
      <c r="AD12" s="1">
        <f t="shared" si="6"/>
        <v>0</v>
      </c>
      <c r="AE12" s="1">
        <f t="shared" si="7"/>
        <v>0</v>
      </c>
      <c r="AF12" s="1">
        <f>IF(C12="Orlov",Stamoplysninger!$E$15*7.4,0)</f>
        <v>0</v>
      </c>
      <c r="AG12" t="str">
        <f>IF(AND(C12="Skema 1",B12="ma"),Arbejdstidsoversigt!$E$72,"")</f>
        <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8"/>
        <v>0</v>
      </c>
      <c r="BB12" s="229">
        <f t="shared" si="9"/>
        <v>0</v>
      </c>
      <c r="BC12" s="1">
        <f t="shared" si="24"/>
        <v>0</v>
      </c>
      <c r="BD12" s="1">
        <f t="shared" si="10"/>
        <v>0</v>
      </c>
      <c r="BE12" s="1">
        <f t="shared" si="11"/>
        <v>0</v>
      </c>
      <c r="BF12" s="1">
        <f t="shared" si="12"/>
        <v>0</v>
      </c>
      <c r="BG12" s="210" t="str">
        <f>IF(AND(C12="Skema 1",B12="ma"),Skemaoplysninger!$E$30,"")</f>
        <v/>
      </c>
      <c r="BH12" s="210" t="str">
        <f>IF(AND(C12="Skema 1",B12="ti"),Skemaoplysninger!$G$30,"")</f>
        <v/>
      </c>
      <c r="BI12" s="210" t="str">
        <f>IF(AND(C12="Skema 1",B12="on"),Skemaoplysninger!$I$30,"")</f>
        <v/>
      </c>
      <c r="BJ12" s="210" t="str">
        <f>IF(AND(C12="Skema 1",B12="to"),Skemaoplysninger!$K$30,"")</f>
        <v/>
      </c>
      <c r="BK12" s="210" t="str">
        <f>IF(AND(C12="Skema 1",B12="fr"),Skemaoplysninger!$M$30,"")</f>
        <v/>
      </c>
      <c r="BL12" s="210" t="str">
        <f>IF(AND(C12="Skema 2",B12="ma"),Skemaoplysninger!$S$30,"")</f>
        <v/>
      </c>
      <c r="BM12" s="210" t="str">
        <f>IF(AND(C12="Skema 2",B12="ti"),Skemaoplysninger!$U$30,"")</f>
        <v/>
      </c>
      <c r="BN12" s="210" t="str">
        <f>IF(AND(C12="Skema 2",B12="on"),Skemaoplysninger!$W$30,"")</f>
        <v/>
      </c>
      <c r="BO12" s="210" t="str">
        <f>IF(AND(C12="Skema 2",B12="to"),Skemaoplysninger!$Y$30,"")</f>
        <v/>
      </c>
      <c r="BP12" s="210" t="str">
        <f>IF(AND(C12="Skema 2",B12="fr"),Skemaoplysninger!$AA$30,"")</f>
        <v/>
      </c>
      <c r="BQ12" s="210" t="str">
        <f>IF(AND(C12="Skema 3",B12="ma"),Skemaoplysninger!$AG$30,"")</f>
        <v/>
      </c>
      <c r="BR12" s="210" t="str">
        <f>IF(AND(C12="Skema 3",B12="ti"),Skemaoplysninger!$AI$30,"")</f>
        <v/>
      </c>
      <c r="BS12" s="210" t="str">
        <f>IF(AND(C12="Skema 3",B12="on"),Skemaoplysninger!$AK$30,"")</f>
        <v/>
      </c>
      <c r="BT12" s="210" t="str">
        <f>IF(AND(C12="Skema 3",B12="to"),Skemaoplysninger!$AM$30,"")</f>
        <v/>
      </c>
      <c r="BU12" s="210" t="str">
        <f>IF(AND(C12="Skema 3",B12="fr"),Skemaoplysninger!$AO$30,"")</f>
        <v/>
      </c>
      <c r="BV12" s="210" t="str">
        <f>IF(AND(C12="Skema 4",B12="ma"),Skemaoplysninger!$AU$30,"")</f>
        <v/>
      </c>
      <c r="BW12" s="210" t="str">
        <f>IF(AND(C12="Skema 4",B12="ti"),Skemaoplysninger!$AW$30,"")</f>
        <v/>
      </c>
      <c r="BX12" s="210" t="str">
        <f>IF(AND(C12="Skema 4",B12="on"),Skemaoplysninger!$AY$30,"")</f>
        <v/>
      </c>
      <c r="BY12" s="210" t="str">
        <f>IF(AND(C12="Skema 4",B12="to"),Skemaoplysninger!$BA$30,"")</f>
        <v/>
      </c>
      <c r="BZ12" s="210" t="str">
        <f>IF(AND(C12="Skema 4",B12="fr"),Skemaoplysninger!$BC$30,"")</f>
        <v/>
      </c>
      <c r="CA12" s="1">
        <f t="shared" si="25"/>
        <v>0</v>
      </c>
      <c r="CB12" s="1">
        <f t="shared" si="13"/>
        <v>0</v>
      </c>
      <c r="CC12" s="1">
        <f t="shared" si="14"/>
        <v>0</v>
      </c>
      <c r="CD12" s="210" t="str">
        <f>IF(AND(C12="Skema 1",B12="ma"),Skemaoplysninger!$E$31,"")</f>
        <v/>
      </c>
      <c r="CE12" s="210" t="str">
        <f>IF(AND(C12="Skema 1",B12="ti"),Skemaoplysninger!$G$31,"")</f>
        <v/>
      </c>
      <c r="CF12" s="210" t="str">
        <f>IF(AND(C12="Skema 1",B12="on"),Skemaoplysninger!$I$31,"")</f>
        <v/>
      </c>
      <c r="CG12" s="210" t="str">
        <f>IF(AND(C12="Skema 1",B12="to"),Skemaoplysninger!$K$31,"")</f>
        <v/>
      </c>
      <c r="CH12" s="210" t="str">
        <f>IF(AND(C12="Skema 1",B12="fr"),Skemaoplysninger!$M$31,"")</f>
        <v/>
      </c>
      <c r="CI12" s="210" t="str">
        <f>IF(AND(C12="Skema 2",B12="ma"),Skemaoplysninger!$S$31,"")</f>
        <v/>
      </c>
      <c r="CJ12" s="210" t="str">
        <f>IF(AND(C12="Skema 2",B12="ti"),Skemaoplysninger!$U$31,"")</f>
        <v/>
      </c>
      <c r="CK12" s="210" t="str">
        <f>IF(AND(C12="Skema 2",B12="on"),Skemaoplysninger!$W$31,"")</f>
        <v/>
      </c>
      <c r="CL12" s="210" t="str">
        <f>IF(AND(C12="Skema 2",B12="to"),Skemaoplysninger!$Y$31,"")</f>
        <v/>
      </c>
      <c r="CM12" s="210" t="str">
        <f>IF(AND(C12="Skema 2",B12="fr"),Skemaoplysninger!$AA$31,"")</f>
        <v/>
      </c>
      <c r="CN12" s="210" t="str">
        <f>IF(AND(C12="Skema 3",B12="ma"),Skemaoplysninger!$AG$31,"")</f>
        <v/>
      </c>
      <c r="CO12" s="210" t="str">
        <f>IF(AND(C12="Skema 3",B12="ti"),Skemaoplysninger!$AI$31,"")</f>
        <v/>
      </c>
      <c r="CP12" s="210" t="str">
        <f>IF(AND(C12="Skema 3",B12="on"),Skemaoplysninger!$AK$31,"")</f>
        <v/>
      </c>
      <c r="CQ12" s="210" t="str">
        <f>IF(AND(C12="Skema 3",B12="to"),Skemaoplysninger!$AM$31,"")</f>
        <v/>
      </c>
      <c r="CR12" s="210" t="str">
        <f>IF(AND(C12="Skema 3",B12="fr"),Skemaoplysninger!$AO$31,"")</f>
        <v/>
      </c>
      <c r="CS12" s="210" t="str">
        <f>IF(AND(C12="Skema 4",B12="ma"),Skemaoplysninger!$AU$31,"")</f>
        <v/>
      </c>
      <c r="CT12" s="210" t="str">
        <f>IF(AND(C12="Skema 4",B12="ti"),Skemaoplysninger!$AW$31,"")</f>
        <v/>
      </c>
      <c r="CU12" s="210" t="str">
        <f>IF(AND(C12="Skema 4",B12="on"),Skemaoplysninger!$AY$31,"")</f>
        <v/>
      </c>
      <c r="CV12" s="210" t="str">
        <f>IF(AND(C12="Skema 4",B12="to"),Skemaoplysninger!$BA$31,"")</f>
        <v/>
      </c>
      <c r="CW12" s="210" t="str">
        <f>IF(AND(C12="Skema 4",B12="fr"),Skemaoplysninger!$BC$31,"")</f>
        <v/>
      </c>
      <c r="CX12" s="249">
        <f>IF(Stamoplysninger!$H$29="NEJ",SUM(CD12:CW12)*24+CB12+CC12,0)</f>
        <v>0</v>
      </c>
      <c r="CY12" s="249">
        <f>IF(C12="Skema 1",Stamoplysninger!$H$30/200,0)</f>
        <v>0</v>
      </c>
      <c r="CZ12" s="249">
        <f>IF(C12="Skema 2",Stamoplysninger!$H$30/200,0)</f>
        <v>0</v>
      </c>
      <c r="DA12" s="249">
        <f>IF(C12="Skema 3",Stamoplysninger!$H$30/200,0)</f>
        <v>0</v>
      </c>
      <c r="DB12" s="249">
        <f>IF(C12="Skema 4",Stamoplysninger!$H$30/200,0)</f>
        <v>0</v>
      </c>
      <c r="DC12" s="249">
        <f>IF(C12="fagdag",Stamoplysninger!$H$30/200,0)</f>
        <v>0</v>
      </c>
      <c r="DD12" s="249">
        <f>IF(C12="emnedag",Stamoplysninger!$H$30/200,0)</f>
        <v>0</v>
      </c>
      <c r="DE12" s="249">
        <f>IF(C12="lejrskole",Stamoplysninger!$H$30/200,0)</f>
        <v>0</v>
      </c>
      <c r="DF12" s="249">
        <f>IF(C12="ekskursion",Stamoplysninger!$H$30/200,0)</f>
        <v>0</v>
      </c>
      <c r="DG12" s="249">
        <f t="shared" si="26"/>
        <v>0</v>
      </c>
      <c r="DH12" t="str">
        <f t="shared" si="27"/>
        <v/>
      </c>
      <c r="DI12">
        <f t="shared" si="28"/>
        <v>0</v>
      </c>
      <c r="DJ12">
        <f t="shared" si="29"/>
        <v>0</v>
      </c>
      <c r="DK12" t="str">
        <f t="shared" si="15"/>
        <v/>
      </c>
      <c r="DL12" t="str">
        <f t="shared" si="15"/>
        <v/>
      </c>
      <c r="DM12" t="str">
        <f t="shared" si="30"/>
        <v/>
      </c>
      <c r="DN12" t="str">
        <f t="shared" si="31"/>
        <v/>
      </c>
      <c r="DO12" s="652">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71">
        <f>IF(AND(Stamoplysninger!$B$22="Ulempetillæg udbetales med 25% af nettotimelønnen.",C12="ikke relevant"),(R12)/4,0)</f>
        <v>0</v>
      </c>
      <c r="DT12" s="671">
        <f>IF(AND(AND(Stamoplysninger!$B$22="Ulempetillæg udbetales med 25% af nettotimelønnen.",I12="X",C12="Ikke relevant")),K12/4,0)</f>
        <v>0</v>
      </c>
      <c r="DU12" s="671">
        <f>IF(AND(AND(Stamoplysninger!$B$22="Ulempetillæg udbetales med 25% af nettotimelønnen.",C12="ikke relevant",U12="X")),(X12/4),0)</f>
        <v>0</v>
      </c>
      <c r="DV12" s="672">
        <f>IF(AND(AND(AND(Stamoplysninger!$B$22="Ulempetillæg udbetales med 25% af nettotimelønnen.",I12="X",C12="Ikke relevant",S12="X"))),V12/4,0)</f>
        <v>0</v>
      </c>
      <c r="DW12" s="652"/>
      <c r="DZ12" s="671"/>
      <c r="EA12" s="671"/>
      <c r="EB12" s="672"/>
      <c r="EC12" s="652">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71">
        <f>IF(AND(Stamoplysninger!$B$22="Ulempetillæg afspadseres med 25%(Kræver en aftale imellem ledelsen og den ansatte)",C12="ikke relevant"),(R12)/4,0)</f>
        <v>0</v>
      </c>
      <c r="EH12" s="671">
        <f>IF(AND(AND(Stamoplysninger!$B$22="Ulempetillæg afspadseres med 25%(Kræver en aftale imellem ledelsen og den ansatte)",I12="X",C12="Ikke relevant")),K12/4,0)</f>
        <v>0</v>
      </c>
      <c r="EI12" s="671">
        <f>IF(AND(AND(Stamoplysninger!$B$22="Ulempetillæg afspadseres med 25%(Kræver en aftale imellem ledelsen og den ansatte)",U12="X",C12="Ikke relevant")),X12/4,0)</f>
        <v>0</v>
      </c>
      <c r="EJ12" s="671">
        <f>IF(AND(AND(AND(Stamoplysninger!$B$22="Ulempetillæg afspadseres med 25%(Kræver en aftale imellem ledelsen og den ansatte)",I12="X",C12="Ikke relevant",S12="X"))),V12/4,0)</f>
        <v>0</v>
      </c>
      <c r="EK12" s="283">
        <f>IF(AND(Stamoplysninger!$B$26="Weekendtimer og weekendtillæg afspadseres.",I12="X"),K12*1.5,0)</f>
        <v>0</v>
      </c>
      <c r="EL12" s="251">
        <f>IF(AND(AND(Stamoplysninger!$B$26="Weekendtimer og weekendtillæg afspadseres.",I12="X",S12="X")),V12*1.5,0)</f>
        <v>0</v>
      </c>
      <c r="EM12" s="674">
        <f>IF(AND(AND(Stamoplysninger!$B$26="Weekendtimer og weekendtillæg afspadseres.",I12="X",C12="ikke relevant")),K12*1.5,0)</f>
        <v>0</v>
      </c>
      <c r="EN12" s="675">
        <f>IF(AND(AND(AND(Stamoplysninger!$B$26="Weekendtimer og weekendtillæg afspadseres.",I12="X",C12="ikke relevant",S12="X"))),(V12*1.5),0)</f>
        <v>0</v>
      </c>
      <c r="EO12" s="283">
        <f>IF(AND(Stamoplysninger!$B$26="Weekendtimer og weekendtillæg udbetales.",I12="X"),K12*1.5,0)</f>
        <v>0</v>
      </c>
      <c r="EP12" s="251">
        <f>IF(AND(AND(Stamoplysninger!$B$26="Weekendtimer og weekendtillæg udbetales.",I12="X",S12="X")),V12*1.5,0)</f>
        <v>0</v>
      </c>
      <c r="EQ12" s="674">
        <f>IF(AND(AND(Stamoplysninger!$B$26="Weekendtimer og weekendtillæg udbetales.",I12="X",C12="ikke relevant")),K12*1.5,0)</f>
        <v>0</v>
      </c>
      <c r="ER12" s="675">
        <f>IF(AND(AND(AND(Stamoplysninger!$B$26="Weekendtimer og weekendtillæg udbetales.",I12="X",C12="ikke relevant",S12="X"))),(V12*1.5),0)</f>
        <v>0</v>
      </c>
      <c r="ES12" s="283">
        <f>IF(AND(Stamoplysninger!$B$26="Der er indgået lokalaftale omkring weekendtimer.(Kræver aftale med TR/FSL) Weekendtillæg afspadseres.",I12="X"),K12*0.5,0)</f>
        <v>0</v>
      </c>
      <c r="ET12" s="251">
        <f>IF(AND(AND(Stamoplysninger!$B$26="Der er indgået lokalaftale omkring weekendtimer.(Kræver aftale med TR/FSL) Weekendtillæg afspadseres.",I12="X",S12="X")),V12*0.5,0)</f>
        <v>0</v>
      </c>
      <c r="EU12" s="674">
        <f>IF(AND(AND(Stamoplysninger!$B$26="Der er indgået lokalaftale omkring weekendtimer.(Kræver aftale med TR/FSL) Weekendtillæg afspadseres.",I12="X",C12="ikke relevant")),K12*0.5,0)</f>
        <v>0</v>
      </c>
      <c r="EV12" s="675">
        <f>IF(AND(AND(AND(Stamoplysninger!$B$26="Der er indgået lokalaftale omkring weekendtimer.(Kræver aftale med TR/FSL) Weekendtillæg afspadseres.",I12="X",C12="ikke relevant",S12="X"))),(V12*0.5),0)</f>
        <v>0</v>
      </c>
      <c r="EW12" s="283">
        <f>IF(AND(Stamoplysninger!$B$26="Der er indgået lokalaftale omkring weekendtimer(Kræver aftale med TR/FSL). Weekendtillæg udbetales.",I12="X"),K12*0.5,0)</f>
        <v>0</v>
      </c>
      <c r="EX12" s="251">
        <f>IF(AND(AND(Stamoplysninger!$B$26="Der er indgået lokalaftale omkring weekendtimer(Kræver aftale med TR/FSL). Weekendtillæg udbetales.",I12="X",S12="X")),V12*0.5,0)</f>
        <v>0</v>
      </c>
      <c r="EY12" s="674">
        <f>IF(AND(AND(Stamoplysninger!$B$26="Der er indgået lokalaftale omkring weekendtimer(Kræver aftale med TR/FSL). Weekendtillæg udbetales.",I12="X",C12="ikke relevant")),K12*0.5,0)</f>
        <v>0</v>
      </c>
      <c r="EZ12" s="675">
        <f>IF(AND(AND(AND(Stamoplysninger!$B$26="Der er indgået lokalaftale omkring weekendtimer(Kræver aftale med TR/FSL). Weekendtillæg udbetales.",I12="X",C12="ikke relevant",S12="X"))),(V12*0.5),0)</f>
        <v>0</v>
      </c>
      <c r="FA12" s="283">
        <f>IF(AND(Stamoplysninger!$B$26="Der er indgået lokalaftale omkring weekendtillæg(Kræver aftale med TR/FSL). Weekendtimerne afspadseres.",I12="X"),K12,0)</f>
        <v>0</v>
      </c>
      <c r="FB12" s="251">
        <f>IF(AND(AND(Stamoplysninger!$B$26="Der er indgået lokalaftale omkring weekendtillæg(Kræver aftale med TR/FSL). Weekendtimerne afspadseres.",I12="X",S12="X")),V12,0)</f>
        <v>0</v>
      </c>
      <c r="FC12" s="674">
        <f>IF(AND(AND(Stamoplysninger!$B$26="Der er indgået lokalaftale omkring weekendtillæg(Kræver aftale med TR/FSL). Weekendtimerne afspadseres..",I12="X",C12="ikke relevant")),K12,0)</f>
        <v>0</v>
      </c>
      <c r="FD12" s="675">
        <f>IF(AND(AND(AND(Stamoplysninger!$B$26="Der er indgået lokalaftale omkring weekendtillæg(Kræver aftale med TR/FSL). Weekendtimerne afspadseres.",I12="X",C12="ikke relevant",S12="X"))),(V12),0)</f>
        <v>0</v>
      </c>
      <c r="FE12" s="283">
        <f>IF(AND(Stamoplysninger!$B$26="Der er indgået lokalaftale omkring weekendtillæg(Kræver aftale med TR/FSL). Weekendtimerne udbetales.",I12="X"),K12,0)</f>
        <v>0</v>
      </c>
      <c r="FF12" s="251">
        <f>IF(AND(AND(Stamoplysninger!$B$26="Der er indgået lokalaftale omkring weekendtillæg(Kræver aftale med TR/FSL). Weekendtimerne udbetales.",I12="X",S12="X")),V12,0)</f>
        <v>0</v>
      </c>
      <c r="FG12" s="674">
        <f>IF(AND(AND(Stamoplysninger!$B$26="Der er indgået lokalaftale omkring weekendtillæg(Kræver aftale med TR/FSL). Weekendtimerne udbetales.",I12="X",C12="ikke relevant")),K12,0)</f>
        <v>0</v>
      </c>
      <c r="FH12" s="675">
        <f>IF(AND(AND(AND(Stamoplysninger!$B$26="Der er indgået lokalaftale omkring weekendtillæg(Kræver aftale med TR/FSL). Weekendtimerne udbetales.",I12="X",C12="ikke relevant",S12="X"))),(V12),0)</f>
        <v>0</v>
      </c>
      <c r="FI12" s="283">
        <f>IF(AND(Stamoplysninger!$B$26="Weekendtimer og weekendtillæg afspadseres.",I12="X"),K12,0)</f>
        <v>0</v>
      </c>
      <c r="FJ12" s="251">
        <f>IF(AND(Stamoplysninger!$B$26="Weekendtimer og weekendtillæg afspadseres.",Y12="X"),(AA12+AL12)/2,0)</f>
        <v>0</v>
      </c>
      <c r="FK12" s="674">
        <f>IF(AND(AND(Stamoplysninger!$B$26="Weekendtimer og weekendtillæg afspadseres.",I12="X",C12="ikke relevant")),K12,0)</f>
        <v>0</v>
      </c>
      <c r="FL12" s="675">
        <f>IF(AND(AND(Stamoplysninger!$B$26="Weekendtimer og weekendtillæg afspadseres.",Y12="X",S12="ikke relevant")),(AA12+AL12)/2,0)</f>
        <v>0</v>
      </c>
      <c r="FM12" s="283">
        <f>IF(AND(Stamoplysninger!$B$26="Der er indgået lokalaftale omkring weekendtillæg(Kræver aftale med TR/FSL). Weekendtimerne afspadseres.",I12="X"),K12,0)</f>
        <v>0</v>
      </c>
      <c r="FN12" s="674">
        <f>IF(AND(AND(Stamoplysninger!$B$26="Der er indgået lokalaftale omkring weekendtillæg(Kræver aftale med TR/FSL). Weekendtimerne afspadseres.",I12="X",C12="ikke relevant")),K12,0)</f>
        <v>0</v>
      </c>
      <c r="FO12" s="283">
        <f>IF(AND(Stamoplysninger!$B$26="Weekendtimer og weekendtillæg udbetales.",I12="X"),K12,0)</f>
        <v>0</v>
      </c>
      <c r="FP12" s="251">
        <f>IF(AND(Stamoplysninger!$B$26="Weekendtimer og weekendtillæg udbetales.",AA12="X"),(AC12+AN12)/2,0)</f>
        <v>0</v>
      </c>
      <c r="FQ12" s="674">
        <f>IF(AND(AND(Stamoplysninger!$B$26="Weekendtimer og weekendtillæg udbetales.",I12="X",C12="ikke relevant")),K12,0)</f>
        <v>0</v>
      </c>
      <c r="FR12" s="688">
        <f>IF(AND(AND(Stamoplysninger!$B$26="Weekendtimer og weekendtillæg udbetales.",AA12="X",U12="ikke relevant")),(AC12+AN12)/2,0)</f>
        <v>0</v>
      </c>
      <c r="FS12" s="283">
        <f t="shared" si="16"/>
        <v>0</v>
      </c>
      <c r="FT12" s="658">
        <f t="shared" si="17"/>
        <v>0</v>
      </c>
      <c r="FU12">
        <f t="shared" si="18"/>
        <v>0</v>
      </c>
      <c r="FV12" s="283">
        <f>IF(AND(Stamoplysninger!$B$26="Der er indgået lokalaftale omkring weekendtimer.(Kræver aftale med TR/FSL) Weekendtillæg afspadseres.",I12="X"),K12,0)</f>
        <v>0</v>
      </c>
      <c r="FW12" s="674">
        <f>IF(AND(AND(Stamoplysninger!$B$26="Der er indgået lokalaftale omkring weekendtimer.(Kræver aftale med TR/FSL) Weekendtillæg afspadseres.",I12="X",C12="ikke relevant")),K12,0)</f>
        <v>0</v>
      </c>
      <c r="FX12" s="283">
        <f>IF(AND(Stamoplysninger!$B$26="Der er indgået lokalaftale omkring weekendtimer(Kræver aftale med TR/FSL). Weekendtillæg udbetales.",I12="X"),K12,0)</f>
        <v>0</v>
      </c>
      <c r="FY12" s="674">
        <f>IF(AND(AND(Stamoplysninger!$B$26="Der er indgået lokalaftale omkring weekendtimer(Kræver aftale med TR/FSL). Weekendtillæg udbetales.",I12="X",C12="ikke relevant")),K12,0)</f>
        <v>0</v>
      </c>
      <c r="FZ12" s="283">
        <f>IF(AND(Stamoplysninger!$B$26="Der er indgået lokalaftale omkring weekendtillæg(Kræver aftale med TR/FSL). Weekendtimerne udbetales.",I12="X"),K12,0)</f>
        <v>0</v>
      </c>
      <c r="GA12" s="674">
        <f>IF(AND(AND(Stamoplysninger!$B$26="Der er indgået lokalaftale omkring weekendtillæg(Kræver aftale med TR/FSL). Weekendtimerne udbetales.",I12="X",C12="ikke relevant")),K12,0)</f>
        <v>0</v>
      </c>
      <c r="GB12" s="283">
        <f>IF(AND(Stamoplysninger!$B$26="Der er indgået lokalaftale omkring weekendtimer og weekendtillæg.(Kræver aftale med TR/FSL).",I12="X"),K12,0)</f>
        <v>0</v>
      </c>
      <c r="GC12" s="674">
        <f>IF(AND(AND(Stamoplysninger!$B$26="Der er indgået lokalaftale omkring weekendtimer og weekendtillæg.(Kræver aftale med TR/FSL).",I12="X",C12="ikke relevant")),K12,0)</f>
        <v>0</v>
      </c>
    </row>
    <row r="13" spans="1:185">
      <c r="A13" s="245">
        <f t="shared" si="19"/>
        <v>4</v>
      </c>
      <c r="B13" s="128" t="str">
        <f t="shared" si="0"/>
        <v>sø</v>
      </c>
      <c r="C13" s="129" t="s">
        <v>120</v>
      </c>
      <c r="D13" s="130" t="str">
        <f t="shared" si="1"/>
        <v/>
      </c>
      <c r="E13" s="917"/>
      <c r="F13" s="918"/>
      <c r="G13" s="919"/>
      <c r="H13" s="298"/>
      <c r="I13" s="413"/>
      <c r="J13" s="413"/>
      <c r="K13" s="380"/>
      <c r="L13" s="380"/>
      <c r="M13" s="380"/>
      <c r="N13" s="318">
        <f t="shared" si="20"/>
        <v>0</v>
      </c>
      <c r="O13" s="318">
        <f t="shared" si="21"/>
        <v>0</v>
      </c>
      <c r="P13" s="318">
        <f>IF(Stamoplysninger!$H$29="JA",August!DG13,CX13)</f>
        <v>0</v>
      </c>
      <c r="Q13" s="318">
        <f t="shared" si="22"/>
        <v>0</v>
      </c>
      <c r="R13" s="412"/>
      <c r="S13" s="324"/>
      <c r="T13" s="325"/>
      <c r="U13" s="325"/>
      <c r="V13" s="435"/>
      <c r="W13" s="412"/>
      <c r="X13" s="642"/>
      <c r="Y13">
        <f t="shared" si="23"/>
        <v>0</v>
      </c>
      <c r="Z13">
        <f t="shared" si="2"/>
        <v>0</v>
      </c>
      <c r="AA13" s="1">
        <f t="shared" si="3"/>
        <v>0</v>
      </c>
      <c r="AB13" s="1">
        <f t="shared" si="4"/>
        <v>0</v>
      </c>
      <c r="AC13" s="1">
        <f t="shared" si="5"/>
        <v>0</v>
      </c>
      <c r="AD13" s="1">
        <f t="shared" si="6"/>
        <v>0</v>
      </c>
      <c r="AE13" s="1">
        <f t="shared" si="7"/>
        <v>0</v>
      </c>
      <c r="AF13" s="1">
        <f>IF(C13="Orlov",Stamoplysninger!$E$15*7.4,0)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8"/>
        <v>0</v>
      </c>
      <c r="BB13" s="229">
        <f t="shared" si="9"/>
        <v>0</v>
      </c>
      <c r="BC13" s="1">
        <f t="shared" si="24"/>
        <v>0</v>
      </c>
      <c r="BD13" s="1">
        <f t="shared" si="10"/>
        <v>0</v>
      </c>
      <c r="BE13" s="1">
        <f t="shared" si="11"/>
        <v>0</v>
      </c>
      <c r="BF13" s="1">
        <f t="shared" si="12"/>
        <v>0</v>
      </c>
      <c r="BG13" s="210" t="str">
        <f>IF(AND(C13="Skema 1",B13="ma"),Skemaoplysninger!$E$30,"")</f>
        <v/>
      </c>
      <c r="BH13" s="210" t="str">
        <f>IF(AND(C13="Skema 1",B13="ti"),Skemaoplysninger!$G$30,"")</f>
        <v/>
      </c>
      <c r="BI13" s="210" t="str">
        <f>IF(AND(C13="Skema 1",B13="on"),Skemaoplysninger!$I$30,"")</f>
        <v/>
      </c>
      <c r="BJ13" s="210" t="str">
        <f>IF(AND(C13="Skema 1",B13="to"),Skemaoplysninger!$K$30,"")</f>
        <v/>
      </c>
      <c r="BK13" s="210" t="str">
        <f>IF(AND(C13="Skema 1",B13="fr"),Skemaoplysninger!$M$30,"")</f>
        <v/>
      </c>
      <c r="BL13" s="210" t="str">
        <f>IF(AND(C13="Skema 2",B13="ma"),Skemaoplysninger!$S$30,"")</f>
        <v/>
      </c>
      <c r="BM13" s="210" t="str">
        <f>IF(AND(C13="Skema 2",B13="ti"),Skemaoplysninger!$U$30,"")</f>
        <v/>
      </c>
      <c r="BN13" s="210" t="str">
        <f>IF(AND(C13="Skema 2",B13="on"),Skemaoplysninger!$W$30,"")</f>
        <v/>
      </c>
      <c r="BO13" s="210" t="str">
        <f>IF(AND(C13="Skema 2",B13="to"),Skemaoplysninger!$Y$30,"")</f>
        <v/>
      </c>
      <c r="BP13" s="210" t="str">
        <f>IF(AND(C13="Skema 2",B13="fr"),Skemaoplysninger!$AA$30,"")</f>
        <v/>
      </c>
      <c r="BQ13" s="210" t="str">
        <f>IF(AND(C13="Skema 3",B13="ma"),Skemaoplysninger!$AG$30,"")</f>
        <v/>
      </c>
      <c r="BR13" s="210" t="str">
        <f>IF(AND(C13="Skema 3",B13="ti"),Skemaoplysninger!$AI$30,"")</f>
        <v/>
      </c>
      <c r="BS13" s="210" t="str">
        <f>IF(AND(C13="Skema 3",B13="on"),Skemaoplysninger!$AK$30,"")</f>
        <v/>
      </c>
      <c r="BT13" s="210" t="str">
        <f>IF(AND(C13="Skema 3",B13="to"),Skemaoplysninger!$AM$30,"")</f>
        <v/>
      </c>
      <c r="BU13" s="210" t="str">
        <f>IF(AND(C13="Skema 3",B13="fr"),Skemaoplysninger!$AO$30,"")</f>
        <v/>
      </c>
      <c r="BV13" s="210" t="str">
        <f>IF(AND(C13="Skema 4",B13="ma"),Skemaoplysninger!$AU$30,"")</f>
        <v/>
      </c>
      <c r="BW13" s="210" t="str">
        <f>IF(AND(C13="Skema 4",B13="ti"),Skemaoplysninger!$AW$30,"")</f>
        <v/>
      </c>
      <c r="BX13" s="210" t="str">
        <f>IF(AND(C13="Skema 4",B13="on"),Skemaoplysninger!$AY$30,"")</f>
        <v/>
      </c>
      <c r="BY13" s="210" t="str">
        <f>IF(AND(C13="Skema 4",B13="to"),Skemaoplysninger!$BA$30,"")</f>
        <v/>
      </c>
      <c r="BZ13" s="210" t="str">
        <f>IF(AND(C13="Skema 4",B13="fr"),Skemaoplysninger!$BC$30,"")</f>
        <v/>
      </c>
      <c r="CA13" s="1">
        <f t="shared" si="25"/>
        <v>0</v>
      </c>
      <c r="CB13" s="1">
        <f t="shared" si="13"/>
        <v>0</v>
      </c>
      <c r="CC13" s="1">
        <f t="shared" si="14"/>
        <v>0</v>
      </c>
      <c r="CD13" s="210" t="str">
        <f>IF(AND(C13="Skema 1",B13="ma"),Skemaoplysninger!$E$31,"")</f>
        <v/>
      </c>
      <c r="CE13" s="210" t="str">
        <f>IF(AND(C13="Skema 1",B13="ti"),Skemaoplysninger!$G$31,"")</f>
        <v/>
      </c>
      <c r="CF13" s="210" t="str">
        <f>IF(AND(C13="Skema 1",B13="on"),Skemaoplysninger!$I$31,"")</f>
        <v/>
      </c>
      <c r="CG13" s="210" t="str">
        <f>IF(AND(C13="Skema 1",B13="to"),Skemaoplysninger!$K$31,"")</f>
        <v/>
      </c>
      <c r="CH13" s="210" t="str">
        <f>IF(AND(C13="Skema 1",B13="fr"),Skemaoplysninger!$M$31,"")</f>
        <v/>
      </c>
      <c r="CI13" s="210" t="str">
        <f>IF(AND(C13="Skema 2",B13="ma"),Skemaoplysninger!$S$31,"")</f>
        <v/>
      </c>
      <c r="CJ13" s="210" t="str">
        <f>IF(AND(C13="Skema 2",B13="ti"),Skemaoplysninger!$U$31,"")</f>
        <v/>
      </c>
      <c r="CK13" s="210" t="str">
        <f>IF(AND(C13="Skema 2",B13="on"),Skemaoplysninger!$W$31,"")</f>
        <v/>
      </c>
      <c r="CL13" s="210" t="str">
        <f>IF(AND(C13="Skema 2",B13="to"),Skemaoplysninger!$Y$31,"")</f>
        <v/>
      </c>
      <c r="CM13" s="210" t="str">
        <f>IF(AND(C13="Skema 2",B13="fr"),Skemaoplysninger!$AA$31,"")</f>
        <v/>
      </c>
      <c r="CN13" s="210" t="str">
        <f>IF(AND(C13="Skema 3",B13="ma"),Skemaoplysninger!$AG$31,"")</f>
        <v/>
      </c>
      <c r="CO13" s="210" t="str">
        <f>IF(AND(C13="Skema 3",B13="ti"),Skemaoplysninger!$AI$31,"")</f>
        <v/>
      </c>
      <c r="CP13" s="210" t="str">
        <f>IF(AND(C13="Skema 3",B13="on"),Skemaoplysninger!$AK$31,"")</f>
        <v/>
      </c>
      <c r="CQ13" s="210" t="str">
        <f>IF(AND(C13="Skema 3",B13="to"),Skemaoplysninger!$AM$31,"")</f>
        <v/>
      </c>
      <c r="CR13" s="210" t="str">
        <f>IF(AND(C13="Skema 3",B13="fr"),Skemaoplysninger!$AO$31,"")</f>
        <v/>
      </c>
      <c r="CS13" s="210" t="str">
        <f>IF(AND(C13="Skema 4",B13="ma"),Skemaoplysninger!$AU$31,"")</f>
        <v/>
      </c>
      <c r="CT13" s="210" t="str">
        <f>IF(AND(C13="Skema 4",B13="ti"),Skemaoplysninger!$AW$31,"")</f>
        <v/>
      </c>
      <c r="CU13" s="210" t="str">
        <f>IF(AND(C13="Skema 4",B13="on"),Skemaoplysninger!$AY$31,"")</f>
        <v/>
      </c>
      <c r="CV13" s="210" t="str">
        <f>IF(AND(C13="Skema 4",B13="to"),Skemaoplysninger!$BA$31,"")</f>
        <v/>
      </c>
      <c r="CW13" s="210" t="str">
        <f>IF(AND(C13="Skema 4",B13="fr"),Skemaoplysninger!$BC$31,"")</f>
        <v/>
      </c>
      <c r="CX13" s="249">
        <f>IF(Stamoplysninger!$H$29="NEJ",SUM(CD13:CW13)*24+CB13+CC13,0)</f>
        <v>0</v>
      </c>
      <c r="CY13" s="249">
        <f>IF(C13="Skema 1",Stamoplysninger!$H$30/200,0)</f>
        <v>0</v>
      </c>
      <c r="CZ13" s="249">
        <f>IF(C13="Skema 2",Stamoplysninger!$H$30/200,0)</f>
        <v>0</v>
      </c>
      <c r="DA13" s="249">
        <f>IF(C13="Skema 3",Stamoplysninger!$H$30/200,0)</f>
        <v>0</v>
      </c>
      <c r="DB13" s="249">
        <f>IF(C13="Skema 4",Stamoplysninger!$H$30/200,0)</f>
        <v>0</v>
      </c>
      <c r="DC13" s="249">
        <f>IF(C13="fagdag",Stamoplysninger!$H$30/200,0)</f>
        <v>0</v>
      </c>
      <c r="DD13" s="249">
        <f>IF(C13="emnedag",Stamoplysninger!$H$30/200,0)</f>
        <v>0</v>
      </c>
      <c r="DE13" s="249">
        <f>IF(C13="lejrskole",Stamoplysninger!$H$30/200,0)</f>
        <v>0</v>
      </c>
      <c r="DF13" s="249">
        <f>IF(C13="ekskursion",Stamoplysninger!$H$30/200,0)</f>
        <v>0</v>
      </c>
      <c r="DG13" s="249">
        <f t="shared" si="26"/>
        <v>0</v>
      </c>
      <c r="DH13" t="str">
        <f t="shared" si="27"/>
        <v/>
      </c>
      <c r="DI13">
        <f t="shared" si="28"/>
        <v>0</v>
      </c>
      <c r="DJ13">
        <f>IF(E13="",H13,"")</f>
        <v>0</v>
      </c>
      <c r="DK13" t="str">
        <f t="shared" si="15"/>
        <v/>
      </c>
      <c r="DL13" t="str">
        <f t="shared" si="15"/>
        <v/>
      </c>
      <c r="DM13" t="str">
        <f t="shared" si="30"/>
        <v/>
      </c>
      <c r="DN13" t="str">
        <f t="shared" si="31"/>
        <v/>
      </c>
      <c r="DO13" s="652">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71">
        <f>IF(AND(Stamoplysninger!$B$22="Ulempetillæg udbetales med 25% af nettotimelønnen.",C13="ikke relevant"),(R13)/4,0)</f>
        <v>0</v>
      </c>
      <c r="DT13" s="671">
        <f>IF(AND(AND(Stamoplysninger!$B$22="Ulempetillæg udbetales med 25% af nettotimelønnen.",I13="X",C13="Ikke relevant")),K13/4,0)</f>
        <v>0</v>
      </c>
      <c r="DU13" s="671">
        <f>IF(AND(AND(Stamoplysninger!$B$22="Ulempetillæg udbetales med 25% af nettotimelønnen.",C13="ikke relevant",U13="X")),(X13/4),0)</f>
        <v>0</v>
      </c>
      <c r="DV13" s="672">
        <f>IF(AND(AND(AND(Stamoplysninger!$B$22="Ulempetillæg udbetales med 25% af nettotimelønnen.",I13="X",C13="Ikke relevant",S13="X"))),V13/4,0)</f>
        <v>0</v>
      </c>
      <c r="DW13" s="652"/>
      <c r="DZ13" s="671"/>
      <c r="EA13" s="671"/>
      <c r="EB13" s="672"/>
      <c r="EC13" s="652">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71">
        <f>IF(AND(Stamoplysninger!$B$22="Ulempetillæg afspadseres med 25%(Kræver en aftale imellem ledelsen og den ansatte)",C13="ikke relevant"),(R13)/4,0)</f>
        <v>0</v>
      </c>
      <c r="EH13" s="671">
        <f>IF(AND(AND(Stamoplysninger!$B$22="Ulempetillæg afspadseres med 25%(Kræver en aftale imellem ledelsen og den ansatte)",I13="X",C13="Ikke relevant")),K13/4,0)</f>
        <v>0</v>
      </c>
      <c r="EI13" s="671">
        <f>IF(AND(AND(Stamoplysninger!$B$22="Ulempetillæg afspadseres med 25%(Kræver en aftale imellem ledelsen og den ansatte)",U13="X",C13="Ikke relevant")),X13/4,0)</f>
        <v>0</v>
      </c>
      <c r="EJ13" s="671">
        <f>IF(AND(AND(AND(Stamoplysninger!$B$22="Ulempetillæg afspadseres med 25%(Kræver en aftale imellem ledelsen og den ansatte)",I13="X",C13="Ikke relevant",S13="X"))),V13/4,0)</f>
        <v>0</v>
      </c>
      <c r="EK13" s="283">
        <f>IF(AND(Stamoplysninger!$B$26="Weekendtimer og weekendtillæg afspadseres.",I13="X"),K13*1.5,0)</f>
        <v>0</v>
      </c>
      <c r="EL13" s="251">
        <f>IF(AND(AND(Stamoplysninger!$B$26="Weekendtimer og weekendtillæg afspadseres.",I13="X",S13="X")),V13*1.5,0)</f>
        <v>0</v>
      </c>
      <c r="EM13" s="674">
        <f>IF(AND(AND(Stamoplysninger!$B$26="Weekendtimer og weekendtillæg afspadseres.",I13="X",C13="ikke relevant")),K13*1.5,0)</f>
        <v>0</v>
      </c>
      <c r="EN13" s="675">
        <f>IF(AND(AND(AND(Stamoplysninger!$B$26="Weekendtimer og weekendtillæg afspadseres.",I13="X",C13="ikke relevant",S13="X"))),(V13*1.5),0)</f>
        <v>0</v>
      </c>
      <c r="EO13" s="283">
        <f>IF(AND(Stamoplysninger!$B$26="Weekendtimer og weekendtillæg udbetales.",I13="X"),K13*1.5,0)</f>
        <v>0</v>
      </c>
      <c r="EP13" s="251">
        <f>IF(AND(AND(Stamoplysninger!$B$26="Weekendtimer og weekendtillæg udbetales.",I13="X",S13="X")),V13*1.5,0)</f>
        <v>0</v>
      </c>
      <c r="EQ13" s="674">
        <f>IF(AND(AND(Stamoplysninger!$B$26="Weekendtimer og weekendtillæg udbetales.",I13="X",C13="ikke relevant")),K13*1.5,0)</f>
        <v>0</v>
      </c>
      <c r="ER13" s="675">
        <f>IF(AND(AND(AND(Stamoplysninger!$B$26="Weekendtimer og weekendtillæg udbetales.",I13="X",C13="ikke relevant",S13="X"))),(V13*1.5),0)</f>
        <v>0</v>
      </c>
      <c r="ES13" s="283">
        <f>IF(AND(Stamoplysninger!$B$26="Der er indgået lokalaftale omkring weekendtimer.(Kræver aftale med TR/FSL) Weekendtillæg afspadseres.",I13="X"),K13*0.5,0)</f>
        <v>0</v>
      </c>
      <c r="ET13" s="251">
        <f>IF(AND(AND(Stamoplysninger!$B$26="Der er indgået lokalaftale omkring weekendtimer.(Kræver aftale med TR/FSL) Weekendtillæg afspadseres.",I13="X",S13="X")),V13*0.5,0)</f>
        <v>0</v>
      </c>
      <c r="EU13" s="674">
        <f>IF(AND(AND(Stamoplysninger!$B$26="Der er indgået lokalaftale omkring weekendtimer.(Kræver aftale med TR/FSL) Weekendtillæg afspadseres.",I13="X",C13="ikke relevant")),K13*0.5,0)</f>
        <v>0</v>
      </c>
      <c r="EV13" s="675">
        <f>IF(AND(AND(AND(Stamoplysninger!$B$26="Der er indgået lokalaftale omkring weekendtimer.(Kræver aftale med TR/FSL) Weekendtillæg afspadseres.",I13="X",C13="ikke relevant",S13="X"))),(V13*0.5),0)</f>
        <v>0</v>
      </c>
      <c r="EW13" s="283">
        <f>IF(AND(Stamoplysninger!$B$26="Der er indgået lokalaftale omkring weekendtimer(Kræver aftale med TR/FSL). Weekendtillæg udbetales.",I13="X"),K13*0.5,0)</f>
        <v>0</v>
      </c>
      <c r="EX13" s="251">
        <f>IF(AND(AND(Stamoplysninger!$B$26="Der er indgået lokalaftale omkring weekendtimer(Kræver aftale med TR/FSL). Weekendtillæg udbetales.",I13="X",S13="X")),V13*0.5,0)</f>
        <v>0</v>
      </c>
      <c r="EY13" s="674">
        <f>IF(AND(AND(Stamoplysninger!$B$26="Der er indgået lokalaftale omkring weekendtimer(Kræver aftale med TR/FSL). Weekendtillæg udbetales.",I13="X",C13="ikke relevant")),K13*0.5,0)</f>
        <v>0</v>
      </c>
      <c r="EZ13" s="675">
        <f>IF(AND(AND(AND(Stamoplysninger!$B$26="Der er indgået lokalaftale omkring weekendtimer(Kræver aftale med TR/FSL). Weekendtillæg udbetales.",I13="X",C13="ikke relevant",S13="X"))),(V13*0.5),0)</f>
        <v>0</v>
      </c>
      <c r="FA13" s="283">
        <f>IF(AND(Stamoplysninger!$B$26="Der er indgået lokalaftale omkring weekendtillæg(Kræver aftale med TR/FSL). Weekendtimerne afspadseres.",I13="X"),K13,0)</f>
        <v>0</v>
      </c>
      <c r="FB13" s="251">
        <f>IF(AND(AND(Stamoplysninger!$B$26="Der er indgået lokalaftale omkring weekendtillæg(Kræver aftale med TR/FSL). Weekendtimerne afspadseres.",I13="X",S13="X")),V13,0)</f>
        <v>0</v>
      </c>
      <c r="FC13" s="674">
        <f>IF(AND(AND(Stamoplysninger!$B$26="Der er indgået lokalaftale omkring weekendtillæg(Kræver aftale med TR/FSL). Weekendtimerne afspadseres..",I13="X",C13="ikke relevant")),K13,0)</f>
        <v>0</v>
      </c>
      <c r="FD13" s="675">
        <f>IF(AND(AND(AND(Stamoplysninger!$B$26="Der er indgået lokalaftale omkring weekendtillæg(Kræver aftale med TR/FSL). Weekendtimerne afspadseres.",I13="X",C13="ikke relevant",S13="X"))),(V13),0)</f>
        <v>0</v>
      </c>
      <c r="FE13" s="283">
        <f>IF(AND(Stamoplysninger!$B$26="Der er indgået lokalaftale omkring weekendtillæg(Kræver aftale med TR/FSL). Weekendtimerne udbetales.",I13="X"),K13,0)</f>
        <v>0</v>
      </c>
      <c r="FF13" s="251">
        <f>IF(AND(AND(Stamoplysninger!$B$26="Der er indgået lokalaftale omkring weekendtillæg(Kræver aftale med TR/FSL). Weekendtimerne udbetales.",I13="X",S13="X")),V13,0)</f>
        <v>0</v>
      </c>
      <c r="FG13" s="674">
        <f>IF(AND(AND(Stamoplysninger!$B$26="Der er indgået lokalaftale omkring weekendtillæg(Kræver aftale med TR/FSL). Weekendtimerne udbetales.",I13="X",C13="ikke relevant")),K13,0)</f>
        <v>0</v>
      </c>
      <c r="FH13" s="675">
        <f>IF(AND(AND(AND(Stamoplysninger!$B$26="Der er indgået lokalaftale omkring weekendtillæg(Kræver aftale med TR/FSL). Weekendtimerne udbetales.",I13="X",C13="ikke relevant",S13="X"))),(V13),0)</f>
        <v>0</v>
      </c>
      <c r="FI13" s="283">
        <f>IF(AND(Stamoplysninger!$B$26="Weekendtimer og weekendtillæg afspadseres.",I13="X"),K13,0)</f>
        <v>0</v>
      </c>
      <c r="FJ13" s="251">
        <f>IF(AND(Stamoplysninger!$B$26="Weekendtimer og weekendtillæg afspadseres.",Y13="X"),(AA13+AL13)/2,0)</f>
        <v>0</v>
      </c>
      <c r="FK13" s="674">
        <f>IF(AND(AND(Stamoplysninger!$B$26="Weekendtimer og weekendtillæg afspadseres.",I13="X",C13="ikke relevant")),K13,0)</f>
        <v>0</v>
      </c>
      <c r="FL13" s="675">
        <f>IF(AND(AND(Stamoplysninger!$B$26="Weekendtimer og weekendtillæg afspadseres.",Y13="X",S13="ikke relevant")),(AA13+AL13)/2,0)</f>
        <v>0</v>
      </c>
      <c r="FM13" s="283">
        <f>IF(AND(Stamoplysninger!$B$26="Der er indgået lokalaftale omkring weekendtillæg(Kræver aftale med TR/FSL). Weekendtimerne afspadseres.",I13="X"),K13,0)</f>
        <v>0</v>
      </c>
      <c r="FN13" s="674">
        <f>IF(AND(AND(Stamoplysninger!$B$26="Der er indgået lokalaftale omkring weekendtillæg(Kræver aftale med TR/FSL). Weekendtimerne afspadseres.",I13="X",C13="ikke relevant")),K13,0)</f>
        <v>0</v>
      </c>
      <c r="FO13" s="283">
        <f>IF(AND(Stamoplysninger!$B$26="Weekendtimer og weekendtillæg udbetales.",I13="X"),K13,0)</f>
        <v>0</v>
      </c>
      <c r="FP13" s="251">
        <f>IF(AND(Stamoplysninger!$B$26="Weekendtimer og weekendtillæg udbetales.",AA13="X"),(AC13+AN13)/2,0)</f>
        <v>0</v>
      </c>
      <c r="FQ13" s="674">
        <f>IF(AND(AND(Stamoplysninger!$B$26="Weekendtimer og weekendtillæg udbetales.",I13="X",C13="ikke relevant")),K13,0)</f>
        <v>0</v>
      </c>
      <c r="FR13" s="688">
        <f>IF(AND(AND(Stamoplysninger!$B$26="Weekendtimer og weekendtillæg udbetales.",AA13="X",U13="ikke relevant")),(AC13+AN13)/2,0)</f>
        <v>0</v>
      </c>
      <c r="FS13" s="283">
        <f t="shared" si="16"/>
        <v>0</v>
      </c>
      <c r="FT13" s="658">
        <f t="shared" si="17"/>
        <v>0</v>
      </c>
      <c r="FU13">
        <f t="shared" si="18"/>
        <v>0</v>
      </c>
      <c r="FV13" s="283">
        <f>IF(AND(Stamoplysninger!$B$26="Der er indgået lokalaftale omkring weekendtimer.(Kræver aftale med TR/FSL) Weekendtillæg afspadseres.",I13="X"),K13,0)</f>
        <v>0</v>
      </c>
      <c r="FW13" s="674">
        <f>IF(AND(AND(Stamoplysninger!$B$26="Der er indgået lokalaftale omkring weekendtimer.(Kræver aftale med TR/FSL) Weekendtillæg afspadseres.",I13="X",C13="ikke relevant")),K13,0)</f>
        <v>0</v>
      </c>
      <c r="FX13" s="283">
        <f>IF(AND(Stamoplysninger!$B$26="Der er indgået lokalaftale omkring weekendtimer(Kræver aftale med TR/FSL). Weekendtillæg udbetales.",I13="X"),K13,0)</f>
        <v>0</v>
      </c>
      <c r="FY13" s="674">
        <f>IF(AND(AND(Stamoplysninger!$B$26="Der er indgået lokalaftale omkring weekendtimer(Kræver aftale med TR/FSL). Weekendtillæg udbetales.",I13="X",C13="ikke relevant")),K13,0)</f>
        <v>0</v>
      </c>
      <c r="FZ13" s="283">
        <f>IF(AND(Stamoplysninger!$B$26="Der er indgået lokalaftale omkring weekendtillæg(Kræver aftale med TR/FSL). Weekendtimerne udbetales.",I13="X"),K13,0)</f>
        <v>0</v>
      </c>
      <c r="GA13" s="674">
        <f>IF(AND(AND(Stamoplysninger!$B$26="Der er indgået lokalaftale omkring weekendtillæg(Kræver aftale med TR/FSL). Weekendtimerne udbetales.",I13="X",C13="ikke relevant")),K13,0)</f>
        <v>0</v>
      </c>
      <c r="GB13" s="283">
        <f>IF(AND(Stamoplysninger!$B$26="Der er indgået lokalaftale omkring weekendtimer og weekendtillæg.(Kræver aftale med TR/FSL).",I13="X"),K13,0)</f>
        <v>0</v>
      </c>
      <c r="GC13" s="674">
        <f>IF(AND(AND(Stamoplysninger!$B$26="Der er indgået lokalaftale omkring weekendtimer og weekendtillæg.(Kræver aftale med TR/FSL).",I13="X",C13="ikke relevant")),K13,0)</f>
        <v>0</v>
      </c>
    </row>
    <row r="14" spans="1:185">
      <c r="A14" s="245">
        <f t="shared" si="19"/>
        <v>5</v>
      </c>
      <c r="B14" s="128" t="str">
        <f t="shared" si="0"/>
        <v>ma</v>
      </c>
      <c r="C14" s="129" t="s">
        <v>128</v>
      </c>
      <c r="D14" s="130">
        <f t="shared" si="1"/>
        <v>32</v>
      </c>
      <c r="E14" s="917"/>
      <c r="F14" s="918"/>
      <c r="G14" s="919"/>
      <c r="H14" s="298"/>
      <c r="I14" s="527"/>
      <c r="J14" s="413"/>
      <c r="K14" s="380"/>
      <c r="L14" s="380"/>
      <c r="M14" s="380"/>
      <c r="N14" s="318">
        <f t="shared" si="20"/>
        <v>0</v>
      </c>
      <c r="O14" s="318">
        <f t="shared" si="21"/>
        <v>0</v>
      </c>
      <c r="P14" s="318">
        <f>IF(Stamoplysninger!$H$29="JA",August!DG14,CX14)</f>
        <v>0</v>
      </c>
      <c r="Q14" s="318">
        <f t="shared" si="22"/>
        <v>0</v>
      </c>
      <c r="R14" s="412"/>
      <c r="S14" s="324"/>
      <c r="T14" s="325"/>
      <c r="U14" s="325"/>
      <c r="V14" s="435"/>
      <c r="W14" s="412"/>
      <c r="X14" s="642"/>
      <c r="Y14">
        <f t="shared" si="23"/>
        <v>0</v>
      </c>
      <c r="Z14">
        <f t="shared" si="2"/>
        <v>0</v>
      </c>
      <c r="AA14" s="1">
        <f t="shared" si="3"/>
        <v>0</v>
      </c>
      <c r="AB14" s="1">
        <f t="shared" si="4"/>
        <v>0</v>
      </c>
      <c r="AC14" s="1">
        <f t="shared" si="5"/>
        <v>0</v>
      </c>
      <c r="AD14" s="1">
        <f t="shared" si="6"/>
        <v>0</v>
      </c>
      <c r="AE14" s="1">
        <f t="shared" si="7"/>
        <v>0</v>
      </c>
      <c r="AF14" s="1">
        <f>IF(C14="Orlov",Stamoplysninger!$E$15*7.4,0)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8"/>
        <v>0</v>
      </c>
      <c r="BB14" s="229">
        <f t="shared" si="9"/>
        <v>0</v>
      </c>
      <c r="BC14" s="1">
        <f t="shared" si="24"/>
        <v>0</v>
      </c>
      <c r="BD14" s="1">
        <f t="shared" si="10"/>
        <v>0</v>
      </c>
      <c r="BE14" s="1">
        <f t="shared" si="11"/>
        <v>0</v>
      </c>
      <c r="BF14" s="1">
        <f t="shared" si="12"/>
        <v>0</v>
      </c>
      <c r="BG14" s="210" t="str">
        <f>IF(AND(C14="Skema 1",B14="ma"),Skemaoplysninger!$E$30,"")</f>
        <v/>
      </c>
      <c r="BH14" s="210" t="str">
        <f>IF(AND(C14="Skema 1",B14="ti"),Skemaoplysninger!$G$30,"")</f>
        <v/>
      </c>
      <c r="BI14" s="210" t="str">
        <f>IF(AND(C14="Skema 1",B14="on"),Skemaoplysninger!$I$30,"")</f>
        <v/>
      </c>
      <c r="BJ14" s="210" t="str">
        <f>IF(AND(C14="Skema 1",B14="to"),Skemaoplysninger!$K$30,"")</f>
        <v/>
      </c>
      <c r="BK14" s="210" t="str">
        <f>IF(AND(C14="Skema 1",B14="fr"),Skemaoplysninger!$M$30,"")</f>
        <v/>
      </c>
      <c r="BL14" s="210" t="str">
        <f>IF(AND(C14="Skema 2",B14="ma"),Skemaoplysninger!$S$30,"")</f>
        <v/>
      </c>
      <c r="BM14" s="210" t="str">
        <f>IF(AND(C14="Skema 2",B14="ti"),Skemaoplysninger!$U$30,"")</f>
        <v/>
      </c>
      <c r="BN14" s="210" t="str">
        <f>IF(AND(C14="Skema 2",B14="on"),Skemaoplysninger!$W$30,"")</f>
        <v/>
      </c>
      <c r="BO14" s="210" t="str">
        <f>IF(AND(C14="Skema 2",B14="to"),Skemaoplysninger!$Y$30,"")</f>
        <v/>
      </c>
      <c r="BP14" s="210" t="str">
        <f>IF(AND(C14="Skema 2",B14="fr"),Skemaoplysninger!$AA$30,"")</f>
        <v/>
      </c>
      <c r="BQ14" s="210" t="str">
        <f>IF(AND(C14="Skema 3",B14="ma"),Skemaoplysninger!$AG$30,"")</f>
        <v/>
      </c>
      <c r="BR14" s="210" t="str">
        <f>IF(AND(C14="Skema 3",B14="ti"),Skemaoplysninger!$AI$30,"")</f>
        <v/>
      </c>
      <c r="BS14" s="210" t="str">
        <f>IF(AND(C14="Skema 3",B14="on"),Skemaoplysninger!$AK$30,"")</f>
        <v/>
      </c>
      <c r="BT14" s="210" t="str">
        <f>IF(AND(C14="Skema 3",B14="to"),Skemaoplysninger!$AM$30,"")</f>
        <v/>
      </c>
      <c r="BU14" s="210" t="str">
        <f>IF(AND(C14="Skema 3",B14="fr"),Skemaoplysninger!$AO$30,"")</f>
        <v/>
      </c>
      <c r="BV14" s="210" t="str">
        <f>IF(AND(C14="Skema 4",B14="ma"),Skemaoplysninger!$AU$30,"")</f>
        <v/>
      </c>
      <c r="BW14" s="210" t="str">
        <f>IF(AND(C14="Skema 4",B14="ti"),Skemaoplysninger!$AW$30,"")</f>
        <v/>
      </c>
      <c r="BX14" s="210" t="str">
        <f>IF(AND(C14="Skema 4",B14="on"),Skemaoplysninger!$AY$30,"")</f>
        <v/>
      </c>
      <c r="BY14" s="210" t="str">
        <f>IF(AND(C14="Skema 4",B14="to"),Skemaoplysninger!$BA$30,"")</f>
        <v/>
      </c>
      <c r="BZ14" s="210" t="str">
        <f>IF(AND(C14="Skema 4",B14="fr"),Skemaoplysninger!$BC$30,"")</f>
        <v/>
      </c>
      <c r="CA14" s="1">
        <f t="shared" si="25"/>
        <v>0</v>
      </c>
      <c r="CB14" s="1">
        <f t="shared" si="13"/>
        <v>0</v>
      </c>
      <c r="CC14" s="1">
        <f t="shared" si="14"/>
        <v>0</v>
      </c>
      <c r="CD14" s="210" t="str">
        <f>IF(AND(C14="Skema 1",B14="ma"),Skemaoplysninger!$E$31,"")</f>
        <v/>
      </c>
      <c r="CE14" s="210" t="str">
        <f>IF(AND(C14="Skema 1",B14="ti"),Skemaoplysninger!$G$31,"")</f>
        <v/>
      </c>
      <c r="CF14" s="210" t="str">
        <f>IF(AND(C14="Skema 1",B14="on"),Skemaoplysninger!$I$31,"")</f>
        <v/>
      </c>
      <c r="CG14" s="210" t="str">
        <f>IF(AND(C14="Skema 1",B14="to"),Skemaoplysninger!$K$31,"")</f>
        <v/>
      </c>
      <c r="CH14" s="210" t="str">
        <f>IF(AND(C14="Skema 1",B14="fr"),Skemaoplysninger!$M$31,"")</f>
        <v/>
      </c>
      <c r="CI14" s="210" t="str">
        <f>IF(AND(C14="Skema 2",B14="ma"),Skemaoplysninger!$S$31,"")</f>
        <v/>
      </c>
      <c r="CJ14" s="210" t="str">
        <f>IF(AND(C14="Skema 2",B14="ti"),Skemaoplysninger!$U$31,"")</f>
        <v/>
      </c>
      <c r="CK14" s="210" t="str">
        <f>IF(AND(C14="Skema 2",B14="on"),Skemaoplysninger!$W$31,"")</f>
        <v/>
      </c>
      <c r="CL14" s="210" t="str">
        <f>IF(AND(C14="Skema 2",B14="to"),Skemaoplysninger!$Y$31,"")</f>
        <v/>
      </c>
      <c r="CM14" s="210" t="str">
        <f>IF(AND(C14="Skema 2",B14="fr"),Skemaoplysninger!$AA$31,"")</f>
        <v/>
      </c>
      <c r="CN14" s="210" t="str">
        <f>IF(AND(C14="Skema 3",B14="ma"),Skemaoplysninger!$AG$31,"")</f>
        <v/>
      </c>
      <c r="CO14" s="210" t="str">
        <f>IF(AND(C14="Skema 3",B14="ti"),Skemaoplysninger!$AI$31,"")</f>
        <v/>
      </c>
      <c r="CP14" s="210" t="str">
        <f>IF(AND(C14="Skema 3",B14="on"),Skemaoplysninger!$AK$31,"")</f>
        <v/>
      </c>
      <c r="CQ14" s="210" t="str">
        <f>IF(AND(C14="Skema 3",B14="to"),Skemaoplysninger!$AM$31,"")</f>
        <v/>
      </c>
      <c r="CR14" s="210" t="str">
        <f>IF(AND(C14="Skema 3",B14="fr"),Skemaoplysninger!$AO$31,"")</f>
        <v/>
      </c>
      <c r="CS14" s="210" t="str">
        <f>IF(AND(C14="Skema 4",B14="ma"),Skemaoplysninger!$AU$31,"")</f>
        <v/>
      </c>
      <c r="CT14" s="210" t="str">
        <f>IF(AND(C14="Skema 4",B14="ti"),Skemaoplysninger!$AW$31,"")</f>
        <v/>
      </c>
      <c r="CU14" s="210" t="str">
        <f>IF(AND(C14="Skema 4",B14="on"),Skemaoplysninger!$AY$31,"")</f>
        <v/>
      </c>
      <c r="CV14" s="210" t="str">
        <f>IF(AND(C14="Skema 4",B14="to"),Skemaoplysninger!$BA$31,"")</f>
        <v/>
      </c>
      <c r="CW14" s="210" t="str">
        <f>IF(AND(C14="Skema 4",B14="fr"),Skemaoplysninger!$BC$31,"")</f>
        <v/>
      </c>
      <c r="CX14" s="249">
        <f>IF(Stamoplysninger!$H$29="NEJ",SUM(CD14:CW14)*24+CB14+CC14,0)</f>
        <v>0</v>
      </c>
      <c r="CY14" s="249">
        <f>IF(C14="Skema 1",Stamoplysninger!$H$30/200,0)</f>
        <v>0</v>
      </c>
      <c r="CZ14" s="249">
        <f>IF(C14="Skema 2",Stamoplysninger!$H$30/200,0)</f>
        <v>0</v>
      </c>
      <c r="DA14" s="249">
        <f>IF(C14="Skema 3",Stamoplysninger!$H$30/200,0)</f>
        <v>0</v>
      </c>
      <c r="DB14" s="249">
        <f>IF(C14="Skema 4",Stamoplysninger!$H$30/200,0)</f>
        <v>0</v>
      </c>
      <c r="DC14" s="249">
        <f>IF(C14="fagdag",Stamoplysninger!$H$30/200,0)</f>
        <v>0</v>
      </c>
      <c r="DD14" s="249">
        <f>IF(C14="emnedag",Stamoplysninger!$H$30/200,0)</f>
        <v>0</v>
      </c>
      <c r="DE14" s="249">
        <f>IF(C14="lejrskole",Stamoplysninger!$H$30/200,0)</f>
        <v>0</v>
      </c>
      <c r="DF14" s="249">
        <f>IF(C14="ekskursion",Stamoplysninger!$H$30/200,0)</f>
        <v>0</v>
      </c>
      <c r="DG14" s="249">
        <f t="shared" si="26"/>
        <v>0</v>
      </c>
      <c r="DH14" t="str">
        <f t="shared" si="27"/>
        <v/>
      </c>
      <c r="DI14">
        <f t="shared" si="28"/>
        <v>0</v>
      </c>
      <c r="DJ14">
        <f t="shared" si="29"/>
        <v>0</v>
      </c>
      <c r="DK14" t="str">
        <f t="shared" si="15"/>
        <v/>
      </c>
      <c r="DL14" t="str">
        <f t="shared" si="15"/>
        <v/>
      </c>
      <c r="DM14" t="str">
        <f t="shared" si="30"/>
        <v/>
      </c>
      <c r="DN14" t="str">
        <f t="shared" si="31"/>
        <v/>
      </c>
      <c r="DO14" s="652">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71">
        <f>IF(AND(Stamoplysninger!$B$22="Ulempetillæg udbetales med 25% af nettotimelønnen.",C14="ikke relevant"),(R14)/4,0)</f>
        <v>0</v>
      </c>
      <c r="DT14" s="671">
        <f>IF(AND(AND(Stamoplysninger!$B$22="Ulempetillæg udbetales med 25% af nettotimelønnen.",I14="X",C14="Ikke relevant")),K14/4,0)</f>
        <v>0</v>
      </c>
      <c r="DU14" s="671">
        <f>IF(AND(AND(Stamoplysninger!$B$22="Ulempetillæg udbetales med 25% af nettotimelønnen.",C14="ikke relevant",U14="X")),(X14/4),0)</f>
        <v>0</v>
      </c>
      <c r="DV14" s="672">
        <f>IF(AND(AND(AND(Stamoplysninger!$B$22="Ulempetillæg udbetales med 25% af nettotimelønnen.",I14="X",C14="Ikke relevant",S14="X"))),V14/4,0)</f>
        <v>0</v>
      </c>
      <c r="DW14" s="652"/>
      <c r="DZ14" s="671"/>
      <c r="EA14" s="671"/>
      <c r="EB14" s="672"/>
      <c r="EC14" s="652">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71">
        <f>IF(AND(Stamoplysninger!$B$22="Ulempetillæg afspadseres med 25%(Kræver en aftale imellem ledelsen og den ansatte)",C14="ikke relevant"),(R14)/4,0)</f>
        <v>0</v>
      </c>
      <c r="EH14" s="671">
        <f>IF(AND(AND(Stamoplysninger!$B$22="Ulempetillæg afspadseres med 25%(Kræver en aftale imellem ledelsen og den ansatte)",I14="X",C14="Ikke relevant")),K14/4,0)</f>
        <v>0</v>
      </c>
      <c r="EI14" s="671">
        <f>IF(AND(AND(Stamoplysninger!$B$22="Ulempetillæg afspadseres med 25%(Kræver en aftale imellem ledelsen og den ansatte)",U14="X",C14="Ikke relevant")),X14/4,0)</f>
        <v>0</v>
      </c>
      <c r="EJ14" s="671">
        <f>IF(AND(AND(AND(Stamoplysninger!$B$22="Ulempetillæg afspadseres med 25%(Kræver en aftale imellem ledelsen og den ansatte)",I14="X",C14="Ikke relevant",S14="X"))),V14/4,0)</f>
        <v>0</v>
      </c>
      <c r="EK14" s="283">
        <f>IF(AND(Stamoplysninger!$B$26="Weekendtimer og weekendtillæg afspadseres.",I14="X"),K14*1.5,0)</f>
        <v>0</v>
      </c>
      <c r="EL14" s="251">
        <f>IF(AND(AND(Stamoplysninger!$B$26="Weekendtimer og weekendtillæg afspadseres.",I14="X",S14="X")),V14*1.5,0)</f>
        <v>0</v>
      </c>
      <c r="EM14" s="674">
        <f>IF(AND(AND(Stamoplysninger!$B$26="Weekendtimer og weekendtillæg afspadseres.",I14="X",C14="ikke relevant")),K14*1.5,0)</f>
        <v>0</v>
      </c>
      <c r="EN14" s="675">
        <f>IF(AND(AND(AND(Stamoplysninger!$B$26="Weekendtimer og weekendtillæg afspadseres.",I14="X",C14="ikke relevant",S14="X"))),(V14*1.5),0)</f>
        <v>0</v>
      </c>
      <c r="EO14" s="283">
        <f>IF(AND(Stamoplysninger!$B$26="Weekendtimer og weekendtillæg udbetales.",I14="X"),K14*1.5,0)</f>
        <v>0</v>
      </c>
      <c r="EP14" s="251">
        <f>IF(AND(AND(Stamoplysninger!$B$26="Weekendtimer og weekendtillæg udbetales.",I14="X",S14="X")),V14*1.5,0)</f>
        <v>0</v>
      </c>
      <c r="EQ14" s="674">
        <f>IF(AND(AND(Stamoplysninger!$B$26="Weekendtimer og weekendtillæg udbetales.",I14="X",C14="ikke relevant")),K14*1.5,0)</f>
        <v>0</v>
      </c>
      <c r="ER14" s="675">
        <f>IF(AND(AND(AND(Stamoplysninger!$B$26="Weekendtimer og weekendtillæg udbetales.",I14="X",C14="ikke relevant",S14="X"))),(V14*1.5),0)</f>
        <v>0</v>
      </c>
      <c r="ES14" s="283">
        <f>IF(AND(Stamoplysninger!$B$26="Der er indgået lokalaftale omkring weekendtimer.(Kræver aftale med TR/FSL) Weekendtillæg afspadseres.",I14="X"),K14*0.5,0)</f>
        <v>0</v>
      </c>
      <c r="ET14" s="251">
        <f>IF(AND(AND(Stamoplysninger!$B$26="Der er indgået lokalaftale omkring weekendtimer.(Kræver aftale med TR/FSL) Weekendtillæg afspadseres.",I14="X",S14="X")),V14*0.5,0)</f>
        <v>0</v>
      </c>
      <c r="EU14" s="674">
        <f>IF(AND(AND(Stamoplysninger!$B$26="Der er indgået lokalaftale omkring weekendtimer.(Kræver aftale med TR/FSL) Weekendtillæg afspadseres.",I14="X",C14="ikke relevant")),K14*0.5,0)</f>
        <v>0</v>
      </c>
      <c r="EV14" s="675">
        <f>IF(AND(AND(AND(Stamoplysninger!$B$26="Der er indgået lokalaftale omkring weekendtimer.(Kræver aftale med TR/FSL) Weekendtillæg afspadseres.",I14="X",C14="ikke relevant",S14="X"))),(V14*0.5),0)</f>
        <v>0</v>
      </c>
      <c r="EW14" s="283">
        <f>IF(AND(Stamoplysninger!$B$26="Der er indgået lokalaftale omkring weekendtimer(Kræver aftale med TR/FSL). Weekendtillæg udbetales.",I14="X"),K14*0.5,0)</f>
        <v>0</v>
      </c>
      <c r="EX14" s="251">
        <f>IF(AND(AND(Stamoplysninger!$B$26="Der er indgået lokalaftale omkring weekendtimer(Kræver aftale med TR/FSL). Weekendtillæg udbetales.",I14="X",S14="X")),V14*0.5,0)</f>
        <v>0</v>
      </c>
      <c r="EY14" s="674">
        <f>IF(AND(AND(Stamoplysninger!$B$26="Der er indgået lokalaftale omkring weekendtimer(Kræver aftale med TR/FSL). Weekendtillæg udbetales.",I14="X",C14="ikke relevant")),K14*0.5,0)</f>
        <v>0</v>
      </c>
      <c r="EZ14" s="675">
        <f>IF(AND(AND(AND(Stamoplysninger!$B$26="Der er indgået lokalaftale omkring weekendtimer(Kræver aftale med TR/FSL). Weekendtillæg udbetales.",I14="X",C14="ikke relevant",S14="X"))),(V14*0.5),0)</f>
        <v>0</v>
      </c>
      <c r="FA14" s="283">
        <f>IF(AND(Stamoplysninger!$B$26="Der er indgået lokalaftale omkring weekendtillæg(Kræver aftale med TR/FSL). Weekendtimerne afspadseres.",I14="X"),K14,0)</f>
        <v>0</v>
      </c>
      <c r="FB14" s="251">
        <f>IF(AND(AND(Stamoplysninger!$B$26="Der er indgået lokalaftale omkring weekendtillæg(Kræver aftale med TR/FSL). Weekendtimerne afspadseres.",I14="X",S14="X")),V14,0)</f>
        <v>0</v>
      </c>
      <c r="FC14" s="674">
        <f>IF(AND(AND(Stamoplysninger!$B$26="Der er indgået lokalaftale omkring weekendtillæg(Kræver aftale med TR/FSL). Weekendtimerne afspadseres..",I14="X",C14="ikke relevant")),K14,0)</f>
        <v>0</v>
      </c>
      <c r="FD14" s="675">
        <f>IF(AND(AND(AND(Stamoplysninger!$B$26="Der er indgået lokalaftale omkring weekendtillæg(Kræver aftale med TR/FSL). Weekendtimerne afspadseres.",I14="X",C14="ikke relevant",S14="X"))),(V14),0)</f>
        <v>0</v>
      </c>
      <c r="FE14" s="283">
        <f>IF(AND(Stamoplysninger!$B$26="Der er indgået lokalaftale omkring weekendtillæg(Kræver aftale med TR/FSL). Weekendtimerne udbetales.",I14="X"),K14,0)</f>
        <v>0</v>
      </c>
      <c r="FF14" s="251">
        <f>IF(AND(AND(Stamoplysninger!$B$26="Der er indgået lokalaftale omkring weekendtillæg(Kræver aftale med TR/FSL). Weekendtimerne udbetales.",I14="X",S14="X")),V14,0)</f>
        <v>0</v>
      </c>
      <c r="FG14" s="674">
        <f>IF(AND(AND(Stamoplysninger!$B$26="Der er indgået lokalaftale omkring weekendtillæg(Kræver aftale med TR/FSL). Weekendtimerne udbetales.",I14="X",C14="ikke relevant")),K14,0)</f>
        <v>0</v>
      </c>
      <c r="FH14" s="675">
        <f>IF(AND(AND(AND(Stamoplysninger!$B$26="Der er indgået lokalaftale omkring weekendtillæg(Kræver aftale med TR/FSL). Weekendtimerne udbetales.",I14="X",C14="ikke relevant",S14="X"))),(V14),0)</f>
        <v>0</v>
      </c>
      <c r="FI14" s="283">
        <f>IF(AND(Stamoplysninger!$B$26="Weekendtimer og weekendtillæg afspadseres.",I14="X"),K14,0)</f>
        <v>0</v>
      </c>
      <c r="FJ14" s="251">
        <f>IF(AND(Stamoplysninger!$B$26="Weekendtimer og weekendtillæg afspadseres.",Y14="X"),(AA14+AL14)/2,0)</f>
        <v>0</v>
      </c>
      <c r="FK14" s="674">
        <f>IF(AND(AND(Stamoplysninger!$B$26="Weekendtimer og weekendtillæg afspadseres.",I14="X",C14="ikke relevant")),K14,0)</f>
        <v>0</v>
      </c>
      <c r="FL14" s="675">
        <f>IF(AND(AND(Stamoplysninger!$B$26="Weekendtimer og weekendtillæg afspadseres.",Y14="X",S14="ikke relevant")),(AA14+AL14)/2,0)</f>
        <v>0</v>
      </c>
      <c r="FM14" s="283">
        <f>IF(AND(Stamoplysninger!$B$26="Der er indgået lokalaftale omkring weekendtillæg(Kræver aftale med TR/FSL). Weekendtimerne afspadseres.",I14="X"),K14,0)</f>
        <v>0</v>
      </c>
      <c r="FN14" s="674">
        <f>IF(AND(AND(Stamoplysninger!$B$26="Der er indgået lokalaftale omkring weekendtillæg(Kræver aftale med TR/FSL). Weekendtimerne afspadseres.",I14="X",C14="ikke relevant")),K14,0)</f>
        <v>0</v>
      </c>
      <c r="FO14" s="283">
        <f>IF(AND(Stamoplysninger!$B$26="Weekendtimer og weekendtillæg udbetales.",I14="X"),K14,0)</f>
        <v>0</v>
      </c>
      <c r="FP14" s="251">
        <f>IF(AND(Stamoplysninger!$B$26="Weekendtimer og weekendtillæg udbetales.",AA14="X"),(AC14+AN14)/2,0)</f>
        <v>0</v>
      </c>
      <c r="FQ14" s="674">
        <f>IF(AND(AND(Stamoplysninger!$B$26="Weekendtimer og weekendtillæg udbetales.",I14="X",C14="ikke relevant")),K14,0)</f>
        <v>0</v>
      </c>
      <c r="FR14" s="688">
        <f>IF(AND(AND(Stamoplysninger!$B$26="Weekendtimer og weekendtillæg udbetales.",AA14="X",U14="ikke relevant")),(AC14+AN14)/2,0)</f>
        <v>0</v>
      </c>
      <c r="FS14" s="283">
        <f t="shared" si="16"/>
        <v>0</v>
      </c>
      <c r="FT14" s="658">
        <f t="shared" si="17"/>
        <v>0</v>
      </c>
      <c r="FU14">
        <f t="shared" si="18"/>
        <v>0</v>
      </c>
      <c r="FV14" s="283">
        <f>IF(AND(Stamoplysninger!$B$26="Der er indgået lokalaftale omkring weekendtimer.(Kræver aftale med TR/FSL) Weekendtillæg afspadseres.",I14="X"),K14,0)</f>
        <v>0</v>
      </c>
      <c r="FW14" s="674">
        <f>IF(AND(AND(Stamoplysninger!$B$26="Der er indgået lokalaftale omkring weekendtimer.(Kræver aftale med TR/FSL) Weekendtillæg afspadseres.",I14="X",C14="ikke relevant")),K14,0)</f>
        <v>0</v>
      </c>
      <c r="FX14" s="283">
        <f>IF(AND(Stamoplysninger!$B$26="Der er indgået lokalaftale omkring weekendtimer(Kræver aftale med TR/FSL). Weekendtillæg udbetales.",I14="X"),K14,0)</f>
        <v>0</v>
      </c>
      <c r="FY14" s="674">
        <f>IF(AND(AND(Stamoplysninger!$B$26="Der er indgået lokalaftale omkring weekendtimer(Kræver aftale med TR/FSL). Weekendtillæg udbetales.",I14="X",C14="ikke relevant")),K14,0)</f>
        <v>0</v>
      </c>
      <c r="FZ14" s="283">
        <f>IF(AND(Stamoplysninger!$B$26="Der er indgået lokalaftale omkring weekendtillæg(Kræver aftale med TR/FSL). Weekendtimerne udbetales.",I14="X"),K14,0)</f>
        <v>0</v>
      </c>
      <c r="GA14" s="674">
        <f>IF(AND(AND(Stamoplysninger!$B$26="Der er indgået lokalaftale omkring weekendtillæg(Kræver aftale med TR/FSL). Weekendtimerne udbetales.",I14="X",C14="ikke relevant")),K14,0)</f>
        <v>0</v>
      </c>
      <c r="GB14" s="283">
        <f>IF(AND(Stamoplysninger!$B$26="Der er indgået lokalaftale omkring weekendtimer og weekendtillæg.(Kræver aftale med TR/FSL).",I14="X"),K14,0)</f>
        <v>0</v>
      </c>
      <c r="GC14" s="674">
        <f>IF(AND(AND(Stamoplysninger!$B$26="Der er indgået lokalaftale omkring weekendtimer og weekendtillæg.(Kræver aftale med TR/FSL).",I14="X",C14="ikke relevant")),K14,0)</f>
        <v>0</v>
      </c>
    </row>
    <row r="15" spans="1:185" ht="16" customHeight="1">
      <c r="A15" s="245">
        <f t="shared" si="19"/>
        <v>6</v>
      </c>
      <c r="B15" s="128" t="str">
        <f t="shared" si="0"/>
        <v>ti</v>
      </c>
      <c r="C15" s="129" t="s">
        <v>128</v>
      </c>
      <c r="D15" s="130" t="str">
        <f t="shared" si="1"/>
        <v/>
      </c>
      <c r="E15" s="917"/>
      <c r="F15" s="918"/>
      <c r="G15" s="919"/>
      <c r="H15" s="298"/>
      <c r="I15" s="527"/>
      <c r="J15" s="413"/>
      <c r="K15" s="380"/>
      <c r="L15" s="380"/>
      <c r="M15" s="380"/>
      <c r="N15" s="318">
        <f t="shared" si="20"/>
        <v>0</v>
      </c>
      <c r="O15" s="318">
        <f t="shared" si="21"/>
        <v>0</v>
      </c>
      <c r="P15" s="318">
        <f>IF(Stamoplysninger!$H$29="JA",August!DG15,CX15)</f>
        <v>0</v>
      </c>
      <c r="Q15" s="318">
        <f t="shared" si="22"/>
        <v>0</v>
      </c>
      <c r="R15" s="412"/>
      <c r="S15" s="324"/>
      <c r="T15" s="325"/>
      <c r="U15" s="325"/>
      <c r="V15" s="435"/>
      <c r="W15" s="412"/>
      <c r="X15" s="642"/>
      <c r="Y15">
        <f t="shared" si="23"/>
        <v>0</v>
      </c>
      <c r="Z15">
        <f t="shared" si="2"/>
        <v>0</v>
      </c>
      <c r="AA15" s="1">
        <f t="shared" si="3"/>
        <v>0</v>
      </c>
      <c r="AB15" s="1">
        <f t="shared" si="4"/>
        <v>0</v>
      </c>
      <c r="AC15" s="1">
        <f t="shared" si="5"/>
        <v>0</v>
      </c>
      <c r="AD15" s="1">
        <f t="shared" si="6"/>
        <v>0</v>
      </c>
      <c r="AE15" s="1">
        <f t="shared" si="7"/>
        <v>0</v>
      </c>
      <c r="AF15" s="1">
        <f>IF(C15="Orlov",Stamoplysninger!$E$15*7.4,0)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8"/>
        <v>0</v>
      </c>
      <c r="BB15" s="229">
        <f t="shared" si="9"/>
        <v>0</v>
      </c>
      <c r="BC15" s="1">
        <f t="shared" si="24"/>
        <v>0</v>
      </c>
      <c r="BD15" s="1">
        <f t="shared" si="10"/>
        <v>0</v>
      </c>
      <c r="BE15" s="1">
        <f t="shared" si="11"/>
        <v>0</v>
      </c>
      <c r="BF15" s="1">
        <f t="shared" si="12"/>
        <v>0</v>
      </c>
      <c r="BG15" s="210" t="str">
        <f>IF(AND(C15="Skema 1",B15="ma"),Skemaoplysninger!$E$30,"")</f>
        <v/>
      </c>
      <c r="BH15" s="210" t="str">
        <f>IF(AND(C15="Skema 1",B15="ti"),Skemaoplysninger!$G$30,"")</f>
        <v/>
      </c>
      <c r="BI15" s="210" t="str">
        <f>IF(AND(C15="Skema 1",B15="on"),Skemaoplysninger!$I$30,"")</f>
        <v/>
      </c>
      <c r="BJ15" s="210" t="str">
        <f>IF(AND(C15="Skema 1",B15="to"),Skemaoplysninger!$K$30,"")</f>
        <v/>
      </c>
      <c r="BK15" s="210" t="str">
        <f>IF(AND(C15="Skema 1",B15="fr"),Skemaoplysninger!$M$30,"")</f>
        <v/>
      </c>
      <c r="BL15" s="210" t="str">
        <f>IF(AND(C15="Skema 2",B15="ma"),Skemaoplysninger!$S$30,"")</f>
        <v/>
      </c>
      <c r="BM15" s="210" t="str">
        <f>IF(AND(C15="Skema 2",B15="ti"),Skemaoplysninger!$U$30,"")</f>
        <v/>
      </c>
      <c r="BN15" s="210" t="str">
        <f>IF(AND(C15="Skema 2",B15="on"),Skemaoplysninger!$W$30,"")</f>
        <v/>
      </c>
      <c r="BO15" s="210" t="str">
        <f>IF(AND(C15="Skema 2",B15="to"),Skemaoplysninger!$Y$30,"")</f>
        <v/>
      </c>
      <c r="BP15" s="210" t="str">
        <f>IF(AND(C15="Skema 2",B15="fr"),Skemaoplysninger!$AA$30,"")</f>
        <v/>
      </c>
      <c r="BQ15" s="210" t="str">
        <f>IF(AND(C15="Skema 3",B15="ma"),Skemaoplysninger!$AG$30,"")</f>
        <v/>
      </c>
      <c r="BR15" s="210" t="str">
        <f>IF(AND(C15="Skema 3",B15="ti"),Skemaoplysninger!$AI$30,"")</f>
        <v/>
      </c>
      <c r="BS15" s="210" t="str">
        <f>IF(AND(C15="Skema 3",B15="on"),Skemaoplysninger!$AK$30,"")</f>
        <v/>
      </c>
      <c r="BT15" s="210" t="str">
        <f>IF(AND(C15="Skema 3",B15="to"),Skemaoplysninger!$AM$30,"")</f>
        <v/>
      </c>
      <c r="BU15" s="210" t="str">
        <f>IF(AND(C15="Skema 3",B15="fr"),Skemaoplysninger!$AO$30,"")</f>
        <v/>
      </c>
      <c r="BV15" s="210" t="str">
        <f>IF(AND(C15="Skema 4",B15="ma"),Skemaoplysninger!$AU$30,"")</f>
        <v/>
      </c>
      <c r="BW15" s="210" t="str">
        <f>IF(AND(C15="Skema 4",B15="ti"),Skemaoplysninger!$AW$30,"")</f>
        <v/>
      </c>
      <c r="BX15" s="210" t="str">
        <f>IF(AND(C15="Skema 4",B15="on"),Skemaoplysninger!$AY$30,"")</f>
        <v/>
      </c>
      <c r="BY15" s="210" t="str">
        <f>IF(AND(C15="Skema 4",B15="to"),Skemaoplysninger!$BA$30,"")</f>
        <v/>
      </c>
      <c r="BZ15" s="210" t="str">
        <f>IF(AND(C15="Skema 4",B15="fr"),Skemaoplysninger!$BC$30,"")</f>
        <v/>
      </c>
      <c r="CA15" s="1">
        <f t="shared" si="25"/>
        <v>0</v>
      </c>
      <c r="CB15" s="1">
        <f t="shared" si="13"/>
        <v>0</v>
      </c>
      <c r="CC15" s="1">
        <f t="shared" si="14"/>
        <v>0</v>
      </c>
      <c r="CD15" s="210" t="str">
        <f>IF(AND(C15="Skema 1",B15="ma"),Skemaoplysninger!$E$31,"")</f>
        <v/>
      </c>
      <c r="CE15" s="210" t="str">
        <f>IF(AND(C15="Skema 1",B15="ti"),Skemaoplysninger!$G$31,"")</f>
        <v/>
      </c>
      <c r="CF15" s="210" t="str">
        <f>IF(AND(C15="Skema 1",B15="on"),Skemaoplysninger!$I$31,"")</f>
        <v/>
      </c>
      <c r="CG15" s="210" t="str">
        <f>IF(AND(C15="Skema 1",B15="to"),Skemaoplysninger!$K$31,"")</f>
        <v/>
      </c>
      <c r="CH15" s="210" t="str">
        <f>IF(AND(C15="Skema 1",B15="fr"),Skemaoplysninger!$M$31,"")</f>
        <v/>
      </c>
      <c r="CI15" s="210" t="str">
        <f>IF(AND(C15="Skema 2",B15="ma"),Skemaoplysninger!$S$31,"")</f>
        <v/>
      </c>
      <c r="CJ15" s="210" t="str">
        <f>IF(AND(C15="Skema 2",B15="ti"),Skemaoplysninger!$U$31,"")</f>
        <v/>
      </c>
      <c r="CK15" s="210" t="str">
        <f>IF(AND(C15="Skema 2",B15="on"),Skemaoplysninger!$W$31,"")</f>
        <v/>
      </c>
      <c r="CL15" s="210" t="str">
        <f>IF(AND(C15="Skema 2",B15="to"),Skemaoplysninger!$Y$31,"")</f>
        <v/>
      </c>
      <c r="CM15" s="210" t="str">
        <f>IF(AND(C15="Skema 2",B15="fr"),Skemaoplysninger!$AA$31,"")</f>
        <v/>
      </c>
      <c r="CN15" s="210" t="str">
        <f>IF(AND(C15="Skema 3",B15="ma"),Skemaoplysninger!$AG$31,"")</f>
        <v/>
      </c>
      <c r="CO15" s="210" t="str">
        <f>IF(AND(C15="Skema 3",B15="ti"),Skemaoplysninger!$AI$31,"")</f>
        <v/>
      </c>
      <c r="CP15" s="210" t="str">
        <f>IF(AND(C15="Skema 3",B15="on"),Skemaoplysninger!$AK$31,"")</f>
        <v/>
      </c>
      <c r="CQ15" s="210" t="str">
        <f>IF(AND(C15="Skema 3",B15="to"),Skemaoplysninger!$AM$31,"")</f>
        <v/>
      </c>
      <c r="CR15" s="210" t="str">
        <f>IF(AND(C15="Skema 3",B15="fr"),Skemaoplysninger!$AO$31,"")</f>
        <v/>
      </c>
      <c r="CS15" s="210" t="str">
        <f>IF(AND(C15="Skema 4",B15="ma"),Skemaoplysninger!$AU$31,"")</f>
        <v/>
      </c>
      <c r="CT15" s="210" t="str">
        <f>IF(AND(C15="Skema 4",B15="ti"),Skemaoplysninger!$AW$31,"")</f>
        <v/>
      </c>
      <c r="CU15" s="210" t="str">
        <f>IF(AND(C15="Skema 4",B15="on"),Skemaoplysninger!$AY$31,"")</f>
        <v/>
      </c>
      <c r="CV15" s="210" t="str">
        <f>IF(AND(C15="Skema 4",B15="to"),Skemaoplysninger!$BA$31,"")</f>
        <v/>
      </c>
      <c r="CW15" s="210" t="str">
        <f>IF(AND(C15="Skema 4",B15="fr"),Skemaoplysninger!$BC$31,"")</f>
        <v/>
      </c>
      <c r="CX15" s="249">
        <f>IF(Stamoplysninger!$H$29="NEJ",SUM(CD15:CW15)*24+CB15+CC15,0)</f>
        <v>0</v>
      </c>
      <c r="CY15" s="249">
        <f>IF(C15="Skema 1",Stamoplysninger!$H$30/200,0)</f>
        <v>0</v>
      </c>
      <c r="CZ15" s="249">
        <f>IF(C15="Skema 2",Stamoplysninger!$H$30/200,0)</f>
        <v>0</v>
      </c>
      <c r="DA15" s="249">
        <f>IF(C15="Skema 3",Stamoplysninger!$H$30/200,0)</f>
        <v>0</v>
      </c>
      <c r="DB15" s="249">
        <f>IF(C15="Skema 4",Stamoplysninger!$H$30/200,0)</f>
        <v>0</v>
      </c>
      <c r="DC15" s="249">
        <f>IF(C15="fagdag",Stamoplysninger!$H$30/200,0)</f>
        <v>0</v>
      </c>
      <c r="DD15" s="249">
        <f>IF(C15="emnedag",Stamoplysninger!$H$30/200,0)</f>
        <v>0</v>
      </c>
      <c r="DE15" s="249">
        <f>IF(C15="lejrskole",Stamoplysninger!$H$30/200,0)</f>
        <v>0</v>
      </c>
      <c r="DF15" s="249">
        <f>IF(C15="ekskursion",Stamoplysninger!$H$30/200,0)</f>
        <v>0</v>
      </c>
      <c r="DG15" s="249">
        <f t="shared" si="26"/>
        <v>0</v>
      </c>
      <c r="DH15" t="str">
        <f t="shared" si="27"/>
        <v/>
      </c>
      <c r="DI15">
        <f t="shared" si="28"/>
        <v>0</v>
      </c>
      <c r="DJ15">
        <f t="shared" si="29"/>
        <v>0</v>
      </c>
      <c r="DK15" t="str">
        <f t="shared" si="15"/>
        <v/>
      </c>
      <c r="DL15" t="str">
        <f t="shared" si="15"/>
        <v/>
      </c>
      <c r="DM15" t="str">
        <f t="shared" si="30"/>
        <v/>
      </c>
      <c r="DN15" t="str">
        <f t="shared" si="31"/>
        <v/>
      </c>
      <c r="DO15" s="652">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71">
        <f>IF(AND(Stamoplysninger!$B$22="Ulempetillæg udbetales med 25% af nettotimelønnen.",C15="ikke relevant"),(R15)/4,0)</f>
        <v>0</v>
      </c>
      <c r="DT15" s="671">
        <f>IF(AND(AND(Stamoplysninger!$B$22="Ulempetillæg udbetales med 25% af nettotimelønnen.",I15="X",C15="Ikke relevant")),K15/4,0)</f>
        <v>0</v>
      </c>
      <c r="DU15" s="671">
        <f>IF(AND(AND(Stamoplysninger!$B$22="Ulempetillæg udbetales med 25% af nettotimelønnen.",C15="ikke relevant",U15="X")),(X15/4),0)</f>
        <v>0</v>
      </c>
      <c r="DV15" s="672">
        <f>IF(AND(AND(AND(Stamoplysninger!$B$22="Ulempetillæg udbetales med 25% af nettotimelønnen.",I15="X",C15="Ikke relevant",S15="X"))),V15/4,0)</f>
        <v>0</v>
      </c>
      <c r="DW15" s="652"/>
      <c r="DZ15" s="671"/>
      <c r="EA15" s="671"/>
      <c r="EB15" s="672"/>
      <c r="EC15" s="652">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71">
        <f>IF(AND(Stamoplysninger!$B$22="Ulempetillæg afspadseres med 25%(Kræver en aftale imellem ledelsen og den ansatte)",C15="ikke relevant"),(R15)/4,0)</f>
        <v>0</v>
      </c>
      <c r="EH15" s="671">
        <f>IF(AND(AND(Stamoplysninger!$B$22="Ulempetillæg afspadseres med 25%(Kræver en aftale imellem ledelsen og den ansatte)",I15="X",C15="Ikke relevant")),K15/4,0)</f>
        <v>0</v>
      </c>
      <c r="EI15" s="671">
        <f>IF(AND(AND(Stamoplysninger!$B$22="Ulempetillæg afspadseres med 25%(Kræver en aftale imellem ledelsen og den ansatte)",U15="X",C15="Ikke relevant")),X15/4,0)</f>
        <v>0</v>
      </c>
      <c r="EJ15" s="671">
        <f>IF(AND(AND(AND(Stamoplysninger!$B$22="Ulempetillæg afspadseres med 25%(Kræver en aftale imellem ledelsen og den ansatte)",I15="X",C15="Ikke relevant",S15="X"))),V15/4,0)</f>
        <v>0</v>
      </c>
      <c r="EK15" s="283">
        <f>IF(AND(Stamoplysninger!$B$26="Weekendtimer og weekendtillæg afspadseres.",I15="X"),K15*1.5,0)</f>
        <v>0</v>
      </c>
      <c r="EL15" s="251">
        <f>IF(AND(AND(Stamoplysninger!$B$26="Weekendtimer og weekendtillæg afspadseres.",I15="X",S15="X")),V15*1.5,0)</f>
        <v>0</v>
      </c>
      <c r="EM15" s="674">
        <f>IF(AND(AND(Stamoplysninger!$B$26="Weekendtimer og weekendtillæg afspadseres.",I15="X",C15="ikke relevant")),K15*1.5,0)</f>
        <v>0</v>
      </c>
      <c r="EN15" s="675">
        <f>IF(AND(AND(AND(Stamoplysninger!$B$26="Weekendtimer og weekendtillæg afspadseres.",I15="X",C15="ikke relevant",S15="X"))),(V15*1.5),0)</f>
        <v>0</v>
      </c>
      <c r="EO15" s="283">
        <f>IF(AND(Stamoplysninger!$B$26="Weekendtimer og weekendtillæg udbetales.",I15="X"),K15*1.5,0)</f>
        <v>0</v>
      </c>
      <c r="EP15" s="251">
        <f>IF(AND(AND(Stamoplysninger!$B$26="Weekendtimer og weekendtillæg udbetales.",I15="X",S15="X")),V15*1.5,0)</f>
        <v>0</v>
      </c>
      <c r="EQ15" s="674">
        <f>IF(AND(AND(Stamoplysninger!$B$26="Weekendtimer og weekendtillæg udbetales.",I15="X",C15="ikke relevant")),K15*1.5,0)</f>
        <v>0</v>
      </c>
      <c r="ER15" s="675">
        <f>IF(AND(AND(AND(Stamoplysninger!$B$26="Weekendtimer og weekendtillæg udbetales.",I15="X",C15="ikke relevant",S15="X"))),(V15*1.5),0)</f>
        <v>0</v>
      </c>
      <c r="ES15" s="283">
        <f>IF(AND(Stamoplysninger!$B$26="Der er indgået lokalaftale omkring weekendtimer.(Kræver aftale med TR/FSL) Weekendtillæg afspadseres.",I15="X"),K15*0.5,0)</f>
        <v>0</v>
      </c>
      <c r="ET15" s="251">
        <f>IF(AND(AND(Stamoplysninger!$B$26="Der er indgået lokalaftale omkring weekendtimer.(Kræver aftale med TR/FSL) Weekendtillæg afspadseres.",I15="X",S15="X")),V15*0.5,0)</f>
        <v>0</v>
      </c>
      <c r="EU15" s="674">
        <f>IF(AND(AND(Stamoplysninger!$B$26="Der er indgået lokalaftale omkring weekendtimer.(Kræver aftale med TR/FSL) Weekendtillæg afspadseres.",I15="X",C15="ikke relevant")),K15*0.5,0)</f>
        <v>0</v>
      </c>
      <c r="EV15" s="675">
        <f>IF(AND(AND(AND(Stamoplysninger!$B$26="Der er indgået lokalaftale omkring weekendtimer.(Kræver aftale med TR/FSL) Weekendtillæg afspadseres.",I15="X",C15="ikke relevant",S15="X"))),(V15*0.5),0)</f>
        <v>0</v>
      </c>
      <c r="EW15" s="283">
        <f>IF(AND(Stamoplysninger!$B$26="Der er indgået lokalaftale omkring weekendtimer(Kræver aftale med TR/FSL). Weekendtillæg udbetales.",I15="X"),K15*0.5,0)</f>
        <v>0</v>
      </c>
      <c r="EX15" s="251">
        <f>IF(AND(AND(Stamoplysninger!$B$26="Der er indgået lokalaftale omkring weekendtimer(Kræver aftale med TR/FSL). Weekendtillæg udbetales.",I15="X",S15="X")),V15*0.5,0)</f>
        <v>0</v>
      </c>
      <c r="EY15" s="674">
        <f>IF(AND(AND(Stamoplysninger!$B$26="Der er indgået lokalaftale omkring weekendtimer(Kræver aftale med TR/FSL). Weekendtillæg udbetales.",I15="X",C15="ikke relevant")),K15*0.5,0)</f>
        <v>0</v>
      </c>
      <c r="EZ15" s="675">
        <f>IF(AND(AND(AND(Stamoplysninger!$B$26="Der er indgået lokalaftale omkring weekendtimer(Kræver aftale med TR/FSL). Weekendtillæg udbetales.",I15="X",C15="ikke relevant",S15="X"))),(V15*0.5),0)</f>
        <v>0</v>
      </c>
      <c r="FA15" s="283">
        <f>IF(AND(Stamoplysninger!$B$26="Der er indgået lokalaftale omkring weekendtillæg(Kræver aftale med TR/FSL). Weekendtimerne afspadseres.",I15="X"),K15,0)</f>
        <v>0</v>
      </c>
      <c r="FB15" s="251">
        <f>IF(AND(AND(Stamoplysninger!$B$26="Der er indgået lokalaftale omkring weekendtillæg(Kræver aftale med TR/FSL). Weekendtimerne afspadseres.",I15="X",S15="X")),V15,0)</f>
        <v>0</v>
      </c>
      <c r="FC15" s="674">
        <f>IF(AND(AND(Stamoplysninger!$B$26="Der er indgået lokalaftale omkring weekendtillæg(Kræver aftale med TR/FSL). Weekendtimerne afspadseres..",I15="X",C15="ikke relevant")),K15,0)</f>
        <v>0</v>
      </c>
      <c r="FD15" s="675">
        <f>IF(AND(AND(AND(Stamoplysninger!$B$26="Der er indgået lokalaftale omkring weekendtillæg(Kræver aftale med TR/FSL). Weekendtimerne afspadseres.",I15="X",C15="ikke relevant",S15="X"))),(V15),0)</f>
        <v>0</v>
      </c>
      <c r="FE15" s="283">
        <f>IF(AND(Stamoplysninger!$B$26="Der er indgået lokalaftale omkring weekendtillæg(Kræver aftale med TR/FSL). Weekendtimerne udbetales.",I15="X"),K15,0)</f>
        <v>0</v>
      </c>
      <c r="FF15" s="251">
        <f>IF(AND(AND(Stamoplysninger!$B$26="Der er indgået lokalaftale omkring weekendtillæg(Kræver aftale med TR/FSL). Weekendtimerne udbetales.",I15="X",S15="X")),V15,0)</f>
        <v>0</v>
      </c>
      <c r="FG15" s="674">
        <f>IF(AND(AND(Stamoplysninger!$B$26="Der er indgået lokalaftale omkring weekendtillæg(Kræver aftale med TR/FSL). Weekendtimerne udbetales.",I15="X",C15="ikke relevant")),K15,0)</f>
        <v>0</v>
      </c>
      <c r="FH15" s="675">
        <f>IF(AND(AND(AND(Stamoplysninger!$B$26="Der er indgået lokalaftale omkring weekendtillæg(Kræver aftale med TR/FSL). Weekendtimerne udbetales.",I15="X",C15="ikke relevant",S15="X"))),(V15),0)</f>
        <v>0</v>
      </c>
      <c r="FI15" s="283">
        <f>IF(AND(Stamoplysninger!$B$26="Weekendtimer og weekendtillæg afspadseres.",I15="X"),K15,0)</f>
        <v>0</v>
      </c>
      <c r="FJ15" s="251">
        <f>IF(AND(Stamoplysninger!$B$26="Weekendtimer og weekendtillæg afspadseres.",Y15="X"),(AA15+AL15)/2,0)</f>
        <v>0</v>
      </c>
      <c r="FK15" s="674">
        <f>IF(AND(AND(Stamoplysninger!$B$26="Weekendtimer og weekendtillæg afspadseres.",I15="X",C15="ikke relevant")),K15,0)</f>
        <v>0</v>
      </c>
      <c r="FL15" s="675">
        <f>IF(AND(AND(Stamoplysninger!$B$26="Weekendtimer og weekendtillæg afspadseres.",Y15="X",S15="ikke relevant")),(AA15+AL15)/2,0)</f>
        <v>0</v>
      </c>
      <c r="FM15" s="283">
        <f>IF(AND(Stamoplysninger!$B$26="Der er indgået lokalaftale omkring weekendtillæg(Kræver aftale med TR/FSL). Weekendtimerne afspadseres.",I15="X"),K15,0)</f>
        <v>0</v>
      </c>
      <c r="FN15" s="674">
        <f>IF(AND(AND(Stamoplysninger!$B$26="Der er indgået lokalaftale omkring weekendtillæg(Kræver aftale med TR/FSL). Weekendtimerne afspadseres.",I15="X",C15="ikke relevant")),K15,0)</f>
        <v>0</v>
      </c>
      <c r="FO15" s="283">
        <f>IF(AND(Stamoplysninger!$B$26="Weekendtimer og weekendtillæg udbetales.",I15="X"),K15,0)</f>
        <v>0</v>
      </c>
      <c r="FP15" s="251">
        <f>IF(AND(Stamoplysninger!$B$26="Weekendtimer og weekendtillæg udbetales.",AA15="X"),(AC15+AN15)/2,0)</f>
        <v>0</v>
      </c>
      <c r="FQ15" s="674">
        <f>IF(AND(AND(Stamoplysninger!$B$26="Weekendtimer og weekendtillæg udbetales.",I15="X",C15="ikke relevant")),K15,0)</f>
        <v>0</v>
      </c>
      <c r="FR15" s="688">
        <f>IF(AND(AND(Stamoplysninger!$B$26="Weekendtimer og weekendtillæg udbetales.",AA15="X",U15="ikke relevant")),(AC15+AN15)/2,0)</f>
        <v>0</v>
      </c>
      <c r="FS15" s="283">
        <f t="shared" si="16"/>
        <v>0</v>
      </c>
      <c r="FT15" s="658">
        <f t="shared" si="17"/>
        <v>0</v>
      </c>
      <c r="FU15">
        <f t="shared" si="18"/>
        <v>0</v>
      </c>
      <c r="FV15" s="283">
        <f>IF(AND(Stamoplysninger!$B$26="Der er indgået lokalaftale omkring weekendtimer.(Kræver aftale med TR/FSL) Weekendtillæg afspadseres.",I15="X"),K15,0)</f>
        <v>0</v>
      </c>
      <c r="FW15" s="674">
        <f>IF(AND(AND(Stamoplysninger!$B$26="Der er indgået lokalaftale omkring weekendtimer.(Kræver aftale med TR/FSL) Weekendtillæg afspadseres.",I15="X",C15="ikke relevant")),K15,0)</f>
        <v>0</v>
      </c>
      <c r="FX15" s="283">
        <f>IF(AND(Stamoplysninger!$B$26="Der er indgået lokalaftale omkring weekendtimer(Kræver aftale med TR/FSL). Weekendtillæg udbetales.",I15="X"),K15,0)</f>
        <v>0</v>
      </c>
      <c r="FY15" s="674">
        <f>IF(AND(AND(Stamoplysninger!$B$26="Der er indgået lokalaftale omkring weekendtimer(Kræver aftale med TR/FSL). Weekendtillæg udbetales.",I15="X",C15="ikke relevant")),K15,0)</f>
        <v>0</v>
      </c>
      <c r="FZ15" s="283">
        <f>IF(AND(Stamoplysninger!$B$26="Der er indgået lokalaftale omkring weekendtillæg(Kræver aftale med TR/FSL). Weekendtimerne udbetales.",I15="X"),K15,0)</f>
        <v>0</v>
      </c>
      <c r="GA15" s="674">
        <f>IF(AND(AND(Stamoplysninger!$B$26="Der er indgået lokalaftale omkring weekendtillæg(Kræver aftale med TR/FSL). Weekendtimerne udbetales.",I15="X",C15="ikke relevant")),K15,0)</f>
        <v>0</v>
      </c>
      <c r="GB15" s="283">
        <f>IF(AND(Stamoplysninger!$B$26="Der er indgået lokalaftale omkring weekendtimer og weekendtillæg.(Kræver aftale med TR/FSL).",I15="X"),K15,0)</f>
        <v>0</v>
      </c>
      <c r="GC15" s="674">
        <f>IF(AND(AND(Stamoplysninger!$B$26="Der er indgået lokalaftale omkring weekendtimer og weekendtillæg.(Kræver aftale med TR/FSL).",I15="X",C15="ikke relevant")),K15,0)</f>
        <v>0</v>
      </c>
    </row>
    <row r="16" spans="1:185" ht="16" customHeight="1">
      <c r="A16" s="245">
        <f t="shared" si="19"/>
        <v>7</v>
      </c>
      <c r="B16" s="128" t="str">
        <f t="shared" si="0"/>
        <v>on</v>
      </c>
      <c r="C16" s="129" t="s">
        <v>139</v>
      </c>
      <c r="D16" s="130" t="str">
        <f t="shared" si="1"/>
        <v/>
      </c>
      <c r="E16" s="917" t="s">
        <v>695</v>
      </c>
      <c r="F16" s="918"/>
      <c r="G16" s="919"/>
      <c r="H16" s="298"/>
      <c r="I16" s="527"/>
      <c r="J16" s="413"/>
      <c r="K16" s="380">
        <v>6</v>
      </c>
      <c r="L16" s="380"/>
      <c r="M16" s="380"/>
      <c r="N16" s="318">
        <f t="shared" si="20"/>
        <v>6</v>
      </c>
      <c r="O16" s="318">
        <f t="shared" si="21"/>
        <v>0</v>
      </c>
      <c r="P16" s="318">
        <f>IF(Stamoplysninger!$H$29="JA",August!DG16,CX16)</f>
        <v>0</v>
      </c>
      <c r="Q16" s="318">
        <f t="shared" si="22"/>
        <v>6</v>
      </c>
      <c r="R16" s="412"/>
      <c r="S16" s="324"/>
      <c r="T16" s="325"/>
      <c r="U16" s="325"/>
      <c r="V16" s="435"/>
      <c r="W16" s="412"/>
      <c r="X16" s="642"/>
      <c r="Y16">
        <f t="shared" si="23"/>
        <v>0</v>
      </c>
      <c r="Z16">
        <f t="shared" si="2"/>
        <v>0</v>
      </c>
      <c r="AA16" s="1">
        <f t="shared" si="3"/>
        <v>0</v>
      </c>
      <c r="AB16" s="1">
        <f t="shared" si="4"/>
        <v>0</v>
      </c>
      <c r="AC16" s="1">
        <f t="shared" si="5"/>
        <v>6</v>
      </c>
      <c r="AD16" s="1">
        <f t="shared" si="6"/>
        <v>0</v>
      </c>
      <c r="AE16" s="1">
        <f t="shared" si="7"/>
        <v>0</v>
      </c>
      <c r="AF16" s="1">
        <f>IF(C16="Orlov",Stamoplysninger!$E$15*7.4,0)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8"/>
        <v>6</v>
      </c>
      <c r="BB16" s="229">
        <f t="shared" si="9"/>
        <v>0</v>
      </c>
      <c r="BC16" s="1">
        <f t="shared" si="24"/>
        <v>0</v>
      </c>
      <c r="BD16" s="1">
        <f t="shared" si="10"/>
        <v>0</v>
      </c>
      <c r="BE16" s="1">
        <f t="shared" si="11"/>
        <v>0</v>
      </c>
      <c r="BF16" s="1">
        <f t="shared" si="12"/>
        <v>0</v>
      </c>
      <c r="BG16" s="210" t="str">
        <f>IF(AND(C16="Skema 1",B16="ma"),Skemaoplysninger!$E$30,"")</f>
        <v/>
      </c>
      <c r="BH16" s="210" t="str">
        <f>IF(AND(C16="Skema 1",B16="ti"),Skemaoplysninger!$G$30,"")</f>
        <v/>
      </c>
      <c r="BI16" s="210" t="str">
        <f>IF(AND(C16="Skema 1",B16="on"),Skemaoplysninger!$I$30,"")</f>
        <v/>
      </c>
      <c r="BJ16" s="210" t="str">
        <f>IF(AND(C16="Skema 1",B16="to"),Skemaoplysninger!$K$30,"")</f>
        <v/>
      </c>
      <c r="BK16" s="210" t="str">
        <f>IF(AND(C16="Skema 1",B16="fr"),Skemaoplysninger!$M$30,"")</f>
        <v/>
      </c>
      <c r="BL16" s="210" t="str">
        <f>IF(AND(C16="Skema 2",B16="ma"),Skemaoplysninger!$S$30,"")</f>
        <v/>
      </c>
      <c r="BM16" s="210" t="str">
        <f>IF(AND(C16="Skema 2",B16="ti"),Skemaoplysninger!$U$30,"")</f>
        <v/>
      </c>
      <c r="BN16" s="210" t="str">
        <f>IF(AND(C16="Skema 2",B16="on"),Skemaoplysninger!$W$30,"")</f>
        <v/>
      </c>
      <c r="BO16" s="210" t="str">
        <f>IF(AND(C16="Skema 2",B16="to"),Skemaoplysninger!$Y$30,"")</f>
        <v/>
      </c>
      <c r="BP16" s="210" t="str">
        <f>IF(AND(C16="Skema 2",B16="fr"),Skemaoplysninger!$AA$30,"")</f>
        <v/>
      </c>
      <c r="BQ16" s="210" t="str">
        <f>IF(AND(C16="Skema 3",B16="ma"),Skemaoplysninger!$AG$30,"")</f>
        <v/>
      </c>
      <c r="BR16" s="210" t="str">
        <f>IF(AND(C16="Skema 3",B16="ti"),Skemaoplysninger!$AI$30,"")</f>
        <v/>
      </c>
      <c r="BS16" s="210" t="str">
        <f>IF(AND(C16="Skema 3",B16="on"),Skemaoplysninger!$AK$30,"")</f>
        <v/>
      </c>
      <c r="BT16" s="210" t="str">
        <f>IF(AND(C16="Skema 3",B16="to"),Skemaoplysninger!$AM$30,"")</f>
        <v/>
      </c>
      <c r="BU16" s="210" t="str">
        <f>IF(AND(C16="Skema 3",B16="fr"),Skemaoplysninger!$AO$30,"")</f>
        <v/>
      </c>
      <c r="BV16" s="210" t="str">
        <f>IF(AND(C16="Skema 4",B16="ma"),Skemaoplysninger!$AU$30,"")</f>
        <v/>
      </c>
      <c r="BW16" s="210" t="str">
        <f>IF(AND(C16="Skema 4",B16="ti"),Skemaoplysninger!$AW$30,"")</f>
        <v/>
      </c>
      <c r="BX16" s="210" t="str">
        <f>IF(AND(C16="Skema 4",B16="on"),Skemaoplysninger!$AY$30,"")</f>
        <v/>
      </c>
      <c r="BY16" s="210" t="str">
        <f>IF(AND(C16="Skema 4",B16="to"),Skemaoplysninger!$BA$30,"")</f>
        <v/>
      </c>
      <c r="BZ16" s="210" t="str">
        <f>IF(AND(C16="Skema 4",B16="fr"),Skemaoplysninger!$BC$30,"")</f>
        <v/>
      </c>
      <c r="CA16" s="1">
        <f t="shared" si="25"/>
        <v>0</v>
      </c>
      <c r="CB16" s="1">
        <f t="shared" si="13"/>
        <v>0</v>
      </c>
      <c r="CC16" s="1">
        <f t="shared" si="14"/>
        <v>0</v>
      </c>
      <c r="CD16" s="210" t="str">
        <f>IF(AND(C16="Skema 1",B16="ma"),Skemaoplysninger!$E$31,"")</f>
        <v/>
      </c>
      <c r="CE16" s="210" t="str">
        <f>IF(AND(C16="Skema 1",B16="ti"),Skemaoplysninger!$G$31,"")</f>
        <v/>
      </c>
      <c r="CF16" s="210" t="str">
        <f>IF(AND(C16="Skema 1",B16="on"),Skemaoplysninger!$I$31,"")</f>
        <v/>
      </c>
      <c r="CG16" s="210" t="str">
        <f>IF(AND(C16="Skema 1",B16="to"),Skemaoplysninger!$K$31,"")</f>
        <v/>
      </c>
      <c r="CH16" s="210" t="str">
        <f>IF(AND(C16="Skema 1",B16="fr"),Skemaoplysninger!$M$31,"")</f>
        <v/>
      </c>
      <c r="CI16" s="210" t="str">
        <f>IF(AND(C16="Skema 2",B16="ma"),Skemaoplysninger!$S$31,"")</f>
        <v/>
      </c>
      <c r="CJ16" s="210" t="str">
        <f>IF(AND(C16="Skema 2",B16="ti"),Skemaoplysninger!$U$31,"")</f>
        <v/>
      </c>
      <c r="CK16" s="210" t="str">
        <f>IF(AND(C16="Skema 2",B16="on"),Skemaoplysninger!$W$31,"")</f>
        <v/>
      </c>
      <c r="CL16" s="210" t="str">
        <f>IF(AND(C16="Skema 2",B16="to"),Skemaoplysninger!$Y$31,"")</f>
        <v/>
      </c>
      <c r="CM16" s="210" t="str">
        <f>IF(AND(C16="Skema 2",B16="fr"),Skemaoplysninger!$AA$31,"")</f>
        <v/>
      </c>
      <c r="CN16" s="210" t="str">
        <f>IF(AND(C16="Skema 3",B16="ma"),Skemaoplysninger!$AG$31,"")</f>
        <v/>
      </c>
      <c r="CO16" s="210" t="str">
        <f>IF(AND(C16="Skema 3",B16="ti"),Skemaoplysninger!$AI$31,"")</f>
        <v/>
      </c>
      <c r="CP16" s="210" t="str">
        <f>IF(AND(C16="Skema 3",B16="on"),Skemaoplysninger!$AK$31,"")</f>
        <v/>
      </c>
      <c r="CQ16" s="210" t="str">
        <f>IF(AND(C16="Skema 3",B16="to"),Skemaoplysninger!$AM$31,"")</f>
        <v/>
      </c>
      <c r="CR16" s="210" t="str">
        <f>IF(AND(C16="Skema 3",B16="fr"),Skemaoplysninger!$AO$31,"")</f>
        <v/>
      </c>
      <c r="CS16" s="210" t="str">
        <f>IF(AND(C16="Skema 4",B16="ma"),Skemaoplysninger!$AU$31,"")</f>
        <v/>
      </c>
      <c r="CT16" s="210" t="str">
        <f>IF(AND(C16="Skema 4",B16="ti"),Skemaoplysninger!$AW$31,"")</f>
        <v/>
      </c>
      <c r="CU16" s="210" t="str">
        <f>IF(AND(C16="Skema 4",B16="on"),Skemaoplysninger!$AY$31,"")</f>
        <v/>
      </c>
      <c r="CV16" s="210" t="str">
        <f>IF(AND(C16="Skema 4",B16="to"),Skemaoplysninger!$BA$31,"")</f>
        <v/>
      </c>
      <c r="CW16" s="210" t="str">
        <f>IF(AND(C16="Skema 4",B16="fr"),Skemaoplysninger!$BC$31,"")</f>
        <v/>
      </c>
      <c r="CX16" s="249">
        <f>IF(Stamoplysninger!$H$29="NEJ",SUM(CD16:CW16)*24+CB16+CC16,0)</f>
        <v>0</v>
      </c>
      <c r="CY16" s="249">
        <f>IF(C16="Skema 1",Stamoplysninger!$H$30/200,0)</f>
        <v>0</v>
      </c>
      <c r="CZ16" s="249">
        <f>IF(C16="Skema 2",Stamoplysninger!$H$30/200,0)</f>
        <v>0</v>
      </c>
      <c r="DA16" s="249">
        <f>IF(C16="Skema 3",Stamoplysninger!$H$30/200,0)</f>
        <v>0</v>
      </c>
      <c r="DB16" s="249">
        <f>IF(C16="Skema 4",Stamoplysninger!$H$30/200,0)</f>
        <v>0</v>
      </c>
      <c r="DC16" s="249">
        <f>IF(C16="fagdag",Stamoplysninger!$H$30/200,0)</f>
        <v>0</v>
      </c>
      <c r="DD16" s="249">
        <f>IF(C16="emnedag",Stamoplysninger!$H$30/200,0)</f>
        <v>0</v>
      </c>
      <c r="DE16" s="249">
        <f>IF(C16="lejrskole",Stamoplysninger!$H$30/200,0)</f>
        <v>0</v>
      </c>
      <c r="DF16" s="249">
        <f>IF(C16="ekskursion",Stamoplysninger!$H$30/200,0)</f>
        <v>0</v>
      </c>
      <c r="DG16" s="249">
        <f t="shared" si="26"/>
        <v>0</v>
      </c>
      <c r="DH16" t="str">
        <f t="shared" si="27"/>
        <v/>
      </c>
      <c r="DI16" t="str">
        <f t="shared" si="28"/>
        <v>Vi planlægger det kommende skoleår 9-15</v>
      </c>
      <c r="DJ16" t="str">
        <f t="shared" si="29"/>
        <v/>
      </c>
      <c r="DK16" t="str">
        <f t="shared" si="15"/>
        <v/>
      </c>
      <c r="DL16" t="str">
        <f t="shared" si="15"/>
        <v>Vi planlægger det kommende skoleår 9-15</v>
      </c>
      <c r="DM16" t="str">
        <f t="shared" si="30"/>
        <v/>
      </c>
      <c r="DN16" t="str">
        <f t="shared" si="31"/>
        <v>Vi planlægger det kommende skoleår 9-15</v>
      </c>
      <c r="DO16" s="652">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71">
        <f>IF(AND(Stamoplysninger!$B$22="Ulempetillæg udbetales med 25% af nettotimelønnen.",C16="ikke relevant"),(R16)/4,0)</f>
        <v>0</v>
      </c>
      <c r="DT16" s="671">
        <f>IF(AND(AND(Stamoplysninger!$B$22="Ulempetillæg udbetales med 25% af nettotimelønnen.",I16="X",C16="Ikke relevant")),K16/4,0)</f>
        <v>0</v>
      </c>
      <c r="DU16" s="671">
        <f>IF(AND(AND(Stamoplysninger!$B$22="Ulempetillæg udbetales med 25% af nettotimelønnen.",C16="ikke relevant",U16="X")),(X16/4),0)</f>
        <v>0</v>
      </c>
      <c r="DV16" s="672">
        <f>IF(AND(AND(AND(Stamoplysninger!$B$22="Ulempetillæg udbetales med 25% af nettotimelønnen.",I16="X",C16="Ikke relevant",S16="X"))),V16/4,0)</f>
        <v>0</v>
      </c>
      <c r="DW16" s="652"/>
      <c r="DZ16" s="671"/>
      <c r="EA16" s="671"/>
      <c r="EB16" s="672"/>
      <c r="EC16" s="652">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71">
        <f>IF(AND(Stamoplysninger!$B$22="Ulempetillæg afspadseres med 25%(Kræver en aftale imellem ledelsen og den ansatte)",C16="ikke relevant"),(R16)/4,0)</f>
        <v>0</v>
      </c>
      <c r="EH16" s="671">
        <f>IF(AND(AND(Stamoplysninger!$B$22="Ulempetillæg afspadseres med 25%(Kræver en aftale imellem ledelsen og den ansatte)",I16="X",C16="Ikke relevant")),K16/4,0)</f>
        <v>0</v>
      </c>
      <c r="EI16" s="671">
        <f>IF(AND(AND(Stamoplysninger!$B$22="Ulempetillæg afspadseres med 25%(Kræver en aftale imellem ledelsen og den ansatte)",U16="X",C16="Ikke relevant")),X16/4,0)</f>
        <v>0</v>
      </c>
      <c r="EJ16" s="671">
        <f>IF(AND(AND(AND(Stamoplysninger!$B$22="Ulempetillæg afspadseres med 25%(Kræver en aftale imellem ledelsen og den ansatte)",I16="X",C16="Ikke relevant",S16="X"))),V16/4,0)</f>
        <v>0</v>
      </c>
      <c r="EK16" s="283">
        <f>IF(AND(Stamoplysninger!$B$26="Weekendtimer og weekendtillæg afspadseres.",I16="X"),K16*1.5,0)</f>
        <v>0</v>
      </c>
      <c r="EL16" s="251">
        <f>IF(AND(AND(Stamoplysninger!$B$26="Weekendtimer og weekendtillæg afspadseres.",I16="X",S16="X")),V16*1.5,0)</f>
        <v>0</v>
      </c>
      <c r="EM16" s="674">
        <f>IF(AND(AND(Stamoplysninger!$B$26="Weekendtimer og weekendtillæg afspadseres.",I16="X",C16="ikke relevant")),K16*1.5,0)</f>
        <v>0</v>
      </c>
      <c r="EN16" s="675">
        <f>IF(AND(AND(AND(Stamoplysninger!$B$26="Weekendtimer og weekendtillæg afspadseres.",I16="X",C16="ikke relevant",S16="X"))),(V16*1.5),0)</f>
        <v>0</v>
      </c>
      <c r="EO16" s="283">
        <f>IF(AND(Stamoplysninger!$B$26="Weekendtimer og weekendtillæg udbetales.",I16="X"),K16*1.5,0)</f>
        <v>0</v>
      </c>
      <c r="EP16" s="251">
        <f>IF(AND(AND(Stamoplysninger!$B$26="Weekendtimer og weekendtillæg udbetales.",I16="X",S16="X")),V16*1.5,0)</f>
        <v>0</v>
      </c>
      <c r="EQ16" s="674">
        <f>IF(AND(AND(Stamoplysninger!$B$26="Weekendtimer og weekendtillæg udbetales.",I16="X",C16="ikke relevant")),K16*1.5,0)</f>
        <v>0</v>
      </c>
      <c r="ER16" s="675">
        <f>IF(AND(AND(AND(Stamoplysninger!$B$26="Weekendtimer og weekendtillæg udbetales.",I16="X",C16="ikke relevant",S16="X"))),(V16*1.5),0)</f>
        <v>0</v>
      </c>
      <c r="ES16" s="283">
        <f>IF(AND(Stamoplysninger!$B$26="Der er indgået lokalaftale omkring weekendtimer.(Kræver aftale med TR/FSL) Weekendtillæg afspadseres.",I16="X"),K16*0.5,0)</f>
        <v>0</v>
      </c>
      <c r="ET16" s="251">
        <f>IF(AND(AND(Stamoplysninger!$B$26="Der er indgået lokalaftale omkring weekendtimer.(Kræver aftale med TR/FSL) Weekendtillæg afspadseres.",I16="X",S16="X")),V16*0.5,0)</f>
        <v>0</v>
      </c>
      <c r="EU16" s="674">
        <f>IF(AND(AND(Stamoplysninger!$B$26="Der er indgået lokalaftale omkring weekendtimer.(Kræver aftale med TR/FSL) Weekendtillæg afspadseres.",I16="X",C16="ikke relevant")),K16*0.5,0)</f>
        <v>0</v>
      </c>
      <c r="EV16" s="675">
        <f>IF(AND(AND(AND(Stamoplysninger!$B$26="Der er indgået lokalaftale omkring weekendtimer.(Kræver aftale med TR/FSL) Weekendtillæg afspadseres.",I16="X",C16="ikke relevant",S16="X"))),(V16*0.5),0)</f>
        <v>0</v>
      </c>
      <c r="EW16" s="283">
        <f>IF(AND(Stamoplysninger!$B$26="Der er indgået lokalaftale omkring weekendtimer(Kræver aftale med TR/FSL). Weekendtillæg udbetales.",I16="X"),K16*0.5,0)</f>
        <v>0</v>
      </c>
      <c r="EX16" s="251">
        <f>IF(AND(AND(Stamoplysninger!$B$26="Der er indgået lokalaftale omkring weekendtimer(Kræver aftale med TR/FSL). Weekendtillæg udbetales.",I16="X",S16="X")),V16*0.5,0)</f>
        <v>0</v>
      </c>
      <c r="EY16" s="674">
        <f>IF(AND(AND(Stamoplysninger!$B$26="Der er indgået lokalaftale omkring weekendtimer(Kræver aftale med TR/FSL). Weekendtillæg udbetales.",I16="X",C16="ikke relevant")),K16*0.5,0)</f>
        <v>0</v>
      </c>
      <c r="EZ16" s="675">
        <f>IF(AND(AND(AND(Stamoplysninger!$B$26="Der er indgået lokalaftale omkring weekendtimer(Kræver aftale med TR/FSL). Weekendtillæg udbetales.",I16="X",C16="ikke relevant",S16="X"))),(V16*0.5),0)</f>
        <v>0</v>
      </c>
      <c r="FA16" s="283">
        <f>IF(AND(Stamoplysninger!$B$26="Der er indgået lokalaftale omkring weekendtillæg(Kræver aftale med TR/FSL). Weekendtimerne afspadseres.",I16="X"),K16,0)</f>
        <v>0</v>
      </c>
      <c r="FB16" s="251">
        <f>IF(AND(AND(Stamoplysninger!$B$26="Der er indgået lokalaftale omkring weekendtillæg(Kræver aftale med TR/FSL). Weekendtimerne afspadseres.",I16="X",S16="X")),V16,0)</f>
        <v>0</v>
      </c>
      <c r="FC16" s="674">
        <f>IF(AND(AND(Stamoplysninger!$B$26="Der er indgået lokalaftale omkring weekendtillæg(Kræver aftale med TR/FSL). Weekendtimerne afspadseres..",I16="X",C16="ikke relevant")),K16,0)</f>
        <v>0</v>
      </c>
      <c r="FD16" s="675">
        <f>IF(AND(AND(AND(Stamoplysninger!$B$26="Der er indgået lokalaftale omkring weekendtillæg(Kræver aftale med TR/FSL). Weekendtimerne afspadseres.",I16="X",C16="ikke relevant",S16="X"))),(V16),0)</f>
        <v>0</v>
      </c>
      <c r="FE16" s="283">
        <f>IF(AND(Stamoplysninger!$B$26="Der er indgået lokalaftale omkring weekendtillæg(Kræver aftale med TR/FSL). Weekendtimerne udbetales.",I16="X"),K16,0)</f>
        <v>0</v>
      </c>
      <c r="FF16" s="251">
        <f>IF(AND(AND(Stamoplysninger!$B$26="Der er indgået lokalaftale omkring weekendtillæg(Kræver aftale med TR/FSL). Weekendtimerne udbetales.",I16="X",S16="X")),V16,0)</f>
        <v>0</v>
      </c>
      <c r="FG16" s="674">
        <f>IF(AND(AND(Stamoplysninger!$B$26="Der er indgået lokalaftale omkring weekendtillæg(Kræver aftale med TR/FSL). Weekendtimerne udbetales.",I16="X",C16="ikke relevant")),K16,0)</f>
        <v>0</v>
      </c>
      <c r="FH16" s="675">
        <f>IF(AND(AND(AND(Stamoplysninger!$B$26="Der er indgået lokalaftale omkring weekendtillæg(Kræver aftale med TR/FSL). Weekendtimerne udbetales.",I16="X",C16="ikke relevant",S16="X"))),(V16),0)</f>
        <v>0</v>
      </c>
      <c r="FI16" s="283">
        <f>IF(AND(Stamoplysninger!$B$26="Weekendtimer og weekendtillæg afspadseres.",I16="X"),K16,0)</f>
        <v>0</v>
      </c>
      <c r="FJ16" s="251">
        <f>IF(AND(Stamoplysninger!$B$26="Weekendtimer og weekendtillæg afspadseres.",Y16="X"),(AA16+AL16)/2,0)</f>
        <v>0</v>
      </c>
      <c r="FK16" s="674">
        <f>IF(AND(AND(Stamoplysninger!$B$26="Weekendtimer og weekendtillæg afspadseres.",I16="X",C16="ikke relevant")),K16,0)</f>
        <v>0</v>
      </c>
      <c r="FL16" s="675">
        <f>IF(AND(AND(Stamoplysninger!$B$26="Weekendtimer og weekendtillæg afspadseres.",Y16="X",S16="ikke relevant")),(AA16+AL16)/2,0)</f>
        <v>0</v>
      </c>
      <c r="FM16" s="283">
        <f>IF(AND(Stamoplysninger!$B$26="Der er indgået lokalaftale omkring weekendtillæg(Kræver aftale med TR/FSL). Weekendtimerne afspadseres.",I16="X"),K16,0)</f>
        <v>0</v>
      </c>
      <c r="FN16" s="674">
        <f>IF(AND(AND(Stamoplysninger!$B$26="Der er indgået lokalaftale omkring weekendtillæg(Kræver aftale med TR/FSL). Weekendtimerne afspadseres.",I16="X",C16="ikke relevant")),K16,0)</f>
        <v>0</v>
      </c>
      <c r="FO16" s="283">
        <f>IF(AND(Stamoplysninger!$B$26="Weekendtimer og weekendtillæg udbetales.",I16="X"),K16,0)</f>
        <v>0</v>
      </c>
      <c r="FP16" s="251">
        <f>IF(AND(Stamoplysninger!$B$26="Weekendtimer og weekendtillæg udbetales.",AA16="X"),(AC16+AN16)/2,0)</f>
        <v>0</v>
      </c>
      <c r="FQ16" s="674">
        <f>IF(AND(AND(Stamoplysninger!$B$26="Weekendtimer og weekendtillæg udbetales.",I16="X",C16="ikke relevant")),K16,0)</f>
        <v>0</v>
      </c>
      <c r="FR16" s="688">
        <f>IF(AND(AND(Stamoplysninger!$B$26="Weekendtimer og weekendtillæg udbetales.",AA16="X",U16="ikke relevant")),(AC16+AN16)/2,0)</f>
        <v>0</v>
      </c>
      <c r="FS16" s="283">
        <f t="shared" si="16"/>
        <v>0</v>
      </c>
      <c r="FT16" s="658">
        <f t="shared" si="17"/>
        <v>0</v>
      </c>
      <c r="FU16">
        <f t="shared" si="18"/>
        <v>0</v>
      </c>
      <c r="FV16" s="283">
        <f>IF(AND(Stamoplysninger!$B$26="Der er indgået lokalaftale omkring weekendtimer.(Kræver aftale med TR/FSL) Weekendtillæg afspadseres.",I16="X"),K16,0)</f>
        <v>0</v>
      </c>
      <c r="FW16" s="674">
        <f>IF(AND(AND(Stamoplysninger!$B$26="Der er indgået lokalaftale omkring weekendtimer.(Kræver aftale med TR/FSL) Weekendtillæg afspadseres.",I16="X",C16="ikke relevant")),K16,0)</f>
        <v>0</v>
      </c>
      <c r="FX16" s="283">
        <f>IF(AND(Stamoplysninger!$B$26="Der er indgået lokalaftale omkring weekendtimer(Kræver aftale med TR/FSL). Weekendtillæg udbetales.",I16="X"),K16,0)</f>
        <v>0</v>
      </c>
      <c r="FY16" s="674">
        <f>IF(AND(AND(Stamoplysninger!$B$26="Der er indgået lokalaftale omkring weekendtimer(Kræver aftale med TR/FSL). Weekendtillæg udbetales.",I16="X",C16="ikke relevant")),K16,0)</f>
        <v>0</v>
      </c>
      <c r="FZ16" s="283">
        <f>IF(AND(Stamoplysninger!$B$26="Der er indgået lokalaftale omkring weekendtillæg(Kræver aftale med TR/FSL). Weekendtimerne udbetales.",I16="X"),K16,0)</f>
        <v>0</v>
      </c>
      <c r="GA16" s="674">
        <f>IF(AND(AND(Stamoplysninger!$B$26="Der er indgået lokalaftale omkring weekendtillæg(Kræver aftale med TR/FSL). Weekendtimerne udbetales.",I16="X",C16="ikke relevant")),K16,0)</f>
        <v>0</v>
      </c>
      <c r="GB16" s="283">
        <f>IF(AND(Stamoplysninger!$B$26="Der er indgået lokalaftale omkring weekendtimer og weekendtillæg.(Kræver aftale med TR/FSL).",I16="X"),K16,0)</f>
        <v>0</v>
      </c>
      <c r="GC16" s="674">
        <f>IF(AND(AND(Stamoplysninger!$B$26="Der er indgået lokalaftale omkring weekendtimer og weekendtillæg.(Kræver aftale med TR/FSL).",I16="X",C16="ikke relevant")),K16,0)</f>
        <v>0</v>
      </c>
    </row>
    <row r="17" spans="1:185">
      <c r="A17" s="245">
        <f t="shared" si="19"/>
        <v>8</v>
      </c>
      <c r="B17" s="128" t="str">
        <f t="shared" si="0"/>
        <v>to</v>
      </c>
      <c r="C17" s="129" t="s">
        <v>139</v>
      </c>
      <c r="D17" s="130" t="str">
        <f t="shared" si="1"/>
        <v/>
      </c>
      <c r="E17" s="917" t="s">
        <v>695</v>
      </c>
      <c r="F17" s="918"/>
      <c r="G17" s="919"/>
      <c r="H17" s="298"/>
      <c r="I17" s="527"/>
      <c r="J17" s="413"/>
      <c r="K17" s="380">
        <v>6</v>
      </c>
      <c r="L17" s="380"/>
      <c r="M17" s="380"/>
      <c r="N17" s="318">
        <f t="shared" si="20"/>
        <v>6</v>
      </c>
      <c r="O17" s="318">
        <f t="shared" si="21"/>
        <v>0</v>
      </c>
      <c r="P17" s="318">
        <f>IF(Stamoplysninger!$H$29="JA",August!DG17,CX17)</f>
        <v>0</v>
      </c>
      <c r="Q17" s="318">
        <f t="shared" si="22"/>
        <v>6</v>
      </c>
      <c r="R17" s="412"/>
      <c r="S17" s="324"/>
      <c r="T17" s="325"/>
      <c r="U17" s="325"/>
      <c r="V17" s="435"/>
      <c r="W17" s="412"/>
      <c r="X17" s="642"/>
      <c r="Y17">
        <f t="shared" si="23"/>
        <v>0</v>
      </c>
      <c r="Z17">
        <f t="shared" si="2"/>
        <v>0</v>
      </c>
      <c r="AA17" s="1">
        <f t="shared" si="3"/>
        <v>0</v>
      </c>
      <c r="AB17" s="1">
        <f t="shared" si="4"/>
        <v>0</v>
      </c>
      <c r="AC17" s="1">
        <f t="shared" si="5"/>
        <v>6</v>
      </c>
      <c r="AD17" s="1">
        <f t="shared" si="6"/>
        <v>0</v>
      </c>
      <c r="AE17" s="1">
        <f t="shared" si="7"/>
        <v>0</v>
      </c>
      <c r="AF17" s="1">
        <f>IF(C17="Orlov",Stamoplysninger!$E$15*7.4,0)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8"/>
        <v>6</v>
      </c>
      <c r="BB17" s="229">
        <f t="shared" si="9"/>
        <v>0</v>
      </c>
      <c r="BC17" s="1">
        <f t="shared" si="24"/>
        <v>0</v>
      </c>
      <c r="BD17" s="1">
        <f t="shared" si="10"/>
        <v>0</v>
      </c>
      <c r="BE17" s="1">
        <f t="shared" si="11"/>
        <v>0</v>
      </c>
      <c r="BF17" s="1">
        <f t="shared" si="12"/>
        <v>0</v>
      </c>
      <c r="BG17" s="210" t="str">
        <f>IF(AND(C17="Skema 1",B17="ma"),Skemaoplysninger!$E$30,"")</f>
        <v/>
      </c>
      <c r="BH17" s="210" t="str">
        <f>IF(AND(C17="Skema 1",B17="ti"),Skemaoplysninger!$G$30,"")</f>
        <v/>
      </c>
      <c r="BI17" s="210" t="str">
        <f>IF(AND(C17="Skema 1",B17="on"),Skemaoplysninger!$I$30,"")</f>
        <v/>
      </c>
      <c r="BJ17" s="210" t="str">
        <f>IF(AND(C17="Skema 1",B17="to"),Skemaoplysninger!$K$30,"")</f>
        <v/>
      </c>
      <c r="BK17" s="210" t="str">
        <f>IF(AND(C17="Skema 1",B17="fr"),Skemaoplysninger!$M$30,"")</f>
        <v/>
      </c>
      <c r="BL17" s="210" t="str">
        <f>IF(AND(C17="Skema 2",B17="ma"),Skemaoplysninger!$S$30,"")</f>
        <v/>
      </c>
      <c r="BM17" s="210" t="str">
        <f>IF(AND(C17="Skema 2",B17="ti"),Skemaoplysninger!$U$30,"")</f>
        <v/>
      </c>
      <c r="BN17" s="210" t="str">
        <f>IF(AND(C17="Skema 2",B17="on"),Skemaoplysninger!$W$30,"")</f>
        <v/>
      </c>
      <c r="BO17" s="210" t="str">
        <f>IF(AND(C17="Skema 2",B17="to"),Skemaoplysninger!$Y$30,"")</f>
        <v/>
      </c>
      <c r="BP17" s="210" t="str">
        <f>IF(AND(C17="Skema 2",B17="fr"),Skemaoplysninger!$AA$30,"")</f>
        <v/>
      </c>
      <c r="BQ17" s="210" t="str">
        <f>IF(AND(C17="Skema 3",B17="ma"),Skemaoplysninger!$AG$30,"")</f>
        <v/>
      </c>
      <c r="BR17" s="210" t="str">
        <f>IF(AND(C17="Skema 3",B17="ti"),Skemaoplysninger!$AI$30,"")</f>
        <v/>
      </c>
      <c r="BS17" s="210" t="str">
        <f>IF(AND(C17="Skema 3",B17="on"),Skemaoplysninger!$AK$30,"")</f>
        <v/>
      </c>
      <c r="BT17" s="210" t="str">
        <f>IF(AND(C17="Skema 3",B17="to"),Skemaoplysninger!$AM$30,"")</f>
        <v/>
      </c>
      <c r="BU17" s="210" t="str">
        <f>IF(AND(C17="Skema 3",B17="fr"),Skemaoplysninger!$AO$30,"")</f>
        <v/>
      </c>
      <c r="BV17" s="210" t="str">
        <f>IF(AND(C17="Skema 4",B17="ma"),Skemaoplysninger!$AU$30,"")</f>
        <v/>
      </c>
      <c r="BW17" s="210" t="str">
        <f>IF(AND(C17="Skema 4",B17="ti"),Skemaoplysninger!$AW$30,"")</f>
        <v/>
      </c>
      <c r="BX17" s="210" t="str">
        <f>IF(AND(C17="Skema 4",B17="on"),Skemaoplysninger!$AY$30,"")</f>
        <v/>
      </c>
      <c r="BY17" s="210" t="str">
        <f>IF(AND(C17="Skema 4",B17="to"),Skemaoplysninger!$BA$30,"")</f>
        <v/>
      </c>
      <c r="BZ17" s="210" t="str">
        <f>IF(AND(C17="Skema 4",B17="fr"),Skemaoplysninger!$BC$30,"")</f>
        <v/>
      </c>
      <c r="CA17" s="1">
        <f t="shared" si="25"/>
        <v>0</v>
      </c>
      <c r="CB17" s="1">
        <f t="shared" si="13"/>
        <v>0</v>
      </c>
      <c r="CC17" s="1">
        <f t="shared" si="14"/>
        <v>0</v>
      </c>
      <c r="CD17" s="210" t="str">
        <f>IF(AND(C17="Skema 1",B17="ma"),Skemaoplysninger!$E$31,"")</f>
        <v/>
      </c>
      <c r="CE17" s="210" t="str">
        <f>IF(AND(C17="Skema 1",B17="ti"),Skemaoplysninger!$G$31,"")</f>
        <v/>
      </c>
      <c r="CF17" s="210" t="str">
        <f>IF(AND(C17="Skema 1",B17="on"),Skemaoplysninger!$I$31,"")</f>
        <v/>
      </c>
      <c r="CG17" s="210" t="str">
        <f>IF(AND(C17="Skema 1",B17="to"),Skemaoplysninger!$K$31,"")</f>
        <v/>
      </c>
      <c r="CH17" s="210" t="str">
        <f>IF(AND(C17="Skema 1",B17="fr"),Skemaoplysninger!$M$31,"")</f>
        <v/>
      </c>
      <c r="CI17" s="210" t="str">
        <f>IF(AND(C17="Skema 2",B17="ma"),Skemaoplysninger!$S$31,"")</f>
        <v/>
      </c>
      <c r="CJ17" s="210" t="str">
        <f>IF(AND(C17="Skema 2",B17="ti"),Skemaoplysninger!$U$31,"")</f>
        <v/>
      </c>
      <c r="CK17" s="210" t="str">
        <f>IF(AND(C17="Skema 2",B17="on"),Skemaoplysninger!$W$31,"")</f>
        <v/>
      </c>
      <c r="CL17" s="210" t="str">
        <f>IF(AND(C17="Skema 2",B17="to"),Skemaoplysninger!$Y$31,"")</f>
        <v/>
      </c>
      <c r="CM17" s="210" t="str">
        <f>IF(AND(C17="Skema 2",B17="fr"),Skemaoplysninger!$AA$31,"")</f>
        <v/>
      </c>
      <c r="CN17" s="210" t="str">
        <f>IF(AND(C17="Skema 3",B17="ma"),Skemaoplysninger!$AG$31,"")</f>
        <v/>
      </c>
      <c r="CO17" s="210" t="str">
        <f>IF(AND(C17="Skema 3",B17="ti"),Skemaoplysninger!$AI$31,"")</f>
        <v/>
      </c>
      <c r="CP17" s="210" t="str">
        <f>IF(AND(C17="Skema 3",B17="on"),Skemaoplysninger!$AK$31,"")</f>
        <v/>
      </c>
      <c r="CQ17" s="210" t="str">
        <f>IF(AND(C17="Skema 3",B17="to"),Skemaoplysninger!$AM$31,"")</f>
        <v/>
      </c>
      <c r="CR17" s="210" t="str">
        <f>IF(AND(C17="Skema 3",B17="fr"),Skemaoplysninger!$AO$31,"")</f>
        <v/>
      </c>
      <c r="CS17" s="210" t="str">
        <f>IF(AND(C17="Skema 4",B17="ma"),Skemaoplysninger!$AU$31,"")</f>
        <v/>
      </c>
      <c r="CT17" s="210" t="str">
        <f>IF(AND(C17="Skema 4",B17="ti"),Skemaoplysninger!$AW$31,"")</f>
        <v/>
      </c>
      <c r="CU17" s="210" t="str">
        <f>IF(AND(C17="Skema 4",B17="on"),Skemaoplysninger!$AY$31,"")</f>
        <v/>
      </c>
      <c r="CV17" s="210" t="str">
        <f>IF(AND(C17="Skema 4",B17="to"),Skemaoplysninger!$BA$31,"")</f>
        <v/>
      </c>
      <c r="CW17" s="210" t="str">
        <f>IF(AND(C17="Skema 4",B17="fr"),Skemaoplysninger!$BC$31,"")</f>
        <v/>
      </c>
      <c r="CX17" s="249">
        <f>IF(Stamoplysninger!$H$29="NEJ",SUM(CD17:CW17)*24+CB17+CC17,0)</f>
        <v>0</v>
      </c>
      <c r="CY17" s="249">
        <f>IF(C17="Skema 1",Stamoplysninger!$H$30/200,0)</f>
        <v>0</v>
      </c>
      <c r="CZ17" s="249">
        <f>IF(C17="Skema 2",Stamoplysninger!$H$30/200,0)</f>
        <v>0</v>
      </c>
      <c r="DA17" s="249">
        <f>IF(C17="Skema 3",Stamoplysninger!$H$30/200,0)</f>
        <v>0</v>
      </c>
      <c r="DB17" s="249">
        <f>IF(C17="Skema 4",Stamoplysninger!$H$30/200,0)</f>
        <v>0</v>
      </c>
      <c r="DC17" s="249">
        <f>IF(C17="fagdag",Stamoplysninger!$H$30/200,0)</f>
        <v>0</v>
      </c>
      <c r="DD17" s="249">
        <f>IF(C17="emnedag",Stamoplysninger!$H$30/200,0)</f>
        <v>0</v>
      </c>
      <c r="DE17" s="249">
        <f>IF(C17="lejrskole",Stamoplysninger!$H$30/200,0)</f>
        <v>0</v>
      </c>
      <c r="DF17" s="249">
        <f>IF(C17="ekskursion",Stamoplysninger!$H$30/200,0)</f>
        <v>0</v>
      </c>
      <c r="DG17" s="249">
        <f t="shared" si="26"/>
        <v>0</v>
      </c>
      <c r="DH17" t="str">
        <f t="shared" si="27"/>
        <v/>
      </c>
      <c r="DI17" t="str">
        <f t="shared" si="28"/>
        <v>Vi planlægger det kommende skoleår 9-15</v>
      </c>
      <c r="DJ17" t="str">
        <f t="shared" si="29"/>
        <v/>
      </c>
      <c r="DK17" t="str">
        <f t="shared" si="15"/>
        <v/>
      </c>
      <c r="DL17" t="str">
        <f t="shared" si="15"/>
        <v>Vi planlægger det kommende skoleår 9-15</v>
      </c>
      <c r="DM17" t="str">
        <f t="shared" si="30"/>
        <v/>
      </c>
      <c r="DN17" t="str">
        <f t="shared" si="31"/>
        <v>Vi planlægger det kommende skoleår 9-15</v>
      </c>
      <c r="DO17" s="652">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71">
        <f>IF(AND(Stamoplysninger!$B$22="Ulempetillæg udbetales med 25% af nettotimelønnen.",C17="ikke relevant"),(R17)/4,0)</f>
        <v>0</v>
      </c>
      <c r="DT17" s="671">
        <f>IF(AND(AND(Stamoplysninger!$B$22="Ulempetillæg udbetales med 25% af nettotimelønnen.",I17="X",C17="Ikke relevant")),K17/4,0)</f>
        <v>0</v>
      </c>
      <c r="DU17" s="671">
        <f>IF(AND(AND(Stamoplysninger!$B$22="Ulempetillæg udbetales med 25% af nettotimelønnen.",C17="ikke relevant",U17="X")),(X17/4),0)</f>
        <v>0</v>
      </c>
      <c r="DV17" s="672">
        <f>IF(AND(AND(AND(Stamoplysninger!$B$22="Ulempetillæg udbetales med 25% af nettotimelønnen.",I17="X",C17="Ikke relevant",S17="X"))),V17/4,0)</f>
        <v>0</v>
      </c>
      <c r="DW17" s="652"/>
      <c r="DZ17" s="671"/>
      <c r="EA17" s="671"/>
      <c r="EB17" s="672"/>
      <c r="EC17" s="652">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71">
        <f>IF(AND(Stamoplysninger!$B$22="Ulempetillæg afspadseres med 25%(Kræver en aftale imellem ledelsen og den ansatte)",C17="ikke relevant"),(R17)/4,0)</f>
        <v>0</v>
      </c>
      <c r="EH17" s="671">
        <f>IF(AND(AND(Stamoplysninger!$B$22="Ulempetillæg afspadseres med 25%(Kræver en aftale imellem ledelsen og den ansatte)",I17="X",C17="Ikke relevant")),K17/4,0)</f>
        <v>0</v>
      </c>
      <c r="EI17" s="671">
        <f>IF(AND(AND(Stamoplysninger!$B$22="Ulempetillæg afspadseres med 25%(Kræver en aftale imellem ledelsen og den ansatte)",U17="X",C17="Ikke relevant")),X17/4,0)</f>
        <v>0</v>
      </c>
      <c r="EJ17" s="671">
        <f>IF(AND(AND(AND(Stamoplysninger!$B$22="Ulempetillæg afspadseres med 25%(Kræver en aftale imellem ledelsen og den ansatte)",I17="X",C17="Ikke relevant",S17="X"))),V17/4,0)</f>
        <v>0</v>
      </c>
      <c r="EK17" s="283">
        <f>IF(AND(Stamoplysninger!$B$26="Weekendtimer og weekendtillæg afspadseres.",I17="X"),K17*1.5,0)</f>
        <v>0</v>
      </c>
      <c r="EL17" s="251">
        <f>IF(AND(AND(Stamoplysninger!$B$26="Weekendtimer og weekendtillæg afspadseres.",I17="X",S17="X")),V17*1.5,0)</f>
        <v>0</v>
      </c>
      <c r="EM17" s="674">
        <f>IF(AND(AND(Stamoplysninger!$B$26="Weekendtimer og weekendtillæg afspadseres.",I17="X",C17="ikke relevant")),K17*1.5,0)</f>
        <v>0</v>
      </c>
      <c r="EN17" s="675">
        <f>IF(AND(AND(AND(Stamoplysninger!$B$26="Weekendtimer og weekendtillæg afspadseres.",I17="X",C17="ikke relevant",S17="X"))),(V17*1.5),0)</f>
        <v>0</v>
      </c>
      <c r="EO17" s="283">
        <f>IF(AND(Stamoplysninger!$B$26="Weekendtimer og weekendtillæg udbetales.",I17="X"),K17*1.5,0)</f>
        <v>0</v>
      </c>
      <c r="EP17" s="251">
        <f>IF(AND(AND(Stamoplysninger!$B$26="Weekendtimer og weekendtillæg udbetales.",I17="X",S17="X")),V17*1.5,0)</f>
        <v>0</v>
      </c>
      <c r="EQ17" s="674">
        <f>IF(AND(AND(Stamoplysninger!$B$26="Weekendtimer og weekendtillæg udbetales.",I17="X",C17="ikke relevant")),K17*1.5,0)</f>
        <v>0</v>
      </c>
      <c r="ER17" s="675">
        <f>IF(AND(AND(AND(Stamoplysninger!$B$26="Weekendtimer og weekendtillæg udbetales.",I17="X",C17="ikke relevant",S17="X"))),(V17*1.5),0)</f>
        <v>0</v>
      </c>
      <c r="ES17" s="283">
        <f>IF(AND(Stamoplysninger!$B$26="Der er indgået lokalaftale omkring weekendtimer.(Kræver aftale med TR/FSL) Weekendtillæg afspadseres.",I17="X"),K17*0.5,0)</f>
        <v>0</v>
      </c>
      <c r="ET17" s="251">
        <f>IF(AND(AND(Stamoplysninger!$B$26="Der er indgået lokalaftale omkring weekendtimer.(Kræver aftale med TR/FSL) Weekendtillæg afspadseres.",I17="X",S17="X")),V17*0.5,0)</f>
        <v>0</v>
      </c>
      <c r="EU17" s="674">
        <f>IF(AND(AND(Stamoplysninger!$B$26="Der er indgået lokalaftale omkring weekendtimer.(Kræver aftale med TR/FSL) Weekendtillæg afspadseres.",I17="X",C17="ikke relevant")),K17*0.5,0)</f>
        <v>0</v>
      </c>
      <c r="EV17" s="675">
        <f>IF(AND(AND(AND(Stamoplysninger!$B$26="Der er indgået lokalaftale omkring weekendtimer.(Kræver aftale med TR/FSL) Weekendtillæg afspadseres.",I17="X",C17="ikke relevant",S17="X"))),(V17*0.5),0)</f>
        <v>0</v>
      </c>
      <c r="EW17" s="283">
        <f>IF(AND(Stamoplysninger!$B$26="Der er indgået lokalaftale omkring weekendtimer(Kræver aftale med TR/FSL). Weekendtillæg udbetales.",I17="X"),K17*0.5,0)</f>
        <v>0</v>
      </c>
      <c r="EX17" s="251">
        <f>IF(AND(AND(Stamoplysninger!$B$26="Der er indgået lokalaftale omkring weekendtimer(Kræver aftale med TR/FSL). Weekendtillæg udbetales.",I17="X",S17="X")),V17*0.5,0)</f>
        <v>0</v>
      </c>
      <c r="EY17" s="674">
        <f>IF(AND(AND(Stamoplysninger!$B$26="Der er indgået lokalaftale omkring weekendtimer(Kræver aftale med TR/FSL). Weekendtillæg udbetales.",I17="X",C17="ikke relevant")),K17*0.5,0)</f>
        <v>0</v>
      </c>
      <c r="EZ17" s="675">
        <f>IF(AND(AND(AND(Stamoplysninger!$B$26="Der er indgået lokalaftale omkring weekendtimer(Kræver aftale med TR/FSL). Weekendtillæg udbetales.",I17="X",C17="ikke relevant",S17="X"))),(V17*0.5),0)</f>
        <v>0</v>
      </c>
      <c r="FA17" s="283">
        <f>IF(AND(Stamoplysninger!$B$26="Der er indgået lokalaftale omkring weekendtillæg(Kræver aftale med TR/FSL). Weekendtimerne afspadseres.",I17="X"),K17,0)</f>
        <v>0</v>
      </c>
      <c r="FB17" s="251">
        <f>IF(AND(AND(Stamoplysninger!$B$26="Der er indgået lokalaftale omkring weekendtillæg(Kræver aftale med TR/FSL). Weekendtimerne afspadseres.",I17="X",S17="X")),V17,0)</f>
        <v>0</v>
      </c>
      <c r="FC17" s="674">
        <f>IF(AND(AND(Stamoplysninger!$B$26="Der er indgået lokalaftale omkring weekendtillæg(Kræver aftale med TR/FSL). Weekendtimerne afspadseres..",I17="X",C17="ikke relevant")),K17,0)</f>
        <v>0</v>
      </c>
      <c r="FD17" s="675">
        <f>IF(AND(AND(AND(Stamoplysninger!$B$26="Der er indgået lokalaftale omkring weekendtillæg(Kræver aftale med TR/FSL). Weekendtimerne afspadseres.",I17="X",C17="ikke relevant",S17="X"))),(V17),0)</f>
        <v>0</v>
      </c>
      <c r="FE17" s="283">
        <f>IF(AND(Stamoplysninger!$B$26="Der er indgået lokalaftale omkring weekendtillæg(Kræver aftale med TR/FSL). Weekendtimerne udbetales.",I17="X"),K17,0)</f>
        <v>0</v>
      </c>
      <c r="FF17" s="251">
        <f>IF(AND(AND(Stamoplysninger!$B$26="Der er indgået lokalaftale omkring weekendtillæg(Kræver aftale med TR/FSL). Weekendtimerne udbetales.",I17="X",S17="X")),V17,0)</f>
        <v>0</v>
      </c>
      <c r="FG17" s="674">
        <f>IF(AND(AND(Stamoplysninger!$B$26="Der er indgået lokalaftale omkring weekendtillæg(Kræver aftale med TR/FSL). Weekendtimerne udbetales.",I17="X",C17="ikke relevant")),K17,0)</f>
        <v>0</v>
      </c>
      <c r="FH17" s="675">
        <f>IF(AND(AND(AND(Stamoplysninger!$B$26="Der er indgået lokalaftale omkring weekendtillæg(Kræver aftale med TR/FSL). Weekendtimerne udbetales.",I17="X",C17="ikke relevant",S17="X"))),(V17),0)</f>
        <v>0</v>
      </c>
      <c r="FI17" s="283">
        <f>IF(AND(Stamoplysninger!$B$26="Weekendtimer og weekendtillæg afspadseres.",I17="X"),K17,0)</f>
        <v>0</v>
      </c>
      <c r="FJ17" s="251">
        <f>IF(AND(Stamoplysninger!$B$26="Weekendtimer og weekendtillæg afspadseres.",Y17="X"),(AA17+AL17)/2,0)</f>
        <v>0</v>
      </c>
      <c r="FK17" s="674">
        <f>IF(AND(AND(Stamoplysninger!$B$26="Weekendtimer og weekendtillæg afspadseres.",I17="X",C17="ikke relevant")),K17,0)</f>
        <v>0</v>
      </c>
      <c r="FL17" s="675">
        <f>IF(AND(AND(Stamoplysninger!$B$26="Weekendtimer og weekendtillæg afspadseres.",Y17="X",S17="ikke relevant")),(AA17+AL17)/2,0)</f>
        <v>0</v>
      </c>
      <c r="FM17" s="283">
        <f>IF(AND(Stamoplysninger!$B$26="Der er indgået lokalaftale omkring weekendtillæg(Kræver aftale med TR/FSL). Weekendtimerne afspadseres.",I17="X"),K17,0)</f>
        <v>0</v>
      </c>
      <c r="FN17" s="674">
        <f>IF(AND(AND(Stamoplysninger!$B$26="Der er indgået lokalaftale omkring weekendtillæg(Kræver aftale med TR/FSL). Weekendtimerne afspadseres.",I17="X",C17="ikke relevant")),K17,0)</f>
        <v>0</v>
      </c>
      <c r="FO17" s="283">
        <f>IF(AND(Stamoplysninger!$B$26="Weekendtimer og weekendtillæg udbetales.",I17="X"),K17,0)</f>
        <v>0</v>
      </c>
      <c r="FP17" s="251">
        <f>IF(AND(Stamoplysninger!$B$26="Weekendtimer og weekendtillæg udbetales.",AA17="X"),(AC17+AN17)/2,0)</f>
        <v>0</v>
      </c>
      <c r="FQ17" s="674">
        <f>IF(AND(AND(Stamoplysninger!$B$26="Weekendtimer og weekendtillæg udbetales.",I17="X",C17="ikke relevant")),K17,0)</f>
        <v>0</v>
      </c>
      <c r="FR17" s="688">
        <f>IF(AND(AND(Stamoplysninger!$B$26="Weekendtimer og weekendtillæg udbetales.",AA17="X",U17="ikke relevant")),(AC17+AN17)/2,0)</f>
        <v>0</v>
      </c>
      <c r="FS17" s="283">
        <f t="shared" si="16"/>
        <v>0</v>
      </c>
      <c r="FT17" s="658">
        <f t="shared" si="17"/>
        <v>0</v>
      </c>
      <c r="FU17">
        <f t="shared" si="18"/>
        <v>0</v>
      </c>
      <c r="FV17" s="283">
        <f>IF(AND(Stamoplysninger!$B$26="Der er indgået lokalaftale omkring weekendtimer.(Kræver aftale med TR/FSL) Weekendtillæg afspadseres.",I17="X"),K17,0)</f>
        <v>0</v>
      </c>
      <c r="FW17" s="674">
        <f>IF(AND(AND(Stamoplysninger!$B$26="Der er indgået lokalaftale omkring weekendtimer.(Kræver aftale med TR/FSL) Weekendtillæg afspadseres.",I17="X",C17="ikke relevant")),K17,0)</f>
        <v>0</v>
      </c>
      <c r="FX17" s="283">
        <f>IF(AND(Stamoplysninger!$B$26="Der er indgået lokalaftale omkring weekendtimer(Kræver aftale med TR/FSL). Weekendtillæg udbetales.",I17="X"),K17,0)</f>
        <v>0</v>
      </c>
      <c r="FY17" s="674">
        <f>IF(AND(AND(Stamoplysninger!$B$26="Der er indgået lokalaftale omkring weekendtimer(Kræver aftale med TR/FSL). Weekendtillæg udbetales.",I17="X",C17="ikke relevant")),K17,0)</f>
        <v>0</v>
      </c>
      <c r="FZ17" s="283">
        <f>IF(AND(Stamoplysninger!$B$26="Der er indgået lokalaftale omkring weekendtillæg(Kræver aftale med TR/FSL). Weekendtimerne udbetales.",I17="X"),K17,0)</f>
        <v>0</v>
      </c>
      <c r="GA17" s="674">
        <f>IF(AND(AND(Stamoplysninger!$B$26="Der er indgået lokalaftale omkring weekendtillæg(Kræver aftale med TR/FSL). Weekendtimerne udbetales.",I17="X",C17="ikke relevant")),K17,0)</f>
        <v>0</v>
      </c>
      <c r="GB17" s="283">
        <f>IF(AND(Stamoplysninger!$B$26="Der er indgået lokalaftale omkring weekendtimer og weekendtillæg.(Kræver aftale med TR/FSL).",I17="X"),K17,0)</f>
        <v>0</v>
      </c>
      <c r="GC17" s="674">
        <f>IF(AND(AND(Stamoplysninger!$B$26="Der er indgået lokalaftale omkring weekendtimer og weekendtillæg.(Kræver aftale med TR/FSL).",I17="X",C17="ikke relevant")),K17,0)</f>
        <v>0</v>
      </c>
    </row>
    <row r="18" spans="1:185">
      <c r="A18" s="245">
        <f t="shared" si="19"/>
        <v>9</v>
      </c>
      <c r="B18" s="128" t="str">
        <f t="shared" si="0"/>
        <v>fr</v>
      </c>
      <c r="C18" s="129" t="s">
        <v>139</v>
      </c>
      <c r="D18" s="130" t="str">
        <f t="shared" si="1"/>
        <v/>
      </c>
      <c r="E18" s="917" t="s">
        <v>695</v>
      </c>
      <c r="F18" s="918"/>
      <c r="G18" s="919"/>
      <c r="H18" s="298"/>
      <c r="I18" s="527"/>
      <c r="J18" s="413"/>
      <c r="K18" s="380">
        <v>6</v>
      </c>
      <c r="L18" s="380"/>
      <c r="M18" s="380"/>
      <c r="N18" s="318">
        <f t="shared" si="20"/>
        <v>6</v>
      </c>
      <c r="O18" s="318">
        <f t="shared" si="21"/>
        <v>0</v>
      </c>
      <c r="P18" s="318">
        <f>IF(Stamoplysninger!$H$29="JA",August!DG18,CX18)</f>
        <v>0</v>
      </c>
      <c r="Q18" s="318">
        <f t="shared" si="22"/>
        <v>6</v>
      </c>
      <c r="R18" s="412"/>
      <c r="S18" s="324"/>
      <c r="T18" s="325"/>
      <c r="U18" s="325"/>
      <c r="V18" s="435"/>
      <c r="W18" s="412"/>
      <c r="X18" s="642"/>
      <c r="Y18">
        <f t="shared" si="23"/>
        <v>0</v>
      </c>
      <c r="Z18">
        <f t="shared" si="2"/>
        <v>0</v>
      </c>
      <c r="AA18" s="1">
        <f t="shared" si="3"/>
        <v>0</v>
      </c>
      <c r="AB18" s="1">
        <f t="shared" si="4"/>
        <v>0</v>
      </c>
      <c r="AC18" s="1">
        <f t="shared" si="5"/>
        <v>6</v>
      </c>
      <c r="AD18" s="1">
        <f t="shared" si="6"/>
        <v>0</v>
      </c>
      <c r="AE18" s="1">
        <f t="shared" si="7"/>
        <v>0</v>
      </c>
      <c r="AF18" s="1">
        <f>IF(C18="Orlov",Stamoplysninger!$E$15*7.4,0)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8"/>
        <v>6</v>
      </c>
      <c r="BB18" s="229">
        <f t="shared" si="9"/>
        <v>0</v>
      </c>
      <c r="BC18" s="1">
        <f t="shared" si="24"/>
        <v>0</v>
      </c>
      <c r="BD18" s="1">
        <f t="shared" si="10"/>
        <v>0</v>
      </c>
      <c r="BE18" s="1">
        <f t="shared" si="11"/>
        <v>0</v>
      </c>
      <c r="BF18" s="1">
        <f t="shared" si="12"/>
        <v>0</v>
      </c>
      <c r="BG18" s="210" t="str">
        <f>IF(AND(C18="Skema 1",B18="ma"),Skemaoplysninger!$E$30,"")</f>
        <v/>
      </c>
      <c r="BH18" s="210" t="str">
        <f>IF(AND(C18="Skema 1",B18="ti"),Skemaoplysninger!$G$30,"")</f>
        <v/>
      </c>
      <c r="BI18" s="210" t="str">
        <f>IF(AND(C18="Skema 1",B18="on"),Skemaoplysninger!$I$30,"")</f>
        <v/>
      </c>
      <c r="BJ18" s="210" t="str">
        <f>IF(AND(C18="Skema 1",B18="to"),Skemaoplysninger!$K$30,"")</f>
        <v/>
      </c>
      <c r="BK18" s="210" t="str">
        <f>IF(AND(C18="Skema 1",B18="fr"),Skemaoplysninger!$M$30,"")</f>
        <v/>
      </c>
      <c r="BL18" s="210" t="str">
        <f>IF(AND(C18="Skema 2",B18="ma"),Skemaoplysninger!$S$30,"")</f>
        <v/>
      </c>
      <c r="BM18" s="210" t="str">
        <f>IF(AND(C18="Skema 2",B18="ti"),Skemaoplysninger!$U$30,"")</f>
        <v/>
      </c>
      <c r="BN18" s="210" t="str">
        <f>IF(AND(C18="Skema 2",B18="on"),Skemaoplysninger!$W$30,"")</f>
        <v/>
      </c>
      <c r="BO18" s="210" t="str">
        <f>IF(AND(C18="Skema 2",B18="to"),Skemaoplysninger!$Y$30,"")</f>
        <v/>
      </c>
      <c r="BP18" s="210" t="str">
        <f>IF(AND(C18="Skema 2",B18="fr"),Skemaoplysninger!$AA$30,"")</f>
        <v/>
      </c>
      <c r="BQ18" s="210" t="str">
        <f>IF(AND(C18="Skema 3",B18="ma"),Skemaoplysninger!$AG$30,"")</f>
        <v/>
      </c>
      <c r="BR18" s="210" t="str">
        <f>IF(AND(C18="Skema 3",B18="ti"),Skemaoplysninger!$AI$30,"")</f>
        <v/>
      </c>
      <c r="BS18" s="210" t="str">
        <f>IF(AND(C18="Skema 3",B18="on"),Skemaoplysninger!$AK$30,"")</f>
        <v/>
      </c>
      <c r="BT18" s="210" t="str">
        <f>IF(AND(C18="Skema 3",B18="to"),Skemaoplysninger!$AM$30,"")</f>
        <v/>
      </c>
      <c r="BU18" s="210" t="str">
        <f>IF(AND(C18="Skema 3",B18="fr"),Skemaoplysninger!$AO$30,"")</f>
        <v/>
      </c>
      <c r="BV18" s="210" t="str">
        <f>IF(AND(C18="Skema 4",B18="ma"),Skemaoplysninger!$AU$30,"")</f>
        <v/>
      </c>
      <c r="BW18" s="210" t="str">
        <f>IF(AND(C18="Skema 4",B18="ti"),Skemaoplysninger!$AW$30,"")</f>
        <v/>
      </c>
      <c r="BX18" s="210" t="str">
        <f>IF(AND(C18="Skema 4",B18="on"),Skemaoplysninger!$AY$30,"")</f>
        <v/>
      </c>
      <c r="BY18" s="210" t="str">
        <f>IF(AND(C18="Skema 4",B18="to"),Skemaoplysninger!$BA$30,"")</f>
        <v/>
      </c>
      <c r="BZ18" s="210" t="str">
        <f>IF(AND(C18="Skema 4",B18="fr"),Skemaoplysninger!$BC$30,"")</f>
        <v/>
      </c>
      <c r="CA18" s="1">
        <f t="shared" si="25"/>
        <v>0</v>
      </c>
      <c r="CB18" s="1">
        <f t="shared" si="13"/>
        <v>0</v>
      </c>
      <c r="CC18" s="1">
        <f t="shared" si="14"/>
        <v>0</v>
      </c>
      <c r="CD18" s="210" t="str">
        <f>IF(AND(C18="Skema 1",B18="ma"),Skemaoplysninger!$E$31,"")</f>
        <v/>
      </c>
      <c r="CE18" s="210" t="str">
        <f>IF(AND(C18="Skema 1",B18="ti"),Skemaoplysninger!$G$31,"")</f>
        <v/>
      </c>
      <c r="CF18" s="210" t="str">
        <f>IF(AND(C18="Skema 1",B18="on"),Skemaoplysninger!$I$31,"")</f>
        <v/>
      </c>
      <c r="CG18" s="210" t="str">
        <f>IF(AND(C18="Skema 1",B18="to"),Skemaoplysninger!$K$31,"")</f>
        <v/>
      </c>
      <c r="CH18" s="210" t="str">
        <f>IF(AND(C18="Skema 1",B18="fr"),Skemaoplysninger!$M$31,"")</f>
        <v/>
      </c>
      <c r="CI18" s="210" t="str">
        <f>IF(AND(C18="Skema 2",B18="ma"),Skemaoplysninger!$S$31,"")</f>
        <v/>
      </c>
      <c r="CJ18" s="210" t="str">
        <f>IF(AND(C18="Skema 2",B18="ti"),Skemaoplysninger!$U$31,"")</f>
        <v/>
      </c>
      <c r="CK18" s="210" t="str">
        <f>IF(AND(C18="Skema 2",B18="on"),Skemaoplysninger!$W$31,"")</f>
        <v/>
      </c>
      <c r="CL18" s="210" t="str">
        <f>IF(AND(C18="Skema 2",B18="to"),Skemaoplysninger!$Y$31,"")</f>
        <v/>
      </c>
      <c r="CM18" s="210" t="str">
        <f>IF(AND(C18="Skema 2",B18="fr"),Skemaoplysninger!$AA$31,"")</f>
        <v/>
      </c>
      <c r="CN18" s="210" t="str">
        <f>IF(AND(C18="Skema 3",B18="ma"),Skemaoplysninger!$AG$31,"")</f>
        <v/>
      </c>
      <c r="CO18" s="210" t="str">
        <f>IF(AND(C18="Skema 3",B18="ti"),Skemaoplysninger!$AI$31,"")</f>
        <v/>
      </c>
      <c r="CP18" s="210" t="str">
        <f>IF(AND(C18="Skema 3",B18="on"),Skemaoplysninger!$AK$31,"")</f>
        <v/>
      </c>
      <c r="CQ18" s="210" t="str">
        <f>IF(AND(C18="Skema 3",B18="to"),Skemaoplysninger!$AM$31,"")</f>
        <v/>
      </c>
      <c r="CR18" s="210" t="str">
        <f>IF(AND(C18="Skema 3",B18="fr"),Skemaoplysninger!$AO$31,"")</f>
        <v/>
      </c>
      <c r="CS18" s="210" t="str">
        <f>IF(AND(C18="Skema 4",B18="ma"),Skemaoplysninger!$AU$31,"")</f>
        <v/>
      </c>
      <c r="CT18" s="210" t="str">
        <f>IF(AND(C18="Skema 4",B18="ti"),Skemaoplysninger!$AW$31,"")</f>
        <v/>
      </c>
      <c r="CU18" s="210" t="str">
        <f>IF(AND(C18="Skema 4",B18="on"),Skemaoplysninger!$AY$31,"")</f>
        <v/>
      </c>
      <c r="CV18" s="210" t="str">
        <f>IF(AND(C18="Skema 4",B18="to"),Skemaoplysninger!$BA$31,"")</f>
        <v/>
      </c>
      <c r="CW18" s="210" t="str">
        <f>IF(AND(C18="Skema 4",B18="fr"),Skemaoplysninger!$BC$31,"")</f>
        <v/>
      </c>
      <c r="CX18" s="249">
        <f>IF(Stamoplysninger!$H$29="NEJ",SUM(CD18:CW18)*24+CB18+CC18,0)</f>
        <v>0</v>
      </c>
      <c r="CY18" s="249">
        <f>IF(C18="Skema 1",Stamoplysninger!$H$30/200,0)</f>
        <v>0</v>
      </c>
      <c r="CZ18" s="249">
        <f>IF(C18="Skema 2",Stamoplysninger!$H$30/200,0)</f>
        <v>0</v>
      </c>
      <c r="DA18" s="249">
        <f>IF(C18="Skema 3",Stamoplysninger!$H$30/200,0)</f>
        <v>0</v>
      </c>
      <c r="DB18" s="249">
        <f>IF(C18="Skema 4",Stamoplysninger!$H$30/200,0)</f>
        <v>0</v>
      </c>
      <c r="DC18" s="249">
        <f>IF(C18="fagdag",Stamoplysninger!$H$30/200,0)</f>
        <v>0</v>
      </c>
      <c r="DD18" s="249">
        <f>IF(C18="emnedag",Stamoplysninger!$H$30/200,0)</f>
        <v>0</v>
      </c>
      <c r="DE18" s="249">
        <f>IF(C18="lejrskole",Stamoplysninger!$H$30/200,0)</f>
        <v>0</v>
      </c>
      <c r="DF18" s="249">
        <f>IF(C18="ekskursion",Stamoplysninger!$H$30/200,0)</f>
        <v>0</v>
      </c>
      <c r="DG18" s="249">
        <f t="shared" si="26"/>
        <v>0</v>
      </c>
      <c r="DH18" t="str">
        <f t="shared" si="27"/>
        <v/>
      </c>
      <c r="DI18" t="str">
        <f t="shared" si="28"/>
        <v>Vi planlægger det kommende skoleår 9-15</v>
      </c>
      <c r="DJ18" t="str">
        <f t="shared" si="29"/>
        <v/>
      </c>
      <c r="DK18" t="str">
        <f t="shared" si="15"/>
        <v/>
      </c>
      <c r="DL18" t="str">
        <f t="shared" si="15"/>
        <v>Vi planlægger det kommende skoleår 9-15</v>
      </c>
      <c r="DM18" t="str">
        <f t="shared" si="30"/>
        <v/>
      </c>
      <c r="DN18" t="str">
        <f t="shared" si="31"/>
        <v>Vi planlægger det kommende skoleår 9-15</v>
      </c>
      <c r="DO18" s="652">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71">
        <f>IF(AND(Stamoplysninger!$B$22="Ulempetillæg udbetales med 25% af nettotimelønnen.",C18="ikke relevant"),(R18)/4,0)</f>
        <v>0</v>
      </c>
      <c r="DT18" s="671">
        <f>IF(AND(AND(Stamoplysninger!$B$22="Ulempetillæg udbetales med 25% af nettotimelønnen.",I18="X",C18="Ikke relevant")),K18/4,0)</f>
        <v>0</v>
      </c>
      <c r="DU18" s="671">
        <f>IF(AND(AND(Stamoplysninger!$B$22="Ulempetillæg udbetales med 25% af nettotimelønnen.",C18="ikke relevant",U18="X")),(X18/4),0)</f>
        <v>0</v>
      </c>
      <c r="DV18" s="672">
        <f>IF(AND(AND(AND(Stamoplysninger!$B$22="Ulempetillæg udbetales med 25% af nettotimelønnen.",I18="X",C18="Ikke relevant",S18="X"))),V18/4,0)</f>
        <v>0</v>
      </c>
      <c r="DW18" s="652"/>
      <c r="DZ18" s="671"/>
      <c r="EA18" s="671"/>
      <c r="EB18" s="672"/>
      <c r="EC18" s="652">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71">
        <f>IF(AND(Stamoplysninger!$B$22="Ulempetillæg afspadseres med 25%(Kræver en aftale imellem ledelsen og den ansatte)",C18="ikke relevant"),(R18)/4,0)</f>
        <v>0</v>
      </c>
      <c r="EH18" s="671">
        <f>IF(AND(AND(Stamoplysninger!$B$22="Ulempetillæg afspadseres med 25%(Kræver en aftale imellem ledelsen og den ansatte)",I18="X",C18="Ikke relevant")),K18/4,0)</f>
        <v>0</v>
      </c>
      <c r="EI18" s="671">
        <f>IF(AND(AND(Stamoplysninger!$B$22="Ulempetillæg afspadseres med 25%(Kræver en aftale imellem ledelsen og den ansatte)",U18="X",C18="Ikke relevant")),X18/4,0)</f>
        <v>0</v>
      </c>
      <c r="EJ18" s="671">
        <f>IF(AND(AND(AND(Stamoplysninger!$B$22="Ulempetillæg afspadseres med 25%(Kræver en aftale imellem ledelsen og den ansatte)",I18="X",C18="Ikke relevant",S18="X"))),V18/4,0)</f>
        <v>0</v>
      </c>
      <c r="EK18" s="283">
        <f>IF(AND(Stamoplysninger!$B$26="Weekendtimer og weekendtillæg afspadseres.",I18="X"),K18*1.5,0)</f>
        <v>0</v>
      </c>
      <c r="EL18" s="251">
        <f>IF(AND(AND(Stamoplysninger!$B$26="Weekendtimer og weekendtillæg afspadseres.",I18="X",S18="X")),V18*1.5,0)</f>
        <v>0</v>
      </c>
      <c r="EM18" s="674">
        <f>IF(AND(AND(Stamoplysninger!$B$26="Weekendtimer og weekendtillæg afspadseres.",I18="X",C18="ikke relevant")),K18*1.5,0)</f>
        <v>0</v>
      </c>
      <c r="EN18" s="675">
        <f>IF(AND(AND(AND(Stamoplysninger!$B$26="Weekendtimer og weekendtillæg afspadseres.",I18="X",C18="ikke relevant",S18="X"))),(V18*1.5),0)</f>
        <v>0</v>
      </c>
      <c r="EO18" s="283">
        <f>IF(AND(Stamoplysninger!$B$26="Weekendtimer og weekendtillæg udbetales.",I18="X"),K18*1.5,0)</f>
        <v>0</v>
      </c>
      <c r="EP18" s="251">
        <f>IF(AND(AND(Stamoplysninger!$B$26="Weekendtimer og weekendtillæg udbetales.",I18="X",S18="X")),V18*1.5,0)</f>
        <v>0</v>
      </c>
      <c r="EQ18" s="674">
        <f>IF(AND(AND(Stamoplysninger!$B$26="Weekendtimer og weekendtillæg udbetales.",I18="X",C18="ikke relevant")),K18*1.5,0)</f>
        <v>0</v>
      </c>
      <c r="ER18" s="675">
        <f>IF(AND(AND(AND(Stamoplysninger!$B$26="Weekendtimer og weekendtillæg udbetales.",I18="X",C18="ikke relevant",S18="X"))),(V18*1.5),0)</f>
        <v>0</v>
      </c>
      <c r="ES18" s="283">
        <f>IF(AND(Stamoplysninger!$B$26="Der er indgået lokalaftale omkring weekendtimer.(Kræver aftale med TR/FSL) Weekendtillæg afspadseres.",I18="X"),K18*0.5,0)</f>
        <v>0</v>
      </c>
      <c r="ET18" s="251">
        <f>IF(AND(AND(Stamoplysninger!$B$26="Der er indgået lokalaftale omkring weekendtimer.(Kræver aftale med TR/FSL) Weekendtillæg afspadseres.",I18="X",S18="X")),V18*0.5,0)</f>
        <v>0</v>
      </c>
      <c r="EU18" s="674">
        <f>IF(AND(AND(Stamoplysninger!$B$26="Der er indgået lokalaftale omkring weekendtimer.(Kræver aftale med TR/FSL) Weekendtillæg afspadseres.",I18="X",C18="ikke relevant")),K18*0.5,0)</f>
        <v>0</v>
      </c>
      <c r="EV18" s="675">
        <f>IF(AND(AND(AND(Stamoplysninger!$B$26="Der er indgået lokalaftale omkring weekendtimer.(Kræver aftale med TR/FSL) Weekendtillæg afspadseres.",I18="X",C18="ikke relevant",S18="X"))),(V18*0.5),0)</f>
        <v>0</v>
      </c>
      <c r="EW18" s="283">
        <f>IF(AND(Stamoplysninger!$B$26="Der er indgået lokalaftale omkring weekendtimer(Kræver aftale med TR/FSL). Weekendtillæg udbetales.",I18="X"),K18*0.5,0)</f>
        <v>0</v>
      </c>
      <c r="EX18" s="251">
        <f>IF(AND(AND(Stamoplysninger!$B$26="Der er indgået lokalaftale omkring weekendtimer(Kræver aftale med TR/FSL). Weekendtillæg udbetales.",I18="X",S18="X")),V18*0.5,0)</f>
        <v>0</v>
      </c>
      <c r="EY18" s="674">
        <f>IF(AND(AND(Stamoplysninger!$B$26="Der er indgået lokalaftale omkring weekendtimer(Kræver aftale med TR/FSL). Weekendtillæg udbetales.",I18="X",C18="ikke relevant")),K18*0.5,0)</f>
        <v>0</v>
      </c>
      <c r="EZ18" s="675">
        <f>IF(AND(AND(AND(Stamoplysninger!$B$26="Der er indgået lokalaftale omkring weekendtimer(Kræver aftale med TR/FSL). Weekendtillæg udbetales.",I18="X",C18="ikke relevant",S18="X"))),(V18*0.5),0)</f>
        <v>0</v>
      </c>
      <c r="FA18" s="283">
        <f>IF(AND(Stamoplysninger!$B$26="Der er indgået lokalaftale omkring weekendtillæg(Kræver aftale med TR/FSL). Weekendtimerne afspadseres.",I18="X"),K18,0)</f>
        <v>0</v>
      </c>
      <c r="FB18" s="251">
        <f>IF(AND(AND(Stamoplysninger!$B$26="Der er indgået lokalaftale omkring weekendtillæg(Kræver aftale med TR/FSL). Weekendtimerne afspadseres.",I18="X",S18="X")),V18,0)</f>
        <v>0</v>
      </c>
      <c r="FC18" s="674">
        <f>IF(AND(AND(Stamoplysninger!$B$26="Der er indgået lokalaftale omkring weekendtillæg(Kræver aftale med TR/FSL). Weekendtimerne afspadseres..",I18="X",C18="ikke relevant")),K18,0)</f>
        <v>0</v>
      </c>
      <c r="FD18" s="675">
        <f>IF(AND(AND(AND(Stamoplysninger!$B$26="Der er indgået lokalaftale omkring weekendtillæg(Kræver aftale med TR/FSL). Weekendtimerne afspadseres.",I18="X",C18="ikke relevant",S18="X"))),(V18),0)</f>
        <v>0</v>
      </c>
      <c r="FE18" s="283">
        <f>IF(AND(Stamoplysninger!$B$26="Der er indgået lokalaftale omkring weekendtillæg(Kræver aftale med TR/FSL). Weekendtimerne udbetales.",I18="X"),K18,0)</f>
        <v>0</v>
      </c>
      <c r="FF18" s="251">
        <f>IF(AND(AND(Stamoplysninger!$B$26="Der er indgået lokalaftale omkring weekendtillæg(Kræver aftale med TR/FSL). Weekendtimerne udbetales.",I18="X",S18="X")),V18,0)</f>
        <v>0</v>
      </c>
      <c r="FG18" s="674">
        <f>IF(AND(AND(Stamoplysninger!$B$26="Der er indgået lokalaftale omkring weekendtillæg(Kræver aftale med TR/FSL). Weekendtimerne udbetales.",I18="X",C18="ikke relevant")),K18,0)</f>
        <v>0</v>
      </c>
      <c r="FH18" s="675">
        <f>IF(AND(AND(AND(Stamoplysninger!$B$26="Der er indgået lokalaftale omkring weekendtillæg(Kræver aftale med TR/FSL). Weekendtimerne udbetales.",I18="X",C18="ikke relevant",S18="X"))),(V18),0)</f>
        <v>0</v>
      </c>
      <c r="FI18" s="283">
        <f>IF(AND(Stamoplysninger!$B$26="Weekendtimer og weekendtillæg afspadseres.",I18="X"),K18,0)</f>
        <v>0</v>
      </c>
      <c r="FJ18" s="251">
        <f>IF(AND(Stamoplysninger!$B$26="Weekendtimer og weekendtillæg afspadseres.",Y18="X"),(AA18+AL18)/2,0)</f>
        <v>0</v>
      </c>
      <c r="FK18" s="674">
        <f>IF(AND(AND(Stamoplysninger!$B$26="Weekendtimer og weekendtillæg afspadseres.",I18="X",C18="ikke relevant")),K18,0)</f>
        <v>0</v>
      </c>
      <c r="FL18" s="675">
        <f>IF(AND(AND(Stamoplysninger!$B$26="Weekendtimer og weekendtillæg afspadseres.",Y18="X",S18="ikke relevant")),(AA18+AL18)/2,0)</f>
        <v>0</v>
      </c>
      <c r="FM18" s="283">
        <f>IF(AND(Stamoplysninger!$B$26="Der er indgået lokalaftale omkring weekendtillæg(Kræver aftale med TR/FSL). Weekendtimerne afspadseres.",I18="X"),K18,0)</f>
        <v>0</v>
      </c>
      <c r="FN18" s="674">
        <f>IF(AND(AND(Stamoplysninger!$B$26="Der er indgået lokalaftale omkring weekendtillæg(Kræver aftale med TR/FSL). Weekendtimerne afspadseres.",I18="X",C18="ikke relevant")),K18,0)</f>
        <v>0</v>
      </c>
      <c r="FO18" s="283">
        <f>IF(AND(Stamoplysninger!$B$26="Weekendtimer og weekendtillæg udbetales.",I18="X"),K18,0)</f>
        <v>0</v>
      </c>
      <c r="FP18" s="251">
        <f>IF(AND(Stamoplysninger!$B$26="Weekendtimer og weekendtillæg udbetales.",AA18="X"),(AC18+AN18)/2,0)</f>
        <v>0</v>
      </c>
      <c r="FQ18" s="674">
        <f>IF(AND(AND(Stamoplysninger!$B$26="Weekendtimer og weekendtillæg udbetales.",I18="X",C18="ikke relevant")),K18,0)</f>
        <v>0</v>
      </c>
      <c r="FR18" s="688">
        <f>IF(AND(AND(Stamoplysninger!$B$26="Weekendtimer og weekendtillæg udbetales.",AA18="X",U18="ikke relevant")),(AC18+AN18)/2,0)</f>
        <v>0</v>
      </c>
      <c r="FS18" s="283">
        <f t="shared" si="16"/>
        <v>0</v>
      </c>
      <c r="FT18" s="658">
        <f t="shared" si="17"/>
        <v>0</v>
      </c>
      <c r="FU18">
        <f t="shared" si="18"/>
        <v>0</v>
      </c>
      <c r="FV18" s="283">
        <f>IF(AND(Stamoplysninger!$B$26="Der er indgået lokalaftale omkring weekendtimer.(Kræver aftale med TR/FSL) Weekendtillæg afspadseres.",I18="X"),K18,0)</f>
        <v>0</v>
      </c>
      <c r="FW18" s="674">
        <f>IF(AND(AND(Stamoplysninger!$B$26="Der er indgået lokalaftale omkring weekendtimer.(Kræver aftale med TR/FSL) Weekendtillæg afspadseres.",I18="X",C18="ikke relevant")),K18,0)</f>
        <v>0</v>
      </c>
      <c r="FX18" s="283">
        <f>IF(AND(Stamoplysninger!$B$26="Der er indgået lokalaftale omkring weekendtimer(Kræver aftale med TR/FSL). Weekendtillæg udbetales.",I18="X"),K18,0)</f>
        <v>0</v>
      </c>
      <c r="FY18" s="674">
        <f>IF(AND(AND(Stamoplysninger!$B$26="Der er indgået lokalaftale omkring weekendtimer(Kræver aftale med TR/FSL). Weekendtillæg udbetales.",I18="X",C18="ikke relevant")),K18,0)</f>
        <v>0</v>
      </c>
      <c r="FZ18" s="283">
        <f>IF(AND(Stamoplysninger!$B$26="Der er indgået lokalaftale omkring weekendtillæg(Kræver aftale med TR/FSL). Weekendtimerne udbetales.",I18="X"),K18,0)</f>
        <v>0</v>
      </c>
      <c r="GA18" s="674">
        <f>IF(AND(AND(Stamoplysninger!$B$26="Der er indgået lokalaftale omkring weekendtillæg(Kræver aftale med TR/FSL). Weekendtimerne udbetales.",I18="X",C18="ikke relevant")),K18,0)</f>
        <v>0</v>
      </c>
      <c r="GB18" s="283">
        <f>IF(AND(Stamoplysninger!$B$26="Der er indgået lokalaftale omkring weekendtimer og weekendtillæg.(Kræver aftale med TR/FSL).",I18="X"),K18,0)</f>
        <v>0</v>
      </c>
      <c r="GC18" s="674">
        <f>IF(AND(AND(Stamoplysninger!$B$26="Der er indgået lokalaftale omkring weekendtimer og weekendtillæg.(Kræver aftale med TR/FSL).",I18="X",C18="ikke relevant")),K18,0)</f>
        <v>0</v>
      </c>
    </row>
    <row r="19" spans="1:185">
      <c r="A19" s="245">
        <f t="shared" si="19"/>
        <v>10</v>
      </c>
      <c r="B19" s="128" t="str">
        <f t="shared" si="0"/>
        <v>lø</v>
      </c>
      <c r="C19" s="129" t="s">
        <v>120</v>
      </c>
      <c r="D19" s="130" t="str">
        <f t="shared" si="1"/>
        <v/>
      </c>
      <c r="E19" s="917"/>
      <c r="F19" s="918"/>
      <c r="G19" s="919"/>
      <c r="H19" s="298"/>
      <c r="I19" s="413"/>
      <c r="J19" s="413"/>
      <c r="K19" s="380"/>
      <c r="L19" s="380"/>
      <c r="M19" s="380"/>
      <c r="N19" s="318">
        <f t="shared" si="20"/>
        <v>0</v>
      </c>
      <c r="O19" s="318">
        <f t="shared" si="21"/>
        <v>0</v>
      </c>
      <c r="P19" s="318">
        <f>IF(Stamoplysninger!$H$29="JA",August!DG19,CX19)</f>
        <v>0</v>
      </c>
      <c r="Q19" s="318">
        <f t="shared" si="22"/>
        <v>0</v>
      </c>
      <c r="R19" s="412"/>
      <c r="S19" s="324"/>
      <c r="T19" s="325"/>
      <c r="U19" s="325"/>
      <c r="V19" s="435"/>
      <c r="W19" s="412"/>
      <c r="X19" s="642"/>
      <c r="Y19">
        <f t="shared" si="23"/>
        <v>0</v>
      </c>
      <c r="Z19">
        <f t="shared" si="2"/>
        <v>0</v>
      </c>
      <c r="AA19" s="1">
        <f t="shared" si="3"/>
        <v>0</v>
      </c>
      <c r="AB19" s="1">
        <f t="shared" si="4"/>
        <v>0</v>
      </c>
      <c r="AC19" s="1">
        <f t="shared" si="5"/>
        <v>0</v>
      </c>
      <c r="AD19" s="1">
        <f t="shared" si="6"/>
        <v>0</v>
      </c>
      <c r="AE19" s="1">
        <f t="shared" si="7"/>
        <v>0</v>
      </c>
      <c r="AF19" s="1">
        <f>IF(C19="Orlov",Stamoplysninger!$E$15*7.4,0)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8"/>
        <v>0</v>
      </c>
      <c r="BB19" s="229">
        <f t="shared" si="9"/>
        <v>0</v>
      </c>
      <c r="BC19" s="1">
        <f t="shared" si="24"/>
        <v>0</v>
      </c>
      <c r="BD19" s="1">
        <f t="shared" si="10"/>
        <v>0</v>
      </c>
      <c r="BE19" s="1">
        <f t="shared" si="11"/>
        <v>0</v>
      </c>
      <c r="BF19" s="1">
        <f t="shared" si="12"/>
        <v>0</v>
      </c>
      <c r="BG19" s="210" t="str">
        <f>IF(AND(C19="Skema 1",B19="ma"),Skemaoplysninger!$E$30,"")</f>
        <v/>
      </c>
      <c r="BH19" s="210" t="str">
        <f>IF(AND(C19="Skema 1",B19="ti"),Skemaoplysninger!$G$30,"")</f>
        <v/>
      </c>
      <c r="BI19" s="210" t="str">
        <f>IF(AND(C19="Skema 1",B19="on"),Skemaoplysninger!$I$30,"")</f>
        <v/>
      </c>
      <c r="BJ19" s="210" t="str">
        <f>IF(AND(C19="Skema 1",B19="to"),Skemaoplysninger!$K$30,"")</f>
        <v/>
      </c>
      <c r="BK19" s="210" t="str">
        <f>IF(AND(C19="Skema 1",B19="fr"),Skemaoplysninger!$M$30,"")</f>
        <v/>
      </c>
      <c r="BL19" s="210" t="str">
        <f>IF(AND(C19="Skema 2",B19="ma"),Skemaoplysninger!$S$30,"")</f>
        <v/>
      </c>
      <c r="BM19" s="210" t="str">
        <f>IF(AND(C19="Skema 2",B19="ti"),Skemaoplysninger!$U$30,"")</f>
        <v/>
      </c>
      <c r="BN19" s="210" t="str">
        <f>IF(AND(C19="Skema 2",B19="on"),Skemaoplysninger!$W$30,"")</f>
        <v/>
      </c>
      <c r="BO19" s="210" t="str">
        <f>IF(AND(C19="Skema 2",B19="to"),Skemaoplysninger!$Y$30,"")</f>
        <v/>
      </c>
      <c r="BP19" s="210" t="str">
        <f>IF(AND(C19="Skema 2",B19="fr"),Skemaoplysninger!$AA$30,"")</f>
        <v/>
      </c>
      <c r="BQ19" s="210" t="str">
        <f>IF(AND(C19="Skema 3",B19="ma"),Skemaoplysninger!$AG$30,"")</f>
        <v/>
      </c>
      <c r="BR19" s="210" t="str">
        <f>IF(AND(C19="Skema 3",B19="ti"),Skemaoplysninger!$AI$30,"")</f>
        <v/>
      </c>
      <c r="BS19" s="210" t="str">
        <f>IF(AND(C19="Skema 3",B19="on"),Skemaoplysninger!$AK$30,"")</f>
        <v/>
      </c>
      <c r="BT19" s="210" t="str">
        <f>IF(AND(C19="Skema 3",B19="to"),Skemaoplysninger!$AM$30,"")</f>
        <v/>
      </c>
      <c r="BU19" s="210" t="str">
        <f>IF(AND(C19="Skema 3",B19="fr"),Skemaoplysninger!$AO$30,"")</f>
        <v/>
      </c>
      <c r="BV19" s="210" t="str">
        <f>IF(AND(C19="Skema 4",B19="ma"),Skemaoplysninger!$AU$30,"")</f>
        <v/>
      </c>
      <c r="BW19" s="210" t="str">
        <f>IF(AND(C19="Skema 4",B19="ti"),Skemaoplysninger!$AW$30,"")</f>
        <v/>
      </c>
      <c r="BX19" s="210" t="str">
        <f>IF(AND(C19="Skema 4",B19="on"),Skemaoplysninger!$AY$30,"")</f>
        <v/>
      </c>
      <c r="BY19" s="210" t="str">
        <f>IF(AND(C19="Skema 4",B19="to"),Skemaoplysninger!$BA$30,"")</f>
        <v/>
      </c>
      <c r="BZ19" s="210" t="str">
        <f>IF(AND(C19="Skema 4",B19="fr"),Skemaoplysninger!$BC$30,"")</f>
        <v/>
      </c>
      <c r="CA19" s="1">
        <f t="shared" si="25"/>
        <v>0</v>
      </c>
      <c r="CB19" s="1">
        <f t="shared" si="13"/>
        <v>0</v>
      </c>
      <c r="CC19" s="1">
        <f t="shared" si="14"/>
        <v>0</v>
      </c>
      <c r="CD19" s="210" t="str">
        <f>IF(AND(C19="Skema 1",B19="ma"),Skemaoplysninger!$E$31,"")</f>
        <v/>
      </c>
      <c r="CE19" s="210" t="str">
        <f>IF(AND(C19="Skema 1",B19="ti"),Skemaoplysninger!$G$31,"")</f>
        <v/>
      </c>
      <c r="CF19" s="210" t="str">
        <f>IF(AND(C19="Skema 1",B19="on"),Skemaoplysninger!$I$31,"")</f>
        <v/>
      </c>
      <c r="CG19" s="210" t="str">
        <f>IF(AND(C19="Skema 1",B19="to"),Skemaoplysninger!$K$31,"")</f>
        <v/>
      </c>
      <c r="CH19" s="210" t="str">
        <f>IF(AND(C19="Skema 1",B19="fr"),Skemaoplysninger!$M$31,"")</f>
        <v/>
      </c>
      <c r="CI19" s="210" t="str">
        <f>IF(AND(C19="Skema 2",B19="ma"),Skemaoplysninger!$S$31,"")</f>
        <v/>
      </c>
      <c r="CJ19" s="210" t="str">
        <f>IF(AND(C19="Skema 2",B19="ti"),Skemaoplysninger!$U$31,"")</f>
        <v/>
      </c>
      <c r="CK19" s="210" t="str">
        <f>IF(AND(C19="Skema 2",B19="on"),Skemaoplysninger!$W$31,"")</f>
        <v/>
      </c>
      <c r="CL19" s="210" t="str">
        <f>IF(AND(C19="Skema 2",B19="to"),Skemaoplysninger!$Y$31,"")</f>
        <v/>
      </c>
      <c r="CM19" s="210" t="str">
        <f>IF(AND(C19="Skema 2",B19="fr"),Skemaoplysninger!$AA$31,"")</f>
        <v/>
      </c>
      <c r="CN19" s="210" t="str">
        <f>IF(AND(C19="Skema 3",B19="ma"),Skemaoplysninger!$AG$31,"")</f>
        <v/>
      </c>
      <c r="CO19" s="210" t="str">
        <f>IF(AND(C19="Skema 3",B19="ti"),Skemaoplysninger!$AI$31,"")</f>
        <v/>
      </c>
      <c r="CP19" s="210" t="str">
        <f>IF(AND(C19="Skema 3",B19="on"),Skemaoplysninger!$AK$31,"")</f>
        <v/>
      </c>
      <c r="CQ19" s="210" t="str">
        <f>IF(AND(C19="Skema 3",B19="to"),Skemaoplysninger!$AM$31,"")</f>
        <v/>
      </c>
      <c r="CR19" s="210" t="str">
        <f>IF(AND(C19="Skema 3",B19="fr"),Skemaoplysninger!$AO$31,"")</f>
        <v/>
      </c>
      <c r="CS19" s="210" t="str">
        <f>IF(AND(C19="Skema 4",B19="ma"),Skemaoplysninger!$AU$31,"")</f>
        <v/>
      </c>
      <c r="CT19" s="210" t="str">
        <f>IF(AND(C19="Skema 4",B19="ti"),Skemaoplysninger!$AW$31,"")</f>
        <v/>
      </c>
      <c r="CU19" s="210" t="str">
        <f>IF(AND(C19="Skema 4",B19="on"),Skemaoplysninger!$AY$31,"")</f>
        <v/>
      </c>
      <c r="CV19" s="210" t="str">
        <f>IF(AND(C19="Skema 4",B19="to"),Skemaoplysninger!$BA$31,"")</f>
        <v/>
      </c>
      <c r="CW19" s="210" t="str">
        <f>IF(AND(C19="Skema 4",B19="fr"),Skemaoplysninger!$BC$31,"")</f>
        <v/>
      </c>
      <c r="CX19" s="249">
        <f>IF(Stamoplysninger!$H$29="NEJ",SUM(CD19:CW19)*24+CB19+CC19,0)</f>
        <v>0</v>
      </c>
      <c r="CY19" s="249">
        <f>IF(C19="Skema 1",Stamoplysninger!$H$30/200,0)</f>
        <v>0</v>
      </c>
      <c r="CZ19" s="249">
        <f>IF(C19="Skema 2",Stamoplysninger!$H$30/200,0)</f>
        <v>0</v>
      </c>
      <c r="DA19" s="249">
        <f>IF(C19="Skema 3",Stamoplysninger!$H$30/200,0)</f>
        <v>0</v>
      </c>
      <c r="DB19" s="249">
        <f>IF(C19="Skema 4",Stamoplysninger!$H$30/200,0)</f>
        <v>0</v>
      </c>
      <c r="DC19" s="249">
        <f>IF(C19="fagdag",Stamoplysninger!$H$30/200,0)</f>
        <v>0</v>
      </c>
      <c r="DD19" s="249">
        <f>IF(C19="emnedag",Stamoplysninger!$H$30/200,0)</f>
        <v>0</v>
      </c>
      <c r="DE19" s="249">
        <f>IF(C19="lejrskole",Stamoplysninger!$H$30/200,0)</f>
        <v>0</v>
      </c>
      <c r="DF19" s="249">
        <f>IF(C19="ekskursion",Stamoplysninger!$H$30/200,0)</f>
        <v>0</v>
      </c>
      <c r="DG19" s="249">
        <f t="shared" si="26"/>
        <v>0</v>
      </c>
      <c r="DH19" t="str">
        <f t="shared" si="27"/>
        <v/>
      </c>
      <c r="DI19">
        <f t="shared" si="28"/>
        <v>0</v>
      </c>
      <c r="DJ19">
        <f t="shared" si="29"/>
        <v>0</v>
      </c>
      <c r="DK19" t="str">
        <f t="shared" si="15"/>
        <v/>
      </c>
      <c r="DL19" t="str">
        <f t="shared" si="15"/>
        <v/>
      </c>
      <c r="DM19" t="str">
        <f t="shared" si="30"/>
        <v/>
      </c>
      <c r="DN19" t="str">
        <f t="shared" si="31"/>
        <v/>
      </c>
      <c r="DO19" s="652">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71">
        <f>IF(AND(Stamoplysninger!$B$22="Ulempetillæg udbetales med 25% af nettotimelønnen.",C19="ikke relevant"),(R19)/4,0)</f>
        <v>0</v>
      </c>
      <c r="DT19" s="671">
        <f>IF(AND(AND(Stamoplysninger!$B$22="Ulempetillæg udbetales med 25% af nettotimelønnen.",I19="X",C19="Ikke relevant")),K19/4,0)</f>
        <v>0</v>
      </c>
      <c r="DU19" s="671">
        <f>IF(AND(AND(Stamoplysninger!$B$22="Ulempetillæg udbetales med 25% af nettotimelønnen.",C19="ikke relevant",U19="X")),(X19/4),0)</f>
        <v>0</v>
      </c>
      <c r="DV19" s="672">
        <f>IF(AND(AND(AND(Stamoplysninger!$B$22="Ulempetillæg udbetales med 25% af nettotimelønnen.",I19="X",C19="Ikke relevant",S19="X"))),V19/4,0)</f>
        <v>0</v>
      </c>
      <c r="DW19" s="652"/>
      <c r="DZ19" s="671"/>
      <c r="EA19" s="671"/>
      <c r="EB19" s="672"/>
      <c r="EC19" s="652">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71">
        <f>IF(AND(Stamoplysninger!$B$22="Ulempetillæg afspadseres med 25%(Kræver en aftale imellem ledelsen og den ansatte)",C19="ikke relevant"),(R19)/4,0)</f>
        <v>0</v>
      </c>
      <c r="EH19" s="671">
        <f>IF(AND(AND(Stamoplysninger!$B$22="Ulempetillæg afspadseres med 25%(Kræver en aftale imellem ledelsen og den ansatte)",I19="X",C19="Ikke relevant")),K19/4,0)</f>
        <v>0</v>
      </c>
      <c r="EI19" s="671">
        <f>IF(AND(AND(Stamoplysninger!$B$22="Ulempetillæg afspadseres med 25%(Kræver en aftale imellem ledelsen og den ansatte)",U19="X",C19="Ikke relevant")),X19/4,0)</f>
        <v>0</v>
      </c>
      <c r="EJ19" s="671">
        <f>IF(AND(AND(AND(Stamoplysninger!$B$22="Ulempetillæg afspadseres med 25%(Kræver en aftale imellem ledelsen og den ansatte)",I19="X",C19="Ikke relevant",S19="X"))),V19/4,0)</f>
        <v>0</v>
      </c>
      <c r="EK19" s="283">
        <f>IF(AND(Stamoplysninger!$B$26="Weekendtimer og weekendtillæg afspadseres.",I19="X"),K19*1.5,0)</f>
        <v>0</v>
      </c>
      <c r="EL19" s="251">
        <f>IF(AND(AND(Stamoplysninger!$B$26="Weekendtimer og weekendtillæg afspadseres.",I19="X",S19="X")),V19*1.5,0)</f>
        <v>0</v>
      </c>
      <c r="EM19" s="674">
        <f>IF(AND(AND(Stamoplysninger!$B$26="Weekendtimer og weekendtillæg afspadseres.",I19="X",C19="ikke relevant")),K19*1.5,0)</f>
        <v>0</v>
      </c>
      <c r="EN19" s="675">
        <f>IF(AND(AND(AND(Stamoplysninger!$B$26="Weekendtimer og weekendtillæg afspadseres.",I19="X",C19="ikke relevant",S19="X"))),(V19*1.5),0)</f>
        <v>0</v>
      </c>
      <c r="EO19" s="283">
        <f>IF(AND(Stamoplysninger!$B$26="Weekendtimer og weekendtillæg udbetales.",I19="X"),K19*1.5,0)</f>
        <v>0</v>
      </c>
      <c r="EP19" s="251">
        <f>IF(AND(AND(Stamoplysninger!$B$26="Weekendtimer og weekendtillæg udbetales.",I19="X",S19="X")),V19*1.5,0)</f>
        <v>0</v>
      </c>
      <c r="EQ19" s="674">
        <f>IF(AND(AND(Stamoplysninger!$B$26="Weekendtimer og weekendtillæg udbetales.",I19="X",C19="ikke relevant")),K19*1.5,0)</f>
        <v>0</v>
      </c>
      <c r="ER19" s="675">
        <f>IF(AND(AND(AND(Stamoplysninger!$B$26="Weekendtimer og weekendtillæg udbetales.",I19="X",C19="ikke relevant",S19="X"))),(V19*1.5),0)</f>
        <v>0</v>
      </c>
      <c r="ES19" s="283">
        <f>IF(AND(Stamoplysninger!$B$26="Der er indgået lokalaftale omkring weekendtimer.(Kræver aftale med TR/FSL) Weekendtillæg afspadseres.",I19="X"),K19*0.5,0)</f>
        <v>0</v>
      </c>
      <c r="ET19" s="251">
        <f>IF(AND(AND(Stamoplysninger!$B$26="Der er indgået lokalaftale omkring weekendtimer.(Kræver aftale med TR/FSL) Weekendtillæg afspadseres.",I19="X",S19="X")),V19*0.5,0)</f>
        <v>0</v>
      </c>
      <c r="EU19" s="674">
        <f>IF(AND(AND(Stamoplysninger!$B$26="Der er indgået lokalaftale omkring weekendtimer.(Kræver aftale med TR/FSL) Weekendtillæg afspadseres.",I19="X",C19="ikke relevant")),K19*0.5,0)</f>
        <v>0</v>
      </c>
      <c r="EV19" s="675">
        <f>IF(AND(AND(AND(Stamoplysninger!$B$26="Der er indgået lokalaftale omkring weekendtimer.(Kræver aftale med TR/FSL) Weekendtillæg afspadseres.",I19="X",C19="ikke relevant",S19="X"))),(V19*0.5),0)</f>
        <v>0</v>
      </c>
      <c r="EW19" s="283">
        <f>IF(AND(Stamoplysninger!$B$26="Der er indgået lokalaftale omkring weekendtimer(Kræver aftale med TR/FSL). Weekendtillæg udbetales.",I19="X"),K19*0.5,0)</f>
        <v>0</v>
      </c>
      <c r="EX19" s="251">
        <f>IF(AND(AND(Stamoplysninger!$B$26="Der er indgået lokalaftale omkring weekendtimer(Kræver aftale med TR/FSL). Weekendtillæg udbetales.",I19="X",S19="X")),V19*0.5,0)</f>
        <v>0</v>
      </c>
      <c r="EY19" s="674">
        <f>IF(AND(AND(Stamoplysninger!$B$26="Der er indgået lokalaftale omkring weekendtimer(Kræver aftale med TR/FSL). Weekendtillæg udbetales.",I19="X",C19="ikke relevant")),K19*0.5,0)</f>
        <v>0</v>
      </c>
      <c r="EZ19" s="675">
        <f>IF(AND(AND(AND(Stamoplysninger!$B$26="Der er indgået lokalaftale omkring weekendtimer(Kræver aftale med TR/FSL). Weekendtillæg udbetales.",I19="X",C19="ikke relevant",S19="X"))),(V19*0.5),0)</f>
        <v>0</v>
      </c>
      <c r="FA19" s="283">
        <f>IF(AND(Stamoplysninger!$B$26="Der er indgået lokalaftale omkring weekendtillæg(Kræver aftale med TR/FSL). Weekendtimerne afspadseres.",I19="X"),K19,0)</f>
        <v>0</v>
      </c>
      <c r="FB19" s="251">
        <f>IF(AND(AND(Stamoplysninger!$B$26="Der er indgået lokalaftale omkring weekendtillæg(Kræver aftale med TR/FSL). Weekendtimerne afspadseres.",I19="X",S19="X")),V19,0)</f>
        <v>0</v>
      </c>
      <c r="FC19" s="674">
        <f>IF(AND(AND(Stamoplysninger!$B$26="Der er indgået lokalaftale omkring weekendtillæg(Kræver aftale med TR/FSL). Weekendtimerne afspadseres..",I19="X",C19="ikke relevant")),K19,0)</f>
        <v>0</v>
      </c>
      <c r="FD19" s="675">
        <f>IF(AND(AND(AND(Stamoplysninger!$B$26="Der er indgået lokalaftale omkring weekendtillæg(Kræver aftale med TR/FSL). Weekendtimerne afspadseres.",I19="X",C19="ikke relevant",S19="X"))),(V19),0)</f>
        <v>0</v>
      </c>
      <c r="FE19" s="283">
        <f>IF(AND(Stamoplysninger!$B$26="Der er indgået lokalaftale omkring weekendtillæg(Kræver aftale med TR/FSL). Weekendtimerne udbetales.",I19="X"),K19,0)</f>
        <v>0</v>
      </c>
      <c r="FF19" s="251">
        <f>IF(AND(AND(Stamoplysninger!$B$26="Der er indgået lokalaftale omkring weekendtillæg(Kræver aftale med TR/FSL). Weekendtimerne udbetales.",I19="X",S19="X")),V19,0)</f>
        <v>0</v>
      </c>
      <c r="FG19" s="674">
        <f>IF(AND(AND(Stamoplysninger!$B$26="Der er indgået lokalaftale omkring weekendtillæg(Kræver aftale med TR/FSL). Weekendtimerne udbetales.",I19="X",C19="ikke relevant")),K19,0)</f>
        <v>0</v>
      </c>
      <c r="FH19" s="675">
        <f>IF(AND(AND(AND(Stamoplysninger!$B$26="Der er indgået lokalaftale omkring weekendtillæg(Kræver aftale med TR/FSL). Weekendtimerne udbetales.",I19="X",C19="ikke relevant",S19="X"))),(V19),0)</f>
        <v>0</v>
      </c>
      <c r="FI19" s="283">
        <f>IF(AND(Stamoplysninger!$B$26="Weekendtimer og weekendtillæg afspadseres.",I19="X"),K19,0)</f>
        <v>0</v>
      </c>
      <c r="FJ19" s="251">
        <f>IF(AND(Stamoplysninger!$B$26="Weekendtimer og weekendtillæg afspadseres.",Y19="X"),(AA19+AL19)/2,0)</f>
        <v>0</v>
      </c>
      <c r="FK19" s="674">
        <f>IF(AND(AND(Stamoplysninger!$B$26="Weekendtimer og weekendtillæg afspadseres.",I19="X",C19="ikke relevant")),K19,0)</f>
        <v>0</v>
      </c>
      <c r="FL19" s="675">
        <f>IF(AND(AND(Stamoplysninger!$B$26="Weekendtimer og weekendtillæg afspadseres.",Y19="X",S19="ikke relevant")),(AA19+AL19)/2,0)</f>
        <v>0</v>
      </c>
      <c r="FM19" s="283">
        <f>IF(AND(Stamoplysninger!$B$26="Der er indgået lokalaftale omkring weekendtillæg(Kræver aftale med TR/FSL). Weekendtimerne afspadseres.",I19="X"),K19,0)</f>
        <v>0</v>
      </c>
      <c r="FN19" s="674">
        <f>IF(AND(AND(Stamoplysninger!$B$26="Der er indgået lokalaftale omkring weekendtillæg(Kræver aftale med TR/FSL). Weekendtimerne afspadseres.",I19="X",C19="ikke relevant")),K19,0)</f>
        <v>0</v>
      </c>
      <c r="FO19" s="283">
        <f>IF(AND(Stamoplysninger!$B$26="Weekendtimer og weekendtillæg udbetales.",I19="X"),K19,0)</f>
        <v>0</v>
      </c>
      <c r="FP19" s="251">
        <f>IF(AND(Stamoplysninger!$B$26="Weekendtimer og weekendtillæg udbetales.",AA19="X"),(AC19+AN19)/2,0)</f>
        <v>0</v>
      </c>
      <c r="FQ19" s="674">
        <f>IF(AND(AND(Stamoplysninger!$B$26="Weekendtimer og weekendtillæg udbetales.",I19="X",C19="ikke relevant")),K19,0)</f>
        <v>0</v>
      </c>
      <c r="FR19" s="688">
        <f>IF(AND(AND(Stamoplysninger!$B$26="Weekendtimer og weekendtillæg udbetales.",AA19="X",U19="ikke relevant")),(AC19+AN19)/2,0)</f>
        <v>0</v>
      </c>
      <c r="FS19" s="283">
        <f t="shared" si="16"/>
        <v>0</v>
      </c>
      <c r="FT19" s="658">
        <f t="shared" si="17"/>
        <v>0</v>
      </c>
      <c r="FU19">
        <f t="shared" si="18"/>
        <v>0</v>
      </c>
      <c r="FV19" s="283">
        <f>IF(AND(Stamoplysninger!$B$26="Der er indgået lokalaftale omkring weekendtimer.(Kræver aftale med TR/FSL) Weekendtillæg afspadseres.",I19="X"),K19,0)</f>
        <v>0</v>
      </c>
      <c r="FW19" s="674">
        <f>IF(AND(AND(Stamoplysninger!$B$26="Der er indgået lokalaftale omkring weekendtimer.(Kræver aftale med TR/FSL) Weekendtillæg afspadseres.",I19="X",C19="ikke relevant")),K19,0)</f>
        <v>0</v>
      </c>
      <c r="FX19" s="283">
        <f>IF(AND(Stamoplysninger!$B$26="Der er indgået lokalaftale omkring weekendtimer(Kræver aftale med TR/FSL). Weekendtillæg udbetales.",I19="X"),K19,0)</f>
        <v>0</v>
      </c>
      <c r="FY19" s="674">
        <f>IF(AND(AND(Stamoplysninger!$B$26="Der er indgået lokalaftale omkring weekendtimer(Kræver aftale med TR/FSL). Weekendtillæg udbetales.",I19="X",C19="ikke relevant")),K19,0)</f>
        <v>0</v>
      </c>
      <c r="FZ19" s="283">
        <f>IF(AND(Stamoplysninger!$B$26="Der er indgået lokalaftale omkring weekendtillæg(Kræver aftale med TR/FSL). Weekendtimerne udbetales.",I19="X"),K19,0)</f>
        <v>0</v>
      </c>
      <c r="GA19" s="674">
        <f>IF(AND(AND(Stamoplysninger!$B$26="Der er indgået lokalaftale omkring weekendtillæg(Kræver aftale med TR/FSL). Weekendtimerne udbetales.",I19="X",C19="ikke relevant")),K19,0)</f>
        <v>0</v>
      </c>
      <c r="GB19" s="283">
        <f>IF(AND(Stamoplysninger!$B$26="Der er indgået lokalaftale omkring weekendtimer og weekendtillæg.(Kræver aftale med TR/FSL).",I19="X"),K19,0)</f>
        <v>0</v>
      </c>
      <c r="GC19" s="674">
        <f>IF(AND(AND(Stamoplysninger!$B$26="Der er indgået lokalaftale omkring weekendtimer og weekendtillæg.(Kræver aftale med TR/FSL).",I19="X",C19="ikke relevant")),K19,0)</f>
        <v>0</v>
      </c>
    </row>
    <row r="20" spans="1:185">
      <c r="A20" s="245">
        <f t="shared" si="19"/>
        <v>11</v>
      </c>
      <c r="B20" s="128" t="str">
        <f t="shared" si="0"/>
        <v>sø</v>
      </c>
      <c r="C20" s="129" t="s">
        <v>120</v>
      </c>
      <c r="D20" s="130" t="str">
        <f t="shared" si="1"/>
        <v/>
      </c>
      <c r="E20" s="917"/>
      <c r="F20" s="918"/>
      <c r="G20" s="919"/>
      <c r="H20" s="298"/>
      <c r="I20" s="413"/>
      <c r="J20" s="413"/>
      <c r="K20" s="380"/>
      <c r="L20" s="380"/>
      <c r="M20" s="380"/>
      <c r="N20" s="318">
        <f t="shared" si="20"/>
        <v>0</v>
      </c>
      <c r="O20" s="318">
        <f t="shared" si="21"/>
        <v>0</v>
      </c>
      <c r="P20" s="318">
        <f>IF(Stamoplysninger!$H$29="JA",August!DG20,CX20)</f>
        <v>0</v>
      </c>
      <c r="Q20" s="318">
        <f t="shared" si="22"/>
        <v>0</v>
      </c>
      <c r="R20" s="412"/>
      <c r="S20" s="324"/>
      <c r="T20" s="325"/>
      <c r="U20" s="325"/>
      <c r="V20" s="435"/>
      <c r="W20" s="412"/>
      <c r="X20" s="642"/>
      <c r="Y20">
        <f t="shared" si="23"/>
        <v>0</v>
      </c>
      <c r="Z20">
        <f t="shared" si="2"/>
        <v>0</v>
      </c>
      <c r="AA20" s="1">
        <f t="shared" si="3"/>
        <v>0</v>
      </c>
      <c r="AB20" s="1">
        <f t="shared" si="4"/>
        <v>0</v>
      </c>
      <c r="AC20" s="1">
        <f t="shared" si="5"/>
        <v>0</v>
      </c>
      <c r="AD20" s="1">
        <f t="shared" si="6"/>
        <v>0</v>
      </c>
      <c r="AE20" s="1">
        <f t="shared" si="7"/>
        <v>0</v>
      </c>
      <c r="AF20" s="1">
        <f>IF(C20="Orlov",Stamoplysninger!$E$15*7.4,0)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8"/>
        <v>0</v>
      </c>
      <c r="BB20" s="229">
        <f t="shared" si="9"/>
        <v>0</v>
      </c>
      <c r="BC20" s="1">
        <f t="shared" si="24"/>
        <v>0</v>
      </c>
      <c r="BD20" s="1">
        <f t="shared" si="10"/>
        <v>0</v>
      </c>
      <c r="BE20" s="1">
        <f t="shared" si="11"/>
        <v>0</v>
      </c>
      <c r="BF20" s="1">
        <f t="shared" si="12"/>
        <v>0</v>
      </c>
      <c r="BG20" s="210" t="str">
        <f>IF(AND(C20="Skema 1",B20="ma"),Skemaoplysninger!$E$30,"")</f>
        <v/>
      </c>
      <c r="BH20" s="210" t="str">
        <f>IF(AND(C20="Skema 1",B20="ti"),Skemaoplysninger!$G$30,"")</f>
        <v/>
      </c>
      <c r="BI20" s="210" t="str">
        <f>IF(AND(C20="Skema 1",B20="on"),Skemaoplysninger!$I$30,"")</f>
        <v/>
      </c>
      <c r="BJ20" s="210" t="str">
        <f>IF(AND(C20="Skema 1",B20="to"),Skemaoplysninger!$K$30,"")</f>
        <v/>
      </c>
      <c r="BK20" s="210" t="str">
        <f>IF(AND(C20="Skema 1",B20="fr"),Skemaoplysninger!$M$30,"")</f>
        <v/>
      </c>
      <c r="BL20" s="210" t="str">
        <f>IF(AND(C20="Skema 2",B20="ma"),Skemaoplysninger!$S$30,"")</f>
        <v/>
      </c>
      <c r="BM20" s="210" t="str">
        <f>IF(AND(C20="Skema 2",B20="ti"),Skemaoplysninger!$U$30,"")</f>
        <v/>
      </c>
      <c r="BN20" s="210" t="str">
        <f>IF(AND(C20="Skema 2",B20="on"),Skemaoplysninger!$W$30,"")</f>
        <v/>
      </c>
      <c r="BO20" s="210" t="str">
        <f>IF(AND(C20="Skema 2",B20="to"),Skemaoplysninger!$Y$30,"")</f>
        <v/>
      </c>
      <c r="BP20" s="210" t="str">
        <f>IF(AND(C20="Skema 2",B20="fr"),Skemaoplysninger!$AA$30,"")</f>
        <v/>
      </c>
      <c r="BQ20" s="210" t="str">
        <f>IF(AND(C20="Skema 3",B20="ma"),Skemaoplysninger!$AG$30,"")</f>
        <v/>
      </c>
      <c r="BR20" s="210" t="str">
        <f>IF(AND(C20="Skema 3",B20="ti"),Skemaoplysninger!$AI$30,"")</f>
        <v/>
      </c>
      <c r="BS20" s="210" t="str">
        <f>IF(AND(C20="Skema 3",B20="on"),Skemaoplysninger!$AK$30,"")</f>
        <v/>
      </c>
      <c r="BT20" s="210" t="str">
        <f>IF(AND(C20="Skema 3",B20="to"),Skemaoplysninger!$AM$30,"")</f>
        <v/>
      </c>
      <c r="BU20" s="210" t="str">
        <f>IF(AND(C20="Skema 3",B20="fr"),Skemaoplysninger!$AO$30,"")</f>
        <v/>
      </c>
      <c r="BV20" s="210" t="str">
        <f>IF(AND(C20="Skema 4",B20="ma"),Skemaoplysninger!$AU$30,"")</f>
        <v/>
      </c>
      <c r="BW20" s="210" t="str">
        <f>IF(AND(C20="Skema 4",B20="ti"),Skemaoplysninger!$AW$30,"")</f>
        <v/>
      </c>
      <c r="BX20" s="210" t="str">
        <f>IF(AND(C20="Skema 4",B20="on"),Skemaoplysninger!$AY$30,"")</f>
        <v/>
      </c>
      <c r="BY20" s="210" t="str">
        <f>IF(AND(C20="Skema 4",B20="to"),Skemaoplysninger!$BA$30,"")</f>
        <v/>
      </c>
      <c r="BZ20" s="210" t="str">
        <f>IF(AND(C20="Skema 4",B20="fr"),Skemaoplysninger!$BC$30,"")</f>
        <v/>
      </c>
      <c r="CA20" s="1">
        <f t="shared" si="25"/>
        <v>0</v>
      </c>
      <c r="CB20" s="1">
        <f t="shared" si="13"/>
        <v>0</v>
      </c>
      <c r="CC20" s="1">
        <f t="shared" si="14"/>
        <v>0</v>
      </c>
      <c r="CD20" s="210" t="str">
        <f>IF(AND(C20="Skema 1",B20="ma"),Skemaoplysninger!$E$31,"")</f>
        <v/>
      </c>
      <c r="CE20" s="210" t="str">
        <f>IF(AND(C20="Skema 1",B20="ti"),Skemaoplysninger!$G$31,"")</f>
        <v/>
      </c>
      <c r="CF20" s="210" t="str">
        <f>IF(AND(C20="Skema 1",B20="on"),Skemaoplysninger!$I$31,"")</f>
        <v/>
      </c>
      <c r="CG20" s="210" t="str">
        <f>IF(AND(C20="Skema 1",B20="to"),Skemaoplysninger!$K$31,"")</f>
        <v/>
      </c>
      <c r="CH20" s="210" t="str">
        <f>IF(AND(C20="Skema 1",B20="fr"),Skemaoplysninger!$M$31,"")</f>
        <v/>
      </c>
      <c r="CI20" s="210" t="str">
        <f>IF(AND(C20="Skema 2",B20="ma"),Skemaoplysninger!$S$31,"")</f>
        <v/>
      </c>
      <c r="CJ20" s="210" t="str">
        <f>IF(AND(C20="Skema 2",B20="ti"),Skemaoplysninger!$U$31,"")</f>
        <v/>
      </c>
      <c r="CK20" s="210" t="str">
        <f>IF(AND(C20="Skema 2",B20="on"),Skemaoplysninger!$W$31,"")</f>
        <v/>
      </c>
      <c r="CL20" s="210" t="str">
        <f>IF(AND(C20="Skema 2",B20="to"),Skemaoplysninger!$Y$31,"")</f>
        <v/>
      </c>
      <c r="CM20" s="210" t="str">
        <f>IF(AND(C20="Skema 2",B20="fr"),Skemaoplysninger!$AA$31,"")</f>
        <v/>
      </c>
      <c r="CN20" s="210" t="str">
        <f>IF(AND(C20="Skema 3",B20="ma"),Skemaoplysninger!$AG$31,"")</f>
        <v/>
      </c>
      <c r="CO20" s="210" t="str">
        <f>IF(AND(C20="Skema 3",B20="ti"),Skemaoplysninger!$AI$31,"")</f>
        <v/>
      </c>
      <c r="CP20" s="210" t="str">
        <f>IF(AND(C20="Skema 3",B20="on"),Skemaoplysninger!$AK$31,"")</f>
        <v/>
      </c>
      <c r="CQ20" s="210" t="str">
        <f>IF(AND(C20="Skema 3",B20="to"),Skemaoplysninger!$AM$31,"")</f>
        <v/>
      </c>
      <c r="CR20" s="210" t="str">
        <f>IF(AND(C20="Skema 3",B20="fr"),Skemaoplysninger!$AO$31,"")</f>
        <v/>
      </c>
      <c r="CS20" s="210" t="str">
        <f>IF(AND(C20="Skema 4",B20="ma"),Skemaoplysninger!$AU$31,"")</f>
        <v/>
      </c>
      <c r="CT20" s="210" t="str">
        <f>IF(AND(C20="Skema 4",B20="ti"),Skemaoplysninger!$AW$31,"")</f>
        <v/>
      </c>
      <c r="CU20" s="210" t="str">
        <f>IF(AND(C20="Skema 4",B20="on"),Skemaoplysninger!$AY$31,"")</f>
        <v/>
      </c>
      <c r="CV20" s="210" t="str">
        <f>IF(AND(C20="Skema 4",B20="to"),Skemaoplysninger!$BA$31,"")</f>
        <v/>
      </c>
      <c r="CW20" s="210" t="str">
        <f>IF(AND(C20="Skema 4",B20="fr"),Skemaoplysninger!$BC$31,"")</f>
        <v/>
      </c>
      <c r="CX20" s="249">
        <f>IF(Stamoplysninger!$H$29="NEJ",SUM(CD20:CW20)*24+CB20+CC20,0)</f>
        <v>0</v>
      </c>
      <c r="CY20" s="249">
        <f>IF(C20="Skema 1",Stamoplysninger!$H$30/200,0)</f>
        <v>0</v>
      </c>
      <c r="CZ20" s="249">
        <f>IF(C20="Skema 2",Stamoplysninger!$H$30/200,0)</f>
        <v>0</v>
      </c>
      <c r="DA20" s="249">
        <f>IF(C20="Skema 3",Stamoplysninger!$H$30/200,0)</f>
        <v>0</v>
      </c>
      <c r="DB20" s="249">
        <f>IF(C20="Skema 4",Stamoplysninger!$H$30/200,0)</f>
        <v>0</v>
      </c>
      <c r="DC20" s="249">
        <f>IF(C20="fagdag",Stamoplysninger!$H$30/200,0)</f>
        <v>0</v>
      </c>
      <c r="DD20" s="249">
        <f>IF(C20="emnedag",Stamoplysninger!$H$30/200,0)</f>
        <v>0</v>
      </c>
      <c r="DE20" s="249">
        <f>IF(C20="lejrskole",Stamoplysninger!$H$30/200,0)</f>
        <v>0</v>
      </c>
      <c r="DF20" s="249">
        <f>IF(C20="ekskursion",Stamoplysninger!$H$30/200,0)</f>
        <v>0</v>
      </c>
      <c r="DG20" s="249">
        <f t="shared" si="26"/>
        <v>0</v>
      </c>
      <c r="DH20" t="str">
        <f t="shared" si="27"/>
        <v/>
      </c>
      <c r="DI20">
        <f t="shared" si="28"/>
        <v>0</v>
      </c>
      <c r="DJ20">
        <f t="shared" si="29"/>
        <v>0</v>
      </c>
      <c r="DK20" t="str">
        <f t="shared" si="15"/>
        <v/>
      </c>
      <c r="DL20" t="str">
        <f t="shared" si="15"/>
        <v/>
      </c>
      <c r="DM20" t="str">
        <f t="shared" si="30"/>
        <v/>
      </c>
      <c r="DN20" t="str">
        <f t="shared" si="31"/>
        <v/>
      </c>
      <c r="DO20" s="652">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71">
        <f>IF(AND(Stamoplysninger!$B$22="Ulempetillæg udbetales med 25% af nettotimelønnen.",C20="ikke relevant"),(R20)/4,0)</f>
        <v>0</v>
      </c>
      <c r="DT20" s="671">
        <f>IF(AND(AND(Stamoplysninger!$B$22="Ulempetillæg udbetales med 25% af nettotimelønnen.",I20="X",C20="Ikke relevant")),K20/4,0)</f>
        <v>0</v>
      </c>
      <c r="DU20" s="671">
        <f>IF(AND(AND(Stamoplysninger!$B$22="Ulempetillæg udbetales med 25% af nettotimelønnen.",C20="ikke relevant",U20="X")),(X20/4),0)</f>
        <v>0</v>
      </c>
      <c r="DV20" s="672">
        <f>IF(AND(AND(AND(Stamoplysninger!$B$22="Ulempetillæg udbetales med 25% af nettotimelønnen.",I20="X",C20="Ikke relevant",S20="X"))),V20/4,0)</f>
        <v>0</v>
      </c>
      <c r="DW20" s="652"/>
      <c r="DZ20" s="671"/>
      <c r="EA20" s="671"/>
      <c r="EB20" s="672"/>
      <c r="EC20" s="652">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71">
        <f>IF(AND(Stamoplysninger!$B$22="Ulempetillæg afspadseres med 25%(Kræver en aftale imellem ledelsen og den ansatte)",C20="ikke relevant"),(R20)/4,0)</f>
        <v>0</v>
      </c>
      <c r="EH20" s="671">
        <f>IF(AND(AND(Stamoplysninger!$B$22="Ulempetillæg afspadseres med 25%(Kræver en aftale imellem ledelsen og den ansatte)",I20="X",C20="Ikke relevant")),K20/4,0)</f>
        <v>0</v>
      </c>
      <c r="EI20" s="671">
        <f>IF(AND(AND(Stamoplysninger!$B$22="Ulempetillæg afspadseres med 25%(Kræver en aftale imellem ledelsen og den ansatte)",U20="X",C20="Ikke relevant")),X20/4,0)</f>
        <v>0</v>
      </c>
      <c r="EJ20" s="671">
        <f>IF(AND(AND(AND(Stamoplysninger!$B$22="Ulempetillæg afspadseres med 25%(Kræver en aftale imellem ledelsen og den ansatte)",I20="X",C20="Ikke relevant",S20="X"))),V20/4,0)</f>
        <v>0</v>
      </c>
      <c r="EK20" s="283">
        <f>IF(AND(Stamoplysninger!$B$26="Weekendtimer og weekendtillæg afspadseres.",I20="X"),K20*1.5,0)</f>
        <v>0</v>
      </c>
      <c r="EL20" s="251">
        <f>IF(AND(AND(Stamoplysninger!$B$26="Weekendtimer og weekendtillæg afspadseres.",I20="X",S20="X")),V20*1.5,0)</f>
        <v>0</v>
      </c>
      <c r="EM20" s="674">
        <f>IF(AND(AND(Stamoplysninger!$B$26="Weekendtimer og weekendtillæg afspadseres.",I20="X",C20="ikke relevant")),K20*1.5,0)</f>
        <v>0</v>
      </c>
      <c r="EN20" s="675">
        <f>IF(AND(AND(AND(Stamoplysninger!$B$26="Weekendtimer og weekendtillæg afspadseres.",I20="X",C20="ikke relevant",S20="X"))),(V20*1.5),0)</f>
        <v>0</v>
      </c>
      <c r="EO20" s="283">
        <f>IF(AND(Stamoplysninger!$B$26="Weekendtimer og weekendtillæg udbetales.",I20="X"),K20*1.5,0)</f>
        <v>0</v>
      </c>
      <c r="EP20" s="251">
        <f>IF(AND(AND(Stamoplysninger!$B$26="Weekendtimer og weekendtillæg udbetales.",I20="X",S20="X")),V20*1.5,0)</f>
        <v>0</v>
      </c>
      <c r="EQ20" s="674">
        <f>IF(AND(AND(Stamoplysninger!$B$26="Weekendtimer og weekendtillæg udbetales.",I20="X",C20="ikke relevant")),K20*1.5,0)</f>
        <v>0</v>
      </c>
      <c r="ER20" s="675">
        <f>IF(AND(AND(AND(Stamoplysninger!$B$26="Weekendtimer og weekendtillæg udbetales.",I20="X",C20="ikke relevant",S20="X"))),(V20*1.5),0)</f>
        <v>0</v>
      </c>
      <c r="ES20" s="283">
        <f>IF(AND(Stamoplysninger!$B$26="Der er indgået lokalaftale omkring weekendtimer.(Kræver aftale med TR/FSL) Weekendtillæg afspadseres.",I20="X"),K20*0.5,0)</f>
        <v>0</v>
      </c>
      <c r="ET20" s="251">
        <f>IF(AND(AND(Stamoplysninger!$B$26="Der er indgået lokalaftale omkring weekendtimer.(Kræver aftale med TR/FSL) Weekendtillæg afspadseres.",I20="X",S20="X")),V20*0.5,0)</f>
        <v>0</v>
      </c>
      <c r="EU20" s="674">
        <f>IF(AND(AND(Stamoplysninger!$B$26="Der er indgået lokalaftale omkring weekendtimer.(Kræver aftale med TR/FSL) Weekendtillæg afspadseres.",I20="X",C20="ikke relevant")),K20*0.5,0)</f>
        <v>0</v>
      </c>
      <c r="EV20" s="675">
        <f>IF(AND(AND(AND(Stamoplysninger!$B$26="Der er indgået lokalaftale omkring weekendtimer.(Kræver aftale med TR/FSL) Weekendtillæg afspadseres.",I20="X",C20="ikke relevant",S20="X"))),(V20*0.5),0)</f>
        <v>0</v>
      </c>
      <c r="EW20" s="283">
        <f>IF(AND(Stamoplysninger!$B$26="Der er indgået lokalaftale omkring weekendtimer(Kræver aftale med TR/FSL). Weekendtillæg udbetales.",I20="X"),K20*0.5,0)</f>
        <v>0</v>
      </c>
      <c r="EX20" s="251">
        <f>IF(AND(AND(Stamoplysninger!$B$26="Der er indgået lokalaftale omkring weekendtimer(Kræver aftale med TR/FSL). Weekendtillæg udbetales.",I20="X",S20="X")),V20*0.5,0)</f>
        <v>0</v>
      </c>
      <c r="EY20" s="674">
        <f>IF(AND(AND(Stamoplysninger!$B$26="Der er indgået lokalaftale omkring weekendtimer(Kræver aftale med TR/FSL). Weekendtillæg udbetales.",I20="X",C20="ikke relevant")),K20*0.5,0)</f>
        <v>0</v>
      </c>
      <c r="EZ20" s="675">
        <f>IF(AND(AND(AND(Stamoplysninger!$B$26="Der er indgået lokalaftale omkring weekendtimer(Kræver aftale med TR/FSL). Weekendtillæg udbetales.",I20="X",C20="ikke relevant",S20="X"))),(V20*0.5),0)</f>
        <v>0</v>
      </c>
      <c r="FA20" s="283">
        <f>IF(AND(Stamoplysninger!$B$26="Der er indgået lokalaftale omkring weekendtillæg(Kræver aftale med TR/FSL). Weekendtimerne afspadseres.",I20="X"),K20,0)</f>
        <v>0</v>
      </c>
      <c r="FB20" s="251">
        <f>IF(AND(AND(Stamoplysninger!$B$26="Der er indgået lokalaftale omkring weekendtillæg(Kræver aftale med TR/FSL). Weekendtimerne afspadseres.",I20="X",S20="X")),V20,0)</f>
        <v>0</v>
      </c>
      <c r="FC20" s="674">
        <f>IF(AND(AND(Stamoplysninger!$B$26="Der er indgået lokalaftale omkring weekendtillæg(Kræver aftale med TR/FSL). Weekendtimerne afspadseres..",I20="X",C20="ikke relevant")),K20,0)</f>
        <v>0</v>
      </c>
      <c r="FD20" s="675">
        <f>IF(AND(AND(AND(Stamoplysninger!$B$26="Der er indgået lokalaftale omkring weekendtillæg(Kræver aftale med TR/FSL). Weekendtimerne afspadseres.",I20="X",C20="ikke relevant",S20="X"))),(V20),0)</f>
        <v>0</v>
      </c>
      <c r="FE20" s="283">
        <f>IF(AND(Stamoplysninger!$B$26="Der er indgået lokalaftale omkring weekendtillæg(Kræver aftale med TR/FSL). Weekendtimerne udbetales.",I20="X"),K20,0)</f>
        <v>0</v>
      </c>
      <c r="FF20" s="251">
        <f>IF(AND(AND(Stamoplysninger!$B$26="Der er indgået lokalaftale omkring weekendtillæg(Kræver aftale med TR/FSL). Weekendtimerne udbetales.",I20="X",S20="X")),V20,0)</f>
        <v>0</v>
      </c>
      <c r="FG20" s="674">
        <f>IF(AND(AND(Stamoplysninger!$B$26="Der er indgået lokalaftale omkring weekendtillæg(Kræver aftale med TR/FSL). Weekendtimerne udbetales.",I20="X",C20="ikke relevant")),K20,0)</f>
        <v>0</v>
      </c>
      <c r="FH20" s="675">
        <f>IF(AND(AND(AND(Stamoplysninger!$B$26="Der er indgået lokalaftale omkring weekendtillæg(Kræver aftale med TR/FSL). Weekendtimerne udbetales.",I20="X",C20="ikke relevant",S20="X"))),(V20),0)</f>
        <v>0</v>
      </c>
      <c r="FI20" s="283">
        <f>IF(AND(Stamoplysninger!$B$26="Weekendtimer og weekendtillæg afspadseres.",I20="X"),K20,0)</f>
        <v>0</v>
      </c>
      <c r="FJ20" s="251">
        <f>IF(AND(Stamoplysninger!$B$26="Weekendtimer og weekendtillæg afspadseres.",Y20="X"),(AA20+AL20)/2,0)</f>
        <v>0</v>
      </c>
      <c r="FK20" s="674">
        <f>IF(AND(AND(Stamoplysninger!$B$26="Weekendtimer og weekendtillæg afspadseres.",I20="X",C20="ikke relevant")),K20,0)</f>
        <v>0</v>
      </c>
      <c r="FL20" s="675">
        <f>IF(AND(AND(Stamoplysninger!$B$26="Weekendtimer og weekendtillæg afspadseres.",Y20="X",S20="ikke relevant")),(AA20+AL20)/2,0)</f>
        <v>0</v>
      </c>
      <c r="FM20" s="283">
        <f>IF(AND(Stamoplysninger!$B$26="Der er indgået lokalaftale omkring weekendtillæg(Kræver aftale med TR/FSL). Weekendtimerne afspadseres.",I20="X"),K20,0)</f>
        <v>0</v>
      </c>
      <c r="FN20" s="674">
        <f>IF(AND(AND(Stamoplysninger!$B$26="Der er indgået lokalaftale omkring weekendtillæg(Kræver aftale med TR/FSL). Weekendtimerne afspadseres.",I20="X",C20="ikke relevant")),K20,0)</f>
        <v>0</v>
      </c>
      <c r="FO20" s="283">
        <f>IF(AND(Stamoplysninger!$B$26="Weekendtimer og weekendtillæg udbetales.",I20="X"),K20,0)</f>
        <v>0</v>
      </c>
      <c r="FP20" s="251">
        <f>IF(AND(Stamoplysninger!$B$26="Weekendtimer og weekendtillæg udbetales.",AA20="X"),(AC20+AN20)/2,0)</f>
        <v>0</v>
      </c>
      <c r="FQ20" s="674">
        <f>IF(AND(AND(Stamoplysninger!$B$26="Weekendtimer og weekendtillæg udbetales.",I20="X",C20="ikke relevant")),K20,0)</f>
        <v>0</v>
      </c>
      <c r="FR20" s="688">
        <f>IF(AND(AND(Stamoplysninger!$B$26="Weekendtimer og weekendtillæg udbetales.",AA20="X",U20="ikke relevant")),(AC20+AN20)/2,0)</f>
        <v>0</v>
      </c>
      <c r="FS20" s="283">
        <f t="shared" si="16"/>
        <v>0</v>
      </c>
      <c r="FT20" s="658">
        <f t="shared" si="17"/>
        <v>0</v>
      </c>
      <c r="FU20">
        <f t="shared" si="18"/>
        <v>0</v>
      </c>
      <c r="FV20" s="283">
        <f>IF(AND(Stamoplysninger!$B$26="Der er indgået lokalaftale omkring weekendtimer.(Kræver aftale med TR/FSL) Weekendtillæg afspadseres.",I20="X"),K20,0)</f>
        <v>0</v>
      </c>
      <c r="FW20" s="674">
        <f>IF(AND(AND(Stamoplysninger!$B$26="Der er indgået lokalaftale omkring weekendtimer.(Kræver aftale med TR/FSL) Weekendtillæg afspadseres.",I20="X",C20="ikke relevant")),K20,0)</f>
        <v>0</v>
      </c>
      <c r="FX20" s="283">
        <f>IF(AND(Stamoplysninger!$B$26="Der er indgået lokalaftale omkring weekendtimer(Kræver aftale med TR/FSL). Weekendtillæg udbetales.",I20="X"),K20,0)</f>
        <v>0</v>
      </c>
      <c r="FY20" s="674">
        <f>IF(AND(AND(Stamoplysninger!$B$26="Der er indgået lokalaftale omkring weekendtimer(Kræver aftale med TR/FSL). Weekendtillæg udbetales.",I20="X",C20="ikke relevant")),K20,0)</f>
        <v>0</v>
      </c>
      <c r="FZ20" s="283">
        <f>IF(AND(Stamoplysninger!$B$26="Der er indgået lokalaftale omkring weekendtillæg(Kræver aftale med TR/FSL). Weekendtimerne udbetales.",I20="X"),K20,0)</f>
        <v>0</v>
      </c>
      <c r="GA20" s="674">
        <f>IF(AND(AND(Stamoplysninger!$B$26="Der er indgået lokalaftale omkring weekendtillæg(Kræver aftale med TR/FSL). Weekendtimerne udbetales.",I20="X",C20="ikke relevant")),K20,0)</f>
        <v>0</v>
      </c>
      <c r="GB20" s="283">
        <f>IF(AND(Stamoplysninger!$B$26="Der er indgået lokalaftale omkring weekendtimer og weekendtillæg.(Kræver aftale med TR/FSL).",I20="X"),K20,0)</f>
        <v>0</v>
      </c>
      <c r="GC20" s="674">
        <f>IF(AND(AND(Stamoplysninger!$B$26="Der er indgået lokalaftale omkring weekendtimer og weekendtillæg.(Kræver aftale med TR/FSL).",I20="X",C20="ikke relevant")),K20,0)</f>
        <v>0</v>
      </c>
    </row>
    <row r="21" spans="1:185">
      <c r="A21" s="245">
        <f>IF(ISNUMBER(A20),A20+1,1)</f>
        <v>12</v>
      </c>
      <c r="B21" s="128" t="str">
        <f t="shared" si="0"/>
        <v>ma</v>
      </c>
      <c r="C21" s="129" t="s">
        <v>211</v>
      </c>
      <c r="D21" s="130">
        <f t="shared" si="1"/>
        <v>33</v>
      </c>
      <c r="E21" s="917" t="s">
        <v>696</v>
      </c>
      <c r="F21" s="918"/>
      <c r="G21" s="919"/>
      <c r="H21" s="298"/>
      <c r="I21" s="527"/>
      <c r="J21" s="413"/>
      <c r="K21" s="380">
        <v>4</v>
      </c>
      <c r="L21" s="380">
        <v>2.5</v>
      </c>
      <c r="M21" s="380">
        <v>1.5</v>
      </c>
      <c r="N21" s="318">
        <f t="shared" si="20"/>
        <v>4</v>
      </c>
      <c r="O21" s="318">
        <f t="shared" si="21"/>
        <v>2.5</v>
      </c>
      <c r="P21" s="318">
        <f>IF(Stamoplysninger!$H$29="JA",August!DG21,CX21)</f>
        <v>1.5</v>
      </c>
      <c r="Q21" s="318">
        <f t="shared" si="22"/>
        <v>0</v>
      </c>
      <c r="R21" s="412"/>
      <c r="S21" s="324"/>
      <c r="T21" s="325"/>
      <c r="U21" s="325"/>
      <c r="V21" s="435"/>
      <c r="W21" s="412"/>
      <c r="X21" s="642"/>
      <c r="Y21">
        <f t="shared" si="23"/>
        <v>0</v>
      </c>
      <c r="Z21">
        <f t="shared" si="2"/>
        <v>0</v>
      </c>
      <c r="AA21" s="1">
        <f t="shared" si="3"/>
        <v>4</v>
      </c>
      <c r="AB21" s="1">
        <f t="shared" si="4"/>
        <v>0</v>
      </c>
      <c r="AC21" s="1">
        <f t="shared" si="5"/>
        <v>0</v>
      </c>
      <c r="AD21" s="1">
        <f t="shared" si="6"/>
        <v>0</v>
      </c>
      <c r="AE21" s="1">
        <f t="shared" si="7"/>
        <v>0</v>
      </c>
      <c r="AF21" s="1">
        <f>IF(C21="Orlov",Stamoplysninger!$E$15*7.4,0)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8"/>
        <v>4</v>
      </c>
      <c r="BB21" s="229">
        <f t="shared" si="9"/>
        <v>0</v>
      </c>
      <c r="BC21" s="1">
        <f t="shared" si="24"/>
        <v>0</v>
      </c>
      <c r="BD21" s="1">
        <f t="shared" si="10"/>
        <v>0</v>
      </c>
      <c r="BE21" s="1">
        <f t="shared" si="11"/>
        <v>0</v>
      </c>
      <c r="BF21" s="1">
        <f t="shared" si="12"/>
        <v>2.5</v>
      </c>
      <c r="BG21" s="210" t="str">
        <f>IF(AND(C21="Skema 1",B21="ma"),Skemaoplysninger!$E$30,"")</f>
        <v/>
      </c>
      <c r="BH21" s="210" t="str">
        <f>IF(AND(C21="Skema 1",B21="ti"),Skemaoplysninger!$G$30,"")</f>
        <v/>
      </c>
      <c r="BI21" s="210" t="str">
        <f>IF(AND(C21="Skema 1",B21="on"),Skemaoplysninger!$I$30,"")</f>
        <v/>
      </c>
      <c r="BJ21" s="210" t="str">
        <f>IF(AND(C21="Skema 1",B21="to"),Skemaoplysninger!$K$30,"")</f>
        <v/>
      </c>
      <c r="BK21" s="210" t="str">
        <f>IF(AND(C21="Skema 1",B21="fr"),Skemaoplysninger!$M$30,"")</f>
        <v/>
      </c>
      <c r="BL21" s="210" t="str">
        <f>IF(AND(C21="Skema 2",B21="ma"),Skemaoplysninger!$S$30,"")</f>
        <v/>
      </c>
      <c r="BM21" s="210" t="str">
        <f>IF(AND(C21="Skema 2",B21="ti"),Skemaoplysninger!$U$30,"")</f>
        <v/>
      </c>
      <c r="BN21" s="210" t="str">
        <f>IF(AND(C21="Skema 2",B21="on"),Skemaoplysninger!$W$30,"")</f>
        <v/>
      </c>
      <c r="BO21" s="210" t="str">
        <f>IF(AND(C21="Skema 2",B21="to"),Skemaoplysninger!$Y$30,"")</f>
        <v/>
      </c>
      <c r="BP21" s="210" t="str">
        <f>IF(AND(C21="Skema 2",B21="fr"),Skemaoplysninger!$AA$30,"")</f>
        <v/>
      </c>
      <c r="BQ21" s="210" t="str">
        <f>IF(AND(C21="Skema 3",B21="ma"),Skemaoplysninger!$AG$30,"")</f>
        <v/>
      </c>
      <c r="BR21" s="210" t="str">
        <f>IF(AND(C21="Skema 3",B21="ti"),Skemaoplysninger!$AI$30,"")</f>
        <v/>
      </c>
      <c r="BS21" s="210" t="str">
        <f>IF(AND(C21="Skema 3",B21="on"),Skemaoplysninger!$AK$30,"")</f>
        <v/>
      </c>
      <c r="BT21" s="210" t="str">
        <f>IF(AND(C21="Skema 3",B21="to"),Skemaoplysninger!$AM$30,"")</f>
        <v/>
      </c>
      <c r="BU21" s="210" t="str">
        <f>IF(AND(C21="Skema 3",B21="fr"),Skemaoplysninger!$AO$30,"")</f>
        <v/>
      </c>
      <c r="BV21" s="210" t="str">
        <f>IF(AND(C21="Skema 4",B21="ma"),Skemaoplysninger!$AU$30,"")</f>
        <v/>
      </c>
      <c r="BW21" s="210" t="str">
        <f>IF(AND(C21="Skema 4",B21="ti"),Skemaoplysninger!$AW$30,"")</f>
        <v/>
      </c>
      <c r="BX21" s="210" t="str">
        <f>IF(AND(C21="Skema 4",B21="on"),Skemaoplysninger!$AY$30,"")</f>
        <v/>
      </c>
      <c r="BY21" s="210" t="str">
        <f>IF(AND(C21="Skema 4",B21="to"),Skemaoplysninger!$BA$30,"")</f>
        <v/>
      </c>
      <c r="BZ21" s="210" t="str">
        <f>IF(AND(C21="Skema 4",B21="fr"),Skemaoplysninger!$BC$30,"")</f>
        <v/>
      </c>
      <c r="CA21" s="1">
        <f t="shared" si="25"/>
        <v>2.5</v>
      </c>
      <c r="CB21" s="1">
        <f t="shared" si="13"/>
        <v>0</v>
      </c>
      <c r="CC21" s="1">
        <f t="shared" si="14"/>
        <v>1.5</v>
      </c>
      <c r="CD21" s="210" t="str">
        <f>IF(AND(C21="Skema 1",B21="ma"),Skemaoplysninger!$E$31,"")</f>
        <v/>
      </c>
      <c r="CE21" s="210" t="str">
        <f>IF(AND(C21="Skema 1",B21="ti"),Skemaoplysninger!$G$31,"")</f>
        <v/>
      </c>
      <c r="CF21" s="210" t="str">
        <f>IF(AND(C21="Skema 1",B21="on"),Skemaoplysninger!$I$31,"")</f>
        <v/>
      </c>
      <c r="CG21" s="210" t="str">
        <f>IF(AND(C21="Skema 1",B21="to"),Skemaoplysninger!$K$31,"")</f>
        <v/>
      </c>
      <c r="CH21" s="210" t="str">
        <f>IF(AND(C21="Skema 1",B21="fr"),Skemaoplysninger!$M$31,"")</f>
        <v/>
      </c>
      <c r="CI21" s="210" t="str">
        <f>IF(AND(C21="Skema 2",B21="ma"),Skemaoplysninger!$S$31,"")</f>
        <v/>
      </c>
      <c r="CJ21" s="210" t="str">
        <f>IF(AND(C21="Skema 2",B21="ti"),Skemaoplysninger!$U$31,"")</f>
        <v/>
      </c>
      <c r="CK21" s="210" t="str">
        <f>IF(AND(C21="Skema 2",B21="on"),Skemaoplysninger!$W$31,"")</f>
        <v/>
      </c>
      <c r="CL21" s="210" t="str">
        <f>IF(AND(C21="Skema 2",B21="to"),Skemaoplysninger!$Y$31,"")</f>
        <v/>
      </c>
      <c r="CM21" s="210" t="str">
        <f>IF(AND(C21="Skema 2",B21="fr"),Skemaoplysninger!$AA$31,"")</f>
        <v/>
      </c>
      <c r="CN21" s="210" t="str">
        <f>IF(AND(C21="Skema 3",B21="ma"),Skemaoplysninger!$AG$31,"")</f>
        <v/>
      </c>
      <c r="CO21" s="210" t="str">
        <f>IF(AND(C21="Skema 3",B21="ti"),Skemaoplysninger!$AI$31,"")</f>
        <v/>
      </c>
      <c r="CP21" s="210" t="str">
        <f>IF(AND(C21="Skema 3",B21="on"),Skemaoplysninger!$AK$31,"")</f>
        <v/>
      </c>
      <c r="CQ21" s="210" t="str">
        <f>IF(AND(C21="Skema 3",B21="to"),Skemaoplysninger!$AM$31,"")</f>
        <v/>
      </c>
      <c r="CR21" s="210" t="str">
        <f>IF(AND(C21="Skema 3",B21="fr"),Skemaoplysninger!$AO$31,"")</f>
        <v/>
      </c>
      <c r="CS21" s="210" t="str">
        <f>IF(AND(C21="Skema 4",B21="ma"),Skemaoplysninger!$AU$31,"")</f>
        <v/>
      </c>
      <c r="CT21" s="210" t="str">
        <f>IF(AND(C21="Skema 4",B21="ti"),Skemaoplysninger!$AW$31,"")</f>
        <v/>
      </c>
      <c r="CU21" s="210" t="str">
        <f>IF(AND(C21="Skema 4",B21="on"),Skemaoplysninger!$AY$31,"")</f>
        <v/>
      </c>
      <c r="CV21" s="210" t="str">
        <f>IF(AND(C21="Skema 4",B21="to"),Skemaoplysninger!$BA$31,"")</f>
        <v/>
      </c>
      <c r="CW21" s="210" t="str">
        <f>IF(AND(C21="Skema 4",B21="fr"),Skemaoplysninger!$BC$31,"")</f>
        <v/>
      </c>
      <c r="CX21" s="249">
        <f>IF(Stamoplysninger!$H$29="NEJ",SUM(CD21:CW21)*24+CB21+CC21,0)</f>
        <v>1.5</v>
      </c>
      <c r="CY21" s="249">
        <f>IF(C21="Skema 1",Stamoplysninger!$H$30/200,0)</f>
        <v>0</v>
      </c>
      <c r="CZ21" s="249">
        <f>IF(C21="Skema 2",Stamoplysninger!$H$30/200,0)</f>
        <v>0</v>
      </c>
      <c r="DA21" s="249">
        <f>IF(C21="Skema 3",Stamoplysninger!$H$30/200,0)</f>
        <v>0</v>
      </c>
      <c r="DB21" s="249">
        <f>IF(C21="Skema 4",Stamoplysninger!$H$30/200,0)</f>
        <v>0</v>
      </c>
      <c r="DC21" s="249">
        <f>IF(C21="fagdag",Stamoplysninger!$H$30/200,0)</f>
        <v>0</v>
      </c>
      <c r="DD21" s="249">
        <f>IF(C21="emnedag",Stamoplysninger!$H$30/200,0)</f>
        <v>0</v>
      </c>
      <c r="DE21" s="249">
        <f>IF(C21="lejrskole",Stamoplysninger!$H$30/200,0)</f>
        <v>0</v>
      </c>
      <c r="DF21" s="249">
        <f>IF(C21="ekskursion",Stamoplysninger!$H$30/200,0)</f>
        <v>0</v>
      </c>
      <c r="DG21" s="249">
        <f t="shared" si="26"/>
        <v>0</v>
      </c>
      <c r="DH21" t="str">
        <f t="shared" si="27"/>
        <v/>
      </c>
      <c r="DI21" t="str">
        <f t="shared" si="28"/>
        <v>1. skoledag 9-13</v>
      </c>
      <c r="DJ21" t="str">
        <f t="shared" si="29"/>
        <v/>
      </c>
      <c r="DK21" t="str">
        <f t="shared" si="15"/>
        <v/>
      </c>
      <c r="DL21" t="str">
        <f t="shared" si="15"/>
        <v>1. skoledag 9-13</v>
      </c>
      <c r="DM21" t="str">
        <f t="shared" si="30"/>
        <v/>
      </c>
      <c r="DN21" t="str">
        <f t="shared" si="31"/>
        <v>1. skoledag 9-13</v>
      </c>
      <c r="DO21" s="652">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71">
        <f>IF(AND(Stamoplysninger!$B$22="Ulempetillæg udbetales med 25% af nettotimelønnen.",C21="ikke relevant"),(R21)/4,0)</f>
        <v>0</v>
      </c>
      <c r="DT21" s="671">
        <f>IF(AND(AND(Stamoplysninger!$B$22="Ulempetillæg udbetales med 25% af nettotimelønnen.",I21="X",C21="Ikke relevant")),K21/4,0)</f>
        <v>0</v>
      </c>
      <c r="DU21" s="671">
        <f>IF(AND(AND(Stamoplysninger!$B$22="Ulempetillæg udbetales med 25% af nettotimelønnen.",C21="ikke relevant",U21="X")),(X21/4),0)</f>
        <v>0</v>
      </c>
      <c r="DV21" s="672">
        <f>IF(AND(AND(AND(Stamoplysninger!$B$22="Ulempetillæg udbetales med 25% af nettotimelønnen.",I21="X",C21="Ikke relevant",S21="X"))),V21/4,0)</f>
        <v>0</v>
      </c>
      <c r="DW21" s="652"/>
      <c r="DZ21" s="671"/>
      <c r="EA21" s="671"/>
      <c r="EB21" s="672"/>
      <c r="EC21" s="652">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71">
        <f>IF(AND(Stamoplysninger!$B$22="Ulempetillæg afspadseres med 25%(Kræver en aftale imellem ledelsen og den ansatte)",C21="ikke relevant"),(R21)/4,0)</f>
        <v>0</v>
      </c>
      <c r="EH21" s="671">
        <f>IF(AND(AND(Stamoplysninger!$B$22="Ulempetillæg afspadseres med 25%(Kræver en aftale imellem ledelsen og den ansatte)",I21="X",C21="Ikke relevant")),K21/4,0)</f>
        <v>0</v>
      </c>
      <c r="EI21" s="671">
        <f>IF(AND(AND(Stamoplysninger!$B$22="Ulempetillæg afspadseres med 25%(Kræver en aftale imellem ledelsen og den ansatte)",U21="X",C21="Ikke relevant")),X21/4,0)</f>
        <v>0</v>
      </c>
      <c r="EJ21" s="671">
        <f>IF(AND(AND(AND(Stamoplysninger!$B$22="Ulempetillæg afspadseres med 25%(Kræver en aftale imellem ledelsen og den ansatte)",I21="X",C21="Ikke relevant",S21="X"))),V21/4,0)</f>
        <v>0</v>
      </c>
      <c r="EK21" s="283">
        <f>IF(AND(Stamoplysninger!$B$26="Weekendtimer og weekendtillæg afspadseres.",I21="X"),K21*1.5,0)</f>
        <v>0</v>
      </c>
      <c r="EL21" s="251">
        <f>IF(AND(AND(Stamoplysninger!$B$26="Weekendtimer og weekendtillæg afspadseres.",I21="X",S21="X")),V21*1.5,0)</f>
        <v>0</v>
      </c>
      <c r="EM21" s="674">
        <f>IF(AND(AND(Stamoplysninger!$B$26="Weekendtimer og weekendtillæg afspadseres.",I21="X",C21="ikke relevant")),K21*1.5,0)</f>
        <v>0</v>
      </c>
      <c r="EN21" s="675">
        <f>IF(AND(AND(AND(Stamoplysninger!$B$26="Weekendtimer og weekendtillæg afspadseres.",I21="X",C21="ikke relevant",S21="X"))),(V21*1.5),0)</f>
        <v>0</v>
      </c>
      <c r="EO21" s="283">
        <f>IF(AND(Stamoplysninger!$B$26="Weekendtimer og weekendtillæg udbetales.",I21="X"),K21*1.5,0)</f>
        <v>0</v>
      </c>
      <c r="EP21" s="251">
        <f>IF(AND(AND(Stamoplysninger!$B$26="Weekendtimer og weekendtillæg udbetales.",I21="X",S21="X")),V21*1.5,0)</f>
        <v>0</v>
      </c>
      <c r="EQ21" s="674">
        <f>IF(AND(AND(Stamoplysninger!$B$26="Weekendtimer og weekendtillæg udbetales.",I21="X",C21="ikke relevant")),K21*1.5,0)</f>
        <v>0</v>
      </c>
      <c r="ER21" s="675">
        <f>IF(AND(AND(AND(Stamoplysninger!$B$26="Weekendtimer og weekendtillæg udbetales.",I21="X",C21="ikke relevant",S21="X"))),(V21*1.5),0)</f>
        <v>0</v>
      </c>
      <c r="ES21" s="283">
        <f>IF(AND(Stamoplysninger!$B$26="Der er indgået lokalaftale omkring weekendtimer.(Kræver aftale med TR/FSL) Weekendtillæg afspadseres.",I21="X"),K21*0.5,0)</f>
        <v>0</v>
      </c>
      <c r="ET21" s="251">
        <f>IF(AND(AND(Stamoplysninger!$B$26="Der er indgået lokalaftale omkring weekendtimer.(Kræver aftale med TR/FSL) Weekendtillæg afspadseres.",I21="X",S21="X")),V21*0.5,0)</f>
        <v>0</v>
      </c>
      <c r="EU21" s="674">
        <f>IF(AND(AND(Stamoplysninger!$B$26="Der er indgået lokalaftale omkring weekendtimer.(Kræver aftale med TR/FSL) Weekendtillæg afspadseres.",I21="X",C21="ikke relevant")),K21*0.5,0)</f>
        <v>0</v>
      </c>
      <c r="EV21" s="675">
        <f>IF(AND(AND(AND(Stamoplysninger!$B$26="Der er indgået lokalaftale omkring weekendtimer.(Kræver aftale med TR/FSL) Weekendtillæg afspadseres.",I21="X",C21="ikke relevant",S21="X"))),(V21*0.5),0)</f>
        <v>0</v>
      </c>
      <c r="EW21" s="283">
        <f>IF(AND(Stamoplysninger!$B$26="Der er indgået lokalaftale omkring weekendtimer(Kræver aftale med TR/FSL). Weekendtillæg udbetales.",I21="X"),K21*0.5,0)</f>
        <v>0</v>
      </c>
      <c r="EX21" s="251">
        <f>IF(AND(AND(Stamoplysninger!$B$26="Der er indgået lokalaftale omkring weekendtimer(Kræver aftale med TR/FSL). Weekendtillæg udbetales.",I21="X",S21="X")),V21*0.5,0)</f>
        <v>0</v>
      </c>
      <c r="EY21" s="674">
        <f>IF(AND(AND(Stamoplysninger!$B$26="Der er indgået lokalaftale omkring weekendtimer(Kræver aftale med TR/FSL). Weekendtillæg udbetales.",I21="X",C21="ikke relevant")),K21*0.5,0)</f>
        <v>0</v>
      </c>
      <c r="EZ21" s="675">
        <f>IF(AND(AND(AND(Stamoplysninger!$B$26="Der er indgået lokalaftale omkring weekendtimer(Kræver aftale med TR/FSL). Weekendtillæg udbetales.",I21="X",C21="ikke relevant",S21="X"))),(V21*0.5),0)</f>
        <v>0</v>
      </c>
      <c r="FA21" s="283">
        <f>IF(AND(Stamoplysninger!$B$26="Der er indgået lokalaftale omkring weekendtillæg(Kræver aftale med TR/FSL). Weekendtimerne afspadseres.",I21="X"),K21,0)</f>
        <v>0</v>
      </c>
      <c r="FB21" s="251">
        <f>IF(AND(AND(Stamoplysninger!$B$26="Der er indgået lokalaftale omkring weekendtillæg(Kræver aftale med TR/FSL). Weekendtimerne afspadseres.",I21="X",S21="X")),V21,0)</f>
        <v>0</v>
      </c>
      <c r="FC21" s="674">
        <f>IF(AND(AND(Stamoplysninger!$B$26="Der er indgået lokalaftale omkring weekendtillæg(Kræver aftale med TR/FSL). Weekendtimerne afspadseres..",I21="X",C21="ikke relevant")),K21,0)</f>
        <v>0</v>
      </c>
      <c r="FD21" s="675">
        <f>IF(AND(AND(AND(Stamoplysninger!$B$26="Der er indgået lokalaftale omkring weekendtillæg(Kræver aftale med TR/FSL). Weekendtimerne afspadseres.",I21="X",C21="ikke relevant",S21="X"))),(V21),0)</f>
        <v>0</v>
      </c>
      <c r="FE21" s="283">
        <f>IF(AND(Stamoplysninger!$B$26="Der er indgået lokalaftale omkring weekendtillæg(Kræver aftale med TR/FSL). Weekendtimerne udbetales.",I21="X"),K21,0)</f>
        <v>0</v>
      </c>
      <c r="FF21" s="251">
        <f>IF(AND(AND(Stamoplysninger!$B$26="Der er indgået lokalaftale omkring weekendtillæg(Kræver aftale med TR/FSL). Weekendtimerne udbetales.",I21="X",S21="X")),V21,0)</f>
        <v>0</v>
      </c>
      <c r="FG21" s="674">
        <f>IF(AND(AND(Stamoplysninger!$B$26="Der er indgået lokalaftale omkring weekendtillæg(Kræver aftale med TR/FSL). Weekendtimerne udbetales.",I21="X",C21="ikke relevant")),K21,0)</f>
        <v>0</v>
      </c>
      <c r="FH21" s="675">
        <f>IF(AND(AND(AND(Stamoplysninger!$B$26="Der er indgået lokalaftale omkring weekendtillæg(Kræver aftale med TR/FSL). Weekendtimerne udbetales.",I21="X",C21="ikke relevant",S21="X"))),(V21),0)</f>
        <v>0</v>
      </c>
      <c r="FI21" s="283">
        <f>IF(AND(Stamoplysninger!$B$26="Weekendtimer og weekendtillæg afspadseres.",I21="X"),K21,0)</f>
        <v>0</v>
      </c>
      <c r="FJ21" s="251">
        <f>IF(AND(Stamoplysninger!$B$26="Weekendtimer og weekendtillæg afspadseres.",Y21="X"),(AA21+AL21)/2,0)</f>
        <v>0</v>
      </c>
      <c r="FK21" s="674">
        <f>IF(AND(AND(Stamoplysninger!$B$26="Weekendtimer og weekendtillæg afspadseres.",I21="X",C21="ikke relevant")),K21,0)</f>
        <v>0</v>
      </c>
      <c r="FL21" s="675">
        <f>IF(AND(AND(Stamoplysninger!$B$26="Weekendtimer og weekendtillæg afspadseres.",Y21="X",S21="ikke relevant")),(AA21+AL21)/2,0)</f>
        <v>0</v>
      </c>
      <c r="FM21" s="283">
        <f>IF(AND(Stamoplysninger!$B$26="Der er indgået lokalaftale omkring weekendtillæg(Kræver aftale med TR/FSL). Weekendtimerne afspadseres.",I21="X"),K21,0)</f>
        <v>0</v>
      </c>
      <c r="FN21" s="674">
        <f>IF(AND(AND(Stamoplysninger!$B$26="Der er indgået lokalaftale omkring weekendtillæg(Kræver aftale med TR/FSL). Weekendtimerne afspadseres.",I21="X",C21="ikke relevant")),K21,0)</f>
        <v>0</v>
      </c>
      <c r="FO21" s="283">
        <f>IF(AND(Stamoplysninger!$B$26="Weekendtimer og weekendtillæg udbetales.",I21="X"),K21,0)</f>
        <v>0</v>
      </c>
      <c r="FP21" s="251">
        <f>IF(AND(Stamoplysninger!$B$26="Weekendtimer og weekendtillæg udbetales.",AA21="X"),(AC21+AN21)/2,0)</f>
        <v>0</v>
      </c>
      <c r="FQ21" s="674">
        <f>IF(AND(AND(Stamoplysninger!$B$26="Weekendtimer og weekendtillæg udbetales.",I21="X",C21="ikke relevant")),K21,0)</f>
        <v>0</v>
      </c>
      <c r="FR21" s="688">
        <f>IF(AND(AND(Stamoplysninger!$B$26="Weekendtimer og weekendtillæg udbetales.",AA21="X",U21="ikke relevant")),(AC21+AN21)/2,0)</f>
        <v>0</v>
      </c>
      <c r="FS21" s="283">
        <f t="shared" si="16"/>
        <v>0</v>
      </c>
      <c r="FT21" s="658">
        <f t="shared" si="17"/>
        <v>0</v>
      </c>
      <c r="FU21">
        <f t="shared" si="18"/>
        <v>0</v>
      </c>
      <c r="FV21" s="283">
        <f>IF(AND(Stamoplysninger!$B$26="Der er indgået lokalaftale omkring weekendtimer.(Kræver aftale med TR/FSL) Weekendtillæg afspadseres.",I21="X"),K21,0)</f>
        <v>0</v>
      </c>
      <c r="FW21" s="674">
        <f>IF(AND(AND(Stamoplysninger!$B$26="Der er indgået lokalaftale omkring weekendtimer.(Kræver aftale med TR/FSL) Weekendtillæg afspadseres.",I21="X",C21="ikke relevant")),K21,0)</f>
        <v>0</v>
      </c>
      <c r="FX21" s="283">
        <f>IF(AND(Stamoplysninger!$B$26="Der er indgået lokalaftale omkring weekendtimer(Kræver aftale med TR/FSL). Weekendtillæg udbetales.",I21="X"),K21,0)</f>
        <v>0</v>
      </c>
      <c r="FY21" s="674">
        <f>IF(AND(AND(Stamoplysninger!$B$26="Der er indgået lokalaftale omkring weekendtimer(Kræver aftale med TR/FSL). Weekendtillæg udbetales.",I21="X",C21="ikke relevant")),K21,0)</f>
        <v>0</v>
      </c>
      <c r="FZ21" s="283">
        <f>IF(AND(Stamoplysninger!$B$26="Der er indgået lokalaftale omkring weekendtillæg(Kræver aftale med TR/FSL). Weekendtimerne udbetales.",I21="X"),K21,0)</f>
        <v>0</v>
      </c>
      <c r="GA21" s="674">
        <f>IF(AND(AND(Stamoplysninger!$B$26="Der er indgået lokalaftale omkring weekendtillæg(Kræver aftale med TR/FSL). Weekendtimerne udbetales.",I21="X",C21="ikke relevant")),K21,0)</f>
        <v>0</v>
      </c>
      <c r="GB21" s="283">
        <f>IF(AND(Stamoplysninger!$B$26="Der er indgået lokalaftale omkring weekendtimer og weekendtillæg.(Kræver aftale med TR/FSL).",I21="X"),K21,0)</f>
        <v>0</v>
      </c>
      <c r="GC21" s="674">
        <f>IF(AND(AND(Stamoplysninger!$B$26="Der er indgået lokalaftale omkring weekendtimer og weekendtillæg.(Kræver aftale med TR/FSL).",I21="X",C21="ikke relevant")),K21,0)</f>
        <v>0</v>
      </c>
    </row>
    <row r="22" spans="1:185">
      <c r="A22" s="245">
        <f>IF(ISNUMBER(A21),A21+1,1)</f>
        <v>13</v>
      </c>
      <c r="B22" s="128" t="str">
        <f t="shared" si="0"/>
        <v>ti</v>
      </c>
      <c r="C22" s="129" t="s">
        <v>206</v>
      </c>
      <c r="D22" s="130" t="str">
        <f t="shared" si="1"/>
        <v/>
      </c>
      <c r="E22" s="949"/>
      <c r="F22" s="950"/>
      <c r="G22" s="951"/>
      <c r="H22" s="297"/>
      <c r="I22" s="527"/>
      <c r="J22" s="413"/>
      <c r="K22" s="380"/>
      <c r="L22" s="380"/>
      <c r="M22" s="380"/>
      <c r="N22" s="318">
        <f t="shared" si="20"/>
        <v>7.75</v>
      </c>
      <c r="O22" s="318">
        <f t="shared" si="21"/>
        <v>4.5</v>
      </c>
      <c r="P22" s="318">
        <f>IF(Stamoplysninger!$H$29="JA",August!DG22,CX22)</f>
        <v>1</v>
      </c>
      <c r="Q22" s="318">
        <f t="shared" si="22"/>
        <v>2.25</v>
      </c>
      <c r="R22" s="412"/>
      <c r="S22" s="324"/>
      <c r="T22" s="325"/>
      <c r="U22" s="325"/>
      <c r="V22" s="435"/>
      <c r="W22" s="412"/>
      <c r="X22" s="642"/>
      <c r="Y22">
        <f t="shared" si="23"/>
        <v>0</v>
      </c>
      <c r="Z22">
        <f t="shared" si="2"/>
        <v>0</v>
      </c>
      <c r="AA22" s="1">
        <f t="shared" si="3"/>
        <v>0</v>
      </c>
      <c r="AB22" s="1">
        <f t="shared" si="4"/>
        <v>0</v>
      </c>
      <c r="AC22" s="1">
        <f t="shared" si="5"/>
        <v>0</v>
      </c>
      <c r="AD22" s="1">
        <f t="shared" si="6"/>
        <v>0</v>
      </c>
      <c r="AE22" s="1">
        <f t="shared" si="7"/>
        <v>0</v>
      </c>
      <c r="AF22" s="1">
        <f>IF(C22="Orlov",Stamoplysninger!$E$15*7.4,0)</f>
        <v>0</v>
      </c>
      <c r="AG22" t="str">
        <f>IF(AND(C22="Skema 1",B22="ma"),Arbejdstidsoversigt!$E$72,"")</f>
        <v/>
      </c>
      <c r="AH22">
        <f>IF(AND(C22="Skema 1",B22="ti"),Arbejdstidsoversigt!$E$73,"")</f>
        <v>7.75</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8"/>
        <v>7.75</v>
      </c>
      <c r="BB22" s="229">
        <f t="shared" si="9"/>
        <v>186</v>
      </c>
      <c r="BC22" s="1">
        <f t="shared" si="24"/>
        <v>0</v>
      </c>
      <c r="BD22" s="1">
        <f t="shared" si="10"/>
        <v>0</v>
      </c>
      <c r="BE22" s="1">
        <f t="shared" si="11"/>
        <v>0</v>
      </c>
      <c r="BF22" s="1">
        <f t="shared" si="12"/>
        <v>0</v>
      </c>
      <c r="BG22" s="210" t="str">
        <f>IF(AND(C22="Skema 1",B22="ma"),Skemaoplysninger!$E$30,"")</f>
        <v/>
      </c>
      <c r="BH22" s="210">
        <f>IF(AND(C22="Skema 1",B22="ti"),Skemaoplysninger!$G$30,"")</f>
        <v>0.1875</v>
      </c>
      <c r="BI22" s="210" t="str">
        <f>IF(AND(C22="Skema 1",B22="on"),Skemaoplysninger!$I$30,"")</f>
        <v/>
      </c>
      <c r="BJ22" s="210" t="str">
        <f>IF(AND(C22="Skema 1",B22="to"),Skemaoplysninger!$K$30,"")</f>
        <v/>
      </c>
      <c r="BK22" s="210" t="str">
        <f>IF(AND(C22="Skema 1",B22="fr"),Skemaoplysninger!$M$30,"")</f>
        <v/>
      </c>
      <c r="BL22" s="210" t="str">
        <f>IF(AND(C22="Skema 2",B22="ma"),Skemaoplysninger!$S$30,"")</f>
        <v/>
      </c>
      <c r="BM22" s="210" t="str">
        <f>IF(AND(C22="Skema 2",B22="ti"),Skemaoplysninger!$U$30,"")</f>
        <v/>
      </c>
      <c r="BN22" s="210" t="str">
        <f>IF(AND(C22="Skema 2",B22="on"),Skemaoplysninger!$W$30,"")</f>
        <v/>
      </c>
      <c r="BO22" s="210" t="str">
        <f>IF(AND(C22="Skema 2",B22="to"),Skemaoplysninger!$Y$30,"")</f>
        <v/>
      </c>
      <c r="BP22" s="210" t="str">
        <f>IF(AND(C22="Skema 2",B22="fr"),Skemaoplysninger!$AA$30,"")</f>
        <v/>
      </c>
      <c r="BQ22" s="210" t="str">
        <f>IF(AND(C22="Skema 3",B22="ma"),Skemaoplysninger!$AG$30,"")</f>
        <v/>
      </c>
      <c r="BR22" s="210" t="str">
        <f>IF(AND(C22="Skema 3",B22="ti"),Skemaoplysninger!$AI$30,"")</f>
        <v/>
      </c>
      <c r="BS22" s="210" t="str">
        <f>IF(AND(C22="Skema 3",B22="on"),Skemaoplysninger!$AK$30,"")</f>
        <v/>
      </c>
      <c r="BT22" s="210" t="str">
        <f>IF(AND(C22="Skema 3",B22="to"),Skemaoplysninger!$AM$30,"")</f>
        <v/>
      </c>
      <c r="BU22" s="210" t="str">
        <f>IF(AND(C22="Skema 3",B22="fr"),Skemaoplysninger!$AO$30,"")</f>
        <v/>
      </c>
      <c r="BV22" s="210" t="str">
        <f>IF(AND(C22="Skema 4",B22="ma"),Skemaoplysninger!$AU$30,"")</f>
        <v/>
      </c>
      <c r="BW22" s="210" t="str">
        <f>IF(AND(C22="Skema 4",B22="ti"),Skemaoplysninger!$AW$30,"")</f>
        <v/>
      </c>
      <c r="BX22" s="210" t="str">
        <f>IF(AND(C22="Skema 4",B22="on"),Skemaoplysninger!$AY$30,"")</f>
        <v/>
      </c>
      <c r="BY22" s="210" t="str">
        <f>IF(AND(C22="Skema 4",B22="to"),Skemaoplysninger!$BA$30,"")</f>
        <v/>
      </c>
      <c r="BZ22" s="210" t="str">
        <f>IF(AND(C22="Skema 4",B22="fr"),Skemaoplysninger!$BC$30,"")</f>
        <v/>
      </c>
      <c r="CA22" s="1">
        <f t="shared" si="25"/>
        <v>4.5</v>
      </c>
      <c r="CB22" s="1">
        <f t="shared" si="13"/>
        <v>0</v>
      </c>
      <c r="CC22" s="1">
        <f t="shared" si="14"/>
        <v>0</v>
      </c>
      <c r="CD22" s="210" t="str">
        <f>IF(AND(C22="Skema 1",B22="ma"),Skemaoplysninger!$E$31,"")</f>
        <v/>
      </c>
      <c r="CE22" s="210">
        <f>IF(AND(C22="Skema 1",B22="ti"),Skemaoplysninger!$G$31,"")</f>
        <v>4.1666666666666671E-2</v>
      </c>
      <c r="CF22" s="210" t="str">
        <f>IF(AND(C22="Skema 1",B22="on"),Skemaoplysninger!$I$31,"")</f>
        <v/>
      </c>
      <c r="CG22" s="210" t="str">
        <f>IF(AND(C22="Skema 1",B22="to"),Skemaoplysninger!$K$31,"")</f>
        <v/>
      </c>
      <c r="CH22" s="210" t="str">
        <f>IF(AND(C22="Skema 1",B22="fr"),Skemaoplysninger!$M$31,"")</f>
        <v/>
      </c>
      <c r="CI22" s="210" t="str">
        <f>IF(AND(C22="Skema 2",B22="ma"),Skemaoplysninger!$S$31,"")</f>
        <v/>
      </c>
      <c r="CJ22" s="210" t="str">
        <f>IF(AND(C22="Skema 2",B22="ti"),Skemaoplysninger!$U$31,"")</f>
        <v/>
      </c>
      <c r="CK22" s="210" t="str">
        <f>IF(AND(C22="Skema 2",B22="on"),Skemaoplysninger!$W$31,"")</f>
        <v/>
      </c>
      <c r="CL22" s="210" t="str">
        <f>IF(AND(C22="Skema 2",B22="to"),Skemaoplysninger!$Y$31,"")</f>
        <v/>
      </c>
      <c r="CM22" s="210" t="str">
        <f>IF(AND(C22="Skema 2",B22="fr"),Skemaoplysninger!$AA$31,"")</f>
        <v/>
      </c>
      <c r="CN22" s="210" t="str">
        <f>IF(AND(C22="Skema 3",B22="ma"),Skemaoplysninger!$AG$31,"")</f>
        <v/>
      </c>
      <c r="CO22" s="210" t="str">
        <f>IF(AND(C22="Skema 3",B22="ti"),Skemaoplysninger!$AI$31,"")</f>
        <v/>
      </c>
      <c r="CP22" s="210" t="str">
        <f>IF(AND(C22="Skema 3",B22="on"),Skemaoplysninger!$AK$31,"")</f>
        <v/>
      </c>
      <c r="CQ22" s="210" t="str">
        <f>IF(AND(C22="Skema 3",B22="to"),Skemaoplysninger!$AM$31,"")</f>
        <v/>
      </c>
      <c r="CR22" s="210" t="str">
        <f>IF(AND(C22="Skema 3",B22="fr"),Skemaoplysninger!$AO$31,"")</f>
        <v/>
      </c>
      <c r="CS22" s="210" t="str">
        <f>IF(AND(C22="Skema 4",B22="ma"),Skemaoplysninger!$AU$31,"")</f>
        <v/>
      </c>
      <c r="CT22" s="210" t="str">
        <f>IF(AND(C22="Skema 4",B22="ti"),Skemaoplysninger!$AW$31,"")</f>
        <v/>
      </c>
      <c r="CU22" s="210" t="str">
        <f>IF(AND(C22="Skema 4",B22="on"),Skemaoplysninger!$AY$31,"")</f>
        <v/>
      </c>
      <c r="CV22" s="210" t="str">
        <f>IF(AND(C22="Skema 4",B22="to"),Skemaoplysninger!$BA$31,"")</f>
        <v/>
      </c>
      <c r="CW22" s="210" t="str">
        <f>IF(AND(C22="Skema 4",B22="fr"),Skemaoplysninger!$BC$31,"")</f>
        <v/>
      </c>
      <c r="CX22" s="249">
        <f>IF(Stamoplysninger!$H$29="NEJ",SUM(CD22:CW22)*24+CB22+CC22,0)</f>
        <v>1</v>
      </c>
      <c r="CY22" s="249">
        <f>IF(C22="Skema 1",Stamoplysninger!$H$30/200,0)</f>
        <v>0</v>
      </c>
      <c r="CZ22" s="249">
        <f>IF(C22="Skema 2",Stamoplysninger!$H$30/200,0)</f>
        <v>0</v>
      </c>
      <c r="DA22" s="249">
        <f>IF(C22="Skema 3",Stamoplysninger!$H$30/200,0)</f>
        <v>0</v>
      </c>
      <c r="DB22" s="249">
        <f>IF(C22="Skema 4",Stamoplysninger!$H$30/200,0)</f>
        <v>0</v>
      </c>
      <c r="DC22" s="249">
        <f>IF(C22="fagdag",Stamoplysninger!$H$30/200,0)</f>
        <v>0</v>
      </c>
      <c r="DD22" s="249">
        <f>IF(C22="emnedag",Stamoplysninger!$H$30/200,0)</f>
        <v>0</v>
      </c>
      <c r="DE22" s="249">
        <f>IF(C22="lejrskole",Stamoplysninger!$H$30/200,0)</f>
        <v>0</v>
      </c>
      <c r="DF22" s="249">
        <f>IF(C22="ekskursion",Stamoplysninger!$H$30/200,0)</f>
        <v>0</v>
      </c>
      <c r="DG22" s="249">
        <f t="shared" si="26"/>
        <v>0</v>
      </c>
      <c r="DH22" t="str">
        <f t="shared" si="27"/>
        <v/>
      </c>
      <c r="DI22">
        <f t="shared" si="28"/>
        <v>0</v>
      </c>
      <c r="DJ22">
        <f t="shared" si="29"/>
        <v>0</v>
      </c>
      <c r="DK22" t="str">
        <f t="shared" si="15"/>
        <v/>
      </c>
      <c r="DL22" t="str">
        <f t="shared" si="15"/>
        <v/>
      </c>
      <c r="DM22" t="str">
        <f t="shared" si="30"/>
        <v/>
      </c>
      <c r="DN22" t="str">
        <f t="shared" si="31"/>
        <v/>
      </c>
      <c r="DO22" s="652">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71">
        <f>IF(AND(Stamoplysninger!$B$22="Ulempetillæg udbetales med 25% af nettotimelønnen.",C22="ikke relevant"),(R22)/4,0)</f>
        <v>0</v>
      </c>
      <c r="DT22" s="671">
        <f>IF(AND(AND(Stamoplysninger!$B$22="Ulempetillæg udbetales med 25% af nettotimelønnen.",I22="X",C22="Ikke relevant")),K22/4,0)</f>
        <v>0</v>
      </c>
      <c r="DU22" s="671">
        <f>IF(AND(AND(Stamoplysninger!$B$22="Ulempetillæg udbetales med 25% af nettotimelønnen.",C22="ikke relevant",U22="X")),(X22/4),0)</f>
        <v>0</v>
      </c>
      <c r="DV22" s="672">
        <f>IF(AND(AND(AND(Stamoplysninger!$B$22="Ulempetillæg udbetales med 25% af nettotimelønnen.",I22="X",C22="Ikke relevant",S22="X"))),V22/4,0)</f>
        <v>0</v>
      </c>
      <c r="DW22" s="652"/>
      <c r="DZ22" s="671"/>
      <c r="EA22" s="671"/>
      <c r="EB22" s="672"/>
      <c r="EC22" s="652">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71">
        <f>IF(AND(Stamoplysninger!$B$22="Ulempetillæg afspadseres med 25%(Kræver en aftale imellem ledelsen og den ansatte)",C22="ikke relevant"),(R22)/4,0)</f>
        <v>0</v>
      </c>
      <c r="EH22" s="671">
        <f>IF(AND(AND(Stamoplysninger!$B$22="Ulempetillæg afspadseres med 25%(Kræver en aftale imellem ledelsen og den ansatte)",I22="X",C22="Ikke relevant")),K22/4,0)</f>
        <v>0</v>
      </c>
      <c r="EI22" s="671">
        <f>IF(AND(AND(Stamoplysninger!$B$22="Ulempetillæg afspadseres med 25%(Kræver en aftale imellem ledelsen og den ansatte)",U22="X",C22="Ikke relevant")),X22/4,0)</f>
        <v>0</v>
      </c>
      <c r="EJ22" s="671">
        <f>IF(AND(AND(AND(Stamoplysninger!$B$22="Ulempetillæg afspadseres med 25%(Kræver en aftale imellem ledelsen og den ansatte)",I22="X",C22="Ikke relevant",S22="X"))),V22/4,0)</f>
        <v>0</v>
      </c>
      <c r="EK22" s="283">
        <f>IF(AND(Stamoplysninger!$B$26="Weekendtimer og weekendtillæg afspadseres.",I22="X"),K22*1.5,0)</f>
        <v>0</v>
      </c>
      <c r="EL22" s="251">
        <f>IF(AND(AND(Stamoplysninger!$B$26="Weekendtimer og weekendtillæg afspadseres.",I22="X",S22="X")),V22*1.5,0)</f>
        <v>0</v>
      </c>
      <c r="EM22" s="674">
        <f>IF(AND(AND(Stamoplysninger!$B$26="Weekendtimer og weekendtillæg afspadseres.",I22="X",C22="ikke relevant")),K22*1.5,0)</f>
        <v>0</v>
      </c>
      <c r="EN22" s="675">
        <f>IF(AND(AND(AND(Stamoplysninger!$B$26="Weekendtimer og weekendtillæg afspadseres.",I22="X",C22="ikke relevant",S22="X"))),(V22*1.5),0)</f>
        <v>0</v>
      </c>
      <c r="EO22" s="283">
        <f>IF(AND(Stamoplysninger!$B$26="Weekendtimer og weekendtillæg udbetales.",I22="X"),K22*1.5,0)</f>
        <v>0</v>
      </c>
      <c r="EP22" s="251">
        <f>IF(AND(AND(Stamoplysninger!$B$26="Weekendtimer og weekendtillæg udbetales.",I22="X",S22="X")),V22*1.5,0)</f>
        <v>0</v>
      </c>
      <c r="EQ22" s="674">
        <f>IF(AND(AND(Stamoplysninger!$B$26="Weekendtimer og weekendtillæg udbetales.",I22="X",C22="ikke relevant")),K22*1.5,0)</f>
        <v>0</v>
      </c>
      <c r="ER22" s="675">
        <f>IF(AND(AND(AND(Stamoplysninger!$B$26="Weekendtimer og weekendtillæg udbetales.",I22="X",C22="ikke relevant",S22="X"))),(V22*1.5),0)</f>
        <v>0</v>
      </c>
      <c r="ES22" s="283">
        <f>IF(AND(Stamoplysninger!$B$26="Der er indgået lokalaftale omkring weekendtimer.(Kræver aftale med TR/FSL) Weekendtillæg afspadseres.",I22="X"),K22*0.5,0)</f>
        <v>0</v>
      </c>
      <c r="ET22" s="251">
        <f>IF(AND(AND(Stamoplysninger!$B$26="Der er indgået lokalaftale omkring weekendtimer.(Kræver aftale med TR/FSL) Weekendtillæg afspadseres.",I22="X",S22="X")),V22*0.5,0)</f>
        <v>0</v>
      </c>
      <c r="EU22" s="674">
        <f>IF(AND(AND(Stamoplysninger!$B$26="Der er indgået lokalaftale omkring weekendtimer.(Kræver aftale med TR/FSL) Weekendtillæg afspadseres.",I22="X",C22="ikke relevant")),K22*0.5,0)</f>
        <v>0</v>
      </c>
      <c r="EV22" s="675">
        <f>IF(AND(AND(AND(Stamoplysninger!$B$26="Der er indgået lokalaftale omkring weekendtimer.(Kræver aftale med TR/FSL) Weekendtillæg afspadseres.",I22="X",C22="ikke relevant",S22="X"))),(V22*0.5),0)</f>
        <v>0</v>
      </c>
      <c r="EW22" s="283">
        <f>IF(AND(Stamoplysninger!$B$26="Der er indgået lokalaftale omkring weekendtimer(Kræver aftale med TR/FSL). Weekendtillæg udbetales.",I22="X"),K22*0.5,0)</f>
        <v>0</v>
      </c>
      <c r="EX22" s="251">
        <f>IF(AND(AND(Stamoplysninger!$B$26="Der er indgået lokalaftale omkring weekendtimer(Kræver aftale med TR/FSL). Weekendtillæg udbetales.",I22="X",S22="X")),V22*0.5,0)</f>
        <v>0</v>
      </c>
      <c r="EY22" s="674">
        <f>IF(AND(AND(Stamoplysninger!$B$26="Der er indgået lokalaftale omkring weekendtimer(Kræver aftale med TR/FSL). Weekendtillæg udbetales.",I22="X",C22="ikke relevant")),K22*0.5,0)</f>
        <v>0</v>
      </c>
      <c r="EZ22" s="675">
        <f>IF(AND(AND(AND(Stamoplysninger!$B$26="Der er indgået lokalaftale omkring weekendtimer(Kræver aftale med TR/FSL). Weekendtillæg udbetales.",I22="X",C22="ikke relevant",S22="X"))),(V22*0.5),0)</f>
        <v>0</v>
      </c>
      <c r="FA22" s="283">
        <f>IF(AND(Stamoplysninger!$B$26="Der er indgået lokalaftale omkring weekendtillæg(Kræver aftale med TR/FSL). Weekendtimerne afspadseres.",I22="X"),K22,0)</f>
        <v>0</v>
      </c>
      <c r="FB22" s="251">
        <f>IF(AND(AND(Stamoplysninger!$B$26="Der er indgået lokalaftale omkring weekendtillæg(Kræver aftale med TR/FSL). Weekendtimerne afspadseres.",I22="X",S22="X")),V22,0)</f>
        <v>0</v>
      </c>
      <c r="FC22" s="674">
        <f>IF(AND(AND(Stamoplysninger!$B$26="Der er indgået lokalaftale omkring weekendtillæg(Kræver aftale med TR/FSL). Weekendtimerne afspadseres..",I22="X",C22="ikke relevant")),K22,0)</f>
        <v>0</v>
      </c>
      <c r="FD22" s="675">
        <f>IF(AND(AND(AND(Stamoplysninger!$B$26="Der er indgået lokalaftale omkring weekendtillæg(Kræver aftale med TR/FSL). Weekendtimerne afspadseres.",I22="X",C22="ikke relevant",S22="X"))),(V22),0)</f>
        <v>0</v>
      </c>
      <c r="FE22" s="283">
        <f>IF(AND(Stamoplysninger!$B$26="Der er indgået lokalaftale omkring weekendtillæg(Kræver aftale med TR/FSL). Weekendtimerne udbetales.",I22="X"),K22,0)</f>
        <v>0</v>
      </c>
      <c r="FF22" s="251">
        <f>IF(AND(AND(Stamoplysninger!$B$26="Der er indgået lokalaftale omkring weekendtillæg(Kræver aftale med TR/FSL). Weekendtimerne udbetales.",I22="X",S22="X")),V22,0)</f>
        <v>0</v>
      </c>
      <c r="FG22" s="674">
        <f>IF(AND(AND(Stamoplysninger!$B$26="Der er indgået lokalaftale omkring weekendtillæg(Kræver aftale med TR/FSL). Weekendtimerne udbetales.",I22="X",C22="ikke relevant")),K22,0)</f>
        <v>0</v>
      </c>
      <c r="FH22" s="675">
        <f>IF(AND(AND(AND(Stamoplysninger!$B$26="Der er indgået lokalaftale omkring weekendtillæg(Kræver aftale med TR/FSL). Weekendtimerne udbetales.",I22="X",C22="ikke relevant",S22="X"))),(V22),0)</f>
        <v>0</v>
      </c>
      <c r="FI22" s="283">
        <f>IF(AND(Stamoplysninger!$B$26="Weekendtimer og weekendtillæg afspadseres.",I22="X"),K22,0)</f>
        <v>0</v>
      </c>
      <c r="FJ22" s="251">
        <f>IF(AND(Stamoplysninger!$B$26="Weekendtimer og weekendtillæg afspadseres.",Y22="X"),(AA22+AL22)/2,0)</f>
        <v>0</v>
      </c>
      <c r="FK22" s="674">
        <f>IF(AND(AND(Stamoplysninger!$B$26="Weekendtimer og weekendtillæg afspadseres.",I22="X",C22="ikke relevant")),K22,0)</f>
        <v>0</v>
      </c>
      <c r="FL22" s="675">
        <f>IF(AND(AND(Stamoplysninger!$B$26="Weekendtimer og weekendtillæg afspadseres.",Y22="X",S22="ikke relevant")),(AA22+AL22)/2,0)</f>
        <v>0</v>
      </c>
      <c r="FM22" s="283">
        <f>IF(AND(Stamoplysninger!$B$26="Der er indgået lokalaftale omkring weekendtillæg(Kræver aftale med TR/FSL). Weekendtimerne afspadseres.",I22="X"),K22,0)</f>
        <v>0</v>
      </c>
      <c r="FN22" s="674">
        <f>IF(AND(AND(Stamoplysninger!$B$26="Der er indgået lokalaftale omkring weekendtillæg(Kræver aftale med TR/FSL). Weekendtimerne afspadseres.",I22="X",C22="ikke relevant")),K22,0)</f>
        <v>0</v>
      </c>
      <c r="FO22" s="283">
        <f>IF(AND(Stamoplysninger!$B$26="Weekendtimer og weekendtillæg udbetales.",I22="X"),K22,0)</f>
        <v>0</v>
      </c>
      <c r="FP22" s="251">
        <f>IF(AND(Stamoplysninger!$B$26="Weekendtimer og weekendtillæg udbetales.",AA22="X"),(AC22+AN22)/2,0)</f>
        <v>0</v>
      </c>
      <c r="FQ22" s="674">
        <f>IF(AND(AND(Stamoplysninger!$B$26="Weekendtimer og weekendtillæg udbetales.",I22="X",C22="ikke relevant")),K22,0)</f>
        <v>0</v>
      </c>
      <c r="FR22" s="688">
        <f>IF(AND(AND(Stamoplysninger!$B$26="Weekendtimer og weekendtillæg udbetales.",AA22="X",U22="ikke relevant")),(AC22+AN22)/2,0)</f>
        <v>0</v>
      </c>
      <c r="FS22" s="283">
        <f t="shared" si="16"/>
        <v>0</v>
      </c>
      <c r="FT22" s="658">
        <f t="shared" si="17"/>
        <v>0</v>
      </c>
      <c r="FU22">
        <f t="shared" si="18"/>
        <v>0</v>
      </c>
      <c r="FV22" s="283">
        <f>IF(AND(Stamoplysninger!$B$26="Der er indgået lokalaftale omkring weekendtimer.(Kræver aftale med TR/FSL) Weekendtillæg afspadseres.",I22="X"),K22,0)</f>
        <v>0</v>
      </c>
      <c r="FW22" s="674">
        <f>IF(AND(AND(Stamoplysninger!$B$26="Der er indgået lokalaftale omkring weekendtimer.(Kræver aftale med TR/FSL) Weekendtillæg afspadseres.",I22="X",C22="ikke relevant")),K22,0)</f>
        <v>0</v>
      </c>
      <c r="FX22" s="283">
        <f>IF(AND(Stamoplysninger!$B$26="Der er indgået lokalaftale omkring weekendtimer(Kræver aftale med TR/FSL). Weekendtillæg udbetales.",I22="X"),K22,0)</f>
        <v>0</v>
      </c>
      <c r="FY22" s="674">
        <f>IF(AND(AND(Stamoplysninger!$B$26="Der er indgået lokalaftale omkring weekendtimer(Kræver aftale med TR/FSL). Weekendtillæg udbetales.",I22="X",C22="ikke relevant")),K22,0)</f>
        <v>0</v>
      </c>
      <c r="FZ22" s="283">
        <f>IF(AND(Stamoplysninger!$B$26="Der er indgået lokalaftale omkring weekendtillæg(Kræver aftale med TR/FSL). Weekendtimerne udbetales.",I22="X"),K22,0)</f>
        <v>0</v>
      </c>
      <c r="GA22" s="674">
        <f>IF(AND(AND(Stamoplysninger!$B$26="Der er indgået lokalaftale omkring weekendtillæg(Kræver aftale med TR/FSL). Weekendtimerne udbetales.",I22="X",C22="ikke relevant")),K22,0)</f>
        <v>0</v>
      </c>
      <c r="GB22" s="283">
        <f>IF(AND(Stamoplysninger!$B$26="Der er indgået lokalaftale omkring weekendtimer og weekendtillæg.(Kræver aftale med TR/FSL).",I22="X"),K22,0)</f>
        <v>0</v>
      </c>
      <c r="GC22" s="674">
        <f>IF(AND(AND(Stamoplysninger!$B$26="Der er indgået lokalaftale omkring weekendtimer og weekendtillæg.(Kræver aftale med TR/FSL).",I22="X",C22="ikke relevant")),K22,0)</f>
        <v>0</v>
      </c>
    </row>
    <row r="23" spans="1:185">
      <c r="A23" s="245">
        <f t="shared" si="19"/>
        <v>14</v>
      </c>
      <c r="B23" s="128" t="str">
        <f t="shared" si="0"/>
        <v>on</v>
      </c>
      <c r="C23" s="129" t="s">
        <v>206</v>
      </c>
      <c r="D23" s="130" t="str">
        <f t="shared" si="1"/>
        <v/>
      </c>
      <c r="E23" s="949"/>
      <c r="F23" s="950"/>
      <c r="G23" s="951"/>
      <c r="H23" s="297"/>
      <c r="I23" s="527"/>
      <c r="J23" s="413"/>
      <c r="K23" s="380"/>
      <c r="L23" s="380"/>
      <c r="M23" s="380"/>
      <c r="N23" s="318">
        <f t="shared" si="20"/>
        <v>7.75</v>
      </c>
      <c r="O23" s="318">
        <f t="shared" si="21"/>
        <v>5</v>
      </c>
      <c r="P23" s="318">
        <f>IF(Stamoplysninger!$H$29="JA",August!DG23,CX23)</f>
        <v>1.1666666666666665</v>
      </c>
      <c r="Q23" s="318">
        <f t="shared" si="22"/>
        <v>1.5833333333333335</v>
      </c>
      <c r="R23" s="412"/>
      <c r="S23" s="324"/>
      <c r="T23" s="325"/>
      <c r="U23" s="325"/>
      <c r="V23" s="435"/>
      <c r="W23" s="412"/>
      <c r="X23" s="642"/>
      <c r="Y23">
        <f t="shared" si="23"/>
        <v>0</v>
      </c>
      <c r="Z23">
        <f t="shared" si="2"/>
        <v>0</v>
      </c>
      <c r="AA23" s="1">
        <f t="shared" si="3"/>
        <v>0</v>
      </c>
      <c r="AB23" s="1">
        <f t="shared" si="4"/>
        <v>0</v>
      </c>
      <c r="AC23" s="1">
        <f t="shared" si="5"/>
        <v>0</v>
      </c>
      <c r="AD23" s="1">
        <f t="shared" si="6"/>
        <v>0</v>
      </c>
      <c r="AE23" s="1">
        <f t="shared" si="7"/>
        <v>0</v>
      </c>
      <c r="AF23" s="1">
        <f>IF(C23="Orlov",Stamoplysninger!$E$15*7.4,0)</f>
        <v>0</v>
      </c>
      <c r="AG23" t="str">
        <f>IF(AND(C23="Skema 1",B23="ma"),Arbejdstidsoversigt!$E$72,"")</f>
        <v/>
      </c>
      <c r="AH23" t="str">
        <f>IF(AND(C23="Skema 1",B23="ti"),Arbejdstidsoversigt!$E$73,"")</f>
        <v/>
      </c>
      <c r="AI23">
        <f>IF(AND(C23="Skema 1",B23="on"),Arbejdstidsoversigt!$E$74,"")</f>
        <v>7.75</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8"/>
        <v>7.75</v>
      </c>
      <c r="BB23" s="229">
        <f t="shared" si="9"/>
        <v>186</v>
      </c>
      <c r="BC23" s="1">
        <f t="shared" si="24"/>
        <v>0</v>
      </c>
      <c r="BD23" s="1">
        <f t="shared" si="10"/>
        <v>0</v>
      </c>
      <c r="BE23" s="1">
        <f t="shared" si="11"/>
        <v>0</v>
      </c>
      <c r="BF23" s="1">
        <f t="shared" si="12"/>
        <v>0</v>
      </c>
      <c r="BG23" s="210" t="str">
        <f>IF(AND(C23="Skema 1",B23="ma"),Skemaoplysninger!$E$30,"")</f>
        <v/>
      </c>
      <c r="BH23" s="210" t="str">
        <f>IF(AND(C23="Skema 1",B23="ti"),Skemaoplysninger!$G$30,"")</f>
        <v/>
      </c>
      <c r="BI23" s="210">
        <f>IF(AND(C23="Skema 1",B23="on"),Skemaoplysninger!$I$30,"")</f>
        <v>0.20833333333333331</v>
      </c>
      <c r="BJ23" s="210" t="str">
        <f>IF(AND(C23="Skema 1",B23="to"),Skemaoplysninger!$K$30,"")</f>
        <v/>
      </c>
      <c r="BK23" s="210" t="str">
        <f>IF(AND(C23="Skema 1",B23="fr"),Skemaoplysninger!$M$30,"")</f>
        <v/>
      </c>
      <c r="BL23" s="210" t="str">
        <f>IF(AND(C23="Skema 2",B23="ma"),Skemaoplysninger!$S$30,"")</f>
        <v/>
      </c>
      <c r="BM23" s="210" t="str">
        <f>IF(AND(C23="Skema 2",B23="ti"),Skemaoplysninger!$U$30,"")</f>
        <v/>
      </c>
      <c r="BN23" s="210" t="str">
        <f>IF(AND(C23="Skema 2",B23="on"),Skemaoplysninger!$W$30,"")</f>
        <v/>
      </c>
      <c r="BO23" s="210" t="str">
        <f>IF(AND(C23="Skema 2",B23="to"),Skemaoplysninger!$Y$30,"")</f>
        <v/>
      </c>
      <c r="BP23" s="210" t="str">
        <f>IF(AND(C23="Skema 2",B23="fr"),Skemaoplysninger!$AA$30,"")</f>
        <v/>
      </c>
      <c r="BQ23" s="210" t="str">
        <f>IF(AND(C23="Skema 3",B23="ma"),Skemaoplysninger!$AG$30,"")</f>
        <v/>
      </c>
      <c r="BR23" s="210" t="str">
        <f>IF(AND(C23="Skema 3",B23="ti"),Skemaoplysninger!$AI$30,"")</f>
        <v/>
      </c>
      <c r="BS23" s="210" t="str">
        <f>IF(AND(C23="Skema 3",B23="on"),Skemaoplysninger!$AK$30,"")</f>
        <v/>
      </c>
      <c r="BT23" s="210" t="str">
        <f>IF(AND(C23="Skema 3",B23="to"),Skemaoplysninger!$AM$30,"")</f>
        <v/>
      </c>
      <c r="BU23" s="210" t="str">
        <f>IF(AND(C23="Skema 3",B23="fr"),Skemaoplysninger!$AO$30,"")</f>
        <v/>
      </c>
      <c r="BV23" s="210" t="str">
        <f>IF(AND(C23="Skema 4",B23="ma"),Skemaoplysninger!$AU$30,"")</f>
        <v/>
      </c>
      <c r="BW23" s="210" t="str">
        <f>IF(AND(C23="Skema 4",B23="ti"),Skemaoplysninger!$AW$30,"")</f>
        <v/>
      </c>
      <c r="BX23" s="210" t="str">
        <f>IF(AND(C23="Skema 4",B23="on"),Skemaoplysninger!$AY$30,"")</f>
        <v/>
      </c>
      <c r="BY23" s="210" t="str">
        <f>IF(AND(C23="Skema 4",B23="to"),Skemaoplysninger!$BA$30,"")</f>
        <v/>
      </c>
      <c r="BZ23" s="210" t="str">
        <f>IF(AND(C23="Skema 4",B23="fr"),Skemaoplysninger!$BC$30,"")</f>
        <v/>
      </c>
      <c r="CA23" s="1">
        <f t="shared" si="25"/>
        <v>5</v>
      </c>
      <c r="CB23" s="1">
        <f t="shared" si="13"/>
        <v>0</v>
      </c>
      <c r="CC23" s="1">
        <f t="shared" si="14"/>
        <v>0</v>
      </c>
      <c r="CD23" s="210" t="str">
        <f>IF(AND(C23="Skema 1",B23="ma"),Skemaoplysninger!$E$31,"")</f>
        <v/>
      </c>
      <c r="CE23" s="210" t="str">
        <f>IF(AND(C23="Skema 1",B23="ti"),Skemaoplysninger!$G$31,"")</f>
        <v/>
      </c>
      <c r="CF23" s="210">
        <f>IF(AND(C23="Skema 1",B23="on"),Skemaoplysninger!$I$31,"")</f>
        <v>4.8611111111111105E-2</v>
      </c>
      <c r="CG23" s="210" t="str">
        <f>IF(AND(C23="Skema 1",B23="to"),Skemaoplysninger!$K$31,"")</f>
        <v/>
      </c>
      <c r="CH23" s="210" t="str">
        <f>IF(AND(C23="Skema 1",B23="fr"),Skemaoplysninger!$M$31,"")</f>
        <v/>
      </c>
      <c r="CI23" s="210" t="str">
        <f>IF(AND(C23="Skema 2",B23="ma"),Skemaoplysninger!$S$31,"")</f>
        <v/>
      </c>
      <c r="CJ23" s="210" t="str">
        <f>IF(AND(C23="Skema 2",B23="ti"),Skemaoplysninger!$U$31,"")</f>
        <v/>
      </c>
      <c r="CK23" s="210" t="str">
        <f>IF(AND(C23="Skema 2",B23="on"),Skemaoplysninger!$W$31,"")</f>
        <v/>
      </c>
      <c r="CL23" s="210" t="str">
        <f>IF(AND(C23="Skema 2",B23="to"),Skemaoplysninger!$Y$31,"")</f>
        <v/>
      </c>
      <c r="CM23" s="210" t="str">
        <f>IF(AND(C23="Skema 2",B23="fr"),Skemaoplysninger!$AA$31,"")</f>
        <v/>
      </c>
      <c r="CN23" s="210" t="str">
        <f>IF(AND(C23="Skema 3",B23="ma"),Skemaoplysninger!$AG$31,"")</f>
        <v/>
      </c>
      <c r="CO23" s="210" t="str">
        <f>IF(AND(C23="Skema 3",B23="ti"),Skemaoplysninger!$AI$31,"")</f>
        <v/>
      </c>
      <c r="CP23" s="210" t="str">
        <f>IF(AND(C23="Skema 3",B23="on"),Skemaoplysninger!$AK$31,"")</f>
        <v/>
      </c>
      <c r="CQ23" s="210" t="str">
        <f>IF(AND(C23="Skema 3",B23="to"),Skemaoplysninger!$AM$31,"")</f>
        <v/>
      </c>
      <c r="CR23" s="210" t="str">
        <f>IF(AND(C23="Skema 3",B23="fr"),Skemaoplysninger!$AO$31,"")</f>
        <v/>
      </c>
      <c r="CS23" s="210" t="str">
        <f>IF(AND(C23="Skema 4",B23="ma"),Skemaoplysninger!$AU$31,"")</f>
        <v/>
      </c>
      <c r="CT23" s="210" t="str">
        <f>IF(AND(C23="Skema 4",B23="ti"),Skemaoplysninger!$AW$31,"")</f>
        <v/>
      </c>
      <c r="CU23" s="210" t="str">
        <f>IF(AND(C23="Skema 4",B23="on"),Skemaoplysninger!$AY$31,"")</f>
        <v/>
      </c>
      <c r="CV23" s="210" t="str">
        <f>IF(AND(C23="Skema 4",B23="to"),Skemaoplysninger!$BA$31,"")</f>
        <v/>
      </c>
      <c r="CW23" s="210" t="str">
        <f>IF(AND(C23="Skema 4",B23="fr"),Skemaoplysninger!$BC$31,"")</f>
        <v/>
      </c>
      <c r="CX23" s="249">
        <f>IF(Stamoplysninger!$H$29="NEJ",SUM(CD23:CW23)*24+CB23+CC23,0)</f>
        <v>1.1666666666666665</v>
      </c>
      <c r="CY23" s="249">
        <f>IF(C23="Skema 1",Stamoplysninger!$H$30/200,0)</f>
        <v>0</v>
      </c>
      <c r="CZ23" s="249">
        <f>IF(C23="Skema 2",Stamoplysninger!$H$30/200,0)</f>
        <v>0</v>
      </c>
      <c r="DA23" s="249">
        <f>IF(C23="Skema 3",Stamoplysninger!$H$30/200,0)</f>
        <v>0</v>
      </c>
      <c r="DB23" s="249">
        <f>IF(C23="Skema 4",Stamoplysninger!$H$30/200,0)</f>
        <v>0</v>
      </c>
      <c r="DC23" s="249">
        <f>IF(C23="fagdag",Stamoplysninger!$H$30/200,0)</f>
        <v>0</v>
      </c>
      <c r="DD23" s="249">
        <f>IF(C23="emnedag",Stamoplysninger!$H$30/200,0)</f>
        <v>0</v>
      </c>
      <c r="DE23" s="249">
        <f>IF(C23="lejrskole",Stamoplysninger!$H$30/200,0)</f>
        <v>0</v>
      </c>
      <c r="DF23" s="249">
        <f>IF(C23="ekskursion",Stamoplysninger!$H$30/200,0)</f>
        <v>0</v>
      </c>
      <c r="DG23" s="249">
        <f t="shared" si="26"/>
        <v>0</v>
      </c>
      <c r="DH23" t="str">
        <f t="shared" si="27"/>
        <v/>
      </c>
      <c r="DI23">
        <f t="shared" si="28"/>
        <v>0</v>
      </c>
      <c r="DJ23">
        <f t="shared" si="29"/>
        <v>0</v>
      </c>
      <c r="DK23" t="str">
        <f t="shared" si="15"/>
        <v/>
      </c>
      <c r="DL23" t="str">
        <f t="shared" si="15"/>
        <v/>
      </c>
      <c r="DM23" t="str">
        <f t="shared" si="30"/>
        <v/>
      </c>
      <c r="DN23" t="str">
        <f t="shared" si="31"/>
        <v/>
      </c>
      <c r="DO23" s="652">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71">
        <f>IF(AND(Stamoplysninger!$B$22="Ulempetillæg udbetales med 25% af nettotimelønnen.",C23="ikke relevant"),(R23)/4,0)</f>
        <v>0</v>
      </c>
      <c r="DT23" s="671">
        <f>IF(AND(AND(Stamoplysninger!$B$22="Ulempetillæg udbetales med 25% af nettotimelønnen.",I23="X",C23="Ikke relevant")),K23/4,0)</f>
        <v>0</v>
      </c>
      <c r="DU23" s="671">
        <f>IF(AND(AND(Stamoplysninger!$B$22="Ulempetillæg udbetales med 25% af nettotimelønnen.",C23="ikke relevant",U23="X")),(X23/4),0)</f>
        <v>0</v>
      </c>
      <c r="DV23" s="672">
        <f>IF(AND(AND(AND(Stamoplysninger!$B$22="Ulempetillæg udbetales med 25% af nettotimelønnen.",I23="X",C23="Ikke relevant",S23="X"))),V23/4,0)</f>
        <v>0</v>
      </c>
      <c r="DW23" s="652"/>
      <c r="DZ23" s="671"/>
      <c r="EA23" s="671"/>
      <c r="EB23" s="672"/>
      <c r="EC23" s="652">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71">
        <f>IF(AND(Stamoplysninger!$B$22="Ulempetillæg afspadseres med 25%(Kræver en aftale imellem ledelsen og den ansatte)",C23="ikke relevant"),(R23)/4,0)</f>
        <v>0</v>
      </c>
      <c r="EH23" s="671">
        <f>IF(AND(AND(Stamoplysninger!$B$22="Ulempetillæg afspadseres med 25%(Kræver en aftale imellem ledelsen og den ansatte)",I23="X",C23="Ikke relevant")),K23/4,0)</f>
        <v>0</v>
      </c>
      <c r="EI23" s="671">
        <f>IF(AND(AND(Stamoplysninger!$B$22="Ulempetillæg afspadseres med 25%(Kræver en aftale imellem ledelsen og den ansatte)",U23="X",C23="Ikke relevant")),X23/4,0)</f>
        <v>0</v>
      </c>
      <c r="EJ23" s="671">
        <f>IF(AND(AND(AND(Stamoplysninger!$B$22="Ulempetillæg afspadseres med 25%(Kræver en aftale imellem ledelsen og den ansatte)",I23="X",C23="Ikke relevant",S23="X"))),V23/4,0)</f>
        <v>0</v>
      </c>
      <c r="EK23" s="283">
        <f>IF(AND(Stamoplysninger!$B$26="Weekendtimer og weekendtillæg afspadseres.",I23="X"),K23*1.5,0)</f>
        <v>0</v>
      </c>
      <c r="EL23" s="251">
        <f>IF(AND(AND(Stamoplysninger!$B$26="Weekendtimer og weekendtillæg afspadseres.",I23="X",S23="X")),V23*1.5,0)</f>
        <v>0</v>
      </c>
      <c r="EM23" s="674">
        <f>IF(AND(AND(Stamoplysninger!$B$26="Weekendtimer og weekendtillæg afspadseres.",I23="X",C23="ikke relevant")),K23*1.5,0)</f>
        <v>0</v>
      </c>
      <c r="EN23" s="675">
        <f>IF(AND(AND(AND(Stamoplysninger!$B$26="Weekendtimer og weekendtillæg afspadseres.",I23="X",C23="ikke relevant",S23="X"))),(V23*1.5),0)</f>
        <v>0</v>
      </c>
      <c r="EO23" s="283">
        <f>IF(AND(Stamoplysninger!$B$26="Weekendtimer og weekendtillæg udbetales.",I23="X"),K23*1.5,0)</f>
        <v>0</v>
      </c>
      <c r="EP23" s="251">
        <f>IF(AND(AND(Stamoplysninger!$B$26="Weekendtimer og weekendtillæg udbetales.",I23="X",S23="X")),V23*1.5,0)</f>
        <v>0</v>
      </c>
      <c r="EQ23" s="674">
        <f>IF(AND(AND(Stamoplysninger!$B$26="Weekendtimer og weekendtillæg udbetales.",I23="X",C23="ikke relevant")),K23*1.5,0)</f>
        <v>0</v>
      </c>
      <c r="ER23" s="675">
        <f>IF(AND(AND(AND(Stamoplysninger!$B$26="Weekendtimer og weekendtillæg udbetales.",I23="X",C23="ikke relevant",S23="X"))),(V23*1.5),0)</f>
        <v>0</v>
      </c>
      <c r="ES23" s="283">
        <f>IF(AND(Stamoplysninger!$B$26="Der er indgået lokalaftale omkring weekendtimer.(Kræver aftale med TR/FSL) Weekendtillæg afspadseres.",I23="X"),K23*0.5,0)</f>
        <v>0</v>
      </c>
      <c r="ET23" s="251">
        <f>IF(AND(AND(Stamoplysninger!$B$26="Der er indgået lokalaftale omkring weekendtimer.(Kræver aftale med TR/FSL) Weekendtillæg afspadseres.",I23="X",S23="X")),V23*0.5,0)</f>
        <v>0</v>
      </c>
      <c r="EU23" s="674">
        <f>IF(AND(AND(Stamoplysninger!$B$26="Der er indgået lokalaftale omkring weekendtimer.(Kræver aftale med TR/FSL) Weekendtillæg afspadseres.",I23="X",C23="ikke relevant")),K23*0.5,0)</f>
        <v>0</v>
      </c>
      <c r="EV23" s="675">
        <f>IF(AND(AND(AND(Stamoplysninger!$B$26="Der er indgået lokalaftale omkring weekendtimer.(Kræver aftale med TR/FSL) Weekendtillæg afspadseres.",I23="X",C23="ikke relevant",S23="X"))),(V23*0.5),0)</f>
        <v>0</v>
      </c>
      <c r="EW23" s="283">
        <f>IF(AND(Stamoplysninger!$B$26="Der er indgået lokalaftale omkring weekendtimer(Kræver aftale med TR/FSL). Weekendtillæg udbetales.",I23="X"),K23*0.5,0)</f>
        <v>0</v>
      </c>
      <c r="EX23" s="251">
        <f>IF(AND(AND(Stamoplysninger!$B$26="Der er indgået lokalaftale omkring weekendtimer(Kræver aftale med TR/FSL). Weekendtillæg udbetales.",I23="X",S23="X")),V23*0.5,0)</f>
        <v>0</v>
      </c>
      <c r="EY23" s="674">
        <f>IF(AND(AND(Stamoplysninger!$B$26="Der er indgået lokalaftale omkring weekendtimer(Kræver aftale med TR/FSL). Weekendtillæg udbetales.",I23="X",C23="ikke relevant")),K23*0.5,0)</f>
        <v>0</v>
      </c>
      <c r="EZ23" s="675">
        <f>IF(AND(AND(AND(Stamoplysninger!$B$26="Der er indgået lokalaftale omkring weekendtimer(Kræver aftale med TR/FSL). Weekendtillæg udbetales.",I23="X",C23="ikke relevant",S23="X"))),(V23*0.5),0)</f>
        <v>0</v>
      </c>
      <c r="FA23" s="283">
        <f>IF(AND(Stamoplysninger!$B$26="Der er indgået lokalaftale omkring weekendtillæg(Kræver aftale med TR/FSL). Weekendtimerne afspadseres.",I23="X"),K23,0)</f>
        <v>0</v>
      </c>
      <c r="FB23" s="251">
        <f>IF(AND(AND(Stamoplysninger!$B$26="Der er indgået lokalaftale omkring weekendtillæg(Kræver aftale med TR/FSL). Weekendtimerne afspadseres.",I23="X",S23="X")),V23,0)</f>
        <v>0</v>
      </c>
      <c r="FC23" s="674">
        <f>IF(AND(AND(Stamoplysninger!$B$26="Der er indgået lokalaftale omkring weekendtillæg(Kræver aftale med TR/FSL). Weekendtimerne afspadseres..",I23="X",C23="ikke relevant")),K23,0)</f>
        <v>0</v>
      </c>
      <c r="FD23" s="675">
        <f>IF(AND(AND(AND(Stamoplysninger!$B$26="Der er indgået lokalaftale omkring weekendtillæg(Kræver aftale med TR/FSL). Weekendtimerne afspadseres.",I23="X",C23="ikke relevant",S23="X"))),(V23),0)</f>
        <v>0</v>
      </c>
      <c r="FE23" s="283">
        <f>IF(AND(Stamoplysninger!$B$26="Der er indgået lokalaftale omkring weekendtillæg(Kræver aftale med TR/FSL). Weekendtimerne udbetales.",I23="X"),K23,0)</f>
        <v>0</v>
      </c>
      <c r="FF23" s="251">
        <f>IF(AND(AND(Stamoplysninger!$B$26="Der er indgået lokalaftale omkring weekendtillæg(Kræver aftale med TR/FSL). Weekendtimerne udbetales.",I23="X",S23="X")),V23,0)</f>
        <v>0</v>
      </c>
      <c r="FG23" s="674">
        <f>IF(AND(AND(Stamoplysninger!$B$26="Der er indgået lokalaftale omkring weekendtillæg(Kræver aftale med TR/FSL). Weekendtimerne udbetales.",I23="X",C23="ikke relevant")),K23,0)</f>
        <v>0</v>
      </c>
      <c r="FH23" s="675">
        <f>IF(AND(AND(AND(Stamoplysninger!$B$26="Der er indgået lokalaftale omkring weekendtillæg(Kræver aftale med TR/FSL). Weekendtimerne udbetales.",I23="X",C23="ikke relevant",S23="X"))),(V23),0)</f>
        <v>0</v>
      </c>
      <c r="FI23" s="283">
        <f>IF(AND(Stamoplysninger!$B$26="Weekendtimer og weekendtillæg afspadseres.",I23="X"),K23,0)</f>
        <v>0</v>
      </c>
      <c r="FJ23" s="251">
        <f>IF(AND(Stamoplysninger!$B$26="Weekendtimer og weekendtillæg afspadseres.",Y23="X"),(AA23+AL23)/2,0)</f>
        <v>0</v>
      </c>
      <c r="FK23" s="674">
        <f>IF(AND(AND(Stamoplysninger!$B$26="Weekendtimer og weekendtillæg afspadseres.",I23="X",C23="ikke relevant")),K23,0)</f>
        <v>0</v>
      </c>
      <c r="FL23" s="675">
        <f>IF(AND(AND(Stamoplysninger!$B$26="Weekendtimer og weekendtillæg afspadseres.",Y23="X",S23="ikke relevant")),(AA23+AL23)/2,0)</f>
        <v>0</v>
      </c>
      <c r="FM23" s="283">
        <f>IF(AND(Stamoplysninger!$B$26="Der er indgået lokalaftale omkring weekendtillæg(Kræver aftale med TR/FSL). Weekendtimerne afspadseres.",I23="X"),K23,0)</f>
        <v>0</v>
      </c>
      <c r="FN23" s="674">
        <f>IF(AND(AND(Stamoplysninger!$B$26="Der er indgået lokalaftale omkring weekendtillæg(Kræver aftale med TR/FSL). Weekendtimerne afspadseres.",I23="X",C23="ikke relevant")),K23,0)</f>
        <v>0</v>
      </c>
      <c r="FO23" s="283">
        <f>IF(AND(Stamoplysninger!$B$26="Weekendtimer og weekendtillæg udbetales.",I23="X"),K23,0)</f>
        <v>0</v>
      </c>
      <c r="FP23" s="251">
        <f>IF(AND(Stamoplysninger!$B$26="Weekendtimer og weekendtillæg udbetales.",AA23="X"),(AC23+AN23)/2,0)</f>
        <v>0</v>
      </c>
      <c r="FQ23" s="674">
        <f>IF(AND(AND(Stamoplysninger!$B$26="Weekendtimer og weekendtillæg udbetales.",I23="X",C23="ikke relevant")),K23,0)</f>
        <v>0</v>
      </c>
      <c r="FR23" s="688">
        <f>IF(AND(AND(Stamoplysninger!$B$26="Weekendtimer og weekendtillæg udbetales.",AA23="X",U23="ikke relevant")),(AC23+AN23)/2,0)</f>
        <v>0</v>
      </c>
      <c r="FS23" s="283">
        <f t="shared" si="16"/>
        <v>0</v>
      </c>
      <c r="FT23" s="658">
        <f t="shared" si="17"/>
        <v>0</v>
      </c>
      <c r="FU23">
        <f t="shared" si="18"/>
        <v>0</v>
      </c>
      <c r="FV23" s="283">
        <f>IF(AND(Stamoplysninger!$B$26="Der er indgået lokalaftale omkring weekendtimer.(Kræver aftale med TR/FSL) Weekendtillæg afspadseres.",I23="X"),K23,0)</f>
        <v>0</v>
      </c>
      <c r="FW23" s="674">
        <f>IF(AND(AND(Stamoplysninger!$B$26="Der er indgået lokalaftale omkring weekendtimer.(Kræver aftale med TR/FSL) Weekendtillæg afspadseres.",I23="X",C23="ikke relevant")),K23,0)</f>
        <v>0</v>
      </c>
      <c r="FX23" s="283">
        <f>IF(AND(Stamoplysninger!$B$26="Der er indgået lokalaftale omkring weekendtimer(Kræver aftale med TR/FSL). Weekendtillæg udbetales.",I23="X"),K23,0)</f>
        <v>0</v>
      </c>
      <c r="FY23" s="674">
        <f>IF(AND(AND(Stamoplysninger!$B$26="Der er indgået lokalaftale omkring weekendtimer(Kræver aftale med TR/FSL). Weekendtillæg udbetales.",I23="X",C23="ikke relevant")),K23,0)</f>
        <v>0</v>
      </c>
      <c r="FZ23" s="283">
        <f>IF(AND(Stamoplysninger!$B$26="Der er indgået lokalaftale omkring weekendtillæg(Kræver aftale med TR/FSL). Weekendtimerne udbetales.",I23="X"),K23,0)</f>
        <v>0</v>
      </c>
      <c r="GA23" s="674">
        <f>IF(AND(AND(Stamoplysninger!$B$26="Der er indgået lokalaftale omkring weekendtillæg(Kræver aftale med TR/FSL). Weekendtimerne udbetales.",I23="X",C23="ikke relevant")),K23,0)</f>
        <v>0</v>
      </c>
      <c r="GB23" s="283">
        <f>IF(AND(Stamoplysninger!$B$26="Der er indgået lokalaftale omkring weekendtimer og weekendtillæg.(Kræver aftale med TR/FSL).",I23="X"),K23,0)</f>
        <v>0</v>
      </c>
      <c r="GC23" s="674">
        <f>IF(AND(AND(Stamoplysninger!$B$26="Der er indgået lokalaftale omkring weekendtimer og weekendtillæg.(Kræver aftale med TR/FSL).",I23="X",C23="ikke relevant")),K23,0)</f>
        <v>0</v>
      </c>
    </row>
    <row r="24" spans="1:185">
      <c r="A24" s="245">
        <f t="shared" si="19"/>
        <v>15</v>
      </c>
      <c r="B24" s="128" t="str">
        <f t="shared" si="0"/>
        <v>to</v>
      </c>
      <c r="C24" s="129" t="s">
        <v>206</v>
      </c>
      <c r="D24" s="130" t="str">
        <f t="shared" si="1"/>
        <v/>
      </c>
      <c r="E24" s="949"/>
      <c r="F24" s="950"/>
      <c r="G24" s="951"/>
      <c r="H24" s="297"/>
      <c r="I24" s="527"/>
      <c r="J24" s="413"/>
      <c r="K24" s="380"/>
      <c r="L24" s="380"/>
      <c r="M24" s="380"/>
      <c r="N24" s="318">
        <f t="shared" si="20"/>
        <v>8.5</v>
      </c>
      <c r="O24" s="318">
        <f t="shared" si="21"/>
        <v>3</v>
      </c>
      <c r="P24" s="318">
        <f>IF(Stamoplysninger!$H$29="JA",August!DG24,CX24)</f>
        <v>1.5</v>
      </c>
      <c r="Q24" s="318">
        <f t="shared" si="22"/>
        <v>4</v>
      </c>
      <c r="R24" s="412"/>
      <c r="S24" s="324"/>
      <c r="T24" s="325"/>
      <c r="U24" s="325"/>
      <c r="V24" s="435"/>
      <c r="W24" s="412"/>
      <c r="X24" s="642"/>
      <c r="Y24">
        <f t="shared" si="23"/>
        <v>0</v>
      </c>
      <c r="Z24">
        <f t="shared" si="2"/>
        <v>0</v>
      </c>
      <c r="AA24" s="1">
        <f t="shared" si="3"/>
        <v>0</v>
      </c>
      <c r="AB24" s="1">
        <f t="shared" si="4"/>
        <v>0</v>
      </c>
      <c r="AC24" s="1">
        <f t="shared" si="5"/>
        <v>0</v>
      </c>
      <c r="AD24" s="1">
        <f t="shared" si="6"/>
        <v>0</v>
      </c>
      <c r="AE24" s="1">
        <f t="shared" si="7"/>
        <v>0</v>
      </c>
      <c r="AF24" s="1">
        <f>IF(C24="Orlov",Stamoplysninger!$E$15*7.4,0)</f>
        <v>0</v>
      </c>
      <c r="AG24" t="str">
        <f>IF(AND(C24="Skema 1",B24="ma"),Arbejdstidsoversigt!$E$72,"")</f>
        <v/>
      </c>
      <c r="AH24" t="str">
        <f>IF(AND(C24="Skema 1",B24="ti"),Arbejdstidsoversigt!$E$73,"")</f>
        <v/>
      </c>
      <c r="AI24" t="str">
        <f>IF(AND(C24="Skema 1",B24="on"),Arbejdstidsoversigt!$E$74,"")</f>
        <v/>
      </c>
      <c r="AJ24">
        <f>IF(AND(C24="Skema 1",B24="to"),Arbejdstidsoversigt!$E$75,"")</f>
        <v>8.5</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8"/>
        <v>8.5</v>
      </c>
      <c r="BB24" s="229">
        <f t="shared" si="9"/>
        <v>204</v>
      </c>
      <c r="BC24" s="1">
        <f t="shared" si="24"/>
        <v>0</v>
      </c>
      <c r="BD24" s="1">
        <f t="shared" si="10"/>
        <v>0</v>
      </c>
      <c r="BE24" s="1">
        <f t="shared" si="11"/>
        <v>0</v>
      </c>
      <c r="BF24" s="1">
        <f t="shared" si="12"/>
        <v>0</v>
      </c>
      <c r="BG24" s="210" t="str">
        <f>IF(AND(C24="Skema 1",B24="ma"),Skemaoplysninger!$E$30,"")</f>
        <v/>
      </c>
      <c r="BH24" s="210" t="str">
        <f>IF(AND(C24="Skema 1",B24="ti"),Skemaoplysninger!$G$30,"")</f>
        <v/>
      </c>
      <c r="BI24" s="210" t="str">
        <f>IF(AND(C24="Skema 1",B24="on"),Skemaoplysninger!$I$30,"")</f>
        <v/>
      </c>
      <c r="BJ24" s="210">
        <f>IF(AND(C24="Skema 1",B24="to"),Skemaoplysninger!$K$30,"")</f>
        <v>0.125</v>
      </c>
      <c r="BK24" s="210" t="str">
        <f>IF(AND(C24="Skema 1",B24="fr"),Skemaoplysninger!$M$30,"")</f>
        <v/>
      </c>
      <c r="BL24" s="210" t="str">
        <f>IF(AND(C24="Skema 2",B24="ma"),Skemaoplysninger!$S$30,"")</f>
        <v/>
      </c>
      <c r="BM24" s="210" t="str">
        <f>IF(AND(C24="Skema 2",B24="ti"),Skemaoplysninger!$U$30,"")</f>
        <v/>
      </c>
      <c r="BN24" s="210" t="str">
        <f>IF(AND(C24="Skema 2",B24="on"),Skemaoplysninger!$W$30,"")</f>
        <v/>
      </c>
      <c r="BO24" s="210" t="str">
        <f>IF(AND(C24="Skema 2",B24="to"),Skemaoplysninger!$Y$30,"")</f>
        <v/>
      </c>
      <c r="BP24" s="210" t="str">
        <f>IF(AND(C24="Skema 2",B24="fr"),Skemaoplysninger!$AA$30,"")</f>
        <v/>
      </c>
      <c r="BQ24" s="210" t="str">
        <f>IF(AND(C24="Skema 3",B24="ma"),Skemaoplysninger!$AG$30,"")</f>
        <v/>
      </c>
      <c r="BR24" s="210" t="str">
        <f>IF(AND(C24="Skema 3",B24="ti"),Skemaoplysninger!$AI$30,"")</f>
        <v/>
      </c>
      <c r="BS24" s="210" t="str">
        <f>IF(AND(C24="Skema 3",B24="on"),Skemaoplysninger!$AK$30,"")</f>
        <v/>
      </c>
      <c r="BT24" s="210" t="str">
        <f>IF(AND(C24="Skema 3",B24="to"),Skemaoplysninger!$AM$30,"")</f>
        <v/>
      </c>
      <c r="BU24" s="210" t="str">
        <f>IF(AND(C24="Skema 3",B24="fr"),Skemaoplysninger!$AO$30,"")</f>
        <v/>
      </c>
      <c r="BV24" s="210" t="str">
        <f>IF(AND(C24="Skema 4",B24="ma"),Skemaoplysninger!$AU$30,"")</f>
        <v/>
      </c>
      <c r="BW24" s="210" t="str">
        <f>IF(AND(C24="Skema 4",B24="ti"),Skemaoplysninger!$AW$30,"")</f>
        <v/>
      </c>
      <c r="BX24" s="210" t="str">
        <f>IF(AND(C24="Skema 4",B24="on"),Skemaoplysninger!$AY$30,"")</f>
        <v/>
      </c>
      <c r="BY24" s="210" t="str">
        <f>IF(AND(C24="Skema 4",B24="to"),Skemaoplysninger!$BA$30,"")</f>
        <v/>
      </c>
      <c r="BZ24" s="210" t="str">
        <f>IF(AND(C24="Skema 4",B24="fr"),Skemaoplysninger!$BC$30,"")</f>
        <v/>
      </c>
      <c r="CA24" s="1">
        <f t="shared" si="25"/>
        <v>3</v>
      </c>
      <c r="CB24" s="1">
        <f t="shared" si="13"/>
        <v>0</v>
      </c>
      <c r="CC24" s="1">
        <f t="shared" si="14"/>
        <v>0</v>
      </c>
      <c r="CD24" s="210" t="str">
        <f>IF(AND(C24="Skema 1",B24="ma"),Skemaoplysninger!$E$31,"")</f>
        <v/>
      </c>
      <c r="CE24" s="210" t="str">
        <f>IF(AND(C24="Skema 1",B24="ti"),Skemaoplysninger!$G$31,"")</f>
        <v/>
      </c>
      <c r="CF24" s="210" t="str">
        <f>IF(AND(C24="Skema 1",B24="on"),Skemaoplysninger!$I$31,"")</f>
        <v/>
      </c>
      <c r="CG24" s="210">
        <f>IF(AND(C24="Skema 1",B24="to"),Skemaoplysninger!$K$31,"")</f>
        <v>6.25E-2</v>
      </c>
      <c r="CH24" s="210" t="str">
        <f>IF(AND(C24="Skema 1",B24="fr"),Skemaoplysninger!$M$31,"")</f>
        <v/>
      </c>
      <c r="CI24" s="210" t="str">
        <f>IF(AND(C24="Skema 2",B24="ma"),Skemaoplysninger!$S$31,"")</f>
        <v/>
      </c>
      <c r="CJ24" s="210" t="str">
        <f>IF(AND(C24="Skema 2",B24="ti"),Skemaoplysninger!$U$31,"")</f>
        <v/>
      </c>
      <c r="CK24" s="210" t="str">
        <f>IF(AND(C24="Skema 2",B24="on"),Skemaoplysninger!$W$31,"")</f>
        <v/>
      </c>
      <c r="CL24" s="210" t="str">
        <f>IF(AND(C24="Skema 2",B24="to"),Skemaoplysninger!$Y$31,"")</f>
        <v/>
      </c>
      <c r="CM24" s="210" t="str">
        <f>IF(AND(C24="Skema 2",B24="fr"),Skemaoplysninger!$AA$31,"")</f>
        <v/>
      </c>
      <c r="CN24" s="210" t="str">
        <f>IF(AND(C24="Skema 3",B24="ma"),Skemaoplysninger!$AG$31,"")</f>
        <v/>
      </c>
      <c r="CO24" s="210" t="str">
        <f>IF(AND(C24="Skema 3",B24="ti"),Skemaoplysninger!$AI$31,"")</f>
        <v/>
      </c>
      <c r="CP24" s="210" t="str">
        <f>IF(AND(C24="Skema 3",B24="on"),Skemaoplysninger!$AK$31,"")</f>
        <v/>
      </c>
      <c r="CQ24" s="210" t="str">
        <f>IF(AND(C24="Skema 3",B24="to"),Skemaoplysninger!$AM$31,"")</f>
        <v/>
      </c>
      <c r="CR24" s="210" t="str">
        <f>IF(AND(C24="Skema 3",B24="fr"),Skemaoplysninger!$AO$31,"")</f>
        <v/>
      </c>
      <c r="CS24" s="210" t="str">
        <f>IF(AND(C24="Skema 4",B24="ma"),Skemaoplysninger!$AU$31,"")</f>
        <v/>
      </c>
      <c r="CT24" s="210" t="str">
        <f>IF(AND(C24="Skema 4",B24="ti"),Skemaoplysninger!$AW$31,"")</f>
        <v/>
      </c>
      <c r="CU24" s="210" t="str">
        <f>IF(AND(C24="Skema 4",B24="on"),Skemaoplysninger!$AY$31,"")</f>
        <v/>
      </c>
      <c r="CV24" s="210" t="str">
        <f>IF(AND(C24="Skema 4",B24="to"),Skemaoplysninger!$BA$31,"")</f>
        <v/>
      </c>
      <c r="CW24" s="210" t="str">
        <f>IF(AND(C24="Skema 4",B24="fr"),Skemaoplysninger!$BC$31,"")</f>
        <v/>
      </c>
      <c r="CX24" s="249">
        <f>IF(Stamoplysninger!$H$29="NEJ",SUM(CD24:CW24)*24+CB24+CC24,0)</f>
        <v>1.5</v>
      </c>
      <c r="CY24" s="249">
        <f>IF(C24="Skema 1",Stamoplysninger!$H$30/200,0)</f>
        <v>0</v>
      </c>
      <c r="CZ24" s="249">
        <f>IF(C24="Skema 2",Stamoplysninger!$H$30/200,0)</f>
        <v>0</v>
      </c>
      <c r="DA24" s="249">
        <f>IF(C24="Skema 3",Stamoplysninger!$H$30/200,0)</f>
        <v>0</v>
      </c>
      <c r="DB24" s="249">
        <f>IF(C24="Skema 4",Stamoplysninger!$H$30/200,0)</f>
        <v>0</v>
      </c>
      <c r="DC24" s="249">
        <f>IF(C24="fagdag",Stamoplysninger!$H$30/200,0)</f>
        <v>0</v>
      </c>
      <c r="DD24" s="249">
        <f>IF(C24="emnedag",Stamoplysninger!$H$30/200,0)</f>
        <v>0</v>
      </c>
      <c r="DE24" s="249">
        <f>IF(C24="lejrskole",Stamoplysninger!$H$30/200,0)</f>
        <v>0</v>
      </c>
      <c r="DF24" s="249">
        <f>IF(C24="ekskursion",Stamoplysninger!$H$30/200,0)</f>
        <v>0</v>
      </c>
      <c r="DG24" s="249">
        <f t="shared" si="26"/>
        <v>0</v>
      </c>
      <c r="DH24" t="str">
        <f t="shared" si="27"/>
        <v/>
      </c>
      <c r="DI24">
        <f t="shared" si="28"/>
        <v>0</v>
      </c>
      <c r="DJ24">
        <f t="shared" si="29"/>
        <v>0</v>
      </c>
      <c r="DK24" t="str">
        <f t="shared" si="15"/>
        <v/>
      </c>
      <c r="DL24" t="str">
        <f t="shared" si="15"/>
        <v/>
      </c>
      <c r="DM24" t="str">
        <f t="shared" si="30"/>
        <v/>
      </c>
      <c r="DN24" t="str">
        <f t="shared" si="31"/>
        <v/>
      </c>
      <c r="DO24" s="652">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71">
        <f>IF(AND(Stamoplysninger!$B$22="Ulempetillæg udbetales med 25% af nettotimelønnen.",C24="ikke relevant"),(R24)/4,0)</f>
        <v>0</v>
      </c>
      <c r="DT24" s="671">
        <f>IF(AND(AND(Stamoplysninger!$B$22="Ulempetillæg udbetales med 25% af nettotimelønnen.",I24="X",C24="Ikke relevant")),K24/4,0)</f>
        <v>0</v>
      </c>
      <c r="DU24" s="671">
        <f>IF(AND(AND(Stamoplysninger!$B$22="Ulempetillæg udbetales med 25% af nettotimelønnen.",C24="ikke relevant",U24="X")),(X24/4),0)</f>
        <v>0</v>
      </c>
      <c r="DV24" s="672">
        <f>IF(AND(AND(AND(Stamoplysninger!$B$22="Ulempetillæg udbetales med 25% af nettotimelønnen.",I24="X",C24="Ikke relevant",S24="X"))),V24/4,0)</f>
        <v>0</v>
      </c>
      <c r="DW24" s="652"/>
      <c r="DZ24" s="671"/>
      <c r="EA24" s="671"/>
      <c r="EB24" s="672"/>
      <c r="EC24" s="652">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71">
        <f>IF(AND(Stamoplysninger!$B$22="Ulempetillæg afspadseres med 25%(Kræver en aftale imellem ledelsen og den ansatte)",C24="ikke relevant"),(R24)/4,0)</f>
        <v>0</v>
      </c>
      <c r="EH24" s="671">
        <f>IF(AND(AND(Stamoplysninger!$B$22="Ulempetillæg afspadseres med 25%(Kræver en aftale imellem ledelsen og den ansatte)",I24="X",C24="Ikke relevant")),K24/4,0)</f>
        <v>0</v>
      </c>
      <c r="EI24" s="671">
        <f>IF(AND(AND(Stamoplysninger!$B$22="Ulempetillæg afspadseres med 25%(Kræver en aftale imellem ledelsen og den ansatte)",U24="X",C24="Ikke relevant")),X24/4,0)</f>
        <v>0</v>
      </c>
      <c r="EJ24" s="671">
        <f>IF(AND(AND(AND(Stamoplysninger!$B$22="Ulempetillæg afspadseres med 25%(Kræver en aftale imellem ledelsen og den ansatte)",I24="X",C24="Ikke relevant",S24="X"))),V24/4,0)</f>
        <v>0</v>
      </c>
      <c r="EK24" s="283">
        <f>IF(AND(Stamoplysninger!$B$26="Weekendtimer og weekendtillæg afspadseres.",I24="X"),K24*1.5,0)</f>
        <v>0</v>
      </c>
      <c r="EL24" s="251">
        <f>IF(AND(AND(Stamoplysninger!$B$26="Weekendtimer og weekendtillæg afspadseres.",I24="X",S24="X")),V24*1.5,0)</f>
        <v>0</v>
      </c>
      <c r="EM24" s="674">
        <f>IF(AND(AND(Stamoplysninger!$B$26="Weekendtimer og weekendtillæg afspadseres.",I24="X",C24="ikke relevant")),K24*1.5,0)</f>
        <v>0</v>
      </c>
      <c r="EN24" s="675">
        <f>IF(AND(AND(AND(Stamoplysninger!$B$26="Weekendtimer og weekendtillæg afspadseres.",I24="X",C24="ikke relevant",S24="X"))),(V24*1.5),0)</f>
        <v>0</v>
      </c>
      <c r="EO24" s="283">
        <f>IF(AND(Stamoplysninger!$B$26="Weekendtimer og weekendtillæg udbetales.",I24="X"),K24*1.5,0)</f>
        <v>0</v>
      </c>
      <c r="EP24" s="251">
        <f>IF(AND(AND(Stamoplysninger!$B$26="Weekendtimer og weekendtillæg udbetales.",I24="X",S24="X")),V24*1.5,0)</f>
        <v>0</v>
      </c>
      <c r="EQ24" s="674">
        <f>IF(AND(AND(Stamoplysninger!$B$26="Weekendtimer og weekendtillæg udbetales.",I24="X",C24="ikke relevant")),K24*1.5,0)</f>
        <v>0</v>
      </c>
      <c r="ER24" s="675">
        <f>IF(AND(AND(AND(Stamoplysninger!$B$26="Weekendtimer og weekendtillæg udbetales.",I24="X",C24="ikke relevant",S24="X"))),(V24*1.5),0)</f>
        <v>0</v>
      </c>
      <c r="ES24" s="283">
        <f>IF(AND(Stamoplysninger!$B$26="Der er indgået lokalaftale omkring weekendtimer.(Kræver aftale med TR/FSL) Weekendtillæg afspadseres.",I24="X"),K24*0.5,0)</f>
        <v>0</v>
      </c>
      <c r="ET24" s="251">
        <f>IF(AND(AND(Stamoplysninger!$B$26="Der er indgået lokalaftale omkring weekendtimer.(Kræver aftale med TR/FSL) Weekendtillæg afspadseres.",I24="X",S24="X")),V24*0.5,0)</f>
        <v>0</v>
      </c>
      <c r="EU24" s="674">
        <f>IF(AND(AND(Stamoplysninger!$B$26="Der er indgået lokalaftale omkring weekendtimer.(Kræver aftale med TR/FSL) Weekendtillæg afspadseres.",I24="X",C24="ikke relevant")),K24*0.5,0)</f>
        <v>0</v>
      </c>
      <c r="EV24" s="675">
        <f>IF(AND(AND(AND(Stamoplysninger!$B$26="Der er indgået lokalaftale omkring weekendtimer.(Kræver aftale med TR/FSL) Weekendtillæg afspadseres.",I24="X",C24="ikke relevant",S24="X"))),(V24*0.5),0)</f>
        <v>0</v>
      </c>
      <c r="EW24" s="283">
        <f>IF(AND(Stamoplysninger!$B$26="Der er indgået lokalaftale omkring weekendtimer(Kræver aftale med TR/FSL). Weekendtillæg udbetales.",I24="X"),K24*0.5,0)</f>
        <v>0</v>
      </c>
      <c r="EX24" s="251">
        <f>IF(AND(AND(Stamoplysninger!$B$26="Der er indgået lokalaftale omkring weekendtimer(Kræver aftale med TR/FSL). Weekendtillæg udbetales.",I24="X",S24="X")),V24*0.5,0)</f>
        <v>0</v>
      </c>
      <c r="EY24" s="674">
        <f>IF(AND(AND(Stamoplysninger!$B$26="Der er indgået lokalaftale omkring weekendtimer(Kræver aftale med TR/FSL). Weekendtillæg udbetales.",I24="X",C24="ikke relevant")),K24*0.5,0)</f>
        <v>0</v>
      </c>
      <c r="EZ24" s="675">
        <f>IF(AND(AND(AND(Stamoplysninger!$B$26="Der er indgået lokalaftale omkring weekendtimer(Kræver aftale med TR/FSL). Weekendtillæg udbetales.",I24="X",C24="ikke relevant",S24="X"))),(V24*0.5),0)</f>
        <v>0</v>
      </c>
      <c r="FA24" s="283">
        <f>IF(AND(Stamoplysninger!$B$26="Der er indgået lokalaftale omkring weekendtillæg(Kræver aftale med TR/FSL). Weekendtimerne afspadseres.",I24="X"),K24,0)</f>
        <v>0</v>
      </c>
      <c r="FB24" s="251">
        <f>IF(AND(AND(Stamoplysninger!$B$26="Der er indgået lokalaftale omkring weekendtillæg(Kræver aftale med TR/FSL). Weekendtimerne afspadseres.",I24="X",S24="X")),V24,0)</f>
        <v>0</v>
      </c>
      <c r="FC24" s="674">
        <f>IF(AND(AND(Stamoplysninger!$B$26="Der er indgået lokalaftale omkring weekendtillæg(Kræver aftale med TR/FSL). Weekendtimerne afspadseres..",I24="X",C24="ikke relevant")),K24,0)</f>
        <v>0</v>
      </c>
      <c r="FD24" s="675">
        <f>IF(AND(AND(AND(Stamoplysninger!$B$26="Der er indgået lokalaftale omkring weekendtillæg(Kræver aftale med TR/FSL). Weekendtimerne afspadseres.",I24="X",C24="ikke relevant",S24="X"))),(V24),0)</f>
        <v>0</v>
      </c>
      <c r="FE24" s="283">
        <f>IF(AND(Stamoplysninger!$B$26="Der er indgået lokalaftale omkring weekendtillæg(Kræver aftale med TR/FSL). Weekendtimerne udbetales.",I24="X"),K24,0)</f>
        <v>0</v>
      </c>
      <c r="FF24" s="251">
        <f>IF(AND(AND(Stamoplysninger!$B$26="Der er indgået lokalaftale omkring weekendtillæg(Kræver aftale med TR/FSL). Weekendtimerne udbetales.",I24="X",S24="X")),V24,0)</f>
        <v>0</v>
      </c>
      <c r="FG24" s="674">
        <f>IF(AND(AND(Stamoplysninger!$B$26="Der er indgået lokalaftale omkring weekendtillæg(Kræver aftale med TR/FSL). Weekendtimerne udbetales.",I24="X",C24="ikke relevant")),K24,0)</f>
        <v>0</v>
      </c>
      <c r="FH24" s="675">
        <f>IF(AND(AND(AND(Stamoplysninger!$B$26="Der er indgået lokalaftale omkring weekendtillæg(Kræver aftale med TR/FSL). Weekendtimerne udbetales.",I24="X",C24="ikke relevant",S24="X"))),(V24),0)</f>
        <v>0</v>
      </c>
      <c r="FI24" s="283">
        <f>IF(AND(Stamoplysninger!$B$26="Weekendtimer og weekendtillæg afspadseres.",I24="X"),K24,0)</f>
        <v>0</v>
      </c>
      <c r="FJ24" s="251">
        <f>IF(AND(Stamoplysninger!$B$26="Weekendtimer og weekendtillæg afspadseres.",Y24="X"),(AA24+AL24)/2,0)</f>
        <v>0</v>
      </c>
      <c r="FK24" s="674">
        <f>IF(AND(AND(Stamoplysninger!$B$26="Weekendtimer og weekendtillæg afspadseres.",I24="X",C24="ikke relevant")),K24,0)</f>
        <v>0</v>
      </c>
      <c r="FL24" s="675">
        <f>IF(AND(AND(Stamoplysninger!$B$26="Weekendtimer og weekendtillæg afspadseres.",Y24="X",S24="ikke relevant")),(AA24+AL24)/2,0)</f>
        <v>0</v>
      </c>
      <c r="FM24" s="283">
        <f>IF(AND(Stamoplysninger!$B$26="Der er indgået lokalaftale omkring weekendtillæg(Kræver aftale med TR/FSL). Weekendtimerne afspadseres.",I24="X"),K24,0)</f>
        <v>0</v>
      </c>
      <c r="FN24" s="674">
        <f>IF(AND(AND(Stamoplysninger!$B$26="Der er indgået lokalaftale omkring weekendtillæg(Kræver aftale med TR/FSL). Weekendtimerne afspadseres.",I24="X",C24="ikke relevant")),K24,0)</f>
        <v>0</v>
      </c>
      <c r="FO24" s="283">
        <f>IF(AND(Stamoplysninger!$B$26="Weekendtimer og weekendtillæg udbetales.",I24="X"),K24,0)</f>
        <v>0</v>
      </c>
      <c r="FP24" s="251">
        <f>IF(AND(Stamoplysninger!$B$26="Weekendtimer og weekendtillæg udbetales.",AA24="X"),(AC24+AN24)/2,0)</f>
        <v>0</v>
      </c>
      <c r="FQ24" s="674">
        <f>IF(AND(AND(Stamoplysninger!$B$26="Weekendtimer og weekendtillæg udbetales.",I24="X",C24="ikke relevant")),K24,0)</f>
        <v>0</v>
      </c>
      <c r="FR24" s="688">
        <f>IF(AND(AND(Stamoplysninger!$B$26="Weekendtimer og weekendtillæg udbetales.",AA24="X",U24="ikke relevant")),(AC24+AN24)/2,0)</f>
        <v>0</v>
      </c>
      <c r="FS24" s="283">
        <f t="shared" si="16"/>
        <v>0</v>
      </c>
      <c r="FT24" s="658">
        <f t="shared" si="17"/>
        <v>0</v>
      </c>
      <c r="FU24">
        <f t="shared" si="18"/>
        <v>0</v>
      </c>
      <c r="FV24" s="283">
        <f>IF(AND(Stamoplysninger!$B$26="Der er indgået lokalaftale omkring weekendtimer.(Kræver aftale med TR/FSL) Weekendtillæg afspadseres.",I24="X"),K24,0)</f>
        <v>0</v>
      </c>
      <c r="FW24" s="674">
        <f>IF(AND(AND(Stamoplysninger!$B$26="Der er indgået lokalaftale omkring weekendtimer.(Kræver aftale med TR/FSL) Weekendtillæg afspadseres.",I24="X",C24="ikke relevant")),K24,0)</f>
        <v>0</v>
      </c>
      <c r="FX24" s="283">
        <f>IF(AND(Stamoplysninger!$B$26="Der er indgået lokalaftale omkring weekendtimer(Kræver aftale med TR/FSL). Weekendtillæg udbetales.",I24="X"),K24,0)</f>
        <v>0</v>
      </c>
      <c r="FY24" s="674">
        <f>IF(AND(AND(Stamoplysninger!$B$26="Der er indgået lokalaftale omkring weekendtimer(Kræver aftale med TR/FSL). Weekendtillæg udbetales.",I24="X",C24="ikke relevant")),K24,0)</f>
        <v>0</v>
      </c>
      <c r="FZ24" s="283">
        <f>IF(AND(Stamoplysninger!$B$26="Der er indgået lokalaftale omkring weekendtillæg(Kræver aftale med TR/FSL). Weekendtimerne udbetales.",I24="X"),K24,0)</f>
        <v>0</v>
      </c>
      <c r="GA24" s="674">
        <f>IF(AND(AND(Stamoplysninger!$B$26="Der er indgået lokalaftale omkring weekendtillæg(Kræver aftale med TR/FSL). Weekendtimerne udbetales.",I24="X",C24="ikke relevant")),K24,0)</f>
        <v>0</v>
      </c>
      <c r="GB24" s="283">
        <f>IF(AND(Stamoplysninger!$B$26="Der er indgået lokalaftale omkring weekendtimer og weekendtillæg.(Kræver aftale med TR/FSL).",I24="X"),K24,0)</f>
        <v>0</v>
      </c>
      <c r="GC24" s="674">
        <f>IF(AND(AND(Stamoplysninger!$B$26="Der er indgået lokalaftale omkring weekendtimer og weekendtillæg.(Kræver aftale med TR/FSL).",I24="X",C24="ikke relevant")),K24,0)</f>
        <v>0</v>
      </c>
    </row>
    <row r="25" spans="1:185">
      <c r="A25" s="245">
        <f>IF(ISNUMBER(A24),A24+1,1)</f>
        <v>16</v>
      </c>
      <c r="B25" s="128" t="str">
        <f t="shared" si="0"/>
        <v>fr</v>
      </c>
      <c r="C25" s="129" t="s">
        <v>206</v>
      </c>
      <c r="D25" s="130" t="str">
        <f t="shared" si="1"/>
        <v/>
      </c>
      <c r="E25" s="917"/>
      <c r="F25" s="918"/>
      <c r="G25" s="919"/>
      <c r="H25" s="298" t="s">
        <v>697</v>
      </c>
      <c r="I25" s="527"/>
      <c r="J25" s="413"/>
      <c r="K25" s="380"/>
      <c r="L25" s="380"/>
      <c r="M25" s="380"/>
      <c r="N25" s="318">
        <f t="shared" si="20"/>
        <v>6.75</v>
      </c>
      <c r="O25" s="318">
        <f t="shared" si="21"/>
        <v>3</v>
      </c>
      <c r="P25" s="318">
        <f>IF(Stamoplysninger!$H$29="JA",August!DG25,CX25)</f>
        <v>1.5</v>
      </c>
      <c r="Q25" s="318">
        <f t="shared" si="22"/>
        <v>2.25</v>
      </c>
      <c r="R25" s="412">
        <v>4</v>
      </c>
      <c r="S25" s="324"/>
      <c r="T25" s="325"/>
      <c r="U25" s="325"/>
      <c r="V25" s="435"/>
      <c r="W25" s="412"/>
      <c r="X25" s="642"/>
      <c r="Y25">
        <f t="shared" si="23"/>
        <v>0</v>
      </c>
      <c r="Z25">
        <f t="shared" si="2"/>
        <v>0</v>
      </c>
      <c r="AA25" s="1">
        <f t="shared" si="3"/>
        <v>0</v>
      </c>
      <c r="AB25" s="1">
        <f t="shared" si="4"/>
        <v>0</v>
      </c>
      <c r="AC25" s="1">
        <f t="shared" si="5"/>
        <v>0</v>
      </c>
      <c r="AD25" s="1">
        <f t="shared" si="6"/>
        <v>0</v>
      </c>
      <c r="AE25" s="1">
        <f t="shared" si="7"/>
        <v>0</v>
      </c>
      <c r="AF25" s="1">
        <f>IF(C25="Orlov",Stamoplysninger!$E$15*7.4,0)</f>
        <v>0</v>
      </c>
      <c r="AG25" t="str">
        <f>IF(AND(C25="Skema 1",B25="ma"),Arbejdstidsoversigt!$E$72,"")</f>
        <v/>
      </c>
      <c r="AH25" t="str">
        <f>IF(AND(C25="Skema 1",B25="ti"),Arbejdstidsoversigt!$E$73,"")</f>
        <v/>
      </c>
      <c r="AI25" t="str">
        <f>IF(AND(C25="Skema 1",B25="on"),Arbejdstidsoversigt!$E$74,"")</f>
        <v/>
      </c>
      <c r="AJ25" t="str">
        <f>IF(AND(C25="Skema 1",B25="to"),Arbejdstidsoversigt!$E$75,"")</f>
        <v/>
      </c>
      <c r="AK25">
        <f>IF(AND(C25="Skema 1",B25="fr"),Arbejdstidsoversigt!$E$76,"")</f>
        <v>6.75</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8"/>
        <v>6.75</v>
      </c>
      <c r="BB25" s="229">
        <f t="shared" si="9"/>
        <v>162</v>
      </c>
      <c r="BC25" s="1">
        <f t="shared" si="24"/>
        <v>0</v>
      </c>
      <c r="BD25" s="1">
        <f t="shared" si="10"/>
        <v>0</v>
      </c>
      <c r="BE25" s="1">
        <f t="shared" si="11"/>
        <v>0</v>
      </c>
      <c r="BF25" s="1">
        <f t="shared" si="12"/>
        <v>0</v>
      </c>
      <c r="BG25" s="210" t="str">
        <f>IF(AND(C25="Skema 1",B25="ma"),Skemaoplysninger!$E$30,"")</f>
        <v/>
      </c>
      <c r="BH25" s="210" t="str">
        <f>IF(AND(C25="Skema 1",B25="ti"),Skemaoplysninger!$G$30,"")</f>
        <v/>
      </c>
      <c r="BI25" s="210" t="str">
        <f>IF(AND(C25="Skema 1",B25="on"),Skemaoplysninger!$I$30,"")</f>
        <v/>
      </c>
      <c r="BJ25" s="210" t="str">
        <f>IF(AND(C25="Skema 1",B25="to"),Skemaoplysninger!$K$30,"")</f>
        <v/>
      </c>
      <c r="BK25" s="210">
        <f>IF(AND(C25="Skema 1",B25="fr"),Skemaoplysninger!$M$30,"")</f>
        <v>0.125</v>
      </c>
      <c r="BL25" s="210" t="str">
        <f>IF(AND(C25="Skema 2",B25="ma"),Skemaoplysninger!$S$30,"")</f>
        <v/>
      </c>
      <c r="BM25" s="210" t="str">
        <f>IF(AND(C25="Skema 2",B25="ti"),Skemaoplysninger!$U$30,"")</f>
        <v/>
      </c>
      <c r="BN25" s="210" t="str">
        <f>IF(AND(C25="Skema 2",B25="on"),Skemaoplysninger!$W$30,"")</f>
        <v/>
      </c>
      <c r="BO25" s="210" t="str">
        <f>IF(AND(C25="Skema 2",B25="to"),Skemaoplysninger!$Y$30,"")</f>
        <v/>
      </c>
      <c r="BP25" s="210" t="str">
        <f>IF(AND(C25="Skema 2",B25="fr"),Skemaoplysninger!$AA$30,"")</f>
        <v/>
      </c>
      <c r="BQ25" s="210" t="str">
        <f>IF(AND(C25="Skema 3",B25="ma"),Skemaoplysninger!$AG$30,"")</f>
        <v/>
      </c>
      <c r="BR25" s="210" t="str">
        <f>IF(AND(C25="Skema 3",B25="ti"),Skemaoplysninger!$AI$30,"")</f>
        <v/>
      </c>
      <c r="BS25" s="210" t="str">
        <f>IF(AND(C25="Skema 3",B25="on"),Skemaoplysninger!$AK$30,"")</f>
        <v/>
      </c>
      <c r="BT25" s="210" t="str">
        <f>IF(AND(C25="Skema 3",B25="to"),Skemaoplysninger!$AM$30,"")</f>
        <v/>
      </c>
      <c r="BU25" s="210" t="str">
        <f>IF(AND(C25="Skema 3",B25="fr"),Skemaoplysninger!$AO$30,"")</f>
        <v/>
      </c>
      <c r="BV25" s="210" t="str">
        <f>IF(AND(C25="Skema 4",B25="ma"),Skemaoplysninger!$AU$30,"")</f>
        <v/>
      </c>
      <c r="BW25" s="210" t="str">
        <f>IF(AND(C25="Skema 4",B25="ti"),Skemaoplysninger!$AW$30,"")</f>
        <v/>
      </c>
      <c r="BX25" s="210" t="str">
        <f>IF(AND(C25="Skema 4",B25="on"),Skemaoplysninger!$AY$30,"")</f>
        <v/>
      </c>
      <c r="BY25" s="210" t="str">
        <f>IF(AND(C25="Skema 4",B25="to"),Skemaoplysninger!$BA$30,"")</f>
        <v/>
      </c>
      <c r="BZ25" s="210" t="str">
        <f>IF(AND(C25="Skema 4",B25="fr"),Skemaoplysninger!$BC$30,"")</f>
        <v/>
      </c>
      <c r="CA25" s="1">
        <f t="shared" si="25"/>
        <v>3</v>
      </c>
      <c r="CB25" s="1">
        <f t="shared" si="13"/>
        <v>0</v>
      </c>
      <c r="CC25" s="1">
        <f t="shared" si="14"/>
        <v>0</v>
      </c>
      <c r="CD25" s="210" t="str">
        <f>IF(AND(C25="Skema 1",B25="ma"),Skemaoplysninger!$E$31,"")</f>
        <v/>
      </c>
      <c r="CE25" s="210" t="str">
        <f>IF(AND(C25="Skema 1",B25="ti"),Skemaoplysninger!$G$31,"")</f>
        <v/>
      </c>
      <c r="CF25" s="210" t="str">
        <f>IF(AND(C25="Skema 1",B25="on"),Skemaoplysninger!$I$31,"")</f>
        <v/>
      </c>
      <c r="CG25" s="210" t="str">
        <f>IF(AND(C25="Skema 1",B25="to"),Skemaoplysninger!$K$31,"")</f>
        <v/>
      </c>
      <c r="CH25" s="210">
        <f>IF(AND(C25="Skema 1",B25="fr"),Skemaoplysninger!$M$31,"")</f>
        <v>6.25E-2</v>
      </c>
      <c r="CI25" s="210" t="str">
        <f>IF(AND(C25="Skema 2",B25="ma"),Skemaoplysninger!$S$31,"")</f>
        <v/>
      </c>
      <c r="CJ25" s="210" t="str">
        <f>IF(AND(C25="Skema 2",B25="ti"),Skemaoplysninger!$U$31,"")</f>
        <v/>
      </c>
      <c r="CK25" s="210" t="str">
        <f>IF(AND(C25="Skema 2",B25="on"),Skemaoplysninger!$W$31,"")</f>
        <v/>
      </c>
      <c r="CL25" s="210" t="str">
        <f>IF(AND(C25="Skema 2",B25="to"),Skemaoplysninger!$Y$31,"")</f>
        <v/>
      </c>
      <c r="CM25" s="210" t="str">
        <f>IF(AND(C25="Skema 2",B25="fr"),Skemaoplysninger!$AA$31,"")</f>
        <v/>
      </c>
      <c r="CN25" s="210" t="str">
        <f>IF(AND(C25="Skema 3",B25="ma"),Skemaoplysninger!$AG$31,"")</f>
        <v/>
      </c>
      <c r="CO25" s="210" t="str">
        <f>IF(AND(C25="Skema 3",B25="ti"),Skemaoplysninger!$AI$31,"")</f>
        <v/>
      </c>
      <c r="CP25" s="210" t="str">
        <f>IF(AND(C25="Skema 3",B25="on"),Skemaoplysninger!$AK$31,"")</f>
        <v/>
      </c>
      <c r="CQ25" s="210" t="str">
        <f>IF(AND(C25="Skema 3",B25="to"),Skemaoplysninger!$AM$31,"")</f>
        <v/>
      </c>
      <c r="CR25" s="210" t="str">
        <f>IF(AND(C25="Skema 3",B25="fr"),Skemaoplysninger!$AO$31,"")</f>
        <v/>
      </c>
      <c r="CS25" s="210" t="str">
        <f>IF(AND(C25="Skema 4",B25="ma"),Skemaoplysninger!$AU$31,"")</f>
        <v/>
      </c>
      <c r="CT25" s="210" t="str">
        <f>IF(AND(C25="Skema 4",B25="ti"),Skemaoplysninger!$AW$31,"")</f>
        <v/>
      </c>
      <c r="CU25" s="210" t="str">
        <f>IF(AND(C25="Skema 4",B25="on"),Skemaoplysninger!$AY$31,"")</f>
        <v/>
      </c>
      <c r="CV25" s="210" t="str">
        <f>IF(AND(C25="Skema 4",B25="to"),Skemaoplysninger!$BA$31,"")</f>
        <v/>
      </c>
      <c r="CW25" s="210" t="str">
        <f>IF(AND(C25="Skema 4",B25="fr"),Skemaoplysninger!$BC$31,"")</f>
        <v/>
      </c>
      <c r="CX25" s="249">
        <f>IF(Stamoplysninger!$H$29="NEJ",SUM(CD25:CW25)*24+CB25+CC25,0)</f>
        <v>1.5</v>
      </c>
      <c r="CY25" s="249">
        <f>IF(C25="Skema 1",Stamoplysninger!$H$30/200,0)</f>
        <v>0</v>
      </c>
      <c r="CZ25" s="249">
        <f>IF(C25="Skema 2",Stamoplysninger!$H$30/200,0)</f>
        <v>0</v>
      </c>
      <c r="DA25" s="249">
        <f>IF(C25="Skema 3",Stamoplysninger!$H$30/200,0)</f>
        <v>0</v>
      </c>
      <c r="DB25" s="249">
        <f>IF(C25="Skema 4",Stamoplysninger!$H$30/200,0)</f>
        <v>0</v>
      </c>
      <c r="DC25" s="249">
        <f>IF(C25="fagdag",Stamoplysninger!$H$30/200,0)</f>
        <v>0</v>
      </c>
      <c r="DD25" s="249">
        <f>IF(C25="emnedag",Stamoplysninger!$H$30/200,0)</f>
        <v>0</v>
      </c>
      <c r="DE25" s="249">
        <f>IF(C25="lejrskole",Stamoplysninger!$H$30/200,0)</f>
        <v>0</v>
      </c>
      <c r="DF25" s="249">
        <f>IF(C25="ekskursion",Stamoplysninger!$H$30/200,0)</f>
        <v>0</v>
      </c>
      <c r="DG25" s="249">
        <f t="shared" si="26"/>
        <v>0</v>
      </c>
      <c r="DH25" t="str">
        <f t="shared" si="27"/>
        <v/>
      </c>
      <c r="DI25" t="str">
        <f t="shared" si="28"/>
        <v/>
      </c>
      <c r="DJ25" t="str">
        <f t="shared" si="29"/>
        <v>Sommerfest 17-21</v>
      </c>
      <c r="DK25" t="str">
        <f t="shared" si="15"/>
        <v/>
      </c>
      <c r="DL25" t="str">
        <f t="shared" si="15"/>
        <v/>
      </c>
      <c r="DM25" t="str">
        <f t="shared" si="30"/>
        <v>Sommerfest 17-21</v>
      </c>
      <c r="DN25" t="str">
        <f t="shared" si="31"/>
        <v>Sommerfest 17-21</v>
      </c>
      <c r="DO25" s="652">
        <f>IF(AND(Stamoplysninger!$B$22="Ulempetillæg udbetales med 25% af nettotimelønnen.",H25&gt;0),(R25/4),0)</f>
        <v>1</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71">
        <f>IF(AND(Stamoplysninger!$B$22="Ulempetillæg udbetales med 25% af nettotimelønnen.",C25="ikke relevant"),(R25)/4,0)</f>
        <v>0</v>
      </c>
      <c r="DT25" s="671">
        <f>IF(AND(AND(Stamoplysninger!$B$22="Ulempetillæg udbetales med 25% af nettotimelønnen.",I25="X",C25="Ikke relevant")),K25/4,0)</f>
        <v>0</v>
      </c>
      <c r="DU25" s="671">
        <f>IF(AND(AND(Stamoplysninger!$B$22="Ulempetillæg udbetales med 25% af nettotimelønnen.",C25="ikke relevant",U25="X")),(X25/4),0)</f>
        <v>0</v>
      </c>
      <c r="DV25" s="672">
        <f>IF(AND(AND(AND(Stamoplysninger!$B$22="Ulempetillæg udbetales med 25% af nettotimelønnen.",I25="X",C25="Ikke relevant",S25="X"))),V25/4,0)</f>
        <v>0</v>
      </c>
      <c r="DW25" s="652"/>
      <c r="DZ25" s="671"/>
      <c r="EA25" s="671"/>
      <c r="EB25" s="672"/>
      <c r="EC25" s="652">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71">
        <f>IF(AND(Stamoplysninger!$B$22="Ulempetillæg afspadseres med 25%(Kræver en aftale imellem ledelsen og den ansatte)",C25="ikke relevant"),(R25)/4,0)</f>
        <v>0</v>
      </c>
      <c r="EH25" s="671">
        <f>IF(AND(AND(Stamoplysninger!$B$22="Ulempetillæg afspadseres med 25%(Kræver en aftale imellem ledelsen og den ansatte)",I25="X",C25="Ikke relevant")),K25/4,0)</f>
        <v>0</v>
      </c>
      <c r="EI25" s="671">
        <f>IF(AND(AND(Stamoplysninger!$B$22="Ulempetillæg afspadseres med 25%(Kræver en aftale imellem ledelsen og den ansatte)",U25="X",C25="Ikke relevant")),X25/4,0)</f>
        <v>0</v>
      </c>
      <c r="EJ25" s="671">
        <f>IF(AND(AND(AND(Stamoplysninger!$B$22="Ulempetillæg afspadseres med 25%(Kræver en aftale imellem ledelsen og den ansatte)",I25="X",C25="Ikke relevant",S25="X"))),V25/4,0)</f>
        <v>0</v>
      </c>
      <c r="EK25" s="283">
        <f>IF(AND(Stamoplysninger!$B$26="Weekendtimer og weekendtillæg afspadseres.",I25="X"),K25*1.5,0)</f>
        <v>0</v>
      </c>
      <c r="EL25" s="251">
        <f>IF(AND(AND(Stamoplysninger!$B$26="Weekendtimer og weekendtillæg afspadseres.",I25="X",S25="X")),V25*1.5,0)</f>
        <v>0</v>
      </c>
      <c r="EM25" s="674">
        <f>IF(AND(AND(Stamoplysninger!$B$26="Weekendtimer og weekendtillæg afspadseres.",I25="X",C25="ikke relevant")),K25*1.5,0)</f>
        <v>0</v>
      </c>
      <c r="EN25" s="675">
        <f>IF(AND(AND(AND(Stamoplysninger!$B$26="Weekendtimer og weekendtillæg afspadseres.",I25="X",C25="ikke relevant",S25="X"))),(V25*1.5),0)</f>
        <v>0</v>
      </c>
      <c r="EO25" s="283">
        <f>IF(AND(Stamoplysninger!$B$26="Weekendtimer og weekendtillæg udbetales.",I25="X"),K25*1.5,0)</f>
        <v>0</v>
      </c>
      <c r="EP25" s="251">
        <f>IF(AND(AND(Stamoplysninger!$B$26="Weekendtimer og weekendtillæg udbetales.",I25="X",S25="X")),V25*1.5,0)</f>
        <v>0</v>
      </c>
      <c r="EQ25" s="674">
        <f>IF(AND(AND(Stamoplysninger!$B$26="Weekendtimer og weekendtillæg udbetales.",I25="X",C25="ikke relevant")),K25*1.5,0)</f>
        <v>0</v>
      </c>
      <c r="ER25" s="675">
        <f>IF(AND(AND(AND(Stamoplysninger!$B$26="Weekendtimer og weekendtillæg udbetales.",I25="X",C25="ikke relevant",S25="X"))),(V25*1.5),0)</f>
        <v>0</v>
      </c>
      <c r="ES25" s="283">
        <f>IF(AND(Stamoplysninger!$B$26="Der er indgået lokalaftale omkring weekendtimer.(Kræver aftale med TR/FSL) Weekendtillæg afspadseres.",I25="X"),K25*0.5,0)</f>
        <v>0</v>
      </c>
      <c r="ET25" s="251">
        <f>IF(AND(AND(Stamoplysninger!$B$26="Der er indgået lokalaftale omkring weekendtimer.(Kræver aftale med TR/FSL) Weekendtillæg afspadseres.",I25="X",S25="X")),V25*0.5,0)</f>
        <v>0</v>
      </c>
      <c r="EU25" s="674">
        <f>IF(AND(AND(Stamoplysninger!$B$26="Der er indgået lokalaftale omkring weekendtimer.(Kræver aftale med TR/FSL) Weekendtillæg afspadseres.",I25="X",C25="ikke relevant")),K25*0.5,0)</f>
        <v>0</v>
      </c>
      <c r="EV25" s="675">
        <f>IF(AND(AND(AND(Stamoplysninger!$B$26="Der er indgået lokalaftale omkring weekendtimer.(Kræver aftale med TR/FSL) Weekendtillæg afspadseres.",I25="X",C25="ikke relevant",S25="X"))),(V25*0.5),0)</f>
        <v>0</v>
      </c>
      <c r="EW25" s="283">
        <f>IF(AND(Stamoplysninger!$B$26="Der er indgået lokalaftale omkring weekendtimer(Kræver aftale med TR/FSL). Weekendtillæg udbetales.",I25="X"),K25*0.5,0)</f>
        <v>0</v>
      </c>
      <c r="EX25" s="251">
        <f>IF(AND(AND(Stamoplysninger!$B$26="Der er indgået lokalaftale omkring weekendtimer(Kræver aftale med TR/FSL). Weekendtillæg udbetales.",I25="X",S25="X")),V25*0.5,0)</f>
        <v>0</v>
      </c>
      <c r="EY25" s="674">
        <f>IF(AND(AND(Stamoplysninger!$B$26="Der er indgået lokalaftale omkring weekendtimer(Kræver aftale med TR/FSL). Weekendtillæg udbetales.",I25="X",C25="ikke relevant")),K25*0.5,0)</f>
        <v>0</v>
      </c>
      <c r="EZ25" s="675">
        <f>IF(AND(AND(AND(Stamoplysninger!$B$26="Der er indgået lokalaftale omkring weekendtimer(Kræver aftale med TR/FSL). Weekendtillæg udbetales.",I25="X",C25="ikke relevant",S25="X"))),(V25*0.5),0)</f>
        <v>0</v>
      </c>
      <c r="FA25" s="283">
        <f>IF(AND(Stamoplysninger!$B$26="Der er indgået lokalaftale omkring weekendtillæg(Kræver aftale med TR/FSL). Weekendtimerne afspadseres.",I25="X"),K25,0)</f>
        <v>0</v>
      </c>
      <c r="FB25" s="251">
        <f>IF(AND(AND(Stamoplysninger!$B$26="Der er indgået lokalaftale omkring weekendtillæg(Kræver aftale med TR/FSL). Weekendtimerne afspadseres.",I25="X",S25="X")),V25,0)</f>
        <v>0</v>
      </c>
      <c r="FC25" s="674">
        <f>IF(AND(AND(Stamoplysninger!$B$26="Der er indgået lokalaftale omkring weekendtillæg(Kræver aftale med TR/FSL). Weekendtimerne afspadseres..",I25="X",C25="ikke relevant")),K25,0)</f>
        <v>0</v>
      </c>
      <c r="FD25" s="675">
        <f>IF(AND(AND(AND(Stamoplysninger!$B$26="Der er indgået lokalaftale omkring weekendtillæg(Kræver aftale med TR/FSL). Weekendtimerne afspadseres.",I25="X",C25="ikke relevant",S25="X"))),(V25),0)</f>
        <v>0</v>
      </c>
      <c r="FE25" s="283">
        <f>IF(AND(Stamoplysninger!$B$26="Der er indgået lokalaftale omkring weekendtillæg(Kræver aftale med TR/FSL). Weekendtimerne udbetales.",I25="X"),K25,0)</f>
        <v>0</v>
      </c>
      <c r="FF25" s="251">
        <f>IF(AND(AND(Stamoplysninger!$B$26="Der er indgået lokalaftale omkring weekendtillæg(Kræver aftale med TR/FSL). Weekendtimerne udbetales.",I25="X",S25="X")),V25,0)</f>
        <v>0</v>
      </c>
      <c r="FG25" s="674">
        <f>IF(AND(AND(Stamoplysninger!$B$26="Der er indgået lokalaftale omkring weekendtillæg(Kræver aftale med TR/FSL). Weekendtimerne udbetales.",I25="X",C25="ikke relevant")),K25,0)</f>
        <v>0</v>
      </c>
      <c r="FH25" s="675">
        <f>IF(AND(AND(AND(Stamoplysninger!$B$26="Der er indgået lokalaftale omkring weekendtillæg(Kræver aftale med TR/FSL). Weekendtimerne udbetales.",I25="X",C25="ikke relevant",S25="X"))),(V25),0)</f>
        <v>0</v>
      </c>
      <c r="FI25" s="283">
        <f>IF(AND(Stamoplysninger!$B$26="Weekendtimer og weekendtillæg afspadseres.",I25="X"),K25,0)</f>
        <v>0</v>
      </c>
      <c r="FJ25" s="251">
        <f>IF(AND(Stamoplysninger!$B$26="Weekendtimer og weekendtillæg afspadseres.",Y25="X"),(AA25+AL25)/2,0)</f>
        <v>0</v>
      </c>
      <c r="FK25" s="674">
        <f>IF(AND(AND(Stamoplysninger!$B$26="Weekendtimer og weekendtillæg afspadseres.",I25="X",C25="ikke relevant")),K25,0)</f>
        <v>0</v>
      </c>
      <c r="FL25" s="675">
        <f>IF(AND(AND(Stamoplysninger!$B$26="Weekendtimer og weekendtillæg afspadseres.",Y25="X",S25="ikke relevant")),(AA25+AL25)/2,0)</f>
        <v>0</v>
      </c>
      <c r="FM25" s="283">
        <f>IF(AND(Stamoplysninger!$B$26="Der er indgået lokalaftale omkring weekendtillæg(Kræver aftale med TR/FSL). Weekendtimerne afspadseres.",I25="X"),K25,0)</f>
        <v>0</v>
      </c>
      <c r="FN25" s="674">
        <f>IF(AND(AND(Stamoplysninger!$B$26="Der er indgået lokalaftale omkring weekendtillæg(Kræver aftale med TR/FSL). Weekendtimerne afspadseres.",I25="X",C25="ikke relevant")),K25,0)</f>
        <v>0</v>
      </c>
      <c r="FO25" s="283">
        <f>IF(AND(Stamoplysninger!$B$26="Weekendtimer og weekendtillæg udbetales.",I25="X"),K25,0)</f>
        <v>0</v>
      </c>
      <c r="FP25" s="251">
        <f>IF(AND(Stamoplysninger!$B$26="Weekendtimer og weekendtillæg udbetales.",AA25="X"),(AC25+AN25)/2,0)</f>
        <v>0</v>
      </c>
      <c r="FQ25" s="674">
        <f>IF(AND(AND(Stamoplysninger!$B$26="Weekendtimer og weekendtillæg udbetales.",I25="X",C25="ikke relevant")),K25,0)</f>
        <v>0</v>
      </c>
      <c r="FR25" s="688">
        <f>IF(AND(AND(Stamoplysninger!$B$26="Weekendtimer og weekendtillæg udbetales.",AA25="X",U25="ikke relevant")),(AC25+AN25)/2,0)</f>
        <v>0</v>
      </c>
      <c r="FS25" s="283">
        <f t="shared" si="16"/>
        <v>0</v>
      </c>
      <c r="FT25" s="658">
        <f t="shared" si="17"/>
        <v>0</v>
      </c>
      <c r="FU25">
        <f t="shared" si="18"/>
        <v>0</v>
      </c>
      <c r="FV25" s="283">
        <f>IF(AND(Stamoplysninger!$B$26="Der er indgået lokalaftale omkring weekendtimer.(Kræver aftale med TR/FSL) Weekendtillæg afspadseres.",I25="X"),K25,0)</f>
        <v>0</v>
      </c>
      <c r="FW25" s="674">
        <f>IF(AND(AND(Stamoplysninger!$B$26="Der er indgået lokalaftale omkring weekendtimer.(Kræver aftale med TR/FSL) Weekendtillæg afspadseres.",I25="X",C25="ikke relevant")),K25,0)</f>
        <v>0</v>
      </c>
      <c r="FX25" s="283">
        <f>IF(AND(Stamoplysninger!$B$26="Der er indgået lokalaftale omkring weekendtimer(Kræver aftale med TR/FSL). Weekendtillæg udbetales.",I25="X"),K25,0)</f>
        <v>0</v>
      </c>
      <c r="FY25" s="674">
        <f>IF(AND(AND(Stamoplysninger!$B$26="Der er indgået lokalaftale omkring weekendtimer(Kræver aftale med TR/FSL). Weekendtillæg udbetales.",I25="X",C25="ikke relevant")),K25,0)</f>
        <v>0</v>
      </c>
      <c r="FZ25" s="283">
        <f>IF(AND(Stamoplysninger!$B$26="Der er indgået lokalaftale omkring weekendtillæg(Kræver aftale med TR/FSL). Weekendtimerne udbetales.",I25="X"),K25,0)</f>
        <v>0</v>
      </c>
      <c r="GA25" s="674">
        <f>IF(AND(AND(Stamoplysninger!$B$26="Der er indgået lokalaftale omkring weekendtillæg(Kræver aftale med TR/FSL). Weekendtimerne udbetales.",I25="X",C25="ikke relevant")),K25,0)</f>
        <v>0</v>
      </c>
      <c r="GB25" s="283">
        <f>IF(AND(Stamoplysninger!$B$26="Der er indgået lokalaftale omkring weekendtimer og weekendtillæg.(Kræver aftale med TR/FSL).",I25="X"),K25,0)</f>
        <v>0</v>
      </c>
      <c r="GC25" s="674">
        <f>IF(AND(AND(Stamoplysninger!$B$26="Der er indgået lokalaftale omkring weekendtimer og weekendtillæg.(Kræver aftale med TR/FSL).",I25="X",C25="ikke relevant")),K25,0)</f>
        <v>0</v>
      </c>
    </row>
    <row r="26" spans="1:185">
      <c r="A26" s="245">
        <f t="shared" si="19"/>
        <v>17</v>
      </c>
      <c r="B26" s="128" t="str">
        <f t="shared" si="0"/>
        <v>lø</v>
      </c>
      <c r="C26" s="129" t="s">
        <v>120</v>
      </c>
      <c r="D26" s="130" t="str">
        <f t="shared" si="1"/>
        <v/>
      </c>
      <c r="E26" s="917"/>
      <c r="F26" s="918"/>
      <c r="G26" s="919"/>
      <c r="H26" s="298"/>
      <c r="I26" s="413"/>
      <c r="J26" s="413"/>
      <c r="K26" s="380"/>
      <c r="L26" s="380"/>
      <c r="M26" s="380"/>
      <c r="N26" s="318">
        <f>BA26</f>
        <v>0</v>
      </c>
      <c r="O26" s="318">
        <f t="shared" si="21"/>
        <v>0</v>
      </c>
      <c r="P26" s="318">
        <f>IF(Stamoplysninger!$H$29="JA",August!DG26,CX26)</f>
        <v>0</v>
      </c>
      <c r="Q26" s="318">
        <f t="shared" si="22"/>
        <v>0</v>
      </c>
      <c r="R26" s="412"/>
      <c r="S26" s="324"/>
      <c r="T26" s="325"/>
      <c r="U26" s="325"/>
      <c r="V26" s="435"/>
      <c r="W26" s="412"/>
      <c r="X26" s="642"/>
      <c r="Y26">
        <f t="shared" si="23"/>
        <v>0</v>
      </c>
      <c r="Z26">
        <f t="shared" si="2"/>
        <v>0</v>
      </c>
      <c r="AA26" s="1">
        <f t="shared" si="3"/>
        <v>0</v>
      </c>
      <c r="AB26" s="1">
        <f t="shared" si="4"/>
        <v>0</v>
      </c>
      <c r="AC26" s="1">
        <f t="shared" si="5"/>
        <v>0</v>
      </c>
      <c r="AD26" s="1">
        <f t="shared" si="6"/>
        <v>0</v>
      </c>
      <c r="AE26" s="1">
        <f t="shared" si="7"/>
        <v>0</v>
      </c>
      <c r="AF26" s="1">
        <f>IF(C26="Orlov",Stamoplysninger!$E$15*7.4,0)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8"/>
        <v>0</v>
      </c>
      <c r="BB26" s="229">
        <f t="shared" si="9"/>
        <v>0</v>
      </c>
      <c r="BC26" s="1">
        <f t="shared" si="24"/>
        <v>0</v>
      </c>
      <c r="BD26" s="1">
        <f t="shared" si="10"/>
        <v>0</v>
      </c>
      <c r="BE26" s="1">
        <f t="shared" si="11"/>
        <v>0</v>
      </c>
      <c r="BF26" s="1">
        <f t="shared" si="12"/>
        <v>0</v>
      </c>
      <c r="BG26" s="210" t="str">
        <f>IF(AND(C26="Skema 1",B26="ma"),Skemaoplysninger!$E$30,"")</f>
        <v/>
      </c>
      <c r="BH26" s="210" t="str">
        <f>IF(AND(C26="Skema 1",B26="ti"),Skemaoplysninger!$G$30,"")</f>
        <v/>
      </c>
      <c r="BI26" s="210" t="str">
        <f>IF(AND(C26="Skema 1",B26="on"),Skemaoplysninger!$I$30,"")</f>
        <v/>
      </c>
      <c r="BJ26" s="210" t="str">
        <f>IF(AND(C26="Skema 1",B26="to"),Skemaoplysninger!$K$30,"")</f>
        <v/>
      </c>
      <c r="BK26" s="210" t="str">
        <f>IF(AND(C26="Skema 1",B26="fr"),Skemaoplysninger!$M$30,"")</f>
        <v/>
      </c>
      <c r="BL26" s="210" t="str">
        <f>IF(AND(C26="Skema 2",B26="ma"),Skemaoplysninger!$S$30,"")</f>
        <v/>
      </c>
      <c r="BM26" s="210" t="str">
        <f>IF(AND(C26="Skema 2",B26="ti"),Skemaoplysninger!$U$30,"")</f>
        <v/>
      </c>
      <c r="BN26" s="210" t="str">
        <f>IF(AND(C26="Skema 2",B26="on"),Skemaoplysninger!$W$30,"")</f>
        <v/>
      </c>
      <c r="BO26" s="210" t="str">
        <f>IF(AND(C26="Skema 2",B26="to"),Skemaoplysninger!$Y$30,"")</f>
        <v/>
      </c>
      <c r="BP26" s="210" t="str">
        <f>IF(AND(C26="Skema 2",B26="fr"),Skemaoplysninger!$AA$30,"")</f>
        <v/>
      </c>
      <c r="BQ26" s="210" t="str">
        <f>IF(AND(C26="Skema 3",B26="ma"),Skemaoplysninger!$AG$30,"")</f>
        <v/>
      </c>
      <c r="BR26" s="210" t="str">
        <f>IF(AND(C26="Skema 3",B26="ti"),Skemaoplysninger!$AI$30,"")</f>
        <v/>
      </c>
      <c r="BS26" s="210" t="str">
        <f>IF(AND(C26="Skema 3",B26="on"),Skemaoplysninger!$AK$30,"")</f>
        <v/>
      </c>
      <c r="BT26" s="210" t="str">
        <f>IF(AND(C26="Skema 3",B26="to"),Skemaoplysninger!$AM$30,"")</f>
        <v/>
      </c>
      <c r="BU26" s="210" t="str">
        <f>IF(AND(C26="Skema 3",B26="fr"),Skemaoplysninger!$AO$30,"")</f>
        <v/>
      </c>
      <c r="BV26" s="210" t="str">
        <f>IF(AND(C26="Skema 4",B26="ma"),Skemaoplysninger!$AU$30,"")</f>
        <v/>
      </c>
      <c r="BW26" s="210" t="str">
        <f>IF(AND(C26="Skema 4",B26="ti"),Skemaoplysninger!$AW$30,"")</f>
        <v/>
      </c>
      <c r="BX26" s="210" t="str">
        <f>IF(AND(C26="Skema 4",B26="on"),Skemaoplysninger!$AY$30,"")</f>
        <v/>
      </c>
      <c r="BY26" s="210" t="str">
        <f>IF(AND(C26="Skema 4",B26="to"),Skemaoplysninger!$BA$30,"")</f>
        <v/>
      </c>
      <c r="BZ26" s="210" t="str">
        <f>IF(AND(C26="Skema 4",B26="fr"),Skemaoplysninger!$BC$30,"")</f>
        <v/>
      </c>
      <c r="CA26" s="1">
        <f t="shared" si="25"/>
        <v>0</v>
      </c>
      <c r="CB26" s="1">
        <f t="shared" si="13"/>
        <v>0</v>
      </c>
      <c r="CC26" s="1">
        <f t="shared" si="14"/>
        <v>0</v>
      </c>
      <c r="CD26" s="210" t="str">
        <f>IF(AND(C26="Skema 1",B26="ma"),Skemaoplysninger!$E$31,"")</f>
        <v/>
      </c>
      <c r="CE26" s="210" t="str">
        <f>IF(AND(C26="Skema 1",B26="ti"),Skemaoplysninger!$G$31,"")</f>
        <v/>
      </c>
      <c r="CF26" s="210" t="str">
        <f>IF(AND(C26="Skema 1",B26="on"),Skemaoplysninger!$I$31,"")</f>
        <v/>
      </c>
      <c r="CG26" s="210" t="str">
        <f>IF(AND(C26="Skema 1",B26="to"),Skemaoplysninger!$K$31,"")</f>
        <v/>
      </c>
      <c r="CH26" s="210" t="str">
        <f>IF(AND(C26="Skema 1",B26="fr"),Skemaoplysninger!$M$31,"")</f>
        <v/>
      </c>
      <c r="CI26" s="210" t="str">
        <f>IF(AND(C26="Skema 2",B26="ma"),Skemaoplysninger!$S$31,"")</f>
        <v/>
      </c>
      <c r="CJ26" s="210" t="str">
        <f>IF(AND(C26="Skema 2",B26="ti"),Skemaoplysninger!$U$31,"")</f>
        <v/>
      </c>
      <c r="CK26" s="210" t="str">
        <f>IF(AND(C26="Skema 2",B26="on"),Skemaoplysninger!$W$31,"")</f>
        <v/>
      </c>
      <c r="CL26" s="210" t="str">
        <f>IF(AND(C26="Skema 2",B26="to"),Skemaoplysninger!$Y$31,"")</f>
        <v/>
      </c>
      <c r="CM26" s="210" t="str">
        <f>IF(AND(C26="Skema 2",B26="fr"),Skemaoplysninger!$AA$31,"")</f>
        <v/>
      </c>
      <c r="CN26" s="210" t="str">
        <f>IF(AND(C26="Skema 3",B26="ma"),Skemaoplysninger!$AG$31,"")</f>
        <v/>
      </c>
      <c r="CO26" s="210" t="str">
        <f>IF(AND(C26="Skema 3",B26="ti"),Skemaoplysninger!$AI$31,"")</f>
        <v/>
      </c>
      <c r="CP26" s="210" t="str">
        <f>IF(AND(C26="Skema 3",B26="on"),Skemaoplysninger!$AK$31,"")</f>
        <v/>
      </c>
      <c r="CQ26" s="210" t="str">
        <f>IF(AND(C26="Skema 3",B26="to"),Skemaoplysninger!$AM$31,"")</f>
        <v/>
      </c>
      <c r="CR26" s="210" t="str">
        <f>IF(AND(C26="Skema 3",B26="fr"),Skemaoplysninger!$AO$31,"")</f>
        <v/>
      </c>
      <c r="CS26" s="210" t="str">
        <f>IF(AND(C26="Skema 4",B26="ma"),Skemaoplysninger!$AU$31,"")</f>
        <v/>
      </c>
      <c r="CT26" s="210" t="str">
        <f>IF(AND(C26="Skema 4",B26="ti"),Skemaoplysninger!$AW$31,"")</f>
        <v/>
      </c>
      <c r="CU26" s="210" t="str">
        <f>IF(AND(C26="Skema 4",B26="on"),Skemaoplysninger!$AY$31,"")</f>
        <v/>
      </c>
      <c r="CV26" s="210" t="str">
        <f>IF(AND(C26="Skema 4",B26="to"),Skemaoplysninger!$BA$31,"")</f>
        <v/>
      </c>
      <c r="CW26" s="210" t="str">
        <f>IF(AND(C26="Skema 4",B26="fr"),Skemaoplysninger!$BC$31,"")</f>
        <v/>
      </c>
      <c r="CX26" s="249">
        <f>IF(Stamoplysninger!$H$29="NEJ",SUM(CD26:CW26)*24+CB26+CC26,0)</f>
        <v>0</v>
      </c>
      <c r="CY26" s="249">
        <f>IF(C26="Skema 1",Stamoplysninger!$H$30/200,0)</f>
        <v>0</v>
      </c>
      <c r="CZ26" s="249">
        <f>IF(C26="Skema 2",Stamoplysninger!$H$30/200,0)</f>
        <v>0</v>
      </c>
      <c r="DA26" s="249">
        <f>IF(C26="Skema 3",Stamoplysninger!$H$30/200,0)</f>
        <v>0</v>
      </c>
      <c r="DB26" s="249">
        <f>IF(C26="Skema 4",Stamoplysninger!$H$30/200,0)</f>
        <v>0</v>
      </c>
      <c r="DC26" s="249">
        <f>IF(C26="fagdag",Stamoplysninger!$H$30/200,0)</f>
        <v>0</v>
      </c>
      <c r="DD26" s="249">
        <f>IF(C26="emnedag",Stamoplysninger!$H$30/200,0)</f>
        <v>0</v>
      </c>
      <c r="DE26" s="249">
        <f>IF(C26="lejrskole",Stamoplysninger!$H$30/200,0)</f>
        <v>0</v>
      </c>
      <c r="DF26" s="249">
        <f>IF(C26="ekskursion",Stamoplysninger!$H$30/200,0)</f>
        <v>0</v>
      </c>
      <c r="DG26" s="249">
        <f t="shared" si="26"/>
        <v>0</v>
      </c>
      <c r="DH26" t="str">
        <f t="shared" si="27"/>
        <v/>
      </c>
      <c r="DI26">
        <f t="shared" si="28"/>
        <v>0</v>
      </c>
      <c r="DJ26">
        <f t="shared" si="29"/>
        <v>0</v>
      </c>
      <c r="DK26" t="str">
        <f t="shared" si="15"/>
        <v/>
      </c>
      <c r="DL26" t="str">
        <f t="shared" si="15"/>
        <v/>
      </c>
      <c r="DM26" t="str">
        <f t="shared" si="30"/>
        <v/>
      </c>
      <c r="DN26" t="str">
        <f t="shared" si="31"/>
        <v/>
      </c>
      <c r="DO26" s="652">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71">
        <f>IF(AND(Stamoplysninger!$B$22="Ulempetillæg udbetales med 25% af nettotimelønnen.",C26="ikke relevant"),(R26)/4,0)</f>
        <v>0</v>
      </c>
      <c r="DT26" s="671">
        <f>IF(AND(AND(Stamoplysninger!$B$22="Ulempetillæg udbetales med 25% af nettotimelønnen.",I26="X",C26="Ikke relevant")),K26/4,0)</f>
        <v>0</v>
      </c>
      <c r="DU26" s="671">
        <f>IF(AND(AND(Stamoplysninger!$B$22="Ulempetillæg udbetales med 25% af nettotimelønnen.",C26="ikke relevant",U26="X")),(X26/4),0)</f>
        <v>0</v>
      </c>
      <c r="DV26" s="672">
        <f>IF(AND(AND(AND(Stamoplysninger!$B$22="Ulempetillæg udbetales med 25% af nettotimelønnen.",I26="X",C26="Ikke relevant",S26="X"))),V26/4,0)</f>
        <v>0</v>
      </c>
      <c r="DW26" s="652"/>
      <c r="DZ26" s="671"/>
      <c r="EA26" s="671"/>
      <c r="EB26" s="672"/>
      <c r="EC26" s="652">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71">
        <f>IF(AND(Stamoplysninger!$B$22="Ulempetillæg afspadseres med 25%(Kræver en aftale imellem ledelsen og den ansatte)",C26="ikke relevant"),(R26)/4,0)</f>
        <v>0</v>
      </c>
      <c r="EH26" s="671">
        <f>IF(AND(AND(Stamoplysninger!$B$22="Ulempetillæg afspadseres med 25%(Kræver en aftale imellem ledelsen og den ansatte)",I26="X",C26="Ikke relevant")),K26/4,0)</f>
        <v>0</v>
      </c>
      <c r="EI26" s="671">
        <f>IF(AND(AND(Stamoplysninger!$B$22="Ulempetillæg afspadseres med 25%(Kræver en aftale imellem ledelsen og den ansatte)",U26="X",C26="Ikke relevant")),X26/4,0)</f>
        <v>0</v>
      </c>
      <c r="EJ26" s="671">
        <f>IF(AND(AND(AND(Stamoplysninger!$B$22="Ulempetillæg afspadseres med 25%(Kræver en aftale imellem ledelsen og den ansatte)",I26="X",C26="Ikke relevant",S26="X"))),V26/4,0)</f>
        <v>0</v>
      </c>
      <c r="EK26" s="283">
        <f>IF(AND(Stamoplysninger!$B$26="Weekendtimer og weekendtillæg afspadseres.",I26="X"),K26*1.5,0)</f>
        <v>0</v>
      </c>
      <c r="EL26" s="251">
        <f>IF(AND(AND(Stamoplysninger!$B$26="Weekendtimer og weekendtillæg afspadseres.",I26="X",S26="X")),V26*1.5,0)</f>
        <v>0</v>
      </c>
      <c r="EM26" s="674">
        <f>IF(AND(AND(Stamoplysninger!$B$26="Weekendtimer og weekendtillæg afspadseres.",I26="X",C26="ikke relevant")),K26*1.5,0)</f>
        <v>0</v>
      </c>
      <c r="EN26" s="675">
        <f>IF(AND(AND(AND(Stamoplysninger!$B$26="Weekendtimer og weekendtillæg afspadseres.",I26="X",C26="ikke relevant",S26="X"))),(V26*1.5),0)</f>
        <v>0</v>
      </c>
      <c r="EO26" s="283">
        <f>IF(AND(Stamoplysninger!$B$26="Weekendtimer og weekendtillæg udbetales.",I26="X"),K26*1.5,0)</f>
        <v>0</v>
      </c>
      <c r="EP26" s="251">
        <f>IF(AND(AND(Stamoplysninger!$B$26="Weekendtimer og weekendtillæg udbetales.",I26="X",S26="X")),V26*1.5,0)</f>
        <v>0</v>
      </c>
      <c r="EQ26" s="674">
        <f>IF(AND(AND(Stamoplysninger!$B$26="Weekendtimer og weekendtillæg udbetales.",I26="X",C26="ikke relevant")),K26*1.5,0)</f>
        <v>0</v>
      </c>
      <c r="ER26" s="675">
        <f>IF(AND(AND(AND(Stamoplysninger!$B$26="Weekendtimer og weekendtillæg udbetales.",I26="X",C26="ikke relevant",S26="X"))),(V26*1.5),0)</f>
        <v>0</v>
      </c>
      <c r="ES26" s="283">
        <f>IF(AND(Stamoplysninger!$B$26="Der er indgået lokalaftale omkring weekendtimer.(Kræver aftale med TR/FSL) Weekendtillæg afspadseres.",I26="X"),K26*0.5,0)</f>
        <v>0</v>
      </c>
      <c r="ET26" s="251">
        <f>IF(AND(AND(Stamoplysninger!$B$26="Der er indgået lokalaftale omkring weekendtimer.(Kræver aftale med TR/FSL) Weekendtillæg afspadseres.",I26="X",S26="X")),V26*0.5,0)</f>
        <v>0</v>
      </c>
      <c r="EU26" s="674">
        <f>IF(AND(AND(Stamoplysninger!$B$26="Der er indgået lokalaftale omkring weekendtimer.(Kræver aftale med TR/FSL) Weekendtillæg afspadseres.",I26="X",C26="ikke relevant")),K26*0.5,0)</f>
        <v>0</v>
      </c>
      <c r="EV26" s="675">
        <f>IF(AND(AND(AND(Stamoplysninger!$B$26="Der er indgået lokalaftale omkring weekendtimer.(Kræver aftale med TR/FSL) Weekendtillæg afspadseres.",I26="X",C26="ikke relevant",S26="X"))),(V26*0.5),0)</f>
        <v>0</v>
      </c>
      <c r="EW26" s="283">
        <f>IF(AND(Stamoplysninger!$B$26="Der er indgået lokalaftale omkring weekendtimer(Kræver aftale med TR/FSL). Weekendtillæg udbetales.",I26="X"),K26*0.5,0)</f>
        <v>0</v>
      </c>
      <c r="EX26" s="251">
        <f>IF(AND(AND(Stamoplysninger!$B$26="Der er indgået lokalaftale omkring weekendtimer(Kræver aftale med TR/FSL). Weekendtillæg udbetales.",I26="X",S26="X")),V26*0.5,0)</f>
        <v>0</v>
      </c>
      <c r="EY26" s="674">
        <f>IF(AND(AND(Stamoplysninger!$B$26="Der er indgået lokalaftale omkring weekendtimer(Kræver aftale med TR/FSL). Weekendtillæg udbetales.",I26="X",C26="ikke relevant")),K26*0.5,0)</f>
        <v>0</v>
      </c>
      <c r="EZ26" s="675">
        <f>IF(AND(AND(AND(Stamoplysninger!$B$26="Der er indgået lokalaftale omkring weekendtimer(Kræver aftale med TR/FSL). Weekendtillæg udbetales.",I26="X",C26="ikke relevant",S26="X"))),(V26*0.5),0)</f>
        <v>0</v>
      </c>
      <c r="FA26" s="283">
        <f>IF(AND(Stamoplysninger!$B$26="Der er indgået lokalaftale omkring weekendtillæg(Kræver aftale med TR/FSL). Weekendtimerne afspadseres.",I26="X"),K26,0)</f>
        <v>0</v>
      </c>
      <c r="FB26" s="251">
        <f>IF(AND(AND(Stamoplysninger!$B$26="Der er indgået lokalaftale omkring weekendtillæg(Kræver aftale med TR/FSL). Weekendtimerne afspadseres.",I26="X",S26="X")),V26,0)</f>
        <v>0</v>
      </c>
      <c r="FC26" s="674">
        <f>IF(AND(AND(Stamoplysninger!$B$26="Der er indgået lokalaftale omkring weekendtillæg(Kræver aftale med TR/FSL). Weekendtimerne afspadseres..",I26="X",C26="ikke relevant")),K26,0)</f>
        <v>0</v>
      </c>
      <c r="FD26" s="675">
        <f>IF(AND(AND(AND(Stamoplysninger!$B$26="Der er indgået lokalaftale omkring weekendtillæg(Kræver aftale med TR/FSL). Weekendtimerne afspadseres.",I26="X",C26="ikke relevant",S26="X"))),(V26),0)</f>
        <v>0</v>
      </c>
      <c r="FE26" s="283">
        <f>IF(AND(Stamoplysninger!$B$26="Der er indgået lokalaftale omkring weekendtillæg(Kræver aftale med TR/FSL). Weekendtimerne udbetales.",I26="X"),K26,0)</f>
        <v>0</v>
      </c>
      <c r="FF26" s="251">
        <f>IF(AND(AND(Stamoplysninger!$B$26="Der er indgået lokalaftale omkring weekendtillæg(Kræver aftale med TR/FSL). Weekendtimerne udbetales.",I26="X",S26="X")),V26,0)</f>
        <v>0</v>
      </c>
      <c r="FG26" s="674">
        <f>IF(AND(AND(Stamoplysninger!$B$26="Der er indgået lokalaftale omkring weekendtillæg(Kræver aftale med TR/FSL). Weekendtimerne udbetales.",I26="X",C26="ikke relevant")),K26,0)</f>
        <v>0</v>
      </c>
      <c r="FH26" s="675">
        <f>IF(AND(AND(AND(Stamoplysninger!$B$26="Der er indgået lokalaftale omkring weekendtillæg(Kræver aftale med TR/FSL). Weekendtimerne udbetales.",I26="X",C26="ikke relevant",S26="X"))),(V26),0)</f>
        <v>0</v>
      </c>
      <c r="FI26" s="283">
        <f>IF(AND(Stamoplysninger!$B$26="Weekendtimer og weekendtillæg afspadseres.",I26="X"),K26,0)</f>
        <v>0</v>
      </c>
      <c r="FJ26" s="251">
        <f>IF(AND(Stamoplysninger!$B$26="Weekendtimer og weekendtillæg afspadseres.",Y26="X"),(AA26+AL26)/2,0)</f>
        <v>0</v>
      </c>
      <c r="FK26" s="674">
        <f>IF(AND(AND(Stamoplysninger!$B$26="Weekendtimer og weekendtillæg afspadseres.",I26="X",C26="ikke relevant")),K26,0)</f>
        <v>0</v>
      </c>
      <c r="FL26" s="675">
        <f>IF(AND(AND(Stamoplysninger!$B$26="Weekendtimer og weekendtillæg afspadseres.",Y26="X",S26="ikke relevant")),(AA26+AL26)/2,0)</f>
        <v>0</v>
      </c>
      <c r="FM26" s="283">
        <f>IF(AND(Stamoplysninger!$B$26="Der er indgået lokalaftale omkring weekendtillæg(Kræver aftale med TR/FSL). Weekendtimerne afspadseres.",I26="X"),K26,0)</f>
        <v>0</v>
      </c>
      <c r="FN26" s="674">
        <f>IF(AND(AND(Stamoplysninger!$B$26="Der er indgået lokalaftale omkring weekendtillæg(Kræver aftale med TR/FSL). Weekendtimerne afspadseres.",I26="X",C26="ikke relevant")),K26,0)</f>
        <v>0</v>
      </c>
      <c r="FO26" s="283">
        <f>IF(AND(Stamoplysninger!$B$26="Weekendtimer og weekendtillæg udbetales.",I26="X"),K26,0)</f>
        <v>0</v>
      </c>
      <c r="FP26" s="251">
        <f>IF(AND(Stamoplysninger!$B$26="Weekendtimer og weekendtillæg udbetales.",AA26="X"),(AC26+AN26)/2,0)</f>
        <v>0</v>
      </c>
      <c r="FQ26" s="674">
        <f>IF(AND(AND(Stamoplysninger!$B$26="Weekendtimer og weekendtillæg udbetales.",I26="X",C26="ikke relevant")),K26,0)</f>
        <v>0</v>
      </c>
      <c r="FR26" s="688">
        <f>IF(AND(AND(Stamoplysninger!$B$26="Weekendtimer og weekendtillæg udbetales.",AA26="X",U26="ikke relevant")),(AC26+AN26)/2,0)</f>
        <v>0</v>
      </c>
      <c r="FS26" s="283">
        <f t="shared" si="16"/>
        <v>0</v>
      </c>
      <c r="FT26" s="658">
        <f t="shared" si="17"/>
        <v>0</v>
      </c>
      <c r="FU26">
        <f t="shared" si="18"/>
        <v>0</v>
      </c>
      <c r="FV26" s="283">
        <f>IF(AND(Stamoplysninger!$B$26="Der er indgået lokalaftale omkring weekendtimer.(Kræver aftale med TR/FSL) Weekendtillæg afspadseres.",I26="X"),K26,0)</f>
        <v>0</v>
      </c>
      <c r="FW26" s="674">
        <f>IF(AND(AND(Stamoplysninger!$B$26="Der er indgået lokalaftale omkring weekendtimer.(Kræver aftale med TR/FSL) Weekendtillæg afspadseres.",I26="X",C26="ikke relevant")),K26,0)</f>
        <v>0</v>
      </c>
      <c r="FX26" s="283">
        <f>IF(AND(Stamoplysninger!$B$26="Der er indgået lokalaftale omkring weekendtimer(Kræver aftale med TR/FSL). Weekendtillæg udbetales.",I26="X"),K26,0)</f>
        <v>0</v>
      </c>
      <c r="FY26" s="674">
        <f>IF(AND(AND(Stamoplysninger!$B$26="Der er indgået lokalaftale omkring weekendtimer(Kræver aftale med TR/FSL). Weekendtillæg udbetales.",I26="X",C26="ikke relevant")),K26,0)</f>
        <v>0</v>
      </c>
      <c r="FZ26" s="283">
        <f>IF(AND(Stamoplysninger!$B$26="Der er indgået lokalaftale omkring weekendtillæg(Kræver aftale med TR/FSL). Weekendtimerne udbetales.",I26="X"),K26,0)</f>
        <v>0</v>
      </c>
      <c r="GA26" s="674">
        <f>IF(AND(AND(Stamoplysninger!$B$26="Der er indgået lokalaftale omkring weekendtillæg(Kræver aftale med TR/FSL). Weekendtimerne udbetales.",I26="X",C26="ikke relevant")),K26,0)</f>
        <v>0</v>
      </c>
      <c r="GB26" s="283">
        <f>IF(AND(Stamoplysninger!$B$26="Der er indgået lokalaftale omkring weekendtimer og weekendtillæg.(Kræver aftale med TR/FSL).",I26="X"),K26,0)</f>
        <v>0</v>
      </c>
      <c r="GC26" s="674">
        <f>IF(AND(AND(Stamoplysninger!$B$26="Der er indgået lokalaftale omkring weekendtimer og weekendtillæg.(Kræver aftale med TR/FSL).",I26="X",C26="ikke relevant")),K26,0)</f>
        <v>0</v>
      </c>
    </row>
    <row r="27" spans="1:185">
      <c r="A27" s="245">
        <f t="shared" si="19"/>
        <v>18</v>
      </c>
      <c r="B27" s="128" t="str">
        <f t="shared" si="0"/>
        <v>sø</v>
      </c>
      <c r="C27" s="129" t="s">
        <v>120</v>
      </c>
      <c r="D27" s="130" t="str">
        <f t="shared" si="1"/>
        <v/>
      </c>
      <c r="E27" s="917"/>
      <c r="F27" s="918"/>
      <c r="G27" s="919"/>
      <c r="H27" s="298"/>
      <c r="I27" s="413"/>
      <c r="J27" s="413"/>
      <c r="K27" s="380"/>
      <c r="L27" s="380"/>
      <c r="M27" s="380"/>
      <c r="N27" s="318">
        <f t="shared" si="20"/>
        <v>0</v>
      </c>
      <c r="O27" s="318">
        <f t="shared" si="21"/>
        <v>0</v>
      </c>
      <c r="P27" s="318">
        <f>IF(Stamoplysninger!$H$29="JA",August!DG27,CX27)</f>
        <v>0</v>
      </c>
      <c r="Q27" s="318">
        <f t="shared" si="22"/>
        <v>0</v>
      </c>
      <c r="R27" s="412"/>
      <c r="S27" s="324"/>
      <c r="T27" s="325"/>
      <c r="U27" s="325"/>
      <c r="V27" s="435"/>
      <c r="W27" s="412"/>
      <c r="X27" s="642"/>
      <c r="Y27">
        <f t="shared" si="23"/>
        <v>0</v>
      </c>
      <c r="Z27">
        <f t="shared" si="2"/>
        <v>0</v>
      </c>
      <c r="AA27" s="1">
        <f t="shared" si="3"/>
        <v>0</v>
      </c>
      <c r="AB27" s="1">
        <f t="shared" si="4"/>
        <v>0</v>
      </c>
      <c r="AC27" s="1">
        <f t="shared" si="5"/>
        <v>0</v>
      </c>
      <c r="AD27" s="1">
        <f t="shared" si="6"/>
        <v>0</v>
      </c>
      <c r="AE27" s="1">
        <f t="shared" si="7"/>
        <v>0</v>
      </c>
      <c r="AF27" s="1">
        <f>IF(C27="Orlov",Stamoplysninger!$E$15*7.4,0)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8"/>
        <v>0</v>
      </c>
      <c r="BB27" s="229">
        <f t="shared" si="9"/>
        <v>0</v>
      </c>
      <c r="BC27" s="1">
        <f t="shared" si="24"/>
        <v>0</v>
      </c>
      <c r="BD27" s="1">
        <f t="shared" si="10"/>
        <v>0</v>
      </c>
      <c r="BE27" s="1">
        <f t="shared" si="11"/>
        <v>0</v>
      </c>
      <c r="BF27" s="1">
        <f t="shared" si="12"/>
        <v>0</v>
      </c>
      <c r="BG27" s="210" t="str">
        <f>IF(AND(C27="Skema 1",B27="ma"),Skemaoplysninger!$E$30,"")</f>
        <v/>
      </c>
      <c r="BH27" s="210" t="str">
        <f>IF(AND(C27="Skema 1",B27="ti"),Skemaoplysninger!$G$30,"")</f>
        <v/>
      </c>
      <c r="BI27" s="210" t="str">
        <f>IF(AND(C27="Skema 1",B27="on"),Skemaoplysninger!$I$30,"")</f>
        <v/>
      </c>
      <c r="BJ27" s="210" t="str">
        <f>IF(AND(C27="Skema 1",B27="to"),Skemaoplysninger!$K$30,"")</f>
        <v/>
      </c>
      <c r="BK27" s="210" t="str">
        <f>IF(AND(C27="Skema 1",B27="fr"),Skemaoplysninger!$M$30,"")</f>
        <v/>
      </c>
      <c r="BL27" s="210" t="str">
        <f>IF(AND(C27="Skema 2",B27="ma"),Skemaoplysninger!$S$30,"")</f>
        <v/>
      </c>
      <c r="BM27" s="210" t="str">
        <f>IF(AND(C27="Skema 2",B27="ti"),Skemaoplysninger!$U$30,"")</f>
        <v/>
      </c>
      <c r="BN27" s="210" t="str">
        <f>IF(AND(C27="Skema 2",B27="on"),Skemaoplysninger!$W$30,"")</f>
        <v/>
      </c>
      <c r="BO27" s="210" t="str">
        <f>IF(AND(C27="Skema 2",B27="to"),Skemaoplysninger!$Y$30,"")</f>
        <v/>
      </c>
      <c r="BP27" s="210" t="str">
        <f>IF(AND(C27="Skema 2",B27="fr"),Skemaoplysninger!$AA$30,"")</f>
        <v/>
      </c>
      <c r="BQ27" s="210" t="str">
        <f>IF(AND(C27="Skema 3",B27="ma"),Skemaoplysninger!$AG$30,"")</f>
        <v/>
      </c>
      <c r="BR27" s="210" t="str">
        <f>IF(AND(C27="Skema 3",B27="ti"),Skemaoplysninger!$AI$30,"")</f>
        <v/>
      </c>
      <c r="BS27" s="210" t="str">
        <f>IF(AND(C27="Skema 3",B27="on"),Skemaoplysninger!$AK$30,"")</f>
        <v/>
      </c>
      <c r="BT27" s="210" t="str">
        <f>IF(AND(C27="Skema 3",B27="to"),Skemaoplysninger!$AM$30,"")</f>
        <v/>
      </c>
      <c r="BU27" s="210" t="str">
        <f>IF(AND(C27="Skema 3",B27="fr"),Skemaoplysninger!$AO$30,"")</f>
        <v/>
      </c>
      <c r="BV27" s="210" t="str">
        <f>IF(AND(C27="Skema 4",B27="ma"),Skemaoplysninger!$AU$30,"")</f>
        <v/>
      </c>
      <c r="BW27" s="210" t="str">
        <f>IF(AND(C27="Skema 4",B27="ti"),Skemaoplysninger!$AW$30,"")</f>
        <v/>
      </c>
      <c r="BX27" s="210" t="str">
        <f>IF(AND(C27="Skema 4",B27="on"),Skemaoplysninger!$AY$30,"")</f>
        <v/>
      </c>
      <c r="BY27" s="210" t="str">
        <f>IF(AND(C27="Skema 4",B27="to"),Skemaoplysninger!$BA$30,"")</f>
        <v/>
      </c>
      <c r="BZ27" s="210" t="str">
        <f>IF(AND(C27="Skema 4",B27="fr"),Skemaoplysninger!$BC$30,"")</f>
        <v/>
      </c>
      <c r="CA27" s="1">
        <f t="shared" si="25"/>
        <v>0</v>
      </c>
      <c r="CB27" s="1">
        <f t="shared" si="13"/>
        <v>0</v>
      </c>
      <c r="CC27" s="1">
        <f t="shared" si="14"/>
        <v>0</v>
      </c>
      <c r="CD27" s="210" t="str">
        <f>IF(AND(C27="Skema 1",B27="ma"),Skemaoplysninger!$E$31,"")</f>
        <v/>
      </c>
      <c r="CE27" s="210" t="str">
        <f>IF(AND(C27="Skema 1",B27="ti"),Skemaoplysninger!$G$31,"")</f>
        <v/>
      </c>
      <c r="CF27" s="210" t="str">
        <f>IF(AND(C27="Skema 1",B27="on"),Skemaoplysninger!$I$31,"")</f>
        <v/>
      </c>
      <c r="CG27" s="210" t="str">
        <f>IF(AND(C27="Skema 1",B27="to"),Skemaoplysninger!$K$31,"")</f>
        <v/>
      </c>
      <c r="CH27" s="210" t="str">
        <f>IF(AND(C27="Skema 1",B27="fr"),Skemaoplysninger!$M$31,"")</f>
        <v/>
      </c>
      <c r="CI27" s="210" t="str">
        <f>IF(AND(C27="Skema 2",B27="ma"),Skemaoplysninger!$S$31,"")</f>
        <v/>
      </c>
      <c r="CJ27" s="210" t="str">
        <f>IF(AND(C27="Skema 2",B27="ti"),Skemaoplysninger!$U$31,"")</f>
        <v/>
      </c>
      <c r="CK27" s="210" t="str">
        <f>IF(AND(C27="Skema 2",B27="on"),Skemaoplysninger!$W$31,"")</f>
        <v/>
      </c>
      <c r="CL27" s="210" t="str">
        <f>IF(AND(C27="Skema 2",B27="to"),Skemaoplysninger!$Y$31,"")</f>
        <v/>
      </c>
      <c r="CM27" s="210" t="str">
        <f>IF(AND(C27="Skema 2",B27="fr"),Skemaoplysninger!$AA$31,"")</f>
        <v/>
      </c>
      <c r="CN27" s="210" t="str">
        <f>IF(AND(C27="Skema 3",B27="ma"),Skemaoplysninger!$AG$31,"")</f>
        <v/>
      </c>
      <c r="CO27" s="210" t="str">
        <f>IF(AND(C27="Skema 3",B27="ti"),Skemaoplysninger!$AI$31,"")</f>
        <v/>
      </c>
      <c r="CP27" s="210" t="str">
        <f>IF(AND(C27="Skema 3",B27="on"),Skemaoplysninger!$AK$31,"")</f>
        <v/>
      </c>
      <c r="CQ27" s="210" t="str">
        <f>IF(AND(C27="Skema 3",B27="to"),Skemaoplysninger!$AM$31,"")</f>
        <v/>
      </c>
      <c r="CR27" s="210" t="str">
        <f>IF(AND(C27="Skema 3",B27="fr"),Skemaoplysninger!$AO$31,"")</f>
        <v/>
      </c>
      <c r="CS27" s="210" t="str">
        <f>IF(AND(C27="Skema 4",B27="ma"),Skemaoplysninger!$AU$31,"")</f>
        <v/>
      </c>
      <c r="CT27" s="210" t="str">
        <f>IF(AND(C27="Skema 4",B27="ti"),Skemaoplysninger!$AW$31,"")</f>
        <v/>
      </c>
      <c r="CU27" s="210" t="str">
        <f>IF(AND(C27="Skema 4",B27="on"),Skemaoplysninger!$AY$31,"")</f>
        <v/>
      </c>
      <c r="CV27" s="210" t="str">
        <f>IF(AND(C27="Skema 4",B27="to"),Skemaoplysninger!$BA$31,"")</f>
        <v/>
      </c>
      <c r="CW27" s="210" t="str">
        <f>IF(AND(C27="Skema 4",B27="fr"),Skemaoplysninger!$BC$31,"")</f>
        <v/>
      </c>
      <c r="CX27" s="249">
        <f>IF(Stamoplysninger!$H$29="NEJ",SUM(CD27:CW27)*24+CB27+CC27,0)</f>
        <v>0</v>
      </c>
      <c r="CY27" s="249">
        <f>IF(C27="Skema 1",Stamoplysninger!$H$30/200,0)</f>
        <v>0</v>
      </c>
      <c r="CZ27" s="249">
        <f>IF(C27="Skema 2",Stamoplysninger!$H$30/200,0)</f>
        <v>0</v>
      </c>
      <c r="DA27" s="249">
        <f>IF(C27="Skema 3",Stamoplysninger!$H$30/200,0)</f>
        <v>0</v>
      </c>
      <c r="DB27" s="249">
        <f>IF(C27="Skema 4",Stamoplysninger!$H$30/200,0)</f>
        <v>0</v>
      </c>
      <c r="DC27" s="249">
        <f>IF(C27="fagdag",Stamoplysninger!$H$30/200,0)</f>
        <v>0</v>
      </c>
      <c r="DD27" s="249">
        <f>IF(C27="emnedag",Stamoplysninger!$H$30/200,0)</f>
        <v>0</v>
      </c>
      <c r="DE27" s="249">
        <f>IF(C27="lejrskole",Stamoplysninger!$H$30/200,0)</f>
        <v>0</v>
      </c>
      <c r="DF27" s="249">
        <f>IF(C27="ekskursion",Stamoplysninger!$H$30/200,0)</f>
        <v>0</v>
      </c>
      <c r="DG27" s="249">
        <f t="shared" si="26"/>
        <v>0</v>
      </c>
      <c r="DH27" t="str">
        <f t="shared" si="27"/>
        <v/>
      </c>
      <c r="DI27">
        <f t="shared" si="28"/>
        <v>0</v>
      </c>
      <c r="DJ27">
        <f t="shared" si="29"/>
        <v>0</v>
      </c>
      <c r="DK27" t="str">
        <f t="shared" si="15"/>
        <v/>
      </c>
      <c r="DL27" t="str">
        <f t="shared" si="15"/>
        <v/>
      </c>
      <c r="DM27" t="str">
        <f t="shared" si="30"/>
        <v/>
      </c>
      <c r="DN27" t="str">
        <f t="shared" si="31"/>
        <v/>
      </c>
      <c r="DO27" s="652">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71">
        <f>IF(AND(Stamoplysninger!$B$22="Ulempetillæg udbetales med 25% af nettotimelønnen.",C27="ikke relevant"),(R27)/4,0)</f>
        <v>0</v>
      </c>
      <c r="DT27" s="671">
        <f>IF(AND(AND(Stamoplysninger!$B$22="Ulempetillæg udbetales med 25% af nettotimelønnen.",I27="X",C27="Ikke relevant")),K27/4,0)</f>
        <v>0</v>
      </c>
      <c r="DU27" s="671">
        <f>IF(AND(AND(Stamoplysninger!$B$22="Ulempetillæg udbetales med 25% af nettotimelønnen.",C27="ikke relevant",U27="X")),(X27/4),0)</f>
        <v>0</v>
      </c>
      <c r="DV27" s="672">
        <f>IF(AND(AND(AND(Stamoplysninger!$B$22="Ulempetillæg udbetales med 25% af nettotimelønnen.",I27="X",C27="Ikke relevant",S27="X"))),V27/4,0)</f>
        <v>0</v>
      </c>
      <c r="DW27" s="652"/>
      <c r="DZ27" s="671"/>
      <c r="EA27" s="671"/>
      <c r="EB27" s="672"/>
      <c r="EC27" s="652">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71">
        <f>IF(AND(Stamoplysninger!$B$22="Ulempetillæg afspadseres med 25%(Kræver en aftale imellem ledelsen og den ansatte)",C27="ikke relevant"),(R27)/4,0)</f>
        <v>0</v>
      </c>
      <c r="EH27" s="671">
        <f>IF(AND(AND(Stamoplysninger!$B$22="Ulempetillæg afspadseres med 25%(Kræver en aftale imellem ledelsen og den ansatte)",I27="X",C27="Ikke relevant")),K27/4,0)</f>
        <v>0</v>
      </c>
      <c r="EI27" s="671">
        <f>IF(AND(AND(Stamoplysninger!$B$22="Ulempetillæg afspadseres med 25%(Kræver en aftale imellem ledelsen og den ansatte)",U27="X",C27="Ikke relevant")),X27/4,0)</f>
        <v>0</v>
      </c>
      <c r="EJ27" s="671">
        <f>IF(AND(AND(AND(Stamoplysninger!$B$22="Ulempetillæg afspadseres med 25%(Kræver en aftale imellem ledelsen og den ansatte)",I27="X",C27="Ikke relevant",S27="X"))),V27/4,0)</f>
        <v>0</v>
      </c>
      <c r="EK27" s="283">
        <f>IF(AND(Stamoplysninger!$B$26="Weekendtimer og weekendtillæg afspadseres.",I27="X"),K27*1.5,0)</f>
        <v>0</v>
      </c>
      <c r="EL27" s="251">
        <f>IF(AND(AND(Stamoplysninger!$B$26="Weekendtimer og weekendtillæg afspadseres.",I27="X",S27="X")),V27*1.5,0)</f>
        <v>0</v>
      </c>
      <c r="EM27" s="674">
        <f>IF(AND(AND(Stamoplysninger!$B$26="Weekendtimer og weekendtillæg afspadseres.",I27="X",C27="ikke relevant")),K27*1.5,0)</f>
        <v>0</v>
      </c>
      <c r="EN27" s="675">
        <f>IF(AND(AND(AND(Stamoplysninger!$B$26="Weekendtimer og weekendtillæg afspadseres.",I27="X",C27="ikke relevant",S27="X"))),(V27*1.5),0)</f>
        <v>0</v>
      </c>
      <c r="EO27" s="283">
        <f>IF(AND(Stamoplysninger!$B$26="Weekendtimer og weekendtillæg udbetales.",I27="X"),K27*1.5,0)</f>
        <v>0</v>
      </c>
      <c r="EP27" s="251">
        <f>IF(AND(AND(Stamoplysninger!$B$26="Weekendtimer og weekendtillæg udbetales.",I27="X",S27="X")),V27*1.5,0)</f>
        <v>0</v>
      </c>
      <c r="EQ27" s="674">
        <f>IF(AND(AND(Stamoplysninger!$B$26="Weekendtimer og weekendtillæg udbetales.",I27="X",C27="ikke relevant")),K27*1.5,0)</f>
        <v>0</v>
      </c>
      <c r="ER27" s="675">
        <f>IF(AND(AND(AND(Stamoplysninger!$B$26="Weekendtimer og weekendtillæg udbetales.",I27="X",C27="ikke relevant",S27="X"))),(V27*1.5),0)</f>
        <v>0</v>
      </c>
      <c r="ES27" s="283">
        <f>IF(AND(Stamoplysninger!$B$26="Der er indgået lokalaftale omkring weekendtimer.(Kræver aftale med TR/FSL) Weekendtillæg afspadseres.",I27="X"),K27*0.5,0)</f>
        <v>0</v>
      </c>
      <c r="ET27" s="251">
        <f>IF(AND(AND(Stamoplysninger!$B$26="Der er indgået lokalaftale omkring weekendtimer.(Kræver aftale med TR/FSL) Weekendtillæg afspadseres.",I27="X",S27="X")),V27*0.5,0)</f>
        <v>0</v>
      </c>
      <c r="EU27" s="674">
        <f>IF(AND(AND(Stamoplysninger!$B$26="Der er indgået lokalaftale omkring weekendtimer.(Kræver aftale med TR/FSL) Weekendtillæg afspadseres.",I27="X",C27="ikke relevant")),K27*0.5,0)</f>
        <v>0</v>
      </c>
      <c r="EV27" s="675">
        <f>IF(AND(AND(AND(Stamoplysninger!$B$26="Der er indgået lokalaftale omkring weekendtimer.(Kræver aftale med TR/FSL) Weekendtillæg afspadseres.",I27="X",C27="ikke relevant",S27="X"))),(V27*0.5),0)</f>
        <v>0</v>
      </c>
      <c r="EW27" s="283">
        <f>IF(AND(Stamoplysninger!$B$26="Der er indgået lokalaftale omkring weekendtimer(Kræver aftale med TR/FSL). Weekendtillæg udbetales.",I27="X"),K27*0.5,0)</f>
        <v>0</v>
      </c>
      <c r="EX27" s="251">
        <f>IF(AND(AND(Stamoplysninger!$B$26="Der er indgået lokalaftale omkring weekendtimer(Kræver aftale med TR/FSL). Weekendtillæg udbetales.",I27="X",S27="X")),V27*0.5,0)</f>
        <v>0</v>
      </c>
      <c r="EY27" s="674">
        <f>IF(AND(AND(Stamoplysninger!$B$26="Der er indgået lokalaftale omkring weekendtimer(Kræver aftale med TR/FSL). Weekendtillæg udbetales.",I27="X",C27="ikke relevant")),K27*0.5,0)</f>
        <v>0</v>
      </c>
      <c r="EZ27" s="675">
        <f>IF(AND(AND(AND(Stamoplysninger!$B$26="Der er indgået lokalaftale omkring weekendtimer(Kræver aftale med TR/FSL). Weekendtillæg udbetales.",I27="X",C27="ikke relevant",S27="X"))),(V27*0.5),0)</f>
        <v>0</v>
      </c>
      <c r="FA27" s="283">
        <f>IF(AND(Stamoplysninger!$B$26="Der er indgået lokalaftale omkring weekendtillæg(Kræver aftale med TR/FSL). Weekendtimerne afspadseres.",I27="X"),K27,0)</f>
        <v>0</v>
      </c>
      <c r="FB27" s="251">
        <f>IF(AND(AND(Stamoplysninger!$B$26="Der er indgået lokalaftale omkring weekendtillæg(Kræver aftale med TR/FSL). Weekendtimerne afspadseres.",I27="X",S27="X")),V27,0)</f>
        <v>0</v>
      </c>
      <c r="FC27" s="674">
        <f>IF(AND(AND(Stamoplysninger!$B$26="Der er indgået lokalaftale omkring weekendtillæg(Kræver aftale med TR/FSL). Weekendtimerne afspadseres..",I27="X",C27="ikke relevant")),K27,0)</f>
        <v>0</v>
      </c>
      <c r="FD27" s="675">
        <f>IF(AND(AND(AND(Stamoplysninger!$B$26="Der er indgået lokalaftale omkring weekendtillæg(Kræver aftale med TR/FSL). Weekendtimerne afspadseres.",I27="X",C27="ikke relevant",S27="X"))),(V27),0)</f>
        <v>0</v>
      </c>
      <c r="FE27" s="283">
        <f>IF(AND(Stamoplysninger!$B$26="Der er indgået lokalaftale omkring weekendtillæg(Kræver aftale med TR/FSL). Weekendtimerne udbetales.",I27="X"),K27,0)</f>
        <v>0</v>
      </c>
      <c r="FF27" s="251">
        <f>IF(AND(AND(Stamoplysninger!$B$26="Der er indgået lokalaftale omkring weekendtillæg(Kræver aftale med TR/FSL). Weekendtimerne udbetales.",I27="X",S27="X")),V27,0)</f>
        <v>0</v>
      </c>
      <c r="FG27" s="674">
        <f>IF(AND(AND(Stamoplysninger!$B$26="Der er indgået lokalaftale omkring weekendtillæg(Kræver aftale med TR/FSL). Weekendtimerne udbetales.",I27="X",C27="ikke relevant")),K27,0)</f>
        <v>0</v>
      </c>
      <c r="FH27" s="675">
        <f>IF(AND(AND(AND(Stamoplysninger!$B$26="Der er indgået lokalaftale omkring weekendtillæg(Kræver aftale med TR/FSL). Weekendtimerne udbetales.",I27="X",C27="ikke relevant",S27="X"))),(V27),0)</f>
        <v>0</v>
      </c>
      <c r="FI27" s="283">
        <f>IF(AND(Stamoplysninger!$B$26="Weekendtimer og weekendtillæg afspadseres.",I27="X"),K27,0)</f>
        <v>0</v>
      </c>
      <c r="FJ27" s="251">
        <f>IF(AND(Stamoplysninger!$B$26="Weekendtimer og weekendtillæg afspadseres.",Y27="X"),(AA27+AL27)/2,0)</f>
        <v>0</v>
      </c>
      <c r="FK27" s="674">
        <f>IF(AND(AND(Stamoplysninger!$B$26="Weekendtimer og weekendtillæg afspadseres.",I27="X",C27="ikke relevant")),K27,0)</f>
        <v>0</v>
      </c>
      <c r="FL27" s="675">
        <f>IF(AND(AND(Stamoplysninger!$B$26="Weekendtimer og weekendtillæg afspadseres.",Y27="X",S27="ikke relevant")),(AA27+AL27)/2,0)</f>
        <v>0</v>
      </c>
      <c r="FM27" s="283">
        <f>IF(AND(Stamoplysninger!$B$26="Der er indgået lokalaftale omkring weekendtillæg(Kræver aftale med TR/FSL). Weekendtimerne afspadseres.",I27="X"),K27,0)</f>
        <v>0</v>
      </c>
      <c r="FN27" s="674">
        <f>IF(AND(AND(Stamoplysninger!$B$26="Der er indgået lokalaftale omkring weekendtillæg(Kræver aftale med TR/FSL). Weekendtimerne afspadseres.",I27="X",C27="ikke relevant")),K27,0)</f>
        <v>0</v>
      </c>
      <c r="FO27" s="283">
        <f>IF(AND(Stamoplysninger!$B$26="Weekendtimer og weekendtillæg udbetales.",I27="X"),K27,0)</f>
        <v>0</v>
      </c>
      <c r="FP27" s="251">
        <f>IF(AND(Stamoplysninger!$B$26="Weekendtimer og weekendtillæg udbetales.",AA27="X"),(AC27+AN27)/2,0)</f>
        <v>0</v>
      </c>
      <c r="FQ27" s="674">
        <f>IF(AND(AND(Stamoplysninger!$B$26="Weekendtimer og weekendtillæg udbetales.",I27="X",C27="ikke relevant")),K27,0)</f>
        <v>0</v>
      </c>
      <c r="FR27" s="688">
        <f>IF(AND(AND(Stamoplysninger!$B$26="Weekendtimer og weekendtillæg udbetales.",AA27="X",U27="ikke relevant")),(AC27+AN27)/2,0)</f>
        <v>0</v>
      </c>
      <c r="FS27" s="283">
        <f t="shared" si="16"/>
        <v>0</v>
      </c>
      <c r="FT27" s="658">
        <f t="shared" si="17"/>
        <v>0</v>
      </c>
      <c r="FU27">
        <f t="shared" si="18"/>
        <v>0</v>
      </c>
      <c r="FV27" s="283">
        <f>IF(AND(Stamoplysninger!$B$26="Der er indgået lokalaftale omkring weekendtimer.(Kræver aftale med TR/FSL) Weekendtillæg afspadseres.",I27="X"),K27,0)</f>
        <v>0</v>
      </c>
      <c r="FW27" s="674">
        <f>IF(AND(AND(Stamoplysninger!$B$26="Der er indgået lokalaftale omkring weekendtimer.(Kræver aftale med TR/FSL) Weekendtillæg afspadseres.",I27="X",C27="ikke relevant")),K27,0)</f>
        <v>0</v>
      </c>
      <c r="FX27" s="283">
        <f>IF(AND(Stamoplysninger!$B$26="Der er indgået lokalaftale omkring weekendtimer(Kræver aftale med TR/FSL). Weekendtillæg udbetales.",I27="X"),K27,0)</f>
        <v>0</v>
      </c>
      <c r="FY27" s="674">
        <f>IF(AND(AND(Stamoplysninger!$B$26="Der er indgået lokalaftale omkring weekendtimer(Kræver aftale med TR/FSL). Weekendtillæg udbetales.",I27="X",C27="ikke relevant")),K27,0)</f>
        <v>0</v>
      </c>
      <c r="FZ27" s="283">
        <f>IF(AND(Stamoplysninger!$B$26="Der er indgået lokalaftale omkring weekendtillæg(Kræver aftale med TR/FSL). Weekendtimerne udbetales.",I27="X"),K27,0)</f>
        <v>0</v>
      </c>
      <c r="GA27" s="674">
        <f>IF(AND(AND(Stamoplysninger!$B$26="Der er indgået lokalaftale omkring weekendtillæg(Kræver aftale med TR/FSL). Weekendtimerne udbetales.",I27="X",C27="ikke relevant")),K27,0)</f>
        <v>0</v>
      </c>
      <c r="GB27" s="283">
        <f>IF(AND(Stamoplysninger!$B$26="Der er indgået lokalaftale omkring weekendtimer og weekendtillæg.(Kræver aftale med TR/FSL).",I27="X"),K27,0)</f>
        <v>0</v>
      </c>
      <c r="GC27" s="674">
        <f>IF(AND(AND(Stamoplysninger!$B$26="Der er indgået lokalaftale omkring weekendtimer og weekendtillæg.(Kræver aftale med TR/FSL).",I27="X",C27="ikke relevant")),K27,0)</f>
        <v>0</v>
      </c>
    </row>
    <row r="28" spans="1:185">
      <c r="A28" s="245">
        <f t="shared" si="19"/>
        <v>19</v>
      </c>
      <c r="B28" s="128" t="str">
        <f t="shared" si="0"/>
        <v>ma</v>
      </c>
      <c r="C28" s="129" t="s">
        <v>206</v>
      </c>
      <c r="D28" s="130">
        <f t="shared" si="1"/>
        <v>34</v>
      </c>
      <c r="E28" s="917"/>
      <c r="F28" s="918"/>
      <c r="G28" s="919"/>
      <c r="H28" s="298"/>
      <c r="I28" s="527"/>
      <c r="J28" s="413"/>
      <c r="K28" s="380"/>
      <c r="L28" s="380"/>
      <c r="M28" s="380"/>
      <c r="N28" s="318">
        <f t="shared" si="20"/>
        <v>7.75</v>
      </c>
      <c r="O28" s="318">
        <f t="shared" si="21"/>
        <v>3.916666666666667</v>
      </c>
      <c r="P28" s="318">
        <f>IF(Stamoplysninger!$H$29="JA",August!DG28,CX28)</f>
        <v>0.83333333333333337</v>
      </c>
      <c r="Q28" s="318">
        <f t="shared" si="22"/>
        <v>2.9999999999999996</v>
      </c>
      <c r="R28" s="412"/>
      <c r="S28" s="324"/>
      <c r="T28" s="325"/>
      <c r="U28" s="325"/>
      <c r="V28" s="435"/>
      <c r="W28" s="412"/>
      <c r="X28" s="642"/>
      <c r="Y28">
        <f t="shared" si="23"/>
        <v>0</v>
      </c>
      <c r="Z28">
        <f t="shared" si="2"/>
        <v>0</v>
      </c>
      <c r="AA28" s="1">
        <f t="shared" si="3"/>
        <v>0</v>
      </c>
      <c r="AB28" s="1">
        <f t="shared" si="4"/>
        <v>0</v>
      </c>
      <c r="AC28" s="1">
        <f t="shared" si="5"/>
        <v>0</v>
      </c>
      <c r="AD28" s="1">
        <f t="shared" si="6"/>
        <v>0</v>
      </c>
      <c r="AE28" s="1">
        <f t="shared" si="7"/>
        <v>0</v>
      </c>
      <c r="AF28" s="1">
        <f>IF(C28="Orlov",Stamoplysninger!$E$15*7.4,0)</f>
        <v>0</v>
      </c>
      <c r="AG28">
        <f>IF(AND(C28="Skema 1",B28="ma"),Arbejdstidsoversigt!$E$72,"")</f>
        <v>7.75</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8"/>
        <v>7.75</v>
      </c>
      <c r="BB28" s="229">
        <f t="shared" si="9"/>
        <v>186</v>
      </c>
      <c r="BC28" s="1">
        <f t="shared" si="24"/>
        <v>0</v>
      </c>
      <c r="BD28" s="1">
        <f t="shared" si="10"/>
        <v>0</v>
      </c>
      <c r="BE28" s="1">
        <f t="shared" si="11"/>
        <v>0</v>
      </c>
      <c r="BF28" s="1">
        <f t="shared" si="12"/>
        <v>0</v>
      </c>
      <c r="BG28" s="210">
        <f>IF(AND(C28="Skema 1",B28="ma"),Skemaoplysninger!$E$30,"")</f>
        <v>0.16319444444444445</v>
      </c>
      <c r="BH28" s="210" t="str">
        <f>IF(AND(C28="Skema 1",B28="ti"),Skemaoplysninger!$G$30,"")</f>
        <v/>
      </c>
      <c r="BI28" s="210" t="str">
        <f>IF(AND(C28="Skema 1",B28="on"),Skemaoplysninger!$I$30,"")</f>
        <v/>
      </c>
      <c r="BJ28" s="210" t="str">
        <f>IF(AND(C28="Skema 1",B28="to"),Skemaoplysninger!$K$30,"")</f>
        <v/>
      </c>
      <c r="BK28" s="210" t="str">
        <f>IF(AND(C28="Skema 1",B28="fr"),Skemaoplysninger!$M$30,"")</f>
        <v/>
      </c>
      <c r="BL28" s="210" t="str">
        <f>IF(AND(C28="Skema 2",B28="ma"),Skemaoplysninger!$S$30,"")</f>
        <v/>
      </c>
      <c r="BM28" s="210" t="str">
        <f>IF(AND(C28="Skema 2",B28="ti"),Skemaoplysninger!$U$30,"")</f>
        <v/>
      </c>
      <c r="BN28" s="210" t="str">
        <f>IF(AND(C28="Skema 2",B28="on"),Skemaoplysninger!$W$30,"")</f>
        <v/>
      </c>
      <c r="BO28" s="210" t="str">
        <f>IF(AND(C28="Skema 2",B28="to"),Skemaoplysninger!$Y$30,"")</f>
        <v/>
      </c>
      <c r="BP28" s="210" t="str">
        <f>IF(AND(C28="Skema 2",B28="fr"),Skemaoplysninger!$AA$30,"")</f>
        <v/>
      </c>
      <c r="BQ28" s="210" t="str">
        <f>IF(AND(C28="Skema 3",B28="ma"),Skemaoplysninger!$AG$30,"")</f>
        <v/>
      </c>
      <c r="BR28" s="210" t="str">
        <f>IF(AND(C28="Skema 3",B28="ti"),Skemaoplysninger!$AI$30,"")</f>
        <v/>
      </c>
      <c r="BS28" s="210" t="str">
        <f>IF(AND(C28="Skema 3",B28="on"),Skemaoplysninger!$AK$30,"")</f>
        <v/>
      </c>
      <c r="BT28" s="210" t="str">
        <f>IF(AND(C28="Skema 3",B28="to"),Skemaoplysninger!$AM$30,"")</f>
        <v/>
      </c>
      <c r="BU28" s="210" t="str">
        <f>IF(AND(C28="Skema 3",B28="fr"),Skemaoplysninger!$AO$30,"")</f>
        <v/>
      </c>
      <c r="BV28" s="210" t="str">
        <f>IF(AND(C28="Skema 4",B28="ma"),Skemaoplysninger!$AU$30,"")</f>
        <v/>
      </c>
      <c r="BW28" s="210" t="str">
        <f>IF(AND(C28="Skema 4",B28="ti"),Skemaoplysninger!$AW$30,"")</f>
        <v/>
      </c>
      <c r="BX28" s="210" t="str">
        <f>IF(AND(C28="Skema 4",B28="on"),Skemaoplysninger!$AY$30,"")</f>
        <v/>
      </c>
      <c r="BY28" s="210" t="str">
        <f>IF(AND(C28="Skema 4",B28="to"),Skemaoplysninger!$BA$30,"")</f>
        <v/>
      </c>
      <c r="BZ28" s="210" t="str">
        <f>IF(AND(C28="Skema 4",B28="fr"),Skemaoplysninger!$BC$30,"")</f>
        <v/>
      </c>
      <c r="CA28" s="1">
        <f t="shared" si="25"/>
        <v>3.916666666666667</v>
      </c>
      <c r="CB28" s="1">
        <f t="shared" si="13"/>
        <v>0</v>
      </c>
      <c r="CC28" s="1">
        <f t="shared" si="14"/>
        <v>0</v>
      </c>
      <c r="CD28" s="210">
        <f>IF(AND(C28="Skema 1",B28="ma"),Skemaoplysninger!$E$31,"")</f>
        <v>3.4722222222222224E-2</v>
      </c>
      <c r="CE28" s="210" t="str">
        <f>IF(AND(C28="Skema 1",B28="ti"),Skemaoplysninger!$G$31,"")</f>
        <v/>
      </c>
      <c r="CF28" s="210" t="str">
        <f>IF(AND(C28="Skema 1",B28="on"),Skemaoplysninger!$I$31,"")</f>
        <v/>
      </c>
      <c r="CG28" s="210" t="str">
        <f>IF(AND(C28="Skema 1",B28="to"),Skemaoplysninger!$K$31,"")</f>
        <v/>
      </c>
      <c r="CH28" s="210" t="str">
        <f>IF(AND(C28="Skema 1",B28="fr"),Skemaoplysninger!$M$31,"")</f>
        <v/>
      </c>
      <c r="CI28" s="210" t="str">
        <f>IF(AND(C28="Skema 2",B28="ma"),Skemaoplysninger!$S$31,"")</f>
        <v/>
      </c>
      <c r="CJ28" s="210" t="str">
        <f>IF(AND(C28="Skema 2",B28="ti"),Skemaoplysninger!$U$31,"")</f>
        <v/>
      </c>
      <c r="CK28" s="210" t="str">
        <f>IF(AND(C28="Skema 2",B28="on"),Skemaoplysninger!$W$31,"")</f>
        <v/>
      </c>
      <c r="CL28" s="210" t="str">
        <f>IF(AND(C28="Skema 2",B28="to"),Skemaoplysninger!$Y$31,"")</f>
        <v/>
      </c>
      <c r="CM28" s="210" t="str">
        <f>IF(AND(C28="Skema 2",B28="fr"),Skemaoplysninger!$AA$31,"")</f>
        <v/>
      </c>
      <c r="CN28" s="210" t="str">
        <f>IF(AND(C28="Skema 3",B28="ma"),Skemaoplysninger!$AG$31,"")</f>
        <v/>
      </c>
      <c r="CO28" s="210" t="str">
        <f>IF(AND(C28="Skema 3",B28="ti"),Skemaoplysninger!$AI$31,"")</f>
        <v/>
      </c>
      <c r="CP28" s="210" t="str">
        <f>IF(AND(C28="Skema 3",B28="on"),Skemaoplysninger!$AK$31,"")</f>
        <v/>
      </c>
      <c r="CQ28" s="210" t="str">
        <f>IF(AND(C28="Skema 3",B28="to"),Skemaoplysninger!$AM$31,"")</f>
        <v/>
      </c>
      <c r="CR28" s="210" t="str">
        <f>IF(AND(C28="Skema 3",B28="fr"),Skemaoplysninger!$AO$31,"")</f>
        <v/>
      </c>
      <c r="CS28" s="210" t="str">
        <f>IF(AND(C28="Skema 4",B28="ma"),Skemaoplysninger!$AU$31,"")</f>
        <v/>
      </c>
      <c r="CT28" s="210" t="str">
        <f>IF(AND(C28="Skema 4",B28="ti"),Skemaoplysninger!$AW$31,"")</f>
        <v/>
      </c>
      <c r="CU28" s="210" t="str">
        <f>IF(AND(C28="Skema 4",B28="on"),Skemaoplysninger!$AY$31,"")</f>
        <v/>
      </c>
      <c r="CV28" s="210" t="str">
        <f>IF(AND(C28="Skema 4",B28="to"),Skemaoplysninger!$BA$31,"")</f>
        <v/>
      </c>
      <c r="CW28" s="210" t="str">
        <f>IF(AND(C28="Skema 4",B28="fr"),Skemaoplysninger!$BC$31,"")</f>
        <v/>
      </c>
      <c r="CX28" s="249">
        <f>IF(Stamoplysninger!$H$29="NEJ",SUM(CD28:CW28)*24+CB28+CC28,0)</f>
        <v>0.83333333333333337</v>
      </c>
      <c r="CY28" s="249">
        <f>IF(C28="Skema 1",Stamoplysninger!$H$30/200,0)</f>
        <v>0</v>
      </c>
      <c r="CZ28" s="249">
        <f>IF(C28="Skema 2",Stamoplysninger!$H$30/200,0)</f>
        <v>0</v>
      </c>
      <c r="DA28" s="249">
        <f>IF(C28="Skema 3",Stamoplysninger!$H$30/200,0)</f>
        <v>0</v>
      </c>
      <c r="DB28" s="249">
        <f>IF(C28="Skema 4",Stamoplysninger!$H$30/200,0)</f>
        <v>0</v>
      </c>
      <c r="DC28" s="249">
        <f>IF(C28="fagdag",Stamoplysninger!$H$30/200,0)</f>
        <v>0</v>
      </c>
      <c r="DD28" s="249">
        <f>IF(C28="emnedag",Stamoplysninger!$H$30/200,0)</f>
        <v>0</v>
      </c>
      <c r="DE28" s="249">
        <f>IF(C28="lejrskole",Stamoplysninger!$H$30/200,0)</f>
        <v>0</v>
      </c>
      <c r="DF28" s="249">
        <f>IF(C28="ekskursion",Stamoplysninger!$H$30/200,0)</f>
        <v>0</v>
      </c>
      <c r="DG28" s="249">
        <f t="shared" si="26"/>
        <v>0</v>
      </c>
      <c r="DH28" t="str">
        <f t="shared" si="27"/>
        <v/>
      </c>
      <c r="DI28">
        <f t="shared" si="28"/>
        <v>0</v>
      </c>
      <c r="DJ28">
        <f t="shared" si="29"/>
        <v>0</v>
      </c>
      <c r="DK28" t="str">
        <f t="shared" si="15"/>
        <v/>
      </c>
      <c r="DL28" t="str">
        <f t="shared" si="15"/>
        <v/>
      </c>
      <c r="DM28" t="str">
        <f t="shared" si="30"/>
        <v/>
      </c>
      <c r="DN28" t="str">
        <f t="shared" si="31"/>
        <v/>
      </c>
      <c r="DO28" s="652">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71">
        <f>IF(AND(Stamoplysninger!$B$22="Ulempetillæg udbetales med 25% af nettotimelønnen.",C28="ikke relevant"),(R28)/4,0)</f>
        <v>0</v>
      </c>
      <c r="DT28" s="671">
        <f>IF(AND(AND(Stamoplysninger!$B$22="Ulempetillæg udbetales med 25% af nettotimelønnen.",I28="X",C28="Ikke relevant")),K28/4,0)</f>
        <v>0</v>
      </c>
      <c r="DU28" s="671">
        <f>IF(AND(AND(Stamoplysninger!$B$22="Ulempetillæg udbetales med 25% af nettotimelønnen.",C28="ikke relevant",U28="X")),(X28/4),0)</f>
        <v>0</v>
      </c>
      <c r="DV28" s="672">
        <f>IF(AND(AND(AND(Stamoplysninger!$B$22="Ulempetillæg udbetales med 25% af nettotimelønnen.",I28="X",C28="Ikke relevant",S28="X"))),V28/4,0)</f>
        <v>0</v>
      </c>
      <c r="DW28" s="652"/>
      <c r="DZ28" s="671"/>
      <c r="EA28" s="671"/>
      <c r="EB28" s="672"/>
      <c r="EC28" s="652">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71">
        <f>IF(AND(Stamoplysninger!$B$22="Ulempetillæg afspadseres med 25%(Kræver en aftale imellem ledelsen og den ansatte)",C28="ikke relevant"),(R28)/4,0)</f>
        <v>0</v>
      </c>
      <c r="EH28" s="671">
        <f>IF(AND(AND(Stamoplysninger!$B$22="Ulempetillæg afspadseres med 25%(Kræver en aftale imellem ledelsen og den ansatte)",I28="X",C28="Ikke relevant")),K28/4,0)</f>
        <v>0</v>
      </c>
      <c r="EI28" s="671">
        <f>IF(AND(AND(Stamoplysninger!$B$22="Ulempetillæg afspadseres med 25%(Kræver en aftale imellem ledelsen og den ansatte)",U28="X",C28="Ikke relevant")),X28/4,0)</f>
        <v>0</v>
      </c>
      <c r="EJ28" s="671">
        <f>IF(AND(AND(AND(Stamoplysninger!$B$22="Ulempetillæg afspadseres med 25%(Kræver en aftale imellem ledelsen og den ansatte)",I28="X",C28="Ikke relevant",S28="X"))),V28/4,0)</f>
        <v>0</v>
      </c>
      <c r="EK28" s="283">
        <f>IF(AND(Stamoplysninger!$B$26="Weekendtimer og weekendtillæg afspadseres.",I28="X"),K28*1.5,0)</f>
        <v>0</v>
      </c>
      <c r="EL28" s="251">
        <f>IF(AND(AND(Stamoplysninger!$B$26="Weekendtimer og weekendtillæg afspadseres.",I28="X",S28="X")),V28*1.5,0)</f>
        <v>0</v>
      </c>
      <c r="EM28" s="674">
        <f>IF(AND(AND(Stamoplysninger!$B$26="Weekendtimer og weekendtillæg afspadseres.",I28="X",C28="ikke relevant")),K28*1.5,0)</f>
        <v>0</v>
      </c>
      <c r="EN28" s="675">
        <f>IF(AND(AND(AND(Stamoplysninger!$B$26="Weekendtimer og weekendtillæg afspadseres.",I28="X",C28="ikke relevant",S28="X"))),(V28*1.5),0)</f>
        <v>0</v>
      </c>
      <c r="EO28" s="283">
        <f>IF(AND(Stamoplysninger!$B$26="Weekendtimer og weekendtillæg udbetales.",I28="X"),K28*1.5,0)</f>
        <v>0</v>
      </c>
      <c r="EP28" s="251">
        <f>IF(AND(AND(Stamoplysninger!$B$26="Weekendtimer og weekendtillæg udbetales.",I28="X",S28="X")),V28*1.5,0)</f>
        <v>0</v>
      </c>
      <c r="EQ28" s="674">
        <f>IF(AND(AND(Stamoplysninger!$B$26="Weekendtimer og weekendtillæg udbetales.",I28="X",C28="ikke relevant")),K28*1.5,0)</f>
        <v>0</v>
      </c>
      <c r="ER28" s="675">
        <f>IF(AND(AND(AND(Stamoplysninger!$B$26="Weekendtimer og weekendtillæg udbetales.",I28="X",C28="ikke relevant",S28="X"))),(V28*1.5),0)</f>
        <v>0</v>
      </c>
      <c r="ES28" s="283">
        <f>IF(AND(Stamoplysninger!$B$26="Der er indgået lokalaftale omkring weekendtimer.(Kræver aftale med TR/FSL) Weekendtillæg afspadseres.",I28="X"),K28*0.5,0)</f>
        <v>0</v>
      </c>
      <c r="ET28" s="251">
        <f>IF(AND(AND(Stamoplysninger!$B$26="Der er indgået lokalaftale omkring weekendtimer.(Kræver aftale med TR/FSL) Weekendtillæg afspadseres.",I28="X",S28="X")),V28*0.5,0)</f>
        <v>0</v>
      </c>
      <c r="EU28" s="674">
        <f>IF(AND(AND(Stamoplysninger!$B$26="Der er indgået lokalaftale omkring weekendtimer.(Kræver aftale med TR/FSL) Weekendtillæg afspadseres.",I28="X",C28="ikke relevant")),K28*0.5,0)</f>
        <v>0</v>
      </c>
      <c r="EV28" s="675">
        <f>IF(AND(AND(AND(Stamoplysninger!$B$26="Der er indgået lokalaftale omkring weekendtimer.(Kræver aftale med TR/FSL) Weekendtillæg afspadseres.",I28="X",C28="ikke relevant",S28="X"))),(V28*0.5),0)</f>
        <v>0</v>
      </c>
      <c r="EW28" s="283">
        <f>IF(AND(Stamoplysninger!$B$26="Der er indgået lokalaftale omkring weekendtimer(Kræver aftale med TR/FSL). Weekendtillæg udbetales.",I28="X"),K28*0.5,0)</f>
        <v>0</v>
      </c>
      <c r="EX28" s="251">
        <f>IF(AND(AND(Stamoplysninger!$B$26="Der er indgået lokalaftale omkring weekendtimer(Kræver aftale med TR/FSL). Weekendtillæg udbetales.",I28="X",S28="X")),V28*0.5,0)</f>
        <v>0</v>
      </c>
      <c r="EY28" s="674">
        <f>IF(AND(AND(Stamoplysninger!$B$26="Der er indgået lokalaftale omkring weekendtimer(Kræver aftale med TR/FSL). Weekendtillæg udbetales.",I28="X",C28="ikke relevant")),K28*0.5,0)</f>
        <v>0</v>
      </c>
      <c r="EZ28" s="675">
        <f>IF(AND(AND(AND(Stamoplysninger!$B$26="Der er indgået lokalaftale omkring weekendtimer(Kræver aftale med TR/FSL). Weekendtillæg udbetales.",I28="X",C28="ikke relevant",S28="X"))),(V28*0.5),0)</f>
        <v>0</v>
      </c>
      <c r="FA28" s="283">
        <f>IF(AND(Stamoplysninger!$B$26="Der er indgået lokalaftale omkring weekendtillæg(Kræver aftale med TR/FSL). Weekendtimerne afspadseres.",I28="X"),K28,0)</f>
        <v>0</v>
      </c>
      <c r="FB28" s="251">
        <f>IF(AND(AND(Stamoplysninger!$B$26="Der er indgået lokalaftale omkring weekendtillæg(Kræver aftale med TR/FSL). Weekendtimerne afspadseres.",I28="X",S28="X")),V28,0)</f>
        <v>0</v>
      </c>
      <c r="FC28" s="674">
        <f>IF(AND(AND(Stamoplysninger!$B$26="Der er indgået lokalaftale omkring weekendtillæg(Kræver aftale med TR/FSL). Weekendtimerne afspadseres..",I28="X",C28="ikke relevant")),K28,0)</f>
        <v>0</v>
      </c>
      <c r="FD28" s="675">
        <f>IF(AND(AND(AND(Stamoplysninger!$B$26="Der er indgået lokalaftale omkring weekendtillæg(Kræver aftale med TR/FSL). Weekendtimerne afspadseres.",I28="X",C28="ikke relevant",S28="X"))),(V28),0)</f>
        <v>0</v>
      </c>
      <c r="FE28" s="283">
        <f>IF(AND(Stamoplysninger!$B$26="Der er indgået lokalaftale omkring weekendtillæg(Kræver aftale med TR/FSL). Weekendtimerne udbetales.",I28="X"),K28,0)</f>
        <v>0</v>
      </c>
      <c r="FF28" s="251">
        <f>IF(AND(AND(Stamoplysninger!$B$26="Der er indgået lokalaftale omkring weekendtillæg(Kræver aftale med TR/FSL). Weekendtimerne udbetales.",I28="X",S28="X")),V28,0)</f>
        <v>0</v>
      </c>
      <c r="FG28" s="674">
        <f>IF(AND(AND(Stamoplysninger!$B$26="Der er indgået lokalaftale omkring weekendtillæg(Kræver aftale med TR/FSL). Weekendtimerne udbetales.",I28="X",C28="ikke relevant")),K28,0)</f>
        <v>0</v>
      </c>
      <c r="FH28" s="675">
        <f>IF(AND(AND(AND(Stamoplysninger!$B$26="Der er indgået lokalaftale omkring weekendtillæg(Kræver aftale med TR/FSL). Weekendtimerne udbetales.",I28="X",C28="ikke relevant",S28="X"))),(V28),0)</f>
        <v>0</v>
      </c>
      <c r="FI28" s="283">
        <f>IF(AND(Stamoplysninger!$B$26="Weekendtimer og weekendtillæg afspadseres.",I28="X"),K28,0)</f>
        <v>0</v>
      </c>
      <c r="FJ28" s="251">
        <f>IF(AND(Stamoplysninger!$B$26="Weekendtimer og weekendtillæg afspadseres.",Y28="X"),(AA28+AL28)/2,0)</f>
        <v>0</v>
      </c>
      <c r="FK28" s="674">
        <f>IF(AND(AND(Stamoplysninger!$B$26="Weekendtimer og weekendtillæg afspadseres.",I28="X",C28="ikke relevant")),K28,0)</f>
        <v>0</v>
      </c>
      <c r="FL28" s="675">
        <f>IF(AND(AND(Stamoplysninger!$B$26="Weekendtimer og weekendtillæg afspadseres.",Y28="X",S28="ikke relevant")),(AA28+AL28)/2,0)</f>
        <v>0</v>
      </c>
      <c r="FM28" s="283">
        <f>IF(AND(Stamoplysninger!$B$26="Der er indgået lokalaftale omkring weekendtillæg(Kræver aftale med TR/FSL). Weekendtimerne afspadseres.",I28="X"),K28,0)</f>
        <v>0</v>
      </c>
      <c r="FN28" s="674">
        <f>IF(AND(AND(Stamoplysninger!$B$26="Der er indgået lokalaftale omkring weekendtillæg(Kræver aftale med TR/FSL). Weekendtimerne afspadseres.",I28="X",C28="ikke relevant")),K28,0)</f>
        <v>0</v>
      </c>
      <c r="FO28" s="283">
        <f>IF(AND(Stamoplysninger!$B$26="Weekendtimer og weekendtillæg udbetales.",I28="X"),K28,0)</f>
        <v>0</v>
      </c>
      <c r="FP28" s="251">
        <f>IF(AND(Stamoplysninger!$B$26="Weekendtimer og weekendtillæg udbetales.",AA28="X"),(AC28+AN28)/2,0)</f>
        <v>0</v>
      </c>
      <c r="FQ28" s="674">
        <f>IF(AND(AND(Stamoplysninger!$B$26="Weekendtimer og weekendtillæg udbetales.",I28="X",C28="ikke relevant")),K28,0)</f>
        <v>0</v>
      </c>
      <c r="FR28" s="688">
        <f>IF(AND(AND(Stamoplysninger!$B$26="Weekendtimer og weekendtillæg udbetales.",AA28="X",U28="ikke relevant")),(AC28+AN28)/2,0)</f>
        <v>0</v>
      </c>
      <c r="FS28" s="283">
        <f t="shared" si="16"/>
        <v>0</v>
      </c>
      <c r="FT28" s="658">
        <f t="shared" si="17"/>
        <v>0</v>
      </c>
      <c r="FU28">
        <f t="shared" si="18"/>
        <v>0</v>
      </c>
      <c r="FV28" s="283">
        <f>IF(AND(Stamoplysninger!$B$26="Der er indgået lokalaftale omkring weekendtimer.(Kræver aftale med TR/FSL) Weekendtillæg afspadseres.",I28="X"),K28,0)</f>
        <v>0</v>
      </c>
      <c r="FW28" s="674">
        <f>IF(AND(AND(Stamoplysninger!$B$26="Der er indgået lokalaftale omkring weekendtimer.(Kræver aftale med TR/FSL) Weekendtillæg afspadseres.",I28="X",C28="ikke relevant")),K28,0)</f>
        <v>0</v>
      </c>
      <c r="FX28" s="283">
        <f>IF(AND(Stamoplysninger!$B$26="Der er indgået lokalaftale omkring weekendtimer(Kræver aftale med TR/FSL). Weekendtillæg udbetales.",I28="X"),K28,0)</f>
        <v>0</v>
      </c>
      <c r="FY28" s="674">
        <f>IF(AND(AND(Stamoplysninger!$B$26="Der er indgået lokalaftale omkring weekendtimer(Kræver aftale med TR/FSL). Weekendtillæg udbetales.",I28="X",C28="ikke relevant")),K28,0)</f>
        <v>0</v>
      </c>
      <c r="FZ28" s="283">
        <f>IF(AND(Stamoplysninger!$B$26="Der er indgået lokalaftale omkring weekendtillæg(Kræver aftale med TR/FSL). Weekendtimerne udbetales.",I28="X"),K28,0)</f>
        <v>0</v>
      </c>
      <c r="GA28" s="674">
        <f>IF(AND(AND(Stamoplysninger!$B$26="Der er indgået lokalaftale omkring weekendtillæg(Kræver aftale med TR/FSL). Weekendtimerne udbetales.",I28="X",C28="ikke relevant")),K28,0)</f>
        <v>0</v>
      </c>
      <c r="GB28" s="283">
        <f>IF(AND(Stamoplysninger!$B$26="Der er indgået lokalaftale omkring weekendtimer og weekendtillæg.(Kræver aftale med TR/FSL).",I28="X"),K28,0)</f>
        <v>0</v>
      </c>
      <c r="GC28" s="674">
        <f>IF(AND(AND(Stamoplysninger!$B$26="Der er indgået lokalaftale omkring weekendtimer og weekendtillæg.(Kræver aftale med TR/FSL).",I28="X",C28="ikke relevant")),K28,0)</f>
        <v>0</v>
      </c>
    </row>
    <row r="29" spans="1:185">
      <c r="A29" s="245">
        <f t="shared" si="19"/>
        <v>20</v>
      </c>
      <c r="B29" s="128" t="str">
        <f t="shared" si="0"/>
        <v>ti</v>
      </c>
      <c r="C29" s="129" t="s">
        <v>206</v>
      </c>
      <c r="D29" s="130" t="str">
        <f t="shared" si="1"/>
        <v/>
      </c>
      <c r="E29" s="917"/>
      <c r="F29" s="918"/>
      <c r="G29" s="919"/>
      <c r="H29" s="298"/>
      <c r="I29" s="527"/>
      <c r="J29" s="413"/>
      <c r="K29" s="380"/>
      <c r="L29" s="380"/>
      <c r="M29" s="380"/>
      <c r="N29" s="318">
        <f t="shared" si="20"/>
        <v>7.75</v>
      </c>
      <c r="O29" s="318">
        <f t="shared" si="21"/>
        <v>4.5</v>
      </c>
      <c r="P29" s="318">
        <f>IF(Stamoplysninger!$H$29="JA",August!DG29,CX29)</f>
        <v>1</v>
      </c>
      <c r="Q29" s="318">
        <f t="shared" si="22"/>
        <v>2.25</v>
      </c>
      <c r="R29" s="412"/>
      <c r="S29" s="324"/>
      <c r="T29" s="325"/>
      <c r="U29" s="325"/>
      <c r="V29" s="435"/>
      <c r="W29" s="412"/>
      <c r="X29" s="642"/>
      <c r="Y29">
        <f t="shared" si="23"/>
        <v>0</v>
      </c>
      <c r="Z29">
        <f t="shared" si="2"/>
        <v>0</v>
      </c>
      <c r="AA29" s="1">
        <f t="shared" si="3"/>
        <v>0</v>
      </c>
      <c r="AB29" s="1">
        <f t="shared" si="4"/>
        <v>0</v>
      </c>
      <c r="AC29" s="1">
        <f t="shared" si="5"/>
        <v>0</v>
      </c>
      <c r="AD29" s="1">
        <f t="shared" si="6"/>
        <v>0</v>
      </c>
      <c r="AE29" s="1">
        <f t="shared" si="7"/>
        <v>0</v>
      </c>
      <c r="AF29" s="1">
        <f>IF(C29="Orlov",Stamoplysninger!$E$15*7.4,0)</f>
        <v>0</v>
      </c>
      <c r="AG29" t="str">
        <f>IF(AND(C29="Skema 1",B29="ma"),Arbejdstidsoversigt!$E$72,"")</f>
        <v/>
      </c>
      <c r="AH29">
        <f>IF(AND(C29="Skema 1",B29="ti"),Arbejdstidsoversigt!$E$73,"")</f>
        <v>7.75</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8"/>
        <v>7.75</v>
      </c>
      <c r="BB29" s="229">
        <f t="shared" si="9"/>
        <v>186</v>
      </c>
      <c r="BC29" s="1">
        <f t="shared" si="24"/>
        <v>0</v>
      </c>
      <c r="BD29" s="1">
        <f t="shared" si="10"/>
        <v>0</v>
      </c>
      <c r="BE29" s="1">
        <f t="shared" si="11"/>
        <v>0</v>
      </c>
      <c r="BF29" s="1">
        <f t="shared" si="12"/>
        <v>0</v>
      </c>
      <c r="BG29" s="210" t="str">
        <f>IF(AND(C29="Skema 1",B29="ma"),Skemaoplysninger!$E$30,"")</f>
        <v/>
      </c>
      <c r="BH29" s="210">
        <f>IF(AND(C29="Skema 1",B29="ti"),Skemaoplysninger!$G$30,"")</f>
        <v>0.1875</v>
      </c>
      <c r="BI29" s="210" t="str">
        <f>IF(AND(C29="Skema 1",B29="on"),Skemaoplysninger!$I$30,"")</f>
        <v/>
      </c>
      <c r="BJ29" s="210" t="str">
        <f>IF(AND(C29="Skema 1",B29="to"),Skemaoplysninger!$K$30,"")</f>
        <v/>
      </c>
      <c r="BK29" s="210" t="str">
        <f>IF(AND(C29="Skema 1",B29="fr"),Skemaoplysninger!$M$30,"")</f>
        <v/>
      </c>
      <c r="BL29" s="210" t="str">
        <f>IF(AND(C29="Skema 2",B29="ma"),Skemaoplysninger!$S$30,"")</f>
        <v/>
      </c>
      <c r="BM29" s="210" t="str">
        <f>IF(AND(C29="Skema 2",B29="ti"),Skemaoplysninger!$U$30,"")</f>
        <v/>
      </c>
      <c r="BN29" s="210" t="str">
        <f>IF(AND(C29="Skema 2",B29="on"),Skemaoplysninger!$W$30,"")</f>
        <v/>
      </c>
      <c r="BO29" s="210" t="str">
        <f>IF(AND(C29="Skema 2",B29="to"),Skemaoplysninger!$Y$30,"")</f>
        <v/>
      </c>
      <c r="BP29" s="210" t="str">
        <f>IF(AND(C29="Skema 2",B29="fr"),Skemaoplysninger!$AA$30,"")</f>
        <v/>
      </c>
      <c r="BQ29" s="210" t="str">
        <f>IF(AND(C29="Skema 3",B29="ma"),Skemaoplysninger!$AG$30,"")</f>
        <v/>
      </c>
      <c r="BR29" s="210" t="str">
        <f>IF(AND(C29="Skema 3",B29="ti"),Skemaoplysninger!$AI$30,"")</f>
        <v/>
      </c>
      <c r="BS29" s="210" t="str">
        <f>IF(AND(C29="Skema 3",B29="on"),Skemaoplysninger!$AK$30,"")</f>
        <v/>
      </c>
      <c r="BT29" s="210" t="str">
        <f>IF(AND(C29="Skema 3",B29="to"),Skemaoplysninger!$AM$30,"")</f>
        <v/>
      </c>
      <c r="BU29" s="210" t="str">
        <f>IF(AND(C29="Skema 3",B29="fr"),Skemaoplysninger!$AO$30,"")</f>
        <v/>
      </c>
      <c r="BV29" s="210" t="str">
        <f>IF(AND(C29="Skema 4",B29="ma"),Skemaoplysninger!$AU$30,"")</f>
        <v/>
      </c>
      <c r="BW29" s="210" t="str">
        <f>IF(AND(C29="Skema 4",B29="ti"),Skemaoplysninger!$AW$30,"")</f>
        <v/>
      </c>
      <c r="BX29" s="210" t="str">
        <f>IF(AND(C29="Skema 4",B29="on"),Skemaoplysninger!$AY$30,"")</f>
        <v/>
      </c>
      <c r="BY29" s="210" t="str">
        <f>IF(AND(C29="Skema 4",B29="to"),Skemaoplysninger!$BA$30,"")</f>
        <v/>
      </c>
      <c r="BZ29" s="210" t="str">
        <f>IF(AND(C29="Skema 4",B29="fr"),Skemaoplysninger!$BC$30,"")</f>
        <v/>
      </c>
      <c r="CA29" s="1">
        <f t="shared" si="25"/>
        <v>4.5</v>
      </c>
      <c r="CB29" s="1">
        <f t="shared" si="13"/>
        <v>0</v>
      </c>
      <c r="CC29" s="1">
        <f t="shared" si="14"/>
        <v>0</v>
      </c>
      <c r="CD29" s="210" t="str">
        <f>IF(AND(C29="Skema 1",B29="ma"),Skemaoplysninger!$E$31,"")</f>
        <v/>
      </c>
      <c r="CE29" s="210">
        <f>IF(AND(C29="Skema 1",B29="ti"),Skemaoplysninger!$G$31,"")</f>
        <v>4.1666666666666671E-2</v>
      </c>
      <c r="CF29" s="210" t="str">
        <f>IF(AND(C29="Skema 1",B29="on"),Skemaoplysninger!$I$31,"")</f>
        <v/>
      </c>
      <c r="CG29" s="210" t="str">
        <f>IF(AND(C29="Skema 1",B29="to"),Skemaoplysninger!$K$31,"")</f>
        <v/>
      </c>
      <c r="CH29" s="210" t="str">
        <f>IF(AND(C29="Skema 1",B29="fr"),Skemaoplysninger!$M$31,"")</f>
        <v/>
      </c>
      <c r="CI29" s="210" t="str">
        <f>IF(AND(C29="Skema 2",B29="ma"),Skemaoplysninger!$S$31,"")</f>
        <v/>
      </c>
      <c r="CJ29" s="210" t="str">
        <f>IF(AND(C29="Skema 2",B29="ti"),Skemaoplysninger!$U$31,"")</f>
        <v/>
      </c>
      <c r="CK29" s="210" t="str">
        <f>IF(AND(C29="Skema 2",B29="on"),Skemaoplysninger!$W$31,"")</f>
        <v/>
      </c>
      <c r="CL29" s="210" t="str">
        <f>IF(AND(C29="Skema 2",B29="to"),Skemaoplysninger!$Y$31,"")</f>
        <v/>
      </c>
      <c r="CM29" s="210" t="str">
        <f>IF(AND(C29="Skema 2",B29="fr"),Skemaoplysninger!$AA$31,"")</f>
        <v/>
      </c>
      <c r="CN29" s="210" t="str">
        <f>IF(AND(C29="Skema 3",B29="ma"),Skemaoplysninger!$AG$31,"")</f>
        <v/>
      </c>
      <c r="CO29" s="210" t="str">
        <f>IF(AND(C29="Skema 3",B29="ti"),Skemaoplysninger!$AI$31,"")</f>
        <v/>
      </c>
      <c r="CP29" s="210" t="str">
        <f>IF(AND(C29="Skema 3",B29="on"),Skemaoplysninger!$AK$31,"")</f>
        <v/>
      </c>
      <c r="CQ29" s="210" t="str">
        <f>IF(AND(C29="Skema 3",B29="to"),Skemaoplysninger!$AM$31,"")</f>
        <v/>
      </c>
      <c r="CR29" s="210" t="str">
        <f>IF(AND(C29="Skema 3",B29="fr"),Skemaoplysninger!$AO$31,"")</f>
        <v/>
      </c>
      <c r="CS29" s="210" t="str">
        <f>IF(AND(C29="Skema 4",B29="ma"),Skemaoplysninger!$AU$31,"")</f>
        <v/>
      </c>
      <c r="CT29" s="210" t="str">
        <f>IF(AND(C29="Skema 4",B29="ti"),Skemaoplysninger!$AW$31,"")</f>
        <v/>
      </c>
      <c r="CU29" s="210" t="str">
        <f>IF(AND(C29="Skema 4",B29="on"),Skemaoplysninger!$AY$31,"")</f>
        <v/>
      </c>
      <c r="CV29" s="210" t="str">
        <f>IF(AND(C29="Skema 4",B29="to"),Skemaoplysninger!$BA$31,"")</f>
        <v/>
      </c>
      <c r="CW29" s="210" t="str">
        <f>IF(AND(C29="Skema 4",B29="fr"),Skemaoplysninger!$BC$31,"")</f>
        <v/>
      </c>
      <c r="CX29" s="249">
        <f>IF(Stamoplysninger!$H$29="NEJ",SUM(CD29:CW29)*24+CB29+CC29,0)</f>
        <v>1</v>
      </c>
      <c r="CY29" s="249">
        <f>IF(C29="Skema 1",Stamoplysninger!$H$30/200,0)</f>
        <v>0</v>
      </c>
      <c r="CZ29" s="249">
        <f>IF(C29="Skema 2",Stamoplysninger!$H$30/200,0)</f>
        <v>0</v>
      </c>
      <c r="DA29" s="249">
        <f>IF(C29="Skema 3",Stamoplysninger!$H$30/200,0)</f>
        <v>0</v>
      </c>
      <c r="DB29" s="249">
        <f>IF(C29="Skema 4",Stamoplysninger!$H$30/200,0)</f>
        <v>0</v>
      </c>
      <c r="DC29" s="249">
        <f>IF(C29="fagdag",Stamoplysninger!$H$30/200,0)</f>
        <v>0</v>
      </c>
      <c r="DD29" s="249">
        <f>IF(C29="emnedag",Stamoplysninger!$H$30/200,0)</f>
        <v>0</v>
      </c>
      <c r="DE29" s="249">
        <f>IF(C29="lejrskole",Stamoplysninger!$H$30/200,0)</f>
        <v>0</v>
      </c>
      <c r="DF29" s="249">
        <f>IF(C29="ekskursion",Stamoplysninger!$H$30/200,0)</f>
        <v>0</v>
      </c>
      <c r="DG29" s="249">
        <f t="shared" si="26"/>
        <v>0</v>
      </c>
      <c r="DH29" t="str">
        <f t="shared" si="27"/>
        <v/>
      </c>
      <c r="DI29">
        <f t="shared" si="28"/>
        <v>0</v>
      </c>
      <c r="DJ29">
        <f t="shared" si="29"/>
        <v>0</v>
      </c>
      <c r="DK29" t="str">
        <f t="shared" si="15"/>
        <v/>
      </c>
      <c r="DL29" t="str">
        <f t="shared" si="15"/>
        <v/>
      </c>
      <c r="DM29" t="str">
        <f t="shared" si="30"/>
        <v/>
      </c>
      <c r="DN29" t="str">
        <f t="shared" si="31"/>
        <v/>
      </c>
      <c r="DO29" s="652">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71">
        <f>IF(AND(Stamoplysninger!$B$22="Ulempetillæg udbetales med 25% af nettotimelønnen.",C29="ikke relevant"),(R29)/4,0)</f>
        <v>0</v>
      </c>
      <c r="DT29" s="671">
        <f>IF(AND(AND(Stamoplysninger!$B$22="Ulempetillæg udbetales med 25% af nettotimelønnen.",I29="X",C29="Ikke relevant")),K29/4,0)</f>
        <v>0</v>
      </c>
      <c r="DU29" s="671">
        <f>IF(AND(AND(Stamoplysninger!$B$22="Ulempetillæg udbetales med 25% af nettotimelønnen.",C29="ikke relevant",U29="X")),(X29/4),0)</f>
        <v>0</v>
      </c>
      <c r="DV29" s="672">
        <f>IF(AND(AND(AND(Stamoplysninger!$B$22="Ulempetillæg udbetales med 25% af nettotimelønnen.",I29="X",C29="Ikke relevant",S29="X"))),V29/4,0)</f>
        <v>0</v>
      </c>
      <c r="DW29" s="652"/>
      <c r="DZ29" s="671"/>
      <c r="EA29" s="671"/>
      <c r="EB29" s="672"/>
      <c r="EC29" s="652">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71">
        <f>IF(AND(Stamoplysninger!$B$22="Ulempetillæg afspadseres med 25%(Kræver en aftale imellem ledelsen og den ansatte)",C29="ikke relevant"),(R29)/4,0)</f>
        <v>0</v>
      </c>
      <c r="EH29" s="671">
        <f>IF(AND(AND(Stamoplysninger!$B$22="Ulempetillæg afspadseres med 25%(Kræver en aftale imellem ledelsen og den ansatte)",I29="X",C29="Ikke relevant")),K29/4,0)</f>
        <v>0</v>
      </c>
      <c r="EI29" s="671">
        <f>IF(AND(AND(Stamoplysninger!$B$22="Ulempetillæg afspadseres med 25%(Kræver en aftale imellem ledelsen og den ansatte)",U29="X",C29="Ikke relevant")),X29/4,0)</f>
        <v>0</v>
      </c>
      <c r="EJ29" s="671">
        <f>IF(AND(AND(AND(Stamoplysninger!$B$22="Ulempetillæg afspadseres med 25%(Kræver en aftale imellem ledelsen og den ansatte)",I29="X",C29="Ikke relevant",S29="X"))),V29/4,0)</f>
        <v>0</v>
      </c>
      <c r="EK29" s="283">
        <f>IF(AND(Stamoplysninger!$B$26="Weekendtimer og weekendtillæg afspadseres.",I29="X"),K29*1.5,0)</f>
        <v>0</v>
      </c>
      <c r="EL29" s="251">
        <f>IF(AND(AND(Stamoplysninger!$B$26="Weekendtimer og weekendtillæg afspadseres.",I29="X",S29="X")),V29*1.5,0)</f>
        <v>0</v>
      </c>
      <c r="EM29" s="674">
        <f>IF(AND(AND(Stamoplysninger!$B$26="Weekendtimer og weekendtillæg afspadseres.",I29="X",C29="ikke relevant")),K29*1.5,0)</f>
        <v>0</v>
      </c>
      <c r="EN29" s="675">
        <f>IF(AND(AND(AND(Stamoplysninger!$B$26="Weekendtimer og weekendtillæg afspadseres.",I29="X",C29="ikke relevant",S29="X"))),(V29*1.5),0)</f>
        <v>0</v>
      </c>
      <c r="EO29" s="283">
        <f>IF(AND(Stamoplysninger!$B$26="Weekendtimer og weekendtillæg udbetales.",I29="X"),K29*1.5,0)</f>
        <v>0</v>
      </c>
      <c r="EP29" s="251">
        <f>IF(AND(AND(Stamoplysninger!$B$26="Weekendtimer og weekendtillæg udbetales.",I29="X",S29="X")),V29*1.5,0)</f>
        <v>0</v>
      </c>
      <c r="EQ29" s="674">
        <f>IF(AND(AND(Stamoplysninger!$B$26="Weekendtimer og weekendtillæg udbetales.",I29="X",C29="ikke relevant")),K29*1.5,0)</f>
        <v>0</v>
      </c>
      <c r="ER29" s="675">
        <f>IF(AND(AND(AND(Stamoplysninger!$B$26="Weekendtimer og weekendtillæg udbetales.",I29="X",C29="ikke relevant",S29="X"))),(V29*1.5),0)</f>
        <v>0</v>
      </c>
      <c r="ES29" s="283">
        <f>IF(AND(Stamoplysninger!$B$26="Der er indgået lokalaftale omkring weekendtimer.(Kræver aftale med TR/FSL) Weekendtillæg afspadseres.",I29="X"),K29*0.5,0)</f>
        <v>0</v>
      </c>
      <c r="ET29" s="251">
        <f>IF(AND(AND(Stamoplysninger!$B$26="Der er indgået lokalaftale omkring weekendtimer.(Kræver aftale med TR/FSL) Weekendtillæg afspadseres.",I29="X",S29="X")),V29*0.5,0)</f>
        <v>0</v>
      </c>
      <c r="EU29" s="674">
        <f>IF(AND(AND(Stamoplysninger!$B$26="Der er indgået lokalaftale omkring weekendtimer.(Kræver aftale med TR/FSL) Weekendtillæg afspadseres.",I29="X",C29="ikke relevant")),K29*0.5,0)</f>
        <v>0</v>
      </c>
      <c r="EV29" s="675">
        <f>IF(AND(AND(AND(Stamoplysninger!$B$26="Der er indgået lokalaftale omkring weekendtimer.(Kræver aftale med TR/FSL) Weekendtillæg afspadseres.",I29="X",C29="ikke relevant",S29="X"))),(V29*0.5),0)</f>
        <v>0</v>
      </c>
      <c r="EW29" s="283">
        <f>IF(AND(Stamoplysninger!$B$26="Der er indgået lokalaftale omkring weekendtimer(Kræver aftale med TR/FSL). Weekendtillæg udbetales.",I29="X"),K29*0.5,0)</f>
        <v>0</v>
      </c>
      <c r="EX29" s="251">
        <f>IF(AND(AND(Stamoplysninger!$B$26="Der er indgået lokalaftale omkring weekendtimer(Kræver aftale med TR/FSL). Weekendtillæg udbetales.",I29="X",S29="X")),V29*0.5,0)</f>
        <v>0</v>
      </c>
      <c r="EY29" s="674">
        <f>IF(AND(AND(Stamoplysninger!$B$26="Der er indgået lokalaftale omkring weekendtimer(Kræver aftale med TR/FSL). Weekendtillæg udbetales.",I29="X",C29="ikke relevant")),K29*0.5,0)</f>
        <v>0</v>
      </c>
      <c r="EZ29" s="675">
        <f>IF(AND(AND(AND(Stamoplysninger!$B$26="Der er indgået lokalaftale omkring weekendtimer(Kræver aftale med TR/FSL). Weekendtillæg udbetales.",I29="X",C29="ikke relevant",S29="X"))),(V29*0.5),0)</f>
        <v>0</v>
      </c>
      <c r="FA29" s="283">
        <f>IF(AND(Stamoplysninger!$B$26="Der er indgået lokalaftale omkring weekendtillæg(Kræver aftale med TR/FSL). Weekendtimerne afspadseres.",I29="X"),K29,0)</f>
        <v>0</v>
      </c>
      <c r="FB29" s="251">
        <f>IF(AND(AND(Stamoplysninger!$B$26="Der er indgået lokalaftale omkring weekendtillæg(Kræver aftale med TR/FSL). Weekendtimerne afspadseres.",I29="X",S29="X")),V29,0)</f>
        <v>0</v>
      </c>
      <c r="FC29" s="674">
        <f>IF(AND(AND(Stamoplysninger!$B$26="Der er indgået lokalaftale omkring weekendtillæg(Kræver aftale med TR/FSL). Weekendtimerne afspadseres..",I29="X",C29="ikke relevant")),K29,0)</f>
        <v>0</v>
      </c>
      <c r="FD29" s="675">
        <f>IF(AND(AND(AND(Stamoplysninger!$B$26="Der er indgået lokalaftale omkring weekendtillæg(Kræver aftale med TR/FSL). Weekendtimerne afspadseres.",I29="X",C29="ikke relevant",S29="X"))),(V29),0)</f>
        <v>0</v>
      </c>
      <c r="FE29" s="283">
        <f>IF(AND(Stamoplysninger!$B$26="Der er indgået lokalaftale omkring weekendtillæg(Kræver aftale med TR/FSL). Weekendtimerne udbetales.",I29="X"),K29,0)</f>
        <v>0</v>
      </c>
      <c r="FF29" s="251">
        <f>IF(AND(AND(Stamoplysninger!$B$26="Der er indgået lokalaftale omkring weekendtillæg(Kræver aftale med TR/FSL). Weekendtimerne udbetales.",I29="X",S29="X")),V29,0)</f>
        <v>0</v>
      </c>
      <c r="FG29" s="674">
        <f>IF(AND(AND(Stamoplysninger!$B$26="Der er indgået lokalaftale omkring weekendtillæg(Kræver aftale med TR/FSL). Weekendtimerne udbetales.",I29="X",C29="ikke relevant")),K29,0)</f>
        <v>0</v>
      </c>
      <c r="FH29" s="675">
        <f>IF(AND(AND(AND(Stamoplysninger!$B$26="Der er indgået lokalaftale omkring weekendtillæg(Kræver aftale med TR/FSL). Weekendtimerne udbetales.",I29="X",C29="ikke relevant",S29="X"))),(V29),0)</f>
        <v>0</v>
      </c>
      <c r="FI29" s="283">
        <f>IF(AND(Stamoplysninger!$B$26="Weekendtimer og weekendtillæg afspadseres.",I29="X"),K29,0)</f>
        <v>0</v>
      </c>
      <c r="FJ29" s="251">
        <f>IF(AND(Stamoplysninger!$B$26="Weekendtimer og weekendtillæg afspadseres.",Y29="X"),(AA29+AL29)/2,0)</f>
        <v>0</v>
      </c>
      <c r="FK29" s="674">
        <f>IF(AND(AND(Stamoplysninger!$B$26="Weekendtimer og weekendtillæg afspadseres.",I29="X",C29="ikke relevant")),K29,0)</f>
        <v>0</v>
      </c>
      <c r="FL29" s="675">
        <f>IF(AND(AND(Stamoplysninger!$B$26="Weekendtimer og weekendtillæg afspadseres.",Y29="X",S29="ikke relevant")),(AA29+AL29)/2,0)</f>
        <v>0</v>
      </c>
      <c r="FM29" s="283">
        <f>IF(AND(Stamoplysninger!$B$26="Der er indgået lokalaftale omkring weekendtillæg(Kræver aftale med TR/FSL). Weekendtimerne afspadseres.",I29="X"),K29,0)</f>
        <v>0</v>
      </c>
      <c r="FN29" s="674">
        <f>IF(AND(AND(Stamoplysninger!$B$26="Der er indgået lokalaftale omkring weekendtillæg(Kræver aftale med TR/FSL). Weekendtimerne afspadseres.",I29="X",C29="ikke relevant")),K29,0)</f>
        <v>0</v>
      </c>
      <c r="FO29" s="283">
        <f>IF(AND(Stamoplysninger!$B$26="Weekendtimer og weekendtillæg udbetales.",I29="X"),K29,0)</f>
        <v>0</v>
      </c>
      <c r="FP29" s="251">
        <f>IF(AND(Stamoplysninger!$B$26="Weekendtimer og weekendtillæg udbetales.",AA29="X"),(AC29+AN29)/2,0)</f>
        <v>0</v>
      </c>
      <c r="FQ29" s="674">
        <f>IF(AND(AND(Stamoplysninger!$B$26="Weekendtimer og weekendtillæg udbetales.",I29="X",C29="ikke relevant")),K29,0)</f>
        <v>0</v>
      </c>
      <c r="FR29" s="688">
        <f>IF(AND(AND(Stamoplysninger!$B$26="Weekendtimer og weekendtillæg udbetales.",AA29="X",U29="ikke relevant")),(AC29+AN29)/2,0)</f>
        <v>0</v>
      </c>
      <c r="FS29" s="283">
        <f t="shared" si="16"/>
        <v>0</v>
      </c>
      <c r="FT29" s="658">
        <f t="shared" si="17"/>
        <v>0</v>
      </c>
      <c r="FU29">
        <f t="shared" si="18"/>
        <v>0</v>
      </c>
      <c r="FV29" s="283">
        <f>IF(AND(Stamoplysninger!$B$26="Der er indgået lokalaftale omkring weekendtimer.(Kræver aftale med TR/FSL) Weekendtillæg afspadseres.",I29="X"),K29,0)</f>
        <v>0</v>
      </c>
      <c r="FW29" s="674">
        <f>IF(AND(AND(Stamoplysninger!$B$26="Der er indgået lokalaftale omkring weekendtimer.(Kræver aftale med TR/FSL) Weekendtillæg afspadseres.",I29="X",C29="ikke relevant")),K29,0)</f>
        <v>0</v>
      </c>
      <c r="FX29" s="283">
        <f>IF(AND(Stamoplysninger!$B$26="Der er indgået lokalaftale omkring weekendtimer(Kræver aftale med TR/FSL). Weekendtillæg udbetales.",I29="X"),K29,0)</f>
        <v>0</v>
      </c>
      <c r="FY29" s="674">
        <f>IF(AND(AND(Stamoplysninger!$B$26="Der er indgået lokalaftale omkring weekendtimer(Kræver aftale med TR/FSL). Weekendtillæg udbetales.",I29="X",C29="ikke relevant")),K29,0)</f>
        <v>0</v>
      </c>
      <c r="FZ29" s="283">
        <f>IF(AND(Stamoplysninger!$B$26="Der er indgået lokalaftale omkring weekendtillæg(Kræver aftale med TR/FSL). Weekendtimerne udbetales.",I29="X"),K29,0)</f>
        <v>0</v>
      </c>
      <c r="GA29" s="674">
        <f>IF(AND(AND(Stamoplysninger!$B$26="Der er indgået lokalaftale omkring weekendtillæg(Kræver aftale med TR/FSL). Weekendtimerne udbetales.",I29="X",C29="ikke relevant")),K29,0)</f>
        <v>0</v>
      </c>
      <c r="GB29" s="283">
        <f>IF(AND(Stamoplysninger!$B$26="Der er indgået lokalaftale omkring weekendtimer og weekendtillæg.(Kræver aftale med TR/FSL).",I29="X"),K29,0)</f>
        <v>0</v>
      </c>
      <c r="GC29" s="674">
        <f>IF(AND(AND(Stamoplysninger!$B$26="Der er indgået lokalaftale omkring weekendtimer og weekendtillæg.(Kræver aftale med TR/FSL).",I29="X",C29="ikke relevant")),K29,0)</f>
        <v>0</v>
      </c>
    </row>
    <row r="30" spans="1:185">
      <c r="A30" s="245">
        <f t="shared" si="19"/>
        <v>21</v>
      </c>
      <c r="B30" s="128" t="str">
        <f t="shared" si="0"/>
        <v>on</v>
      </c>
      <c r="C30" s="129" t="s">
        <v>206</v>
      </c>
      <c r="D30" s="130" t="str">
        <f t="shared" si="1"/>
        <v/>
      </c>
      <c r="E30" s="917"/>
      <c r="F30" s="918"/>
      <c r="G30" s="919"/>
      <c r="H30" s="298"/>
      <c r="I30" s="527"/>
      <c r="J30" s="413"/>
      <c r="K30" s="380"/>
      <c r="L30" s="380"/>
      <c r="M30" s="380"/>
      <c r="N30" s="318">
        <f t="shared" si="20"/>
        <v>7.75</v>
      </c>
      <c r="O30" s="318">
        <f t="shared" si="21"/>
        <v>5</v>
      </c>
      <c r="P30" s="318">
        <f>IF(Stamoplysninger!$H$29="JA",August!DG30,CX30)</f>
        <v>1.1666666666666665</v>
      </c>
      <c r="Q30" s="318">
        <f t="shared" si="22"/>
        <v>1.5833333333333335</v>
      </c>
      <c r="R30" s="412"/>
      <c r="S30" s="324"/>
      <c r="T30" s="325"/>
      <c r="U30" s="325"/>
      <c r="V30" s="435"/>
      <c r="W30" s="412"/>
      <c r="X30" s="642"/>
      <c r="Y30">
        <f t="shared" si="23"/>
        <v>0</v>
      </c>
      <c r="Z30">
        <f t="shared" si="2"/>
        <v>0</v>
      </c>
      <c r="AA30" s="1">
        <f t="shared" si="3"/>
        <v>0</v>
      </c>
      <c r="AB30" s="1">
        <f t="shared" si="4"/>
        <v>0</v>
      </c>
      <c r="AC30" s="1">
        <f t="shared" si="5"/>
        <v>0</v>
      </c>
      <c r="AD30" s="1">
        <f t="shared" si="6"/>
        <v>0</v>
      </c>
      <c r="AE30" s="1">
        <f t="shared" si="7"/>
        <v>0</v>
      </c>
      <c r="AF30" s="1">
        <f>IF(C30="Orlov",Stamoplysninger!$E$15*7.4,0)</f>
        <v>0</v>
      </c>
      <c r="AG30" t="str">
        <f>IF(AND(C30="Skema 1",B30="ma"),Arbejdstidsoversigt!$E$72,"")</f>
        <v/>
      </c>
      <c r="AH30" t="str">
        <f>IF(AND(C30="Skema 1",B30="ti"),Arbejdstidsoversigt!$E$73,"")</f>
        <v/>
      </c>
      <c r="AI30">
        <f>IF(AND(C30="Skema 1",B30="on"),Arbejdstidsoversigt!$E$74,"")</f>
        <v>7.75</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8"/>
        <v>7.75</v>
      </c>
      <c r="BB30" s="229">
        <f t="shared" si="9"/>
        <v>186</v>
      </c>
      <c r="BC30" s="1">
        <f t="shared" si="24"/>
        <v>0</v>
      </c>
      <c r="BD30" s="1">
        <f t="shared" si="10"/>
        <v>0</v>
      </c>
      <c r="BE30" s="1">
        <f t="shared" si="11"/>
        <v>0</v>
      </c>
      <c r="BF30" s="1">
        <f t="shared" si="12"/>
        <v>0</v>
      </c>
      <c r="BG30" s="210" t="str">
        <f>IF(AND(C30="Skema 1",B30="ma"),Skemaoplysninger!$E$30,"")</f>
        <v/>
      </c>
      <c r="BH30" s="210" t="str">
        <f>IF(AND(C30="Skema 1",B30="ti"),Skemaoplysninger!$G$30,"")</f>
        <v/>
      </c>
      <c r="BI30" s="210">
        <f>IF(AND(C30="Skema 1",B30="on"),Skemaoplysninger!$I$30,"")</f>
        <v>0.20833333333333331</v>
      </c>
      <c r="BJ30" s="210" t="str">
        <f>IF(AND(C30="Skema 1",B30="to"),Skemaoplysninger!$K$30,"")</f>
        <v/>
      </c>
      <c r="BK30" s="210" t="str">
        <f>IF(AND(C30="Skema 1",B30="fr"),Skemaoplysninger!$M$30,"")</f>
        <v/>
      </c>
      <c r="BL30" s="210" t="str">
        <f>IF(AND(C30="Skema 2",B30="ma"),Skemaoplysninger!$S$30,"")</f>
        <v/>
      </c>
      <c r="BM30" s="210" t="str">
        <f>IF(AND(C30="Skema 2",B30="ti"),Skemaoplysninger!$U$30,"")</f>
        <v/>
      </c>
      <c r="BN30" s="210" t="str">
        <f>IF(AND(C30="Skema 2",B30="on"),Skemaoplysninger!$W$30,"")</f>
        <v/>
      </c>
      <c r="BO30" s="210" t="str">
        <f>IF(AND(C30="Skema 2",B30="to"),Skemaoplysninger!$Y$30,"")</f>
        <v/>
      </c>
      <c r="BP30" s="210" t="str">
        <f>IF(AND(C30="Skema 2",B30="fr"),Skemaoplysninger!$AA$30,"")</f>
        <v/>
      </c>
      <c r="BQ30" s="210" t="str">
        <f>IF(AND(C30="Skema 3",B30="ma"),Skemaoplysninger!$AG$30,"")</f>
        <v/>
      </c>
      <c r="BR30" s="210" t="str">
        <f>IF(AND(C30="Skema 3",B30="ti"),Skemaoplysninger!$AI$30,"")</f>
        <v/>
      </c>
      <c r="BS30" s="210" t="str">
        <f>IF(AND(C30="Skema 3",B30="on"),Skemaoplysninger!$AK$30,"")</f>
        <v/>
      </c>
      <c r="BT30" s="210" t="str">
        <f>IF(AND(C30="Skema 3",B30="to"),Skemaoplysninger!$AM$30,"")</f>
        <v/>
      </c>
      <c r="BU30" s="210" t="str">
        <f>IF(AND(C30="Skema 3",B30="fr"),Skemaoplysninger!$AO$30,"")</f>
        <v/>
      </c>
      <c r="BV30" s="210" t="str">
        <f>IF(AND(C30="Skema 4",B30="ma"),Skemaoplysninger!$AU$30,"")</f>
        <v/>
      </c>
      <c r="BW30" s="210" t="str">
        <f>IF(AND(C30="Skema 4",B30="ti"),Skemaoplysninger!$AW$30,"")</f>
        <v/>
      </c>
      <c r="BX30" s="210" t="str">
        <f>IF(AND(C30="Skema 4",B30="on"),Skemaoplysninger!$AY$30,"")</f>
        <v/>
      </c>
      <c r="BY30" s="210" t="str">
        <f>IF(AND(C30="Skema 4",B30="to"),Skemaoplysninger!$BA$30,"")</f>
        <v/>
      </c>
      <c r="BZ30" s="210" t="str">
        <f>IF(AND(C30="Skema 4",B30="fr"),Skemaoplysninger!$BC$30,"")</f>
        <v/>
      </c>
      <c r="CA30" s="1">
        <f t="shared" si="25"/>
        <v>5</v>
      </c>
      <c r="CB30" s="1">
        <f t="shared" si="13"/>
        <v>0</v>
      </c>
      <c r="CC30" s="1">
        <f t="shared" si="14"/>
        <v>0</v>
      </c>
      <c r="CD30" s="210" t="str">
        <f>IF(AND(C30="Skema 1",B30="ma"),Skemaoplysninger!$E$31,"")</f>
        <v/>
      </c>
      <c r="CE30" s="210" t="str">
        <f>IF(AND(C30="Skema 1",B30="ti"),Skemaoplysninger!$G$31,"")</f>
        <v/>
      </c>
      <c r="CF30" s="210">
        <f>IF(AND(C30="Skema 1",B30="on"),Skemaoplysninger!$I$31,"")</f>
        <v>4.8611111111111105E-2</v>
      </c>
      <c r="CG30" s="210" t="str">
        <f>IF(AND(C30="Skema 1",B30="to"),Skemaoplysninger!$K$31,"")</f>
        <v/>
      </c>
      <c r="CH30" s="210" t="str">
        <f>IF(AND(C30="Skema 1",B30="fr"),Skemaoplysninger!$M$31,"")</f>
        <v/>
      </c>
      <c r="CI30" s="210" t="str">
        <f>IF(AND(C30="Skema 2",B30="ma"),Skemaoplysninger!$S$31,"")</f>
        <v/>
      </c>
      <c r="CJ30" s="210" t="str">
        <f>IF(AND(C30="Skema 2",B30="ti"),Skemaoplysninger!$U$31,"")</f>
        <v/>
      </c>
      <c r="CK30" s="210" t="str">
        <f>IF(AND(C30="Skema 2",B30="on"),Skemaoplysninger!$W$31,"")</f>
        <v/>
      </c>
      <c r="CL30" s="210" t="str">
        <f>IF(AND(C30="Skema 2",B30="to"),Skemaoplysninger!$Y$31,"")</f>
        <v/>
      </c>
      <c r="CM30" s="210" t="str">
        <f>IF(AND(C30="Skema 2",B30="fr"),Skemaoplysninger!$AA$31,"")</f>
        <v/>
      </c>
      <c r="CN30" s="210" t="str">
        <f>IF(AND(C30="Skema 3",B30="ma"),Skemaoplysninger!$AG$31,"")</f>
        <v/>
      </c>
      <c r="CO30" s="210" t="str">
        <f>IF(AND(C30="Skema 3",B30="ti"),Skemaoplysninger!$AI$31,"")</f>
        <v/>
      </c>
      <c r="CP30" s="210" t="str">
        <f>IF(AND(C30="Skema 3",B30="on"),Skemaoplysninger!$AK$31,"")</f>
        <v/>
      </c>
      <c r="CQ30" s="210" t="str">
        <f>IF(AND(C30="Skema 3",B30="to"),Skemaoplysninger!$AM$31,"")</f>
        <v/>
      </c>
      <c r="CR30" s="210" t="str">
        <f>IF(AND(C30="Skema 3",B30="fr"),Skemaoplysninger!$AO$31,"")</f>
        <v/>
      </c>
      <c r="CS30" s="210" t="str">
        <f>IF(AND(C30="Skema 4",B30="ma"),Skemaoplysninger!$AU$31,"")</f>
        <v/>
      </c>
      <c r="CT30" s="210" t="str">
        <f>IF(AND(C30="Skema 4",B30="ti"),Skemaoplysninger!$AW$31,"")</f>
        <v/>
      </c>
      <c r="CU30" s="210" t="str">
        <f>IF(AND(C30="Skema 4",B30="on"),Skemaoplysninger!$AY$31,"")</f>
        <v/>
      </c>
      <c r="CV30" s="210" t="str">
        <f>IF(AND(C30="Skema 4",B30="to"),Skemaoplysninger!$BA$31,"")</f>
        <v/>
      </c>
      <c r="CW30" s="210" t="str">
        <f>IF(AND(C30="Skema 4",B30="fr"),Skemaoplysninger!$BC$31,"")</f>
        <v/>
      </c>
      <c r="CX30" s="249">
        <f>IF(Stamoplysninger!$H$29="NEJ",SUM(CD30:CW30)*24+CB30+CC30,0)</f>
        <v>1.1666666666666665</v>
      </c>
      <c r="CY30" s="249">
        <f>IF(C30="Skema 1",Stamoplysninger!$H$30/200,0)</f>
        <v>0</v>
      </c>
      <c r="CZ30" s="249">
        <f>IF(C30="Skema 2",Stamoplysninger!$H$30/200,0)</f>
        <v>0</v>
      </c>
      <c r="DA30" s="249">
        <f>IF(C30="Skema 3",Stamoplysninger!$H$30/200,0)</f>
        <v>0</v>
      </c>
      <c r="DB30" s="249">
        <f>IF(C30="Skema 4",Stamoplysninger!$H$30/200,0)</f>
        <v>0</v>
      </c>
      <c r="DC30" s="249">
        <f>IF(C30="fagdag",Stamoplysninger!$H$30/200,0)</f>
        <v>0</v>
      </c>
      <c r="DD30" s="249">
        <f>IF(C30="emnedag",Stamoplysninger!$H$30/200,0)</f>
        <v>0</v>
      </c>
      <c r="DE30" s="249">
        <f>IF(C30="lejrskole",Stamoplysninger!$H$30/200,0)</f>
        <v>0</v>
      </c>
      <c r="DF30" s="249">
        <f>IF(C30="ekskursion",Stamoplysninger!$H$30/200,0)</f>
        <v>0</v>
      </c>
      <c r="DG30" s="249">
        <f t="shared" si="26"/>
        <v>0</v>
      </c>
      <c r="DH30" t="str">
        <f t="shared" si="27"/>
        <v/>
      </c>
      <c r="DI30">
        <f t="shared" si="28"/>
        <v>0</v>
      </c>
      <c r="DJ30">
        <f t="shared" si="29"/>
        <v>0</v>
      </c>
      <c r="DK30" t="str">
        <f t="shared" si="15"/>
        <v/>
      </c>
      <c r="DL30" t="str">
        <f t="shared" si="15"/>
        <v/>
      </c>
      <c r="DM30" t="str">
        <f t="shared" si="30"/>
        <v/>
      </c>
      <c r="DN30" t="str">
        <f t="shared" si="31"/>
        <v/>
      </c>
      <c r="DO30" s="652">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71">
        <f>IF(AND(Stamoplysninger!$B$22="Ulempetillæg udbetales med 25% af nettotimelønnen.",C30="ikke relevant"),(R30)/4,0)</f>
        <v>0</v>
      </c>
      <c r="DT30" s="671">
        <f>IF(AND(AND(Stamoplysninger!$B$22="Ulempetillæg udbetales med 25% af nettotimelønnen.",I30="X",C30="Ikke relevant")),K30/4,0)</f>
        <v>0</v>
      </c>
      <c r="DU30" s="671">
        <f>IF(AND(AND(Stamoplysninger!$B$22="Ulempetillæg udbetales med 25% af nettotimelønnen.",C30="ikke relevant",U30="X")),(X30/4),0)</f>
        <v>0</v>
      </c>
      <c r="DV30" s="672">
        <f>IF(AND(AND(AND(Stamoplysninger!$B$22="Ulempetillæg udbetales med 25% af nettotimelønnen.",I30="X",C30="Ikke relevant",S30="X"))),V30/4,0)</f>
        <v>0</v>
      </c>
      <c r="DW30" s="652"/>
      <c r="DZ30" s="671"/>
      <c r="EA30" s="671"/>
      <c r="EB30" s="672"/>
      <c r="EC30" s="652">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71">
        <f>IF(AND(Stamoplysninger!$B$22="Ulempetillæg afspadseres med 25%(Kræver en aftale imellem ledelsen og den ansatte)",C30="ikke relevant"),(R30)/4,0)</f>
        <v>0</v>
      </c>
      <c r="EH30" s="671">
        <f>IF(AND(AND(Stamoplysninger!$B$22="Ulempetillæg afspadseres med 25%(Kræver en aftale imellem ledelsen og den ansatte)",I30="X",C30="Ikke relevant")),K30/4,0)</f>
        <v>0</v>
      </c>
      <c r="EI30" s="671">
        <f>IF(AND(AND(Stamoplysninger!$B$22="Ulempetillæg afspadseres med 25%(Kræver en aftale imellem ledelsen og den ansatte)",U30="X",C30="Ikke relevant")),X30/4,0)</f>
        <v>0</v>
      </c>
      <c r="EJ30" s="671">
        <f>IF(AND(AND(AND(Stamoplysninger!$B$22="Ulempetillæg afspadseres med 25%(Kræver en aftale imellem ledelsen og den ansatte)",I30="X",C30="Ikke relevant",S30="X"))),V30/4,0)</f>
        <v>0</v>
      </c>
      <c r="EK30" s="283">
        <f>IF(AND(Stamoplysninger!$B$26="Weekendtimer og weekendtillæg afspadseres.",I30="X"),K30*1.5,0)</f>
        <v>0</v>
      </c>
      <c r="EL30" s="251">
        <f>IF(AND(AND(Stamoplysninger!$B$26="Weekendtimer og weekendtillæg afspadseres.",I30="X",S30="X")),V30*1.5,0)</f>
        <v>0</v>
      </c>
      <c r="EM30" s="674">
        <f>IF(AND(AND(Stamoplysninger!$B$26="Weekendtimer og weekendtillæg afspadseres.",I30="X",C30="ikke relevant")),K30*1.5,0)</f>
        <v>0</v>
      </c>
      <c r="EN30" s="675">
        <f>IF(AND(AND(AND(Stamoplysninger!$B$26="Weekendtimer og weekendtillæg afspadseres.",I30="X",C30="ikke relevant",S30="X"))),(V30*1.5),0)</f>
        <v>0</v>
      </c>
      <c r="EO30" s="283">
        <f>IF(AND(Stamoplysninger!$B$26="Weekendtimer og weekendtillæg udbetales.",I30="X"),K30*1.5,0)</f>
        <v>0</v>
      </c>
      <c r="EP30" s="251">
        <f>IF(AND(AND(Stamoplysninger!$B$26="Weekendtimer og weekendtillæg udbetales.",I30="X",S30="X")),V30*1.5,0)</f>
        <v>0</v>
      </c>
      <c r="EQ30" s="674">
        <f>IF(AND(AND(Stamoplysninger!$B$26="Weekendtimer og weekendtillæg udbetales.",I30="X",C30="ikke relevant")),K30*1.5,0)</f>
        <v>0</v>
      </c>
      <c r="ER30" s="675">
        <f>IF(AND(AND(AND(Stamoplysninger!$B$26="Weekendtimer og weekendtillæg udbetales.",I30="X",C30="ikke relevant",S30="X"))),(V30*1.5),0)</f>
        <v>0</v>
      </c>
      <c r="ES30" s="283">
        <f>IF(AND(Stamoplysninger!$B$26="Der er indgået lokalaftale omkring weekendtimer.(Kræver aftale med TR/FSL) Weekendtillæg afspadseres.",I30="X"),K30*0.5,0)</f>
        <v>0</v>
      </c>
      <c r="ET30" s="251">
        <f>IF(AND(AND(Stamoplysninger!$B$26="Der er indgået lokalaftale omkring weekendtimer.(Kræver aftale med TR/FSL) Weekendtillæg afspadseres.",I30="X",S30="X")),V30*0.5,0)</f>
        <v>0</v>
      </c>
      <c r="EU30" s="674">
        <f>IF(AND(AND(Stamoplysninger!$B$26="Der er indgået lokalaftale omkring weekendtimer.(Kræver aftale med TR/FSL) Weekendtillæg afspadseres.",I30="X",C30="ikke relevant")),K30*0.5,0)</f>
        <v>0</v>
      </c>
      <c r="EV30" s="675">
        <f>IF(AND(AND(AND(Stamoplysninger!$B$26="Der er indgået lokalaftale omkring weekendtimer.(Kræver aftale med TR/FSL) Weekendtillæg afspadseres.",I30="X",C30="ikke relevant",S30="X"))),(V30*0.5),0)</f>
        <v>0</v>
      </c>
      <c r="EW30" s="283">
        <f>IF(AND(Stamoplysninger!$B$26="Der er indgået lokalaftale omkring weekendtimer(Kræver aftale med TR/FSL). Weekendtillæg udbetales.",I30="X"),K30*0.5,0)</f>
        <v>0</v>
      </c>
      <c r="EX30" s="251">
        <f>IF(AND(AND(Stamoplysninger!$B$26="Der er indgået lokalaftale omkring weekendtimer(Kræver aftale med TR/FSL). Weekendtillæg udbetales.",I30="X",S30="X")),V30*0.5,0)</f>
        <v>0</v>
      </c>
      <c r="EY30" s="674">
        <f>IF(AND(AND(Stamoplysninger!$B$26="Der er indgået lokalaftale omkring weekendtimer(Kræver aftale med TR/FSL). Weekendtillæg udbetales.",I30="X",C30="ikke relevant")),K30*0.5,0)</f>
        <v>0</v>
      </c>
      <c r="EZ30" s="675">
        <f>IF(AND(AND(AND(Stamoplysninger!$B$26="Der er indgået lokalaftale omkring weekendtimer(Kræver aftale med TR/FSL). Weekendtillæg udbetales.",I30="X",C30="ikke relevant",S30="X"))),(V30*0.5),0)</f>
        <v>0</v>
      </c>
      <c r="FA30" s="283">
        <f>IF(AND(Stamoplysninger!$B$26="Der er indgået lokalaftale omkring weekendtillæg(Kræver aftale med TR/FSL). Weekendtimerne afspadseres.",I30="X"),K30,0)</f>
        <v>0</v>
      </c>
      <c r="FB30" s="251">
        <f>IF(AND(AND(Stamoplysninger!$B$26="Der er indgået lokalaftale omkring weekendtillæg(Kræver aftale med TR/FSL). Weekendtimerne afspadseres.",I30="X",S30="X")),V30,0)</f>
        <v>0</v>
      </c>
      <c r="FC30" s="674">
        <f>IF(AND(AND(Stamoplysninger!$B$26="Der er indgået lokalaftale omkring weekendtillæg(Kræver aftale med TR/FSL). Weekendtimerne afspadseres..",I30="X",C30="ikke relevant")),K30,0)</f>
        <v>0</v>
      </c>
      <c r="FD30" s="675">
        <f>IF(AND(AND(AND(Stamoplysninger!$B$26="Der er indgået lokalaftale omkring weekendtillæg(Kræver aftale med TR/FSL). Weekendtimerne afspadseres.",I30="X",C30="ikke relevant",S30="X"))),(V30),0)</f>
        <v>0</v>
      </c>
      <c r="FE30" s="283">
        <f>IF(AND(Stamoplysninger!$B$26="Der er indgået lokalaftale omkring weekendtillæg(Kræver aftale med TR/FSL). Weekendtimerne udbetales.",I30="X"),K30,0)</f>
        <v>0</v>
      </c>
      <c r="FF30" s="251">
        <f>IF(AND(AND(Stamoplysninger!$B$26="Der er indgået lokalaftale omkring weekendtillæg(Kræver aftale med TR/FSL). Weekendtimerne udbetales.",I30="X",S30="X")),V30,0)</f>
        <v>0</v>
      </c>
      <c r="FG30" s="674">
        <f>IF(AND(AND(Stamoplysninger!$B$26="Der er indgået lokalaftale omkring weekendtillæg(Kræver aftale med TR/FSL). Weekendtimerne udbetales.",I30="X",C30="ikke relevant")),K30,0)</f>
        <v>0</v>
      </c>
      <c r="FH30" s="675">
        <f>IF(AND(AND(AND(Stamoplysninger!$B$26="Der er indgået lokalaftale omkring weekendtillæg(Kræver aftale med TR/FSL). Weekendtimerne udbetales.",I30="X",C30="ikke relevant",S30="X"))),(V30),0)</f>
        <v>0</v>
      </c>
      <c r="FI30" s="283">
        <f>IF(AND(Stamoplysninger!$B$26="Weekendtimer og weekendtillæg afspadseres.",I30="X"),K30,0)</f>
        <v>0</v>
      </c>
      <c r="FJ30" s="251">
        <f>IF(AND(Stamoplysninger!$B$26="Weekendtimer og weekendtillæg afspadseres.",Y30="X"),(AA30+AL30)/2,0)</f>
        <v>0</v>
      </c>
      <c r="FK30" s="674">
        <f>IF(AND(AND(Stamoplysninger!$B$26="Weekendtimer og weekendtillæg afspadseres.",I30="X",C30="ikke relevant")),K30,0)</f>
        <v>0</v>
      </c>
      <c r="FL30" s="675">
        <f>IF(AND(AND(Stamoplysninger!$B$26="Weekendtimer og weekendtillæg afspadseres.",Y30="X",S30="ikke relevant")),(AA30+AL30)/2,0)</f>
        <v>0</v>
      </c>
      <c r="FM30" s="283">
        <f>IF(AND(Stamoplysninger!$B$26="Der er indgået lokalaftale omkring weekendtillæg(Kræver aftale med TR/FSL). Weekendtimerne afspadseres.",I30="X"),K30,0)</f>
        <v>0</v>
      </c>
      <c r="FN30" s="674">
        <f>IF(AND(AND(Stamoplysninger!$B$26="Der er indgået lokalaftale omkring weekendtillæg(Kræver aftale med TR/FSL). Weekendtimerne afspadseres.",I30="X",C30="ikke relevant")),K30,0)</f>
        <v>0</v>
      </c>
      <c r="FO30" s="283">
        <f>IF(AND(Stamoplysninger!$B$26="Weekendtimer og weekendtillæg udbetales.",I30="X"),K30,0)</f>
        <v>0</v>
      </c>
      <c r="FP30" s="251">
        <f>IF(AND(Stamoplysninger!$B$26="Weekendtimer og weekendtillæg udbetales.",AA30="X"),(AC30+AN30)/2,0)</f>
        <v>0</v>
      </c>
      <c r="FQ30" s="674">
        <f>IF(AND(AND(Stamoplysninger!$B$26="Weekendtimer og weekendtillæg udbetales.",I30="X",C30="ikke relevant")),K30,0)</f>
        <v>0</v>
      </c>
      <c r="FR30" s="688">
        <f>IF(AND(AND(Stamoplysninger!$B$26="Weekendtimer og weekendtillæg udbetales.",AA30="X",U30="ikke relevant")),(AC30+AN30)/2,0)</f>
        <v>0</v>
      </c>
      <c r="FS30" s="283">
        <f t="shared" si="16"/>
        <v>0</v>
      </c>
      <c r="FT30" s="658">
        <f t="shared" si="17"/>
        <v>0</v>
      </c>
      <c r="FU30">
        <f>IF(AND(C30="weekend",I30="X"),K30,0)</f>
        <v>0</v>
      </c>
      <c r="FV30" s="283">
        <f>IF(AND(Stamoplysninger!$B$26="Der er indgået lokalaftale omkring weekendtimer.(Kræver aftale med TR/FSL) Weekendtillæg afspadseres.",I30="X"),K30,0)</f>
        <v>0</v>
      </c>
      <c r="FW30" s="674">
        <f>IF(AND(AND(Stamoplysninger!$B$26="Der er indgået lokalaftale omkring weekendtimer.(Kræver aftale med TR/FSL) Weekendtillæg afspadseres.",I30="X",C30="ikke relevant")),K30,0)</f>
        <v>0</v>
      </c>
      <c r="FX30" s="283">
        <f>IF(AND(Stamoplysninger!$B$26="Der er indgået lokalaftale omkring weekendtimer(Kræver aftale med TR/FSL). Weekendtillæg udbetales.",I30="X"),K30,0)</f>
        <v>0</v>
      </c>
      <c r="FY30" s="674">
        <f>IF(AND(AND(Stamoplysninger!$B$26="Der er indgået lokalaftale omkring weekendtimer(Kræver aftale med TR/FSL). Weekendtillæg udbetales.",I30="X",C30="ikke relevant")),K30,0)</f>
        <v>0</v>
      </c>
      <c r="FZ30" s="283">
        <f>IF(AND(Stamoplysninger!$B$26="Der er indgået lokalaftale omkring weekendtillæg(Kræver aftale med TR/FSL). Weekendtimerne udbetales.",I30="X"),K30,0)</f>
        <v>0</v>
      </c>
      <c r="GA30" s="674">
        <f>IF(AND(AND(Stamoplysninger!$B$26="Der er indgået lokalaftale omkring weekendtillæg(Kræver aftale med TR/FSL). Weekendtimerne udbetales.",I30="X",C30="ikke relevant")),K30,0)</f>
        <v>0</v>
      </c>
      <c r="GB30" s="283">
        <f>IF(AND(Stamoplysninger!$B$26="Der er indgået lokalaftale omkring weekendtimer og weekendtillæg.(Kræver aftale med TR/FSL).",I30="X"),K30,0)</f>
        <v>0</v>
      </c>
      <c r="GC30" s="674">
        <f>IF(AND(AND(Stamoplysninger!$B$26="Der er indgået lokalaftale omkring weekendtimer og weekendtillæg.(Kræver aftale med TR/FSL).",I30="X",C30="ikke relevant")),K30,0)</f>
        <v>0</v>
      </c>
    </row>
    <row r="31" spans="1:185">
      <c r="A31" s="245">
        <f t="shared" si="19"/>
        <v>22</v>
      </c>
      <c r="B31" s="128" t="str">
        <f t="shared" si="0"/>
        <v>to</v>
      </c>
      <c r="C31" s="129" t="s">
        <v>206</v>
      </c>
      <c r="D31" s="130" t="str">
        <f t="shared" si="1"/>
        <v/>
      </c>
      <c r="E31" s="917"/>
      <c r="F31" s="918"/>
      <c r="G31" s="919"/>
      <c r="H31" s="298"/>
      <c r="I31" s="527"/>
      <c r="J31" s="413"/>
      <c r="K31" s="380"/>
      <c r="L31" s="380"/>
      <c r="M31" s="380"/>
      <c r="N31" s="318">
        <f t="shared" si="20"/>
        <v>8.5</v>
      </c>
      <c r="O31" s="318">
        <f t="shared" si="21"/>
        <v>3</v>
      </c>
      <c r="P31" s="318">
        <f>IF(Stamoplysninger!$H$29="JA",August!DG31,CX31)</f>
        <v>1.5</v>
      </c>
      <c r="Q31" s="318">
        <f t="shared" si="22"/>
        <v>4</v>
      </c>
      <c r="R31" s="412"/>
      <c r="S31" s="324"/>
      <c r="T31" s="325"/>
      <c r="U31" s="325"/>
      <c r="V31" s="435"/>
      <c r="W31" s="412"/>
      <c r="X31" s="642"/>
      <c r="Y31">
        <f t="shared" si="23"/>
        <v>0</v>
      </c>
      <c r="Z31">
        <f t="shared" si="2"/>
        <v>0</v>
      </c>
      <c r="AA31" s="1">
        <f t="shared" si="3"/>
        <v>0</v>
      </c>
      <c r="AB31" s="1">
        <f t="shared" si="4"/>
        <v>0</v>
      </c>
      <c r="AC31" s="1">
        <f t="shared" si="5"/>
        <v>0</v>
      </c>
      <c r="AD31" s="1">
        <f t="shared" si="6"/>
        <v>0</v>
      </c>
      <c r="AE31" s="1">
        <f t="shared" si="7"/>
        <v>0</v>
      </c>
      <c r="AF31" s="1">
        <f>IF(C31="Orlov",Stamoplysninger!$E$15*7.4,0)</f>
        <v>0</v>
      </c>
      <c r="AG31" t="str">
        <f>IF(AND(C31="Skema 1",B31="ma"),Arbejdstidsoversigt!$E$72,"")</f>
        <v/>
      </c>
      <c r="AH31" t="str">
        <f>IF(AND(C31="Skema 1",B31="ti"),Arbejdstidsoversigt!$E$73,"")</f>
        <v/>
      </c>
      <c r="AI31" t="str">
        <f>IF(AND(C31="Skema 1",B31="on"),Arbejdstidsoversigt!$E$74,"")</f>
        <v/>
      </c>
      <c r="AJ31">
        <f>IF(AND(C31="Skema 1",B31="to"),Arbejdstidsoversigt!$E$75,"")</f>
        <v>8.5</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8"/>
        <v>8.5</v>
      </c>
      <c r="BB31" s="229">
        <f t="shared" si="9"/>
        <v>204</v>
      </c>
      <c r="BC31" s="1">
        <f t="shared" si="24"/>
        <v>0</v>
      </c>
      <c r="BD31" s="1">
        <f t="shared" si="10"/>
        <v>0</v>
      </c>
      <c r="BE31" s="1">
        <f t="shared" si="11"/>
        <v>0</v>
      </c>
      <c r="BF31" s="1">
        <f t="shared" si="12"/>
        <v>0</v>
      </c>
      <c r="BG31" s="210" t="str">
        <f>IF(AND(C31="Skema 1",B31="ma"),Skemaoplysninger!$E$30,"")</f>
        <v/>
      </c>
      <c r="BH31" s="210" t="str">
        <f>IF(AND(C31="Skema 1",B31="ti"),Skemaoplysninger!$G$30,"")</f>
        <v/>
      </c>
      <c r="BI31" s="210" t="str">
        <f>IF(AND(C31="Skema 1",B31="on"),Skemaoplysninger!$I$30,"")</f>
        <v/>
      </c>
      <c r="BJ31" s="210">
        <f>IF(AND(C31="Skema 1",B31="to"),Skemaoplysninger!$K$30,"")</f>
        <v>0.125</v>
      </c>
      <c r="BK31" s="210" t="str">
        <f>IF(AND(C31="Skema 1",B31="fr"),Skemaoplysninger!$M$30,"")</f>
        <v/>
      </c>
      <c r="BL31" s="210" t="str">
        <f>IF(AND(C31="Skema 2",B31="ma"),Skemaoplysninger!$S$30,"")</f>
        <v/>
      </c>
      <c r="BM31" s="210" t="str">
        <f>IF(AND(C31="Skema 2",B31="ti"),Skemaoplysninger!$U$30,"")</f>
        <v/>
      </c>
      <c r="BN31" s="210" t="str">
        <f>IF(AND(C31="Skema 2",B31="on"),Skemaoplysninger!$W$30,"")</f>
        <v/>
      </c>
      <c r="BO31" s="210" t="str">
        <f>IF(AND(C31="Skema 2",B31="to"),Skemaoplysninger!$Y$30,"")</f>
        <v/>
      </c>
      <c r="BP31" s="210" t="str">
        <f>IF(AND(C31="Skema 2",B31="fr"),Skemaoplysninger!$AA$30,"")</f>
        <v/>
      </c>
      <c r="BQ31" s="210" t="str">
        <f>IF(AND(C31="Skema 3",B31="ma"),Skemaoplysninger!$AG$30,"")</f>
        <v/>
      </c>
      <c r="BR31" s="210" t="str">
        <f>IF(AND(C31="Skema 3",B31="ti"),Skemaoplysninger!$AI$30,"")</f>
        <v/>
      </c>
      <c r="BS31" s="210" t="str">
        <f>IF(AND(C31="Skema 3",B31="on"),Skemaoplysninger!$AK$30,"")</f>
        <v/>
      </c>
      <c r="BT31" s="210" t="str">
        <f>IF(AND(C31="Skema 3",B31="to"),Skemaoplysninger!$AM$30,"")</f>
        <v/>
      </c>
      <c r="BU31" s="210" t="str">
        <f>IF(AND(C31="Skema 3",B31="fr"),Skemaoplysninger!$AO$30,"")</f>
        <v/>
      </c>
      <c r="BV31" s="210" t="str">
        <f>IF(AND(C31="Skema 4",B31="ma"),Skemaoplysninger!$AU$30,"")</f>
        <v/>
      </c>
      <c r="BW31" s="210" t="str">
        <f>IF(AND(C31="Skema 4",B31="ti"),Skemaoplysninger!$AW$30,"")</f>
        <v/>
      </c>
      <c r="BX31" s="210" t="str">
        <f>IF(AND(C31="Skema 4",B31="on"),Skemaoplysninger!$AY$30,"")</f>
        <v/>
      </c>
      <c r="BY31" s="210" t="str">
        <f>IF(AND(C31="Skema 4",B31="to"),Skemaoplysninger!$BA$30,"")</f>
        <v/>
      </c>
      <c r="BZ31" s="210" t="str">
        <f>IF(AND(C31="Skema 4",B31="fr"),Skemaoplysninger!$BC$30,"")</f>
        <v/>
      </c>
      <c r="CA31" s="1">
        <f t="shared" si="25"/>
        <v>3</v>
      </c>
      <c r="CB31" s="1">
        <f t="shared" si="13"/>
        <v>0</v>
      </c>
      <c r="CC31" s="1">
        <f t="shared" si="14"/>
        <v>0</v>
      </c>
      <c r="CD31" s="210" t="str">
        <f>IF(AND(C31="Skema 1",B31="ma"),Skemaoplysninger!$E$31,"")</f>
        <v/>
      </c>
      <c r="CE31" s="210" t="str">
        <f>IF(AND(C31="Skema 1",B31="ti"),Skemaoplysninger!$G$31,"")</f>
        <v/>
      </c>
      <c r="CF31" s="210" t="str">
        <f>IF(AND(C31="Skema 1",B31="on"),Skemaoplysninger!$I$31,"")</f>
        <v/>
      </c>
      <c r="CG31" s="210">
        <f>IF(AND(C31="Skema 1",B31="to"),Skemaoplysninger!$K$31,"")</f>
        <v>6.25E-2</v>
      </c>
      <c r="CH31" s="210" t="str">
        <f>IF(AND(C31="Skema 1",B31="fr"),Skemaoplysninger!$M$31,"")</f>
        <v/>
      </c>
      <c r="CI31" s="210" t="str">
        <f>IF(AND(C31="Skema 2",B31="ma"),Skemaoplysninger!$S$31,"")</f>
        <v/>
      </c>
      <c r="CJ31" s="210" t="str">
        <f>IF(AND(C31="Skema 2",B31="ti"),Skemaoplysninger!$U$31,"")</f>
        <v/>
      </c>
      <c r="CK31" s="210" t="str">
        <f>IF(AND(C31="Skema 2",B31="on"),Skemaoplysninger!$W$31,"")</f>
        <v/>
      </c>
      <c r="CL31" s="210" t="str">
        <f>IF(AND(C31="Skema 2",B31="to"),Skemaoplysninger!$Y$31,"")</f>
        <v/>
      </c>
      <c r="CM31" s="210" t="str">
        <f>IF(AND(C31="Skema 2",B31="fr"),Skemaoplysninger!$AA$31,"")</f>
        <v/>
      </c>
      <c r="CN31" s="210" t="str">
        <f>IF(AND(C31="Skema 3",B31="ma"),Skemaoplysninger!$AG$31,"")</f>
        <v/>
      </c>
      <c r="CO31" s="210" t="str">
        <f>IF(AND(C31="Skema 3",B31="ti"),Skemaoplysninger!$AI$31,"")</f>
        <v/>
      </c>
      <c r="CP31" s="210" t="str">
        <f>IF(AND(C31="Skema 3",B31="on"),Skemaoplysninger!$AK$31,"")</f>
        <v/>
      </c>
      <c r="CQ31" s="210" t="str">
        <f>IF(AND(C31="Skema 3",B31="to"),Skemaoplysninger!$AM$31,"")</f>
        <v/>
      </c>
      <c r="CR31" s="210" t="str">
        <f>IF(AND(C31="Skema 3",B31="fr"),Skemaoplysninger!$AO$31,"")</f>
        <v/>
      </c>
      <c r="CS31" s="210" t="str">
        <f>IF(AND(C31="Skema 4",B31="ma"),Skemaoplysninger!$AU$31,"")</f>
        <v/>
      </c>
      <c r="CT31" s="210" t="str">
        <f>IF(AND(C31="Skema 4",B31="ti"),Skemaoplysninger!$AW$31,"")</f>
        <v/>
      </c>
      <c r="CU31" s="210" t="str">
        <f>IF(AND(C31="Skema 4",B31="on"),Skemaoplysninger!$AY$31,"")</f>
        <v/>
      </c>
      <c r="CV31" s="210" t="str">
        <f>IF(AND(C31="Skema 4",B31="to"),Skemaoplysninger!$BA$31,"")</f>
        <v/>
      </c>
      <c r="CW31" s="210" t="str">
        <f>IF(AND(C31="Skema 4",B31="fr"),Skemaoplysninger!$BC$31,"")</f>
        <v/>
      </c>
      <c r="CX31" s="249">
        <f>IF(Stamoplysninger!$H$29="NEJ",SUM(CD31:CW31)*24+CB31+CC31,0)</f>
        <v>1.5</v>
      </c>
      <c r="CY31" s="249">
        <f>IF(C31="Skema 1",Stamoplysninger!$H$30/200,0)</f>
        <v>0</v>
      </c>
      <c r="CZ31" s="249">
        <f>IF(C31="Skema 2",Stamoplysninger!$H$30/200,0)</f>
        <v>0</v>
      </c>
      <c r="DA31" s="249">
        <f>IF(C31="Skema 3",Stamoplysninger!$H$30/200,0)</f>
        <v>0</v>
      </c>
      <c r="DB31" s="249">
        <f>IF(C31="Skema 4",Stamoplysninger!$H$30/200,0)</f>
        <v>0</v>
      </c>
      <c r="DC31" s="249">
        <f>IF(C31="fagdag",Stamoplysninger!$H$30/200,0)</f>
        <v>0</v>
      </c>
      <c r="DD31" s="249">
        <f>IF(C31="emnedag",Stamoplysninger!$H$30/200,0)</f>
        <v>0</v>
      </c>
      <c r="DE31" s="249">
        <f>IF(C31="lejrskole",Stamoplysninger!$H$30/200,0)</f>
        <v>0</v>
      </c>
      <c r="DF31" s="249">
        <f>IF(C31="ekskursion",Stamoplysninger!$H$30/200,0)</f>
        <v>0</v>
      </c>
      <c r="DG31" s="249">
        <f t="shared" si="26"/>
        <v>0</v>
      </c>
      <c r="DH31" t="str">
        <f t="shared" si="27"/>
        <v/>
      </c>
      <c r="DI31">
        <f t="shared" si="28"/>
        <v>0</v>
      </c>
      <c r="DJ31">
        <f t="shared" si="29"/>
        <v>0</v>
      </c>
      <c r="DK31" t="str">
        <f t="shared" si="15"/>
        <v/>
      </c>
      <c r="DL31" t="str">
        <f t="shared" si="15"/>
        <v/>
      </c>
      <c r="DM31" t="str">
        <f t="shared" si="30"/>
        <v/>
      </c>
      <c r="DN31" t="str">
        <f t="shared" si="31"/>
        <v/>
      </c>
      <c r="DO31" s="652">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71">
        <f>IF(AND(Stamoplysninger!$B$22="Ulempetillæg udbetales med 25% af nettotimelønnen.",C31="ikke relevant"),(R31)/4,0)</f>
        <v>0</v>
      </c>
      <c r="DT31" s="671">
        <f>IF(AND(AND(Stamoplysninger!$B$22="Ulempetillæg udbetales med 25% af nettotimelønnen.",I31="X",C31="Ikke relevant")),K31/4,0)</f>
        <v>0</v>
      </c>
      <c r="DU31" s="671">
        <f>IF(AND(AND(Stamoplysninger!$B$22="Ulempetillæg udbetales med 25% af nettotimelønnen.",C31="ikke relevant",U31="X")),(X31/4),0)</f>
        <v>0</v>
      </c>
      <c r="DV31" s="672">
        <f>IF(AND(AND(AND(Stamoplysninger!$B$22="Ulempetillæg udbetales med 25% af nettotimelønnen.",I31="X",C31="Ikke relevant",S31="X"))),V31/4,0)</f>
        <v>0</v>
      </c>
      <c r="DW31" s="652"/>
      <c r="DZ31" s="671"/>
      <c r="EA31" s="671"/>
      <c r="EB31" s="672"/>
      <c r="EC31" s="652">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71">
        <f>IF(AND(Stamoplysninger!$B$22="Ulempetillæg afspadseres med 25%(Kræver en aftale imellem ledelsen og den ansatte)",C31="ikke relevant"),(R31)/4,0)</f>
        <v>0</v>
      </c>
      <c r="EH31" s="671">
        <f>IF(AND(AND(Stamoplysninger!$B$22="Ulempetillæg afspadseres med 25%(Kræver en aftale imellem ledelsen og den ansatte)",I31="X",C31="Ikke relevant")),K31/4,0)</f>
        <v>0</v>
      </c>
      <c r="EI31" s="671">
        <f>IF(AND(AND(Stamoplysninger!$B$22="Ulempetillæg afspadseres med 25%(Kræver en aftale imellem ledelsen og den ansatte)",U31="X",C31="Ikke relevant")),X31/4,0)</f>
        <v>0</v>
      </c>
      <c r="EJ31" s="671">
        <f>IF(AND(AND(AND(Stamoplysninger!$B$22="Ulempetillæg afspadseres med 25%(Kræver en aftale imellem ledelsen og den ansatte)",I31="X",C31="Ikke relevant",S31="X"))),V31/4,0)</f>
        <v>0</v>
      </c>
      <c r="EK31" s="283">
        <f>IF(AND(Stamoplysninger!$B$26="Weekendtimer og weekendtillæg afspadseres.",I31="X"),K31*1.5,0)</f>
        <v>0</v>
      </c>
      <c r="EL31" s="251">
        <f>IF(AND(AND(Stamoplysninger!$B$26="Weekendtimer og weekendtillæg afspadseres.",I31="X",S31="X")),V31*1.5,0)</f>
        <v>0</v>
      </c>
      <c r="EM31" s="674">
        <f>IF(AND(AND(Stamoplysninger!$B$26="Weekendtimer og weekendtillæg afspadseres.",I31="X",C31="ikke relevant")),K31*1.5,0)</f>
        <v>0</v>
      </c>
      <c r="EN31" s="675">
        <f>IF(AND(AND(AND(Stamoplysninger!$B$26="Weekendtimer og weekendtillæg afspadseres.",I31="X",C31="ikke relevant",S31="X"))),(V31*1.5),0)</f>
        <v>0</v>
      </c>
      <c r="EO31" s="283">
        <f>IF(AND(Stamoplysninger!$B$26="Weekendtimer og weekendtillæg udbetales.",I31="X"),K31*1.5,0)</f>
        <v>0</v>
      </c>
      <c r="EP31" s="251">
        <f>IF(AND(AND(Stamoplysninger!$B$26="Weekendtimer og weekendtillæg udbetales.",I31="X",S31="X")),V31*1.5,0)</f>
        <v>0</v>
      </c>
      <c r="EQ31" s="674">
        <f>IF(AND(AND(Stamoplysninger!$B$26="Weekendtimer og weekendtillæg udbetales.",I31="X",C31="ikke relevant")),K31*1.5,0)</f>
        <v>0</v>
      </c>
      <c r="ER31" s="675">
        <f>IF(AND(AND(AND(Stamoplysninger!$B$26="Weekendtimer og weekendtillæg udbetales.",I31="X",C31="ikke relevant",S31="X"))),(V31*1.5),0)</f>
        <v>0</v>
      </c>
      <c r="ES31" s="283">
        <f>IF(AND(Stamoplysninger!$B$26="Der er indgået lokalaftale omkring weekendtimer.(Kræver aftale med TR/FSL) Weekendtillæg afspadseres.",I31="X"),K31*0.5,0)</f>
        <v>0</v>
      </c>
      <c r="ET31" s="251">
        <f>IF(AND(AND(Stamoplysninger!$B$26="Der er indgået lokalaftale omkring weekendtimer.(Kræver aftale med TR/FSL) Weekendtillæg afspadseres.",I31="X",S31="X")),V31*0.5,0)</f>
        <v>0</v>
      </c>
      <c r="EU31" s="674">
        <f>IF(AND(AND(Stamoplysninger!$B$26="Der er indgået lokalaftale omkring weekendtimer.(Kræver aftale med TR/FSL) Weekendtillæg afspadseres.",I31="X",C31="ikke relevant")),K31*0.5,0)</f>
        <v>0</v>
      </c>
      <c r="EV31" s="675">
        <f>IF(AND(AND(AND(Stamoplysninger!$B$26="Der er indgået lokalaftale omkring weekendtimer.(Kræver aftale med TR/FSL) Weekendtillæg afspadseres.",I31="X",C31="ikke relevant",S31="X"))),(V31*0.5),0)</f>
        <v>0</v>
      </c>
      <c r="EW31" s="283">
        <f>IF(AND(Stamoplysninger!$B$26="Der er indgået lokalaftale omkring weekendtimer(Kræver aftale med TR/FSL). Weekendtillæg udbetales.",I31="X"),K31*0.5,0)</f>
        <v>0</v>
      </c>
      <c r="EX31" s="251">
        <f>IF(AND(AND(Stamoplysninger!$B$26="Der er indgået lokalaftale omkring weekendtimer(Kræver aftale med TR/FSL). Weekendtillæg udbetales.",I31="X",S31="X")),V31*0.5,0)</f>
        <v>0</v>
      </c>
      <c r="EY31" s="674">
        <f>IF(AND(AND(Stamoplysninger!$B$26="Der er indgået lokalaftale omkring weekendtimer(Kræver aftale med TR/FSL). Weekendtillæg udbetales.",I31="X",C31="ikke relevant")),K31*0.5,0)</f>
        <v>0</v>
      </c>
      <c r="EZ31" s="675">
        <f>IF(AND(AND(AND(Stamoplysninger!$B$26="Der er indgået lokalaftale omkring weekendtimer(Kræver aftale med TR/FSL). Weekendtillæg udbetales.",I31="X",C31="ikke relevant",S31="X"))),(V31*0.5),0)</f>
        <v>0</v>
      </c>
      <c r="FA31" s="283">
        <f>IF(AND(Stamoplysninger!$B$26="Der er indgået lokalaftale omkring weekendtillæg(Kræver aftale med TR/FSL). Weekendtimerne afspadseres.",I31="X"),K31,0)</f>
        <v>0</v>
      </c>
      <c r="FB31" s="251">
        <f>IF(AND(AND(Stamoplysninger!$B$26="Der er indgået lokalaftale omkring weekendtillæg(Kræver aftale med TR/FSL). Weekendtimerne afspadseres.",I31="X",S31="X")),V31,0)</f>
        <v>0</v>
      </c>
      <c r="FC31" s="674">
        <f>IF(AND(AND(Stamoplysninger!$B$26="Der er indgået lokalaftale omkring weekendtillæg(Kræver aftale med TR/FSL). Weekendtimerne afspadseres..",I31="X",C31="ikke relevant")),K31,0)</f>
        <v>0</v>
      </c>
      <c r="FD31" s="675">
        <f>IF(AND(AND(AND(Stamoplysninger!$B$26="Der er indgået lokalaftale omkring weekendtillæg(Kræver aftale med TR/FSL). Weekendtimerne afspadseres.",I31="X",C31="ikke relevant",S31="X"))),(V31),0)</f>
        <v>0</v>
      </c>
      <c r="FE31" s="283">
        <f>IF(AND(Stamoplysninger!$B$26="Der er indgået lokalaftale omkring weekendtillæg(Kræver aftale med TR/FSL). Weekendtimerne udbetales.",I31="X"),K31,0)</f>
        <v>0</v>
      </c>
      <c r="FF31" s="251">
        <f>IF(AND(AND(Stamoplysninger!$B$26="Der er indgået lokalaftale omkring weekendtillæg(Kræver aftale med TR/FSL). Weekendtimerne udbetales.",I31="X",S31="X")),V31,0)</f>
        <v>0</v>
      </c>
      <c r="FG31" s="674">
        <f>IF(AND(AND(Stamoplysninger!$B$26="Der er indgået lokalaftale omkring weekendtillæg(Kræver aftale med TR/FSL). Weekendtimerne udbetales.",I31="X",C31="ikke relevant")),K31,0)</f>
        <v>0</v>
      </c>
      <c r="FH31" s="675">
        <f>IF(AND(AND(AND(Stamoplysninger!$B$26="Der er indgået lokalaftale omkring weekendtillæg(Kræver aftale med TR/FSL). Weekendtimerne udbetales.",I31="X",C31="ikke relevant",S31="X"))),(V31),0)</f>
        <v>0</v>
      </c>
      <c r="FI31" s="283">
        <f>IF(AND(Stamoplysninger!$B$26="Weekendtimer og weekendtillæg afspadseres.",I31="X"),K31,0)</f>
        <v>0</v>
      </c>
      <c r="FJ31" s="251">
        <f>IF(AND(Stamoplysninger!$B$26="Weekendtimer og weekendtillæg afspadseres.",Y31="X"),(AA31+AL31)/2,0)</f>
        <v>0</v>
      </c>
      <c r="FK31" s="674">
        <f>IF(AND(AND(Stamoplysninger!$B$26="Weekendtimer og weekendtillæg afspadseres.",I31="X",C31="ikke relevant")),K31,0)</f>
        <v>0</v>
      </c>
      <c r="FL31" s="675">
        <f>IF(AND(AND(Stamoplysninger!$B$26="Weekendtimer og weekendtillæg afspadseres.",Y31="X",S31="ikke relevant")),(AA31+AL31)/2,0)</f>
        <v>0</v>
      </c>
      <c r="FM31" s="283">
        <f>IF(AND(Stamoplysninger!$B$26="Der er indgået lokalaftale omkring weekendtillæg(Kræver aftale med TR/FSL). Weekendtimerne afspadseres.",I31="X"),K31,0)</f>
        <v>0</v>
      </c>
      <c r="FN31" s="674">
        <f>IF(AND(AND(Stamoplysninger!$B$26="Der er indgået lokalaftale omkring weekendtillæg(Kræver aftale med TR/FSL). Weekendtimerne afspadseres.",I31="X",C31="ikke relevant")),K31,0)</f>
        <v>0</v>
      </c>
      <c r="FO31" s="283">
        <f>IF(AND(Stamoplysninger!$B$26="Weekendtimer og weekendtillæg udbetales.",I31="X"),K31,0)</f>
        <v>0</v>
      </c>
      <c r="FP31" s="251">
        <f>IF(AND(Stamoplysninger!$B$26="Weekendtimer og weekendtillæg udbetales.",AA31="X"),(AC31+AN31)/2,0)</f>
        <v>0</v>
      </c>
      <c r="FQ31" s="674">
        <f>IF(AND(AND(Stamoplysninger!$B$26="Weekendtimer og weekendtillæg udbetales.",I31="X",C31="ikke relevant")),K31,0)</f>
        <v>0</v>
      </c>
      <c r="FR31" s="688">
        <f>IF(AND(AND(Stamoplysninger!$B$26="Weekendtimer og weekendtillæg udbetales.",AA31="X",U31="ikke relevant")),(AC31+AN31)/2,0)</f>
        <v>0</v>
      </c>
      <c r="FS31" s="283">
        <f t="shared" si="16"/>
        <v>0</v>
      </c>
      <c r="FT31" s="658">
        <f t="shared" si="17"/>
        <v>0</v>
      </c>
      <c r="FU31">
        <f t="shared" ref="FU31:FU40" si="32">IF(AND(C31="weekend",I31="X"),K31,0)</f>
        <v>0</v>
      </c>
      <c r="FV31" s="283">
        <f>IF(AND(Stamoplysninger!$B$26="Der er indgået lokalaftale omkring weekendtimer.(Kræver aftale med TR/FSL) Weekendtillæg afspadseres.",I31="X"),K31,0)</f>
        <v>0</v>
      </c>
      <c r="FW31" s="674">
        <f>IF(AND(AND(Stamoplysninger!$B$26="Der er indgået lokalaftale omkring weekendtimer.(Kræver aftale med TR/FSL) Weekendtillæg afspadseres.",I31="X",C31="ikke relevant")),K31,0)</f>
        <v>0</v>
      </c>
      <c r="FX31" s="283">
        <f>IF(AND(Stamoplysninger!$B$26="Der er indgået lokalaftale omkring weekendtimer(Kræver aftale med TR/FSL). Weekendtillæg udbetales.",I31="X"),K31,0)</f>
        <v>0</v>
      </c>
      <c r="FY31" s="674">
        <f>IF(AND(AND(Stamoplysninger!$B$26="Der er indgået lokalaftale omkring weekendtimer(Kræver aftale med TR/FSL). Weekendtillæg udbetales.",I31="X",C31="ikke relevant")),K31,0)</f>
        <v>0</v>
      </c>
      <c r="FZ31" s="283">
        <f>IF(AND(Stamoplysninger!$B$26="Der er indgået lokalaftale omkring weekendtillæg(Kræver aftale med TR/FSL). Weekendtimerne udbetales.",I31="X"),K31,0)</f>
        <v>0</v>
      </c>
      <c r="GA31" s="674">
        <f>IF(AND(AND(Stamoplysninger!$B$26="Der er indgået lokalaftale omkring weekendtillæg(Kræver aftale med TR/FSL). Weekendtimerne udbetales.",I31="X",C31="ikke relevant")),K31,0)</f>
        <v>0</v>
      </c>
      <c r="GB31" s="283">
        <f>IF(AND(Stamoplysninger!$B$26="Der er indgået lokalaftale omkring weekendtimer og weekendtillæg.(Kræver aftale med TR/FSL).",I31="X"),K31,0)</f>
        <v>0</v>
      </c>
      <c r="GC31" s="674">
        <f>IF(AND(AND(Stamoplysninger!$B$26="Der er indgået lokalaftale omkring weekendtimer og weekendtillæg.(Kræver aftale med TR/FSL).",I31="X",C31="ikke relevant")),K31,0)</f>
        <v>0</v>
      </c>
    </row>
    <row r="32" spans="1:185">
      <c r="A32" s="245">
        <f t="shared" si="19"/>
        <v>23</v>
      </c>
      <c r="B32" s="128" t="str">
        <f t="shared" si="0"/>
        <v>fr</v>
      </c>
      <c r="C32" s="129" t="s">
        <v>206</v>
      </c>
      <c r="D32" s="130" t="str">
        <f t="shared" si="1"/>
        <v/>
      </c>
      <c r="E32" s="917"/>
      <c r="F32" s="918"/>
      <c r="G32" s="919"/>
      <c r="H32" s="298"/>
      <c r="I32" s="527"/>
      <c r="J32" s="413"/>
      <c r="K32" s="380"/>
      <c r="L32" s="380"/>
      <c r="M32" s="380"/>
      <c r="N32" s="318">
        <f t="shared" si="20"/>
        <v>6.75</v>
      </c>
      <c r="O32" s="318">
        <f t="shared" si="21"/>
        <v>3</v>
      </c>
      <c r="P32" s="318">
        <f>IF(Stamoplysninger!$H$29="JA",August!DG32,CX32)</f>
        <v>1.5</v>
      </c>
      <c r="Q32" s="318">
        <f t="shared" si="22"/>
        <v>2.25</v>
      </c>
      <c r="R32" s="412"/>
      <c r="S32" s="324"/>
      <c r="T32" s="325"/>
      <c r="U32" s="325"/>
      <c r="V32" s="435"/>
      <c r="W32" s="412"/>
      <c r="X32" s="642"/>
      <c r="Y32">
        <f t="shared" si="23"/>
        <v>0</v>
      </c>
      <c r="Z32">
        <f t="shared" si="2"/>
        <v>0</v>
      </c>
      <c r="AA32" s="1">
        <f t="shared" si="3"/>
        <v>0</v>
      </c>
      <c r="AB32" s="1">
        <f t="shared" si="4"/>
        <v>0</v>
      </c>
      <c r="AC32" s="1">
        <f t="shared" si="5"/>
        <v>0</v>
      </c>
      <c r="AD32" s="1">
        <f t="shared" si="6"/>
        <v>0</v>
      </c>
      <c r="AE32" s="1">
        <f t="shared" si="7"/>
        <v>0</v>
      </c>
      <c r="AF32" s="1">
        <f>IF(C32="Orlov",Stamoplysninger!$E$15*7.4,0)</f>
        <v>0</v>
      </c>
      <c r="AG32" t="str">
        <f>IF(AND(C32="Skema 1",B32="ma"),Arbejdstidsoversigt!$E$72,"")</f>
        <v/>
      </c>
      <c r="AH32" t="str">
        <f>IF(AND(C32="Skema 1",B32="ti"),Arbejdstidsoversigt!$E$73,"")</f>
        <v/>
      </c>
      <c r="AI32" t="str">
        <f>IF(AND(C32="Skema 1",B32="on"),Arbejdstidsoversigt!$E$74,"")</f>
        <v/>
      </c>
      <c r="AJ32" t="str">
        <f>IF(AND(C32="Skema 1",B32="to"),Arbejdstidsoversigt!$E$75,"")</f>
        <v/>
      </c>
      <c r="AK32">
        <f>IF(AND(C32="Skema 1",B32="fr"),Arbejdstidsoversigt!$E$76,"")</f>
        <v>6.75</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8"/>
        <v>6.75</v>
      </c>
      <c r="BB32" s="229">
        <f t="shared" si="9"/>
        <v>162</v>
      </c>
      <c r="BC32" s="1">
        <f t="shared" si="24"/>
        <v>0</v>
      </c>
      <c r="BD32" s="1">
        <f t="shared" si="10"/>
        <v>0</v>
      </c>
      <c r="BE32" s="1">
        <f t="shared" si="11"/>
        <v>0</v>
      </c>
      <c r="BF32" s="1">
        <f t="shared" si="12"/>
        <v>0</v>
      </c>
      <c r="BG32" s="210" t="str">
        <f>IF(AND(C32="Skema 1",B32="ma"),Skemaoplysninger!$E$30,"")</f>
        <v/>
      </c>
      <c r="BH32" s="210" t="str">
        <f>IF(AND(C32="Skema 1",B32="ti"),Skemaoplysninger!$G$30,"")</f>
        <v/>
      </c>
      <c r="BI32" s="210" t="str">
        <f>IF(AND(C32="Skema 1",B32="on"),Skemaoplysninger!$I$30,"")</f>
        <v/>
      </c>
      <c r="BJ32" s="210" t="str">
        <f>IF(AND(C32="Skema 1",B32="to"),Skemaoplysninger!$K$30,"")</f>
        <v/>
      </c>
      <c r="BK32" s="210">
        <f>IF(AND(C32="Skema 1",B32="fr"),Skemaoplysninger!$M$30,"")</f>
        <v>0.125</v>
      </c>
      <c r="BL32" s="210" t="str">
        <f>IF(AND(C32="Skema 2",B32="ma"),Skemaoplysninger!$S$30,"")</f>
        <v/>
      </c>
      <c r="BM32" s="210" t="str">
        <f>IF(AND(C32="Skema 2",B32="ti"),Skemaoplysninger!$U$30,"")</f>
        <v/>
      </c>
      <c r="BN32" s="210" t="str">
        <f>IF(AND(C32="Skema 2",B32="on"),Skemaoplysninger!$W$30,"")</f>
        <v/>
      </c>
      <c r="BO32" s="210" t="str">
        <f>IF(AND(C32="Skema 2",B32="to"),Skemaoplysninger!$Y$30,"")</f>
        <v/>
      </c>
      <c r="BP32" s="210" t="str">
        <f>IF(AND(C32="Skema 2",B32="fr"),Skemaoplysninger!$AA$30,"")</f>
        <v/>
      </c>
      <c r="BQ32" s="210" t="str">
        <f>IF(AND(C32="Skema 3",B32="ma"),Skemaoplysninger!$AG$30,"")</f>
        <v/>
      </c>
      <c r="BR32" s="210" t="str">
        <f>IF(AND(C32="Skema 3",B32="ti"),Skemaoplysninger!$AI$30,"")</f>
        <v/>
      </c>
      <c r="BS32" s="210" t="str">
        <f>IF(AND(C32="Skema 3",B32="on"),Skemaoplysninger!$AK$30,"")</f>
        <v/>
      </c>
      <c r="BT32" s="210" t="str">
        <f>IF(AND(C32="Skema 3",B32="to"),Skemaoplysninger!$AM$30,"")</f>
        <v/>
      </c>
      <c r="BU32" s="210" t="str">
        <f>IF(AND(C32="Skema 3",B32="fr"),Skemaoplysninger!$AO$30,"")</f>
        <v/>
      </c>
      <c r="BV32" s="210" t="str">
        <f>IF(AND(C32="Skema 4",B32="ma"),Skemaoplysninger!$AU$30,"")</f>
        <v/>
      </c>
      <c r="BW32" s="210" t="str">
        <f>IF(AND(C32="Skema 4",B32="ti"),Skemaoplysninger!$AW$30,"")</f>
        <v/>
      </c>
      <c r="BX32" s="210" t="str">
        <f>IF(AND(C32="Skema 4",B32="on"),Skemaoplysninger!$AY$30,"")</f>
        <v/>
      </c>
      <c r="BY32" s="210" t="str">
        <f>IF(AND(C32="Skema 4",B32="to"),Skemaoplysninger!$BA$30,"")</f>
        <v/>
      </c>
      <c r="BZ32" s="210" t="str">
        <f>IF(AND(C32="Skema 4",B32="fr"),Skemaoplysninger!$BC$30,"")</f>
        <v/>
      </c>
      <c r="CA32" s="1">
        <f t="shared" si="25"/>
        <v>3</v>
      </c>
      <c r="CB32" s="1">
        <f t="shared" si="13"/>
        <v>0</v>
      </c>
      <c r="CC32" s="1">
        <f t="shared" si="14"/>
        <v>0</v>
      </c>
      <c r="CD32" s="210" t="str">
        <f>IF(AND(C32="Skema 1",B32="ma"),Skemaoplysninger!$E$31,"")</f>
        <v/>
      </c>
      <c r="CE32" s="210" t="str">
        <f>IF(AND(C32="Skema 1",B32="ti"),Skemaoplysninger!$G$31,"")</f>
        <v/>
      </c>
      <c r="CF32" s="210" t="str">
        <f>IF(AND(C32="Skema 1",B32="on"),Skemaoplysninger!$I$31,"")</f>
        <v/>
      </c>
      <c r="CG32" s="210" t="str">
        <f>IF(AND(C32="Skema 1",B32="to"),Skemaoplysninger!$K$31,"")</f>
        <v/>
      </c>
      <c r="CH32" s="210">
        <f>IF(AND(C32="Skema 1",B32="fr"),Skemaoplysninger!$M$31,"")</f>
        <v>6.25E-2</v>
      </c>
      <c r="CI32" s="210" t="str">
        <f>IF(AND(C32="Skema 2",B32="ma"),Skemaoplysninger!$S$31,"")</f>
        <v/>
      </c>
      <c r="CJ32" s="210" t="str">
        <f>IF(AND(C32="Skema 2",B32="ti"),Skemaoplysninger!$U$31,"")</f>
        <v/>
      </c>
      <c r="CK32" s="210" t="str">
        <f>IF(AND(C32="Skema 2",B32="on"),Skemaoplysninger!$W$31,"")</f>
        <v/>
      </c>
      <c r="CL32" s="210" t="str">
        <f>IF(AND(C32="Skema 2",B32="to"),Skemaoplysninger!$Y$31,"")</f>
        <v/>
      </c>
      <c r="CM32" s="210" t="str">
        <f>IF(AND(C32="Skema 2",B32="fr"),Skemaoplysninger!$AA$31,"")</f>
        <v/>
      </c>
      <c r="CN32" s="210" t="str">
        <f>IF(AND(C32="Skema 3",B32="ma"),Skemaoplysninger!$AG$31,"")</f>
        <v/>
      </c>
      <c r="CO32" s="210" t="str">
        <f>IF(AND(C32="Skema 3",B32="ti"),Skemaoplysninger!$AI$31,"")</f>
        <v/>
      </c>
      <c r="CP32" s="210" t="str">
        <f>IF(AND(C32="Skema 3",B32="on"),Skemaoplysninger!$AK$31,"")</f>
        <v/>
      </c>
      <c r="CQ32" s="210" t="str">
        <f>IF(AND(C32="Skema 3",B32="to"),Skemaoplysninger!$AM$31,"")</f>
        <v/>
      </c>
      <c r="CR32" s="210" t="str">
        <f>IF(AND(C32="Skema 3",B32="fr"),Skemaoplysninger!$AO$31,"")</f>
        <v/>
      </c>
      <c r="CS32" s="210" t="str">
        <f>IF(AND(C32="Skema 4",B32="ma"),Skemaoplysninger!$AU$31,"")</f>
        <v/>
      </c>
      <c r="CT32" s="210" t="str">
        <f>IF(AND(C32="Skema 4",B32="ti"),Skemaoplysninger!$AW$31,"")</f>
        <v/>
      </c>
      <c r="CU32" s="210" t="str">
        <f>IF(AND(C32="Skema 4",B32="on"),Skemaoplysninger!$AY$31,"")</f>
        <v/>
      </c>
      <c r="CV32" s="210" t="str">
        <f>IF(AND(C32="Skema 4",B32="to"),Skemaoplysninger!$BA$31,"")</f>
        <v/>
      </c>
      <c r="CW32" s="210" t="str">
        <f>IF(AND(C32="Skema 4",B32="fr"),Skemaoplysninger!$BC$31,"")</f>
        <v/>
      </c>
      <c r="CX32" s="249">
        <f>IF(Stamoplysninger!$H$29="NEJ",SUM(CD32:CW32)*24+CB32+CC32,0)</f>
        <v>1.5</v>
      </c>
      <c r="CY32" s="249">
        <f>IF(C32="Skema 1",Stamoplysninger!$H$30/200,0)</f>
        <v>0</v>
      </c>
      <c r="CZ32" s="249">
        <f>IF(C32="Skema 2",Stamoplysninger!$H$30/200,0)</f>
        <v>0</v>
      </c>
      <c r="DA32" s="249">
        <f>IF(C32="Skema 3",Stamoplysninger!$H$30/200,0)</f>
        <v>0</v>
      </c>
      <c r="DB32" s="249">
        <f>IF(C32="Skema 4",Stamoplysninger!$H$30/200,0)</f>
        <v>0</v>
      </c>
      <c r="DC32" s="249">
        <f>IF(C32="fagdag",Stamoplysninger!$H$30/200,0)</f>
        <v>0</v>
      </c>
      <c r="DD32" s="249">
        <f>IF(C32="emnedag",Stamoplysninger!$H$30/200,0)</f>
        <v>0</v>
      </c>
      <c r="DE32" s="249">
        <f>IF(C32="lejrskole",Stamoplysninger!$H$30/200,0)</f>
        <v>0</v>
      </c>
      <c r="DF32" s="249">
        <f>IF(C32="ekskursion",Stamoplysninger!$H$30/200,0)</f>
        <v>0</v>
      </c>
      <c r="DG32" s="249">
        <f t="shared" si="26"/>
        <v>0</v>
      </c>
      <c r="DH32" t="str">
        <f t="shared" si="27"/>
        <v/>
      </c>
      <c r="DI32">
        <f t="shared" si="28"/>
        <v>0</v>
      </c>
      <c r="DJ32">
        <f t="shared" si="29"/>
        <v>0</v>
      </c>
      <c r="DK32" t="str">
        <f t="shared" si="15"/>
        <v/>
      </c>
      <c r="DL32" t="str">
        <f t="shared" si="15"/>
        <v/>
      </c>
      <c r="DM32" t="str">
        <f t="shared" si="30"/>
        <v/>
      </c>
      <c r="DN32" t="str">
        <f t="shared" si="31"/>
        <v/>
      </c>
      <c r="DO32" s="652">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71">
        <f>IF(AND(Stamoplysninger!$B$22="Ulempetillæg udbetales med 25% af nettotimelønnen.",C32="ikke relevant"),(R32)/4,0)</f>
        <v>0</v>
      </c>
      <c r="DT32" s="671">
        <f>IF(AND(AND(Stamoplysninger!$B$22="Ulempetillæg udbetales med 25% af nettotimelønnen.",I32="X",C32="Ikke relevant")),K32/4,0)</f>
        <v>0</v>
      </c>
      <c r="DU32" s="671">
        <f>IF(AND(AND(Stamoplysninger!$B$22="Ulempetillæg udbetales med 25% af nettotimelønnen.",C32="ikke relevant",U32="X")),(X32/4),0)</f>
        <v>0</v>
      </c>
      <c r="DV32" s="672">
        <f>IF(AND(AND(AND(Stamoplysninger!$B$22="Ulempetillæg udbetales med 25% af nettotimelønnen.",I32="X",C32="Ikke relevant",S32="X"))),V32/4,0)</f>
        <v>0</v>
      </c>
      <c r="DW32" s="652"/>
      <c r="DZ32" s="671"/>
      <c r="EA32" s="671"/>
      <c r="EB32" s="672"/>
      <c r="EC32" s="652">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71">
        <f>IF(AND(Stamoplysninger!$B$22="Ulempetillæg afspadseres med 25%(Kræver en aftale imellem ledelsen og den ansatte)",C32="ikke relevant"),(R32)/4,0)</f>
        <v>0</v>
      </c>
      <c r="EH32" s="671">
        <f>IF(AND(AND(Stamoplysninger!$B$22="Ulempetillæg afspadseres med 25%(Kræver en aftale imellem ledelsen og den ansatte)",I32="X",C32="Ikke relevant")),K32/4,0)</f>
        <v>0</v>
      </c>
      <c r="EI32" s="671">
        <f>IF(AND(AND(Stamoplysninger!$B$22="Ulempetillæg afspadseres med 25%(Kræver en aftale imellem ledelsen og den ansatte)",U32="X",C32="Ikke relevant")),X32/4,0)</f>
        <v>0</v>
      </c>
      <c r="EJ32" s="671">
        <f>IF(AND(AND(AND(Stamoplysninger!$B$22="Ulempetillæg afspadseres med 25%(Kræver en aftale imellem ledelsen og den ansatte)",I32="X",C32="Ikke relevant",S32="X"))),V32/4,0)</f>
        <v>0</v>
      </c>
      <c r="EK32" s="283">
        <f>IF(AND(Stamoplysninger!$B$26="Weekendtimer og weekendtillæg afspadseres.",I32="X"),K32*1.5,0)</f>
        <v>0</v>
      </c>
      <c r="EL32" s="251">
        <f>IF(AND(AND(Stamoplysninger!$B$26="Weekendtimer og weekendtillæg afspadseres.",I32="X",S32="X")),V32*1.5,0)</f>
        <v>0</v>
      </c>
      <c r="EM32" s="674">
        <f>IF(AND(AND(Stamoplysninger!$B$26="Weekendtimer og weekendtillæg afspadseres.",I32="X",C32="ikke relevant")),K32*1.5,0)</f>
        <v>0</v>
      </c>
      <c r="EN32" s="675">
        <f>IF(AND(AND(AND(Stamoplysninger!$B$26="Weekendtimer og weekendtillæg afspadseres.",I32="X",C32="ikke relevant",S32="X"))),(V32*1.5),0)</f>
        <v>0</v>
      </c>
      <c r="EO32" s="283">
        <f>IF(AND(Stamoplysninger!$B$26="Weekendtimer og weekendtillæg udbetales.",I32="X"),K32*1.5,0)</f>
        <v>0</v>
      </c>
      <c r="EP32" s="251">
        <f>IF(AND(AND(Stamoplysninger!$B$26="Weekendtimer og weekendtillæg udbetales.",I32="X",S32="X")),V32*1.5,0)</f>
        <v>0</v>
      </c>
      <c r="EQ32" s="674">
        <f>IF(AND(AND(Stamoplysninger!$B$26="Weekendtimer og weekendtillæg udbetales.",I32="X",C32="ikke relevant")),K32*1.5,0)</f>
        <v>0</v>
      </c>
      <c r="ER32" s="675">
        <f>IF(AND(AND(AND(Stamoplysninger!$B$26="Weekendtimer og weekendtillæg udbetales.",I32="X",C32="ikke relevant",S32="X"))),(V32*1.5),0)</f>
        <v>0</v>
      </c>
      <c r="ES32" s="283">
        <f>IF(AND(Stamoplysninger!$B$26="Der er indgået lokalaftale omkring weekendtimer.(Kræver aftale med TR/FSL) Weekendtillæg afspadseres.",I32="X"),K32*0.5,0)</f>
        <v>0</v>
      </c>
      <c r="ET32" s="251">
        <f>IF(AND(AND(Stamoplysninger!$B$26="Der er indgået lokalaftale omkring weekendtimer.(Kræver aftale med TR/FSL) Weekendtillæg afspadseres.",I32="X",S32="X")),V32*0.5,0)</f>
        <v>0</v>
      </c>
      <c r="EU32" s="674">
        <f>IF(AND(AND(Stamoplysninger!$B$26="Der er indgået lokalaftale omkring weekendtimer.(Kræver aftale med TR/FSL) Weekendtillæg afspadseres.",I32="X",C32="ikke relevant")),K32*0.5,0)</f>
        <v>0</v>
      </c>
      <c r="EV32" s="675">
        <f>IF(AND(AND(AND(Stamoplysninger!$B$26="Der er indgået lokalaftale omkring weekendtimer.(Kræver aftale med TR/FSL) Weekendtillæg afspadseres.",I32="X",C32="ikke relevant",S32="X"))),(V32*0.5),0)</f>
        <v>0</v>
      </c>
      <c r="EW32" s="283">
        <f>IF(AND(Stamoplysninger!$B$26="Der er indgået lokalaftale omkring weekendtimer(Kræver aftale med TR/FSL). Weekendtillæg udbetales.",I32="X"),K32*0.5,0)</f>
        <v>0</v>
      </c>
      <c r="EX32" s="251">
        <f>IF(AND(AND(Stamoplysninger!$B$26="Der er indgået lokalaftale omkring weekendtimer(Kræver aftale med TR/FSL). Weekendtillæg udbetales.",I32="X",S32="X")),V32*0.5,0)</f>
        <v>0</v>
      </c>
      <c r="EY32" s="674">
        <f>IF(AND(AND(Stamoplysninger!$B$26="Der er indgået lokalaftale omkring weekendtimer(Kræver aftale med TR/FSL). Weekendtillæg udbetales.",I32="X",C32="ikke relevant")),K32*0.5,0)</f>
        <v>0</v>
      </c>
      <c r="EZ32" s="675">
        <f>IF(AND(AND(AND(Stamoplysninger!$B$26="Der er indgået lokalaftale omkring weekendtimer(Kræver aftale med TR/FSL). Weekendtillæg udbetales.",I32="X",C32="ikke relevant",S32="X"))),(V32*0.5),0)</f>
        <v>0</v>
      </c>
      <c r="FA32" s="283">
        <f>IF(AND(Stamoplysninger!$B$26="Der er indgået lokalaftale omkring weekendtillæg(Kræver aftale med TR/FSL). Weekendtimerne afspadseres.",I32="X"),K32,0)</f>
        <v>0</v>
      </c>
      <c r="FB32" s="251">
        <f>IF(AND(AND(Stamoplysninger!$B$26="Der er indgået lokalaftale omkring weekendtillæg(Kræver aftale med TR/FSL). Weekendtimerne afspadseres.",I32="X",S32="X")),V32,0)</f>
        <v>0</v>
      </c>
      <c r="FC32" s="674">
        <f>IF(AND(AND(Stamoplysninger!$B$26="Der er indgået lokalaftale omkring weekendtillæg(Kræver aftale med TR/FSL). Weekendtimerne afspadseres..",I32="X",C32="ikke relevant")),K32,0)</f>
        <v>0</v>
      </c>
      <c r="FD32" s="675">
        <f>IF(AND(AND(AND(Stamoplysninger!$B$26="Der er indgået lokalaftale omkring weekendtillæg(Kræver aftale med TR/FSL). Weekendtimerne afspadseres.",I32="X",C32="ikke relevant",S32="X"))),(V32),0)</f>
        <v>0</v>
      </c>
      <c r="FE32" s="283">
        <f>IF(AND(Stamoplysninger!$B$26="Der er indgået lokalaftale omkring weekendtillæg(Kræver aftale med TR/FSL). Weekendtimerne udbetales.",I32="X"),K32,0)</f>
        <v>0</v>
      </c>
      <c r="FF32" s="251">
        <f>IF(AND(AND(Stamoplysninger!$B$26="Der er indgået lokalaftale omkring weekendtillæg(Kræver aftale med TR/FSL). Weekendtimerne udbetales.",I32="X",S32="X")),V32,0)</f>
        <v>0</v>
      </c>
      <c r="FG32" s="674">
        <f>IF(AND(AND(Stamoplysninger!$B$26="Der er indgået lokalaftale omkring weekendtillæg(Kræver aftale med TR/FSL). Weekendtimerne udbetales.",I32="X",C32="ikke relevant")),K32,0)</f>
        <v>0</v>
      </c>
      <c r="FH32" s="675">
        <f>IF(AND(AND(AND(Stamoplysninger!$B$26="Der er indgået lokalaftale omkring weekendtillæg(Kræver aftale med TR/FSL). Weekendtimerne udbetales.",I32="X",C32="ikke relevant",S32="X"))),(V32),0)</f>
        <v>0</v>
      </c>
      <c r="FI32" s="283">
        <f>IF(AND(Stamoplysninger!$B$26="Weekendtimer og weekendtillæg afspadseres.",I32="X"),K32,0)</f>
        <v>0</v>
      </c>
      <c r="FJ32" s="251">
        <f>IF(AND(Stamoplysninger!$B$26="Weekendtimer og weekendtillæg afspadseres.",Y32="X"),(AA32+AL32)/2,0)</f>
        <v>0</v>
      </c>
      <c r="FK32" s="674">
        <f>IF(AND(AND(Stamoplysninger!$B$26="Weekendtimer og weekendtillæg afspadseres.",I32="X",C32="ikke relevant")),K32,0)</f>
        <v>0</v>
      </c>
      <c r="FL32" s="675">
        <f>IF(AND(AND(Stamoplysninger!$B$26="Weekendtimer og weekendtillæg afspadseres.",Y32="X",S32="ikke relevant")),(AA32+AL32)/2,0)</f>
        <v>0</v>
      </c>
      <c r="FM32" s="283">
        <f>IF(AND(Stamoplysninger!$B$26="Der er indgået lokalaftale omkring weekendtillæg(Kræver aftale med TR/FSL). Weekendtimerne afspadseres.",I32="X"),K32,0)</f>
        <v>0</v>
      </c>
      <c r="FN32" s="674">
        <f>IF(AND(AND(Stamoplysninger!$B$26="Der er indgået lokalaftale omkring weekendtillæg(Kræver aftale med TR/FSL). Weekendtimerne afspadseres.",I32="X",C32="ikke relevant")),K32,0)</f>
        <v>0</v>
      </c>
      <c r="FO32" s="283">
        <f>IF(AND(Stamoplysninger!$B$26="Weekendtimer og weekendtillæg udbetales.",I32="X"),K32,0)</f>
        <v>0</v>
      </c>
      <c r="FP32" s="251">
        <f>IF(AND(Stamoplysninger!$B$26="Weekendtimer og weekendtillæg udbetales.",AA32="X"),(AC32+AN32)/2,0)</f>
        <v>0</v>
      </c>
      <c r="FQ32" s="674">
        <f>IF(AND(AND(Stamoplysninger!$B$26="Weekendtimer og weekendtillæg udbetales.",I32="X",C32="ikke relevant")),K32,0)</f>
        <v>0</v>
      </c>
      <c r="FR32" s="688">
        <f>IF(AND(AND(Stamoplysninger!$B$26="Weekendtimer og weekendtillæg udbetales.",AA32="X",U32="ikke relevant")),(AC32+AN32)/2,0)</f>
        <v>0</v>
      </c>
      <c r="FS32" s="283">
        <f t="shared" si="16"/>
        <v>0</v>
      </c>
      <c r="FT32" s="658">
        <f t="shared" si="17"/>
        <v>0</v>
      </c>
      <c r="FU32">
        <f t="shared" si="32"/>
        <v>0</v>
      </c>
      <c r="FV32" s="283">
        <f>IF(AND(Stamoplysninger!$B$26="Der er indgået lokalaftale omkring weekendtimer.(Kræver aftale med TR/FSL) Weekendtillæg afspadseres.",I32="X"),K32,0)</f>
        <v>0</v>
      </c>
      <c r="FW32" s="674">
        <f>IF(AND(AND(Stamoplysninger!$B$26="Der er indgået lokalaftale omkring weekendtimer.(Kræver aftale med TR/FSL) Weekendtillæg afspadseres.",I32="X",C32="ikke relevant")),K32,0)</f>
        <v>0</v>
      </c>
      <c r="FX32" s="283">
        <f>IF(AND(Stamoplysninger!$B$26="Der er indgået lokalaftale omkring weekendtimer(Kræver aftale med TR/FSL). Weekendtillæg udbetales.",I32="X"),K32,0)</f>
        <v>0</v>
      </c>
      <c r="FY32" s="674">
        <f>IF(AND(AND(Stamoplysninger!$B$26="Der er indgået lokalaftale omkring weekendtimer(Kræver aftale med TR/FSL). Weekendtillæg udbetales.",I32="X",C32="ikke relevant")),K32,0)</f>
        <v>0</v>
      </c>
      <c r="FZ32" s="283">
        <f>IF(AND(Stamoplysninger!$B$26="Der er indgået lokalaftale omkring weekendtillæg(Kræver aftale med TR/FSL). Weekendtimerne udbetales.",I32="X"),K32,0)</f>
        <v>0</v>
      </c>
      <c r="GA32" s="674">
        <f>IF(AND(AND(Stamoplysninger!$B$26="Der er indgået lokalaftale omkring weekendtillæg(Kræver aftale med TR/FSL). Weekendtimerne udbetales.",I32="X",C32="ikke relevant")),K32,0)</f>
        <v>0</v>
      </c>
      <c r="GB32" s="283">
        <f>IF(AND(Stamoplysninger!$B$26="Der er indgået lokalaftale omkring weekendtimer og weekendtillæg.(Kræver aftale med TR/FSL).",I32="X"),K32,0)</f>
        <v>0</v>
      </c>
      <c r="GC32" s="674">
        <f>IF(AND(AND(Stamoplysninger!$B$26="Der er indgået lokalaftale omkring weekendtimer og weekendtillæg.(Kræver aftale med TR/FSL).",I32="X",C32="ikke relevant")),K32,0)</f>
        <v>0</v>
      </c>
    </row>
    <row r="33" spans="1:185">
      <c r="A33" s="245">
        <f t="shared" si="19"/>
        <v>24</v>
      </c>
      <c r="B33" s="128" t="str">
        <f t="shared" si="0"/>
        <v>lø</v>
      </c>
      <c r="C33" s="129" t="s">
        <v>120</v>
      </c>
      <c r="D33" s="130" t="str">
        <f t="shared" si="1"/>
        <v/>
      </c>
      <c r="E33" s="949"/>
      <c r="F33" s="950"/>
      <c r="G33" s="951"/>
      <c r="H33" s="298"/>
      <c r="I33" s="413"/>
      <c r="J33" s="413"/>
      <c r="K33" s="380"/>
      <c r="L33" s="380"/>
      <c r="M33" s="380"/>
      <c r="N33" s="318">
        <f t="shared" si="20"/>
        <v>0</v>
      </c>
      <c r="O33" s="318">
        <f t="shared" si="21"/>
        <v>0</v>
      </c>
      <c r="P33" s="318">
        <f>IF(Stamoplysninger!$H$29="JA",August!DG33,CX33)</f>
        <v>0</v>
      </c>
      <c r="Q33" s="318">
        <f t="shared" si="22"/>
        <v>0</v>
      </c>
      <c r="R33" s="412"/>
      <c r="S33" s="324"/>
      <c r="T33" s="325"/>
      <c r="U33" s="325"/>
      <c r="V33" s="435"/>
      <c r="W33" s="412"/>
      <c r="X33" s="642"/>
      <c r="Y33">
        <f t="shared" si="23"/>
        <v>0</v>
      </c>
      <c r="Z33">
        <f t="shared" si="2"/>
        <v>0</v>
      </c>
      <c r="AA33" s="1">
        <f t="shared" si="3"/>
        <v>0</v>
      </c>
      <c r="AB33" s="1">
        <f t="shared" si="4"/>
        <v>0</v>
      </c>
      <c r="AC33" s="1">
        <f t="shared" si="5"/>
        <v>0</v>
      </c>
      <c r="AD33" s="1">
        <f t="shared" si="6"/>
        <v>0</v>
      </c>
      <c r="AE33" s="1">
        <f t="shared" si="7"/>
        <v>0</v>
      </c>
      <c r="AF33" s="1">
        <f>IF(C33="Orlov",Stamoplysninger!$E$15*7.4,0)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8"/>
        <v>0</v>
      </c>
      <c r="BB33" s="229">
        <f t="shared" si="9"/>
        <v>0</v>
      </c>
      <c r="BC33" s="1">
        <f t="shared" si="24"/>
        <v>0</v>
      </c>
      <c r="BD33" s="1">
        <f t="shared" si="10"/>
        <v>0</v>
      </c>
      <c r="BE33" s="1">
        <f t="shared" si="11"/>
        <v>0</v>
      </c>
      <c r="BF33" s="1">
        <f t="shared" si="12"/>
        <v>0</v>
      </c>
      <c r="BG33" s="210" t="str">
        <f>IF(AND(C33="Skema 1",B33="ma"),Skemaoplysninger!$E$30,"")</f>
        <v/>
      </c>
      <c r="BH33" s="210" t="str">
        <f>IF(AND(C33="Skema 1",B33="ti"),Skemaoplysninger!$G$30,"")</f>
        <v/>
      </c>
      <c r="BI33" s="210" t="str">
        <f>IF(AND(C33="Skema 1",B33="on"),Skemaoplysninger!$I$30,"")</f>
        <v/>
      </c>
      <c r="BJ33" s="210" t="str">
        <f>IF(AND(C33="Skema 1",B33="to"),Skemaoplysninger!$K$30,"")</f>
        <v/>
      </c>
      <c r="BK33" s="210" t="str">
        <f>IF(AND(C33="Skema 1",B33="fr"),Skemaoplysninger!$M$30,"")</f>
        <v/>
      </c>
      <c r="BL33" s="210" t="str">
        <f>IF(AND(C33="Skema 2",B33="ma"),Skemaoplysninger!$S$30,"")</f>
        <v/>
      </c>
      <c r="BM33" s="210" t="str">
        <f>IF(AND(C33="Skema 2",B33="ti"),Skemaoplysninger!$U$30,"")</f>
        <v/>
      </c>
      <c r="BN33" s="210" t="str">
        <f>IF(AND(C33="Skema 2",B33="on"),Skemaoplysninger!$W$30,"")</f>
        <v/>
      </c>
      <c r="BO33" s="210" t="str">
        <f>IF(AND(C33="Skema 2",B33="to"),Skemaoplysninger!$Y$30,"")</f>
        <v/>
      </c>
      <c r="BP33" s="210" t="str">
        <f>IF(AND(C33="Skema 2",B33="fr"),Skemaoplysninger!$AA$30,"")</f>
        <v/>
      </c>
      <c r="BQ33" s="210" t="str">
        <f>IF(AND(C33="Skema 3",B33="ma"),Skemaoplysninger!$AG$30,"")</f>
        <v/>
      </c>
      <c r="BR33" s="210" t="str">
        <f>IF(AND(C33="Skema 3",B33="ti"),Skemaoplysninger!$AI$30,"")</f>
        <v/>
      </c>
      <c r="BS33" s="210" t="str">
        <f>IF(AND(C33="Skema 3",B33="on"),Skemaoplysninger!$AK$30,"")</f>
        <v/>
      </c>
      <c r="BT33" s="210" t="str">
        <f>IF(AND(C33="Skema 3",B33="to"),Skemaoplysninger!$AM$30,"")</f>
        <v/>
      </c>
      <c r="BU33" s="210" t="str">
        <f>IF(AND(C33="Skema 3",B33="fr"),Skemaoplysninger!$AO$30,"")</f>
        <v/>
      </c>
      <c r="BV33" s="210" t="str">
        <f>IF(AND(C33="Skema 4",B33="ma"),Skemaoplysninger!$AU$30,"")</f>
        <v/>
      </c>
      <c r="BW33" s="210" t="str">
        <f>IF(AND(C33="Skema 4",B33="ti"),Skemaoplysninger!$AW$30,"")</f>
        <v/>
      </c>
      <c r="BX33" s="210" t="str">
        <f>IF(AND(C33="Skema 4",B33="on"),Skemaoplysninger!$AY$30,"")</f>
        <v/>
      </c>
      <c r="BY33" s="210" t="str">
        <f>IF(AND(C33="Skema 4",B33="to"),Skemaoplysninger!$BA$30,"")</f>
        <v/>
      </c>
      <c r="BZ33" s="210" t="str">
        <f>IF(AND(C33="Skema 4",B33="fr"),Skemaoplysninger!$BC$30,"")</f>
        <v/>
      </c>
      <c r="CA33" s="1">
        <f t="shared" si="25"/>
        <v>0</v>
      </c>
      <c r="CB33" s="1">
        <f t="shared" si="13"/>
        <v>0</v>
      </c>
      <c r="CC33" s="1">
        <f t="shared" si="14"/>
        <v>0</v>
      </c>
      <c r="CD33" s="210" t="str">
        <f>IF(AND(C33="Skema 1",B33="ma"),Skemaoplysninger!$E$31,"")</f>
        <v/>
      </c>
      <c r="CE33" s="210" t="str">
        <f>IF(AND(C33="Skema 1",B33="ti"),Skemaoplysninger!$G$31,"")</f>
        <v/>
      </c>
      <c r="CF33" s="210" t="str">
        <f>IF(AND(C33="Skema 1",B33="on"),Skemaoplysninger!$I$31,"")</f>
        <v/>
      </c>
      <c r="CG33" s="210" t="str">
        <f>IF(AND(C33="Skema 1",B33="to"),Skemaoplysninger!$K$31,"")</f>
        <v/>
      </c>
      <c r="CH33" s="210" t="str">
        <f>IF(AND(C33="Skema 1",B33="fr"),Skemaoplysninger!$M$31,"")</f>
        <v/>
      </c>
      <c r="CI33" s="210" t="str">
        <f>IF(AND(C33="Skema 2",B33="ma"),Skemaoplysninger!$S$31,"")</f>
        <v/>
      </c>
      <c r="CJ33" s="210" t="str">
        <f>IF(AND(C33="Skema 2",B33="ti"),Skemaoplysninger!$U$31,"")</f>
        <v/>
      </c>
      <c r="CK33" s="210" t="str">
        <f>IF(AND(C33="Skema 2",B33="on"),Skemaoplysninger!$W$31,"")</f>
        <v/>
      </c>
      <c r="CL33" s="210" t="str">
        <f>IF(AND(C33="Skema 2",B33="to"),Skemaoplysninger!$Y$31,"")</f>
        <v/>
      </c>
      <c r="CM33" s="210" t="str">
        <f>IF(AND(C33="Skema 2",B33="fr"),Skemaoplysninger!$AA$31,"")</f>
        <v/>
      </c>
      <c r="CN33" s="210" t="str">
        <f>IF(AND(C33="Skema 3",B33="ma"),Skemaoplysninger!$AG$31,"")</f>
        <v/>
      </c>
      <c r="CO33" s="210" t="str">
        <f>IF(AND(C33="Skema 3",B33="ti"),Skemaoplysninger!$AI$31,"")</f>
        <v/>
      </c>
      <c r="CP33" s="210" t="str">
        <f>IF(AND(C33="Skema 3",B33="on"),Skemaoplysninger!$AK$31,"")</f>
        <v/>
      </c>
      <c r="CQ33" s="210" t="str">
        <f>IF(AND(C33="Skema 3",B33="to"),Skemaoplysninger!$AM$31,"")</f>
        <v/>
      </c>
      <c r="CR33" s="210" t="str">
        <f>IF(AND(C33="Skema 3",B33="fr"),Skemaoplysninger!$AO$31,"")</f>
        <v/>
      </c>
      <c r="CS33" s="210" t="str">
        <f>IF(AND(C33="Skema 4",B33="ma"),Skemaoplysninger!$AU$31,"")</f>
        <v/>
      </c>
      <c r="CT33" s="210" t="str">
        <f>IF(AND(C33="Skema 4",B33="ti"),Skemaoplysninger!$AW$31,"")</f>
        <v/>
      </c>
      <c r="CU33" s="210" t="str">
        <f>IF(AND(C33="Skema 4",B33="on"),Skemaoplysninger!$AY$31,"")</f>
        <v/>
      </c>
      <c r="CV33" s="210" t="str">
        <f>IF(AND(C33="Skema 4",B33="to"),Skemaoplysninger!$BA$31,"")</f>
        <v/>
      </c>
      <c r="CW33" s="210" t="str">
        <f>IF(AND(C33="Skema 4",B33="fr"),Skemaoplysninger!$BC$31,"")</f>
        <v/>
      </c>
      <c r="CX33" s="249">
        <f>IF(Stamoplysninger!$H$29="NEJ",SUM(CD33:CW33)*24+CB33+CC33,0)</f>
        <v>0</v>
      </c>
      <c r="CY33" s="249">
        <f>IF(C33="Skema 1",Stamoplysninger!$H$30/200,0)</f>
        <v>0</v>
      </c>
      <c r="CZ33" s="249">
        <f>IF(C33="Skema 2",Stamoplysninger!$H$30/200,0)</f>
        <v>0</v>
      </c>
      <c r="DA33" s="249">
        <f>IF(C33="Skema 3",Stamoplysninger!$H$30/200,0)</f>
        <v>0</v>
      </c>
      <c r="DB33" s="249">
        <f>IF(C33="Skema 4",Stamoplysninger!$H$30/200,0)</f>
        <v>0</v>
      </c>
      <c r="DC33" s="249">
        <f>IF(C33="fagdag",Stamoplysninger!$H$30/200,0)</f>
        <v>0</v>
      </c>
      <c r="DD33" s="249">
        <f>IF(C33="emnedag",Stamoplysninger!$H$30/200,0)</f>
        <v>0</v>
      </c>
      <c r="DE33" s="249">
        <f>IF(C33="lejrskole",Stamoplysninger!$H$30/200,0)</f>
        <v>0</v>
      </c>
      <c r="DF33" s="249">
        <f>IF(C33="ekskursion",Stamoplysninger!$H$30/200,0)</f>
        <v>0</v>
      </c>
      <c r="DG33" s="249">
        <f t="shared" si="26"/>
        <v>0</v>
      </c>
      <c r="DH33" t="str">
        <f t="shared" si="27"/>
        <v/>
      </c>
      <c r="DI33">
        <f t="shared" si="28"/>
        <v>0</v>
      </c>
      <c r="DJ33">
        <f t="shared" si="29"/>
        <v>0</v>
      </c>
      <c r="DK33" t="str">
        <f t="shared" si="15"/>
        <v/>
      </c>
      <c r="DL33" t="str">
        <f t="shared" si="15"/>
        <v/>
      </c>
      <c r="DM33" t="str">
        <f t="shared" si="30"/>
        <v/>
      </c>
      <c r="DN33" t="str">
        <f t="shared" si="31"/>
        <v/>
      </c>
      <c r="DO33" s="652">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71">
        <f>IF(AND(Stamoplysninger!$B$22="Ulempetillæg udbetales med 25% af nettotimelønnen.",C33="ikke relevant"),(R33)/4,0)</f>
        <v>0</v>
      </c>
      <c r="DT33" s="671">
        <f>IF(AND(AND(Stamoplysninger!$B$22="Ulempetillæg udbetales med 25% af nettotimelønnen.",I33="X",C33="Ikke relevant")),K33/4,0)</f>
        <v>0</v>
      </c>
      <c r="DU33" s="671">
        <f>IF(AND(AND(Stamoplysninger!$B$22="Ulempetillæg udbetales med 25% af nettotimelønnen.",C33="ikke relevant",U33="X")),(X33/4),0)</f>
        <v>0</v>
      </c>
      <c r="DV33" s="672">
        <f>IF(AND(AND(AND(Stamoplysninger!$B$22="Ulempetillæg udbetales med 25% af nettotimelønnen.",I33="X",C33="Ikke relevant",S33="X"))),V33/4,0)</f>
        <v>0</v>
      </c>
      <c r="DW33" s="652"/>
      <c r="DZ33" s="671"/>
      <c r="EA33" s="671"/>
      <c r="EB33" s="672"/>
      <c r="EC33" s="652">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71">
        <f>IF(AND(Stamoplysninger!$B$22="Ulempetillæg afspadseres med 25%(Kræver en aftale imellem ledelsen og den ansatte)",C33="ikke relevant"),(R33)/4,0)</f>
        <v>0</v>
      </c>
      <c r="EH33" s="671">
        <f>IF(AND(AND(Stamoplysninger!$B$22="Ulempetillæg afspadseres med 25%(Kræver en aftale imellem ledelsen og den ansatte)",I33="X",C33="Ikke relevant")),K33/4,0)</f>
        <v>0</v>
      </c>
      <c r="EI33" s="671">
        <f>IF(AND(AND(Stamoplysninger!$B$22="Ulempetillæg afspadseres med 25%(Kræver en aftale imellem ledelsen og den ansatte)",U33="X",C33="Ikke relevant")),X33/4,0)</f>
        <v>0</v>
      </c>
      <c r="EJ33" s="671">
        <f>IF(AND(AND(AND(Stamoplysninger!$B$22="Ulempetillæg afspadseres med 25%(Kræver en aftale imellem ledelsen og den ansatte)",I33="X",C33="Ikke relevant",S33="X"))),V33/4,0)</f>
        <v>0</v>
      </c>
      <c r="EK33" s="283">
        <f>IF(AND(Stamoplysninger!$B$26="Weekendtimer og weekendtillæg afspadseres.",I33="X"),K33*1.5,0)</f>
        <v>0</v>
      </c>
      <c r="EL33" s="251">
        <f>IF(AND(AND(Stamoplysninger!$B$26="Weekendtimer og weekendtillæg afspadseres.",I33="X",S33="X")),V33*1.5,0)</f>
        <v>0</v>
      </c>
      <c r="EM33" s="674">
        <f>IF(AND(AND(Stamoplysninger!$B$26="Weekendtimer og weekendtillæg afspadseres.",I33="X",C33="ikke relevant")),K33*1.5,0)</f>
        <v>0</v>
      </c>
      <c r="EN33" s="675">
        <f>IF(AND(AND(AND(Stamoplysninger!$B$26="Weekendtimer og weekendtillæg afspadseres.",I33="X",C33="ikke relevant",S33="X"))),(V33*1.5),0)</f>
        <v>0</v>
      </c>
      <c r="EO33" s="283">
        <f>IF(AND(Stamoplysninger!$B$26="Weekendtimer og weekendtillæg udbetales.",I33="X"),K33*1.5,0)</f>
        <v>0</v>
      </c>
      <c r="EP33" s="251">
        <f>IF(AND(AND(Stamoplysninger!$B$26="Weekendtimer og weekendtillæg udbetales.",I33="X",S33="X")),V33*1.5,0)</f>
        <v>0</v>
      </c>
      <c r="EQ33" s="674">
        <f>IF(AND(AND(Stamoplysninger!$B$26="Weekendtimer og weekendtillæg udbetales.",I33="X",C33="ikke relevant")),K33*1.5,0)</f>
        <v>0</v>
      </c>
      <c r="ER33" s="675">
        <f>IF(AND(AND(AND(Stamoplysninger!$B$26="Weekendtimer og weekendtillæg udbetales.",I33="X",C33="ikke relevant",S33="X"))),(V33*1.5),0)</f>
        <v>0</v>
      </c>
      <c r="ES33" s="283">
        <f>IF(AND(Stamoplysninger!$B$26="Der er indgået lokalaftale omkring weekendtimer.(Kræver aftale med TR/FSL) Weekendtillæg afspadseres.",I33="X"),K33*0.5,0)</f>
        <v>0</v>
      </c>
      <c r="ET33" s="251">
        <f>IF(AND(AND(Stamoplysninger!$B$26="Der er indgået lokalaftale omkring weekendtimer.(Kræver aftale med TR/FSL) Weekendtillæg afspadseres.",I33="X",S33="X")),V33*0.5,0)</f>
        <v>0</v>
      </c>
      <c r="EU33" s="674">
        <f>IF(AND(AND(Stamoplysninger!$B$26="Der er indgået lokalaftale omkring weekendtimer.(Kræver aftale med TR/FSL) Weekendtillæg afspadseres.",I33="X",C33="ikke relevant")),K33*0.5,0)</f>
        <v>0</v>
      </c>
      <c r="EV33" s="675">
        <f>IF(AND(AND(AND(Stamoplysninger!$B$26="Der er indgået lokalaftale omkring weekendtimer.(Kræver aftale med TR/FSL) Weekendtillæg afspadseres.",I33="X",C33="ikke relevant",S33="X"))),(V33*0.5),0)</f>
        <v>0</v>
      </c>
      <c r="EW33" s="283">
        <f>IF(AND(Stamoplysninger!$B$26="Der er indgået lokalaftale omkring weekendtimer(Kræver aftale med TR/FSL). Weekendtillæg udbetales.",I33="X"),K33*0.5,0)</f>
        <v>0</v>
      </c>
      <c r="EX33" s="251">
        <f>IF(AND(AND(Stamoplysninger!$B$26="Der er indgået lokalaftale omkring weekendtimer(Kræver aftale med TR/FSL). Weekendtillæg udbetales.",I33="X",S33="X")),V33*0.5,0)</f>
        <v>0</v>
      </c>
      <c r="EY33" s="674">
        <f>IF(AND(AND(Stamoplysninger!$B$26="Der er indgået lokalaftale omkring weekendtimer(Kræver aftale med TR/FSL). Weekendtillæg udbetales.",I33="X",C33="ikke relevant")),K33*0.5,0)</f>
        <v>0</v>
      </c>
      <c r="EZ33" s="675">
        <f>IF(AND(AND(AND(Stamoplysninger!$B$26="Der er indgået lokalaftale omkring weekendtimer(Kræver aftale med TR/FSL). Weekendtillæg udbetales.",I33="X",C33="ikke relevant",S33="X"))),(V33*0.5),0)</f>
        <v>0</v>
      </c>
      <c r="FA33" s="283">
        <f>IF(AND(Stamoplysninger!$B$26="Der er indgået lokalaftale omkring weekendtillæg(Kræver aftale med TR/FSL). Weekendtimerne afspadseres.",I33="X"),K33,0)</f>
        <v>0</v>
      </c>
      <c r="FB33" s="251">
        <f>IF(AND(AND(Stamoplysninger!$B$26="Der er indgået lokalaftale omkring weekendtillæg(Kræver aftale med TR/FSL). Weekendtimerne afspadseres.",I33="X",S33="X")),V33,0)</f>
        <v>0</v>
      </c>
      <c r="FC33" s="674">
        <f>IF(AND(AND(Stamoplysninger!$B$26="Der er indgået lokalaftale omkring weekendtillæg(Kræver aftale med TR/FSL). Weekendtimerne afspadseres..",I33="X",C33="ikke relevant")),K33,0)</f>
        <v>0</v>
      </c>
      <c r="FD33" s="675">
        <f>IF(AND(AND(AND(Stamoplysninger!$B$26="Der er indgået lokalaftale omkring weekendtillæg(Kræver aftale med TR/FSL). Weekendtimerne afspadseres.",I33="X",C33="ikke relevant",S33="X"))),(V33),0)</f>
        <v>0</v>
      </c>
      <c r="FE33" s="283">
        <f>IF(AND(Stamoplysninger!$B$26="Der er indgået lokalaftale omkring weekendtillæg(Kræver aftale med TR/FSL). Weekendtimerne udbetales.",I33="X"),K33,0)</f>
        <v>0</v>
      </c>
      <c r="FF33" s="251">
        <f>IF(AND(AND(Stamoplysninger!$B$26="Der er indgået lokalaftale omkring weekendtillæg(Kræver aftale med TR/FSL). Weekendtimerne udbetales.",I33="X",S33="X")),V33,0)</f>
        <v>0</v>
      </c>
      <c r="FG33" s="674">
        <f>IF(AND(AND(Stamoplysninger!$B$26="Der er indgået lokalaftale omkring weekendtillæg(Kræver aftale med TR/FSL). Weekendtimerne udbetales.",I33="X",C33="ikke relevant")),K33,0)</f>
        <v>0</v>
      </c>
      <c r="FH33" s="675">
        <f>IF(AND(AND(AND(Stamoplysninger!$B$26="Der er indgået lokalaftale omkring weekendtillæg(Kræver aftale med TR/FSL). Weekendtimerne udbetales.",I33="X",C33="ikke relevant",S33="X"))),(V33),0)</f>
        <v>0</v>
      </c>
      <c r="FI33" s="283">
        <f>IF(AND(Stamoplysninger!$B$26="Weekendtimer og weekendtillæg afspadseres.",I33="X"),K33,0)</f>
        <v>0</v>
      </c>
      <c r="FJ33" s="251">
        <f>IF(AND(Stamoplysninger!$B$26="Weekendtimer og weekendtillæg afspadseres.",Y33="X"),(AA33+AL33)/2,0)</f>
        <v>0</v>
      </c>
      <c r="FK33" s="674">
        <f>IF(AND(AND(Stamoplysninger!$B$26="Weekendtimer og weekendtillæg afspadseres.",I33="X",C33="ikke relevant")),K33,0)</f>
        <v>0</v>
      </c>
      <c r="FL33" s="675">
        <f>IF(AND(AND(Stamoplysninger!$B$26="Weekendtimer og weekendtillæg afspadseres.",Y33="X",S33="ikke relevant")),(AA33+AL33)/2,0)</f>
        <v>0</v>
      </c>
      <c r="FM33" s="283">
        <f>IF(AND(Stamoplysninger!$B$26="Der er indgået lokalaftale omkring weekendtillæg(Kræver aftale med TR/FSL). Weekendtimerne afspadseres.",I33="X"),K33,0)</f>
        <v>0</v>
      </c>
      <c r="FN33" s="674">
        <f>IF(AND(AND(Stamoplysninger!$B$26="Der er indgået lokalaftale omkring weekendtillæg(Kræver aftale med TR/FSL). Weekendtimerne afspadseres.",I33="X",C33="ikke relevant")),K33,0)</f>
        <v>0</v>
      </c>
      <c r="FO33" s="283">
        <f>IF(AND(Stamoplysninger!$B$26="Weekendtimer og weekendtillæg udbetales.",I33="X"),K33,0)</f>
        <v>0</v>
      </c>
      <c r="FP33" s="251">
        <f>IF(AND(Stamoplysninger!$B$26="Weekendtimer og weekendtillæg udbetales.",AA33="X"),(AC33+AN33)/2,0)</f>
        <v>0</v>
      </c>
      <c r="FQ33" s="674">
        <f>IF(AND(AND(Stamoplysninger!$B$26="Weekendtimer og weekendtillæg udbetales.",I33="X",C33="ikke relevant")),K33,0)</f>
        <v>0</v>
      </c>
      <c r="FR33" s="688">
        <f>IF(AND(AND(Stamoplysninger!$B$26="Weekendtimer og weekendtillæg udbetales.",AA33="X",U33="ikke relevant")),(AC33+AN33)/2,0)</f>
        <v>0</v>
      </c>
      <c r="FS33" s="283">
        <f t="shared" si="16"/>
        <v>0</v>
      </c>
      <c r="FT33" s="658">
        <f t="shared" si="17"/>
        <v>0</v>
      </c>
      <c r="FU33">
        <f t="shared" si="32"/>
        <v>0</v>
      </c>
      <c r="FV33" s="283">
        <f>IF(AND(Stamoplysninger!$B$26="Der er indgået lokalaftale omkring weekendtimer.(Kræver aftale med TR/FSL) Weekendtillæg afspadseres.",I33="X"),K33,0)</f>
        <v>0</v>
      </c>
      <c r="FW33" s="674">
        <f>IF(AND(AND(Stamoplysninger!$B$26="Der er indgået lokalaftale omkring weekendtimer.(Kræver aftale med TR/FSL) Weekendtillæg afspadseres.",I33="X",C33="ikke relevant")),K33,0)</f>
        <v>0</v>
      </c>
      <c r="FX33" s="283">
        <f>IF(AND(Stamoplysninger!$B$26="Der er indgået lokalaftale omkring weekendtimer(Kræver aftale med TR/FSL). Weekendtillæg udbetales.",I33="X"),K33,0)</f>
        <v>0</v>
      </c>
      <c r="FY33" s="674">
        <f>IF(AND(AND(Stamoplysninger!$B$26="Der er indgået lokalaftale omkring weekendtimer(Kræver aftale med TR/FSL). Weekendtillæg udbetales.",I33="X",C33="ikke relevant")),K33,0)</f>
        <v>0</v>
      </c>
      <c r="FZ33" s="283">
        <f>IF(AND(Stamoplysninger!$B$26="Der er indgået lokalaftale omkring weekendtillæg(Kræver aftale med TR/FSL). Weekendtimerne udbetales.",I33="X"),K33,0)</f>
        <v>0</v>
      </c>
      <c r="GA33" s="674">
        <f>IF(AND(AND(Stamoplysninger!$B$26="Der er indgået lokalaftale omkring weekendtillæg(Kræver aftale med TR/FSL). Weekendtimerne udbetales.",I33="X",C33="ikke relevant")),K33,0)</f>
        <v>0</v>
      </c>
      <c r="GB33" s="283">
        <f>IF(AND(Stamoplysninger!$B$26="Der er indgået lokalaftale omkring weekendtimer og weekendtillæg.(Kræver aftale med TR/FSL).",I33="X"),K33,0)</f>
        <v>0</v>
      </c>
      <c r="GC33" s="674">
        <f>IF(AND(AND(Stamoplysninger!$B$26="Der er indgået lokalaftale omkring weekendtimer og weekendtillæg.(Kræver aftale med TR/FSL).",I33="X",C33="ikke relevant")),K33,0)</f>
        <v>0</v>
      </c>
    </row>
    <row r="34" spans="1:185">
      <c r="A34" s="245">
        <f t="shared" si="19"/>
        <v>25</v>
      </c>
      <c r="B34" s="128" t="str">
        <f t="shared" si="0"/>
        <v>sø</v>
      </c>
      <c r="C34" s="129" t="s">
        <v>120</v>
      </c>
      <c r="D34" s="130" t="str">
        <f t="shared" si="1"/>
        <v/>
      </c>
      <c r="E34" s="917"/>
      <c r="F34" s="918"/>
      <c r="G34" s="919"/>
      <c r="H34" s="298"/>
      <c r="I34" s="413"/>
      <c r="J34" s="413"/>
      <c r="K34" s="380"/>
      <c r="L34" s="380"/>
      <c r="M34" s="380"/>
      <c r="N34" s="318">
        <f t="shared" si="20"/>
        <v>0</v>
      </c>
      <c r="O34" s="318">
        <f t="shared" si="21"/>
        <v>0</v>
      </c>
      <c r="P34" s="318">
        <f>IF(Stamoplysninger!$H$29="JA",August!DG34,CX34)</f>
        <v>0</v>
      </c>
      <c r="Q34" s="318">
        <f t="shared" si="22"/>
        <v>0</v>
      </c>
      <c r="R34" s="412"/>
      <c r="S34" s="324"/>
      <c r="T34" s="325"/>
      <c r="U34" s="325"/>
      <c r="V34" s="435"/>
      <c r="W34" s="412"/>
      <c r="X34" s="642"/>
      <c r="Y34">
        <f t="shared" si="23"/>
        <v>0</v>
      </c>
      <c r="Z34">
        <f t="shared" si="2"/>
        <v>0</v>
      </c>
      <c r="AA34" s="1">
        <f t="shared" si="3"/>
        <v>0</v>
      </c>
      <c r="AB34" s="1">
        <f t="shared" si="4"/>
        <v>0</v>
      </c>
      <c r="AC34" s="1">
        <f t="shared" si="5"/>
        <v>0</v>
      </c>
      <c r="AD34" s="1">
        <f t="shared" si="6"/>
        <v>0</v>
      </c>
      <c r="AE34" s="1">
        <f t="shared" si="7"/>
        <v>0</v>
      </c>
      <c r="AF34" s="1">
        <f>IF(C34="Orlov",Stamoplysninger!$E$15*7.4,0)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8"/>
        <v>0</v>
      </c>
      <c r="BB34" s="229">
        <f t="shared" si="9"/>
        <v>0</v>
      </c>
      <c r="BC34" s="1">
        <f t="shared" si="24"/>
        <v>0</v>
      </c>
      <c r="BD34" s="1">
        <f t="shared" si="10"/>
        <v>0</v>
      </c>
      <c r="BE34" s="1">
        <f t="shared" si="11"/>
        <v>0</v>
      </c>
      <c r="BF34" s="1">
        <f t="shared" si="12"/>
        <v>0</v>
      </c>
      <c r="BG34" s="210" t="str">
        <f>IF(AND(C34="Skema 1",B34="ma"),Skemaoplysninger!$E$30,"")</f>
        <v/>
      </c>
      <c r="BH34" s="210" t="str">
        <f>IF(AND(C34="Skema 1",B34="ti"),Skemaoplysninger!$G$30,"")</f>
        <v/>
      </c>
      <c r="BI34" s="210" t="str">
        <f>IF(AND(C34="Skema 1",B34="on"),Skemaoplysninger!$I$30,"")</f>
        <v/>
      </c>
      <c r="BJ34" s="210" t="str">
        <f>IF(AND(C34="Skema 1",B34="to"),Skemaoplysninger!$K$30,"")</f>
        <v/>
      </c>
      <c r="BK34" s="210" t="str">
        <f>IF(AND(C34="Skema 1",B34="fr"),Skemaoplysninger!$M$30,"")</f>
        <v/>
      </c>
      <c r="BL34" s="210" t="str">
        <f>IF(AND(C34="Skema 2",B34="ma"),Skemaoplysninger!$S$30,"")</f>
        <v/>
      </c>
      <c r="BM34" s="210" t="str">
        <f>IF(AND(C34="Skema 2",B34="ti"),Skemaoplysninger!$U$30,"")</f>
        <v/>
      </c>
      <c r="BN34" s="210" t="str">
        <f>IF(AND(C34="Skema 2",B34="on"),Skemaoplysninger!$W$30,"")</f>
        <v/>
      </c>
      <c r="BO34" s="210" t="str">
        <f>IF(AND(C34="Skema 2",B34="to"),Skemaoplysninger!$Y$30,"")</f>
        <v/>
      </c>
      <c r="BP34" s="210" t="str">
        <f>IF(AND(C34="Skema 2",B34="fr"),Skemaoplysninger!$AA$30,"")</f>
        <v/>
      </c>
      <c r="BQ34" s="210" t="str">
        <f>IF(AND(C34="Skema 3",B34="ma"),Skemaoplysninger!$AG$30,"")</f>
        <v/>
      </c>
      <c r="BR34" s="210" t="str">
        <f>IF(AND(C34="Skema 3",B34="ti"),Skemaoplysninger!$AI$30,"")</f>
        <v/>
      </c>
      <c r="BS34" s="210" t="str">
        <f>IF(AND(C34="Skema 3",B34="on"),Skemaoplysninger!$AK$30,"")</f>
        <v/>
      </c>
      <c r="BT34" s="210" t="str">
        <f>IF(AND(C34="Skema 3",B34="to"),Skemaoplysninger!$AM$30,"")</f>
        <v/>
      </c>
      <c r="BU34" s="210" t="str">
        <f>IF(AND(C34="Skema 3",B34="fr"),Skemaoplysninger!$AO$30,"")</f>
        <v/>
      </c>
      <c r="BV34" s="210" t="str">
        <f>IF(AND(C34="Skema 4",B34="ma"),Skemaoplysninger!$AU$30,"")</f>
        <v/>
      </c>
      <c r="BW34" s="210" t="str">
        <f>IF(AND(C34="Skema 4",B34="ti"),Skemaoplysninger!$AW$30,"")</f>
        <v/>
      </c>
      <c r="BX34" s="210" t="str">
        <f>IF(AND(C34="Skema 4",B34="on"),Skemaoplysninger!$AY$30,"")</f>
        <v/>
      </c>
      <c r="BY34" s="210" t="str">
        <f>IF(AND(C34="Skema 4",B34="to"),Skemaoplysninger!$BA$30,"")</f>
        <v/>
      </c>
      <c r="BZ34" s="210" t="str">
        <f>IF(AND(C34="Skema 4",B34="fr"),Skemaoplysninger!$BC$30,"")</f>
        <v/>
      </c>
      <c r="CA34" s="1">
        <f t="shared" si="25"/>
        <v>0</v>
      </c>
      <c r="CB34" s="1">
        <f t="shared" si="13"/>
        <v>0</v>
      </c>
      <c r="CC34" s="1">
        <f t="shared" si="14"/>
        <v>0</v>
      </c>
      <c r="CD34" s="210" t="str">
        <f>IF(AND(C34="Skema 1",B34="ma"),Skemaoplysninger!$E$31,"")</f>
        <v/>
      </c>
      <c r="CE34" s="210" t="str">
        <f>IF(AND(C34="Skema 1",B34="ti"),Skemaoplysninger!$G$31,"")</f>
        <v/>
      </c>
      <c r="CF34" s="210" t="str">
        <f>IF(AND(C34="Skema 1",B34="on"),Skemaoplysninger!$I$31,"")</f>
        <v/>
      </c>
      <c r="CG34" s="210" t="str">
        <f>IF(AND(C34="Skema 1",B34="to"),Skemaoplysninger!$K$31,"")</f>
        <v/>
      </c>
      <c r="CH34" s="210" t="str">
        <f>IF(AND(C34="Skema 1",B34="fr"),Skemaoplysninger!$M$31,"")</f>
        <v/>
      </c>
      <c r="CI34" s="210" t="str">
        <f>IF(AND(C34="Skema 2",B34="ma"),Skemaoplysninger!$S$31,"")</f>
        <v/>
      </c>
      <c r="CJ34" s="210" t="str">
        <f>IF(AND(C34="Skema 2",B34="ti"),Skemaoplysninger!$U$31,"")</f>
        <v/>
      </c>
      <c r="CK34" s="210" t="str">
        <f>IF(AND(C34="Skema 2",B34="on"),Skemaoplysninger!$W$31,"")</f>
        <v/>
      </c>
      <c r="CL34" s="210" t="str">
        <f>IF(AND(C34="Skema 2",B34="to"),Skemaoplysninger!$Y$31,"")</f>
        <v/>
      </c>
      <c r="CM34" s="210" t="str">
        <f>IF(AND(C34="Skema 2",B34="fr"),Skemaoplysninger!$AA$31,"")</f>
        <v/>
      </c>
      <c r="CN34" s="210" t="str">
        <f>IF(AND(C34="Skema 3",B34="ma"),Skemaoplysninger!$AG$31,"")</f>
        <v/>
      </c>
      <c r="CO34" s="210" t="str">
        <f>IF(AND(C34="Skema 3",B34="ti"),Skemaoplysninger!$AI$31,"")</f>
        <v/>
      </c>
      <c r="CP34" s="210" t="str">
        <f>IF(AND(C34="Skema 3",B34="on"),Skemaoplysninger!$AK$31,"")</f>
        <v/>
      </c>
      <c r="CQ34" s="210" t="str">
        <f>IF(AND(C34="Skema 3",B34="to"),Skemaoplysninger!$AM$31,"")</f>
        <v/>
      </c>
      <c r="CR34" s="210" t="str">
        <f>IF(AND(C34="Skema 3",B34="fr"),Skemaoplysninger!$AO$31,"")</f>
        <v/>
      </c>
      <c r="CS34" s="210" t="str">
        <f>IF(AND(C34="Skema 4",B34="ma"),Skemaoplysninger!$AU$31,"")</f>
        <v/>
      </c>
      <c r="CT34" s="210" t="str">
        <f>IF(AND(C34="Skema 4",B34="ti"),Skemaoplysninger!$AW$31,"")</f>
        <v/>
      </c>
      <c r="CU34" s="210" t="str">
        <f>IF(AND(C34="Skema 4",B34="on"),Skemaoplysninger!$AY$31,"")</f>
        <v/>
      </c>
      <c r="CV34" s="210" t="str">
        <f>IF(AND(C34="Skema 4",B34="to"),Skemaoplysninger!$BA$31,"")</f>
        <v/>
      </c>
      <c r="CW34" s="210" t="str">
        <f>IF(AND(C34="Skema 4",B34="fr"),Skemaoplysninger!$BC$31,"")</f>
        <v/>
      </c>
      <c r="CX34" s="249">
        <f>IF(Stamoplysninger!$H$29="NEJ",SUM(CD34:CW34)*24+CB34+CC34,0)</f>
        <v>0</v>
      </c>
      <c r="CY34" s="249">
        <f>IF(C34="Skema 1",Stamoplysninger!$H$30/200,0)</f>
        <v>0</v>
      </c>
      <c r="CZ34" s="249">
        <f>IF(C34="Skema 2",Stamoplysninger!$H$30/200,0)</f>
        <v>0</v>
      </c>
      <c r="DA34" s="249">
        <f>IF(C34="Skema 3",Stamoplysninger!$H$30/200,0)</f>
        <v>0</v>
      </c>
      <c r="DB34" s="249">
        <f>IF(C34="Skema 4",Stamoplysninger!$H$30/200,0)</f>
        <v>0</v>
      </c>
      <c r="DC34" s="249">
        <f>IF(C34="fagdag",Stamoplysninger!$H$30/200,0)</f>
        <v>0</v>
      </c>
      <c r="DD34" s="249">
        <f>IF(C34="emnedag",Stamoplysninger!$H$30/200,0)</f>
        <v>0</v>
      </c>
      <c r="DE34" s="249">
        <f>IF(C34="lejrskole",Stamoplysninger!$H$30/200,0)</f>
        <v>0</v>
      </c>
      <c r="DF34" s="249">
        <f>IF(C34="ekskursion",Stamoplysninger!$H$30/200,0)</f>
        <v>0</v>
      </c>
      <c r="DG34" s="249">
        <f t="shared" si="26"/>
        <v>0</v>
      </c>
      <c r="DH34" t="str">
        <f t="shared" si="27"/>
        <v/>
      </c>
      <c r="DI34">
        <f t="shared" si="28"/>
        <v>0</v>
      </c>
      <c r="DJ34">
        <f t="shared" si="29"/>
        <v>0</v>
      </c>
      <c r="DK34" t="str">
        <f t="shared" si="15"/>
        <v/>
      </c>
      <c r="DL34" t="str">
        <f t="shared" si="15"/>
        <v/>
      </c>
      <c r="DM34" t="str">
        <f t="shared" si="30"/>
        <v/>
      </c>
      <c r="DN34" t="str">
        <f t="shared" si="31"/>
        <v/>
      </c>
      <c r="DO34" s="652">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71">
        <f>IF(AND(Stamoplysninger!$B$22="Ulempetillæg udbetales med 25% af nettotimelønnen.",C34="ikke relevant"),(R34)/4,0)</f>
        <v>0</v>
      </c>
      <c r="DT34" s="671">
        <f>IF(AND(AND(Stamoplysninger!$B$22="Ulempetillæg udbetales med 25% af nettotimelønnen.",I34="X",C34="Ikke relevant")),K34/4,0)</f>
        <v>0</v>
      </c>
      <c r="DU34" s="671">
        <f>IF(AND(AND(Stamoplysninger!$B$22="Ulempetillæg udbetales med 25% af nettotimelønnen.",C34="ikke relevant",U34="X")),(X34/4),0)</f>
        <v>0</v>
      </c>
      <c r="DV34" s="672">
        <f>IF(AND(AND(AND(Stamoplysninger!$B$22="Ulempetillæg udbetales med 25% af nettotimelønnen.",I34="X",C34="Ikke relevant",S34="X"))),V34/4,0)</f>
        <v>0</v>
      </c>
      <c r="DW34" s="652"/>
      <c r="DZ34" s="671"/>
      <c r="EA34" s="671"/>
      <c r="EB34" s="672"/>
      <c r="EC34" s="652">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71">
        <f>IF(AND(Stamoplysninger!$B$22="Ulempetillæg afspadseres med 25%(Kræver en aftale imellem ledelsen og den ansatte)",C34="ikke relevant"),(R34)/4,0)</f>
        <v>0</v>
      </c>
      <c r="EH34" s="671">
        <f>IF(AND(AND(Stamoplysninger!$B$22="Ulempetillæg afspadseres med 25%(Kræver en aftale imellem ledelsen og den ansatte)",I34="X",C34="Ikke relevant")),K34/4,0)</f>
        <v>0</v>
      </c>
      <c r="EI34" s="671">
        <f>IF(AND(AND(Stamoplysninger!$B$22="Ulempetillæg afspadseres med 25%(Kræver en aftale imellem ledelsen og den ansatte)",U34="X",C34="Ikke relevant")),X34/4,0)</f>
        <v>0</v>
      </c>
      <c r="EJ34" s="671">
        <f>IF(AND(AND(AND(Stamoplysninger!$B$22="Ulempetillæg afspadseres med 25%(Kræver en aftale imellem ledelsen og den ansatte)",I34="X",C34="Ikke relevant",S34="X"))),V34/4,0)</f>
        <v>0</v>
      </c>
      <c r="EK34" s="283">
        <f>IF(AND(Stamoplysninger!$B$26="Weekendtimer og weekendtillæg afspadseres.",I34="X"),K34*1.5,0)</f>
        <v>0</v>
      </c>
      <c r="EL34" s="251">
        <f>IF(AND(AND(Stamoplysninger!$B$26="Weekendtimer og weekendtillæg afspadseres.",I34="X",S34="X")),V34*1.5,0)</f>
        <v>0</v>
      </c>
      <c r="EM34" s="674">
        <f>IF(AND(AND(Stamoplysninger!$B$26="Weekendtimer og weekendtillæg afspadseres.",I34="X",C34="ikke relevant")),K34*1.5,0)</f>
        <v>0</v>
      </c>
      <c r="EN34" s="675">
        <f>IF(AND(AND(AND(Stamoplysninger!$B$26="Weekendtimer og weekendtillæg afspadseres.",I34="X",C34="ikke relevant",S34="X"))),(V34*1.5),0)</f>
        <v>0</v>
      </c>
      <c r="EO34" s="283">
        <f>IF(AND(Stamoplysninger!$B$26="Weekendtimer og weekendtillæg udbetales.",I34="X"),K34*1.5,0)</f>
        <v>0</v>
      </c>
      <c r="EP34" s="251">
        <f>IF(AND(AND(Stamoplysninger!$B$26="Weekendtimer og weekendtillæg udbetales.",I34="X",S34="X")),V34*1.5,0)</f>
        <v>0</v>
      </c>
      <c r="EQ34" s="674">
        <f>IF(AND(AND(Stamoplysninger!$B$26="Weekendtimer og weekendtillæg udbetales.",I34="X",C34="ikke relevant")),K34*1.5,0)</f>
        <v>0</v>
      </c>
      <c r="ER34" s="675">
        <f>IF(AND(AND(AND(Stamoplysninger!$B$26="Weekendtimer og weekendtillæg udbetales.",I34="X",C34="ikke relevant",S34="X"))),(V34*1.5),0)</f>
        <v>0</v>
      </c>
      <c r="ES34" s="283">
        <f>IF(AND(Stamoplysninger!$B$26="Der er indgået lokalaftale omkring weekendtimer.(Kræver aftale med TR/FSL) Weekendtillæg afspadseres.",I34="X"),K34*0.5,0)</f>
        <v>0</v>
      </c>
      <c r="ET34" s="251">
        <f>IF(AND(AND(Stamoplysninger!$B$26="Der er indgået lokalaftale omkring weekendtimer.(Kræver aftale med TR/FSL) Weekendtillæg afspadseres.",I34="X",S34="X")),V34*0.5,0)</f>
        <v>0</v>
      </c>
      <c r="EU34" s="674">
        <f>IF(AND(AND(Stamoplysninger!$B$26="Der er indgået lokalaftale omkring weekendtimer.(Kræver aftale med TR/FSL) Weekendtillæg afspadseres.",I34="X",C34="ikke relevant")),K34*0.5,0)</f>
        <v>0</v>
      </c>
      <c r="EV34" s="675">
        <f>IF(AND(AND(AND(Stamoplysninger!$B$26="Der er indgået lokalaftale omkring weekendtimer.(Kræver aftale med TR/FSL) Weekendtillæg afspadseres.",I34="X",C34="ikke relevant",S34="X"))),(V34*0.5),0)</f>
        <v>0</v>
      </c>
      <c r="EW34" s="283">
        <f>IF(AND(Stamoplysninger!$B$26="Der er indgået lokalaftale omkring weekendtimer(Kræver aftale med TR/FSL). Weekendtillæg udbetales.",I34="X"),K34*0.5,0)</f>
        <v>0</v>
      </c>
      <c r="EX34" s="251">
        <f>IF(AND(AND(Stamoplysninger!$B$26="Der er indgået lokalaftale omkring weekendtimer(Kræver aftale med TR/FSL). Weekendtillæg udbetales.",I34="X",S34="X")),V34*0.5,0)</f>
        <v>0</v>
      </c>
      <c r="EY34" s="674">
        <f>IF(AND(AND(Stamoplysninger!$B$26="Der er indgået lokalaftale omkring weekendtimer(Kræver aftale med TR/FSL). Weekendtillæg udbetales.",I34="X",C34="ikke relevant")),K34*0.5,0)</f>
        <v>0</v>
      </c>
      <c r="EZ34" s="675">
        <f>IF(AND(AND(AND(Stamoplysninger!$B$26="Der er indgået lokalaftale omkring weekendtimer(Kræver aftale med TR/FSL). Weekendtillæg udbetales.",I34="X",C34="ikke relevant",S34="X"))),(V34*0.5),0)</f>
        <v>0</v>
      </c>
      <c r="FA34" s="283">
        <f>IF(AND(Stamoplysninger!$B$26="Der er indgået lokalaftale omkring weekendtillæg(Kræver aftale med TR/FSL). Weekendtimerne afspadseres.",I34="X"),K34,0)</f>
        <v>0</v>
      </c>
      <c r="FB34" s="251">
        <f>IF(AND(AND(Stamoplysninger!$B$26="Der er indgået lokalaftale omkring weekendtillæg(Kræver aftale med TR/FSL). Weekendtimerne afspadseres.",I34="X",S34="X")),V34,0)</f>
        <v>0</v>
      </c>
      <c r="FC34" s="674">
        <f>IF(AND(AND(Stamoplysninger!$B$26="Der er indgået lokalaftale omkring weekendtillæg(Kræver aftale med TR/FSL). Weekendtimerne afspadseres..",I34="X",C34="ikke relevant")),K34,0)</f>
        <v>0</v>
      </c>
      <c r="FD34" s="675">
        <f>IF(AND(AND(AND(Stamoplysninger!$B$26="Der er indgået lokalaftale omkring weekendtillæg(Kræver aftale med TR/FSL). Weekendtimerne afspadseres.",I34="X",C34="ikke relevant",S34="X"))),(V34),0)</f>
        <v>0</v>
      </c>
      <c r="FE34" s="283">
        <f>IF(AND(Stamoplysninger!$B$26="Der er indgået lokalaftale omkring weekendtillæg(Kræver aftale med TR/FSL). Weekendtimerne udbetales.",I34="X"),K34,0)</f>
        <v>0</v>
      </c>
      <c r="FF34" s="251">
        <f>IF(AND(AND(Stamoplysninger!$B$26="Der er indgået lokalaftale omkring weekendtillæg(Kræver aftale med TR/FSL). Weekendtimerne udbetales.",I34="X",S34="X")),V34,0)</f>
        <v>0</v>
      </c>
      <c r="FG34" s="674">
        <f>IF(AND(AND(Stamoplysninger!$B$26="Der er indgået lokalaftale omkring weekendtillæg(Kræver aftale med TR/FSL). Weekendtimerne udbetales.",I34="X",C34="ikke relevant")),K34,0)</f>
        <v>0</v>
      </c>
      <c r="FH34" s="675">
        <f>IF(AND(AND(AND(Stamoplysninger!$B$26="Der er indgået lokalaftale omkring weekendtillæg(Kræver aftale med TR/FSL). Weekendtimerne udbetales.",I34="X",C34="ikke relevant",S34="X"))),(V34),0)</f>
        <v>0</v>
      </c>
      <c r="FI34" s="283">
        <f>IF(AND(Stamoplysninger!$B$26="Weekendtimer og weekendtillæg afspadseres.",I34="X"),K34,0)</f>
        <v>0</v>
      </c>
      <c r="FJ34" s="251">
        <f>IF(AND(Stamoplysninger!$B$26="Weekendtimer og weekendtillæg afspadseres.",Y34="X"),(AA34+AL34)/2,0)</f>
        <v>0</v>
      </c>
      <c r="FK34" s="674">
        <f>IF(AND(AND(Stamoplysninger!$B$26="Weekendtimer og weekendtillæg afspadseres.",I34="X",C34="ikke relevant")),K34,0)</f>
        <v>0</v>
      </c>
      <c r="FL34" s="675">
        <f>IF(AND(AND(Stamoplysninger!$B$26="Weekendtimer og weekendtillæg afspadseres.",Y34="X",S34="ikke relevant")),(AA34+AL34)/2,0)</f>
        <v>0</v>
      </c>
      <c r="FM34" s="283">
        <f>IF(AND(Stamoplysninger!$B$26="Der er indgået lokalaftale omkring weekendtillæg(Kræver aftale med TR/FSL). Weekendtimerne afspadseres.",I34="X"),K34,0)</f>
        <v>0</v>
      </c>
      <c r="FN34" s="674">
        <f>IF(AND(AND(Stamoplysninger!$B$26="Der er indgået lokalaftale omkring weekendtillæg(Kræver aftale med TR/FSL). Weekendtimerne afspadseres.",I34="X",C34="ikke relevant")),K34,0)</f>
        <v>0</v>
      </c>
      <c r="FO34" s="283">
        <f>IF(AND(Stamoplysninger!$B$26="Weekendtimer og weekendtillæg udbetales.",I34="X"),K34,0)</f>
        <v>0</v>
      </c>
      <c r="FP34" s="251">
        <f>IF(AND(Stamoplysninger!$B$26="Weekendtimer og weekendtillæg udbetales.",AA34="X"),(AC34+AN34)/2,0)</f>
        <v>0</v>
      </c>
      <c r="FQ34" s="674">
        <f>IF(AND(AND(Stamoplysninger!$B$26="Weekendtimer og weekendtillæg udbetales.",I34="X",C34="ikke relevant")),K34,0)</f>
        <v>0</v>
      </c>
      <c r="FR34" s="688">
        <f>IF(AND(AND(Stamoplysninger!$B$26="Weekendtimer og weekendtillæg udbetales.",AA34="X",U34="ikke relevant")),(AC34+AN34)/2,0)</f>
        <v>0</v>
      </c>
      <c r="FS34" s="283">
        <f t="shared" si="16"/>
        <v>0</v>
      </c>
      <c r="FT34" s="658">
        <f t="shared" si="17"/>
        <v>0</v>
      </c>
      <c r="FU34">
        <f t="shared" si="32"/>
        <v>0</v>
      </c>
      <c r="FV34" s="283">
        <f>IF(AND(Stamoplysninger!$B$26="Der er indgået lokalaftale omkring weekendtimer.(Kræver aftale med TR/FSL) Weekendtillæg afspadseres.",I34="X"),K34,0)</f>
        <v>0</v>
      </c>
      <c r="FW34" s="674">
        <f>IF(AND(AND(Stamoplysninger!$B$26="Der er indgået lokalaftale omkring weekendtimer.(Kræver aftale med TR/FSL) Weekendtillæg afspadseres.",I34="X",C34="ikke relevant")),K34,0)</f>
        <v>0</v>
      </c>
      <c r="FX34" s="283">
        <f>IF(AND(Stamoplysninger!$B$26="Der er indgået lokalaftale omkring weekendtimer(Kræver aftale med TR/FSL). Weekendtillæg udbetales.",I34="X"),K34,0)</f>
        <v>0</v>
      </c>
      <c r="FY34" s="674">
        <f>IF(AND(AND(Stamoplysninger!$B$26="Der er indgået lokalaftale omkring weekendtimer(Kræver aftale med TR/FSL). Weekendtillæg udbetales.",I34="X",C34="ikke relevant")),K34,0)</f>
        <v>0</v>
      </c>
      <c r="FZ34" s="283">
        <f>IF(AND(Stamoplysninger!$B$26="Der er indgået lokalaftale omkring weekendtillæg(Kræver aftale med TR/FSL). Weekendtimerne udbetales.",I34="X"),K34,0)</f>
        <v>0</v>
      </c>
      <c r="GA34" s="674">
        <f>IF(AND(AND(Stamoplysninger!$B$26="Der er indgået lokalaftale omkring weekendtillæg(Kræver aftale med TR/FSL). Weekendtimerne udbetales.",I34="X",C34="ikke relevant")),K34,0)</f>
        <v>0</v>
      </c>
      <c r="GB34" s="283">
        <f>IF(AND(Stamoplysninger!$B$26="Der er indgået lokalaftale omkring weekendtimer og weekendtillæg.(Kræver aftale med TR/FSL).",I34="X"),K34,0)</f>
        <v>0</v>
      </c>
      <c r="GC34" s="674">
        <f>IF(AND(AND(Stamoplysninger!$B$26="Der er indgået lokalaftale omkring weekendtimer og weekendtillæg.(Kræver aftale med TR/FSL).",I34="X",C34="ikke relevant")),K34,0)</f>
        <v>0</v>
      </c>
    </row>
    <row r="35" spans="1:185">
      <c r="A35" s="245">
        <f t="shared" si="19"/>
        <v>26</v>
      </c>
      <c r="B35" s="128" t="str">
        <f t="shared" si="0"/>
        <v>ma</v>
      </c>
      <c r="C35" s="129" t="s">
        <v>206</v>
      </c>
      <c r="D35" s="130">
        <f t="shared" si="1"/>
        <v>35</v>
      </c>
      <c r="E35" s="917"/>
      <c r="F35" s="918"/>
      <c r="G35" s="919"/>
      <c r="H35" s="298"/>
      <c r="I35" s="527"/>
      <c r="J35" s="413"/>
      <c r="K35" s="380"/>
      <c r="L35" s="380"/>
      <c r="M35" s="380"/>
      <c r="N35" s="318">
        <f t="shared" si="20"/>
        <v>7.75</v>
      </c>
      <c r="O35" s="318">
        <f t="shared" si="21"/>
        <v>3.916666666666667</v>
      </c>
      <c r="P35" s="318">
        <f>IF(Stamoplysninger!$H$29="JA",August!DG35,CX35)</f>
        <v>0.83333333333333337</v>
      </c>
      <c r="Q35" s="318">
        <f t="shared" si="22"/>
        <v>2.9999999999999996</v>
      </c>
      <c r="R35" s="412"/>
      <c r="S35" s="324"/>
      <c r="T35" s="325"/>
      <c r="U35" s="325"/>
      <c r="V35" s="435"/>
      <c r="W35" s="412"/>
      <c r="X35" s="642"/>
      <c r="Y35">
        <f t="shared" si="23"/>
        <v>0</v>
      </c>
      <c r="Z35">
        <f t="shared" si="2"/>
        <v>0</v>
      </c>
      <c r="AA35" s="1">
        <f t="shared" si="3"/>
        <v>0</v>
      </c>
      <c r="AB35" s="1">
        <f t="shared" si="4"/>
        <v>0</v>
      </c>
      <c r="AC35" s="1">
        <f t="shared" si="5"/>
        <v>0</v>
      </c>
      <c r="AD35" s="1">
        <f t="shared" si="6"/>
        <v>0</v>
      </c>
      <c r="AE35" s="1">
        <f t="shared" si="7"/>
        <v>0</v>
      </c>
      <c r="AF35" s="1">
        <f>IF(C35="Orlov",Stamoplysninger!$E$15*7.4,0)</f>
        <v>0</v>
      </c>
      <c r="AG35">
        <f>IF(AND(C35="Skema 1",B35="ma"),Arbejdstidsoversigt!$E$72,"")</f>
        <v>7.75</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8"/>
        <v>7.75</v>
      </c>
      <c r="BB35" s="229">
        <f t="shared" si="9"/>
        <v>186</v>
      </c>
      <c r="BC35" s="1">
        <f t="shared" si="24"/>
        <v>0</v>
      </c>
      <c r="BD35" s="1">
        <f t="shared" si="10"/>
        <v>0</v>
      </c>
      <c r="BE35" s="1">
        <f t="shared" si="11"/>
        <v>0</v>
      </c>
      <c r="BF35" s="1">
        <f t="shared" si="12"/>
        <v>0</v>
      </c>
      <c r="BG35" s="210">
        <f>IF(AND(C35="Skema 1",B35="ma"),Skemaoplysninger!$E$30,"")</f>
        <v>0.16319444444444445</v>
      </c>
      <c r="BH35" s="210" t="str">
        <f>IF(AND(C35="Skema 1",B35="ti"),Skemaoplysninger!$G$30,"")</f>
        <v/>
      </c>
      <c r="BI35" s="210" t="str">
        <f>IF(AND(C35="Skema 1",B35="on"),Skemaoplysninger!$I$30,"")</f>
        <v/>
      </c>
      <c r="BJ35" s="210" t="str">
        <f>IF(AND(C35="Skema 1",B35="to"),Skemaoplysninger!$K$30,"")</f>
        <v/>
      </c>
      <c r="BK35" s="210" t="str">
        <f>IF(AND(C35="Skema 1",B35="fr"),Skemaoplysninger!$M$30,"")</f>
        <v/>
      </c>
      <c r="BL35" s="210" t="str">
        <f>IF(AND(C35="Skema 2",B35="ma"),Skemaoplysninger!$S$30,"")</f>
        <v/>
      </c>
      <c r="BM35" s="210" t="str">
        <f>IF(AND(C35="Skema 2",B35="ti"),Skemaoplysninger!$U$30,"")</f>
        <v/>
      </c>
      <c r="BN35" s="210" t="str">
        <f>IF(AND(C35="Skema 2",B35="on"),Skemaoplysninger!$W$30,"")</f>
        <v/>
      </c>
      <c r="BO35" s="210" t="str">
        <f>IF(AND(C35="Skema 2",B35="to"),Skemaoplysninger!$Y$30,"")</f>
        <v/>
      </c>
      <c r="BP35" s="210" t="str">
        <f>IF(AND(C35="Skema 2",B35="fr"),Skemaoplysninger!$AA$30,"")</f>
        <v/>
      </c>
      <c r="BQ35" s="210" t="str">
        <f>IF(AND(C35="Skema 3",B35="ma"),Skemaoplysninger!$AG$30,"")</f>
        <v/>
      </c>
      <c r="BR35" s="210" t="str">
        <f>IF(AND(C35="Skema 3",B35="ti"),Skemaoplysninger!$AI$30,"")</f>
        <v/>
      </c>
      <c r="BS35" s="210" t="str">
        <f>IF(AND(C35="Skema 3",B35="on"),Skemaoplysninger!$AK$30,"")</f>
        <v/>
      </c>
      <c r="BT35" s="210" t="str">
        <f>IF(AND(C35="Skema 3",B35="to"),Skemaoplysninger!$AM$30,"")</f>
        <v/>
      </c>
      <c r="BU35" s="210" t="str">
        <f>IF(AND(C35="Skema 3",B35="fr"),Skemaoplysninger!$AO$30,"")</f>
        <v/>
      </c>
      <c r="BV35" s="210" t="str">
        <f>IF(AND(C35="Skema 4",B35="ma"),Skemaoplysninger!$AU$30,"")</f>
        <v/>
      </c>
      <c r="BW35" s="210" t="str">
        <f>IF(AND(C35="Skema 4",B35="ti"),Skemaoplysninger!$AW$30,"")</f>
        <v/>
      </c>
      <c r="BX35" s="210" t="str">
        <f>IF(AND(C35="Skema 4",B35="on"),Skemaoplysninger!$AY$30,"")</f>
        <v/>
      </c>
      <c r="BY35" s="210" t="str">
        <f>IF(AND(C35="Skema 4",B35="to"),Skemaoplysninger!$BA$30,"")</f>
        <v/>
      </c>
      <c r="BZ35" s="210" t="str">
        <f>IF(AND(C35="Skema 4",B35="fr"),Skemaoplysninger!$BC$30,"")</f>
        <v/>
      </c>
      <c r="CA35" s="1">
        <f t="shared" si="25"/>
        <v>3.916666666666667</v>
      </c>
      <c r="CB35" s="1">
        <f t="shared" si="13"/>
        <v>0</v>
      </c>
      <c r="CC35" s="1">
        <f t="shared" si="14"/>
        <v>0</v>
      </c>
      <c r="CD35" s="210">
        <f>IF(AND(C35="Skema 1",B35="ma"),Skemaoplysninger!$E$31,"")</f>
        <v>3.4722222222222224E-2</v>
      </c>
      <c r="CE35" s="210" t="str">
        <f>IF(AND(C35="Skema 1",B35="ti"),Skemaoplysninger!$G$31,"")</f>
        <v/>
      </c>
      <c r="CF35" s="210" t="str">
        <f>IF(AND(C35="Skema 1",B35="on"),Skemaoplysninger!$I$31,"")</f>
        <v/>
      </c>
      <c r="CG35" s="210" t="str">
        <f>IF(AND(C35="Skema 1",B35="to"),Skemaoplysninger!$K$31,"")</f>
        <v/>
      </c>
      <c r="CH35" s="210" t="str">
        <f>IF(AND(C35="Skema 1",B35="fr"),Skemaoplysninger!$M$31,"")</f>
        <v/>
      </c>
      <c r="CI35" s="210" t="str">
        <f>IF(AND(C35="Skema 2",B35="ma"),Skemaoplysninger!$S$31,"")</f>
        <v/>
      </c>
      <c r="CJ35" s="210" t="str">
        <f>IF(AND(C35="Skema 2",B35="ti"),Skemaoplysninger!$U$31,"")</f>
        <v/>
      </c>
      <c r="CK35" s="210" t="str">
        <f>IF(AND(C35="Skema 2",B35="on"),Skemaoplysninger!$W$31,"")</f>
        <v/>
      </c>
      <c r="CL35" s="210" t="str">
        <f>IF(AND(C35="Skema 2",B35="to"),Skemaoplysninger!$Y$31,"")</f>
        <v/>
      </c>
      <c r="CM35" s="210" t="str">
        <f>IF(AND(C35="Skema 2",B35="fr"),Skemaoplysninger!$AA$31,"")</f>
        <v/>
      </c>
      <c r="CN35" s="210" t="str">
        <f>IF(AND(C35="Skema 3",B35="ma"),Skemaoplysninger!$AG$31,"")</f>
        <v/>
      </c>
      <c r="CO35" s="210" t="str">
        <f>IF(AND(C35="Skema 3",B35="ti"),Skemaoplysninger!$AI$31,"")</f>
        <v/>
      </c>
      <c r="CP35" s="210" t="str">
        <f>IF(AND(C35="Skema 3",B35="on"),Skemaoplysninger!$AK$31,"")</f>
        <v/>
      </c>
      <c r="CQ35" s="210" t="str">
        <f>IF(AND(C35="Skema 3",B35="to"),Skemaoplysninger!$AM$31,"")</f>
        <v/>
      </c>
      <c r="CR35" s="210" t="str">
        <f>IF(AND(C35="Skema 3",B35="fr"),Skemaoplysninger!$AO$31,"")</f>
        <v/>
      </c>
      <c r="CS35" s="210" t="str">
        <f>IF(AND(C35="Skema 4",B35="ma"),Skemaoplysninger!$AU$31,"")</f>
        <v/>
      </c>
      <c r="CT35" s="210" t="str">
        <f>IF(AND(C35="Skema 4",B35="ti"),Skemaoplysninger!$AW$31,"")</f>
        <v/>
      </c>
      <c r="CU35" s="210" t="str">
        <f>IF(AND(C35="Skema 4",B35="on"),Skemaoplysninger!$AY$31,"")</f>
        <v/>
      </c>
      <c r="CV35" s="210" t="str">
        <f>IF(AND(C35="Skema 4",B35="to"),Skemaoplysninger!$BA$31,"")</f>
        <v/>
      </c>
      <c r="CW35" s="210" t="str">
        <f>IF(AND(C35="Skema 4",B35="fr"),Skemaoplysninger!$BC$31,"")</f>
        <v/>
      </c>
      <c r="CX35" s="249">
        <f>IF(Stamoplysninger!$H$29="NEJ",SUM(CD35:CW35)*24+CB35+CC35,0)</f>
        <v>0.83333333333333337</v>
      </c>
      <c r="CY35" s="249">
        <f>IF(C35="Skema 1",Stamoplysninger!$H$30/200,0)</f>
        <v>0</v>
      </c>
      <c r="CZ35" s="249">
        <f>IF(C35="Skema 2",Stamoplysninger!$H$30/200,0)</f>
        <v>0</v>
      </c>
      <c r="DA35" s="249">
        <f>IF(C35="Skema 3",Stamoplysninger!$H$30/200,0)</f>
        <v>0</v>
      </c>
      <c r="DB35" s="249">
        <f>IF(C35="Skema 4",Stamoplysninger!$H$30/200,0)</f>
        <v>0</v>
      </c>
      <c r="DC35" s="249">
        <f>IF(C35="fagdag",Stamoplysninger!$H$30/200,0)</f>
        <v>0</v>
      </c>
      <c r="DD35" s="249">
        <f>IF(C35="emnedag",Stamoplysninger!$H$30/200,0)</f>
        <v>0</v>
      </c>
      <c r="DE35" s="249">
        <f>IF(C35="lejrskole",Stamoplysninger!$H$30/200,0)</f>
        <v>0</v>
      </c>
      <c r="DF35" s="249">
        <f>IF(C35="ekskursion",Stamoplysninger!$H$30/200,0)</f>
        <v>0</v>
      </c>
      <c r="DG35" s="249">
        <f t="shared" si="26"/>
        <v>0</v>
      </c>
      <c r="DH35" t="str">
        <f t="shared" si="27"/>
        <v/>
      </c>
      <c r="DI35">
        <f t="shared" si="28"/>
        <v>0</v>
      </c>
      <c r="DJ35">
        <f t="shared" si="29"/>
        <v>0</v>
      </c>
      <c r="DK35" t="str">
        <f t="shared" si="15"/>
        <v/>
      </c>
      <c r="DL35" t="str">
        <f t="shared" si="15"/>
        <v/>
      </c>
      <c r="DM35" t="str">
        <f t="shared" si="30"/>
        <v/>
      </c>
      <c r="DN35" t="str">
        <f t="shared" si="31"/>
        <v/>
      </c>
      <c r="DO35" s="652">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71">
        <f>IF(AND(Stamoplysninger!$B$22="Ulempetillæg udbetales med 25% af nettotimelønnen.",C35="ikke relevant"),(R35)/4,0)</f>
        <v>0</v>
      </c>
      <c r="DT35" s="671">
        <f>IF(AND(AND(Stamoplysninger!$B$22="Ulempetillæg udbetales med 25% af nettotimelønnen.",I35="X",C35="Ikke relevant")),K35/4,0)</f>
        <v>0</v>
      </c>
      <c r="DU35" s="671">
        <f>IF(AND(AND(Stamoplysninger!$B$22="Ulempetillæg udbetales med 25% af nettotimelønnen.",C35="ikke relevant",U35="X")),(X35/4),0)</f>
        <v>0</v>
      </c>
      <c r="DV35" s="672">
        <f>IF(AND(AND(AND(Stamoplysninger!$B$22="Ulempetillæg udbetales med 25% af nettotimelønnen.",I35="X",C35="Ikke relevant",S35="X"))),V35/4,0)</f>
        <v>0</v>
      </c>
      <c r="DW35" s="652"/>
      <c r="DZ35" s="671"/>
      <c r="EA35" s="671"/>
      <c r="EB35" s="672"/>
      <c r="EC35" s="652">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71">
        <f>IF(AND(Stamoplysninger!$B$22="Ulempetillæg afspadseres med 25%(Kræver en aftale imellem ledelsen og den ansatte)",C35="ikke relevant"),(R35)/4,0)</f>
        <v>0</v>
      </c>
      <c r="EH35" s="671">
        <f>IF(AND(AND(Stamoplysninger!$B$22="Ulempetillæg afspadseres med 25%(Kræver en aftale imellem ledelsen og den ansatte)",I35="X",C35="Ikke relevant")),K35/4,0)</f>
        <v>0</v>
      </c>
      <c r="EI35" s="671">
        <f>IF(AND(AND(Stamoplysninger!$B$22="Ulempetillæg afspadseres med 25%(Kræver en aftale imellem ledelsen og den ansatte)",U35="X",C35="Ikke relevant")),X35/4,0)</f>
        <v>0</v>
      </c>
      <c r="EJ35" s="671">
        <f>IF(AND(AND(AND(Stamoplysninger!$B$22="Ulempetillæg afspadseres med 25%(Kræver en aftale imellem ledelsen og den ansatte)",I35="X",C35="Ikke relevant",S35="X"))),V35/4,0)</f>
        <v>0</v>
      </c>
      <c r="EK35" s="283">
        <f>IF(AND(Stamoplysninger!$B$26="Weekendtimer og weekendtillæg afspadseres.",I35="X"),K35*1.5,0)</f>
        <v>0</v>
      </c>
      <c r="EL35" s="251">
        <f>IF(AND(AND(Stamoplysninger!$B$26="Weekendtimer og weekendtillæg afspadseres.",I35="X",S35="X")),V35*1.5,0)</f>
        <v>0</v>
      </c>
      <c r="EM35" s="674">
        <f>IF(AND(AND(Stamoplysninger!$B$26="Weekendtimer og weekendtillæg afspadseres.",I35="X",C35="ikke relevant")),K35*1.5,0)</f>
        <v>0</v>
      </c>
      <c r="EN35" s="675">
        <f>IF(AND(AND(AND(Stamoplysninger!$B$26="Weekendtimer og weekendtillæg afspadseres.",I35="X",C35="ikke relevant",S35="X"))),(V35*1.5),0)</f>
        <v>0</v>
      </c>
      <c r="EO35" s="283">
        <f>IF(AND(Stamoplysninger!$B$26="Weekendtimer og weekendtillæg udbetales.",I35="X"),K35*1.5,0)</f>
        <v>0</v>
      </c>
      <c r="EP35" s="251">
        <f>IF(AND(AND(Stamoplysninger!$B$26="Weekendtimer og weekendtillæg udbetales.",I35="X",S35="X")),V35*1.5,0)</f>
        <v>0</v>
      </c>
      <c r="EQ35" s="674">
        <f>IF(AND(AND(Stamoplysninger!$B$26="Weekendtimer og weekendtillæg udbetales.",I35="X",C35="ikke relevant")),K35*1.5,0)</f>
        <v>0</v>
      </c>
      <c r="ER35" s="675">
        <f>IF(AND(AND(AND(Stamoplysninger!$B$26="Weekendtimer og weekendtillæg udbetales.",I35="X",C35="ikke relevant",S35="X"))),(V35*1.5),0)</f>
        <v>0</v>
      </c>
      <c r="ES35" s="283">
        <f>IF(AND(Stamoplysninger!$B$26="Der er indgået lokalaftale omkring weekendtimer.(Kræver aftale med TR/FSL) Weekendtillæg afspadseres.",I35="X"),K35*0.5,0)</f>
        <v>0</v>
      </c>
      <c r="ET35" s="251">
        <f>IF(AND(AND(Stamoplysninger!$B$26="Der er indgået lokalaftale omkring weekendtimer.(Kræver aftale med TR/FSL) Weekendtillæg afspadseres.",I35="X",S35="X")),V35*0.5,0)</f>
        <v>0</v>
      </c>
      <c r="EU35" s="674">
        <f>IF(AND(AND(Stamoplysninger!$B$26="Der er indgået lokalaftale omkring weekendtimer.(Kræver aftale med TR/FSL) Weekendtillæg afspadseres.",I35="X",C35="ikke relevant")),K35*0.5,0)</f>
        <v>0</v>
      </c>
      <c r="EV35" s="675">
        <f>IF(AND(AND(AND(Stamoplysninger!$B$26="Der er indgået lokalaftale omkring weekendtimer.(Kræver aftale med TR/FSL) Weekendtillæg afspadseres.",I35="X",C35="ikke relevant",S35="X"))),(V35*0.5),0)</f>
        <v>0</v>
      </c>
      <c r="EW35" s="283">
        <f>IF(AND(Stamoplysninger!$B$26="Der er indgået lokalaftale omkring weekendtimer(Kræver aftale med TR/FSL). Weekendtillæg udbetales.",I35="X"),K35*0.5,0)</f>
        <v>0</v>
      </c>
      <c r="EX35" s="251">
        <f>IF(AND(AND(Stamoplysninger!$B$26="Der er indgået lokalaftale omkring weekendtimer(Kræver aftale med TR/FSL). Weekendtillæg udbetales.",I35="X",S35="X")),V35*0.5,0)</f>
        <v>0</v>
      </c>
      <c r="EY35" s="674">
        <f>IF(AND(AND(Stamoplysninger!$B$26="Der er indgået lokalaftale omkring weekendtimer(Kræver aftale med TR/FSL). Weekendtillæg udbetales.",I35="X",C35="ikke relevant")),K35*0.5,0)</f>
        <v>0</v>
      </c>
      <c r="EZ35" s="675">
        <f>IF(AND(AND(AND(Stamoplysninger!$B$26="Der er indgået lokalaftale omkring weekendtimer(Kræver aftale med TR/FSL). Weekendtillæg udbetales.",I35="X",C35="ikke relevant",S35="X"))),(V35*0.5),0)</f>
        <v>0</v>
      </c>
      <c r="FA35" s="283">
        <f>IF(AND(Stamoplysninger!$B$26="Der er indgået lokalaftale omkring weekendtillæg(Kræver aftale med TR/FSL). Weekendtimerne afspadseres.",I35="X"),K35,0)</f>
        <v>0</v>
      </c>
      <c r="FB35" s="251">
        <f>IF(AND(AND(Stamoplysninger!$B$26="Der er indgået lokalaftale omkring weekendtillæg(Kræver aftale med TR/FSL). Weekendtimerne afspadseres.",I35="X",S35="X")),V35,0)</f>
        <v>0</v>
      </c>
      <c r="FC35" s="674">
        <f>IF(AND(AND(Stamoplysninger!$B$26="Der er indgået lokalaftale omkring weekendtillæg(Kræver aftale med TR/FSL). Weekendtimerne afspadseres..",I35="X",C35="ikke relevant")),K35,0)</f>
        <v>0</v>
      </c>
      <c r="FD35" s="675">
        <f>IF(AND(AND(AND(Stamoplysninger!$B$26="Der er indgået lokalaftale omkring weekendtillæg(Kræver aftale med TR/FSL). Weekendtimerne afspadseres.",I35="X",C35="ikke relevant",S35="X"))),(V35),0)</f>
        <v>0</v>
      </c>
      <c r="FE35" s="283">
        <f>IF(AND(Stamoplysninger!$B$26="Der er indgået lokalaftale omkring weekendtillæg(Kræver aftale med TR/FSL). Weekendtimerne udbetales.",I35="X"),K35,0)</f>
        <v>0</v>
      </c>
      <c r="FF35" s="251">
        <f>IF(AND(AND(Stamoplysninger!$B$26="Der er indgået lokalaftale omkring weekendtillæg(Kræver aftale med TR/FSL). Weekendtimerne udbetales.",I35="X",S35="X")),V35,0)</f>
        <v>0</v>
      </c>
      <c r="FG35" s="674">
        <f>IF(AND(AND(Stamoplysninger!$B$26="Der er indgået lokalaftale omkring weekendtillæg(Kræver aftale med TR/FSL). Weekendtimerne udbetales.",I35="X",C35="ikke relevant")),K35,0)</f>
        <v>0</v>
      </c>
      <c r="FH35" s="675">
        <f>IF(AND(AND(AND(Stamoplysninger!$B$26="Der er indgået lokalaftale omkring weekendtillæg(Kræver aftale med TR/FSL). Weekendtimerne udbetales.",I35="X",C35="ikke relevant",S35="X"))),(V35),0)</f>
        <v>0</v>
      </c>
      <c r="FI35" s="283">
        <f>IF(AND(Stamoplysninger!$B$26="Weekendtimer og weekendtillæg afspadseres.",I35="X"),K35,0)</f>
        <v>0</v>
      </c>
      <c r="FJ35" s="251">
        <f>IF(AND(Stamoplysninger!$B$26="Weekendtimer og weekendtillæg afspadseres.",Y35="X"),(AA35+AL35)/2,0)</f>
        <v>0</v>
      </c>
      <c r="FK35" s="674">
        <f>IF(AND(AND(Stamoplysninger!$B$26="Weekendtimer og weekendtillæg afspadseres.",I35="X",C35="ikke relevant")),K35,0)</f>
        <v>0</v>
      </c>
      <c r="FL35" s="675">
        <f>IF(AND(AND(Stamoplysninger!$B$26="Weekendtimer og weekendtillæg afspadseres.",Y35="X",S35="ikke relevant")),(AA35+AL35)/2,0)</f>
        <v>0</v>
      </c>
      <c r="FM35" s="283">
        <f>IF(AND(Stamoplysninger!$B$26="Der er indgået lokalaftale omkring weekendtillæg(Kræver aftale med TR/FSL). Weekendtimerne afspadseres.",I35="X"),K35,0)</f>
        <v>0</v>
      </c>
      <c r="FN35" s="674">
        <f>IF(AND(AND(Stamoplysninger!$B$26="Der er indgået lokalaftale omkring weekendtillæg(Kræver aftale med TR/FSL). Weekendtimerne afspadseres.",I35="X",C35="ikke relevant")),K35,0)</f>
        <v>0</v>
      </c>
      <c r="FO35" s="283">
        <f>IF(AND(Stamoplysninger!$B$26="Weekendtimer og weekendtillæg udbetales.",I35="X"),K35,0)</f>
        <v>0</v>
      </c>
      <c r="FP35" s="251">
        <f>IF(AND(Stamoplysninger!$B$26="Weekendtimer og weekendtillæg udbetales.",AA35="X"),(AC35+AN35)/2,0)</f>
        <v>0</v>
      </c>
      <c r="FQ35" s="674">
        <f>IF(AND(AND(Stamoplysninger!$B$26="Weekendtimer og weekendtillæg udbetales.",I35="X",C35="ikke relevant")),K35,0)</f>
        <v>0</v>
      </c>
      <c r="FR35" s="688">
        <f>IF(AND(AND(Stamoplysninger!$B$26="Weekendtimer og weekendtillæg udbetales.",AA35="X",U35="ikke relevant")),(AC35+AN35)/2,0)</f>
        <v>0</v>
      </c>
      <c r="FS35" s="283">
        <f t="shared" si="16"/>
        <v>0</v>
      </c>
      <c r="FT35" s="658">
        <f t="shared" si="17"/>
        <v>0</v>
      </c>
      <c r="FU35">
        <f>IF(AND(C35="weekend",I35="X"),K35,0)</f>
        <v>0</v>
      </c>
      <c r="FV35" s="283">
        <f>IF(AND(Stamoplysninger!$B$26="Der er indgået lokalaftale omkring weekendtimer.(Kræver aftale med TR/FSL) Weekendtillæg afspadseres.",I35="X"),K35,0)</f>
        <v>0</v>
      </c>
      <c r="FW35" s="674">
        <f>IF(AND(AND(Stamoplysninger!$B$26="Der er indgået lokalaftale omkring weekendtimer.(Kræver aftale med TR/FSL) Weekendtillæg afspadseres.",I35="X",C35="ikke relevant")),K35,0)</f>
        <v>0</v>
      </c>
      <c r="FX35" s="283">
        <f>IF(AND(Stamoplysninger!$B$26="Der er indgået lokalaftale omkring weekendtimer(Kræver aftale med TR/FSL). Weekendtillæg udbetales.",I35="X"),K35,0)</f>
        <v>0</v>
      </c>
      <c r="FY35" s="674">
        <f>IF(AND(AND(Stamoplysninger!$B$26="Der er indgået lokalaftale omkring weekendtimer(Kræver aftale med TR/FSL). Weekendtillæg udbetales.",I35="X",C35="ikke relevant")),K35,0)</f>
        <v>0</v>
      </c>
      <c r="FZ35" s="283">
        <f>IF(AND(Stamoplysninger!$B$26="Der er indgået lokalaftale omkring weekendtillæg(Kræver aftale med TR/FSL). Weekendtimerne udbetales.",I35="X"),K35,0)</f>
        <v>0</v>
      </c>
      <c r="GA35" s="674">
        <f>IF(AND(AND(Stamoplysninger!$B$26="Der er indgået lokalaftale omkring weekendtillæg(Kræver aftale med TR/FSL). Weekendtimerne udbetales.",I35="X",C35="ikke relevant")),K35,0)</f>
        <v>0</v>
      </c>
      <c r="GB35" s="283">
        <f>IF(AND(Stamoplysninger!$B$26="Der er indgået lokalaftale omkring weekendtimer og weekendtillæg.(Kræver aftale med TR/FSL).",I35="X"),K35,0)</f>
        <v>0</v>
      </c>
      <c r="GC35" s="674">
        <f>IF(AND(AND(Stamoplysninger!$B$26="Der er indgået lokalaftale omkring weekendtimer og weekendtillæg.(Kræver aftale med TR/FSL).",I35="X",C35="ikke relevant")),K35,0)</f>
        <v>0</v>
      </c>
    </row>
    <row r="36" spans="1:185">
      <c r="A36" s="245">
        <f t="shared" si="19"/>
        <v>27</v>
      </c>
      <c r="B36" s="128" t="str">
        <f t="shared" si="0"/>
        <v>ti</v>
      </c>
      <c r="C36" s="129" t="s">
        <v>206</v>
      </c>
      <c r="D36" s="130" t="str">
        <f t="shared" si="1"/>
        <v/>
      </c>
      <c r="E36" s="917"/>
      <c r="F36" s="918"/>
      <c r="G36" s="919"/>
      <c r="H36" s="298"/>
      <c r="I36" s="527"/>
      <c r="J36" s="413"/>
      <c r="K36" s="380"/>
      <c r="L36" s="380"/>
      <c r="M36" s="380"/>
      <c r="N36" s="318">
        <f t="shared" si="20"/>
        <v>7.75</v>
      </c>
      <c r="O36" s="318">
        <f t="shared" si="21"/>
        <v>4.5</v>
      </c>
      <c r="P36" s="318">
        <f>IF(Stamoplysninger!$H$29="JA",August!DG36,CX36)</f>
        <v>1</v>
      </c>
      <c r="Q36" s="318">
        <f t="shared" si="22"/>
        <v>2.25</v>
      </c>
      <c r="R36" s="412"/>
      <c r="S36" s="324"/>
      <c r="T36" s="325"/>
      <c r="U36" s="325"/>
      <c r="V36" s="435"/>
      <c r="W36" s="412"/>
      <c r="X36" s="642"/>
      <c r="Y36">
        <f t="shared" si="23"/>
        <v>0</v>
      </c>
      <c r="Z36">
        <f t="shared" si="2"/>
        <v>0</v>
      </c>
      <c r="AA36" s="1">
        <f t="shared" si="3"/>
        <v>0</v>
      </c>
      <c r="AB36" s="1">
        <f t="shared" si="4"/>
        <v>0</v>
      </c>
      <c r="AC36" s="1">
        <f t="shared" si="5"/>
        <v>0</v>
      </c>
      <c r="AD36" s="1">
        <f t="shared" si="6"/>
        <v>0</v>
      </c>
      <c r="AE36" s="1">
        <f t="shared" si="7"/>
        <v>0</v>
      </c>
      <c r="AF36" s="1">
        <f>IF(C36="Orlov",Stamoplysninger!$E$15*7.4,0)</f>
        <v>0</v>
      </c>
      <c r="AG36" t="str">
        <f>IF(AND(C36="Skema 1",B36="ma"),Arbejdstidsoversigt!$E$72,"")</f>
        <v/>
      </c>
      <c r="AH36">
        <f>IF(AND(C36="Skema 1",B36="ti"),Arbejdstidsoversigt!$E$73,"")</f>
        <v>7.75</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8"/>
        <v>7.75</v>
      </c>
      <c r="BB36" s="229">
        <f t="shared" si="9"/>
        <v>186</v>
      </c>
      <c r="BC36" s="1">
        <f t="shared" si="24"/>
        <v>0</v>
      </c>
      <c r="BD36" s="1">
        <f t="shared" si="10"/>
        <v>0</v>
      </c>
      <c r="BE36" s="1">
        <f t="shared" si="11"/>
        <v>0</v>
      </c>
      <c r="BF36" s="1">
        <f t="shared" si="12"/>
        <v>0</v>
      </c>
      <c r="BG36" s="210" t="str">
        <f>IF(AND(C36="Skema 1",B36="ma"),Skemaoplysninger!$E$30,"")</f>
        <v/>
      </c>
      <c r="BH36" s="210">
        <f>IF(AND(C36="Skema 1",B36="ti"),Skemaoplysninger!$G$30,"")</f>
        <v>0.1875</v>
      </c>
      <c r="BI36" s="210" t="str">
        <f>IF(AND(C36="Skema 1",B36="on"),Skemaoplysninger!$I$30,"")</f>
        <v/>
      </c>
      <c r="BJ36" s="210" t="str">
        <f>IF(AND(C36="Skema 1",B36="to"),Skemaoplysninger!$K$30,"")</f>
        <v/>
      </c>
      <c r="BK36" s="210" t="str">
        <f>IF(AND(C36="Skema 1",B36="fr"),Skemaoplysninger!$M$30,"")</f>
        <v/>
      </c>
      <c r="BL36" s="210" t="str">
        <f>IF(AND(C36="Skema 2",B36="ma"),Skemaoplysninger!$S$30,"")</f>
        <v/>
      </c>
      <c r="BM36" s="210" t="str">
        <f>IF(AND(C36="Skema 2",B36="ti"),Skemaoplysninger!$U$30,"")</f>
        <v/>
      </c>
      <c r="BN36" s="210" t="str">
        <f>IF(AND(C36="Skema 2",B36="on"),Skemaoplysninger!$W$30,"")</f>
        <v/>
      </c>
      <c r="BO36" s="210" t="str">
        <f>IF(AND(C36="Skema 2",B36="to"),Skemaoplysninger!$Y$30,"")</f>
        <v/>
      </c>
      <c r="BP36" s="210" t="str">
        <f>IF(AND(C36="Skema 2",B36="fr"),Skemaoplysninger!$AA$30,"")</f>
        <v/>
      </c>
      <c r="BQ36" s="210" t="str">
        <f>IF(AND(C36="Skema 3",B36="ma"),Skemaoplysninger!$AG$30,"")</f>
        <v/>
      </c>
      <c r="BR36" s="210" t="str">
        <f>IF(AND(C36="Skema 3",B36="ti"),Skemaoplysninger!$AI$30,"")</f>
        <v/>
      </c>
      <c r="BS36" s="210" t="str">
        <f>IF(AND(C36="Skema 3",B36="on"),Skemaoplysninger!$AK$30,"")</f>
        <v/>
      </c>
      <c r="BT36" s="210" t="str">
        <f>IF(AND(C36="Skema 3",B36="to"),Skemaoplysninger!$AM$30,"")</f>
        <v/>
      </c>
      <c r="BU36" s="210" t="str">
        <f>IF(AND(C36="Skema 3",B36="fr"),Skemaoplysninger!$AO$30,"")</f>
        <v/>
      </c>
      <c r="BV36" s="210" t="str">
        <f>IF(AND(C36="Skema 4",B36="ma"),Skemaoplysninger!$AU$30,"")</f>
        <v/>
      </c>
      <c r="BW36" s="210" t="str">
        <f>IF(AND(C36="Skema 4",B36="ti"),Skemaoplysninger!$AW$30,"")</f>
        <v/>
      </c>
      <c r="BX36" s="210" t="str">
        <f>IF(AND(C36="Skema 4",B36="on"),Skemaoplysninger!$AY$30,"")</f>
        <v/>
      </c>
      <c r="BY36" s="210" t="str">
        <f>IF(AND(C36="Skema 4",B36="to"),Skemaoplysninger!$BA$30,"")</f>
        <v/>
      </c>
      <c r="BZ36" s="210" t="str">
        <f>IF(AND(C36="Skema 4",B36="fr"),Skemaoplysninger!$BC$30,"")</f>
        <v/>
      </c>
      <c r="CA36" s="1">
        <f t="shared" si="25"/>
        <v>4.5</v>
      </c>
      <c r="CB36" s="1">
        <f t="shared" si="13"/>
        <v>0</v>
      </c>
      <c r="CC36" s="1">
        <f t="shared" si="14"/>
        <v>0</v>
      </c>
      <c r="CD36" s="210" t="str">
        <f>IF(AND(C36="Skema 1",B36="ma"),Skemaoplysninger!$E$31,"")</f>
        <v/>
      </c>
      <c r="CE36" s="210">
        <f>IF(AND(C36="Skema 1",B36="ti"),Skemaoplysninger!$G$31,"")</f>
        <v>4.1666666666666671E-2</v>
      </c>
      <c r="CF36" s="210" t="str">
        <f>IF(AND(C36="Skema 1",B36="on"),Skemaoplysninger!$I$31,"")</f>
        <v/>
      </c>
      <c r="CG36" s="210" t="str">
        <f>IF(AND(C36="Skema 1",B36="to"),Skemaoplysninger!$K$31,"")</f>
        <v/>
      </c>
      <c r="CH36" s="210" t="str">
        <f>IF(AND(C36="Skema 1",B36="fr"),Skemaoplysninger!$M$31,"")</f>
        <v/>
      </c>
      <c r="CI36" s="210" t="str">
        <f>IF(AND(C36="Skema 2",B36="ma"),Skemaoplysninger!$S$31,"")</f>
        <v/>
      </c>
      <c r="CJ36" s="210" t="str">
        <f>IF(AND(C36="Skema 2",B36="ti"),Skemaoplysninger!$U$31,"")</f>
        <v/>
      </c>
      <c r="CK36" s="210" t="str">
        <f>IF(AND(C36="Skema 2",B36="on"),Skemaoplysninger!$W$31,"")</f>
        <v/>
      </c>
      <c r="CL36" s="210" t="str">
        <f>IF(AND(C36="Skema 2",B36="to"),Skemaoplysninger!$Y$31,"")</f>
        <v/>
      </c>
      <c r="CM36" s="210" t="str">
        <f>IF(AND(C36="Skema 2",B36="fr"),Skemaoplysninger!$AA$31,"")</f>
        <v/>
      </c>
      <c r="CN36" s="210" t="str">
        <f>IF(AND(C36="Skema 3",B36="ma"),Skemaoplysninger!$AG$31,"")</f>
        <v/>
      </c>
      <c r="CO36" s="210" t="str">
        <f>IF(AND(C36="Skema 3",B36="ti"),Skemaoplysninger!$AI$31,"")</f>
        <v/>
      </c>
      <c r="CP36" s="210" t="str">
        <f>IF(AND(C36="Skema 3",B36="on"),Skemaoplysninger!$AK$31,"")</f>
        <v/>
      </c>
      <c r="CQ36" s="210" t="str">
        <f>IF(AND(C36="Skema 3",B36="to"),Skemaoplysninger!$AM$31,"")</f>
        <v/>
      </c>
      <c r="CR36" s="210" t="str">
        <f>IF(AND(C36="Skema 3",B36="fr"),Skemaoplysninger!$AO$31,"")</f>
        <v/>
      </c>
      <c r="CS36" s="210" t="str">
        <f>IF(AND(C36="Skema 4",B36="ma"),Skemaoplysninger!$AU$31,"")</f>
        <v/>
      </c>
      <c r="CT36" s="210" t="str">
        <f>IF(AND(C36="Skema 4",B36="ti"),Skemaoplysninger!$AW$31,"")</f>
        <v/>
      </c>
      <c r="CU36" s="210" t="str">
        <f>IF(AND(C36="Skema 4",B36="on"),Skemaoplysninger!$AY$31,"")</f>
        <v/>
      </c>
      <c r="CV36" s="210" t="str">
        <f>IF(AND(C36="Skema 4",B36="to"),Skemaoplysninger!$BA$31,"")</f>
        <v/>
      </c>
      <c r="CW36" s="210" t="str">
        <f>IF(AND(C36="Skema 4",B36="fr"),Skemaoplysninger!$BC$31,"")</f>
        <v/>
      </c>
      <c r="CX36" s="249">
        <f>IF(Stamoplysninger!$H$29="NEJ",SUM(CD36:CW36)*24+CB36+CC36,0)</f>
        <v>1</v>
      </c>
      <c r="CY36" s="249">
        <f>IF(C36="Skema 1",Stamoplysninger!$H$30/200,0)</f>
        <v>0</v>
      </c>
      <c r="CZ36" s="249">
        <f>IF(C36="Skema 2",Stamoplysninger!$H$30/200,0)</f>
        <v>0</v>
      </c>
      <c r="DA36" s="249">
        <f>IF(C36="Skema 3",Stamoplysninger!$H$30/200,0)</f>
        <v>0</v>
      </c>
      <c r="DB36" s="249">
        <f>IF(C36="Skema 4",Stamoplysninger!$H$30/200,0)</f>
        <v>0</v>
      </c>
      <c r="DC36" s="249">
        <f>IF(C36="fagdag",Stamoplysninger!$H$30/200,0)</f>
        <v>0</v>
      </c>
      <c r="DD36" s="249">
        <f>IF(C36="emnedag",Stamoplysninger!$H$30/200,0)</f>
        <v>0</v>
      </c>
      <c r="DE36" s="249">
        <f>IF(C36="lejrskole",Stamoplysninger!$H$30/200,0)</f>
        <v>0</v>
      </c>
      <c r="DF36" s="249">
        <f>IF(C36="ekskursion",Stamoplysninger!$H$30/200,0)</f>
        <v>0</v>
      </c>
      <c r="DG36" s="249">
        <f t="shared" si="26"/>
        <v>0</v>
      </c>
      <c r="DH36" t="str">
        <f t="shared" si="27"/>
        <v/>
      </c>
      <c r="DI36">
        <f t="shared" si="28"/>
        <v>0</v>
      </c>
      <c r="DJ36">
        <f t="shared" si="29"/>
        <v>0</v>
      </c>
      <c r="DK36" t="str">
        <f t="shared" si="15"/>
        <v/>
      </c>
      <c r="DL36" t="str">
        <f t="shared" si="15"/>
        <v/>
      </c>
      <c r="DM36" t="str">
        <f t="shared" si="30"/>
        <v/>
      </c>
      <c r="DN36" t="str">
        <f t="shared" si="31"/>
        <v/>
      </c>
      <c r="DO36" s="652">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71">
        <f>IF(AND(Stamoplysninger!$B$22="Ulempetillæg udbetales med 25% af nettotimelønnen.",C36="ikke relevant"),(R36)/4,0)</f>
        <v>0</v>
      </c>
      <c r="DT36" s="671">
        <f>IF(AND(AND(Stamoplysninger!$B$22="Ulempetillæg udbetales med 25% af nettotimelønnen.",I36="X",C36="Ikke relevant")),K36/4,0)</f>
        <v>0</v>
      </c>
      <c r="DU36" s="671">
        <f>IF(AND(AND(Stamoplysninger!$B$22="Ulempetillæg udbetales med 25% af nettotimelønnen.",C36="ikke relevant",U36="X")),(X36/4),0)</f>
        <v>0</v>
      </c>
      <c r="DV36" s="672">
        <f>IF(AND(AND(AND(Stamoplysninger!$B$22="Ulempetillæg udbetales med 25% af nettotimelønnen.",I36="X",C36="Ikke relevant",S36="X"))),V36/4,0)</f>
        <v>0</v>
      </c>
      <c r="DW36" s="652"/>
      <c r="DZ36" s="671"/>
      <c r="EA36" s="671"/>
      <c r="EB36" s="672"/>
      <c r="EC36" s="652">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71">
        <f>IF(AND(Stamoplysninger!$B$22="Ulempetillæg afspadseres med 25%(Kræver en aftale imellem ledelsen og den ansatte)",C36="ikke relevant"),(R36)/4,0)</f>
        <v>0</v>
      </c>
      <c r="EH36" s="671">
        <f>IF(AND(AND(Stamoplysninger!$B$22="Ulempetillæg afspadseres med 25%(Kræver en aftale imellem ledelsen og den ansatte)",I36="X",C36="Ikke relevant")),K36/4,0)</f>
        <v>0</v>
      </c>
      <c r="EI36" s="671">
        <f>IF(AND(AND(Stamoplysninger!$B$22="Ulempetillæg afspadseres med 25%(Kræver en aftale imellem ledelsen og den ansatte)",U36="X",C36="Ikke relevant")),X36/4,0)</f>
        <v>0</v>
      </c>
      <c r="EJ36" s="671">
        <f>IF(AND(AND(AND(Stamoplysninger!$B$22="Ulempetillæg afspadseres med 25%(Kræver en aftale imellem ledelsen og den ansatte)",I36="X",C36="Ikke relevant",S36="X"))),V36/4,0)</f>
        <v>0</v>
      </c>
      <c r="EK36" s="283">
        <f>IF(AND(Stamoplysninger!$B$26="Weekendtimer og weekendtillæg afspadseres.",I36="X"),K36*1.5,0)</f>
        <v>0</v>
      </c>
      <c r="EL36" s="251">
        <f>IF(AND(AND(Stamoplysninger!$B$26="Weekendtimer og weekendtillæg afspadseres.",I36="X",S36="X")),V36*1.5,0)</f>
        <v>0</v>
      </c>
      <c r="EM36" s="674">
        <f>IF(AND(AND(Stamoplysninger!$B$26="Weekendtimer og weekendtillæg afspadseres.",I36="X",C36="ikke relevant")),K36*1.5,0)</f>
        <v>0</v>
      </c>
      <c r="EN36" s="675">
        <f>IF(AND(AND(AND(Stamoplysninger!$B$26="Weekendtimer og weekendtillæg afspadseres.",I36="X",C36="ikke relevant",S36="X"))),(V36*1.5),0)</f>
        <v>0</v>
      </c>
      <c r="EO36" s="283">
        <f>IF(AND(Stamoplysninger!$B$26="Weekendtimer og weekendtillæg udbetales.",I36="X"),K36*1.5,0)</f>
        <v>0</v>
      </c>
      <c r="EP36" s="251">
        <f>IF(AND(AND(Stamoplysninger!$B$26="Weekendtimer og weekendtillæg udbetales.",I36="X",S36="X")),V36*1.5,0)</f>
        <v>0</v>
      </c>
      <c r="EQ36" s="674">
        <f>IF(AND(AND(Stamoplysninger!$B$26="Weekendtimer og weekendtillæg udbetales.",I36="X",C36="ikke relevant")),K36*1.5,0)</f>
        <v>0</v>
      </c>
      <c r="ER36" s="675">
        <f>IF(AND(AND(AND(Stamoplysninger!$B$26="Weekendtimer og weekendtillæg udbetales.",I36="X",C36="ikke relevant",S36="X"))),(V36*1.5),0)</f>
        <v>0</v>
      </c>
      <c r="ES36" s="283">
        <f>IF(AND(Stamoplysninger!$B$26="Der er indgået lokalaftale omkring weekendtimer.(Kræver aftale med TR/FSL) Weekendtillæg afspadseres.",I36="X"),K36*0.5,0)</f>
        <v>0</v>
      </c>
      <c r="ET36" s="251">
        <f>IF(AND(AND(Stamoplysninger!$B$26="Der er indgået lokalaftale omkring weekendtimer.(Kræver aftale med TR/FSL) Weekendtillæg afspadseres.",I36="X",S36="X")),V36*0.5,0)</f>
        <v>0</v>
      </c>
      <c r="EU36" s="674">
        <f>IF(AND(AND(Stamoplysninger!$B$26="Der er indgået lokalaftale omkring weekendtimer.(Kræver aftale med TR/FSL) Weekendtillæg afspadseres.",I36="X",C36="ikke relevant")),K36*0.5,0)</f>
        <v>0</v>
      </c>
      <c r="EV36" s="675">
        <f>IF(AND(AND(AND(Stamoplysninger!$B$26="Der er indgået lokalaftale omkring weekendtimer.(Kræver aftale med TR/FSL) Weekendtillæg afspadseres.",I36="X",C36="ikke relevant",S36="X"))),(V36*0.5),0)</f>
        <v>0</v>
      </c>
      <c r="EW36" s="283">
        <f>IF(AND(Stamoplysninger!$B$26="Der er indgået lokalaftale omkring weekendtimer(Kræver aftale med TR/FSL). Weekendtillæg udbetales.",I36="X"),K36*0.5,0)</f>
        <v>0</v>
      </c>
      <c r="EX36" s="251">
        <f>IF(AND(AND(Stamoplysninger!$B$26="Der er indgået lokalaftale omkring weekendtimer(Kræver aftale med TR/FSL). Weekendtillæg udbetales.",I36="X",S36="X")),V36*0.5,0)</f>
        <v>0</v>
      </c>
      <c r="EY36" s="674">
        <f>IF(AND(AND(Stamoplysninger!$B$26="Der er indgået lokalaftale omkring weekendtimer(Kræver aftale med TR/FSL). Weekendtillæg udbetales.",I36="X",C36="ikke relevant")),K36*0.5,0)</f>
        <v>0</v>
      </c>
      <c r="EZ36" s="675">
        <f>IF(AND(AND(AND(Stamoplysninger!$B$26="Der er indgået lokalaftale omkring weekendtimer(Kræver aftale med TR/FSL). Weekendtillæg udbetales.",I36="X",C36="ikke relevant",S36="X"))),(V36*0.5),0)</f>
        <v>0</v>
      </c>
      <c r="FA36" s="283">
        <f>IF(AND(Stamoplysninger!$B$26="Der er indgået lokalaftale omkring weekendtillæg(Kræver aftale med TR/FSL). Weekendtimerne afspadseres.",I36="X"),K36,0)</f>
        <v>0</v>
      </c>
      <c r="FB36" s="251">
        <f>IF(AND(AND(Stamoplysninger!$B$26="Der er indgået lokalaftale omkring weekendtillæg(Kræver aftale med TR/FSL). Weekendtimerne afspadseres.",I36="X",S36="X")),V36,0)</f>
        <v>0</v>
      </c>
      <c r="FC36" s="674">
        <f>IF(AND(AND(Stamoplysninger!$B$26="Der er indgået lokalaftale omkring weekendtillæg(Kræver aftale med TR/FSL). Weekendtimerne afspadseres..",I36="X",C36="ikke relevant")),K36,0)</f>
        <v>0</v>
      </c>
      <c r="FD36" s="675">
        <f>IF(AND(AND(AND(Stamoplysninger!$B$26="Der er indgået lokalaftale omkring weekendtillæg(Kræver aftale med TR/FSL). Weekendtimerne afspadseres.",I36="X",C36="ikke relevant",S36="X"))),(V36),0)</f>
        <v>0</v>
      </c>
      <c r="FE36" s="283">
        <f>IF(AND(Stamoplysninger!$B$26="Der er indgået lokalaftale omkring weekendtillæg(Kræver aftale med TR/FSL). Weekendtimerne udbetales.",I36="X"),K36,0)</f>
        <v>0</v>
      </c>
      <c r="FF36" s="251">
        <f>IF(AND(AND(Stamoplysninger!$B$26="Der er indgået lokalaftale omkring weekendtillæg(Kræver aftale med TR/FSL). Weekendtimerne udbetales.",I36="X",S36="X")),V36,0)</f>
        <v>0</v>
      </c>
      <c r="FG36" s="674">
        <f>IF(AND(AND(Stamoplysninger!$B$26="Der er indgået lokalaftale omkring weekendtillæg(Kræver aftale med TR/FSL). Weekendtimerne udbetales.",I36="X",C36="ikke relevant")),K36,0)</f>
        <v>0</v>
      </c>
      <c r="FH36" s="675">
        <f>IF(AND(AND(AND(Stamoplysninger!$B$26="Der er indgået lokalaftale omkring weekendtillæg(Kræver aftale med TR/FSL). Weekendtimerne udbetales.",I36="X",C36="ikke relevant",S36="X"))),(V36),0)</f>
        <v>0</v>
      </c>
      <c r="FI36" s="283">
        <f>IF(AND(Stamoplysninger!$B$26="Weekendtimer og weekendtillæg afspadseres.",I36="X"),K36,0)</f>
        <v>0</v>
      </c>
      <c r="FJ36" s="251">
        <f>IF(AND(Stamoplysninger!$B$26="Weekendtimer og weekendtillæg afspadseres.",Y36="X"),(AA36+AL36)/2,0)</f>
        <v>0</v>
      </c>
      <c r="FK36" s="674">
        <f>IF(AND(AND(Stamoplysninger!$B$26="Weekendtimer og weekendtillæg afspadseres.",I36="X",C36="ikke relevant")),K36,0)</f>
        <v>0</v>
      </c>
      <c r="FL36" s="675">
        <f>IF(AND(AND(Stamoplysninger!$B$26="Weekendtimer og weekendtillæg afspadseres.",Y36="X",S36="ikke relevant")),(AA36+AL36)/2,0)</f>
        <v>0</v>
      </c>
      <c r="FM36" s="283">
        <f>IF(AND(Stamoplysninger!$B$26="Der er indgået lokalaftale omkring weekendtillæg(Kræver aftale med TR/FSL). Weekendtimerne afspadseres.",I36="X"),K36,0)</f>
        <v>0</v>
      </c>
      <c r="FN36" s="674">
        <f>IF(AND(AND(Stamoplysninger!$B$26="Der er indgået lokalaftale omkring weekendtillæg(Kræver aftale med TR/FSL). Weekendtimerne afspadseres.",I36="X",C36="ikke relevant")),K36,0)</f>
        <v>0</v>
      </c>
      <c r="FO36" s="283">
        <f>IF(AND(Stamoplysninger!$B$26="Weekendtimer og weekendtillæg udbetales.",I36="X"),K36,0)</f>
        <v>0</v>
      </c>
      <c r="FP36" s="251">
        <f>IF(AND(Stamoplysninger!$B$26="Weekendtimer og weekendtillæg udbetales.",AA36="X"),(AC36+AN36)/2,0)</f>
        <v>0</v>
      </c>
      <c r="FQ36" s="674">
        <f>IF(AND(AND(Stamoplysninger!$B$26="Weekendtimer og weekendtillæg udbetales.",I36="X",C36="ikke relevant")),K36,0)</f>
        <v>0</v>
      </c>
      <c r="FR36" s="688">
        <f>IF(AND(AND(Stamoplysninger!$B$26="Weekendtimer og weekendtillæg udbetales.",AA36="X",U36="ikke relevant")),(AC36+AN36)/2,0)</f>
        <v>0</v>
      </c>
      <c r="FS36" s="283">
        <f t="shared" si="16"/>
        <v>0</v>
      </c>
      <c r="FT36" s="658">
        <f t="shared" si="17"/>
        <v>0</v>
      </c>
      <c r="FU36">
        <f t="shared" si="32"/>
        <v>0</v>
      </c>
      <c r="FV36" s="283">
        <f>IF(AND(Stamoplysninger!$B$26="Der er indgået lokalaftale omkring weekendtimer.(Kræver aftale med TR/FSL) Weekendtillæg afspadseres.",I36="X"),K36,0)</f>
        <v>0</v>
      </c>
      <c r="FW36" s="674">
        <f>IF(AND(AND(Stamoplysninger!$B$26="Der er indgået lokalaftale omkring weekendtimer.(Kræver aftale med TR/FSL) Weekendtillæg afspadseres.",I36="X",C36="ikke relevant")),K36,0)</f>
        <v>0</v>
      </c>
      <c r="FX36" s="283">
        <f>IF(AND(Stamoplysninger!$B$26="Der er indgået lokalaftale omkring weekendtimer(Kræver aftale med TR/FSL). Weekendtillæg udbetales.",I36="X"),K36,0)</f>
        <v>0</v>
      </c>
      <c r="FY36" s="674">
        <f>IF(AND(AND(Stamoplysninger!$B$26="Der er indgået lokalaftale omkring weekendtimer(Kræver aftale med TR/FSL). Weekendtillæg udbetales.",I36="X",C36="ikke relevant")),K36,0)</f>
        <v>0</v>
      </c>
      <c r="FZ36" s="283">
        <f>IF(AND(Stamoplysninger!$B$26="Der er indgået lokalaftale omkring weekendtillæg(Kræver aftale med TR/FSL). Weekendtimerne udbetales.",I36="X"),K36,0)</f>
        <v>0</v>
      </c>
      <c r="GA36" s="674">
        <f>IF(AND(AND(Stamoplysninger!$B$26="Der er indgået lokalaftale omkring weekendtillæg(Kræver aftale med TR/FSL). Weekendtimerne udbetales.",I36="X",C36="ikke relevant")),K36,0)</f>
        <v>0</v>
      </c>
      <c r="GB36" s="283">
        <f>IF(AND(Stamoplysninger!$B$26="Der er indgået lokalaftale omkring weekendtimer og weekendtillæg.(Kræver aftale med TR/FSL).",I36="X"),K36,0)</f>
        <v>0</v>
      </c>
      <c r="GC36" s="674">
        <f>IF(AND(AND(Stamoplysninger!$B$26="Der er indgået lokalaftale omkring weekendtimer og weekendtillæg.(Kræver aftale med TR/FSL).",I36="X",C36="ikke relevant")),K36,0)</f>
        <v>0</v>
      </c>
    </row>
    <row r="37" spans="1:185">
      <c r="A37" s="245">
        <f t="shared" si="19"/>
        <v>28</v>
      </c>
      <c r="B37" s="128" t="str">
        <f t="shared" si="0"/>
        <v>on</v>
      </c>
      <c r="C37" s="129" t="s">
        <v>206</v>
      </c>
      <c r="D37" s="130" t="str">
        <f t="shared" si="1"/>
        <v/>
      </c>
      <c r="E37" s="917"/>
      <c r="F37" s="918"/>
      <c r="G37" s="919"/>
      <c r="H37" s="298"/>
      <c r="I37" s="527"/>
      <c r="J37" s="413"/>
      <c r="K37" s="380"/>
      <c r="L37" s="380"/>
      <c r="M37" s="380"/>
      <c r="N37" s="318">
        <f t="shared" si="20"/>
        <v>7.75</v>
      </c>
      <c r="O37" s="318">
        <f t="shared" si="21"/>
        <v>5</v>
      </c>
      <c r="P37" s="318">
        <f>IF(Stamoplysninger!$H$29="JA",August!DG37,CX37)</f>
        <v>1.1666666666666665</v>
      </c>
      <c r="Q37" s="318">
        <f t="shared" si="22"/>
        <v>1.5833333333333335</v>
      </c>
      <c r="R37" s="412"/>
      <c r="S37" s="324"/>
      <c r="T37" s="325"/>
      <c r="U37" s="325"/>
      <c r="V37" s="435"/>
      <c r="W37" s="412"/>
      <c r="X37" s="642"/>
      <c r="Y37">
        <f t="shared" si="23"/>
        <v>0</v>
      </c>
      <c r="Z37">
        <f t="shared" si="2"/>
        <v>0</v>
      </c>
      <c r="AA37" s="1">
        <f t="shared" si="3"/>
        <v>0</v>
      </c>
      <c r="AB37" s="1">
        <f t="shared" si="4"/>
        <v>0</v>
      </c>
      <c r="AC37" s="1">
        <f t="shared" si="5"/>
        <v>0</v>
      </c>
      <c r="AD37" s="1">
        <f t="shared" si="6"/>
        <v>0</v>
      </c>
      <c r="AE37" s="1">
        <f t="shared" si="7"/>
        <v>0</v>
      </c>
      <c r="AF37" s="1">
        <f>IF(C37="Orlov",Stamoplysninger!$E$15*7.4,0)</f>
        <v>0</v>
      </c>
      <c r="AG37" t="str">
        <f>IF(AND(C37="Skema 1",B37="ma"),Arbejdstidsoversigt!$E$72,"")</f>
        <v/>
      </c>
      <c r="AH37" t="str">
        <f>IF(AND(C37="Skema 1",B37="ti"),Arbejdstidsoversigt!$E$73,"")</f>
        <v/>
      </c>
      <c r="AI37">
        <f>IF(AND(C37="Skema 1",B37="on"),Arbejdstidsoversigt!$E$74,"")</f>
        <v>7.75</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8"/>
        <v>7.75</v>
      </c>
      <c r="BB37" s="229">
        <f t="shared" si="9"/>
        <v>186</v>
      </c>
      <c r="BC37" s="1">
        <f t="shared" si="24"/>
        <v>0</v>
      </c>
      <c r="BD37" s="1">
        <f t="shared" si="10"/>
        <v>0</v>
      </c>
      <c r="BE37" s="1">
        <f t="shared" si="11"/>
        <v>0</v>
      </c>
      <c r="BF37" s="1">
        <f t="shared" si="12"/>
        <v>0</v>
      </c>
      <c r="BG37" s="210" t="str">
        <f>IF(AND(C37="Skema 1",B37="ma"),Skemaoplysninger!$E$30,"")</f>
        <v/>
      </c>
      <c r="BH37" s="210" t="str">
        <f>IF(AND(C37="Skema 1",B37="ti"),Skemaoplysninger!$G$30,"")</f>
        <v/>
      </c>
      <c r="BI37" s="210">
        <f>IF(AND(C37="Skema 1",B37="on"),Skemaoplysninger!$I$30,"")</f>
        <v>0.20833333333333331</v>
      </c>
      <c r="BJ37" s="210" t="str">
        <f>IF(AND(C37="Skema 1",B37="to"),Skemaoplysninger!$K$30,"")</f>
        <v/>
      </c>
      <c r="BK37" s="210" t="str">
        <f>IF(AND(C37="Skema 1",B37="fr"),Skemaoplysninger!$M$30,"")</f>
        <v/>
      </c>
      <c r="BL37" s="210" t="str">
        <f>IF(AND(C37="Skema 2",B37="ma"),Skemaoplysninger!$S$30,"")</f>
        <v/>
      </c>
      <c r="BM37" s="210" t="str">
        <f>IF(AND(C37="Skema 2",B37="ti"),Skemaoplysninger!$U$30,"")</f>
        <v/>
      </c>
      <c r="BN37" s="210" t="str">
        <f>IF(AND(C37="Skema 2",B37="on"),Skemaoplysninger!$W$30,"")</f>
        <v/>
      </c>
      <c r="BO37" s="210" t="str">
        <f>IF(AND(C37="Skema 2",B37="to"),Skemaoplysninger!$Y$30,"")</f>
        <v/>
      </c>
      <c r="BP37" s="210" t="str">
        <f>IF(AND(C37="Skema 2",B37="fr"),Skemaoplysninger!$AA$30,"")</f>
        <v/>
      </c>
      <c r="BQ37" s="210" t="str">
        <f>IF(AND(C37="Skema 3",B37="ma"),Skemaoplysninger!$AG$30,"")</f>
        <v/>
      </c>
      <c r="BR37" s="210" t="str">
        <f>IF(AND(C37="Skema 3",B37="ti"),Skemaoplysninger!$AI$30,"")</f>
        <v/>
      </c>
      <c r="BS37" s="210" t="str">
        <f>IF(AND(C37="Skema 3",B37="on"),Skemaoplysninger!$AK$30,"")</f>
        <v/>
      </c>
      <c r="BT37" s="210" t="str">
        <f>IF(AND(C37="Skema 3",B37="to"),Skemaoplysninger!$AM$30,"")</f>
        <v/>
      </c>
      <c r="BU37" s="210" t="str">
        <f>IF(AND(C37="Skema 3",B37="fr"),Skemaoplysninger!$AO$30,"")</f>
        <v/>
      </c>
      <c r="BV37" s="210" t="str">
        <f>IF(AND(C37="Skema 4",B37="ma"),Skemaoplysninger!$AU$30,"")</f>
        <v/>
      </c>
      <c r="BW37" s="210" t="str">
        <f>IF(AND(C37="Skema 4",B37="ti"),Skemaoplysninger!$AW$30,"")</f>
        <v/>
      </c>
      <c r="BX37" s="210" t="str">
        <f>IF(AND(C37="Skema 4",B37="on"),Skemaoplysninger!$AY$30,"")</f>
        <v/>
      </c>
      <c r="BY37" s="210" t="str">
        <f>IF(AND(C37="Skema 4",B37="to"),Skemaoplysninger!$BA$30,"")</f>
        <v/>
      </c>
      <c r="BZ37" s="210" t="str">
        <f>IF(AND(C37="Skema 4",B37="fr"),Skemaoplysninger!$BC$30,"")</f>
        <v/>
      </c>
      <c r="CA37" s="1">
        <f t="shared" si="25"/>
        <v>5</v>
      </c>
      <c r="CB37" s="1">
        <f t="shared" si="13"/>
        <v>0</v>
      </c>
      <c r="CC37" s="1">
        <f t="shared" si="14"/>
        <v>0</v>
      </c>
      <c r="CD37" s="210" t="str">
        <f>IF(AND(C37="Skema 1",B37="ma"),Skemaoplysninger!$E$31,"")</f>
        <v/>
      </c>
      <c r="CE37" s="210" t="str">
        <f>IF(AND(C37="Skema 1",B37="ti"),Skemaoplysninger!$G$31,"")</f>
        <v/>
      </c>
      <c r="CF37" s="210">
        <f>IF(AND(C37="Skema 1",B37="on"),Skemaoplysninger!$I$31,"")</f>
        <v>4.8611111111111105E-2</v>
      </c>
      <c r="CG37" s="210" t="str">
        <f>IF(AND(C37="Skema 1",B37="to"),Skemaoplysninger!$K$31,"")</f>
        <v/>
      </c>
      <c r="CH37" s="210" t="str">
        <f>IF(AND(C37="Skema 1",B37="fr"),Skemaoplysninger!$M$31,"")</f>
        <v/>
      </c>
      <c r="CI37" s="210" t="str">
        <f>IF(AND(C37="Skema 2",B37="ma"),Skemaoplysninger!$S$31,"")</f>
        <v/>
      </c>
      <c r="CJ37" s="210" t="str">
        <f>IF(AND(C37="Skema 2",B37="ti"),Skemaoplysninger!$U$31,"")</f>
        <v/>
      </c>
      <c r="CK37" s="210" t="str">
        <f>IF(AND(C37="Skema 2",B37="on"),Skemaoplysninger!$W$31,"")</f>
        <v/>
      </c>
      <c r="CL37" s="210" t="str">
        <f>IF(AND(C37="Skema 2",B37="to"),Skemaoplysninger!$Y$31,"")</f>
        <v/>
      </c>
      <c r="CM37" s="210" t="str">
        <f>IF(AND(C37="Skema 2",B37="fr"),Skemaoplysninger!$AA$31,"")</f>
        <v/>
      </c>
      <c r="CN37" s="210" t="str">
        <f>IF(AND(C37="Skema 3",B37="ma"),Skemaoplysninger!$AG$31,"")</f>
        <v/>
      </c>
      <c r="CO37" s="210" t="str">
        <f>IF(AND(C37="Skema 3",B37="ti"),Skemaoplysninger!$AI$31,"")</f>
        <v/>
      </c>
      <c r="CP37" s="210" t="str">
        <f>IF(AND(C37="Skema 3",B37="on"),Skemaoplysninger!$AK$31,"")</f>
        <v/>
      </c>
      <c r="CQ37" s="210" t="str">
        <f>IF(AND(C37="Skema 3",B37="to"),Skemaoplysninger!$AM$31,"")</f>
        <v/>
      </c>
      <c r="CR37" s="210" t="str">
        <f>IF(AND(C37="Skema 3",B37="fr"),Skemaoplysninger!$AO$31,"")</f>
        <v/>
      </c>
      <c r="CS37" s="210" t="str">
        <f>IF(AND(C37="Skema 4",B37="ma"),Skemaoplysninger!$AU$31,"")</f>
        <v/>
      </c>
      <c r="CT37" s="210" t="str">
        <f>IF(AND(C37="Skema 4",B37="ti"),Skemaoplysninger!$AW$31,"")</f>
        <v/>
      </c>
      <c r="CU37" s="210" t="str">
        <f>IF(AND(C37="Skema 4",B37="on"),Skemaoplysninger!$AY$31,"")</f>
        <v/>
      </c>
      <c r="CV37" s="210" t="str">
        <f>IF(AND(C37="Skema 4",B37="to"),Skemaoplysninger!$BA$31,"")</f>
        <v/>
      </c>
      <c r="CW37" s="210" t="str">
        <f>IF(AND(C37="Skema 4",B37="fr"),Skemaoplysninger!$BC$31,"")</f>
        <v/>
      </c>
      <c r="CX37" s="249">
        <f>IF(Stamoplysninger!$H$29="NEJ",SUM(CD37:CW37)*24+CB37+CC37,0)</f>
        <v>1.1666666666666665</v>
      </c>
      <c r="CY37" s="249">
        <f>IF(C37="Skema 1",Stamoplysninger!$H$30/200,0)</f>
        <v>0</v>
      </c>
      <c r="CZ37" s="249">
        <f>IF(C37="Skema 2",Stamoplysninger!$H$30/200,0)</f>
        <v>0</v>
      </c>
      <c r="DA37" s="249">
        <f>IF(C37="Skema 3",Stamoplysninger!$H$30/200,0)</f>
        <v>0</v>
      </c>
      <c r="DB37" s="249">
        <f>IF(C37="Skema 4",Stamoplysninger!$H$30/200,0)</f>
        <v>0</v>
      </c>
      <c r="DC37" s="249">
        <f>IF(C37="fagdag",Stamoplysninger!$H$30/200,0)</f>
        <v>0</v>
      </c>
      <c r="DD37" s="249">
        <f>IF(C37="emnedag",Stamoplysninger!$H$30/200,0)</f>
        <v>0</v>
      </c>
      <c r="DE37" s="249">
        <f>IF(C37="lejrskole",Stamoplysninger!$H$30/200,0)</f>
        <v>0</v>
      </c>
      <c r="DF37" s="249">
        <f>IF(C37="ekskursion",Stamoplysninger!$H$30/200,0)</f>
        <v>0</v>
      </c>
      <c r="DG37" s="249">
        <f t="shared" si="26"/>
        <v>0</v>
      </c>
      <c r="DH37" t="str">
        <f t="shared" si="27"/>
        <v/>
      </c>
      <c r="DI37">
        <f t="shared" si="28"/>
        <v>0</v>
      </c>
      <c r="DJ37">
        <f t="shared" si="29"/>
        <v>0</v>
      </c>
      <c r="DK37" t="str">
        <f t="shared" si="15"/>
        <v/>
      </c>
      <c r="DL37" t="str">
        <f t="shared" si="15"/>
        <v/>
      </c>
      <c r="DM37" t="str">
        <f t="shared" si="30"/>
        <v/>
      </c>
      <c r="DN37" t="str">
        <f t="shared" si="31"/>
        <v/>
      </c>
      <c r="DO37" s="652">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71">
        <f>IF(AND(Stamoplysninger!$B$22="Ulempetillæg udbetales med 25% af nettotimelønnen.",C37="ikke relevant"),(R37)/4,0)</f>
        <v>0</v>
      </c>
      <c r="DT37" s="671">
        <f>IF(AND(AND(Stamoplysninger!$B$22="Ulempetillæg udbetales med 25% af nettotimelønnen.",I37="X",C37="Ikke relevant")),K37/4,0)</f>
        <v>0</v>
      </c>
      <c r="DU37" s="671">
        <f>IF(AND(AND(Stamoplysninger!$B$22="Ulempetillæg udbetales med 25% af nettotimelønnen.",C37="ikke relevant",U37="X")),(X37/4),0)</f>
        <v>0</v>
      </c>
      <c r="DV37" s="672">
        <f>IF(AND(AND(AND(Stamoplysninger!$B$22="Ulempetillæg udbetales med 25% af nettotimelønnen.",I37="X",C37="Ikke relevant",S37="X"))),V37/4,0)</f>
        <v>0</v>
      </c>
      <c r="DW37" s="652"/>
      <c r="DZ37" s="671"/>
      <c r="EA37" s="671"/>
      <c r="EB37" s="672"/>
      <c r="EC37" s="652">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71">
        <f>IF(AND(Stamoplysninger!$B$22="Ulempetillæg afspadseres med 25%(Kræver en aftale imellem ledelsen og den ansatte)",C37="ikke relevant"),(R37)/4,0)</f>
        <v>0</v>
      </c>
      <c r="EH37" s="671">
        <f>IF(AND(AND(Stamoplysninger!$B$22="Ulempetillæg afspadseres med 25%(Kræver en aftale imellem ledelsen og den ansatte)",I37="X",C37="Ikke relevant")),K37/4,0)</f>
        <v>0</v>
      </c>
      <c r="EI37" s="671">
        <f>IF(AND(AND(Stamoplysninger!$B$22="Ulempetillæg afspadseres med 25%(Kræver en aftale imellem ledelsen og den ansatte)",U37="X",C37="Ikke relevant")),X37/4,0)</f>
        <v>0</v>
      </c>
      <c r="EJ37" s="671">
        <f>IF(AND(AND(AND(Stamoplysninger!$B$22="Ulempetillæg afspadseres med 25%(Kræver en aftale imellem ledelsen og den ansatte)",I37="X",C37="Ikke relevant",S37="X"))),V37/4,0)</f>
        <v>0</v>
      </c>
      <c r="EK37" s="283">
        <f>IF(AND(Stamoplysninger!$B$26="Weekendtimer og weekendtillæg afspadseres.",I37="X"),K37*1.5,0)</f>
        <v>0</v>
      </c>
      <c r="EL37" s="251">
        <f>IF(AND(AND(Stamoplysninger!$B$26="Weekendtimer og weekendtillæg afspadseres.",I37="X",S37="X")),V37*1.5,0)</f>
        <v>0</v>
      </c>
      <c r="EM37" s="674">
        <f>IF(AND(AND(Stamoplysninger!$B$26="Weekendtimer og weekendtillæg afspadseres.",I37="X",C37="ikke relevant")),K37*1.5,0)</f>
        <v>0</v>
      </c>
      <c r="EN37" s="675">
        <f>IF(AND(AND(AND(Stamoplysninger!$B$26="Weekendtimer og weekendtillæg afspadseres.",I37="X",C37="ikke relevant",S37="X"))),(V37*1.5),0)</f>
        <v>0</v>
      </c>
      <c r="EO37" s="283">
        <f>IF(AND(Stamoplysninger!$B$26="Weekendtimer og weekendtillæg udbetales.",I37="X"),K37*1.5,0)</f>
        <v>0</v>
      </c>
      <c r="EP37" s="251">
        <f>IF(AND(AND(Stamoplysninger!$B$26="Weekendtimer og weekendtillæg udbetales.",I37="X",S37="X")),V37*1.5,0)</f>
        <v>0</v>
      </c>
      <c r="EQ37" s="674">
        <f>IF(AND(AND(Stamoplysninger!$B$26="Weekendtimer og weekendtillæg udbetales.",I37="X",C37="ikke relevant")),K37*1.5,0)</f>
        <v>0</v>
      </c>
      <c r="ER37" s="675">
        <f>IF(AND(AND(AND(Stamoplysninger!$B$26="Weekendtimer og weekendtillæg udbetales.",I37="X",C37="ikke relevant",S37="X"))),(V37*1.5),0)</f>
        <v>0</v>
      </c>
      <c r="ES37" s="283">
        <f>IF(AND(Stamoplysninger!$B$26="Der er indgået lokalaftale omkring weekendtimer.(Kræver aftale med TR/FSL) Weekendtillæg afspadseres.",I37="X"),K37*0.5,0)</f>
        <v>0</v>
      </c>
      <c r="ET37" s="251">
        <f>IF(AND(AND(Stamoplysninger!$B$26="Der er indgået lokalaftale omkring weekendtimer.(Kræver aftale med TR/FSL) Weekendtillæg afspadseres.",I37="X",S37="X")),V37*0.5,0)</f>
        <v>0</v>
      </c>
      <c r="EU37" s="674">
        <f>IF(AND(AND(Stamoplysninger!$B$26="Der er indgået lokalaftale omkring weekendtimer.(Kræver aftale med TR/FSL) Weekendtillæg afspadseres.",I37="X",C37="ikke relevant")),K37*0.5,0)</f>
        <v>0</v>
      </c>
      <c r="EV37" s="675">
        <f>IF(AND(AND(AND(Stamoplysninger!$B$26="Der er indgået lokalaftale omkring weekendtimer.(Kræver aftale med TR/FSL) Weekendtillæg afspadseres.",I37="X",C37="ikke relevant",S37="X"))),(V37*0.5),0)</f>
        <v>0</v>
      </c>
      <c r="EW37" s="283">
        <f>IF(AND(Stamoplysninger!$B$26="Der er indgået lokalaftale omkring weekendtimer(Kræver aftale med TR/FSL). Weekendtillæg udbetales.",I37="X"),K37*0.5,0)</f>
        <v>0</v>
      </c>
      <c r="EX37" s="251">
        <f>IF(AND(AND(Stamoplysninger!$B$26="Der er indgået lokalaftale omkring weekendtimer(Kræver aftale med TR/FSL). Weekendtillæg udbetales.",I37="X",S37="X")),V37*0.5,0)</f>
        <v>0</v>
      </c>
      <c r="EY37" s="674">
        <f>IF(AND(AND(Stamoplysninger!$B$26="Der er indgået lokalaftale omkring weekendtimer(Kræver aftale med TR/FSL). Weekendtillæg udbetales.",I37="X",C37="ikke relevant")),K37*0.5,0)</f>
        <v>0</v>
      </c>
      <c r="EZ37" s="675">
        <f>IF(AND(AND(AND(Stamoplysninger!$B$26="Der er indgået lokalaftale omkring weekendtimer(Kræver aftale med TR/FSL). Weekendtillæg udbetales.",I37="X",C37="ikke relevant",S37="X"))),(V37*0.5),0)</f>
        <v>0</v>
      </c>
      <c r="FA37" s="283">
        <f>IF(AND(Stamoplysninger!$B$26="Der er indgået lokalaftale omkring weekendtillæg(Kræver aftale med TR/FSL). Weekendtimerne afspadseres.",I37="X"),K37,0)</f>
        <v>0</v>
      </c>
      <c r="FB37" s="251">
        <f>IF(AND(AND(Stamoplysninger!$B$26="Der er indgået lokalaftale omkring weekendtillæg(Kræver aftale med TR/FSL). Weekendtimerne afspadseres.",I37="X",S37="X")),V37,0)</f>
        <v>0</v>
      </c>
      <c r="FC37" s="674">
        <f>IF(AND(AND(Stamoplysninger!$B$26="Der er indgået lokalaftale omkring weekendtillæg(Kræver aftale med TR/FSL). Weekendtimerne afspadseres..",I37="X",C37="ikke relevant")),K37,0)</f>
        <v>0</v>
      </c>
      <c r="FD37" s="675">
        <f>IF(AND(AND(AND(Stamoplysninger!$B$26="Der er indgået lokalaftale omkring weekendtillæg(Kræver aftale med TR/FSL). Weekendtimerne afspadseres.",I37="X",C37="ikke relevant",S37="X"))),(V37),0)</f>
        <v>0</v>
      </c>
      <c r="FE37" s="283">
        <f>IF(AND(Stamoplysninger!$B$26="Der er indgået lokalaftale omkring weekendtillæg(Kræver aftale med TR/FSL). Weekendtimerne udbetales.",I37="X"),K37,0)</f>
        <v>0</v>
      </c>
      <c r="FF37" s="251">
        <f>IF(AND(AND(Stamoplysninger!$B$26="Der er indgået lokalaftale omkring weekendtillæg(Kræver aftale med TR/FSL). Weekendtimerne udbetales.",I37="X",S37="X")),V37,0)</f>
        <v>0</v>
      </c>
      <c r="FG37" s="674">
        <f>IF(AND(AND(Stamoplysninger!$B$26="Der er indgået lokalaftale omkring weekendtillæg(Kræver aftale med TR/FSL). Weekendtimerne udbetales.",I37="X",C37="ikke relevant")),K37,0)</f>
        <v>0</v>
      </c>
      <c r="FH37" s="675">
        <f>IF(AND(AND(AND(Stamoplysninger!$B$26="Der er indgået lokalaftale omkring weekendtillæg(Kræver aftale med TR/FSL). Weekendtimerne udbetales.",I37="X",C37="ikke relevant",S37="X"))),(V37),0)</f>
        <v>0</v>
      </c>
      <c r="FI37" s="283">
        <f>IF(AND(Stamoplysninger!$B$26="Weekendtimer og weekendtillæg afspadseres.",I37="X"),K37,0)</f>
        <v>0</v>
      </c>
      <c r="FJ37" s="251">
        <f>IF(AND(Stamoplysninger!$B$26="Weekendtimer og weekendtillæg afspadseres.",Y37="X"),(AA37+AL37)/2,0)</f>
        <v>0</v>
      </c>
      <c r="FK37" s="674">
        <f>IF(AND(AND(Stamoplysninger!$B$26="Weekendtimer og weekendtillæg afspadseres.",I37="X",C37="ikke relevant")),K37,0)</f>
        <v>0</v>
      </c>
      <c r="FL37" s="675">
        <f>IF(AND(AND(Stamoplysninger!$B$26="Weekendtimer og weekendtillæg afspadseres.",Y37="X",S37="ikke relevant")),(AA37+AL37)/2,0)</f>
        <v>0</v>
      </c>
      <c r="FM37" s="283">
        <f>IF(AND(Stamoplysninger!$B$26="Der er indgået lokalaftale omkring weekendtillæg(Kræver aftale med TR/FSL). Weekendtimerne afspadseres.",I37="X"),K37,0)</f>
        <v>0</v>
      </c>
      <c r="FN37" s="674">
        <f>IF(AND(AND(Stamoplysninger!$B$26="Der er indgået lokalaftale omkring weekendtillæg(Kræver aftale med TR/FSL). Weekendtimerne afspadseres.",I37="X",C37="ikke relevant")),K37,0)</f>
        <v>0</v>
      </c>
      <c r="FO37" s="283">
        <f>IF(AND(Stamoplysninger!$B$26="Weekendtimer og weekendtillæg udbetales.",I37="X"),K37,0)</f>
        <v>0</v>
      </c>
      <c r="FP37" s="251">
        <f>IF(AND(Stamoplysninger!$B$26="Weekendtimer og weekendtillæg udbetales.",AA37="X"),(AC37+AN37)/2,0)</f>
        <v>0</v>
      </c>
      <c r="FQ37" s="674">
        <f>IF(AND(AND(Stamoplysninger!$B$26="Weekendtimer og weekendtillæg udbetales.",I37="X",C37="ikke relevant")),K37,0)</f>
        <v>0</v>
      </c>
      <c r="FR37" s="688">
        <f>IF(AND(AND(Stamoplysninger!$B$26="Weekendtimer og weekendtillæg udbetales.",AA37="X",U37="ikke relevant")),(AC37+AN37)/2,0)</f>
        <v>0</v>
      </c>
      <c r="FS37" s="283">
        <f t="shared" si="16"/>
        <v>0</v>
      </c>
      <c r="FT37" s="658">
        <f t="shared" si="17"/>
        <v>0</v>
      </c>
      <c r="FU37">
        <f t="shared" si="32"/>
        <v>0</v>
      </c>
      <c r="FV37" s="283">
        <f>IF(AND(Stamoplysninger!$B$26="Der er indgået lokalaftale omkring weekendtimer.(Kræver aftale med TR/FSL) Weekendtillæg afspadseres.",I37="X"),K37,0)</f>
        <v>0</v>
      </c>
      <c r="FW37" s="674">
        <f>IF(AND(AND(Stamoplysninger!$B$26="Der er indgået lokalaftale omkring weekendtimer.(Kræver aftale med TR/FSL) Weekendtillæg afspadseres.",I37="X",C37="ikke relevant")),K37,0)</f>
        <v>0</v>
      </c>
      <c r="FX37" s="283">
        <f>IF(AND(Stamoplysninger!$B$26="Der er indgået lokalaftale omkring weekendtimer(Kræver aftale med TR/FSL). Weekendtillæg udbetales.",I37="X"),K37,0)</f>
        <v>0</v>
      </c>
      <c r="FY37" s="674">
        <f>IF(AND(AND(Stamoplysninger!$B$26="Der er indgået lokalaftale omkring weekendtimer(Kræver aftale med TR/FSL). Weekendtillæg udbetales.",I37="X",C37="ikke relevant")),K37,0)</f>
        <v>0</v>
      </c>
      <c r="FZ37" s="283">
        <f>IF(AND(Stamoplysninger!$B$26="Der er indgået lokalaftale omkring weekendtillæg(Kræver aftale med TR/FSL). Weekendtimerne udbetales.",I37="X"),K37,0)</f>
        <v>0</v>
      </c>
      <c r="GA37" s="674">
        <f>IF(AND(AND(Stamoplysninger!$B$26="Der er indgået lokalaftale omkring weekendtillæg(Kræver aftale med TR/FSL). Weekendtimerne udbetales.",I37="X",C37="ikke relevant")),K37,0)</f>
        <v>0</v>
      </c>
      <c r="GB37" s="283">
        <f>IF(AND(Stamoplysninger!$B$26="Der er indgået lokalaftale omkring weekendtimer og weekendtillæg.(Kræver aftale med TR/FSL).",I37="X"),K37,0)</f>
        <v>0</v>
      </c>
      <c r="GC37" s="674">
        <f>IF(AND(AND(Stamoplysninger!$B$26="Der er indgået lokalaftale omkring weekendtimer og weekendtillæg.(Kræver aftale med TR/FSL).",I37="X",C37="ikke relevant")),K37,0)</f>
        <v>0</v>
      </c>
    </row>
    <row r="38" spans="1:185">
      <c r="A38" s="245">
        <f>IF(ISNUMBER(A37),A37+1,1)</f>
        <v>29</v>
      </c>
      <c r="B38" s="128" t="str">
        <f t="shared" si="0"/>
        <v>to</v>
      </c>
      <c r="C38" s="129" t="s">
        <v>206</v>
      </c>
      <c r="D38" s="130" t="str">
        <f t="shared" si="1"/>
        <v/>
      </c>
      <c r="E38" s="917"/>
      <c r="F38" s="918"/>
      <c r="G38" s="919"/>
      <c r="H38" s="298"/>
      <c r="I38" s="527"/>
      <c r="J38" s="413"/>
      <c r="K38" s="380"/>
      <c r="L38" s="380"/>
      <c r="M38" s="380"/>
      <c r="N38" s="318">
        <f t="shared" si="20"/>
        <v>8.5</v>
      </c>
      <c r="O38" s="318">
        <f t="shared" si="21"/>
        <v>3</v>
      </c>
      <c r="P38" s="318">
        <f>IF(Stamoplysninger!$H$29="JA",August!DG38,CX38)</f>
        <v>1.5</v>
      </c>
      <c r="Q38" s="318">
        <f t="shared" si="22"/>
        <v>4</v>
      </c>
      <c r="R38" s="412"/>
      <c r="S38" s="324"/>
      <c r="T38" s="325"/>
      <c r="U38" s="325"/>
      <c r="V38" s="435"/>
      <c r="W38" s="412"/>
      <c r="X38" s="642"/>
      <c r="Y38">
        <f t="shared" si="23"/>
        <v>0</v>
      </c>
      <c r="Z38">
        <f t="shared" si="2"/>
        <v>0</v>
      </c>
      <c r="AA38" s="1">
        <f t="shared" si="3"/>
        <v>0</v>
      </c>
      <c r="AB38" s="1">
        <f t="shared" si="4"/>
        <v>0</v>
      </c>
      <c r="AC38" s="1">
        <f t="shared" si="5"/>
        <v>0</v>
      </c>
      <c r="AD38" s="1">
        <f t="shared" si="6"/>
        <v>0</v>
      </c>
      <c r="AE38" s="1">
        <f t="shared" si="7"/>
        <v>0</v>
      </c>
      <c r="AF38" s="1">
        <f>IF(C38="Orlov",Stamoplysninger!$E$15*7.4,0)</f>
        <v>0</v>
      </c>
      <c r="AG38" t="str">
        <f>IF(AND(C38="Skema 1",B38="ma"),Arbejdstidsoversigt!$E$72,"")</f>
        <v/>
      </c>
      <c r="AH38" t="str">
        <f>IF(AND(C38="Skema 1",B38="ti"),Arbejdstidsoversigt!$E$73,"")</f>
        <v/>
      </c>
      <c r="AI38" t="str">
        <f>IF(AND(C38="Skema 1",B38="on"),Arbejdstidsoversigt!$E$74,"")</f>
        <v/>
      </c>
      <c r="AJ38">
        <f>IF(AND(C38="Skema 1",B38="to"),Arbejdstidsoversigt!$E$75,"")</f>
        <v>8.5</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8"/>
        <v>8.5</v>
      </c>
      <c r="BB38" s="229">
        <f t="shared" si="9"/>
        <v>204</v>
      </c>
      <c r="BC38" s="1">
        <f t="shared" si="24"/>
        <v>0</v>
      </c>
      <c r="BD38" s="1">
        <f t="shared" si="10"/>
        <v>0</v>
      </c>
      <c r="BE38" s="1">
        <f t="shared" si="11"/>
        <v>0</v>
      </c>
      <c r="BF38" s="1">
        <f t="shared" si="12"/>
        <v>0</v>
      </c>
      <c r="BG38" s="210" t="str">
        <f>IF(AND(C38="Skema 1",B38="ma"),Skemaoplysninger!$E$30,"")</f>
        <v/>
      </c>
      <c r="BH38" s="210" t="str">
        <f>IF(AND(C38="Skema 1",B38="ti"),Skemaoplysninger!$G$30,"")</f>
        <v/>
      </c>
      <c r="BI38" s="210" t="str">
        <f>IF(AND(C38="Skema 1",B38="on"),Skemaoplysninger!$I$30,"")</f>
        <v/>
      </c>
      <c r="BJ38" s="210">
        <f>IF(AND(C38="Skema 1",B38="to"),Skemaoplysninger!$K$30,"")</f>
        <v>0.125</v>
      </c>
      <c r="BK38" s="210" t="str">
        <f>IF(AND(C38="Skema 1",B38="fr"),Skemaoplysninger!$M$30,"")</f>
        <v/>
      </c>
      <c r="BL38" s="210" t="str">
        <f>IF(AND(C38="Skema 2",B38="ma"),Skemaoplysninger!$S$30,"")</f>
        <v/>
      </c>
      <c r="BM38" s="210" t="str">
        <f>IF(AND(C38="Skema 2",B38="ti"),Skemaoplysninger!$U$30,"")</f>
        <v/>
      </c>
      <c r="BN38" s="210" t="str">
        <f>IF(AND(C38="Skema 2",B38="on"),Skemaoplysninger!$W$30,"")</f>
        <v/>
      </c>
      <c r="BO38" s="210" t="str">
        <f>IF(AND(C38="Skema 2",B38="to"),Skemaoplysninger!$Y$30,"")</f>
        <v/>
      </c>
      <c r="BP38" s="210" t="str">
        <f>IF(AND(C38="Skema 2",B38="fr"),Skemaoplysninger!$AA$30,"")</f>
        <v/>
      </c>
      <c r="BQ38" s="210" t="str">
        <f>IF(AND(C38="Skema 3",B38="ma"),Skemaoplysninger!$AG$30,"")</f>
        <v/>
      </c>
      <c r="BR38" s="210" t="str">
        <f>IF(AND(C38="Skema 3",B38="ti"),Skemaoplysninger!$AI$30,"")</f>
        <v/>
      </c>
      <c r="BS38" s="210" t="str">
        <f>IF(AND(C38="Skema 3",B38="on"),Skemaoplysninger!$AK$30,"")</f>
        <v/>
      </c>
      <c r="BT38" s="210" t="str">
        <f>IF(AND(C38="Skema 3",B38="to"),Skemaoplysninger!$AM$30,"")</f>
        <v/>
      </c>
      <c r="BU38" s="210" t="str">
        <f>IF(AND(C38="Skema 3",B38="fr"),Skemaoplysninger!$AO$30,"")</f>
        <v/>
      </c>
      <c r="BV38" s="210" t="str">
        <f>IF(AND(C38="Skema 4",B38="ma"),Skemaoplysninger!$AU$30,"")</f>
        <v/>
      </c>
      <c r="BW38" s="210" t="str">
        <f>IF(AND(C38="Skema 4",B38="ti"),Skemaoplysninger!$AW$30,"")</f>
        <v/>
      </c>
      <c r="BX38" s="210" t="str">
        <f>IF(AND(C38="Skema 4",B38="on"),Skemaoplysninger!$AY$30,"")</f>
        <v/>
      </c>
      <c r="BY38" s="210" t="str">
        <f>IF(AND(C38="Skema 4",B38="to"),Skemaoplysninger!$BA$30,"")</f>
        <v/>
      </c>
      <c r="BZ38" s="210" t="str">
        <f>IF(AND(C38="Skema 4",B38="fr"),Skemaoplysninger!$BC$30,"")</f>
        <v/>
      </c>
      <c r="CA38" s="1">
        <f t="shared" si="25"/>
        <v>3</v>
      </c>
      <c r="CB38" s="1">
        <f t="shared" si="13"/>
        <v>0</v>
      </c>
      <c r="CC38" s="1">
        <f t="shared" si="14"/>
        <v>0</v>
      </c>
      <c r="CD38" s="210" t="str">
        <f>IF(AND(C38="Skema 1",B38="ma"),Skemaoplysninger!$E$31,"")</f>
        <v/>
      </c>
      <c r="CE38" s="210" t="str">
        <f>IF(AND(C38="Skema 1",B38="ti"),Skemaoplysninger!$G$31,"")</f>
        <v/>
      </c>
      <c r="CF38" s="210" t="str">
        <f>IF(AND(C38="Skema 1",B38="on"),Skemaoplysninger!$I$31,"")</f>
        <v/>
      </c>
      <c r="CG38" s="210">
        <f>IF(AND(C38="Skema 1",B38="to"),Skemaoplysninger!$K$31,"")</f>
        <v>6.25E-2</v>
      </c>
      <c r="CH38" s="210" t="str">
        <f>IF(AND(C38="Skema 1",B38="fr"),Skemaoplysninger!$M$31,"")</f>
        <v/>
      </c>
      <c r="CI38" s="210" t="str">
        <f>IF(AND(C38="Skema 2",B38="ma"),Skemaoplysninger!$S$31,"")</f>
        <v/>
      </c>
      <c r="CJ38" s="210" t="str">
        <f>IF(AND(C38="Skema 2",B38="ti"),Skemaoplysninger!$U$31,"")</f>
        <v/>
      </c>
      <c r="CK38" s="210" t="str">
        <f>IF(AND(C38="Skema 2",B38="on"),Skemaoplysninger!$W$31,"")</f>
        <v/>
      </c>
      <c r="CL38" s="210" t="str">
        <f>IF(AND(C38="Skema 2",B38="to"),Skemaoplysninger!$Y$31,"")</f>
        <v/>
      </c>
      <c r="CM38" s="210" t="str">
        <f>IF(AND(C38="Skema 2",B38="fr"),Skemaoplysninger!$AA$31,"")</f>
        <v/>
      </c>
      <c r="CN38" s="210" t="str">
        <f>IF(AND(C38="Skema 3",B38="ma"),Skemaoplysninger!$AG$31,"")</f>
        <v/>
      </c>
      <c r="CO38" s="210" t="str">
        <f>IF(AND(C38="Skema 3",B38="ti"),Skemaoplysninger!$AI$31,"")</f>
        <v/>
      </c>
      <c r="CP38" s="210" t="str">
        <f>IF(AND(C38="Skema 3",B38="on"),Skemaoplysninger!$AK$31,"")</f>
        <v/>
      </c>
      <c r="CQ38" s="210" t="str">
        <f>IF(AND(C38="Skema 3",B38="to"),Skemaoplysninger!$AM$31,"")</f>
        <v/>
      </c>
      <c r="CR38" s="210" t="str">
        <f>IF(AND(C38="Skema 3",B38="fr"),Skemaoplysninger!$AO$31,"")</f>
        <v/>
      </c>
      <c r="CS38" s="210" t="str">
        <f>IF(AND(C38="Skema 4",B38="ma"),Skemaoplysninger!$AU$31,"")</f>
        <v/>
      </c>
      <c r="CT38" s="210" t="str">
        <f>IF(AND(C38="Skema 4",B38="ti"),Skemaoplysninger!$AW$31,"")</f>
        <v/>
      </c>
      <c r="CU38" s="210" t="str">
        <f>IF(AND(C38="Skema 4",B38="on"),Skemaoplysninger!$AY$31,"")</f>
        <v/>
      </c>
      <c r="CV38" s="210" t="str">
        <f>IF(AND(C38="Skema 4",B38="to"),Skemaoplysninger!$BA$31,"")</f>
        <v/>
      </c>
      <c r="CW38" s="210" t="str">
        <f>IF(AND(C38="Skema 4",B38="fr"),Skemaoplysninger!$BC$31,"")</f>
        <v/>
      </c>
      <c r="CX38" s="249">
        <f>IF(Stamoplysninger!$H$29="NEJ",SUM(CD38:CW38)*24+CB38+CC38,0)</f>
        <v>1.5</v>
      </c>
      <c r="CY38" s="249">
        <f>IF(C38="Skema 1",Stamoplysninger!$H$30/200,0)</f>
        <v>0</v>
      </c>
      <c r="CZ38" s="249">
        <f>IF(C38="Skema 2",Stamoplysninger!$H$30/200,0)</f>
        <v>0</v>
      </c>
      <c r="DA38" s="249">
        <f>IF(C38="Skema 3",Stamoplysninger!$H$30/200,0)</f>
        <v>0</v>
      </c>
      <c r="DB38" s="249">
        <f>IF(C38="Skema 4",Stamoplysninger!$H$30/200,0)</f>
        <v>0</v>
      </c>
      <c r="DC38" s="249">
        <f>IF(C38="fagdag",Stamoplysninger!$H$30/200,0)</f>
        <v>0</v>
      </c>
      <c r="DD38" s="249">
        <f>IF(C38="emnedag",Stamoplysninger!$H$30/200,0)</f>
        <v>0</v>
      </c>
      <c r="DE38" s="249">
        <f>IF(C38="lejrskole",Stamoplysninger!$H$30/200,0)</f>
        <v>0</v>
      </c>
      <c r="DF38" s="249">
        <f>IF(C38="ekskursion",Stamoplysninger!$H$30/200,0)</f>
        <v>0</v>
      </c>
      <c r="DG38" s="249">
        <f t="shared" si="26"/>
        <v>0</v>
      </c>
      <c r="DH38" t="str">
        <f t="shared" si="27"/>
        <v/>
      </c>
      <c r="DI38">
        <f t="shared" si="28"/>
        <v>0</v>
      </c>
      <c r="DJ38">
        <f t="shared" si="29"/>
        <v>0</v>
      </c>
      <c r="DK38" t="str">
        <f t="shared" si="15"/>
        <v/>
      </c>
      <c r="DL38" t="str">
        <f t="shared" si="15"/>
        <v/>
      </c>
      <c r="DM38" t="str">
        <f t="shared" si="30"/>
        <v/>
      </c>
      <c r="DN38" t="str">
        <f t="shared" si="31"/>
        <v/>
      </c>
      <c r="DO38" s="652">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71">
        <f>IF(AND(Stamoplysninger!$B$22="Ulempetillæg udbetales med 25% af nettotimelønnen.",C38="ikke relevant"),(R38)/4,0)</f>
        <v>0</v>
      </c>
      <c r="DT38" s="671">
        <f>IF(AND(AND(Stamoplysninger!$B$22="Ulempetillæg udbetales med 25% af nettotimelønnen.",I38="X",C38="Ikke relevant")),K38/4,0)</f>
        <v>0</v>
      </c>
      <c r="DU38" s="671">
        <f>IF(AND(AND(Stamoplysninger!$B$22="Ulempetillæg udbetales med 25% af nettotimelønnen.",C38="ikke relevant",U38="X")),(X38/4),0)</f>
        <v>0</v>
      </c>
      <c r="DV38" s="672">
        <f>IF(AND(AND(AND(Stamoplysninger!$B$22="Ulempetillæg udbetales med 25% af nettotimelønnen.",I38="X",C38="Ikke relevant",U38="X"))),X38/4,0)</f>
        <v>0</v>
      </c>
      <c r="DW38" s="652"/>
      <c r="DZ38" s="671"/>
      <c r="EA38" s="671"/>
      <c r="EB38" s="672"/>
      <c r="EC38" s="652">
        <f>IF(Stamoplysninger!$B$22="Ulempetillæg afspadseres med 25%(Kræver en aftale imellem ledelsen og den ansatte)",(R38+X38)/4,0)</f>
        <v>0</v>
      </c>
      <c r="ED38">
        <f>IF(AND(Stamoplysninger!$B$22="Ulempetillæg afspadseres med 25%(Kræver en aftale imellem ledelsen og den ansatte)",I38="X"),K38/4,0)</f>
        <v>0</v>
      </c>
      <c r="EE38">
        <f>IF(AND(Stamoplysninger!$B$22="Ulempetillæg afspadseres med 25%(Kræver en aftale imellem ledelsen og den ansatte)",I38="X"),V38/4,0)</f>
        <v>0</v>
      </c>
      <c r="EF38">
        <f>IF(AND(AND(Stamoplysninger!$B$22="Ulempetillæg udbetales med 25% af nettotimelønnen.",AG38="X",W38="X")),AJ38/4,0)</f>
        <v>0</v>
      </c>
      <c r="EG38" s="671">
        <f>IF(AND(Stamoplysninger!$B$22="Ulempetillæg afspadseres med 25%(Kræver en aftale imellem ledelsen og den ansatte)",C38="ikke relevant"),(R38+X38)/4,0)</f>
        <v>0</v>
      </c>
      <c r="EH38" s="671">
        <f>IF(AND(AND(Stamoplysninger!$B$22="Ulempetillæg afspadseres med 25%(Kræver en aftale imellem ledelsen og den ansatte)",I38="X",C38="Ikke relevant")),K38/4,0)</f>
        <v>0</v>
      </c>
      <c r="EI38" s="671">
        <f>IF(AND(AND(Stamoplysninger!$B$22="Ulempetillæg afspadseres med 25%(Kræver en aftale imellem ledelsen og den ansatte)",I38="X",C38="Ikke relevant")),V38/4,0)</f>
        <v>0</v>
      </c>
      <c r="EJ38" s="671">
        <f>IF(AND(AND(Stamoplysninger!$B$22="Ulempetillæg afspadseres med 25%(Kræver en aftale imellem ledelsen og den ansatte)",J38="X",D38="Ikke relevant")),W38/4,0)</f>
        <v>0</v>
      </c>
      <c r="EK38" s="283">
        <f>IF(AND(Stamoplysninger!$B$26="Weekendtimer og weekendtillæg afspadseres.",I38="X"),K38+V38,0)</f>
        <v>0</v>
      </c>
      <c r="EL38" s="251">
        <f>IF(AND(Stamoplysninger!$B$26="Weekendtimer og weekendtillæg afspadseres.",J38="X"),(L38+W38)/2,0)</f>
        <v>0</v>
      </c>
      <c r="EM38" s="674">
        <f>IF(AND(AND(Stamoplysninger!$B$26="Weekendtimer og weekendtillæg afspadseres.",I38="X",C38="ikke relevant")),K38+V38,0)</f>
        <v>0</v>
      </c>
      <c r="EN38" s="675">
        <f>IF(AND(AND(Stamoplysninger!$B$26="Weekendtimer og weekendtillæg afspadseres.",I38="X",C38="ikke relevant")),(K38+V38)/2,0)</f>
        <v>0</v>
      </c>
      <c r="EO38" s="283">
        <f>IF(AND(Stamoplysninger!$B$26="Weekendtimer og weekendtillæg udbetales.",I38="X"),K38+V38,0)</f>
        <v>0</v>
      </c>
      <c r="EP38" s="251">
        <f>IF(AND(Stamoplysninger!$B$26="Weekendtimer og weekendtillæg udbetales.",I38="X"),(K38+V38)/2,0)</f>
        <v>0</v>
      </c>
      <c r="EQ38" s="674">
        <f>IF(AND(AND(Stamoplysninger!$B$26="Weekendtimer og weekendtillæg udbetales.",I38="X",C38="ikke relevant")),K38+V38,0)</f>
        <v>0</v>
      </c>
      <c r="ER38" s="675">
        <f>IF(AND(AND(Stamoplysninger!$B$26="Weekendtimer og weekendtillæg udbetales.",I38="X",C38="ikke relevant")),(K38+V38)/2,0)</f>
        <v>0</v>
      </c>
      <c r="ES38" s="283">
        <f>IF(AND(Stamoplysninger!$B$26="Weekendtimer og weekendtillæg udbetales.",M38="X"),O38+Z38,0)</f>
        <v>0</v>
      </c>
      <c r="ET38" s="251">
        <f>IF(AND(Stamoplysninger!$B$26="Weekendtimer og weekendtillæg udbetales.",M38="X"),(O38+Z38)/2,0)</f>
        <v>0</v>
      </c>
      <c r="EU38" s="674">
        <f>IF(AND(AND(Stamoplysninger!$B$26="Weekendtimer og weekendtillæg udbetales.",M38="X",G38="ikke relevant")),O38+Z38,0)</f>
        <v>0</v>
      </c>
      <c r="EV38" s="675">
        <f>IF(AND(AND(Stamoplysninger!$B$26="Weekendtimer og weekendtillæg udbetales.",M38="X",G38="ikke relevant")),(O38+Z38)/2,0)</f>
        <v>0</v>
      </c>
      <c r="EW38" s="283">
        <f>IF(AND(Stamoplysninger!$B$26="Der er indgået lokalaftale omkring weekendtimer(Kræver aftale med TR/FSL). Weekendtillæg udbetales.",I38="X"),K38*0.5,0)</f>
        <v>0</v>
      </c>
      <c r="EX38" s="251">
        <f>IF(AND(AND(Stamoplysninger!$B$26="Der er indgået lokalaftale omkring weekendtimer(Kræver aftale med TR/FSL). Weekendtillæg udbetales.",I38="X",S38="X")),V38*0.5,0)</f>
        <v>0</v>
      </c>
      <c r="EY38" s="674">
        <f>IF(AND(AND(Stamoplysninger!$B$26="Der er indgået lokalaftale omkring weekendtimer(Kræver aftale med TR/FSL). Weekendtillæg udbetales.",I38="X",C38="ikke relevant")),K38*0.5,0)</f>
        <v>0</v>
      </c>
      <c r="EZ38" s="675">
        <f>IF(AND(AND(AND(Stamoplysninger!$B$26="Der er indgået lokalaftale omkring weekendtimer(Kræver aftale med TR/FSL). Weekendtillæg udbetales.",I38="X",C38="ikke relevant",S38="X"))),(V38*0.5),0)</f>
        <v>0</v>
      </c>
      <c r="FA38" s="283">
        <f>IF(AND(Stamoplysninger!$B$26="Der er indgået lokalaftale omkring weekendtimer(Kræver aftale med TR/FSL). Weekendtillæg udbetales.",M38="X"),O38*0.5,0)</f>
        <v>0</v>
      </c>
      <c r="FB38" s="251">
        <f>IF(AND(AND(Stamoplysninger!$B$26="Der er indgået lokalaftale omkring weekendtimer(Kræver aftale med TR/FSL). Weekendtillæg udbetales.",M38="X",W38="X")),Z38*0.5,0)</f>
        <v>0</v>
      </c>
      <c r="FC38" s="674">
        <f>IF(AND(AND(Stamoplysninger!$B$26="Der er indgået lokalaftale omkring weekendtimer(Kræver aftale med TR/FSL). Weekendtillæg udbetales.",M38="X",G38="ikke relevant")),O38*0.5,0)</f>
        <v>0</v>
      </c>
      <c r="FD38" s="675">
        <f>IF(AND(AND(AND(Stamoplysninger!$B$26="Der er indgået lokalaftale omkring weekendtimer(Kræver aftale med TR/FSL). Weekendtillæg udbetales.",M38="X",G38="ikke relevant",W38="X"))),(Z38*0.5),0)</f>
        <v>0</v>
      </c>
      <c r="FE38" s="283">
        <f>IF(AND(Stamoplysninger!$B$26="Der er indgået lokalaftale omkring weekendtimer(Kræver aftale med TR/FSL). Weekendtillæg udbetales.",Q38="X"),S38*0.5,0)</f>
        <v>0</v>
      </c>
      <c r="FF38" s="251">
        <f>IF(AND(AND(Stamoplysninger!$B$26="Der er indgået lokalaftale omkring weekendtimer(Kræver aftale med TR/FSL). Weekendtillæg udbetales.",Q38="X",AA38="X")),AD38*0.5,0)</f>
        <v>0</v>
      </c>
      <c r="FG38" s="674">
        <f>IF(AND(AND(Stamoplysninger!$B$26="Der er indgået lokalaftale omkring weekendtimer(Kræver aftale med TR/FSL). Weekendtillæg udbetales.",Q38="X",K38="ikke relevant")),S38*0.5,0)</f>
        <v>0</v>
      </c>
      <c r="FH38" s="675">
        <f>IF(AND(AND(AND(Stamoplysninger!$B$26="Der er indgået lokalaftale omkring weekendtimer(Kræver aftale med TR/FSL). Weekendtillæg udbetales.",Q38="X",K38="ikke relevant",AA38="X"))),(AD38*0.5),0)</f>
        <v>0</v>
      </c>
      <c r="FI38" s="283">
        <f>IF(AND(Stamoplysninger!$B$26="Weekendtimer og weekendtillæg afspadseres.",I38="X"),K38,0)</f>
        <v>0</v>
      </c>
      <c r="FJ38" s="251">
        <f>IF(AND(Stamoplysninger!$B$26="Weekendtimer og weekendtillæg afspadseres.",Y38="X"),(AA38+AL38)/2,0)</f>
        <v>0</v>
      </c>
      <c r="FK38" s="674">
        <f>IF(AND(AND(Stamoplysninger!$B$26="Weekendtimer og weekendtillæg afspadseres.",I38="X",C38="ikke relevant")),K38,0)</f>
        <v>0</v>
      </c>
      <c r="FL38" s="675">
        <f>IF(AND(AND(Stamoplysninger!$B$26="Weekendtimer og weekendtillæg afspadseres.",Y38="X",S38="ikke relevant")),(AA38+AL38)/2,0)</f>
        <v>0</v>
      </c>
      <c r="FM38" s="283">
        <f>IF(AND(Stamoplysninger!$B$26="Der er indgået lokalaftale omkring weekendtillæg(Kræver aftale med TR/FSL). Weekendtimerne afspadseres.",I38="X"),K38,0)</f>
        <v>0</v>
      </c>
      <c r="FN38" s="674">
        <f>IF(AND(AND(Stamoplysninger!$B$26="Der er indgået lokalaftale omkring weekendtillæg(Kræver aftale med TR/FSL). Weekendtimerne afspadseres.",I38="X",C38="ikke relevant")),K38,0)</f>
        <v>0</v>
      </c>
      <c r="FO38" s="283">
        <f>IF(AND(Stamoplysninger!$B$26="Weekendtimer og weekendtillæg udbetales.",I38="X"),K38,0)</f>
        <v>0</v>
      </c>
      <c r="FP38" s="251">
        <f>IF(AND(Stamoplysninger!$B$26="Weekendtimer og weekendtillæg udbetales.",AA38="X"),(AC38+AN38)/2,0)</f>
        <v>0</v>
      </c>
      <c r="FQ38" s="674">
        <f>IF(AND(AND(Stamoplysninger!$B$26="Weekendtimer og weekendtillæg udbetales.",I38="X",C38="ikke relevant")),K38,0)</f>
        <v>0</v>
      </c>
      <c r="FR38" s="688">
        <f>IF(AND(AND(Stamoplysninger!$B$26="Weekendtimer og weekendtillæg udbetales.",AA38="X",U38="ikke relevant")),(AC38+AN38)/2,0)</f>
        <v>0</v>
      </c>
      <c r="FS38" s="283">
        <f t="shared" si="16"/>
        <v>0</v>
      </c>
      <c r="FT38" s="658">
        <f t="shared" si="17"/>
        <v>0</v>
      </c>
      <c r="FU38">
        <f t="shared" si="32"/>
        <v>0</v>
      </c>
      <c r="FV38" s="283">
        <f>IF(AND(Stamoplysninger!$B$26="Der er indgået lokalaftale omkring weekendtimer.(Kræver aftale med TR/FSL) Weekendtillæg afspadseres.",I38="X"),K38,0)</f>
        <v>0</v>
      </c>
      <c r="FW38" s="674">
        <f>IF(AND(AND(Stamoplysninger!$B$26="Der er indgået lokalaftale omkring weekendtimer.(Kræver aftale med TR/FSL) Weekendtillæg afspadseres.",I38="X",C38="ikke relevant")),K38,0)</f>
        <v>0</v>
      </c>
      <c r="FX38" s="283">
        <f>IF(AND(Stamoplysninger!$B$26="Der er indgået lokalaftale omkring weekendtimer(Kræver aftale med TR/FSL). Weekendtillæg udbetales.",I38="X"),K38,0)</f>
        <v>0</v>
      </c>
      <c r="FY38" s="674">
        <f>IF(AND(AND(Stamoplysninger!$B$26="Der er indgået lokalaftale omkring weekendtimer(Kræver aftale med TR/FSL). Weekendtillæg udbetales.",I38="X",C38="ikke relevant")),K38,0)</f>
        <v>0</v>
      </c>
      <c r="FZ38" s="283">
        <f>IF(AND(Stamoplysninger!$B$26="Der er indgået lokalaftale omkring weekendtillæg(Kræver aftale med TR/FSL). Weekendtimerne udbetales.",I38="X"),K38,0)</f>
        <v>0</v>
      </c>
      <c r="GA38" s="674">
        <f>IF(AND(AND(Stamoplysninger!$B$26="Der er indgået lokalaftale omkring weekendtillæg(Kræver aftale med TR/FSL). Weekendtimerne udbetales.",I38="X",C38="ikke relevant")),K38,0)</f>
        <v>0</v>
      </c>
      <c r="GB38" s="283">
        <f>IF(AND(Stamoplysninger!$B$26="Der er indgået lokalaftale omkring weekendtimer og weekendtillæg.(Kræver aftale med TR/FSL).",I38="X"),K38,0)</f>
        <v>0</v>
      </c>
      <c r="GC38" s="674">
        <f>IF(AND(AND(Stamoplysninger!$B$26="Der er indgået lokalaftale omkring weekendtimer og weekendtillæg.(Kræver aftale med TR/FSL).",I38="X",C38="ikke relevant")),K38,0)</f>
        <v>0</v>
      </c>
    </row>
    <row r="39" spans="1:185">
      <c r="A39" s="245">
        <f t="shared" si="19"/>
        <v>30</v>
      </c>
      <c r="B39" s="128" t="str">
        <f t="shared" si="0"/>
        <v>fr</v>
      </c>
      <c r="C39" s="129" t="s">
        <v>206</v>
      </c>
      <c r="D39" s="130" t="str">
        <f t="shared" si="1"/>
        <v/>
      </c>
      <c r="E39" s="917"/>
      <c r="F39" s="918"/>
      <c r="G39" s="919"/>
      <c r="H39" s="298"/>
      <c r="I39" s="527"/>
      <c r="J39" s="413"/>
      <c r="K39" s="380"/>
      <c r="L39" s="380"/>
      <c r="M39" s="380"/>
      <c r="N39" s="318">
        <f t="shared" si="20"/>
        <v>6.75</v>
      </c>
      <c r="O39" s="318">
        <f t="shared" si="21"/>
        <v>3</v>
      </c>
      <c r="P39" s="318">
        <f>IF(Stamoplysninger!$H$29="JA",August!DG39,CX39)</f>
        <v>1.5</v>
      </c>
      <c r="Q39" s="318">
        <f t="shared" si="22"/>
        <v>2.25</v>
      </c>
      <c r="R39" s="412"/>
      <c r="S39" s="324"/>
      <c r="T39" s="325"/>
      <c r="U39" s="441"/>
      <c r="V39" s="435"/>
      <c r="W39" s="412"/>
      <c r="X39" s="642"/>
      <c r="Y39">
        <f t="shared" si="23"/>
        <v>0</v>
      </c>
      <c r="Z39">
        <f t="shared" si="2"/>
        <v>0</v>
      </c>
      <c r="AA39" s="1">
        <f t="shared" si="3"/>
        <v>0</v>
      </c>
      <c r="AB39" s="1">
        <f t="shared" si="4"/>
        <v>0</v>
      </c>
      <c r="AC39" s="1">
        <f t="shared" si="5"/>
        <v>0</v>
      </c>
      <c r="AD39" s="1">
        <f t="shared" si="6"/>
        <v>0</v>
      </c>
      <c r="AE39" s="1">
        <f t="shared" si="7"/>
        <v>0</v>
      </c>
      <c r="AF39" s="1">
        <f>IF(C39="Orlov",Stamoplysninger!$E$15*7.4,0)</f>
        <v>0</v>
      </c>
      <c r="AG39" t="str">
        <f>IF(AND(C39="Skema 1",B39="ma"),Arbejdstidsoversigt!$E$72,"")</f>
        <v/>
      </c>
      <c r="AH39" t="str">
        <f>IF(AND(C39="Skema 1",B39="ti"),Arbejdstidsoversigt!$E$73,"")</f>
        <v/>
      </c>
      <c r="AI39" t="str">
        <f>IF(AND(C39="Skema 1",B39="on"),Arbejdstidsoversigt!$E$74,"")</f>
        <v/>
      </c>
      <c r="AJ39" t="str">
        <f>IF(AND(C39="Skema 1",B39="to"),Arbejdstidsoversigt!$E$75,"")</f>
        <v/>
      </c>
      <c r="AK39">
        <f>IF(AND(C39="Skema 1",B39="fr"),Arbejdstidsoversigt!$E$76,"")</f>
        <v>6.75</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8"/>
        <v>6.75</v>
      </c>
      <c r="BB39" s="229">
        <f t="shared" si="9"/>
        <v>162</v>
      </c>
      <c r="BC39" s="1">
        <f t="shared" si="24"/>
        <v>0</v>
      </c>
      <c r="BD39" s="1">
        <f t="shared" si="10"/>
        <v>0</v>
      </c>
      <c r="BE39" s="1">
        <f t="shared" si="11"/>
        <v>0</v>
      </c>
      <c r="BF39" s="1">
        <f t="shared" si="12"/>
        <v>0</v>
      </c>
      <c r="BG39" s="210" t="str">
        <f>IF(AND(C39="Skema 1",B39="ma"),Skemaoplysninger!$E$30,"")</f>
        <v/>
      </c>
      <c r="BH39" s="210" t="str">
        <f>IF(AND(C39="Skema 1",B39="ti"),Skemaoplysninger!$G$30,"")</f>
        <v/>
      </c>
      <c r="BI39" s="210" t="str">
        <f>IF(AND(C39="Skema 1",B39="on"),Skemaoplysninger!$I$30,"")</f>
        <v/>
      </c>
      <c r="BJ39" s="210" t="str">
        <f>IF(AND(C39="Skema 1",B39="to"),Skemaoplysninger!$K$30,"")</f>
        <v/>
      </c>
      <c r="BK39" s="210">
        <f>IF(AND(C39="Skema 1",B39="fr"),Skemaoplysninger!$M$30,"")</f>
        <v>0.125</v>
      </c>
      <c r="BL39" s="210" t="str">
        <f>IF(AND(C39="Skema 2",B39="ma"),Skemaoplysninger!$S$30,"")</f>
        <v/>
      </c>
      <c r="BM39" s="210" t="str">
        <f>IF(AND(C39="Skema 2",B39="ti"),Skemaoplysninger!$U$30,"")</f>
        <v/>
      </c>
      <c r="BN39" s="210" t="str">
        <f>IF(AND(C39="Skema 2",B39="on"),Skemaoplysninger!$W$30,"")</f>
        <v/>
      </c>
      <c r="BO39" s="210" t="str">
        <f>IF(AND(C39="Skema 2",B39="to"),Skemaoplysninger!$Y$30,"")</f>
        <v/>
      </c>
      <c r="BP39" s="210" t="str">
        <f>IF(AND(C39="Skema 2",B39="fr"),Skemaoplysninger!$AA$30,"")</f>
        <v/>
      </c>
      <c r="BQ39" s="210" t="str">
        <f>IF(AND(C39="Skema 3",B39="ma"),Skemaoplysninger!$AG$30,"")</f>
        <v/>
      </c>
      <c r="BR39" s="210" t="str">
        <f>IF(AND(C39="Skema 3",B39="ti"),Skemaoplysninger!$AI$30,"")</f>
        <v/>
      </c>
      <c r="BS39" s="210" t="str">
        <f>IF(AND(C39="Skema 3",B39="on"),Skemaoplysninger!$AK$30,"")</f>
        <v/>
      </c>
      <c r="BT39" s="210" t="str">
        <f>IF(AND(C39="Skema 3",B39="to"),Skemaoplysninger!$AM$30,"")</f>
        <v/>
      </c>
      <c r="BU39" s="210" t="str">
        <f>IF(AND(C39="Skema 3",B39="fr"),Skemaoplysninger!$AO$30,"")</f>
        <v/>
      </c>
      <c r="BV39" s="210" t="str">
        <f>IF(AND(C39="Skema 4",B39="ma"),Skemaoplysninger!$AU$30,"")</f>
        <v/>
      </c>
      <c r="BW39" s="210" t="str">
        <f>IF(AND(C39="Skema 4",B39="ti"),Skemaoplysninger!$AW$30,"")</f>
        <v/>
      </c>
      <c r="BX39" s="210" t="str">
        <f>IF(AND(C39="Skema 4",B39="on"),Skemaoplysninger!$AY$30,"")</f>
        <v/>
      </c>
      <c r="BY39" s="210" t="str">
        <f>IF(AND(C39="Skema 4",B39="to"),Skemaoplysninger!$BA$30,"")</f>
        <v/>
      </c>
      <c r="BZ39" s="210" t="str">
        <f>IF(AND(C39="Skema 4",B39="fr"),Skemaoplysninger!$BC$30,"")</f>
        <v/>
      </c>
      <c r="CA39" s="1">
        <f t="shared" si="25"/>
        <v>3</v>
      </c>
      <c r="CB39" s="1">
        <f t="shared" si="13"/>
        <v>0</v>
      </c>
      <c r="CC39" s="1">
        <f t="shared" si="14"/>
        <v>0</v>
      </c>
      <c r="CD39" s="210" t="str">
        <f>IF(AND(C39="Skema 1",B39="ma"),Skemaoplysninger!$E$31,"")</f>
        <v/>
      </c>
      <c r="CE39" s="210" t="str">
        <f>IF(AND(C39="Skema 1",B39="ti"),Skemaoplysninger!$G$31,"")</f>
        <v/>
      </c>
      <c r="CF39" s="210" t="str">
        <f>IF(AND(C39="Skema 1",B39="on"),Skemaoplysninger!$I$31,"")</f>
        <v/>
      </c>
      <c r="CG39" s="210" t="str">
        <f>IF(AND(C39="Skema 1",B39="to"),Skemaoplysninger!$K$31,"")</f>
        <v/>
      </c>
      <c r="CH39" s="210">
        <f>IF(AND(C39="Skema 1",B39="fr"),Skemaoplysninger!$M$31,"")</f>
        <v>6.25E-2</v>
      </c>
      <c r="CI39" s="210" t="str">
        <f>IF(AND(C39="Skema 2",B39="ma"),Skemaoplysninger!$S$31,"")</f>
        <v/>
      </c>
      <c r="CJ39" s="210" t="str">
        <f>IF(AND(C39="Skema 2",B39="ti"),Skemaoplysninger!$U$31,"")</f>
        <v/>
      </c>
      <c r="CK39" s="210" t="str">
        <f>IF(AND(C39="Skema 2",B39="on"),Skemaoplysninger!$W$31,"")</f>
        <v/>
      </c>
      <c r="CL39" s="210" t="str">
        <f>IF(AND(C39="Skema 2",B39="to"),Skemaoplysninger!$Y$31,"")</f>
        <v/>
      </c>
      <c r="CM39" s="210" t="str">
        <f>IF(AND(C39="Skema 2",B39="fr"),Skemaoplysninger!$AA$31,"")</f>
        <v/>
      </c>
      <c r="CN39" s="210" t="str">
        <f>IF(AND(C39="Skema 3",B39="ma"),Skemaoplysninger!$AG$31,"")</f>
        <v/>
      </c>
      <c r="CO39" s="210" t="str">
        <f>IF(AND(C39="Skema 3",B39="ti"),Skemaoplysninger!$AI$31,"")</f>
        <v/>
      </c>
      <c r="CP39" s="210" t="str">
        <f>IF(AND(C39="Skema 3",B39="on"),Skemaoplysninger!$AK$31,"")</f>
        <v/>
      </c>
      <c r="CQ39" s="210" t="str">
        <f>IF(AND(C39="Skema 3",B39="to"),Skemaoplysninger!$AM$31,"")</f>
        <v/>
      </c>
      <c r="CR39" s="210" t="str">
        <f>IF(AND(C39="Skema 3",B39="fr"),Skemaoplysninger!$AO$31,"")</f>
        <v/>
      </c>
      <c r="CS39" s="210" t="str">
        <f>IF(AND(C39="Skema 4",B39="ma"),Skemaoplysninger!$AU$31,"")</f>
        <v/>
      </c>
      <c r="CT39" s="210" t="str">
        <f>IF(AND(C39="Skema 4",B39="ti"),Skemaoplysninger!$AW$31,"")</f>
        <v/>
      </c>
      <c r="CU39" s="210" t="str">
        <f>IF(AND(C39="Skema 4",B39="on"),Skemaoplysninger!$AY$31,"")</f>
        <v/>
      </c>
      <c r="CV39" s="210" t="str">
        <f>IF(AND(C39="Skema 4",B39="to"),Skemaoplysninger!$BA$31,"")</f>
        <v/>
      </c>
      <c r="CW39" s="210" t="str">
        <f>IF(AND(C39="Skema 4",B39="fr"),Skemaoplysninger!$BC$31,"")</f>
        <v/>
      </c>
      <c r="CX39" s="249">
        <f>IF(Stamoplysninger!$H$29="NEJ",SUM(CD39:CW39)*24+CB39+CC39,0)</f>
        <v>1.5</v>
      </c>
      <c r="CY39" s="249">
        <f>IF(C39="Skema 1",Stamoplysninger!$H$30/200,0)</f>
        <v>0</v>
      </c>
      <c r="CZ39" s="249">
        <f>IF(C39="Skema 2",Stamoplysninger!$H$30/200,0)</f>
        <v>0</v>
      </c>
      <c r="DA39" s="249">
        <f>IF(C39="Skema 3",Stamoplysninger!$H$30/200,0)</f>
        <v>0</v>
      </c>
      <c r="DB39" s="249">
        <f>IF(C39="Skema 4",Stamoplysninger!$H$30/200,0)</f>
        <v>0</v>
      </c>
      <c r="DC39" s="249">
        <f>IF(C39="fagdag",Stamoplysninger!$H$30/200,0)</f>
        <v>0</v>
      </c>
      <c r="DD39" s="249">
        <f>IF(C39="emnedag",Stamoplysninger!$H$30/200,0)</f>
        <v>0</v>
      </c>
      <c r="DE39" s="249">
        <f>IF(C39="lejrskole",Stamoplysninger!$H$30/200,0)</f>
        <v>0</v>
      </c>
      <c r="DF39" s="249">
        <f>IF(C39="ekskursion",Stamoplysninger!$H$30/200,0)</f>
        <v>0</v>
      </c>
      <c r="DG39" s="249">
        <f t="shared" si="26"/>
        <v>0</v>
      </c>
      <c r="DH39" t="str">
        <f t="shared" si="27"/>
        <v/>
      </c>
      <c r="DI39">
        <f t="shared" si="28"/>
        <v>0</v>
      </c>
      <c r="DJ39">
        <f t="shared" si="29"/>
        <v>0</v>
      </c>
      <c r="DK39" t="str">
        <f t="shared" si="15"/>
        <v/>
      </c>
      <c r="DL39" t="str">
        <f t="shared" si="15"/>
        <v/>
      </c>
      <c r="DM39" t="str">
        <f t="shared" si="30"/>
        <v/>
      </c>
      <c r="DN39" t="str">
        <f t="shared" si="31"/>
        <v/>
      </c>
      <c r="DO39" s="652">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71">
        <f>IF(AND(Stamoplysninger!$B$22="Ulempetillæg udbetales med 25% af nettotimelønnen.",C39="ikke relevant"),(R39)/4,0)</f>
        <v>0</v>
      </c>
      <c r="DT39" s="671">
        <f>IF(AND(AND(Stamoplysninger!$B$22="Ulempetillæg udbetales med 25% af nettotimelønnen.",I39="X",C39="Ikke relevant")),K39/4,0)</f>
        <v>0</v>
      </c>
      <c r="DU39" s="671">
        <f>IF(AND(AND(Stamoplysninger!$B$22="Ulempetillæg udbetales med 25% af nettotimelønnen.",C39="ikke relevant",U39="X")),(X39/4),0)</f>
        <v>0</v>
      </c>
      <c r="DV39" s="672">
        <f>IF(AND(AND(AND(Stamoplysninger!$B$22="Ulempetillæg udbetales med 25% af nettotimelønnen.",I39="X",C39="Ikke relevant",U39="X"))),X39/4,0)</f>
        <v>0</v>
      </c>
      <c r="DW39" s="652"/>
      <c r="DZ39" s="671"/>
      <c r="EA39" s="671"/>
      <c r="EB39" s="672"/>
      <c r="EC39" s="652">
        <f>IF(Stamoplysninger!$B$22="Ulempetillæg afspadseres med 25%(Kræver en aftale imellem ledelsen og den ansatte)",(R39+X39)/4,0)</f>
        <v>0</v>
      </c>
      <c r="ED39">
        <f>IF(AND(Stamoplysninger!$B$22="Ulempetillæg afspadseres med 25%(Kræver en aftale imellem ledelsen og den ansatte)",I39="X"),K39/4,0)</f>
        <v>0</v>
      </c>
      <c r="EE39">
        <f>IF(AND(Stamoplysninger!$B$22="Ulempetillæg afspadseres med 25%(Kræver en aftale imellem ledelsen og den ansatte)",I39="X"),V39/4,0)</f>
        <v>0</v>
      </c>
      <c r="EF39">
        <f>IF(AND(AND(Stamoplysninger!$B$22="Ulempetillæg udbetales med 25% af nettotimelønnen.",AG39="X",W39="X")),AJ39/4,0)</f>
        <v>0</v>
      </c>
      <c r="EG39" s="671">
        <f>IF(AND(Stamoplysninger!$B$22="Ulempetillæg afspadseres med 25%(Kræver en aftale imellem ledelsen og den ansatte)",C39="ikke relevant"),(R39+X39)/4,0)</f>
        <v>0</v>
      </c>
      <c r="EH39" s="671">
        <f>IF(AND(AND(Stamoplysninger!$B$22="Ulempetillæg afspadseres med 25%(Kræver en aftale imellem ledelsen og den ansatte)",I39="X",C39="Ikke relevant")),K39/4,0)</f>
        <v>0</v>
      </c>
      <c r="EI39" s="671">
        <f>IF(AND(AND(Stamoplysninger!$B$22="Ulempetillæg afspadseres med 25%(Kræver en aftale imellem ledelsen og den ansatte)",I39="X",C39="Ikke relevant")),V39/4,0)</f>
        <v>0</v>
      </c>
      <c r="EJ39" s="671">
        <f>IF(AND(AND(Stamoplysninger!$B$22="Ulempetillæg afspadseres med 25%(Kræver en aftale imellem ledelsen og den ansatte)",J39="X",D39="Ikke relevant")),W39/4,0)</f>
        <v>0</v>
      </c>
      <c r="EK39" s="283">
        <f>IF(AND(Stamoplysninger!$B$26="Weekendtimer og weekendtillæg afspadseres.",I39="X"),K39+V39,0)</f>
        <v>0</v>
      </c>
      <c r="EL39" s="251">
        <f>IF(AND(Stamoplysninger!$B$26="Weekendtimer og weekendtillæg afspadseres.",J39="X"),(L39+W39)/2,0)</f>
        <v>0</v>
      </c>
      <c r="EM39" s="674">
        <f>IF(AND(AND(Stamoplysninger!$B$26="Weekendtimer og weekendtillæg afspadseres.",I39="X",C39="ikke relevant")),K39+V39,0)</f>
        <v>0</v>
      </c>
      <c r="EN39" s="675">
        <f>IF(AND(AND(Stamoplysninger!$B$26="Weekendtimer og weekendtillæg afspadseres.",I39="X",C39="ikke relevant")),(K39+V39)/2,0)</f>
        <v>0</v>
      </c>
      <c r="EO39" s="283">
        <f>IF(AND(Stamoplysninger!$B$26="Weekendtimer og weekendtillæg udbetales.",I39="X"),K39+V39,0)</f>
        <v>0</v>
      </c>
      <c r="EP39" s="251">
        <f>IF(AND(Stamoplysninger!$B$26="Weekendtimer og weekendtillæg udbetales.",I39="X"),(K39+V39)/2,0)</f>
        <v>0</v>
      </c>
      <c r="EQ39" s="674">
        <f>IF(AND(AND(Stamoplysninger!$B$26="Weekendtimer og weekendtillæg udbetales.",I39="X",C39="ikke relevant")),K39+V39,0)</f>
        <v>0</v>
      </c>
      <c r="ER39" s="675">
        <f>IF(AND(AND(Stamoplysninger!$B$26="Weekendtimer og weekendtillæg udbetales.",I39="X",C39="ikke relevant")),(K39+V39)/2,0)</f>
        <v>0</v>
      </c>
      <c r="ES39" s="283">
        <f>IF(AND(Stamoplysninger!$B$26="Weekendtimer og weekendtillæg udbetales.",M39="X"),O39+Z39,0)</f>
        <v>0</v>
      </c>
      <c r="ET39" s="251">
        <f>IF(AND(Stamoplysninger!$B$26="Weekendtimer og weekendtillæg udbetales.",M39="X"),(O39+Z39)/2,0)</f>
        <v>0</v>
      </c>
      <c r="EU39" s="674">
        <f>IF(AND(AND(Stamoplysninger!$B$26="Weekendtimer og weekendtillæg udbetales.",M39="X",G39="ikke relevant")),O39+Z39,0)</f>
        <v>0</v>
      </c>
      <c r="EV39" s="675">
        <f>IF(AND(AND(Stamoplysninger!$B$26="Weekendtimer og weekendtillæg udbetales.",M39="X",G39="ikke relevant")),(O39+Z39)/2,0)</f>
        <v>0</v>
      </c>
      <c r="EW39" s="283">
        <f>IF(AND(Stamoplysninger!$B$26="Der er indgået lokalaftale omkring weekendtimer(Kræver aftale med TR/FSL). Weekendtillæg udbetales.",I39="X"),K39*0.5,0)</f>
        <v>0</v>
      </c>
      <c r="EX39" s="251">
        <f>IF(AND(AND(Stamoplysninger!$B$26="Der er indgået lokalaftale omkring weekendtimer(Kræver aftale med TR/FSL). Weekendtillæg udbetales.",I39="X",S39="X")),V39*0.5,0)</f>
        <v>0</v>
      </c>
      <c r="EY39" s="674">
        <f>IF(AND(AND(Stamoplysninger!$B$26="Der er indgået lokalaftale omkring weekendtimer(Kræver aftale med TR/FSL). Weekendtillæg udbetales.",I39="X",C39="ikke relevant")),K39*0.5,0)</f>
        <v>0</v>
      </c>
      <c r="EZ39" s="675">
        <f>IF(AND(AND(AND(Stamoplysninger!$B$26="Der er indgået lokalaftale omkring weekendtimer(Kræver aftale med TR/FSL). Weekendtillæg udbetales.",I39="X",C39="ikke relevant",S39="X"))),(V39*0.5),0)</f>
        <v>0</v>
      </c>
      <c r="FA39" s="283">
        <f>IF(AND(Stamoplysninger!$B$26="Der er indgået lokalaftale omkring weekendtimer(Kræver aftale med TR/FSL). Weekendtillæg udbetales.",M39="X"),O39*0.5,0)</f>
        <v>0</v>
      </c>
      <c r="FB39" s="251">
        <f>IF(AND(AND(Stamoplysninger!$B$26="Der er indgået lokalaftale omkring weekendtimer(Kræver aftale med TR/FSL). Weekendtillæg udbetales.",M39="X",W39="X")),Z39*0.5,0)</f>
        <v>0</v>
      </c>
      <c r="FC39" s="674">
        <f>IF(AND(AND(Stamoplysninger!$B$26="Der er indgået lokalaftale omkring weekendtimer(Kræver aftale med TR/FSL). Weekendtillæg udbetales.",M39="X",G39="ikke relevant")),O39*0.5,0)</f>
        <v>0</v>
      </c>
      <c r="FD39" s="675">
        <f>IF(AND(AND(AND(Stamoplysninger!$B$26="Der er indgået lokalaftale omkring weekendtimer(Kræver aftale med TR/FSL). Weekendtillæg udbetales.",M39="X",G39="ikke relevant",W39="X"))),(Z39*0.5),0)</f>
        <v>0</v>
      </c>
      <c r="FE39" s="283">
        <f>IF(AND(Stamoplysninger!$B$26="Der er indgået lokalaftale omkring weekendtimer(Kræver aftale med TR/FSL). Weekendtillæg udbetales.",Q39="X"),S39*0.5,0)</f>
        <v>0</v>
      </c>
      <c r="FF39" s="251">
        <f>IF(AND(AND(Stamoplysninger!$B$26="Der er indgået lokalaftale omkring weekendtimer(Kræver aftale med TR/FSL). Weekendtillæg udbetales.",Q39="X",AA39="X")),AD39*0.5,0)</f>
        <v>0</v>
      </c>
      <c r="FG39" s="674">
        <f>IF(AND(AND(Stamoplysninger!$B$26="Der er indgået lokalaftale omkring weekendtimer(Kræver aftale med TR/FSL). Weekendtillæg udbetales.",Q39="X",K39="ikke relevant")),S39*0.5,0)</f>
        <v>0</v>
      </c>
      <c r="FH39" s="675">
        <f>IF(AND(AND(AND(Stamoplysninger!$B$26="Der er indgået lokalaftale omkring weekendtimer(Kræver aftale med TR/FSL). Weekendtillæg udbetales.",Q39="X",K39="ikke relevant",AA39="X"))),(AD39*0.5),0)</f>
        <v>0</v>
      </c>
      <c r="FI39" s="283">
        <f>IF(AND(Stamoplysninger!$B$26="Weekendtimer og weekendtillæg afspadseres.",I39="X"),K39,0)</f>
        <v>0</v>
      </c>
      <c r="FJ39" s="251">
        <f>IF(AND(Stamoplysninger!$B$26="Weekendtimer og weekendtillæg afspadseres.",Y39="X"),(AA39+AL39)/2,0)</f>
        <v>0</v>
      </c>
      <c r="FK39" s="674">
        <f>IF(AND(AND(Stamoplysninger!$B$26="Weekendtimer og weekendtillæg afspadseres.",I39="X",C39="ikke relevant")),K39,0)</f>
        <v>0</v>
      </c>
      <c r="FL39" s="675">
        <f>IF(AND(AND(Stamoplysninger!$B$26="Weekendtimer og weekendtillæg afspadseres.",Y39="X",S39="ikke relevant")),(AA39+AL39)/2,0)</f>
        <v>0</v>
      </c>
      <c r="FM39" s="283">
        <f>IF(AND(Stamoplysninger!$B$26="Der er indgået lokalaftale omkring weekendtillæg(Kræver aftale med TR/FSL). Weekendtimerne afspadseres.",I39="X"),K39,0)</f>
        <v>0</v>
      </c>
      <c r="FN39" s="674">
        <f>IF(AND(AND(Stamoplysninger!$B$26="Der er indgået lokalaftale omkring weekendtillæg(Kræver aftale med TR/FSL). Weekendtimerne afspadseres.",I39="X",C39="ikke relevant")),K39,0)</f>
        <v>0</v>
      </c>
      <c r="FO39" s="283">
        <f>IF(AND(Stamoplysninger!$B$26="Weekendtimer og weekendtillæg udbetales.",I39="X"),K39,0)</f>
        <v>0</v>
      </c>
      <c r="FP39" s="251">
        <f>IF(AND(Stamoplysninger!$B$26="Weekendtimer og weekendtillæg udbetales.",AA39="X"),(AC39+AN39)/2,0)</f>
        <v>0</v>
      </c>
      <c r="FQ39" s="674">
        <f>IF(AND(AND(Stamoplysninger!$B$26="Weekendtimer og weekendtillæg udbetales.",I39="X",C39="ikke relevant")),K39,0)</f>
        <v>0</v>
      </c>
      <c r="FR39" s="688">
        <f>IF(AND(AND(Stamoplysninger!$B$26="Weekendtimer og weekendtillæg udbetales.",AA39="X",U39="ikke relevant")),(AC39+AN39)/2,0)</f>
        <v>0</v>
      </c>
      <c r="FS39" s="283">
        <f>IF(AND(I39="X",S39="X"),V39,0)</f>
        <v>0</v>
      </c>
      <c r="FT39" s="658">
        <f>IF(AND(AND(C39="ikke relevant",I39="X",S39="X")),V39,0)</f>
        <v>0</v>
      </c>
      <c r="FU39">
        <f t="shared" si="32"/>
        <v>0</v>
      </c>
      <c r="FV39" s="283">
        <f>IF(AND(Stamoplysninger!$B$26="Der er indgået lokalaftale omkring weekendtimer.(Kræver aftale med TR/FSL) Weekendtillæg afspadseres.",I39="X"),K39,0)</f>
        <v>0</v>
      </c>
      <c r="FW39" s="674">
        <f>IF(AND(AND(Stamoplysninger!$B$26="Der er indgået lokalaftale omkring weekendtimer.(Kræver aftale med TR/FSL) Weekendtillæg afspadseres.",I39="X",C39="ikke relevant")),K39,0)</f>
        <v>0</v>
      </c>
      <c r="FX39" s="283">
        <f>IF(AND(Stamoplysninger!$B$26="Der er indgået lokalaftale omkring weekendtimer(Kræver aftale med TR/FSL). Weekendtillæg udbetales.",I39="X"),K39,0)</f>
        <v>0</v>
      </c>
      <c r="FY39" s="674">
        <f>IF(AND(AND(Stamoplysninger!$B$26="Der er indgået lokalaftale omkring weekendtimer(Kræver aftale med TR/FSL). Weekendtillæg udbetales.",I39="X",C39="ikke relevant")),K39,0)</f>
        <v>0</v>
      </c>
      <c r="FZ39" s="283">
        <f>IF(AND(Stamoplysninger!$B$26="Der er indgået lokalaftale omkring weekendtillæg(Kræver aftale med TR/FSL). Weekendtimerne udbetales.",I39="X"),K39,0)</f>
        <v>0</v>
      </c>
      <c r="GA39" s="674">
        <f>IF(AND(AND(Stamoplysninger!$B$26="Der er indgået lokalaftale omkring weekendtillæg(Kræver aftale med TR/FSL). Weekendtimerne udbetales.",I39="X",C39="ikke relevant")),K39,0)</f>
        <v>0</v>
      </c>
      <c r="GB39" s="283">
        <f>IF(AND(Stamoplysninger!$B$26="Der er indgået lokalaftale omkring weekendtimer og weekendtillæg.(Kræver aftale med TR/FSL).",I39="X"),K39,0)</f>
        <v>0</v>
      </c>
      <c r="GC39" s="674">
        <f>IF(AND(AND(Stamoplysninger!$B$26="Der er indgået lokalaftale omkring weekendtimer og weekendtillæg.(Kræver aftale med TR/FSL).",I39="X",C39="ikke relevant")),K39,0)</f>
        <v>0</v>
      </c>
    </row>
    <row r="40" spans="1:185" ht="17" thickBot="1">
      <c r="A40" s="245">
        <f>IF(ISNUMBER(A39),A39+1,1)</f>
        <v>31</v>
      </c>
      <c r="B40" s="128" t="str">
        <f t="shared" si="0"/>
        <v>lø</v>
      </c>
      <c r="C40" s="129" t="s">
        <v>120</v>
      </c>
      <c r="D40" s="130" t="str">
        <f t="shared" si="1"/>
        <v/>
      </c>
      <c r="E40" s="949"/>
      <c r="F40" s="950"/>
      <c r="G40" s="951"/>
      <c r="H40" s="297"/>
      <c r="I40" s="413"/>
      <c r="J40" s="413"/>
      <c r="K40" s="380"/>
      <c r="L40" s="380"/>
      <c r="M40" s="380"/>
      <c r="N40" s="318">
        <f t="shared" si="20"/>
        <v>0</v>
      </c>
      <c r="O40" s="318">
        <f t="shared" si="21"/>
        <v>0</v>
      </c>
      <c r="P40" s="318">
        <f>IF(Stamoplysninger!$H$29="JA",August!DG40,CX40)</f>
        <v>0</v>
      </c>
      <c r="Q40" s="318">
        <f t="shared" si="22"/>
        <v>0</v>
      </c>
      <c r="R40" s="412"/>
      <c r="S40" s="324"/>
      <c r="T40" s="325"/>
      <c r="U40" s="214"/>
      <c r="V40" s="435"/>
      <c r="W40" s="412"/>
      <c r="X40" s="643"/>
      <c r="Y40">
        <f t="shared" si="23"/>
        <v>0</v>
      </c>
      <c r="Z40">
        <f t="shared" si="2"/>
        <v>0</v>
      </c>
      <c r="AA40" s="1">
        <f t="shared" si="3"/>
        <v>0</v>
      </c>
      <c r="AB40" s="1">
        <f t="shared" si="4"/>
        <v>0</v>
      </c>
      <c r="AC40" s="1">
        <f t="shared" si="5"/>
        <v>0</v>
      </c>
      <c r="AD40" s="1">
        <f t="shared" si="6"/>
        <v>0</v>
      </c>
      <c r="AE40" s="1">
        <f t="shared" si="7"/>
        <v>0</v>
      </c>
      <c r="AF40" s="1">
        <f>IF(C40="Orlov",Stamoplysninger!$E$15*7.4,0)</f>
        <v>0</v>
      </c>
      <c r="AG40" t="str">
        <f>IF(AND(C40="Skema 1",B40="ma"),Arbejdstidsoversigt!$E$72,"")</f>
        <v/>
      </c>
      <c r="AH40" t="str">
        <f>IF(AND(C40="Skema 1",B40="ti"),Arbejdstidsoversigt!$E$73,"")</f>
        <v/>
      </c>
      <c r="AI40" t="str">
        <f>IF(AND(C40="Skema 1",B40="on"),Arbejdstidsoversigt!$E$74,"")</f>
        <v/>
      </c>
      <c r="AJ40" t="str">
        <f>IF(AND(C40="Skema 1",B40="to"),Arbejdstidsoversigt!$E$75,"")</f>
        <v/>
      </c>
      <c r="AK40" t="str">
        <f>IF(AND(C40="Skema 1",B40="fr"),Arbejdstidsoversigt!$E$76,"")</f>
        <v/>
      </c>
      <c r="AL40" t="str">
        <f>IF(AND(C40="Skema 2",B40="ma"),Arbejdstidsoversigt!$E$81,"")</f>
        <v/>
      </c>
      <c r="AM40" t="str">
        <f>IF(AND(C40="Skema 2",B40="ti"),Arbejdstidsoversigt!$E$82,"")</f>
        <v/>
      </c>
      <c r="AN40" t="str">
        <f>IF(AND(C40="Skema 2",B40="on"),Arbejdstidsoversigt!$E$83,"")</f>
        <v/>
      </c>
      <c r="AO40" t="str">
        <f>IF(AND(C40="Skema 2",B40="to"),Arbejdstidsoversigt!$E$84,"")</f>
        <v/>
      </c>
      <c r="AP40" t="str">
        <f>IF(AND(C40="Skema 2",B40="fr"),Arbejdstidsoversigt!$E$85,"")</f>
        <v/>
      </c>
      <c r="AQ40" t="str">
        <f>IF(AND(C40="Skema 3",B40="ma"),Arbejdstidsoversigt!$E$90,"")</f>
        <v/>
      </c>
      <c r="AR40" t="str">
        <f>IF(AND(C40="Skema 3",B40="ti"),Arbejdstidsoversigt!$E$91,"")</f>
        <v/>
      </c>
      <c r="AS40" t="str">
        <f>IF(AND(C40="Skema 3",B40="on"),Arbejdstidsoversigt!$E$92,"")</f>
        <v/>
      </c>
      <c r="AT40" t="str">
        <f>IF(AND(C40="Skema 3",B40="to"),Arbejdstidsoversigt!$E$93,"")</f>
        <v/>
      </c>
      <c r="AU40" t="str">
        <f>IF(AND(C40="Skema 3",B40="fr"),Arbejdstidsoversigt!$E$94,"")</f>
        <v/>
      </c>
      <c r="AV40" t="str">
        <f>IF(AND(C40="Skema 4",B40="ma"),Arbejdstidsoversigt!$E$99,"")</f>
        <v/>
      </c>
      <c r="AW40" t="str">
        <f>IF(AND(C40="Skema 4",B40="ti"),Arbejdstidsoversigt!$E$100,"")</f>
        <v/>
      </c>
      <c r="AX40" t="str">
        <f>IF(AND(C40="Skema 4",B40="on"),Arbejdstidsoversigt!$E$101,"")</f>
        <v/>
      </c>
      <c r="AY40" t="str">
        <f>IF(AND(C40="Skema 4",B40="to"),Arbejdstidsoversigt!$E$102,"")</f>
        <v/>
      </c>
      <c r="AZ40" t="str">
        <f>IF(AND(C40="Skema 4",B40="fr"),Arbejdstidsoversigt!$E$103,"")</f>
        <v/>
      </c>
      <c r="BA40" s="1">
        <f t="shared" si="8"/>
        <v>0</v>
      </c>
      <c r="BB40" s="229">
        <f t="shared" si="9"/>
        <v>0</v>
      </c>
      <c r="BC40" s="1">
        <f t="shared" si="24"/>
        <v>0</v>
      </c>
      <c r="BD40" s="1">
        <f t="shared" si="10"/>
        <v>0</v>
      </c>
      <c r="BE40" s="1">
        <f t="shared" si="11"/>
        <v>0</v>
      </c>
      <c r="BF40" s="1">
        <f t="shared" si="12"/>
        <v>0</v>
      </c>
      <c r="BG40" s="210" t="str">
        <f>IF(AND(C40="Skema 1",B40="ma"),Skemaoplysninger!$E$30,"")</f>
        <v/>
      </c>
      <c r="BH40" s="210" t="str">
        <f>IF(AND(C40="Skema 1",B40="ti"),Skemaoplysninger!$G$30,"")</f>
        <v/>
      </c>
      <c r="BI40" s="210" t="str">
        <f>IF(AND(C40="Skema 1",B40="on"),Skemaoplysninger!$I$30,"")</f>
        <v/>
      </c>
      <c r="BJ40" s="210" t="str">
        <f>IF(AND(C40="Skema 1",B40="to"),Skemaoplysninger!$K$30,"")</f>
        <v/>
      </c>
      <c r="BK40" s="210" t="str">
        <f>IF(AND(C40="Skema 1",B40="fr"),Skemaoplysninger!$M$30,"")</f>
        <v/>
      </c>
      <c r="BL40" s="210" t="str">
        <f>IF(AND(C40="Skema 2",B40="ma"),Skemaoplysninger!$S$30,"")</f>
        <v/>
      </c>
      <c r="BM40" s="210" t="str">
        <f>IF(AND(C40="Skema 2",B40="ti"),Skemaoplysninger!$U$30,"")</f>
        <v/>
      </c>
      <c r="BN40" s="210" t="str">
        <f>IF(AND(C40="Skema 2",B40="on"),Skemaoplysninger!$W$30,"")</f>
        <v/>
      </c>
      <c r="BO40" s="210" t="str">
        <f>IF(AND(C40="Skema 2",B40="to"),Skemaoplysninger!$Y$30,"")</f>
        <v/>
      </c>
      <c r="BP40" s="210" t="str">
        <f>IF(AND(C40="Skema 2",B40="fr"),Skemaoplysninger!$AA$30,"")</f>
        <v/>
      </c>
      <c r="BQ40" s="210" t="str">
        <f>IF(AND(C40="Skema 3",B40="ma"),Skemaoplysninger!$AG$30,"")</f>
        <v/>
      </c>
      <c r="BR40" s="210" t="str">
        <f>IF(AND(C40="Skema 3",B40="ti"),Skemaoplysninger!$AI$30,"")</f>
        <v/>
      </c>
      <c r="BS40" s="210" t="str">
        <f>IF(AND(C40="Skema 3",B40="on"),Skemaoplysninger!$AK$30,"")</f>
        <v/>
      </c>
      <c r="BT40" s="210" t="str">
        <f>IF(AND(C40="Skema 3",B40="to"),Skemaoplysninger!$AM$30,"")</f>
        <v/>
      </c>
      <c r="BU40" s="210" t="str">
        <f>IF(AND(C40="Skema 3",B40="fr"),Skemaoplysninger!$AO$30,"")</f>
        <v/>
      </c>
      <c r="BV40" s="210" t="str">
        <f>IF(AND(C40="Skema 4",B40="ma"),Skemaoplysninger!$AU$30,"")</f>
        <v/>
      </c>
      <c r="BW40" s="210" t="str">
        <f>IF(AND(C40="Skema 4",B40="ti"),Skemaoplysninger!$AW$30,"")</f>
        <v/>
      </c>
      <c r="BX40" s="210" t="str">
        <f>IF(AND(C40="Skema 4",B40="on"),Skemaoplysninger!$AY$30,"")</f>
        <v/>
      </c>
      <c r="BY40" s="210" t="str">
        <f>IF(AND(C40="Skema 4",B40="to"),Skemaoplysninger!$BA$30,"")</f>
        <v/>
      </c>
      <c r="BZ40" s="210" t="str">
        <f>IF(AND(C40="Skema 4",B40="fr"),Skemaoplysninger!$BC$30,"")</f>
        <v/>
      </c>
      <c r="CA40" s="1">
        <f t="shared" si="25"/>
        <v>0</v>
      </c>
      <c r="CB40" s="1">
        <f t="shared" si="13"/>
        <v>0</v>
      </c>
      <c r="CC40" s="1">
        <f t="shared" si="14"/>
        <v>0</v>
      </c>
      <c r="CD40" s="210" t="str">
        <f>IF(AND(C40="Skema 1",B40="ma"),Skemaoplysninger!$E$31,"")</f>
        <v/>
      </c>
      <c r="CE40" s="210" t="str">
        <f>IF(AND(C40="Skema 1",B40="ti"),Skemaoplysninger!$G$31,"")</f>
        <v/>
      </c>
      <c r="CF40" s="210" t="str">
        <f>IF(AND(C40="Skema 1",B40="on"),Skemaoplysninger!$I$31,"")</f>
        <v/>
      </c>
      <c r="CG40" s="210" t="str">
        <f>IF(AND(C40="Skema 1",B40="to"),Skemaoplysninger!$K$31,"")</f>
        <v/>
      </c>
      <c r="CH40" s="210" t="str">
        <f>IF(AND(C40="Skema 1",B40="fr"),Skemaoplysninger!$M$31,"")</f>
        <v/>
      </c>
      <c r="CI40" s="210" t="str">
        <f>IF(AND(C40="Skema 2",B40="ma"),Skemaoplysninger!$S$31,"")</f>
        <v/>
      </c>
      <c r="CJ40" s="210" t="str">
        <f>IF(AND(C40="Skema 2",B40="ti"),Skemaoplysninger!$U$31,"")</f>
        <v/>
      </c>
      <c r="CK40" s="210" t="str">
        <f>IF(AND(C40="Skema 2",B40="on"),Skemaoplysninger!$W$31,"")</f>
        <v/>
      </c>
      <c r="CL40" s="210" t="str">
        <f>IF(AND(C40="Skema 2",B40="to"),Skemaoplysninger!$Y$31,"")</f>
        <v/>
      </c>
      <c r="CM40" s="210" t="str">
        <f>IF(AND(C40="Skema 2",B40="fr"),Skemaoplysninger!$AA$31,"")</f>
        <v/>
      </c>
      <c r="CN40" s="210" t="str">
        <f>IF(AND(C40="Skema 3",B40="ma"),Skemaoplysninger!$AG$31,"")</f>
        <v/>
      </c>
      <c r="CO40" s="210" t="str">
        <f>IF(AND(C40="Skema 3",B40="ti"),Skemaoplysninger!$AI$31,"")</f>
        <v/>
      </c>
      <c r="CP40" s="210" t="str">
        <f>IF(AND(C40="Skema 3",B40="on"),Skemaoplysninger!$AK$31,"")</f>
        <v/>
      </c>
      <c r="CQ40" s="210" t="str">
        <f>IF(AND(C40="Skema 3",B40="to"),Skemaoplysninger!$AM$31,"")</f>
        <v/>
      </c>
      <c r="CR40" s="210" t="str">
        <f>IF(AND(C40="Skema 3",B40="fr"),Skemaoplysninger!$AO$31,"")</f>
        <v/>
      </c>
      <c r="CS40" s="210" t="str">
        <f>IF(AND(C40="Skema 4",B40="ma"),Skemaoplysninger!$AU$31,"")</f>
        <v/>
      </c>
      <c r="CT40" s="210" t="str">
        <f>IF(AND(C40="Skema 4",B40="ti"),Skemaoplysninger!$AW$31,"")</f>
        <v/>
      </c>
      <c r="CU40" s="210" t="str">
        <f>IF(AND(C40="Skema 4",B40="on"),Skemaoplysninger!$AY$31,"")</f>
        <v/>
      </c>
      <c r="CV40" s="210" t="str">
        <f>IF(AND(C40="Skema 4",B40="to"),Skemaoplysninger!$BA$31,"")</f>
        <v/>
      </c>
      <c r="CW40" s="210" t="str">
        <f>IF(AND(C40="Skema 4",B40="fr"),Skemaoplysninger!$BC$31,"")</f>
        <v/>
      </c>
      <c r="CX40" s="249">
        <f>IF(Stamoplysninger!$H$29="NEJ",SUM(CD40:CW40)*24+CB40+CC40,0)</f>
        <v>0</v>
      </c>
      <c r="CY40" s="249">
        <f>IF(C40="Skema 1",Stamoplysninger!$H$30/200,0)</f>
        <v>0</v>
      </c>
      <c r="CZ40" s="249">
        <f>IF(C40="Skema 2",Stamoplysninger!$H$30/200,0)</f>
        <v>0</v>
      </c>
      <c r="DA40" s="249">
        <f>IF(C40="Skema 3",Stamoplysninger!$H$30/200,0)</f>
        <v>0</v>
      </c>
      <c r="DB40" s="249">
        <f>IF(C40="Skema 4",Stamoplysninger!$H$30/200,0)</f>
        <v>0</v>
      </c>
      <c r="DC40" s="249">
        <f>IF(C40="fagdag",Stamoplysninger!$H$30/200,0)</f>
        <v>0</v>
      </c>
      <c r="DD40" s="249">
        <f>IF(C40="emnedag",Stamoplysninger!$H$30/200,0)</f>
        <v>0</v>
      </c>
      <c r="DE40" s="249">
        <f>IF(C40="lejrskole",Stamoplysninger!$H$30/200,0)</f>
        <v>0</v>
      </c>
      <c r="DF40" s="249">
        <f>IF(C40="ekskursion",Stamoplysninger!$H$30/200,0)</f>
        <v>0</v>
      </c>
      <c r="DG40" s="249">
        <f t="shared" si="26"/>
        <v>0</v>
      </c>
      <c r="DH40" t="str">
        <f t="shared" si="27"/>
        <v/>
      </c>
      <c r="DI40">
        <f t="shared" si="28"/>
        <v>0</v>
      </c>
      <c r="DJ40">
        <f t="shared" si="29"/>
        <v>0</v>
      </c>
      <c r="DK40" t="str">
        <f t="shared" si="15"/>
        <v/>
      </c>
      <c r="DL40" t="str">
        <f t="shared" si="15"/>
        <v/>
      </c>
      <c r="DM40" t="str">
        <f t="shared" si="30"/>
        <v/>
      </c>
      <c r="DN40" t="str">
        <f t="shared" si="31"/>
        <v/>
      </c>
      <c r="DO40" s="652">
        <f>IF(AND(Stamoplysninger!$B$22="Ulempetillæg udbetales med 25% af nettotimelønnen.",H40&gt;0),(R40/4),0)</f>
        <v>0</v>
      </c>
      <c r="DP40">
        <f>IF(AND(Stamoplysninger!$B$22="Ulempetillæg udbetales med 25% af nettotimelønnen.",I40="X"),K40/4,0)</f>
        <v>0</v>
      </c>
      <c r="DQ40">
        <f>IF(AND(Stamoplysninger!$B$22="Ulempetillæg udbetales med 25% af nettotimelønnen.",U40="X"),(X40/4),0)</f>
        <v>0</v>
      </c>
      <c r="DR40">
        <f>IF(AND(AND(Stamoplysninger!$B$22="Ulempetillæg udbetales med 25% af nettotimelønnen.",S40="X",I40="X")),V40/4,0)</f>
        <v>0</v>
      </c>
      <c r="DS40" s="671">
        <f>IF(AND(Stamoplysninger!$B$22="Ulempetillæg udbetales med 25% af nettotimelønnen.",C40="ikke relevant"),(R40)/4,0)</f>
        <v>0</v>
      </c>
      <c r="DT40" s="671">
        <f>IF(AND(AND(Stamoplysninger!$B$22="Ulempetillæg udbetales med 25% af nettotimelønnen.",I40="X",C40="Ikke relevant")),K40/4,0)</f>
        <v>0</v>
      </c>
      <c r="DU40" s="671">
        <f>IF(AND(AND(Stamoplysninger!$B$22="Ulempetillæg udbetales med 25% af nettotimelønnen.",C40="ikke relevant",U40="X")),(X40/4),0)</f>
        <v>0</v>
      </c>
      <c r="DV40" s="672">
        <f>IF(AND(AND(AND(Stamoplysninger!$B$22="Ulempetillæg udbetales med 25% af nettotimelønnen.",I40="X",C40="Ikke relevant",U40="X"))),X40/4,0)</f>
        <v>0</v>
      </c>
      <c r="DW40" s="652"/>
      <c r="DZ40" s="671"/>
      <c r="EA40" s="671"/>
      <c r="EB40" s="672"/>
      <c r="EC40" s="652">
        <f>IF(Stamoplysninger!$B$22="Ulempetillæg afspadseres med 25%(Kræver en aftale imellem ledelsen og den ansatte)",(R40+X40)/4,0)</f>
        <v>0</v>
      </c>
      <c r="ED40">
        <f>IF(AND(Stamoplysninger!$B$22="Ulempetillæg afspadseres med 25%(Kræver en aftale imellem ledelsen og den ansatte)",I40="X"),K40/4,0)</f>
        <v>0</v>
      </c>
      <c r="EE40">
        <f>IF(AND(Stamoplysninger!$B$22="Ulempetillæg afspadseres med 25%(Kræver en aftale imellem ledelsen og den ansatte)",I40="X"),V40/4,0)</f>
        <v>0</v>
      </c>
      <c r="EF40">
        <f>IF(AND(AND(Stamoplysninger!$B$22="Ulempetillæg udbetales med 25% af nettotimelønnen.",AG40="X",W40="X")),AJ40/4,0)</f>
        <v>0</v>
      </c>
      <c r="EG40" s="671">
        <f>IF(AND(Stamoplysninger!$B$22="Ulempetillæg afspadseres med 25%(Kræver en aftale imellem ledelsen og den ansatte)",C40="ikke relevant"),(R40+X40)/4,0)</f>
        <v>0</v>
      </c>
      <c r="EH40" s="671">
        <f>IF(AND(AND(Stamoplysninger!$B$22="Ulempetillæg afspadseres med 25%(Kræver en aftale imellem ledelsen og den ansatte)",I40="X",C40="Ikke relevant")),K40/4,0)</f>
        <v>0</v>
      </c>
      <c r="EI40" s="671">
        <f>IF(AND(AND(Stamoplysninger!$B$22="Ulempetillæg afspadseres med 25%(Kræver en aftale imellem ledelsen og den ansatte)",I40="X",C40="Ikke relevant")),V40/4,0)</f>
        <v>0</v>
      </c>
      <c r="EJ40" s="671">
        <f>IF(AND(AND(Stamoplysninger!$B$22="Ulempetillæg afspadseres med 25%(Kræver en aftale imellem ledelsen og den ansatte)",J40="X",D40="Ikke relevant")),W40/4,0)</f>
        <v>0</v>
      </c>
      <c r="EK40" s="283">
        <f>IF(AND(Stamoplysninger!$B$26="Weekendtimer og weekendtillæg afspadseres.",I40="X"),K40+V40,0)</f>
        <v>0</v>
      </c>
      <c r="EL40" s="251">
        <f>IF(AND(Stamoplysninger!$B$26="Weekendtimer og weekendtillæg afspadseres.",J40="X"),(L40+W40)/2,0)</f>
        <v>0</v>
      </c>
      <c r="EM40" s="674">
        <f>IF(AND(AND(Stamoplysninger!$B$26="Weekendtimer og weekendtillæg afspadseres.",I40="X",C40="ikke relevant")),K40+V40,0)</f>
        <v>0</v>
      </c>
      <c r="EN40" s="675">
        <f>IF(AND(AND(Stamoplysninger!$B$26="Weekendtimer og weekendtillæg afspadseres.",I40="X",C40="ikke relevant")),(K40+V40)/2,0)</f>
        <v>0</v>
      </c>
      <c r="EO40" s="283">
        <f>IF(AND(Stamoplysninger!$B$26="Weekendtimer og weekendtillæg udbetales.",I40="X"),K40+V40,0)</f>
        <v>0</v>
      </c>
      <c r="EP40" s="251">
        <f>IF(AND(Stamoplysninger!$B$26="Weekendtimer og weekendtillæg udbetales.",I40="X"),(K40+V40)/2,0)</f>
        <v>0</v>
      </c>
      <c r="EQ40" s="674">
        <f>IF(AND(AND(Stamoplysninger!$B$26="Weekendtimer og weekendtillæg udbetales.",I40="X",C40="ikke relevant")),K40+V40,0)</f>
        <v>0</v>
      </c>
      <c r="ER40" s="675">
        <f>IF(AND(AND(Stamoplysninger!$B$26="Weekendtimer og weekendtillæg udbetales.",I40="X",C40="ikke relevant")),(K40+V40)/2,0)</f>
        <v>0</v>
      </c>
      <c r="ES40" s="283">
        <f>IF(AND(Stamoplysninger!$B$26="Weekendtimer og weekendtillæg udbetales.",M40="X"),O40+Z40,0)</f>
        <v>0</v>
      </c>
      <c r="ET40" s="251">
        <f>IF(AND(Stamoplysninger!$B$26="Weekendtimer og weekendtillæg udbetales.",M40="X"),(O40+Z40)/2,0)</f>
        <v>0</v>
      </c>
      <c r="EU40" s="674">
        <f>IF(AND(AND(Stamoplysninger!$B$26="Weekendtimer og weekendtillæg udbetales.",M40="X",G40="ikke relevant")),O40+Z40,0)</f>
        <v>0</v>
      </c>
      <c r="EV40" s="675">
        <f>IF(AND(AND(Stamoplysninger!$B$26="Weekendtimer og weekendtillæg udbetales.",M40="X",G40="ikke relevant")),(O40+Z40)/2,0)</f>
        <v>0</v>
      </c>
      <c r="EW40" s="283">
        <f>IF(AND(Stamoplysninger!$B$26="Der er indgået lokalaftale omkring weekendtimer(Kræver aftale med TR/FSL). Weekendtillæg udbetales.",I40="X"),K40*0.5,0)</f>
        <v>0</v>
      </c>
      <c r="EX40" s="251">
        <f>IF(AND(AND(Stamoplysninger!$B$26="Der er indgået lokalaftale omkring weekendtimer(Kræver aftale med TR/FSL). Weekendtillæg udbetales.",I40="X",S40="X")),V40*0.5,0)</f>
        <v>0</v>
      </c>
      <c r="EY40" s="674">
        <f>IF(AND(AND(Stamoplysninger!$B$26="Der er indgået lokalaftale omkring weekendtimer(Kræver aftale med TR/FSL). Weekendtillæg udbetales.",I40="X",C40="ikke relevant")),K40*0.5,0)</f>
        <v>0</v>
      </c>
      <c r="EZ40" s="675">
        <f>IF(AND(AND(AND(Stamoplysninger!$B$26="Der er indgået lokalaftale omkring weekendtimer(Kræver aftale med TR/FSL). Weekendtillæg udbetales.",I40="X",C40="ikke relevant",S40="X"))),(V40*0.5),0)</f>
        <v>0</v>
      </c>
      <c r="FA40" s="283">
        <f>IF(AND(Stamoplysninger!$B$26="Der er indgået lokalaftale omkring weekendtimer(Kræver aftale med TR/FSL). Weekendtillæg udbetales.",M40="X"),O40*0.5,0)</f>
        <v>0</v>
      </c>
      <c r="FB40" s="251">
        <f>IF(AND(AND(Stamoplysninger!$B$26="Der er indgået lokalaftale omkring weekendtimer(Kræver aftale med TR/FSL). Weekendtillæg udbetales.",M40="X",W40="X")),Z40*0.5,0)</f>
        <v>0</v>
      </c>
      <c r="FC40" s="674">
        <f>IF(AND(AND(Stamoplysninger!$B$26="Der er indgået lokalaftale omkring weekendtimer(Kræver aftale med TR/FSL). Weekendtillæg udbetales.",M40="X",G40="ikke relevant")),O40*0.5,0)</f>
        <v>0</v>
      </c>
      <c r="FD40" s="675">
        <f>IF(AND(AND(AND(Stamoplysninger!$B$26="Der er indgået lokalaftale omkring weekendtimer(Kræver aftale med TR/FSL). Weekendtillæg udbetales.",M40="X",G40="ikke relevant",W40="X"))),(Z40*0.5),0)</f>
        <v>0</v>
      </c>
      <c r="FE40" s="283">
        <f>IF(AND(Stamoplysninger!$B$26="Der er indgået lokalaftale omkring weekendtimer(Kræver aftale med TR/FSL). Weekendtillæg udbetales.",Q40="X"),S40*0.5,0)</f>
        <v>0</v>
      </c>
      <c r="FF40" s="251">
        <f>IF(AND(AND(Stamoplysninger!$B$26="Der er indgået lokalaftale omkring weekendtimer(Kræver aftale med TR/FSL). Weekendtillæg udbetales.",Q40="X",AA40="X")),AD40*0.5,0)</f>
        <v>0</v>
      </c>
      <c r="FG40" s="674">
        <f>IF(AND(AND(Stamoplysninger!$B$26="Der er indgået lokalaftale omkring weekendtimer(Kræver aftale med TR/FSL). Weekendtillæg udbetales.",Q40="X",K40="ikke relevant")),S40*0.5,0)</f>
        <v>0</v>
      </c>
      <c r="FH40" s="675">
        <f>IF(AND(AND(AND(Stamoplysninger!$B$26="Der er indgået lokalaftale omkring weekendtimer(Kræver aftale med TR/FSL). Weekendtillæg udbetales.",Q40="X",K40="ikke relevant",AA40="X"))),(AD40*0.5),0)</f>
        <v>0</v>
      </c>
      <c r="FI40" s="283">
        <f>IF(AND(Stamoplysninger!$B$26="Weekendtimer og weekendtillæg afspadseres.",I40="X"),K40,0)</f>
        <v>0</v>
      </c>
      <c r="FJ40" s="251">
        <f>IF(AND(Stamoplysninger!$B$26="Weekendtimer og weekendtillæg afspadseres.",Y40="X"),(AA40+AL40)/2,0)</f>
        <v>0</v>
      </c>
      <c r="FK40" s="674">
        <f>IF(AND(AND(Stamoplysninger!$B$26="Weekendtimer og weekendtillæg afspadseres.",I40="X",C40="ikke relevant")),K40,0)</f>
        <v>0</v>
      </c>
      <c r="FL40" s="675">
        <f>IF(AND(AND(Stamoplysninger!$B$26="Weekendtimer og weekendtillæg afspadseres.",Y40="X",S40="ikke relevant")),(AA40+AL40)/2,0)</f>
        <v>0</v>
      </c>
      <c r="FM40" s="283">
        <f>IF(AND(Stamoplysninger!$B$26="Der er indgået lokalaftale omkring weekendtillæg(Kræver aftale med TR/FSL). Weekendtimerne afspadseres.",I40="X"),K40,0)</f>
        <v>0</v>
      </c>
      <c r="FN40" s="674">
        <f>IF(AND(AND(Stamoplysninger!$B$26="Der er indgået lokalaftale omkring weekendtillæg(Kræver aftale med TR/FSL). Weekendtimerne afspadseres.",I40="X",C40="ikke relevant")),K40,0)</f>
        <v>0</v>
      </c>
      <c r="FO40" s="283">
        <f>IF(AND(Stamoplysninger!$B$26="Weekendtimer og weekendtillæg udbetales.",I40="X"),K40,0)</f>
        <v>0</v>
      </c>
      <c r="FP40" s="251">
        <f>IF(AND(Stamoplysninger!$B$26="Weekendtimer og weekendtillæg udbetales.",AA40="X"),(AC40+AN40)/2,0)</f>
        <v>0</v>
      </c>
      <c r="FQ40" s="674">
        <f>IF(AND(AND(Stamoplysninger!$B$26="Weekendtimer og weekendtillæg udbetales.",I40="X",C40="ikke relevant")),K40,0)</f>
        <v>0</v>
      </c>
      <c r="FR40" s="688">
        <f>IF(AND(AND(Stamoplysninger!$B$26="Weekendtimer og weekendtillæg udbetales.",AA40="X",U40="ikke relevant")),(AC40+AN40)/2,0)</f>
        <v>0</v>
      </c>
      <c r="FS40" s="283">
        <f>IF(AND(I40="X",S40="X"),V40,0)</f>
        <v>0</v>
      </c>
      <c r="FT40" s="658">
        <f>IF(AND(AND(C40="ikke relevant",I40="X",S40="X")),V40,0)</f>
        <v>0</v>
      </c>
      <c r="FU40">
        <f t="shared" si="32"/>
        <v>0</v>
      </c>
      <c r="FV40" s="283">
        <f>IF(AND(Stamoplysninger!$B$26="Der er indgået lokalaftale omkring weekendtimer.(Kræver aftale med TR/FSL) Weekendtillæg afspadseres.",I40="X"),K40,0)</f>
        <v>0</v>
      </c>
      <c r="FW40" s="674">
        <f>IF(AND(AND(Stamoplysninger!$B$26="Der er indgået lokalaftale omkring weekendtimer.(Kræver aftale med TR/FSL) Weekendtillæg afspadseres.",I40="X",C40="ikke relevant")),K40,0)</f>
        <v>0</v>
      </c>
      <c r="FX40" s="283">
        <f>IF(AND(Stamoplysninger!$B$26="Der er indgået lokalaftale omkring weekendtimer(Kræver aftale med TR/FSL). Weekendtillæg udbetales.",I40="X"),K40,0)</f>
        <v>0</v>
      </c>
      <c r="FY40" s="674">
        <f>IF(AND(AND(Stamoplysninger!$B$26="Der er indgået lokalaftale omkring weekendtimer(Kræver aftale med TR/FSL). Weekendtillæg udbetales.",I40="X",C40="ikke relevant")),K40,0)</f>
        <v>0</v>
      </c>
      <c r="FZ40" s="283">
        <f>IF(AND(Stamoplysninger!$B$26="Der er indgået lokalaftale omkring weekendtillæg(Kræver aftale med TR/FSL). Weekendtimerne udbetales.",I40="X"),K40,0)</f>
        <v>0</v>
      </c>
      <c r="GA40" s="674">
        <f>IF(AND(AND(Stamoplysninger!$B$26="Der er indgået lokalaftale omkring weekendtillæg(Kræver aftale med TR/FSL). Weekendtimerne udbetales.",I40="X",C40="ikke relevant")),K40,0)</f>
        <v>0</v>
      </c>
      <c r="GB40" s="283">
        <f>IF(AND(Stamoplysninger!$B$26="Der er indgået lokalaftale omkring weekendtimer og weekendtillæg.(Kræver aftale med TR/FSL).",I40="X"),K40,0)</f>
        <v>0</v>
      </c>
      <c r="GC40" s="674">
        <f>IF(AND(AND(Stamoplysninger!$B$26="Der er indgået lokalaftale omkring weekendtimer og weekendtillæg.(Kræver aftale med TR/FSL).",I40="X",C40="ikke relevant")),K40,0)</f>
        <v>0</v>
      </c>
    </row>
    <row r="41" spans="1:185" ht="17" thickBot="1">
      <c r="A41" s="972" t="s">
        <v>260</v>
      </c>
      <c r="B41" s="973"/>
      <c r="C41" s="973"/>
      <c r="D41" s="973"/>
      <c r="E41" s="973"/>
      <c r="F41" s="973"/>
      <c r="G41" s="973"/>
      <c r="H41" s="973"/>
      <c r="I41" s="974"/>
      <c r="J41" s="313"/>
      <c r="K41" s="322"/>
      <c r="L41" s="322"/>
      <c r="M41" s="322"/>
      <c r="N41" s="322">
        <f>SUM(N10:N40)</f>
        <v>129.75</v>
      </c>
      <c r="O41" s="322">
        <f>SUM(O10:O40)</f>
        <v>56.833333333333336</v>
      </c>
      <c r="P41" s="322">
        <f>SUM(P10:P40)</f>
        <v>18.666666666666664</v>
      </c>
      <c r="Q41" s="322">
        <f>SUM(Q10:Q40)</f>
        <v>54.25</v>
      </c>
      <c r="R41" s="336">
        <f>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f>
        <v>4</v>
      </c>
      <c r="S41" s="432"/>
      <c r="T41" s="433"/>
      <c r="U41" s="433"/>
      <c r="V41" s="433">
        <f>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IF(S40="x",V40,0)</f>
        <v>0</v>
      </c>
      <c r="W41" s="433">
        <f>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f>
        <v>0</v>
      </c>
      <c r="X41" s="434">
        <f>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f>
        <v>0</v>
      </c>
      <c r="Y41" s="211">
        <f>SUM(Y10:Y40)</f>
        <v>0</v>
      </c>
      <c r="Z41" s="398">
        <f>Z10+Z11+Z12+Z13+Z14+Z15+Z16+Z17+Z18+Z19+Z20+Z21+Z22+Z23+Z24+Z25+Z26+Z27+Z28+Z29+Z30+Z31+Z32+Z33+Z34+Z35+Z36+Z37+Z38+Z39+Z40</f>
        <v>0</v>
      </c>
      <c r="AA41" s="235">
        <f t="shared" ref="AA41:AF41" si="33">SUM(AA10:AA40)</f>
        <v>4</v>
      </c>
      <c r="AB41" s="235">
        <f t="shared" si="33"/>
        <v>0</v>
      </c>
      <c r="AC41" s="235">
        <f t="shared" si="33"/>
        <v>18</v>
      </c>
      <c r="AD41" s="235">
        <f t="shared" si="33"/>
        <v>0</v>
      </c>
      <c r="AE41" s="235">
        <f t="shared" si="33"/>
        <v>0</v>
      </c>
      <c r="AF41" s="235">
        <f t="shared" si="33"/>
        <v>0</v>
      </c>
      <c r="BA41" s="1">
        <f>SUM(BA10:BA40)</f>
        <v>129.75</v>
      </c>
      <c r="BB41" s="112"/>
      <c r="BC41" s="235">
        <f>SUM(BC10:BC40)</f>
        <v>0</v>
      </c>
      <c r="BD41" s="235">
        <f>SUM(BD10:BD40)</f>
        <v>0</v>
      </c>
      <c r="BE41" s="235">
        <f>SUM(BE10:BE40)</f>
        <v>0</v>
      </c>
      <c r="BF41" s="235">
        <f>SUM(BF10:BF40)</f>
        <v>2.5</v>
      </c>
      <c r="CA41" s="235">
        <f>SUM(CA10:CA40)</f>
        <v>56.833333333333336</v>
      </c>
      <c r="CB41" s="235">
        <f>SUM(CB10:CB40)</f>
        <v>0</v>
      </c>
      <c r="CC41" s="235">
        <f>SUM(CC10:CC40)</f>
        <v>1.5</v>
      </c>
      <c r="CX41" s="249"/>
      <c r="CY41" s="249">
        <f t="shared" ref="CY41:DG41" si="34">SUM(CY10:CY40)</f>
        <v>0</v>
      </c>
      <c r="CZ41" s="249">
        <f t="shared" si="34"/>
        <v>0</v>
      </c>
      <c r="DA41" s="249">
        <f t="shared" si="34"/>
        <v>0</v>
      </c>
      <c r="DB41" s="249">
        <f t="shared" si="34"/>
        <v>0</v>
      </c>
      <c r="DC41" s="249">
        <f t="shared" si="34"/>
        <v>0</v>
      </c>
      <c r="DD41" s="249">
        <f t="shared" si="34"/>
        <v>0</v>
      </c>
      <c r="DE41" s="249">
        <f t="shared" si="34"/>
        <v>0</v>
      </c>
      <c r="DF41" s="249">
        <f t="shared" si="34"/>
        <v>0</v>
      </c>
      <c r="DG41" s="249">
        <f t="shared" si="34"/>
        <v>0</v>
      </c>
      <c r="DL41" t="str">
        <f t="shared" si="15"/>
        <v/>
      </c>
      <c r="DM41" t="str">
        <f t="shared" si="30"/>
        <v/>
      </c>
      <c r="DN41" t="str">
        <f>DK41&amp;" "&amp;DL41&amp;" "&amp;DM41</f>
        <v xml:space="preserve">  </v>
      </c>
      <c r="DO41" s="669">
        <f>SUM(DO10:DO40)</f>
        <v>1</v>
      </c>
      <c r="DP41" s="670">
        <f t="shared" ref="DP41:GC41" si="35">SUM(DP10:DP40)</f>
        <v>0</v>
      </c>
      <c r="DQ41" s="670">
        <f t="shared" si="35"/>
        <v>0</v>
      </c>
      <c r="DR41" s="670">
        <f t="shared" si="35"/>
        <v>0</v>
      </c>
      <c r="DS41" s="673">
        <f t="shared" si="35"/>
        <v>0</v>
      </c>
      <c r="DT41" s="673">
        <f t="shared" si="35"/>
        <v>0</v>
      </c>
      <c r="DU41" s="670">
        <f t="shared" si="35"/>
        <v>0</v>
      </c>
      <c r="DV41" s="673">
        <f t="shared" si="35"/>
        <v>0</v>
      </c>
      <c r="DW41" s="669">
        <f t="shared" ref="DW41:EB41" si="36">SUM(DW10:DW40)</f>
        <v>0</v>
      </c>
      <c r="DX41" s="670">
        <f t="shared" si="36"/>
        <v>0</v>
      </c>
      <c r="DY41" s="670">
        <f t="shared" si="36"/>
        <v>0</v>
      </c>
      <c r="DZ41" s="673">
        <f t="shared" si="36"/>
        <v>0</v>
      </c>
      <c r="EA41" s="673">
        <f t="shared" si="36"/>
        <v>0</v>
      </c>
      <c r="EB41" s="673">
        <f t="shared" si="36"/>
        <v>0</v>
      </c>
      <c r="EC41" s="670">
        <f t="shared" si="35"/>
        <v>0</v>
      </c>
      <c r="ED41" s="670">
        <f t="shared" si="35"/>
        <v>0</v>
      </c>
      <c r="EE41" s="670">
        <f t="shared" si="35"/>
        <v>0</v>
      </c>
      <c r="EF41" s="670">
        <f t="shared" si="35"/>
        <v>0</v>
      </c>
      <c r="EG41" s="673">
        <f t="shared" si="35"/>
        <v>0</v>
      </c>
      <c r="EH41" s="673">
        <f t="shared" si="35"/>
        <v>0</v>
      </c>
      <c r="EI41" s="673">
        <f t="shared" si="35"/>
        <v>0</v>
      </c>
      <c r="EJ41" s="673">
        <f t="shared" si="35"/>
        <v>0</v>
      </c>
      <c r="EK41" s="670">
        <f t="shared" si="35"/>
        <v>0</v>
      </c>
      <c r="EL41" s="670">
        <f t="shared" si="35"/>
        <v>0</v>
      </c>
      <c r="EM41" s="673">
        <f t="shared" si="35"/>
        <v>0</v>
      </c>
      <c r="EN41" s="673">
        <f t="shared" si="35"/>
        <v>0</v>
      </c>
      <c r="EO41" s="670">
        <f t="shared" si="35"/>
        <v>0</v>
      </c>
      <c r="EP41" s="670">
        <f t="shared" si="35"/>
        <v>0</v>
      </c>
      <c r="EQ41" s="673">
        <f t="shared" si="35"/>
        <v>0</v>
      </c>
      <c r="ER41" s="676">
        <f t="shared" si="35"/>
        <v>0</v>
      </c>
      <c r="ES41" s="670">
        <f t="shared" si="35"/>
        <v>0</v>
      </c>
      <c r="ET41" s="670">
        <f t="shared" si="35"/>
        <v>0</v>
      </c>
      <c r="EU41" s="673">
        <f t="shared" si="35"/>
        <v>0</v>
      </c>
      <c r="EV41" s="676">
        <f t="shared" si="35"/>
        <v>0</v>
      </c>
      <c r="EW41" s="670">
        <f t="shared" si="35"/>
        <v>0</v>
      </c>
      <c r="EX41" s="670">
        <f t="shared" si="35"/>
        <v>0</v>
      </c>
      <c r="EY41" s="673">
        <f t="shared" si="35"/>
        <v>0</v>
      </c>
      <c r="EZ41" s="676">
        <f t="shared" si="35"/>
        <v>0</v>
      </c>
      <c r="FA41" s="670">
        <f t="shared" si="35"/>
        <v>0</v>
      </c>
      <c r="FB41" s="670">
        <f t="shared" si="35"/>
        <v>0</v>
      </c>
      <c r="FC41" s="673">
        <f t="shared" si="35"/>
        <v>0</v>
      </c>
      <c r="FD41" s="676">
        <f t="shared" si="35"/>
        <v>0</v>
      </c>
      <c r="FE41" s="670">
        <f t="shared" si="35"/>
        <v>0</v>
      </c>
      <c r="FF41" s="670">
        <f t="shared" si="35"/>
        <v>0</v>
      </c>
      <c r="FG41" s="673">
        <f t="shared" si="35"/>
        <v>0</v>
      </c>
      <c r="FH41" s="676">
        <f t="shared" si="35"/>
        <v>0</v>
      </c>
      <c r="FI41" s="685">
        <f t="shared" si="35"/>
        <v>0</v>
      </c>
      <c r="FJ41" s="670">
        <f t="shared" si="35"/>
        <v>0</v>
      </c>
      <c r="FK41" s="685">
        <f t="shared" si="35"/>
        <v>0</v>
      </c>
      <c r="FL41" s="673">
        <f t="shared" si="35"/>
        <v>0</v>
      </c>
      <c r="FM41" s="685">
        <f t="shared" si="35"/>
        <v>0</v>
      </c>
      <c r="FN41" s="685">
        <f t="shared" si="35"/>
        <v>0</v>
      </c>
      <c r="FO41" s="685">
        <f t="shared" si="35"/>
        <v>0</v>
      </c>
      <c r="FP41" s="670">
        <f t="shared" si="35"/>
        <v>0</v>
      </c>
      <c r="FQ41" s="685">
        <f t="shared" si="35"/>
        <v>0</v>
      </c>
      <c r="FR41" s="676">
        <f t="shared" si="35"/>
        <v>0</v>
      </c>
      <c r="FS41" s="689">
        <f t="shared" si="35"/>
        <v>0</v>
      </c>
      <c r="FT41" s="690">
        <f t="shared" si="35"/>
        <v>0</v>
      </c>
      <c r="FU41" s="690">
        <f t="shared" si="35"/>
        <v>0</v>
      </c>
      <c r="FV41" s="689">
        <f>SUM(FV10:FV40)</f>
        <v>0</v>
      </c>
      <c r="FW41" s="690">
        <f t="shared" si="35"/>
        <v>0</v>
      </c>
      <c r="FX41" s="689">
        <f t="shared" si="35"/>
        <v>0</v>
      </c>
      <c r="FY41" s="690">
        <f t="shared" si="35"/>
        <v>0</v>
      </c>
      <c r="FZ41" s="685">
        <f t="shared" si="35"/>
        <v>0</v>
      </c>
      <c r="GA41" s="685">
        <f t="shared" si="35"/>
        <v>0</v>
      </c>
      <c r="GB41" s="685">
        <f t="shared" si="35"/>
        <v>0</v>
      </c>
      <c r="GC41" s="685">
        <f t="shared" si="35"/>
        <v>0</v>
      </c>
    </row>
    <row r="42" spans="1:185" ht="17" thickBot="1">
      <c r="A42" s="232"/>
      <c r="B42" s="232"/>
      <c r="C42" s="232"/>
      <c r="D42" s="232"/>
      <c r="E42" s="232"/>
      <c r="F42" s="232"/>
      <c r="G42" s="232"/>
      <c r="H42" s="232"/>
      <c r="I42" s="232"/>
      <c r="J42" s="232"/>
      <c r="K42" s="239"/>
      <c r="L42" s="239"/>
      <c r="M42" s="239"/>
      <c r="N42" s="239"/>
      <c r="O42" s="239"/>
      <c r="P42" s="239"/>
      <c r="Q42" s="239"/>
      <c r="R42" s="239"/>
      <c r="S42" s="239"/>
      <c r="T42" s="239"/>
      <c r="U42" s="239"/>
      <c r="V42" s="239"/>
      <c r="W42" s="239"/>
      <c r="X42" s="442"/>
      <c r="Y42" s="247"/>
      <c r="Z42" s="211"/>
      <c r="AA42" s="235"/>
      <c r="AB42" s="211"/>
      <c r="AC42" s="211"/>
      <c r="AD42" s="235"/>
      <c r="AE42" s="235"/>
      <c r="AF42" s="235"/>
      <c r="AG42" s="235"/>
      <c r="BC42" s="235"/>
      <c r="BD42" s="235"/>
      <c r="BE42" s="235"/>
      <c r="BF42" s="235"/>
      <c r="BG42" s="112"/>
      <c r="CB42" s="235"/>
      <c r="CC42" s="235"/>
      <c r="CD42" s="112"/>
      <c r="CX42" s="248"/>
      <c r="CZ42"/>
    </row>
    <row r="43" spans="1:185" ht="70" customHeight="1">
      <c r="A43" s="958" t="str">
        <f>"Arbejdstid for "&amp;A8&amp;" måned:"</f>
        <v>Arbejdstid for August måned:</v>
      </c>
      <c r="B43" s="959"/>
      <c r="C43" s="959"/>
      <c r="D43" s="959"/>
      <c r="E43" s="959"/>
      <c r="F43" s="959"/>
      <c r="G43" s="959"/>
      <c r="H43" s="330" t="s">
        <v>255</v>
      </c>
      <c r="I43" s="959" t="s">
        <v>221</v>
      </c>
      <c r="J43" s="960"/>
      <c r="K43" s="961"/>
      <c r="L43" s="262"/>
      <c r="M43" s="1011" t="str">
        <f>"Ulempetimer og weekendtimer i "&amp;A6&amp;""</f>
        <v>Ulempetimer og weekendtimer i August måneds kalender for: Beate Simonsen. Måneden vedr. normperioden: 01.08.2024 - 31.07.2025.</v>
      </c>
      <c r="N43" s="989"/>
      <c r="O43" s="989"/>
      <c r="P43" s="989"/>
      <c r="Q43" s="989"/>
      <c r="R43" s="989"/>
      <c r="S43" s="989"/>
      <c r="T43" s="989"/>
      <c r="U43" s="989"/>
      <c r="V43" s="989"/>
      <c r="W43" s="989"/>
      <c r="X43" s="990"/>
      <c r="Y43" s="213"/>
      <c r="Z43" s="239"/>
      <c r="AA43" s="239"/>
      <c r="AB43" s="239"/>
      <c r="AG43" s="90"/>
      <c r="AH43" s="90"/>
      <c r="BO43" s="1"/>
      <c r="CL43" s="1"/>
      <c r="CW43" s="248"/>
      <c r="CX43" s="248"/>
      <c r="CY43"/>
      <c r="CZ43"/>
    </row>
    <row r="44" spans="1:185">
      <c r="A44" s="962" t="s">
        <v>534</v>
      </c>
      <c r="B44" s="963"/>
      <c r="C44" s="963"/>
      <c r="D44" s="963"/>
      <c r="E44" s="963"/>
      <c r="F44" s="963"/>
      <c r="G44" s="963"/>
      <c r="H44" s="256">
        <f>D78</f>
        <v>22</v>
      </c>
      <c r="I44" s="975">
        <f>IF(Stamoplysninger!$E$12="Ja",1924/Arbejdstidsoversigt!$K$9*Stamoplysninger!$E$15*$H$44,August!$H$44*7.4*Stamoplysninger!$E$15)</f>
        <v>162.17624521072798</v>
      </c>
      <c r="J44" s="976"/>
      <c r="K44" s="977"/>
      <c r="L44" s="258"/>
      <c r="M44" s="1012" t="s">
        <v>497</v>
      </c>
      <c r="N44" s="1013"/>
      <c r="O44" s="1013"/>
      <c r="P44" s="1013"/>
      <c r="Q44" s="1013"/>
      <c r="R44" s="1013"/>
      <c r="S44" s="1013"/>
      <c r="T44" s="1013"/>
      <c r="U44" s="1014"/>
      <c r="V44" s="1015">
        <f>P65+P69+P72+P74</f>
        <v>1</v>
      </c>
      <c r="W44" s="1016"/>
      <c r="X44" s="1017"/>
      <c r="Y44" s="239"/>
      <c r="Z44" s="239"/>
      <c r="AA44" s="239"/>
      <c r="AB44" s="239"/>
      <c r="AG44" s="90"/>
      <c r="AH44" s="90"/>
      <c r="BO44" s="1"/>
      <c r="CL44" s="1"/>
      <c r="CW44" s="248"/>
      <c r="CX44" s="248"/>
      <c r="CY44"/>
      <c r="CZ44"/>
    </row>
    <row r="45" spans="1:185">
      <c r="A45" s="962" t="str">
        <f>"Ferie "&amp;A8&amp;" måned"</f>
        <v>Ferie August måned</v>
      </c>
      <c r="B45" s="963"/>
      <c r="C45" s="963"/>
      <c r="D45" s="963"/>
      <c r="E45" s="963"/>
      <c r="F45" s="963"/>
      <c r="G45" s="963"/>
      <c r="H45" s="257">
        <f>IF(D73&gt;0,$D$73,"0")</f>
        <v>2</v>
      </c>
      <c r="I45" s="964">
        <f>H45*7.4*Stamoplysninger!$E$15</f>
        <v>14.8</v>
      </c>
      <c r="J45" s="965"/>
      <c r="K45" s="966"/>
      <c r="L45" s="258"/>
      <c r="M45" s="1018" t="s">
        <v>259</v>
      </c>
      <c r="N45" s="1019"/>
      <c r="O45" s="1019"/>
      <c r="P45" s="1019"/>
      <c r="Q45" s="1019"/>
      <c r="R45" s="1019"/>
      <c r="S45" s="1019"/>
      <c r="T45" s="1019"/>
      <c r="U45" s="1020"/>
      <c r="V45" s="1021">
        <f>Q66+Q68+Q71+Q73</f>
        <v>0</v>
      </c>
      <c r="W45" s="1022"/>
      <c r="X45" s="1023"/>
      <c r="Y45" s="239"/>
      <c r="Z45" s="239"/>
      <c r="AA45" s="239"/>
      <c r="AB45" s="239"/>
      <c r="AG45" s="90"/>
      <c r="AH45" s="90"/>
      <c r="BO45" s="1"/>
      <c r="CL45" s="1"/>
      <c r="CW45" s="248"/>
      <c r="CX45" s="248"/>
      <c r="CY45"/>
      <c r="CZ45"/>
    </row>
    <row r="46" spans="1:185">
      <c r="A46" s="962" t="str">
        <f>"Søgnehelligdage i "&amp;A8&amp;" måned"</f>
        <v>Søgnehelligdage i August måned</v>
      </c>
      <c r="B46" s="963"/>
      <c r="C46" s="963"/>
      <c r="D46" s="963"/>
      <c r="E46" s="963"/>
      <c r="F46" s="963"/>
      <c r="G46" s="963"/>
      <c r="H46" s="257">
        <f>IF(D72&gt;0,D72,0)</f>
        <v>0</v>
      </c>
      <c r="I46" s="964">
        <f>H46*7.4*Stamoplysninger!$E$15</f>
        <v>0</v>
      </c>
      <c r="J46" s="965"/>
      <c r="K46" s="966"/>
      <c r="L46" s="387"/>
      <c r="M46" s="1024" t="s">
        <v>449</v>
      </c>
      <c r="N46" s="1025"/>
      <c r="O46" s="1025"/>
      <c r="P46" s="1025"/>
      <c r="Q46" s="1025"/>
      <c r="R46" s="1025"/>
      <c r="S46" s="1025"/>
      <c r="T46" s="1025"/>
      <c r="U46" s="1025"/>
      <c r="V46" s="991"/>
      <c r="W46" s="991"/>
      <c r="X46" s="992"/>
      <c r="Y46" s="239"/>
      <c r="Z46" s="239"/>
      <c r="AA46" s="239"/>
      <c r="AB46" s="239"/>
      <c r="AG46" s="90"/>
      <c r="AH46" s="90"/>
      <c r="BO46" s="1"/>
      <c r="CL46" s="1"/>
      <c r="CW46" s="248"/>
      <c r="CX46" s="248"/>
      <c r="CY46"/>
      <c r="CZ46"/>
    </row>
    <row r="47" spans="1:185">
      <c r="A47" s="962" t="str">
        <f>"Nettoarbejdstid ialt i "&amp;A8&amp;" måned"</f>
        <v>Nettoarbejdstid ialt i August måned</v>
      </c>
      <c r="B47" s="963"/>
      <c r="C47" s="963"/>
      <c r="D47" s="963"/>
      <c r="E47" s="963"/>
      <c r="F47" s="963"/>
      <c r="G47" s="963"/>
      <c r="H47" s="260">
        <f>H44-H45-H46</f>
        <v>20</v>
      </c>
      <c r="I47" s="964">
        <f>I44-I45-I46</f>
        <v>147.37624521072797</v>
      </c>
      <c r="J47" s="965"/>
      <c r="K47" s="966"/>
      <c r="L47" s="387"/>
      <c r="M47" s="1026" t="s">
        <v>302</v>
      </c>
      <c r="N47" s="1027"/>
      <c r="O47" s="1027"/>
      <c r="P47" s="1027"/>
      <c r="Q47" s="1027"/>
      <c r="R47" s="1027"/>
      <c r="S47" s="1027"/>
      <c r="T47" s="1027"/>
      <c r="U47" s="1028"/>
      <c r="V47" s="1029">
        <f>V45+V46</f>
        <v>0</v>
      </c>
      <c r="W47" s="1030"/>
      <c r="X47" s="1031"/>
      <c r="Y47" s="239"/>
      <c r="Z47" s="239"/>
      <c r="AA47" s="239"/>
      <c r="AB47" s="239"/>
      <c r="AG47" s="90"/>
      <c r="AH47" s="90"/>
      <c r="BO47" s="1"/>
      <c r="CL47" s="1"/>
      <c r="CW47" s="248"/>
      <c r="CX47" s="248"/>
      <c r="CY47"/>
      <c r="CZ47"/>
    </row>
    <row r="48" spans="1:185">
      <c r="A48" s="978" t="str">
        <f>"Planlagt arbejdstid efter ovennstående "&amp;A8&amp;" måned kalender"</f>
        <v>Planlagt arbejdstid efter ovennstående August måned kalender</v>
      </c>
      <c r="B48" s="979"/>
      <c r="C48" s="979"/>
      <c r="D48" s="979"/>
      <c r="E48" s="979"/>
      <c r="F48" s="979"/>
      <c r="G48" s="979"/>
      <c r="H48" s="475">
        <f>D64+D65+D66+D67+D68+D69+D70</f>
        <v>18</v>
      </c>
      <c r="I48" s="980">
        <f>N41+R41+V106</f>
        <v>133.75</v>
      </c>
      <c r="J48" s="981"/>
      <c r="K48" s="982"/>
      <c r="L48" s="387"/>
      <c r="M48" s="1038" t="s">
        <v>293</v>
      </c>
      <c r="N48" s="1039"/>
      <c r="O48" s="1039"/>
      <c r="P48" s="1039"/>
      <c r="Q48" s="1039"/>
      <c r="R48" s="1039"/>
      <c r="S48" s="1039"/>
      <c r="T48" s="1039"/>
      <c r="U48" s="1039"/>
      <c r="V48" s="1039"/>
      <c r="W48" s="1039"/>
      <c r="X48" s="1040"/>
      <c r="Y48" s="239"/>
      <c r="Z48" s="239"/>
      <c r="AA48" s="239"/>
      <c r="AB48" s="239"/>
      <c r="AG48" s="90"/>
      <c r="AH48" s="90"/>
      <c r="BO48" s="1"/>
      <c r="CL48" s="1"/>
      <c r="CW48" s="248"/>
      <c r="CX48" s="248"/>
      <c r="CY48"/>
      <c r="CZ48"/>
    </row>
    <row r="49" spans="1:111">
      <c r="A49" s="986" t="s">
        <v>452</v>
      </c>
      <c r="B49" s="987"/>
      <c r="C49" s="987"/>
      <c r="D49" s="987"/>
      <c r="E49" s="987"/>
      <c r="F49" s="987"/>
      <c r="G49" s="987"/>
      <c r="H49" s="988"/>
      <c r="I49" s="983">
        <f>(FI41+FM41+FO41+FV41+FX41+FZ41+GB41)*-1+FK41+FN41+FQ41+FW41+FY41+GA41+GC41+FU41</f>
        <v>0</v>
      </c>
      <c r="J49" s="984"/>
      <c r="K49" s="985"/>
      <c r="L49" s="387"/>
      <c r="M49" s="1041" t="s">
        <v>463</v>
      </c>
      <c r="N49" s="1042"/>
      <c r="O49" s="1042"/>
      <c r="P49" s="1042"/>
      <c r="Q49" s="1042"/>
      <c r="R49" s="1042"/>
      <c r="S49" s="1042"/>
      <c r="T49" s="1042"/>
      <c r="U49" s="1043"/>
      <c r="V49" s="1044" t="s">
        <v>221</v>
      </c>
      <c r="W49" s="1045"/>
      <c r="X49" s="1046"/>
      <c r="Y49" s="239"/>
      <c r="Z49" s="239"/>
      <c r="AA49" s="239"/>
      <c r="AB49" s="239"/>
      <c r="AG49" s="90"/>
      <c r="AH49" s="90"/>
      <c r="BO49" s="1"/>
      <c r="CL49" s="1"/>
      <c r="CW49" s="248"/>
      <c r="CX49" s="248"/>
      <c r="CY49"/>
      <c r="CZ49"/>
    </row>
    <row r="50" spans="1:111">
      <c r="A50" s="1005" t="str">
        <f>"Arbejde særligt planlagt for "&amp;A8&amp;" måned efter fanen skemaoplysninger"</f>
        <v>Arbejde særligt planlagt for August måned efter fanen skemaoplysninger</v>
      </c>
      <c r="B50" s="1006"/>
      <c r="C50" s="1006"/>
      <c r="D50" s="1006"/>
      <c r="E50" s="1006"/>
      <c r="F50" s="1006"/>
      <c r="G50" s="1006"/>
      <c r="H50" s="1007"/>
      <c r="I50" s="981">
        <f>Skemaoplysninger!K91</f>
        <v>2</v>
      </c>
      <c r="J50" s="1003"/>
      <c r="K50" s="1004"/>
      <c r="L50" s="388"/>
      <c r="M50" s="867"/>
      <c r="N50" s="868"/>
      <c r="O50" s="868"/>
      <c r="P50" s="868"/>
      <c r="Q50" s="868"/>
      <c r="R50" s="868"/>
      <c r="S50" s="868"/>
      <c r="T50" s="868"/>
      <c r="U50" s="869"/>
      <c r="V50" s="1047"/>
      <c r="W50" s="1047"/>
      <c r="X50" s="1048"/>
      <c r="Y50" s="239"/>
      <c r="Z50" s="239"/>
      <c r="AA50" s="239"/>
      <c r="AB50" s="239"/>
      <c r="AG50" s="90"/>
      <c r="AH50" s="90"/>
      <c r="BO50" s="1"/>
      <c r="CL50" s="1"/>
      <c r="CW50" s="248"/>
      <c r="CX50" s="248"/>
      <c r="CY50"/>
      <c r="CZ50"/>
    </row>
    <row r="51" spans="1:111">
      <c r="A51" s="967" t="s">
        <v>451</v>
      </c>
      <c r="B51" s="968"/>
      <c r="C51" s="968"/>
      <c r="D51" s="968"/>
      <c r="E51" s="968"/>
      <c r="F51" s="968"/>
      <c r="G51" s="968"/>
      <c r="H51" s="968"/>
      <c r="I51" s="969">
        <f>V41+X41-FA41+R106</f>
        <v>0</v>
      </c>
      <c r="J51" s="970"/>
      <c r="K51" s="971"/>
      <c r="L51" s="389"/>
      <c r="M51" s="867"/>
      <c r="N51" s="868"/>
      <c r="O51" s="868"/>
      <c r="P51" s="868"/>
      <c r="Q51" s="868"/>
      <c r="R51" s="868"/>
      <c r="S51" s="868"/>
      <c r="T51" s="868"/>
      <c r="U51" s="869"/>
      <c r="V51" s="870"/>
      <c r="W51" s="871"/>
      <c r="X51" s="872"/>
      <c r="Y51" s="247"/>
      <c r="Z51" s="239"/>
      <c r="AB51" s="239"/>
      <c r="AC51" s="239"/>
      <c r="AI51" s="90"/>
      <c r="AJ51" s="90"/>
      <c r="BC51" s="239"/>
      <c r="BQ51" s="1"/>
      <c r="CN51" s="1"/>
      <c r="CX51" s="248"/>
      <c r="CZ51"/>
    </row>
    <row r="52" spans="1:111" ht="17" thickBot="1">
      <c r="A52" s="261" t="str">
        <f>"Faktisk arbejdstid ialt i "&amp;A8&amp;" måned"</f>
        <v>Faktisk arbejdstid ialt i August måned</v>
      </c>
      <c r="B52" s="314"/>
      <c r="C52" s="315"/>
      <c r="D52" s="315"/>
      <c r="E52" s="315"/>
      <c r="F52" s="315"/>
      <c r="G52" s="315"/>
      <c r="H52" s="316"/>
      <c r="I52" s="1008">
        <f>I48+I51+I50+I49</f>
        <v>135.75</v>
      </c>
      <c r="J52" s="1009"/>
      <c r="K52" s="1010"/>
      <c r="L52" s="241"/>
      <c r="M52" s="867"/>
      <c r="N52" s="868"/>
      <c r="O52" s="868"/>
      <c r="P52" s="868"/>
      <c r="Q52" s="868"/>
      <c r="R52" s="868"/>
      <c r="S52" s="868"/>
      <c r="T52" s="868"/>
      <c r="U52" s="869"/>
      <c r="V52" s="870"/>
      <c r="W52" s="871"/>
      <c r="X52" s="872"/>
      <c r="Y52" s="247"/>
      <c r="Z52" s="239"/>
      <c r="AB52" s="239"/>
      <c r="AC52" s="239"/>
      <c r="AH52" s="90"/>
      <c r="AI52" s="90"/>
      <c r="BP52" s="1"/>
      <c r="CM52" s="1"/>
      <c r="CX52" s="248"/>
      <c r="CZ52"/>
    </row>
    <row r="53" spans="1:111" ht="17" thickBot="1">
      <c r="A53" s="255"/>
      <c r="B53" s="255"/>
      <c r="C53" s="255"/>
      <c r="D53" s="255"/>
      <c r="E53" s="255"/>
      <c r="F53" s="255"/>
      <c r="G53" s="255"/>
      <c r="H53" s="255"/>
      <c r="I53" s="522"/>
      <c r="J53" s="522"/>
      <c r="K53" s="522"/>
      <c r="L53" s="500"/>
      <c r="M53" s="867"/>
      <c r="N53" s="868"/>
      <c r="O53" s="868"/>
      <c r="P53" s="868"/>
      <c r="Q53" s="868"/>
      <c r="R53" s="868"/>
      <c r="S53" s="868"/>
      <c r="T53" s="868"/>
      <c r="U53" s="869"/>
      <c r="V53" s="870"/>
      <c r="W53" s="871"/>
      <c r="X53" s="872"/>
      <c r="Y53" s="239"/>
      <c r="Z53" s="239"/>
      <c r="AA53" s="239"/>
      <c r="AB53" s="239"/>
      <c r="AC53" s="214"/>
      <c r="AD53" s="247"/>
      <c r="AE53" s="247"/>
      <c r="AF53" s="247"/>
      <c r="AG53" s="247"/>
      <c r="AH53" s="239"/>
      <c r="AJ53" s="239"/>
      <c r="AK53" s="239"/>
      <c r="AO53" s="90"/>
      <c r="AP53" s="90"/>
      <c r="BW53" s="1"/>
      <c r="CT53" s="1"/>
      <c r="CY53"/>
      <c r="CZ53"/>
      <c r="DE53" s="248"/>
      <c r="DF53" s="248"/>
    </row>
    <row r="54" spans="1:111" ht="39" customHeight="1" thickBot="1">
      <c r="A54" s="958" t="s">
        <v>479</v>
      </c>
      <c r="B54" s="959"/>
      <c r="C54" s="959"/>
      <c r="D54" s="959"/>
      <c r="E54" s="959"/>
      <c r="F54" s="959"/>
      <c r="G54" s="959"/>
      <c r="H54" s="707" t="s">
        <v>740</v>
      </c>
      <c r="I54" s="989" t="s">
        <v>485</v>
      </c>
      <c r="J54" s="989"/>
      <c r="K54" s="990"/>
      <c r="L54" s="500"/>
      <c r="M54" s="1032" t="s">
        <v>294</v>
      </c>
      <c r="N54" s="1033"/>
      <c r="O54" s="1033"/>
      <c r="P54" s="1033"/>
      <c r="Q54" s="1033"/>
      <c r="R54" s="1033"/>
      <c r="S54" s="1033"/>
      <c r="T54" s="1033"/>
      <c r="U54" s="1034"/>
      <c r="V54" s="1035">
        <f>V47-SUM(V50:X53)</f>
        <v>0</v>
      </c>
      <c r="W54" s="1036"/>
      <c r="X54" s="1037"/>
      <c r="Y54" s="239"/>
      <c r="Z54" s="239"/>
      <c r="AA54" s="239"/>
      <c r="AB54" s="239"/>
      <c r="AC54" s="214"/>
      <c r="AD54" s="247"/>
      <c r="AE54" s="247"/>
      <c r="AF54" s="247"/>
      <c r="AG54" s="247"/>
      <c r="AH54" s="239"/>
      <c r="AJ54" s="239"/>
      <c r="AK54" s="239"/>
      <c r="AO54" s="90"/>
      <c r="AP54" s="90"/>
      <c r="BW54" s="1"/>
      <c r="CT54" s="1"/>
      <c r="CY54"/>
      <c r="CZ54"/>
      <c r="DE54" s="248"/>
      <c r="DF54" s="248"/>
    </row>
    <row r="55" spans="1:111" ht="16" customHeight="1">
      <c r="A55" s="993"/>
      <c r="B55" s="994"/>
      <c r="C55" s="994"/>
      <c r="D55" s="994"/>
      <c r="E55" s="994"/>
      <c r="F55" s="994"/>
      <c r="G55" s="994"/>
      <c r="H55" s="603"/>
      <c r="I55" s="991"/>
      <c r="J55" s="991"/>
      <c r="K55" s="992"/>
      <c r="L55" s="500"/>
      <c r="M55" s="523"/>
      <c r="N55" s="523"/>
      <c r="O55" s="523"/>
      <c r="P55" s="523"/>
      <c r="Q55" s="524"/>
      <c r="R55" s="525"/>
      <c r="S55" s="525"/>
      <c r="T55" s="525"/>
      <c r="U55" s="525"/>
      <c r="V55" s="523"/>
      <c r="W55" s="526"/>
      <c r="X55" s="523"/>
      <c r="Y55" s="239"/>
      <c r="Z55" s="239"/>
      <c r="AA55" s="239"/>
      <c r="AB55" s="239"/>
      <c r="AC55" s="214"/>
      <c r="AD55" s="247"/>
      <c r="AE55" s="247"/>
      <c r="AF55" s="247"/>
      <c r="AG55" s="247"/>
      <c r="AH55" s="239"/>
      <c r="AJ55" s="239"/>
      <c r="AK55" s="239"/>
      <c r="AO55" s="90"/>
      <c r="AP55" s="90"/>
      <c r="BW55" s="1"/>
      <c r="CT55" s="1"/>
      <c r="CY55"/>
      <c r="CZ55"/>
      <c r="DE55" s="248"/>
      <c r="DF55" s="248"/>
    </row>
    <row r="56" spans="1:111" ht="37" customHeight="1">
      <c r="A56" s="864" t="s">
        <v>741</v>
      </c>
      <c r="B56" s="865"/>
      <c r="C56" s="865"/>
      <c r="D56" s="865"/>
      <c r="E56" s="865"/>
      <c r="F56" s="865"/>
      <c r="G56" s="865"/>
      <c r="H56" s="865"/>
      <c r="I56" s="865"/>
      <c r="J56" s="865"/>
      <c r="K56" s="866"/>
      <c r="L56" s="500"/>
      <c r="M56" s="523"/>
      <c r="N56" s="523"/>
      <c r="O56" s="523"/>
      <c r="P56" s="523"/>
      <c r="Q56" s="524"/>
      <c r="R56" s="525"/>
      <c r="S56" s="525"/>
      <c r="T56" s="525"/>
      <c r="U56" s="525"/>
      <c r="V56" s="523"/>
      <c r="W56" s="526"/>
      <c r="X56" s="523"/>
      <c r="Y56" s="239"/>
      <c r="Z56" s="239"/>
      <c r="AA56" s="239"/>
      <c r="AB56" s="239"/>
      <c r="AC56" s="214"/>
      <c r="AD56" s="247"/>
      <c r="AE56" s="247"/>
      <c r="AF56" s="247"/>
      <c r="AG56" s="247"/>
      <c r="AH56" s="239"/>
      <c r="AJ56" s="239"/>
      <c r="AK56" s="239"/>
      <c r="AO56" s="90"/>
      <c r="AP56" s="90"/>
      <c r="BW56" s="1"/>
      <c r="CT56" s="1"/>
      <c r="CY56"/>
      <c r="CZ56"/>
      <c r="DE56" s="248"/>
      <c r="DF56" s="248"/>
    </row>
    <row r="57" spans="1:111" ht="35" customHeight="1">
      <c r="A57" s="995" t="s">
        <v>742</v>
      </c>
      <c r="B57" s="996"/>
      <c r="C57" s="898" t="s">
        <v>510</v>
      </c>
      <c r="D57" s="899"/>
      <c r="E57" s="900" t="s">
        <v>511</v>
      </c>
      <c r="F57" s="865"/>
      <c r="G57" s="901"/>
      <c r="H57" s="910" t="s">
        <v>480</v>
      </c>
      <c r="I57" s="910"/>
      <c r="J57" s="910"/>
      <c r="K57" s="911"/>
      <c r="L57" s="500"/>
      <c r="M57" s="523"/>
      <c r="N57" s="523"/>
      <c r="O57" s="523"/>
      <c r="P57" s="523"/>
      <c r="Q57" s="524"/>
      <c r="R57" s="525"/>
      <c r="S57" s="525"/>
      <c r="T57" s="525"/>
      <c r="U57" s="525"/>
      <c r="V57" s="523"/>
      <c r="W57" s="526"/>
      <c r="X57" s="523"/>
      <c r="Y57" s="239"/>
      <c r="Z57" s="239"/>
      <c r="AA57" s="239"/>
      <c r="AB57" s="239"/>
      <c r="AC57" s="214"/>
      <c r="AD57" s="247"/>
      <c r="AE57" s="247"/>
      <c r="AF57" s="247"/>
      <c r="AG57" s="247"/>
      <c r="AH57" s="239"/>
      <c r="AJ57" s="239"/>
      <c r="AK57" s="239"/>
      <c r="AO57" s="90"/>
      <c r="AP57" s="90"/>
      <c r="BW57" s="1"/>
      <c r="CT57" s="1"/>
      <c r="CY57"/>
      <c r="CZ57"/>
      <c r="DE57" s="248"/>
      <c r="DF57" s="248"/>
    </row>
    <row r="58" spans="1:111">
      <c r="A58" s="902"/>
      <c r="B58" s="903"/>
      <c r="C58" s="906"/>
      <c r="D58" s="905"/>
      <c r="E58" s="907"/>
      <c r="F58" s="908"/>
      <c r="G58" s="909"/>
      <c r="H58" s="604"/>
      <c r="I58" s="896"/>
      <c r="J58" s="896"/>
      <c r="K58" s="897"/>
      <c r="L58" s="500"/>
      <c r="M58" s="523"/>
      <c r="N58" s="523"/>
      <c r="O58" s="523"/>
      <c r="P58" s="523"/>
      <c r="Q58" s="524"/>
      <c r="R58" s="525"/>
      <c r="S58" s="525"/>
      <c r="T58" s="525"/>
      <c r="U58" s="525"/>
      <c r="V58" s="523"/>
      <c r="W58" s="526"/>
      <c r="X58" s="523"/>
      <c r="Y58" s="239"/>
      <c r="Z58" s="239"/>
      <c r="AA58" s="239"/>
      <c r="AB58" s="239"/>
      <c r="AC58" s="214"/>
      <c r="AD58" s="247"/>
      <c r="AE58" s="247"/>
      <c r="AF58" s="247"/>
      <c r="AG58" s="247"/>
      <c r="AH58" s="239"/>
      <c r="AJ58" s="239"/>
      <c r="AK58" s="239"/>
      <c r="AO58" s="90"/>
      <c r="AP58" s="90"/>
      <c r="BW58" s="1"/>
      <c r="CT58" s="1"/>
      <c r="CY58"/>
      <c r="CZ58"/>
      <c r="DE58" s="248"/>
      <c r="DF58" s="248"/>
    </row>
    <row r="59" spans="1:111">
      <c r="A59" s="904"/>
      <c r="B59" s="905"/>
      <c r="C59" s="906"/>
      <c r="D59" s="905"/>
      <c r="E59" s="907"/>
      <c r="F59" s="908"/>
      <c r="G59" s="909"/>
      <c r="H59" s="604"/>
      <c r="I59" s="896"/>
      <c r="J59" s="896"/>
      <c r="K59" s="897"/>
      <c r="L59" s="500"/>
      <c r="M59" s="523"/>
      <c r="N59" s="523"/>
      <c r="O59" s="523"/>
      <c r="P59" s="523"/>
      <c r="Q59" s="524"/>
      <c r="R59" s="525"/>
      <c r="S59" s="525"/>
      <c r="T59" s="525"/>
      <c r="U59" s="525"/>
      <c r="V59" s="523"/>
      <c r="W59" s="526"/>
      <c r="X59" s="523"/>
      <c r="Y59" s="239"/>
      <c r="Z59" s="239"/>
      <c r="AA59" s="239"/>
      <c r="AB59" s="239"/>
      <c r="AC59" s="214"/>
      <c r="AD59" s="247"/>
      <c r="AE59" s="247"/>
      <c r="AF59" s="247"/>
      <c r="AG59" s="247"/>
      <c r="AH59" s="239"/>
      <c r="AJ59" s="239"/>
      <c r="AK59" s="239"/>
      <c r="AO59" s="90"/>
      <c r="AP59" s="90"/>
      <c r="BW59" s="1"/>
      <c r="CT59" s="1"/>
      <c r="CY59"/>
      <c r="CZ59"/>
      <c r="DE59" s="248"/>
      <c r="DF59" s="248"/>
    </row>
    <row r="60" spans="1:111">
      <c r="A60" s="904"/>
      <c r="B60" s="905"/>
      <c r="C60" s="906"/>
      <c r="D60" s="905"/>
      <c r="E60" s="907"/>
      <c r="F60" s="908"/>
      <c r="G60" s="909"/>
      <c r="H60" s="604"/>
      <c r="I60" s="896"/>
      <c r="J60" s="896"/>
      <c r="K60" s="897"/>
      <c r="L60" s="500"/>
      <c r="M60" s="523"/>
      <c r="N60" s="523"/>
      <c r="O60" s="523"/>
      <c r="P60" s="523"/>
      <c r="Q60" s="524"/>
      <c r="R60" s="525"/>
      <c r="S60" s="525"/>
      <c r="T60" s="525"/>
      <c r="U60" s="525"/>
      <c r="V60" s="523"/>
      <c r="W60" s="526"/>
      <c r="X60" s="523"/>
      <c r="Y60" s="239"/>
      <c r="Z60" s="239"/>
      <c r="AA60" s="239"/>
      <c r="AB60" s="239"/>
      <c r="AC60" s="214"/>
      <c r="AD60" s="247"/>
      <c r="AE60" s="247"/>
      <c r="AF60" s="247"/>
      <c r="AG60" s="247"/>
      <c r="AH60" s="239"/>
      <c r="AJ60" s="239"/>
      <c r="AK60" s="239"/>
      <c r="AO60" s="90"/>
      <c r="AP60" s="90"/>
      <c r="BW60" s="1"/>
      <c r="CT60" s="1"/>
      <c r="CY60"/>
      <c r="CZ60"/>
      <c r="DE60" s="248"/>
      <c r="DF60" s="248"/>
    </row>
    <row r="61" spans="1:111">
      <c r="A61" s="904"/>
      <c r="B61" s="905"/>
      <c r="C61" s="906"/>
      <c r="D61" s="905"/>
      <c r="E61" s="907"/>
      <c r="F61" s="908"/>
      <c r="G61" s="909"/>
      <c r="H61" s="604"/>
      <c r="I61" s="896"/>
      <c r="J61" s="896"/>
      <c r="K61" s="897"/>
      <c r="L61" s="500"/>
      <c r="M61" s="523"/>
      <c r="N61" s="523"/>
      <c r="O61" s="523"/>
      <c r="P61" s="523"/>
      <c r="Q61" s="524"/>
      <c r="R61" s="525"/>
      <c r="S61" s="525"/>
      <c r="T61" s="525"/>
      <c r="U61" s="525"/>
      <c r="V61" s="523"/>
      <c r="W61" s="526"/>
      <c r="X61" s="523"/>
      <c r="Y61" s="239"/>
      <c r="Z61" s="239"/>
      <c r="AA61" s="239"/>
      <c r="AB61" s="239"/>
      <c r="AC61" s="214"/>
      <c r="AD61" s="247"/>
      <c r="AE61" s="247"/>
      <c r="AF61" s="247"/>
      <c r="AG61" s="247"/>
      <c r="AH61" s="239"/>
      <c r="AJ61" s="239"/>
      <c r="AK61" s="239"/>
      <c r="AO61" s="90"/>
      <c r="AP61" s="90"/>
      <c r="BW61" s="1"/>
      <c r="CT61" s="1"/>
      <c r="CY61"/>
      <c r="CZ61"/>
      <c r="DE61" s="248"/>
      <c r="DF61" s="248"/>
    </row>
    <row r="62" spans="1:111" ht="17" thickBot="1">
      <c r="A62" s="893" t="s">
        <v>481</v>
      </c>
      <c r="B62" s="894"/>
      <c r="C62" s="895"/>
      <c r="D62" s="895"/>
      <c r="E62" s="895"/>
      <c r="F62" s="895"/>
      <c r="G62" s="895"/>
      <c r="H62" s="606">
        <f>H55-SUM(H58:H61)</f>
        <v>0</v>
      </c>
      <c r="I62" s="912">
        <f>I55-SUM(I58:K61)</f>
        <v>0</v>
      </c>
      <c r="J62" s="913"/>
      <c r="K62" s="914"/>
      <c r="L62" s="500"/>
      <c r="M62" s="523"/>
      <c r="N62" s="523"/>
      <c r="O62" s="523"/>
      <c r="P62" s="523"/>
      <c r="Q62" s="524"/>
      <c r="R62" s="525"/>
      <c r="S62" s="525"/>
      <c r="T62" s="525"/>
      <c r="U62" s="525"/>
      <c r="V62" s="523"/>
      <c r="W62" s="526"/>
      <c r="X62" s="523"/>
      <c r="Y62" s="239"/>
      <c r="Z62" s="239"/>
      <c r="AA62" s="239"/>
      <c r="AB62" s="239"/>
      <c r="AC62" s="214"/>
      <c r="AD62" s="247"/>
      <c r="AE62" s="247"/>
      <c r="AF62" s="247"/>
      <c r="AG62" s="247"/>
      <c r="AH62" s="239"/>
      <c r="AJ62" s="239"/>
      <c r="AK62" s="239"/>
      <c r="AO62" s="90"/>
      <c r="AP62" s="90"/>
      <c r="BW62" s="1"/>
      <c r="CT62" s="1"/>
      <c r="CY62"/>
      <c r="CZ62"/>
      <c r="DE62" s="248"/>
      <c r="DF62" s="248"/>
    </row>
    <row r="63" spans="1:111">
      <c r="A63" s="496"/>
      <c r="B63" s="496"/>
      <c r="C63" s="496"/>
      <c r="D63" s="496"/>
      <c r="E63" s="496"/>
      <c r="F63" s="496"/>
      <c r="G63" s="496"/>
      <c r="H63" s="497"/>
      <c r="I63" s="506"/>
      <c r="J63" s="506"/>
      <c r="K63" s="496"/>
      <c r="L63" s="659"/>
      <c r="M63" s="659"/>
      <c r="N63" s="659"/>
      <c r="O63" s="659"/>
      <c r="P63" s="659"/>
      <c r="Q63" s="524"/>
      <c r="R63" s="525"/>
      <c r="S63" s="525"/>
      <c r="T63" s="525"/>
      <c r="U63" s="525"/>
      <c r="V63" s="523"/>
      <c r="W63" s="526"/>
      <c r="X63" s="523"/>
      <c r="Y63" s="239"/>
      <c r="Z63" s="239"/>
      <c r="AA63" s="239"/>
      <c r="AB63" s="239"/>
      <c r="AC63" s="214"/>
      <c r="AD63" s="247"/>
      <c r="AE63" s="247"/>
      <c r="AF63" s="247"/>
      <c r="AG63" s="247"/>
      <c r="AH63" s="239"/>
      <c r="AJ63" s="239"/>
      <c r="AK63" s="239"/>
      <c r="AO63" s="90"/>
      <c r="AP63" s="90"/>
      <c r="BW63" s="1"/>
      <c r="CT63" s="1"/>
      <c r="CY63"/>
      <c r="CZ63"/>
      <c r="DE63" s="248"/>
      <c r="DF63" s="248"/>
    </row>
    <row r="64" spans="1:111" hidden="1">
      <c r="A64" s="506" t="s">
        <v>206</v>
      </c>
      <c r="B64" s="506"/>
      <c r="C64" s="506"/>
      <c r="D64" s="506">
        <f>COUNTIF([0]!AUGUST,"Skema 1")</f>
        <v>14</v>
      </c>
      <c r="E64" s="507"/>
      <c r="F64" s="506" t="s">
        <v>186</v>
      </c>
      <c r="G64" s="506">
        <f>COUNTIFS($B$10:$B$40,"ma",[0]!AUGUST,"Skema 1")</f>
        <v>2</v>
      </c>
      <c r="H64" s="498"/>
      <c r="I64" s="511"/>
      <c r="J64" s="659"/>
      <c r="K64" s="659"/>
      <c r="L64" s="511"/>
      <c r="M64" s="660"/>
      <c r="N64" s="659"/>
      <c r="O64" s="660"/>
      <c r="P64" s="678" t="s">
        <v>601</v>
      </c>
      <c r="Q64" s="680" t="s">
        <v>612</v>
      </c>
      <c r="R64" s="230"/>
      <c r="S64" s="230"/>
      <c r="T64" s="230"/>
      <c r="U64" s="230"/>
      <c r="V64" s="230"/>
      <c r="W64" s="118"/>
      <c r="X64" s="118"/>
      <c r="Y64" s="239"/>
      <c r="Z64" s="239"/>
      <c r="AA64" s="239"/>
      <c r="AB64" s="239"/>
      <c r="AC64" s="239"/>
      <c r="AD64" s="214"/>
      <c r="AE64" s="247"/>
      <c r="AF64" s="247"/>
      <c r="AG64" s="247"/>
      <c r="AH64" s="247"/>
      <c r="AI64" s="239"/>
      <c r="AK64" s="239"/>
      <c r="AL64" s="239"/>
      <c r="AP64" s="90"/>
      <c r="AQ64" s="90"/>
      <c r="BX64" s="1"/>
      <c r="CU64" s="1"/>
      <c r="CY64"/>
      <c r="CZ64"/>
      <c r="DF64" s="248"/>
      <c r="DG64" s="248"/>
    </row>
    <row r="65" spans="1:111" hidden="1">
      <c r="A65" s="957" t="s">
        <v>207</v>
      </c>
      <c r="B65" s="957"/>
      <c r="C65" s="957"/>
      <c r="D65" s="506">
        <f>COUNTIF([0]!AUGUST,"Skema 2")</f>
        <v>0</v>
      </c>
      <c r="E65" s="507"/>
      <c r="F65" s="506" t="s">
        <v>187</v>
      </c>
      <c r="G65" s="506">
        <f>COUNTIFS($B$10:$B$40,"ti",[0]!AUGUST,"Skema 1")</f>
        <v>3</v>
      </c>
      <c r="H65" s="498"/>
      <c r="I65" s="511" t="s">
        <v>602</v>
      </c>
      <c r="J65" s="659"/>
      <c r="K65" s="511"/>
      <c r="L65" s="662"/>
      <c r="M65" s="660"/>
      <c r="N65" s="660"/>
      <c r="O65" s="663"/>
      <c r="P65" s="678">
        <f>IF(Stamoplysninger!$B$22="Ulempetillæg udbetales med 25% af nettotimelønnen.",SUM(DO41:DR41)-SUM(DS41:DV41),0)</f>
        <v>1</v>
      </c>
      <c r="Q65" s="680"/>
      <c r="R65" s="230"/>
      <c r="S65" s="230"/>
      <c r="T65" s="230"/>
      <c r="U65" s="230"/>
      <c r="V65" s="230"/>
      <c r="W65" s="118"/>
      <c r="X65" s="118"/>
      <c r="Y65" s="239"/>
      <c r="Z65" s="239"/>
      <c r="AA65" s="239"/>
      <c r="AB65" s="239"/>
      <c r="AC65" s="239"/>
      <c r="AD65" s="214"/>
      <c r="AE65" s="247"/>
      <c r="AF65" s="247"/>
      <c r="AG65" s="247"/>
      <c r="AH65" s="247"/>
      <c r="AI65" s="239"/>
      <c r="AK65" s="239"/>
      <c r="AL65" s="239"/>
      <c r="AP65" s="90"/>
      <c r="AQ65" s="90"/>
      <c r="BX65" s="1"/>
      <c r="CU65" s="1"/>
      <c r="CY65"/>
      <c r="CZ65"/>
      <c r="DF65" s="248"/>
      <c r="DG65" s="248"/>
    </row>
    <row r="66" spans="1:111" hidden="1">
      <c r="A66" s="957" t="s">
        <v>208</v>
      </c>
      <c r="B66" s="957"/>
      <c r="C66" s="957"/>
      <c r="D66" s="506">
        <f>COUNTIF([0]!AUGUST,"Skema 3")</f>
        <v>0</v>
      </c>
      <c r="E66" s="507"/>
      <c r="F66" s="506" t="s">
        <v>188</v>
      </c>
      <c r="G66" s="506">
        <f>COUNTIFS($B$10:$B$40,"on",[0]!AUGUST,"Skema 1")</f>
        <v>3</v>
      </c>
      <c r="H66" s="498"/>
      <c r="I66" s="677" t="s">
        <v>603</v>
      </c>
      <c r="J66" s="659"/>
      <c r="K66" s="511"/>
      <c r="L66" s="662"/>
      <c r="M66" s="660"/>
      <c r="N66" s="660"/>
      <c r="O66" s="660"/>
      <c r="P66" s="678"/>
      <c r="Q66" s="680">
        <f>IF(Stamoplysninger!$B$22="Ulempetillæg afspadseres med 25%(Kræver en aftale imellem ledelsen og den ansatte)",EC41+ED41+EE41+EF41-EG41-EH41-EI41-EJ41,0)</f>
        <v>0</v>
      </c>
      <c r="R66" s="230"/>
      <c r="S66" s="230"/>
      <c r="T66" s="230"/>
      <c r="U66" s="230"/>
      <c r="V66" s="230"/>
      <c r="W66" s="118"/>
      <c r="X66" s="118"/>
      <c r="Y66" s="239"/>
      <c r="Z66" s="239"/>
      <c r="AA66" s="239"/>
      <c r="AB66" s="239"/>
      <c r="AC66" s="239"/>
      <c r="AD66" s="214"/>
      <c r="AE66" s="247"/>
      <c r="AF66" s="247"/>
      <c r="AG66" s="247"/>
      <c r="AH66" s="247"/>
      <c r="AI66" s="239"/>
      <c r="AK66" s="239"/>
      <c r="AL66" s="239"/>
      <c r="AP66" s="90"/>
      <c r="AQ66" s="90"/>
      <c r="BX66" s="1"/>
      <c r="CU66" s="1"/>
      <c r="CY66"/>
      <c r="CZ66"/>
      <c r="DF66" s="248"/>
      <c r="DG66" s="248"/>
    </row>
    <row r="67" spans="1:111" hidden="1">
      <c r="A67" s="957" t="s">
        <v>209</v>
      </c>
      <c r="B67" s="957"/>
      <c r="C67" s="957"/>
      <c r="D67" s="506">
        <f>COUNTIF([0]!AUGUST,"Skema 4")</f>
        <v>0</v>
      </c>
      <c r="E67" s="507"/>
      <c r="F67" s="506" t="s">
        <v>190</v>
      </c>
      <c r="G67" s="506">
        <f>COUNTIFS($B$10:$B$40,"to",[0]!AUGUST,"Skema 1")</f>
        <v>3</v>
      </c>
      <c r="H67" s="498"/>
      <c r="I67" s="677" t="s">
        <v>604</v>
      </c>
      <c r="J67" s="659"/>
      <c r="K67" s="511"/>
      <c r="L67" s="662"/>
      <c r="M67" s="665"/>
      <c r="N67" s="665"/>
      <c r="O67" s="4"/>
      <c r="P67" s="678"/>
      <c r="Q67" s="680"/>
      <c r="R67" s="230"/>
      <c r="S67" s="230"/>
      <c r="T67" s="230"/>
      <c r="U67" s="230"/>
      <c r="V67" s="230"/>
      <c r="W67" s="118"/>
      <c r="X67" s="118"/>
      <c r="Y67" s="239"/>
      <c r="Z67" s="239"/>
      <c r="AA67" s="239"/>
      <c r="AB67" s="239"/>
      <c r="AC67" s="239"/>
      <c r="AD67" s="214"/>
      <c r="AE67" s="247"/>
      <c r="AF67" s="247"/>
      <c r="AG67" s="247"/>
      <c r="AH67" s="247"/>
      <c r="AI67" s="239"/>
      <c r="AK67" s="239"/>
      <c r="AL67" s="239"/>
      <c r="AP67" s="90"/>
      <c r="AQ67" s="90"/>
      <c r="BX67" s="1"/>
      <c r="CU67" s="1"/>
      <c r="CY67"/>
      <c r="CZ67"/>
      <c r="DF67" s="248"/>
      <c r="DG67" s="248"/>
    </row>
    <row r="68" spans="1:111" hidden="1">
      <c r="A68" s="506" t="s">
        <v>112</v>
      </c>
      <c r="B68" s="506"/>
      <c r="C68" s="506"/>
      <c r="D68" s="506">
        <f>COUNTIF([0]!AUGUST,"Fagdag")+COUNTIF([0]!AUGUST,"emnedag")</f>
        <v>1</v>
      </c>
      <c r="E68" s="507"/>
      <c r="F68" s="506" t="s">
        <v>189</v>
      </c>
      <c r="G68" s="506">
        <f>COUNTIFS($B$10:$B$40,"fr",[0]!AUGUST,"Skema 1")</f>
        <v>3</v>
      </c>
      <c r="H68" s="498"/>
      <c r="I68" s="662" t="s">
        <v>605</v>
      </c>
      <c r="J68" s="659"/>
      <c r="K68" s="511"/>
      <c r="L68" s="662"/>
      <c r="M68" s="665"/>
      <c r="N68" s="665"/>
      <c r="O68" s="4"/>
      <c r="P68" s="678"/>
      <c r="Q68" s="680">
        <f>IF(Stamoplysninger!$B$26="Weekendtimer og weekendtillæg afspadseres.",EK41+EL41-EM41-EN41,0)</f>
        <v>0</v>
      </c>
      <c r="R68" s="230"/>
      <c r="S68" s="230"/>
      <c r="T68" s="230"/>
      <c r="U68" s="230"/>
      <c r="V68" s="230"/>
      <c r="W68" s="118"/>
      <c r="X68" s="118"/>
      <c r="Y68"/>
      <c r="Z68"/>
      <c r="AO68" s="1"/>
      <c r="BL68" s="1"/>
      <c r="BW68" s="248"/>
      <c r="BX68" s="248"/>
      <c r="CY68"/>
      <c r="CZ68"/>
    </row>
    <row r="69" spans="1:111" hidden="1">
      <c r="A69" s="508" t="s">
        <v>111</v>
      </c>
      <c r="B69" s="506"/>
      <c r="C69" s="506"/>
      <c r="D69" s="506">
        <f>COUNTIF([0]!AUGUST,"Lejrskole")+COUNTIF([0]!AUGUST,"Ekskursion")</f>
        <v>0</v>
      </c>
      <c r="E69" s="507"/>
      <c r="F69" s="506"/>
      <c r="G69" s="506"/>
      <c r="H69" s="498"/>
      <c r="I69" s="662" t="s">
        <v>606</v>
      </c>
      <c r="J69" s="662"/>
      <c r="K69" s="662"/>
      <c r="L69" s="662"/>
      <c r="M69" s="666"/>
      <c r="N69" s="666"/>
      <c r="O69" s="4"/>
      <c r="P69" s="679">
        <f>IF(Stamoplysninger!$B$26="Weekendtimer og weekendtillæg udbetales.",EO41+EP41-EQ41-ER41,0)</f>
        <v>0</v>
      </c>
      <c r="Q69" s="680"/>
      <c r="R69" s="230"/>
      <c r="S69" s="230"/>
      <c r="T69" s="230"/>
      <c r="U69" s="230"/>
      <c r="V69" s="230"/>
      <c r="W69" s="118"/>
      <c r="X69" s="118"/>
      <c r="Y69"/>
      <c r="Z69"/>
      <c r="AO69" s="1"/>
      <c r="BL69" s="1"/>
      <c r="BW69" s="248"/>
      <c r="BX69" s="248"/>
      <c r="CY69"/>
      <c r="CZ69"/>
    </row>
    <row r="70" spans="1:111" hidden="1">
      <c r="A70" s="506" t="s">
        <v>110</v>
      </c>
      <c r="B70" s="506"/>
      <c r="C70" s="506"/>
      <c r="D70" s="506">
        <f>COUNTIF([0]!AUGUST,"Pæd.dag")</f>
        <v>3</v>
      </c>
      <c r="E70" s="507"/>
      <c r="F70" s="506" t="s">
        <v>191</v>
      </c>
      <c r="G70" s="506">
        <f>COUNTIFS($B$10:$B$40,"ma",[0]!AUGUST,"Skema 2")</f>
        <v>0</v>
      </c>
      <c r="H70" s="498"/>
      <c r="I70" s="662" t="s">
        <v>607</v>
      </c>
      <c r="J70" s="662"/>
      <c r="K70" s="662"/>
      <c r="L70" s="662"/>
      <c r="M70" s="666"/>
      <c r="N70" s="666"/>
      <c r="O70" s="4"/>
      <c r="P70" s="678"/>
      <c r="Q70" s="680"/>
      <c r="R70" s="230"/>
      <c r="S70" s="230"/>
      <c r="T70" s="230"/>
      <c r="U70" s="230"/>
      <c r="V70" s="230"/>
      <c r="W70" s="118"/>
      <c r="X70" s="118"/>
      <c r="Y70"/>
      <c r="Z70"/>
      <c r="AO70" s="1"/>
      <c r="BL70" s="1"/>
      <c r="BW70" s="248"/>
      <c r="BX70" s="248"/>
      <c r="CY70"/>
      <c r="CZ70"/>
    </row>
    <row r="71" spans="1:111" hidden="1">
      <c r="A71" s="506" t="s">
        <v>120</v>
      </c>
      <c r="B71" s="506"/>
      <c r="C71" s="506"/>
      <c r="D71" s="506">
        <f>COUNTIF([0]!AUGUST,"Weekend")</f>
        <v>9</v>
      </c>
      <c r="E71" s="507"/>
      <c r="F71" s="506" t="s">
        <v>192</v>
      </c>
      <c r="G71" s="506">
        <f>COUNTIFS($B$10:$B$40,"ti",[0]!AUGUST,"Skema 2")</f>
        <v>0</v>
      </c>
      <c r="H71" s="498"/>
      <c r="I71" s="662" t="s">
        <v>608</v>
      </c>
      <c r="J71" s="662"/>
      <c r="K71" s="662"/>
      <c r="L71" s="662"/>
      <c r="M71" s="667"/>
      <c r="N71" s="667"/>
      <c r="O71" s="4"/>
      <c r="P71" s="678"/>
      <c r="Q71" s="681">
        <f>IF(Stamoplysninger!$B$26="Der er indgået lokalaftale omkring weekendtimer.(Kræver aftale med TR/FSL) Weekendtillæg afspadseres.",ES41+ET41-EU41-EV41,0)</f>
        <v>0</v>
      </c>
      <c r="R71" s="230"/>
      <c r="S71" s="230"/>
      <c r="T71" s="230"/>
      <c r="U71" s="230"/>
      <c r="V71" s="230"/>
      <c r="W71" s="118"/>
      <c r="X71" s="118"/>
      <c r="Y71"/>
      <c r="Z71"/>
      <c r="AO71" s="1"/>
      <c r="BL71" s="1"/>
      <c r="BW71" s="248"/>
      <c r="BX71" s="248"/>
      <c r="CY71"/>
      <c r="CZ71"/>
    </row>
    <row r="72" spans="1:111" hidden="1">
      <c r="A72" s="506" t="s">
        <v>127</v>
      </c>
      <c r="B72" s="506"/>
      <c r="C72" s="506"/>
      <c r="D72" s="506">
        <f>COUNTIF([0]!AUGUST,"SH-dag")</f>
        <v>0</v>
      </c>
      <c r="E72" s="507"/>
      <c r="F72" s="506" t="s">
        <v>193</v>
      </c>
      <c r="G72" s="506">
        <f>COUNTIFS($B$10:$B$40,"on",[0]!AUGUST,"Skema 2")</f>
        <v>0</v>
      </c>
      <c r="H72" s="498"/>
      <c r="I72" s="662" t="s">
        <v>609</v>
      </c>
      <c r="J72" s="662"/>
      <c r="K72" s="662"/>
      <c r="L72" s="662"/>
      <c r="M72" s="667"/>
      <c r="N72" s="667"/>
      <c r="O72" s="4"/>
      <c r="P72" s="678">
        <f>IF(Stamoplysninger!$B$26="Der er indgået lokalaftale omkring weekendtimer(Kræver aftale med TR/FSL). Weekendtillæg udbetales.",EW41+EX41-EY41-EZ41,0)</f>
        <v>0</v>
      </c>
      <c r="Q72" s="680"/>
      <c r="R72" s="230"/>
      <c r="S72" s="230"/>
      <c r="T72" s="230"/>
      <c r="U72" s="230"/>
      <c r="V72" s="230"/>
      <c r="W72" s="118"/>
      <c r="X72" s="118"/>
      <c r="Y72"/>
      <c r="Z72"/>
      <c r="AO72" s="1"/>
      <c r="BL72" s="1"/>
      <c r="BW72" s="248"/>
      <c r="BX72" s="248"/>
      <c r="CY72"/>
      <c r="CZ72"/>
    </row>
    <row r="73" spans="1:111" hidden="1">
      <c r="A73" s="506" t="s">
        <v>109</v>
      </c>
      <c r="B73" s="506"/>
      <c r="C73" s="506"/>
      <c r="D73" s="506">
        <f>COUNTIF([0]!AUGUST,"Feriedag")</f>
        <v>2</v>
      </c>
      <c r="E73" s="507"/>
      <c r="F73" s="506" t="s">
        <v>194</v>
      </c>
      <c r="G73" s="506">
        <f>COUNTIFS($B$10:$B$40,"to",[0]!AUGUST,"Skema 2")</f>
        <v>0</v>
      </c>
      <c r="H73" s="498"/>
      <c r="I73" s="662" t="s">
        <v>610</v>
      </c>
      <c r="J73" s="662"/>
      <c r="K73" s="662"/>
      <c r="L73" s="662"/>
      <c r="M73" s="667"/>
      <c r="N73" s="667"/>
      <c r="O73" s="4"/>
      <c r="P73" s="678"/>
      <c r="Q73" s="629">
        <f>IF(Stamoplysninger!$B$26="Der er indgået lokalaftale omkring weekendtillæg(Kræver aftale med TR/FSL). Weekendtimerne afspadseres.",FA41+FB41-FC41-FD41,0)</f>
        <v>0</v>
      </c>
      <c r="R73" s="41"/>
      <c r="S73" s="41"/>
      <c r="T73" s="41"/>
      <c r="Y73"/>
      <c r="Z73"/>
      <c r="AO73" s="1"/>
      <c r="BL73" s="1"/>
      <c r="BW73" s="248"/>
      <c r="BX73" s="248"/>
      <c r="CY73"/>
      <c r="CZ73"/>
    </row>
    <row r="74" spans="1:111" hidden="1">
      <c r="A74" s="506" t="s">
        <v>178</v>
      </c>
      <c r="B74" s="506"/>
      <c r="C74" s="506"/>
      <c r="D74" s="506">
        <f>COUNTIF([0]!AUGUST,"Nul-dag")</f>
        <v>2</v>
      </c>
      <c r="E74" s="507"/>
      <c r="F74" s="506" t="s">
        <v>195</v>
      </c>
      <c r="G74" s="506">
        <f>COUNTIFS($B$10:$B$40,"fr",[0]!AUGUST,"Skema 2")</f>
        <v>0</v>
      </c>
      <c r="H74" s="498"/>
      <c r="I74" s="662" t="s">
        <v>611</v>
      </c>
      <c r="J74" s="662"/>
      <c r="K74" s="662"/>
      <c r="L74" s="662"/>
      <c r="M74" s="667"/>
      <c r="N74" s="667"/>
      <c r="O74" s="4"/>
      <c r="P74" s="678">
        <f>IF(Stamoplysninger!$B$26="Der er indgået lokalaftale omkring weekendtillæg(Kræver aftale med TR/FSL). Weekendtimerne udbetales.",FE41+FF41-FG41-FH41,0)</f>
        <v>0</v>
      </c>
      <c r="Q74" s="629"/>
      <c r="V74" t="s">
        <v>748</v>
      </c>
      <c r="Y74"/>
      <c r="Z74"/>
      <c r="AO74" s="1"/>
      <c r="BL74" s="1"/>
      <c r="BW74" s="248"/>
      <c r="BX74" s="248"/>
      <c r="CY74"/>
      <c r="CZ74"/>
    </row>
    <row r="75" spans="1:111" hidden="1">
      <c r="A75" s="506" t="s">
        <v>160</v>
      </c>
      <c r="B75" s="506"/>
      <c r="C75" s="506"/>
      <c r="D75" s="506">
        <f>COUNTIF([0]!AUGUST,"Ikke relevant")</f>
        <v>0</v>
      </c>
      <c r="E75" s="507"/>
      <c r="F75" s="509"/>
      <c r="G75" s="509"/>
      <c r="H75" s="504"/>
      <c r="I75" s="662" t="s">
        <v>617</v>
      </c>
      <c r="J75" s="662"/>
      <c r="K75" s="662"/>
      <c r="L75" s="662"/>
      <c r="M75" s="668"/>
      <c r="N75" s="668"/>
      <c r="O75" s="4"/>
      <c r="P75" s="661"/>
      <c r="R75">
        <f>IF(C10="ikke relevant",V10*-1+X10*-1,0)</f>
        <v>0</v>
      </c>
      <c r="S75" t="s">
        <v>623</v>
      </c>
      <c r="V75">
        <f>IF(C10="ikke relevant",R10*-1,0)</f>
        <v>0</v>
      </c>
      <c r="Y75"/>
      <c r="Z75"/>
      <c r="AO75" s="1"/>
      <c r="BL75" s="1"/>
      <c r="BW75" s="248"/>
      <c r="BX75" s="248"/>
      <c r="CY75"/>
      <c r="CZ75"/>
    </row>
    <row r="76" spans="1:111" hidden="1">
      <c r="A76" s="503" t="s">
        <v>416</v>
      </c>
      <c r="B76" s="506"/>
      <c r="C76" s="506"/>
      <c r="D76" s="506">
        <f>COUNTIF([0]!AUGUST,"Orlov")</f>
        <v>0</v>
      </c>
      <c r="E76" s="507"/>
      <c r="F76" s="506" t="s">
        <v>196</v>
      </c>
      <c r="G76" s="506">
        <f>COUNTIFS($B$10:$B$40,"ma",[0]!AUGUST,"Skema 3")</f>
        <v>0</v>
      </c>
      <c r="H76" s="498"/>
      <c r="I76" s="662"/>
      <c r="J76" s="662"/>
      <c r="K76" s="662"/>
      <c r="L76" s="511"/>
      <c r="M76" s="668"/>
      <c r="N76" s="668"/>
      <c r="O76" s="4"/>
      <c r="P76" s="661"/>
      <c r="R76">
        <f>IF(C11="ikke relevant",V11*-1+X11*-1,0)</f>
        <v>0</v>
      </c>
      <c r="V76">
        <f>IF(C11="ikke relevant",R11*-1,0)</f>
        <v>0</v>
      </c>
      <c r="Y76"/>
      <c r="Z76"/>
      <c r="AO76" s="1"/>
      <c r="BL76" s="1"/>
      <c r="BW76" s="248"/>
      <c r="BX76" s="248"/>
      <c r="CY76"/>
      <c r="CZ76"/>
    </row>
    <row r="77" spans="1:111" hidden="1">
      <c r="A77" s="506" t="s">
        <v>108</v>
      </c>
      <c r="B77" s="506"/>
      <c r="C77" s="506"/>
      <c r="D77" s="506">
        <f>SUM(D64:D76)</f>
        <v>31</v>
      </c>
      <c r="E77" s="506"/>
      <c r="F77" s="506" t="s">
        <v>197</v>
      </c>
      <c r="G77" s="506">
        <f>COUNTIFS($B$10:$B$40,"ti",[0]!AUGUST,"Skema 3")</f>
        <v>0</v>
      </c>
      <c r="H77" s="498"/>
      <c r="I77" s="662"/>
      <c r="J77" s="662"/>
      <c r="K77" s="662"/>
      <c r="L77" s="511"/>
      <c r="M77" s="668"/>
      <c r="N77" s="668"/>
      <c r="O77" s="4"/>
      <c r="P77" s="661"/>
      <c r="R77">
        <f t="shared" ref="R77:R105" si="37">IF(C12="ikke relevant",V12*-1+X12*-1,0)</f>
        <v>0</v>
      </c>
      <c r="V77">
        <f t="shared" ref="V77:V105" si="38">IF(C12="ikke relevant",R12*-1,0)</f>
        <v>0</v>
      </c>
      <c r="Y77"/>
      <c r="Z77"/>
      <c r="AO77" s="1"/>
      <c r="BL77" s="1"/>
      <c r="BW77" s="248"/>
      <c r="BX77" s="248"/>
      <c r="CY77"/>
      <c r="CZ77"/>
    </row>
    <row r="78" spans="1:111" hidden="1">
      <c r="A78" s="506" t="s">
        <v>239</v>
      </c>
      <c r="B78" s="506"/>
      <c r="C78" s="506"/>
      <c r="D78" s="506">
        <f>D77-D71-A87-D75</f>
        <v>22</v>
      </c>
      <c r="E78" s="510"/>
      <c r="F78" s="506" t="s">
        <v>198</v>
      </c>
      <c r="G78" s="506">
        <f>COUNTIFS($B$10:$B$40,"on",[0]!AUGUST,"Skema 3")</f>
        <v>0</v>
      </c>
      <c r="H78" s="498"/>
      <c r="I78" s="662"/>
      <c r="J78" s="662"/>
      <c r="K78" s="662"/>
      <c r="L78" s="511"/>
      <c r="M78" s="668"/>
      <c r="N78" s="668"/>
      <c r="O78" s="4"/>
      <c r="P78" s="661"/>
      <c r="R78">
        <f t="shared" si="37"/>
        <v>0</v>
      </c>
      <c r="V78">
        <f t="shared" si="38"/>
        <v>0</v>
      </c>
      <c r="Y78"/>
      <c r="Z78"/>
      <c r="AO78" s="1"/>
      <c r="BL78" s="1"/>
      <c r="BW78" s="248"/>
      <c r="BX78" s="248"/>
      <c r="CY78"/>
      <c r="CZ78"/>
    </row>
    <row r="79" spans="1:111" hidden="1">
      <c r="A79" s="506"/>
      <c r="B79" s="506"/>
      <c r="C79" s="506"/>
      <c r="D79" s="506"/>
      <c r="E79" s="506"/>
      <c r="F79" s="506" t="s">
        <v>199</v>
      </c>
      <c r="G79" s="506">
        <f>COUNTIFS($B$10:$B$40,"to",[0]!AUGUST,"Skema 3")</f>
        <v>0</v>
      </c>
      <c r="H79" s="498"/>
      <c r="I79" s="664"/>
      <c r="J79" s="662"/>
      <c r="K79" s="662"/>
      <c r="L79" s="511"/>
      <c r="M79" s="660"/>
      <c r="N79" s="660"/>
      <c r="O79" s="4"/>
      <c r="P79" s="661"/>
      <c r="R79">
        <f t="shared" si="37"/>
        <v>0</v>
      </c>
      <c r="V79">
        <f t="shared" si="38"/>
        <v>0</v>
      </c>
      <c r="Y79"/>
      <c r="Z79"/>
      <c r="AO79" s="1"/>
      <c r="BL79" s="1"/>
      <c r="BW79" s="248"/>
      <c r="BX79" s="248"/>
      <c r="CY79"/>
      <c r="CZ79"/>
    </row>
    <row r="80" spans="1:111" hidden="1">
      <c r="A80" s="506"/>
      <c r="B80" s="506"/>
      <c r="C80" s="506"/>
      <c r="D80" s="506"/>
      <c r="E80" s="506"/>
      <c r="F80" s="506" t="s">
        <v>200</v>
      </c>
      <c r="G80" s="506">
        <f>COUNTIFS($B$10:$B$40,"fr",[0]!AUGUST,"Skema 3")</f>
        <v>0</v>
      </c>
      <c r="H80" s="498"/>
      <c r="I80" s="506"/>
      <c r="J80" s="511"/>
      <c r="K80" s="511"/>
      <c r="L80" s="511"/>
      <c r="M80" s="4"/>
      <c r="N80" s="4"/>
      <c r="O80" s="4"/>
      <c r="P80" s="4"/>
      <c r="R80">
        <f t="shared" si="37"/>
        <v>0</v>
      </c>
      <c r="V80">
        <f t="shared" si="38"/>
        <v>0</v>
      </c>
      <c r="Y80"/>
      <c r="Z80"/>
      <c r="AO80" s="1"/>
      <c r="BL80" s="1"/>
      <c r="BW80" s="248"/>
      <c r="BX80" s="248"/>
      <c r="CY80"/>
      <c r="CZ80"/>
    </row>
    <row r="81" spans="1:111" hidden="1">
      <c r="A81" s="506" t="s">
        <v>292</v>
      </c>
      <c r="B81" s="506"/>
      <c r="C81" s="506"/>
      <c r="D81" s="506"/>
      <c r="E81" s="506"/>
      <c r="F81" s="506"/>
      <c r="G81" s="506"/>
      <c r="H81" s="498"/>
      <c r="I81" s="506"/>
      <c r="J81" s="511"/>
      <c r="K81" s="511"/>
      <c r="L81" s="511"/>
      <c r="M81" s="4"/>
      <c r="N81" s="4"/>
      <c r="O81" s="4"/>
      <c r="P81" s="4"/>
      <c r="R81">
        <f t="shared" si="37"/>
        <v>0</v>
      </c>
      <c r="V81">
        <f t="shared" si="38"/>
        <v>0</v>
      </c>
      <c r="Y81"/>
      <c r="Z81"/>
      <c r="AO81" s="1"/>
      <c r="BL81" s="1"/>
      <c r="BW81" s="248"/>
      <c r="BX81" s="248"/>
      <c r="CY81"/>
      <c r="CZ81"/>
    </row>
    <row r="82" spans="1:111" hidden="1">
      <c r="A82" s="506">
        <f>COUNTIF($C$12:$C$13,"Skema 1")+COUNTIF($C$12:$C$13,"Skema 2")+COUNTIF($C$12:$C$13,"Skema 3")+COUNTIF($C$12:$C$13,"Skema 4")+COUNTIF($C$12:$C$13,"Fagdag")+COUNTIF($C$12:$C$13,"Emnedag")+COUNTIF($C$12:$C$13,"Lejrskole")+COUNTIF($C$12:$C$13,"Ekskursion")+COUNTIF($C$12:$C$13,"Pæd.dag")</f>
        <v>0</v>
      </c>
      <c r="B82" s="506"/>
      <c r="C82" s="506"/>
      <c r="D82" s="506"/>
      <c r="E82" s="506"/>
      <c r="F82" s="506" t="s">
        <v>201</v>
      </c>
      <c r="G82" s="506">
        <f>COUNTIFS($B$10:$B$40,"ma",[0]!AUGUST,"Skema 4")</f>
        <v>0</v>
      </c>
      <c r="H82" s="498"/>
      <c r="I82" s="506"/>
      <c r="J82" s="511"/>
      <c r="K82" s="511"/>
      <c r="L82" s="511"/>
      <c r="M82" s="4"/>
      <c r="N82" s="4"/>
      <c r="O82" s="4"/>
      <c r="P82" s="4"/>
      <c r="R82">
        <f t="shared" si="37"/>
        <v>0</v>
      </c>
      <c r="V82">
        <f t="shared" si="38"/>
        <v>0</v>
      </c>
      <c r="Y82"/>
      <c r="Z82"/>
      <c r="AO82" s="1">
        <f>SUM(N82:AN82)</f>
        <v>0</v>
      </c>
      <c r="BL82" s="1">
        <f>SUM(AI82:BK82)</f>
        <v>0</v>
      </c>
      <c r="BW82" s="248"/>
      <c r="BX82" s="248"/>
      <c r="CY82"/>
      <c r="CZ82"/>
    </row>
    <row r="83" spans="1:111" hidden="1">
      <c r="A83" s="506">
        <f>COUNTIF($C$10:$C$11,"Skema 1")+COUNTIF($C$10:$C$11,"Skema 2")+COUNTIF($C$10:$C$11,"Skema 3")+COUNTIF($C$10:$C$11,"Skema 4")+COUNTIF($C$10:$C$11,"Fagdag")+COUNTIF($C$10:$C$11,"Emnedag")+COUNTIF($C$10:$C$11,"Lejrskole")+COUNTIF($C$10:$C$11,"Ekskursion")+COUNTIF($C$10:$C$11,"Pæd.dag")</f>
        <v>0</v>
      </c>
      <c r="B83" s="506"/>
      <c r="C83" s="506"/>
      <c r="D83" s="506"/>
      <c r="E83" s="506"/>
      <c r="F83" s="506" t="s">
        <v>202</v>
      </c>
      <c r="G83" s="506">
        <f>COUNTIFS($B$10:$B$40,"ti",[0]!AUGUST,"Skema 4")</f>
        <v>0</v>
      </c>
      <c r="H83" s="498"/>
      <c r="I83" s="506"/>
      <c r="J83" s="511"/>
      <c r="K83" s="511"/>
      <c r="L83" s="511"/>
      <c r="M83" s="4"/>
      <c r="N83" s="4"/>
      <c r="O83" s="4"/>
      <c r="P83" s="4"/>
      <c r="R83">
        <f t="shared" si="37"/>
        <v>0</v>
      </c>
      <c r="V83">
        <f t="shared" si="38"/>
        <v>0</v>
      </c>
      <c r="Y83"/>
      <c r="Z83"/>
      <c r="AO83" s="1">
        <f>SUM(N83:AN83)</f>
        <v>0</v>
      </c>
      <c r="BL83" s="1">
        <f>SUM(AI83:BK83)</f>
        <v>0</v>
      </c>
      <c r="BW83" s="248"/>
      <c r="BX83" s="248"/>
      <c r="CY83"/>
      <c r="CZ83"/>
    </row>
    <row r="84" spans="1:111" hidden="1">
      <c r="A84" s="506">
        <f>COUNTIF($C$26:$C$27,"Skema 1")+COUNTIF($C$26:$C$27,"Skema 2")+COUNTIF($C$26:$C$27,"Skema 3")+COUNTIF($C$26:$C$27,"Skema 4")+COUNTIF($C$26:$C$27,"Fagdag")+COUNTIF($C$26:$C$27,"Emnedag")+COUNTIF($C$26:$C$27,"Lejrskole")+COUNTIF($C$26:$C$27,"Ekskursion")+COUNTIF($C$26:$C$27,"Pæd.dag")</f>
        <v>0</v>
      </c>
      <c r="B84" s="506"/>
      <c r="C84" s="506"/>
      <c r="D84" s="506"/>
      <c r="E84" s="506"/>
      <c r="F84" s="506" t="s">
        <v>203</v>
      </c>
      <c r="G84" s="506">
        <f>COUNTIFS($B$10:$B$40,"on",[0]!AUGUST,"Skema 4")</f>
        <v>0</v>
      </c>
      <c r="H84" s="498"/>
      <c r="I84" s="506"/>
      <c r="J84" s="511"/>
      <c r="K84" s="511"/>
      <c r="L84" s="511"/>
      <c r="M84" s="4"/>
      <c r="N84" s="4"/>
      <c r="O84" s="4"/>
      <c r="P84" s="4"/>
      <c r="R84">
        <f t="shared" si="37"/>
        <v>0</v>
      </c>
      <c r="V84">
        <f t="shared" si="38"/>
        <v>0</v>
      </c>
      <c r="Y84"/>
      <c r="Z84"/>
      <c r="AO84" s="1">
        <f>SUM(N84:AN84)</f>
        <v>0</v>
      </c>
      <c r="BL84" s="1">
        <f>SUM(AI84:BK84)</f>
        <v>0</v>
      </c>
      <c r="BW84" s="248"/>
      <c r="BX84" s="248"/>
      <c r="CY84"/>
      <c r="CZ84"/>
    </row>
    <row r="85" spans="1:111" hidden="1">
      <c r="A85" s="506">
        <f>COUNTIF($C$33:$C$34,"Skema 1")+COUNTIF($C$33:$C$34,"Skema 2")+COUNTIF($C$33:$C$34,"Skema 3")+COUNTIF($C$33:$C$34,"Skema 4")+COUNTIF($C$33:$C$34,"Fagdag")+COUNTIF($C$33:$C$34,"Emnedag")+COUNTIF($C$33:$C$34,"Lejrskole")+COUNTIF($C$33:$C$34,"Ekskursion")+COUNTIF($C$33:$C$34,"Pæd.dag")</f>
        <v>0</v>
      </c>
      <c r="B85" s="506"/>
      <c r="C85" s="506"/>
      <c r="D85" s="506"/>
      <c r="E85" s="506"/>
      <c r="F85" s="506" t="s">
        <v>204</v>
      </c>
      <c r="G85" s="506">
        <f>COUNTIFS($B$10:$B$40,"to",[0]!AUGUST,"Skema 4")</f>
        <v>0</v>
      </c>
      <c r="H85" s="498"/>
      <c r="I85" s="506"/>
      <c r="J85" s="511"/>
      <c r="K85" s="511"/>
      <c r="L85" s="511"/>
      <c r="M85" s="4"/>
      <c r="N85" s="4"/>
      <c r="O85" s="4"/>
      <c r="P85" s="4"/>
      <c r="R85">
        <f t="shared" si="37"/>
        <v>0</v>
      </c>
      <c r="V85">
        <f t="shared" si="38"/>
        <v>0</v>
      </c>
      <c r="Y85"/>
      <c r="Z85"/>
      <c r="AO85" s="1">
        <f>SUM(N85:AN85)</f>
        <v>0</v>
      </c>
      <c r="BL85" s="1">
        <f>SUM(AI85:BK85)</f>
        <v>0</v>
      </c>
      <c r="BW85" s="248"/>
      <c r="BX85" s="248"/>
      <c r="CY85"/>
      <c r="CZ85"/>
    </row>
    <row r="86" spans="1:111" hidden="1">
      <c r="A86" s="506">
        <f>COUNTIF($C$40,"Skema 1")+COUNTIF($C$40,"Skema 2")+COUNTIF($C$40,"Skema 3")+COUNTIF($C$40,"Skema 4")+COUNTIF($C$40,"Fagdag")+COUNTIF($C$40,"Emnedag")+COUNTIF($C$40,"Lejrskole")+COUNTIF($C$40,"Ekskursion")+COUNTIF($C$40,"Pæd.dag")</f>
        <v>0</v>
      </c>
      <c r="B86" s="506"/>
      <c r="C86" s="506"/>
      <c r="D86" s="506"/>
      <c r="E86" s="506"/>
      <c r="F86" s="506" t="s">
        <v>205</v>
      </c>
      <c r="G86" s="506">
        <f>COUNTIFS($B$10:$B$40,"fr",[0]!AUGUST,"Skema 4")</f>
        <v>0</v>
      </c>
      <c r="H86" s="498"/>
      <c r="I86" s="498"/>
      <c r="J86" s="501"/>
      <c r="K86" s="501"/>
      <c r="L86" s="41"/>
      <c r="R86">
        <f t="shared" si="37"/>
        <v>0</v>
      </c>
      <c r="V86">
        <f t="shared" si="38"/>
        <v>0</v>
      </c>
      <c r="Y86"/>
      <c r="Z86"/>
      <c r="BW86" s="248"/>
      <c r="BX86" s="248"/>
      <c r="CY86"/>
      <c r="CZ86"/>
    </row>
    <row r="87" spans="1:111" hidden="1">
      <c r="A87" s="506">
        <f>SUM(A82:A86)</f>
        <v>0</v>
      </c>
      <c r="B87" s="506"/>
      <c r="C87" s="506"/>
      <c r="D87" s="506"/>
      <c r="E87" s="506"/>
      <c r="F87" s="506"/>
      <c r="G87" s="506">
        <f>SUM(G64:G86)</f>
        <v>14</v>
      </c>
      <c r="H87" s="501"/>
      <c r="I87" s="498"/>
      <c r="J87" s="501"/>
      <c r="K87" s="501"/>
      <c r="L87" s="41"/>
      <c r="R87">
        <f t="shared" si="37"/>
        <v>0</v>
      </c>
      <c r="V87">
        <f t="shared" si="38"/>
        <v>0</v>
      </c>
      <c r="Y87"/>
      <c r="Z87"/>
      <c r="BW87" s="248"/>
      <c r="BX87" s="248"/>
      <c r="CY87"/>
      <c r="CZ87"/>
    </row>
    <row r="88" spans="1:111" hidden="1">
      <c r="A88" s="511"/>
      <c r="B88" s="511"/>
      <c r="C88" s="511"/>
      <c r="D88" s="511"/>
      <c r="E88" s="506"/>
      <c r="F88" s="506"/>
      <c r="G88" s="506"/>
      <c r="H88" s="501"/>
      <c r="I88" s="501"/>
      <c r="J88" s="501"/>
      <c r="K88" s="501"/>
      <c r="L88" s="41"/>
      <c r="R88">
        <f t="shared" si="37"/>
        <v>0</v>
      </c>
      <c r="V88">
        <f t="shared" si="38"/>
        <v>0</v>
      </c>
      <c r="Y88"/>
      <c r="Z88"/>
      <c r="BW88" s="248"/>
      <c r="BX88" s="248"/>
      <c r="CY88"/>
      <c r="CZ88"/>
    </row>
    <row r="89" spans="1:111" hidden="1">
      <c r="A89" s="512" t="s">
        <v>206</v>
      </c>
      <c r="B89" s="511"/>
      <c r="C89" s="511"/>
      <c r="D89" s="511"/>
      <c r="E89" s="506"/>
      <c r="F89" s="506"/>
      <c r="G89" s="506"/>
      <c r="H89" s="501"/>
      <c r="I89" s="41"/>
      <c r="J89" s="501"/>
      <c r="K89" s="501"/>
      <c r="L89" s="41"/>
      <c r="R89">
        <f t="shared" si="37"/>
        <v>0</v>
      </c>
      <c r="V89">
        <f t="shared" si="38"/>
        <v>0</v>
      </c>
      <c r="Y89"/>
      <c r="Z89"/>
      <c r="BW89" s="248"/>
      <c r="BX89" s="248"/>
      <c r="CY89"/>
      <c r="CZ89"/>
    </row>
    <row r="90" spans="1:111" hidden="1">
      <c r="A90" s="513" t="s">
        <v>207</v>
      </c>
      <c r="B90" s="511"/>
      <c r="C90" s="511"/>
      <c r="D90" s="511"/>
      <c r="E90" s="498"/>
      <c r="F90" s="498"/>
      <c r="G90" s="498"/>
      <c r="H90" s="501"/>
      <c r="I90" s="41"/>
      <c r="J90" s="41"/>
      <c r="K90" s="41"/>
      <c r="L90" s="41"/>
      <c r="R90">
        <f t="shared" si="37"/>
        <v>0</v>
      </c>
      <c r="V90">
        <f t="shared" si="38"/>
        <v>0</v>
      </c>
      <c r="Y90"/>
      <c r="Z90"/>
      <c r="BW90" s="248"/>
      <c r="BX90" s="248"/>
      <c r="CY90"/>
      <c r="CZ90"/>
    </row>
    <row r="91" spans="1:111" hidden="1">
      <c r="A91" s="514" t="s">
        <v>208</v>
      </c>
      <c r="B91" s="501"/>
      <c r="C91" s="501"/>
      <c r="D91" s="501"/>
      <c r="E91" s="498"/>
      <c r="F91" s="498"/>
      <c r="G91" s="498"/>
      <c r="H91" s="501"/>
      <c r="I91" s="41"/>
      <c r="J91" s="41"/>
      <c r="K91" s="41"/>
      <c r="L91" s="41"/>
      <c r="R91">
        <f t="shared" si="37"/>
        <v>0</v>
      </c>
      <c r="V91">
        <f t="shared" si="38"/>
        <v>0</v>
      </c>
      <c r="Y91"/>
      <c r="Z91"/>
      <c r="AD91" s="4"/>
      <c r="AE91" s="231"/>
      <c r="AF91" s="231"/>
      <c r="AG91" s="231"/>
      <c r="AH91" s="231"/>
      <c r="CY91"/>
      <c r="CZ91"/>
      <c r="DF91" s="248"/>
      <c r="DG91" s="248"/>
    </row>
    <row r="92" spans="1:111" hidden="1">
      <c r="A92" s="498" t="s">
        <v>209</v>
      </c>
      <c r="B92" s="501"/>
      <c r="C92" s="501"/>
      <c r="D92" s="501"/>
      <c r="E92" s="498"/>
      <c r="F92" s="498"/>
      <c r="G92" s="498"/>
      <c r="H92" s="501"/>
      <c r="I92" s="41"/>
      <c r="J92" s="41"/>
      <c r="K92" s="41"/>
      <c r="L92" s="41"/>
      <c r="R92">
        <f t="shared" si="37"/>
        <v>0</v>
      </c>
      <c r="V92">
        <f t="shared" si="38"/>
        <v>0</v>
      </c>
      <c r="Y92"/>
      <c r="Z92"/>
      <c r="AD92" s="4"/>
      <c r="AE92" s="231"/>
      <c r="AF92" s="231"/>
      <c r="AG92" s="231"/>
      <c r="AH92" s="231"/>
      <c r="CY92"/>
      <c r="CZ92"/>
      <c r="DF92" s="248"/>
      <c r="DG92" s="248"/>
    </row>
    <row r="93" spans="1:111" hidden="1">
      <c r="A93" s="123" t="s">
        <v>136</v>
      </c>
      <c r="B93" s="41"/>
      <c r="C93" s="41"/>
      <c r="D93" s="41"/>
      <c r="E93" s="123"/>
      <c r="F93" s="123"/>
      <c r="G93" s="123"/>
      <c r="H93" s="41"/>
      <c r="I93" s="41"/>
      <c r="J93" s="41"/>
      <c r="K93" s="41"/>
      <c r="L93" s="41"/>
      <c r="R93">
        <f t="shared" si="37"/>
        <v>0</v>
      </c>
      <c r="V93">
        <f t="shared" si="38"/>
        <v>0</v>
      </c>
    </row>
    <row r="94" spans="1:111" hidden="1">
      <c r="A94" s="123" t="s">
        <v>211</v>
      </c>
      <c r="B94" s="41"/>
      <c r="C94" s="41"/>
      <c r="D94" s="41"/>
      <c r="E94" s="123"/>
      <c r="F94" s="123"/>
      <c r="G94" s="123"/>
      <c r="H94" s="41"/>
      <c r="I94" s="41"/>
      <c r="J94" s="41"/>
      <c r="K94" s="41"/>
      <c r="L94" s="41"/>
      <c r="R94">
        <f t="shared" si="37"/>
        <v>0</v>
      </c>
      <c r="V94">
        <f t="shared" si="38"/>
        <v>0</v>
      </c>
    </row>
    <row r="95" spans="1:111" hidden="1">
      <c r="A95" s="123" t="s">
        <v>137</v>
      </c>
      <c r="B95" s="41"/>
      <c r="C95" s="41"/>
      <c r="D95" s="41"/>
      <c r="E95" s="123"/>
      <c r="F95" s="123"/>
      <c r="G95" s="123"/>
      <c r="H95" s="41"/>
      <c r="I95" s="41"/>
      <c r="J95" s="41"/>
      <c r="K95" s="41"/>
      <c r="L95" s="41"/>
      <c r="R95">
        <f t="shared" si="37"/>
        <v>0</v>
      </c>
      <c r="V95">
        <f t="shared" si="38"/>
        <v>0</v>
      </c>
    </row>
    <row r="96" spans="1:111" hidden="1">
      <c r="A96" s="476" t="s">
        <v>138</v>
      </c>
      <c r="B96" s="41"/>
      <c r="C96" s="41"/>
      <c r="D96" s="41"/>
      <c r="E96" s="123"/>
      <c r="F96" s="123"/>
      <c r="G96" s="123"/>
      <c r="H96" s="41"/>
      <c r="I96" s="41"/>
      <c r="J96" s="41"/>
      <c r="K96" s="41"/>
      <c r="L96" s="41"/>
      <c r="R96">
        <f t="shared" si="37"/>
        <v>0</v>
      </c>
      <c r="V96">
        <f t="shared" si="38"/>
        <v>0</v>
      </c>
    </row>
    <row r="97" spans="1:22" hidden="1">
      <c r="A97" s="477" t="s">
        <v>139</v>
      </c>
      <c r="B97" s="41"/>
      <c r="C97" s="41"/>
      <c r="D97" s="41"/>
      <c r="E97" s="123"/>
      <c r="F97" s="123"/>
      <c r="G97" s="123"/>
      <c r="H97" s="41"/>
      <c r="I97" s="41"/>
      <c r="J97" s="41"/>
      <c r="K97" s="41"/>
      <c r="L97" s="41"/>
      <c r="R97">
        <f t="shared" si="37"/>
        <v>0</v>
      </c>
      <c r="V97">
        <f t="shared" si="38"/>
        <v>0</v>
      </c>
    </row>
    <row r="98" spans="1:22" hidden="1">
      <c r="A98" s="478" t="s">
        <v>128</v>
      </c>
      <c r="B98" s="41"/>
      <c r="C98" s="41"/>
      <c r="D98" s="41"/>
      <c r="E98" s="41"/>
      <c r="F98" s="41"/>
      <c r="G98" s="41"/>
      <c r="H98" s="41"/>
      <c r="I98" s="41"/>
      <c r="J98" s="41"/>
      <c r="K98" s="41"/>
      <c r="L98" s="41"/>
      <c r="R98">
        <f t="shared" si="37"/>
        <v>0</v>
      </c>
      <c r="V98">
        <f t="shared" si="38"/>
        <v>0</v>
      </c>
    </row>
    <row r="99" spans="1:22" hidden="1">
      <c r="A99" s="479" t="s">
        <v>120</v>
      </c>
      <c r="B99" s="41"/>
      <c r="C99" s="41"/>
      <c r="D99" s="41"/>
      <c r="E99" s="41"/>
      <c r="F99" s="41"/>
      <c r="G99" s="41"/>
      <c r="H99" s="41"/>
      <c r="I99" s="41"/>
      <c r="J99" s="41"/>
      <c r="K99" s="41"/>
      <c r="L99" s="41"/>
      <c r="R99">
        <f t="shared" si="37"/>
        <v>0</v>
      </c>
      <c r="V99">
        <f t="shared" si="38"/>
        <v>0</v>
      </c>
    </row>
    <row r="100" spans="1:22" hidden="1">
      <c r="A100" s="480" t="s">
        <v>210</v>
      </c>
      <c r="B100" s="41"/>
      <c r="C100" s="41"/>
      <c r="D100" s="41"/>
      <c r="E100" s="41"/>
      <c r="F100" s="41"/>
      <c r="G100" s="41"/>
      <c r="H100" s="41"/>
      <c r="I100" s="41"/>
      <c r="J100" s="41"/>
      <c r="K100" s="41"/>
      <c r="L100" s="445"/>
      <c r="R100">
        <f t="shared" si="37"/>
        <v>0</v>
      </c>
      <c r="V100">
        <f t="shared" si="38"/>
        <v>0</v>
      </c>
    </row>
    <row r="101" spans="1:22" hidden="1">
      <c r="A101" s="481" t="s">
        <v>119</v>
      </c>
      <c r="B101" s="41"/>
      <c r="C101" s="41"/>
      <c r="D101" s="41"/>
      <c r="E101" s="41"/>
      <c r="F101" s="41"/>
      <c r="G101" s="41"/>
      <c r="H101" s="41"/>
      <c r="I101" s="41"/>
      <c r="J101" s="41"/>
      <c r="K101" s="41"/>
      <c r="L101" s="445"/>
      <c r="R101">
        <f t="shared" si="37"/>
        <v>0</v>
      </c>
      <c r="V101">
        <f t="shared" si="38"/>
        <v>0</v>
      </c>
    </row>
    <row r="102" spans="1:22" hidden="1">
      <c r="A102" s="481" t="s">
        <v>416</v>
      </c>
      <c r="B102" s="41"/>
      <c r="C102" s="41"/>
      <c r="D102" s="41"/>
      <c r="E102" s="41"/>
      <c r="F102" s="41"/>
      <c r="G102" s="41"/>
      <c r="H102" s="41"/>
      <c r="I102" s="41"/>
      <c r="J102" s="41"/>
      <c r="K102" s="41"/>
      <c r="L102" s="445"/>
      <c r="R102">
        <f t="shared" si="37"/>
        <v>0</v>
      </c>
      <c r="V102">
        <f t="shared" si="38"/>
        <v>0</v>
      </c>
    </row>
    <row r="103" spans="1:22" hidden="1">
      <c r="A103" s="177" t="s">
        <v>160</v>
      </c>
      <c r="B103" s="41"/>
      <c r="C103" s="41"/>
      <c r="D103" s="41"/>
      <c r="E103" s="41"/>
      <c r="F103" s="41"/>
      <c r="G103" s="41"/>
      <c r="H103" s="41"/>
      <c r="I103" s="445"/>
      <c r="J103" s="41"/>
      <c r="K103" s="41"/>
      <c r="L103" s="445"/>
      <c r="R103">
        <f t="shared" si="37"/>
        <v>0</v>
      </c>
      <c r="V103">
        <f t="shared" si="38"/>
        <v>0</v>
      </c>
    </row>
    <row r="104" spans="1:22" hidden="1">
      <c r="A104" s="41"/>
      <c r="B104" s="41"/>
      <c r="C104" s="41"/>
      <c r="D104" s="41"/>
      <c r="E104" s="41"/>
      <c r="F104" s="41"/>
      <c r="G104" s="41"/>
      <c r="H104" s="41"/>
      <c r="I104" s="445"/>
      <c r="J104" s="445"/>
      <c r="K104" s="445"/>
      <c r="L104" s="445"/>
      <c r="R104">
        <f t="shared" si="37"/>
        <v>0</v>
      </c>
      <c r="V104">
        <f t="shared" si="38"/>
        <v>0</v>
      </c>
    </row>
    <row r="105" spans="1:22" ht="17" hidden="1" thickBot="1">
      <c r="A105" s="41"/>
      <c r="B105" s="41"/>
      <c r="C105" s="41"/>
      <c r="D105" s="41"/>
      <c r="E105" s="41"/>
      <c r="F105" s="41"/>
      <c r="G105" s="41"/>
      <c r="H105" s="41"/>
      <c r="I105" s="445"/>
      <c r="J105" s="445"/>
      <c r="K105" s="445"/>
      <c r="L105" s="445"/>
      <c r="R105">
        <f t="shared" si="37"/>
        <v>0</v>
      </c>
      <c r="V105">
        <f t="shared" si="38"/>
        <v>0</v>
      </c>
    </row>
    <row r="106" spans="1:22" ht="17" hidden="1" thickBot="1">
      <c r="A106" s="41"/>
      <c r="B106" s="41"/>
      <c r="C106" s="41"/>
      <c r="D106" s="41"/>
      <c r="E106" s="41"/>
      <c r="F106" s="41"/>
      <c r="G106" s="41"/>
      <c r="H106" s="41"/>
      <c r="I106" s="445"/>
      <c r="J106" s="445"/>
      <c r="K106" s="445"/>
      <c r="L106" s="445"/>
      <c r="R106" s="693">
        <f>SUM(R75:R105)+FB41</f>
        <v>0</v>
      </c>
      <c r="V106">
        <f>SUM(V75:V105)</f>
        <v>0</v>
      </c>
    </row>
    <row r="107" spans="1:22" hidden="1">
      <c r="A107" s="445"/>
      <c r="B107" s="445"/>
      <c r="C107" s="445"/>
      <c r="D107" s="445"/>
      <c r="E107" s="445"/>
      <c r="F107" s="445"/>
      <c r="G107" s="445"/>
      <c r="H107" s="445"/>
      <c r="I107" s="445"/>
      <c r="J107" s="445"/>
      <c r="K107" s="445"/>
      <c r="L107" s="445"/>
    </row>
    <row r="108" spans="1:22" hidden="1">
      <c r="A108" s="445"/>
      <c r="B108" s="445"/>
      <c r="C108" s="445"/>
      <c r="D108" s="445"/>
      <c r="E108" s="445"/>
      <c r="F108" s="445"/>
      <c r="G108" s="445"/>
      <c r="H108" s="445"/>
      <c r="I108" s="445"/>
      <c r="J108" s="445"/>
      <c r="K108" s="445"/>
      <c r="L108" s="445"/>
    </row>
    <row r="109" spans="1:22" hidden="1">
      <c r="A109" s="445"/>
      <c r="B109" s="445"/>
      <c r="C109" s="445"/>
      <c r="D109" s="445"/>
      <c r="E109" s="445"/>
      <c r="F109" s="445"/>
      <c r="G109" s="445"/>
      <c r="H109" s="445"/>
      <c r="I109" s="445"/>
      <c r="J109" s="445"/>
      <c r="K109" s="445"/>
      <c r="L109" s="445"/>
    </row>
    <row r="110" spans="1:22" hidden="1">
      <c r="A110" s="445"/>
      <c r="B110" s="445"/>
      <c r="C110" s="445"/>
      <c r="D110" s="445"/>
      <c r="E110" s="445"/>
      <c r="F110" s="445"/>
      <c r="G110" s="445"/>
      <c r="H110" s="445"/>
      <c r="I110" s="445"/>
      <c r="J110" s="445"/>
      <c r="K110" s="445"/>
      <c r="L110" s="445"/>
    </row>
    <row r="111" spans="1:22" hidden="1">
      <c r="A111" s="445"/>
      <c r="B111" s="445"/>
      <c r="C111" s="445"/>
      <c r="D111" s="445"/>
      <c r="E111" s="445"/>
      <c r="F111" s="445"/>
      <c r="G111" s="445"/>
      <c r="H111" s="445"/>
      <c r="I111" s="445"/>
      <c r="J111" s="445"/>
      <c r="K111" s="445"/>
      <c r="L111" s="445"/>
    </row>
    <row r="112" spans="1:22" hidden="1">
      <c r="A112" s="445"/>
      <c r="B112" s="445"/>
      <c r="C112" s="445"/>
      <c r="D112" s="445"/>
      <c r="E112" s="445"/>
      <c r="F112" s="445"/>
      <c r="G112" s="445"/>
      <c r="H112" s="445"/>
      <c r="I112" s="445"/>
      <c r="J112" s="445"/>
      <c r="K112" s="445"/>
      <c r="L112" s="445"/>
    </row>
    <row r="113" spans="1:12" hidden="1">
      <c r="A113" s="445"/>
      <c r="B113" s="445"/>
      <c r="C113" s="445"/>
      <c r="D113" s="445"/>
      <c r="E113" s="445"/>
      <c r="F113" s="445"/>
      <c r="G113" s="445"/>
      <c r="H113" s="445"/>
      <c r="I113" s="445"/>
      <c r="J113" s="445"/>
      <c r="K113" s="445"/>
      <c r="L113" s="445"/>
    </row>
    <row r="114" spans="1:12" hidden="1">
      <c r="A114" s="445"/>
      <c r="B114" s="445"/>
      <c r="C114" s="445"/>
      <c r="D114" s="445"/>
      <c r="E114" s="445"/>
      <c r="F114" s="445"/>
      <c r="G114" s="445"/>
      <c r="H114" s="445"/>
      <c r="I114" s="445"/>
      <c r="J114" s="445"/>
      <c r="K114" s="445"/>
      <c r="L114" s="445"/>
    </row>
    <row r="115" spans="1:12" hidden="1">
      <c r="A115" s="445"/>
      <c r="B115" s="445"/>
      <c r="C115" s="445"/>
      <c r="D115" s="445"/>
      <c r="E115" s="445"/>
      <c r="F115" s="445"/>
      <c r="G115" s="445"/>
      <c r="H115" s="445"/>
      <c r="I115" s="445"/>
      <c r="J115" s="445"/>
      <c r="K115" s="445"/>
      <c r="L115" s="445"/>
    </row>
    <row r="116" spans="1:12" hidden="1">
      <c r="A116" s="445"/>
      <c r="B116" s="445"/>
      <c r="C116" s="445"/>
      <c r="D116" s="445"/>
      <c r="E116" s="445"/>
      <c r="F116" s="445"/>
      <c r="G116" s="445"/>
      <c r="H116" s="445"/>
      <c r="I116" s="445"/>
      <c r="J116" s="445"/>
      <c r="K116" s="445"/>
      <c r="L116" s="445"/>
    </row>
    <row r="117" spans="1:12">
      <c r="A117" s="445"/>
      <c r="B117" s="445"/>
      <c r="C117" s="445"/>
      <c r="D117" s="445"/>
      <c r="E117" s="445"/>
      <c r="F117" s="445"/>
      <c r="G117" s="445"/>
      <c r="H117" s="445"/>
      <c r="I117" s="445"/>
      <c r="J117" s="445"/>
      <c r="K117" s="445"/>
      <c r="L117" s="445"/>
    </row>
    <row r="118" spans="1:12">
      <c r="A118" s="445"/>
      <c r="B118" s="445"/>
      <c r="C118" s="445"/>
      <c r="D118" s="445"/>
      <c r="E118" s="445"/>
      <c r="F118" s="445"/>
      <c r="G118" s="445"/>
      <c r="H118" s="445"/>
      <c r="I118" s="445"/>
      <c r="J118" s="445"/>
      <c r="K118" s="445"/>
      <c r="L118" s="445"/>
    </row>
    <row r="119" spans="1:12">
      <c r="A119" s="445"/>
      <c r="B119" s="445"/>
      <c r="C119" s="445"/>
      <c r="D119" s="445"/>
      <c r="E119" s="445"/>
      <c r="F119" s="445"/>
      <c r="G119" s="445"/>
      <c r="H119" s="445"/>
      <c r="I119" s="445"/>
      <c r="J119" s="445"/>
      <c r="K119" s="445"/>
      <c r="L119" s="445"/>
    </row>
    <row r="120" spans="1:12">
      <c r="A120" s="445"/>
      <c r="B120" s="445"/>
      <c r="C120" s="445"/>
      <c r="D120" s="445"/>
      <c r="E120" s="445"/>
      <c r="F120" s="445"/>
      <c r="G120" s="445"/>
      <c r="H120" s="445"/>
      <c r="I120" s="445"/>
      <c r="J120" s="445"/>
      <c r="K120" s="445"/>
      <c r="L120" s="445"/>
    </row>
    <row r="121" spans="1:12">
      <c r="A121" s="445"/>
      <c r="B121" s="445"/>
      <c r="C121" s="445"/>
      <c r="D121" s="445"/>
      <c r="E121" s="445"/>
      <c r="F121" s="445"/>
      <c r="G121" s="445"/>
      <c r="H121" s="445"/>
      <c r="I121" s="445"/>
      <c r="J121" s="445"/>
      <c r="K121" s="445"/>
      <c r="L121" s="445"/>
    </row>
    <row r="122" spans="1:12">
      <c r="A122" s="445"/>
      <c r="B122" s="445"/>
      <c r="C122" s="445"/>
      <c r="D122" s="445"/>
      <c r="E122" s="445"/>
      <c r="F122" s="445"/>
      <c r="G122" s="445"/>
      <c r="H122" s="445"/>
      <c r="I122" s="445"/>
      <c r="J122" s="445"/>
      <c r="K122" s="445"/>
      <c r="L122" s="445"/>
    </row>
    <row r="123" spans="1:12">
      <c r="A123" s="445"/>
      <c r="B123" s="445"/>
      <c r="C123" s="445"/>
      <c r="D123" s="445"/>
      <c r="E123" s="445"/>
      <c r="F123" s="445"/>
      <c r="G123" s="445"/>
      <c r="H123" s="445"/>
      <c r="I123" s="445"/>
      <c r="J123" s="445"/>
      <c r="K123" s="445"/>
      <c r="L123" s="445"/>
    </row>
    <row r="124" spans="1:12">
      <c r="A124" s="445"/>
      <c r="B124" s="445"/>
      <c r="C124" s="445"/>
      <c r="D124" s="445"/>
      <c r="E124" s="445"/>
      <c r="F124" s="445"/>
      <c r="G124" s="445"/>
      <c r="H124" s="445"/>
      <c r="I124" s="445"/>
      <c r="J124" s="445"/>
      <c r="K124" s="445"/>
      <c r="L124" s="445"/>
    </row>
    <row r="125" spans="1:12">
      <c r="A125" s="445"/>
      <c r="B125" s="445"/>
      <c r="C125" s="445"/>
      <c r="D125" s="445"/>
      <c r="E125" s="445"/>
      <c r="F125" s="445"/>
      <c r="G125" s="445"/>
      <c r="H125" s="445"/>
      <c r="I125" s="445"/>
      <c r="J125" s="445"/>
      <c r="K125" s="445"/>
      <c r="L125" s="445"/>
    </row>
    <row r="126" spans="1:12">
      <c r="A126" s="445"/>
      <c r="B126" s="445"/>
      <c r="C126" s="445"/>
      <c r="D126" s="445"/>
      <c r="E126" s="445"/>
      <c r="F126" s="445"/>
      <c r="G126" s="445"/>
      <c r="H126" s="445"/>
      <c r="I126" s="445"/>
      <c r="J126" s="445"/>
      <c r="K126" s="445"/>
      <c r="L126" s="445"/>
    </row>
    <row r="127" spans="1:12">
      <c r="A127" s="445"/>
      <c r="B127" s="445"/>
      <c r="C127" s="445"/>
      <c r="D127" s="445"/>
      <c r="E127" s="445"/>
      <c r="F127" s="445"/>
      <c r="G127" s="445"/>
      <c r="H127" s="445"/>
      <c r="I127" s="445"/>
      <c r="J127" s="445"/>
      <c r="K127" s="445"/>
      <c r="L127" s="445"/>
    </row>
    <row r="128" spans="1:12">
      <c r="A128" s="445"/>
      <c r="B128" s="445"/>
      <c r="C128" s="445"/>
      <c r="D128" s="445"/>
      <c r="E128" s="445"/>
      <c r="F128" s="445"/>
      <c r="G128" s="445"/>
      <c r="H128" s="445"/>
      <c r="I128" s="445"/>
      <c r="J128" s="445"/>
      <c r="K128" s="445"/>
      <c r="L128" s="445"/>
    </row>
    <row r="129" spans="1:12">
      <c r="A129" s="445"/>
      <c r="B129" s="445"/>
      <c r="C129" s="445"/>
      <c r="D129" s="445"/>
      <c r="E129" s="445"/>
      <c r="F129" s="445"/>
      <c r="G129" s="445"/>
      <c r="H129" s="445"/>
      <c r="I129" s="445"/>
      <c r="J129" s="445"/>
      <c r="K129" s="445"/>
      <c r="L129" s="445"/>
    </row>
    <row r="130" spans="1:12">
      <c r="A130" s="445"/>
      <c r="B130" s="445"/>
      <c r="C130" s="445"/>
      <c r="D130" s="445"/>
      <c r="E130" s="445"/>
      <c r="F130" s="445"/>
      <c r="G130" s="445"/>
      <c r="H130" s="445"/>
      <c r="I130" s="445"/>
      <c r="J130" s="445"/>
      <c r="K130" s="445"/>
      <c r="L130" s="445"/>
    </row>
    <row r="131" spans="1:12">
      <c r="A131" s="445"/>
      <c r="B131" s="445"/>
      <c r="C131" s="445"/>
      <c r="D131" s="445"/>
      <c r="E131" s="445"/>
      <c r="F131" s="445"/>
      <c r="G131" s="445"/>
      <c r="H131" s="445"/>
      <c r="I131" s="445"/>
      <c r="J131" s="445"/>
      <c r="K131" s="445"/>
      <c r="L131" s="445"/>
    </row>
    <row r="132" spans="1:12">
      <c r="A132" s="445"/>
      <c r="B132" s="445"/>
      <c r="C132" s="445"/>
      <c r="D132" s="445"/>
      <c r="E132" s="445"/>
      <c r="F132" s="445"/>
      <c r="G132" s="445"/>
      <c r="H132" s="445"/>
      <c r="I132" s="445"/>
      <c r="J132" s="445"/>
      <c r="K132" s="445"/>
      <c r="L132" s="445"/>
    </row>
    <row r="133" spans="1:12">
      <c r="A133" s="445"/>
      <c r="B133" s="445"/>
      <c r="C133" s="445"/>
      <c r="D133" s="445"/>
      <c r="E133" s="445"/>
      <c r="F133" s="445"/>
      <c r="G133" s="445"/>
      <c r="H133" s="445"/>
      <c r="I133" s="445"/>
      <c r="J133" s="445"/>
      <c r="K133" s="445"/>
      <c r="L133" s="445"/>
    </row>
    <row r="134" spans="1:12">
      <c r="A134" s="445"/>
      <c r="B134" s="445"/>
      <c r="C134" s="445"/>
      <c r="D134" s="445"/>
      <c r="E134" s="445"/>
      <c r="F134" s="445"/>
      <c r="G134" s="445"/>
      <c r="H134" s="445"/>
      <c r="I134" s="445"/>
      <c r="J134" s="445"/>
      <c r="K134" s="445"/>
      <c r="L134" s="445"/>
    </row>
    <row r="135" spans="1:12">
      <c r="A135" s="445"/>
      <c r="B135" s="445"/>
      <c r="C135" s="445"/>
      <c r="D135" s="445"/>
      <c r="E135" s="445"/>
      <c r="F135" s="445"/>
      <c r="G135" s="445"/>
      <c r="H135" s="445"/>
      <c r="I135" s="445"/>
      <c r="J135" s="445"/>
      <c r="K135" s="445"/>
      <c r="L135" s="445"/>
    </row>
    <row r="136" spans="1:12">
      <c r="A136" s="445"/>
      <c r="B136" s="445"/>
      <c r="C136" s="445"/>
      <c r="D136" s="445"/>
      <c r="E136" s="445"/>
      <c r="F136" s="445"/>
      <c r="G136" s="445"/>
      <c r="H136" s="445"/>
      <c r="I136" s="445"/>
      <c r="J136" s="445"/>
      <c r="K136" s="445"/>
    </row>
    <row r="137" spans="1:12">
      <c r="A137" s="445"/>
      <c r="B137" s="445"/>
      <c r="C137" s="445"/>
      <c r="D137" s="445"/>
      <c r="E137" s="445"/>
      <c r="F137" s="445"/>
      <c r="G137" s="445"/>
      <c r="H137" s="445"/>
      <c r="I137" s="445"/>
      <c r="J137" s="445"/>
      <c r="K137" s="445"/>
    </row>
    <row r="138" spans="1:12">
      <c r="I138" s="445"/>
      <c r="J138" s="445"/>
      <c r="K138" s="445"/>
    </row>
    <row r="139" spans="1:12">
      <c r="J139" s="445"/>
      <c r="K139" s="445"/>
    </row>
  </sheetData>
  <sheetProtection sheet="1" objects="1" scenarios="1"/>
  <mergeCells count="174">
    <mergeCell ref="FQ9:FR9"/>
    <mergeCell ref="DS9:DV9"/>
    <mergeCell ref="DZ9:EB9"/>
    <mergeCell ref="EG9:EI9"/>
    <mergeCell ref="EM9:EN9"/>
    <mergeCell ref="EQ9:ER9"/>
    <mergeCell ref="EU9:EV9"/>
    <mergeCell ref="FC9:FD9"/>
    <mergeCell ref="FG9:FH9"/>
    <mergeCell ref="FK9:FL9"/>
    <mergeCell ref="DO7:DV7"/>
    <mergeCell ref="DW7:EB7"/>
    <mergeCell ref="EC7:EJ7"/>
    <mergeCell ref="EK7:EN7"/>
    <mergeCell ref="EO7:ER7"/>
    <mergeCell ref="ES7:EV7"/>
    <mergeCell ref="FA7:FD7"/>
    <mergeCell ref="FE7:FH7"/>
    <mergeCell ref="FI7:FL7"/>
    <mergeCell ref="M54:U54"/>
    <mergeCell ref="V54:X54"/>
    <mergeCell ref="M48:X48"/>
    <mergeCell ref="M49:U49"/>
    <mergeCell ref="V49:X49"/>
    <mergeCell ref="M50:U50"/>
    <mergeCell ref="V50:X50"/>
    <mergeCell ref="M51:U51"/>
    <mergeCell ref="V51:X51"/>
    <mergeCell ref="M52:U52"/>
    <mergeCell ref="V52:X52"/>
    <mergeCell ref="A8:D9"/>
    <mergeCell ref="I50:K50"/>
    <mergeCell ref="A50:H50"/>
    <mergeCell ref="I52:K52"/>
    <mergeCell ref="M43:X43"/>
    <mergeCell ref="M44:U44"/>
    <mergeCell ref="V44:X44"/>
    <mergeCell ref="M45:U45"/>
    <mergeCell ref="V45:X45"/>
    <mergeCell ref="M46:U46"/>
    <mergeCell ref="V46:X46"/>
    <mergeCell ref="M47:U47"/>
    <mergeCell ref="V47:X47"/>
    <mergeCell ref="E33:G33"/>
    <mergeCell ref="E30:G30"/>
    <mergeCell ref="E19:G19"/>
    <mergeCell ref="E20:G20"/>
    <mergeCell ref="E21:G21"/>
    <mergeCell ref="E22:G22"/>
    <mergeCell ref="E23:G23"/>
    <mergeCell ref="E24:G24"/>
    <mergeCell ref="E13:G13"/>
    <mergeCell ref="E14:G14"/>
    <mergeCell ref="E39:G39"/>
    <mergeCell ref="A67:C67"/>
    <mergeCell ref="A43:G43"/>
    <mergeCell ref="I43:K43"/>
    <mergeCell ref="A45:G45"/>
    <mergeCell ref="I45:K45"/>
    <mergeCell ref="A47:G47"/>
    <mergeCell ref="A51:H51"/>
    <mergeCell ref="I51:K51"/>
    <mergeCell ref="A41:I41"/>
    <mergeCell ref="A66:C66"/>
    <mergeCell ref="A44:G44"/>
    <mergeCell ref="I44:K44"/>
    <mergeCell ref="A65:C65"/>
    <mergeCell ref="I47:K47"/>
    <mergeCell ref="A48:G48"/>
    <mergeCell ref="I48:K48"/>
    <mergeCell ref="A46:G46"/>
    <mergeCell ref="I46:K46"/>
    <mergeCell ref="I49:K49"/>
    <mergeCell ref="A49:H49"/>
    <mergeCell ref="I54:K54"/>
    <mergeCell ref="I55:K55"/>
    <mergeCell ref="A54:G55"/>
    <mergeCell ref="A57:B57"/>
    <mergeCell ref="E7:G9"/>
    <mergeCell ref="E40:G40"/>
    <mergeCell ref="BG7:BK7"/>
    <mergeCell ref="BL7:BP7"/>
    <mergeCell ref="BQ7:BU7"/>
    <mergeCell ref="BV7:BZ7"/>
    <mergeCell ref="E37:G37"/>
    <mergeCell ref="E38:G38"/>
    <mergeCell ref="E31:G31"/>
    <mergeCell ref="E32:G32"/>
    <mergeCell ref="E34:G34"/>
    <mergeCell ref="E35:G35"/>
    <mergeCell ref="E36:G36"/>
    <mergeCell ref="E25:G25"/>
    <mergeCell ref="E26:G26"/>
    <mergeCell ref="E27:G27"/>
    <mergeCell ref="E28:G28"/>
    <mergeCell ref="AA7:AE7"/>
    <mergeCell ref="BC7:BF7"/>
    <mergeCell ref="H8:H9"/>
    <mergeCell ref="O7:O8"/>
    <mergeCell ref="S7:X7"/>
    <mergeCell ref="S9:U9"/>
    <mergeCell ref="E29:G29"/>
    <mergeCell ref="I62:K62"/>
    <mergeCell ref="A5:D5"/>
    <mergeCell ref="E2:O2"/>
    <mergeCell ref="E16:G16"/>
    <mergeCell ref="E17:G17"/>
    <mergeCell ref="E18:G18"/>
    <mergeCell ref="E5:G5"/>
    <mergeCell ref="E10:G10"/>
    <mergeCell ref="E11:G11"/>
    <mergeCell ref="E12:G12"/>
    <mergeCell ref="N7:N8"/>
    <mergeCell ref="E3:O3"/>
    <mergeCell ref="A2:D3"/>
    <mergeCell ref="A4:X4"/>
    <mergeCell ref="S6:X6"/>
    <mergeCell ref="V9:X9"/>
    <mergeCell ref="K5:L5"/>
    <mergeCell ref="E15:G15"/>
    <mergeCell ref="A6:R6"/>
    <mergeCell ref="K7:L7"/>
    <mergeCell ref="I9:J9"/>
    <mergeCell ref="I7:I8"/>
    <mergeCell ref="J7:J8"/>
    <mergeCell ref="K9:R9"/>
    <mergeCell ref="CN7:CR7"/>
    <mergeCell ref="CS7:CW7"/>
    <mergeCell ref="Q7:Q8"/>
    <mergeCell ref="R7:R8"/>
    <mergeCell ref="A62:G62"/>
    <mergeCell ref="I58:K58"/>
    <mergeCell ref="I59:K59"/>
    <mergeCell ref="I60:K60"/>
    <mergeCell ref="I61:K61"/>
    <mergeCell ref="C57:D57"/>
    <mergeCell ref="E57:G57"/>
    <mergeCell ref="A58:B58"/>
    <mergeCell ref="A59:B59"/>
    <mergeCell ref="A60:B60"/>
    <mergeCell ref="A61:B61"/>
    <mergeCell ref="C58:D58"/>
    <mergeCell ref="C59:D59"/>
    <mergeCell ref="C60:D60"/>
    <mergeCell ref="C61:D61"/>
    <mergeCell ref="E58:G58"/>
    <mergeCell ref="E59:G59"/>
    <mergeCell ref="E60:G60"/>
    <mergeCell ref="E61:G61"/>
    <mergeCell ref="H57:K57"/>
    <mergeCell ref="A56:K56"/>
    <mergeCell ref="M53:U53"/>
    <mergeCell ref="V53:X53"/>
    <mergeCell ref="EW7:EZ7"/>
    <mergeCell ref="EY9:EZ9"/>
    <mergeCell ref="FI4:GC4"/>
    <mergeCell ref="FI5:FL5"/>
    <mergeCell ref="FO5:FR5"/>
    <mergeCell ref="FI6:FR6"/>
    <mergeCell ref="FM7:FN7"/>
    <mergeCell ref="FO7:FR7"/>
    <mergeCell ref="FS7:FT7"/>
    <mergeCell ref="FV7:FW7"/>
    <mergeCell ref="FX7:FY7"/>
    <mergeCell ref="FZ7:GA7"/>
    <mergeCell ref="GB7:GC7"/>
    <mergeCell ref="DA7:DE7"/>
    <mergeCell ref="P7:P8"/>
    <mergeCell ref="AG7:AK7"/>
    <mergeCell ref="AL7:AP7"/>
    <mergeCell ref="AQ7:AU7"/>
    <mergeCell ref="AV7:AZ7"/>
    <mergeCell ref="CD7:CH7"/>
    <mergeCell ref="CI7:CM7"/>
  </mergeCells>
  <phoneticPr fontId="5" type="noConversion"/>
  <conditionalFormatting sqref="D10:H32 A10:C40 D33:E33 H33 D34:H40">
    <cfRule type="expression" dxfId="926" priority="115">
      <formula>OR($C10="SH-dag")</formula>
    </cfRule>
    <cfRule type="expression" dxfId="925" priority="122" stopIfTrue="1">
      <formula>OR($C10="skoledag")</formula>
    </cfRule>
    <cfRule type="expression" dxfId="924" priority="121">
      <formula>OR($C10="weekend")</formula>
    </cfRule>
    <cfRule type="expression" dxfId="923" priority="6">
      <formula>OR($C10="Skema 1")</formula>
    </cfRule>
    <cfRule type="expression" dxfId="922" priority="120">
      <formula>OR($C10="feriedag")</formula>
    </cfRule>
    <cfRule type="expression" dxfId="921" priority="119">
      <formula>OR($C10="fagdag")</formula>
    </cfRule>
    <cfRule type="expression" dxfId="920" priority="118">
      <formula>OR($C10="emnedag")</formula>
    </cfRule>
    <cfRule type="expression" dxfId="919" priority="117">
      <formula>OR($C10="lejrskole")</formula>
    </cfRule>
    <cfRule type="expression" dxfId="918" priority="116">
      <formula>OR($C10="ekskursion")</formula>
    </cfRule>
    <cfRule type="expression" dxfId="917" priority="114">
      <formula>OR($C10="nul-dag")</formula>
    </cfRule>
    <cfRule type="expression" dxfId="916" priority="113">
      <formula>OR($C10="pæd.dag")</formula>
    </cfRule>
    <cfRule type="expression" dxfId="915" priority="112">
      <formula>OR($C10="Ikke relevant")</formula>
    </cfRule>
    <cfRule type="expression" dxfId="914" priority="94">
      <formula>OR($C10="Orlov")</formula>
    </cfRule>
    <cfRule type="expression" dxfId="913" priority="95">
      <formula>OR($C10="skema 2")</formula>
    </cfRule>
    <cfRule type="expression" dxfId="912" priority="96">
      <formula>OR($C10="Skema 3")</formula>
    </cfRule>
    <cfRule type="expression" dxfId="911" priority="97">
      <formula>OR($C10="Skema 4")</formula>
    </cfRule>
  </conditionalFormatting>
  <conditionalFormatting sqref="E21">
    <cfRule type="expression" dxfId="910" priority="129">
      <formula>OR($D20="fagdag")</formula>
    </cfRule>
    <cfRule type="expression" dxfId="909" priority="128">
      <formula>OR($D20="emnedag")</formula>
    </cfRule>
    <cfRule type="expression" dxfId="908" priority="127">
      <formula>OR($D20="lejrskole")</formula>
    </cfRule>
    <cfRule type="expression" dxfId="907" priority="130">
      <formula>OR($D20="feriedag")</formula>
    </cfRule>
    <cfRule type="expression" dxfId="906" priority="126">
      <formula>OR($D20="ekskursion")</formula>
    </cfRule>
    <cfRule type="expression" dxfId="905" priority="125">
      <formula>OR($D20="SH-dag")</formula>
    </cfRule>
    <cfRule type="expression" dxfId="904" priority="131">
      <formula>OR($D20="weekend")</formula>
    </cfRule>
    <cfRule type="expression" dxfId="903" priority="132" stopIfTrue="1">
      <formula>OR($D20="skoledag")</formula>
    </cfRule>
    <cfRule type="expression" dxfId="902" priority="133">
      <formula>OR($D20="Ikke relevant")</formula>
    </cfRule>
    <cfRule type="expression" dxfId="901" priority="124">
      <formula>OR($D20="nul-dag")</formula>
    </cfRule>
    <cfRule type="expression" dxfId="900" priority="123">
      <formula>OR($D20="pæd.dag")</formula>
    </cfRule>
  </conditionalFormatting>
  <conditionalFormatting sqref="H58:H61">
    <cfRule type="expression" dxfId="899" priority="3">
      <formula>OR($A58&gt;0,)</formula>
    </cfRule>
  </conditionalFormatting>
  <conditionalFormatting sqref="I58:I61">
    <cfRule type="expression" dxfId="898" priority="4">
      <formula>OR($C58&gt;0,)</formula>
    </cfRule>
  </conditionalFormatting>
  <conditionalFormatting sqref="K10:K40">
    <cfRule type="expression" dxfId="897" priority="55">
      <formula>OR($C10="Pæd.dag",)</formula>
    </cfRule>
  </conditionalFormatting>
  <conditionalFormatting sqref="K10:L40">
    <cfRule type="expression" dxfId="896" priority="56">
      <formula>OR($C10="Lejrskole",)</formula>
    </cfRule>
    <cfRule type="expression" dxfId="895" priority="57">
      <formula>OR($C10="Ekskursion",)</formula>
    </cfRule>
  </conditionalFormatting>
  <conditionalFormatting sqref="K10:M40">
    <cfRule type="expression" dxfId="894" priority="53">
      <formula>OR($C10="fagdag",)</formula>
    </cfRule>
    <cfRule type="expression" dxfId="893" priority="54">
      <formula>OR($C10="emnedag",)</formula>
    </cfRule>
  </conditionalFormatting>
  <conditionalFormatting sqref="R10:R40">
    <cfRule type="expression" dxfId="892" priority="558">
      <formula>OR($H10&gt;"0",)</formula>
    </cfRule>
  </conditionalFormatting>
  <conditionalFormatting sqref="V10:V40">
    <cfRule type="expression" dxfId="891" priority="47">
      <formula>OR($S10="X",)</formula>
    </cfRule>
  </conditionalFormatting>
  <conditionalFormatting sqref="V50:X53">
    <cfRule type="expression" dxfId="890" priority="2">
      <formula>OR($M50&gt;0,)</formula>
    </cfRule>
  </conditionalFormatting>
  <conditionalFormatting sqref="W10:W40">
    <cfRule type="expression" dxfId="889" priority="46">
      <formula>OR($T10="X",)</formula>
    </cfRule>
  </conditionalFormatting>
  <conditionalFormatting sqref="X10:X40">
    <cfRule type="expression" dxfId="888" priority="7">
      <formula>OR($U10="X",)</formula>
    </cfRule>
  </conditionalFormatting>
  <dataValidations count="4">
    <dataValidation type="list" allowBlank="1" showInputMessage="1" showErrorMessage="1" sqref="U10:U38 S10:T40 A58:D61" xr:uid="{2F74D57A-A412-BB4D-ABB3-024D4B21666C}">
      <formula1>$W$1:$W$2</formula1>
    </dataValidation>
    <dataValidation type="list" allowBlank="1" showInputMessage="1" sqref="C10:C40" xr:uid="{31E212A7-3A53-3C40-B063-4A6127A2D3DE}">
      <formula1>$A$89:$A$103</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2:I13 I19:I20 I26:I27 I33:I34 I40" xr:uid="{38314C46-0B60-7140-A2EE-960121A27BEA}">
      <formula1>$W$1:$W$2</formula1>
    </dataValidation>
    <dataValidation type="list" allowBlank="1" showInputMessage="1" showErrorMessage="1" promptTitle="OBS:" prompt="Ved arrangementer med overnatning ydes istedet for ulempe- og weekendgodtgørelse på hhv. 25% og 50% faste tillæg pr. påbegyndt dag. " sqref="J10:J40" xr:uid="{98C03032-0D97-9B4A-B9D6-6EA00CB7F37B}">
      <formula1>$W$1:$W$2</formula1>
    </dataValidation>
  </dataValidations>
  <pageMargins left="0.7" right="0.7" top="0.75" bottom="0.75" header="0.3" footer="0.3"/>
  <pageSetup paperSize="9" scale="59" orientation="landscape" horizontalDpi="0" verticalDpi="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A240-6AFD-FF4A-A5CD-D05AE6A16719}">
  <sheetPr>
    <tabColor theme="4" tint="-0.249977111117893"/>
    <pageSetUpPr fitToPage="1"/>
  </sheetPr>
  <dimension ref="A1:GC106"/>
  <sheetViews>
    <sheetView topLeftCell="A7" zoomScale="90" zoomScaleNormal="90" workbookViewId="0">
      <selection activeCell="J24" sqref="J2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1" hidden="1" customWidth="1"/>
    <col min="26" max="26" width="7" style="231"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8" hidden="1" customWidth="1"/>
    <col min="105" max="118" width="10.83203125" hidden="1" customWidth="1"/>
    <col min="119" max="187" width="0" hidden="1" customWidth="1"/>
  </cols>
  <sheetData>
    <row r="1" spans="1:185" ht="16" customHeight="1">
      <c r="A1" s="93"/>
      <c r="B1" s="90"/>
      <c r="C1" s="90"/>
      <c r="D1" s="90"/>
      <c r="E1" s="90"/>
      <c r="F1" s="90"/>
      <c r="G1" s="90"/>
      <c r="H1" s="279"/>
      <c r="I1" s="278"/>
      <c r="J1" s="90"/>
      <c r="K1" s="230"/>
      <c r="L1" s="230"/>
      <c r="M1" s="230"/>
      <c r="N1" s="230"/>
      <c r="O1" s="230"/>
      <c r="P1" s="90"/>
      <c r="Q1" s="90"/>
      <c r="R1" s="90"/>
      <c r="S1" s="90"/>
      <c r="T1" s="90"/>
      <c r="U1" s="90"/>
      <c r="V1" s="90"/>
      <c r="W1" s="90"/>
      <c r="X1" s="90"/>
      <c r="Y1" s="246"/>
      <c r="Z1" s="90"/>
      <c r="AB1" s="90"/>
      <c r="AC1" s="90"/>
      <c r="AH1" s="90"/>
      <c r="AI1" s="90"/>
      <c r="CX1" s="248"/>
      <c r="CZ1"/>
    </row>
    <row r="2" spans="1:185" ht="21" thickBot="1">
      <c r="A2" s="92">
        <v>9</v>
      </c>
      <c r="B2" s="1086"/>
      <c r="C2" s="1086"/>
      <c r="D2" s="1086"/>
      <c r="E2" s="1086"/>
      <c r="F2" s="90"/>
      <c r="G2" s="90"/>
      <c r="H2" s="279"/>
      <c r="I2" s="278"/>
      <c r="J2" s="230"/>
      <c r="K2" s="230"/>
      <c r="L2" s="230"/>
      <c r="M2" s="230"/>
      <c r="N2" s="230"/>
      <c r="O2" s="230"/>
      <c r="P2" s="90"/>
      <c r="Q2" s="90"/>
      <c r="R2" s="90"/>
      <c r="S2" s="90"/>
      <c r="T2" s="90"/>
      <c r="U2" s="90"/>
      <c r="V2" s="90"/>
      <c r="W2" s="123" t="s">
        <v>31</v>
      </c>
      <c r="X2" s="123"/>
      <c r="Y2" s="246"/>
      <c r="Z2" s="90"/>
      <c r="AB2" s="90"/>
      <c r="AC2" s="90"/>
      <c r="AH2" s="90"/>
      <c r="AI2" s="90"/>
      <c r="CX2" s="248"/>
      <c r="CZ2"/>
    </row>
    <row r="3" spans="1:185" ht="17" thickBot="1">
      <c r="A3" s="1087" t="s">
        <v>310</v>
      </c>
      <c r="B3" s="1088"/>
      <c r="C3" s="1088"/>
      <c r="D3" s="1088"/>
      <c r="E3" s="1088"/>
      <c r="F3" s="1088"/>
      <c r="G3" s="1088"/>
      <c r="H3" s="1088"/>
      <c r="I3" s="1088"/>
      <c r="J3" s="1088"/>
      <c r="K3" s="1088"/>
      <c r="L3" s="1088"/>
      <c r="M3" s="1088"/>
      <c r="N3" s="1088"/>
      <c r="O3" s="1088"/>
      <c r="P3" s="1088"/>
      <c r="Q3" s="1088"/>
      <c r="R3" s="1088"/>
      <c r="S3" s="1088"/>
      <c r="T3" s="1088"/>
      <c r="U3" s="1088"/>
      <c r="V3" s="1088"/>
      <c r="W3" s="1088"/>
      <c r="X3" s="1089"/>
      <c r="Y3"/>
      <c r="Z3" s="90"/>
      <c r="AA3" s="90"/>
      <c r="AE3" s="90"/>
      <c r="AF3" s="90"/>
      <c r="AG3" s="90"/>
      <c r="CV3" s="248"/>
      <c r="CW3" s="248"/>
      <c r="CY3"/>
      <c r="CZ3"/>
      <c r="FI3" s="878" t="s">
        <v>636</v>
      </c>
      <c r="FJ3" s="879"/>
      <c r="FK3" s="879"/>
      <c r="FL3" s="879"/>
      <c r="FM3" s="879"/>
      <c r="FN3" s="879"/>
      <c r="FO3" s="879"/>
      <c r="FP3" s="879"/>
      <c r="FQ3" s="879"/>
      <c r="FR3" s="879"/>
      <c r="FS3" s="879"/>
      <c r="FT3" s="879"/>
      <c r="FU3" s="879"/>
      <c r="FV3" s="879"/>
      <c r="FW3" s="879"/>
      <c r="FX3" s="879"/>
      <c r="FY3" s="879"/>
      <c r="FZ3" s="879"/>
      <c r="GA3" s="879"/>
      <c r="GB3" s="879"/>
      <c r="GC3" s="880"/>
    </row>
    <row r="4" spans="1:185" ht="254" customHeight="1" thickBot="1">
      <c r="A4" s="915" t="s">
        <v>432</v>
      </c>
      <c r="B4" s="916"/>
      <c r="C4" s="916"/>
      <c r="D4" s="916"/>
      <c r="E4" s="920" t="s">
        <v>311</v>
      </c>
      <c r="F4" s="920"/>
      <c r="G4" s="920"/>
      <c r="H4" s="280" t="s">
        <v>414</v>
      </c>
      <c r="I4" s="438" t="s">
        <v>467</v>
      </c>
      <c r="J4" s="438" t="s">
        <v>468</v>
      </c>
      <c r="K4" s="931" t="s">
        <v>515</v>
      </c>
      <c r="L4" s="931"/>
      <c r="M4" s="486" t="s">
        <v>457</v>
      </c>
      <c r="N4" s="486" t="s">
        <v>433</v>
      </c>
      <c r="O4" s="486" t="s">
        <v>434</v>
      </c>
      <c r="P4" s="487" t="s">
        <v>458</v>
      </c>
      <c r="Q4" s="487" t="s">
        <v>309</v>
      </c>
      <c r="R4" s="487" t="s">
        <v>435</v>
      </c>
      <c r="S4" s="488" t="s">
        <v>465</v>
      </c>
      <c r="T4" s="488" t="s">
        <v>436</v>
      </c>
      <c r="U4" s="488" t="s">
        <v>437</v>
      </c>
      <c r="V4" s="489" t="s">
        <v>459</v>
      </c>
      <c r="W4" s="489" t="s">
        <v>400</v>
      </c>
      <c r="X4" s="490" t="s">
        <v>399</v>
      </c>
      <c r="Y4" s="246"/>
      <c r="Z4" s="90"/>
      <c r="AB4" s="90"/>
      <c r="AC4" s="90"/>
      <c r="AH4" s="90"/>
      <c r="AI4" s="90"/>
      <c r="CX4" s="248"/>
      <c r="CZ4"/>
      <c r="FI4" s="730" t="s">
        <v>634</v>
      </c>
      <c r="FJ4" s="730"/>
      <c r="FK4" s="730"/>
      <c r="FL4" s="730"/>
      <c r="FM4" t="s">
        <v>627</v>
      </c>
      <c r="FO4" s="730" t="s">
        <v>633</v>
      </c>
      <c r="FP4" s="730"/>
      <c r="FQ4" s="730"/>
      <c r="FR4" s="730"/>
    </row>
    <row r="5" spans="1:185" ht="26" customHeight="1" thickBot="1">
      <c r="A5" s="932" t="str">
        <f>""&amp;A7&amp;" måneds kalender for: "&amp;Stamoplysninger!E8&amp;". Måneden vedr. normperioden: "&amp;Stamoplysninger!E11&amp;" - "&amp;Stamoplysninger!G11&amp;"."</f>
        <v>September måneds kalender for: Beate Simonsen. Måneden vedr. normperioden: 01.08.2024 - 31.07.2025.</v>
      </c>
      <c r="B5" s="933"/>
      <c r="C5" s="933"/>
      <c r="D5" s="933"/>
      <c r="E5" s="933"/>
      <c r="F5" s="933"/>
      <c r="G5" s="933"/>
      <c r="H5" s="933"/>
      <c r="I5" s="933"/>
      <c r="J5" s="933"/>
      <c r="K5" s="933"/>
      <c r="L5" s="933"/>
      <c r="M5" s="933"/>
      <c r="N5" s="933"/>
      <c r="O5" s="933"/>
      <c r="P5" s="933"/>
      <c r="Q5" s="933"/>
      <c r="R5" s="933"/>
      <c r="S5" s="925" t="s">
        <v>397</v>
      </c>
      <c r="T5" s="926"/>
      <c r="U5" s="926"/>
      <c r="V5" s="926"/>
      <c r="W5" s="926"/>
      <c r="X5" s="927"/>
      <c r="Y5" s="246"/>
      <c r="Z5" s="90"/>
      <c r="AB5" s="90"/>
      <c r="AC5" s="90"/>
      <c r="AH5" s="90"/>
      <c r="AI5" s="90"/>
      <c r="CX5" s="248"/>
      <c r="CZ5"/>
      <c r="FI5" s="881" t="s">
        <v>620</v>
      </c>
      <c r="FJ5" s="881"/>
      <c r="FK5" s="881"/>
      <c r="FL5" s="881"/>
      <c r="FM5" s="881"/>
      <c r="FN5" s="881"/>
      <c r="FO5" s="881"/>
      <c r="FP5" s="881"/>
      <c r="FQ5" s="881"/>
      <c r="FR5" s="881"/>
      <c r="FU5" t="s">
        <v>635</v>
      </c>
      <c r="FV5" t="s">
        <v>628</v>
      </c>
      <c r="FX5" t="s">
        <v>629</v>
      </c>
      <c r="FZ5" t="s">
        <v>630</v>
      </c>
      <c r="GB5" s="526" t="s">
        <v>631</v>
      </c>
    </row>
    <row r="6" spans="1:185" ht="47" customHeight="1">
      <c r="A6" s="329">
        <f>August!A7</f>
        <v>2024</v>
      </c>
      <c r="B6" s="242"/>
      <c r="C6" s="243"/>
      <c r="D6" s="244"/>
      <c r="E6" s="940" t="s">
        <v>471</v>
      </c>
      <c r="F6" s="941"/>
      <c r="G6" s="942"/>
      <c r="H6" s="326" t="s">
        <v>324</v>
      </c>
      <c r="I6" s="888" t="s">
        <v>466</v>
      </c>
      <c r="J6" s="938" t="s">
        <v>487</v>
      </c>
      <c r="K6" s="934" t="s">
        <v>303</v>
      </c>
      <c r="L6" s="935"/>
      <c r="M6" s="327" t="s">
        <v>304</v>
      </c>
      <c r="N6" s="888" t="s">
        <v>447</v>
      </c>
      <c r="O6" s="888" t="s">
        <v>308</v>
      </c>
      <c r="P6" s="888" t="s">
        <v>456</v>
      </c>
      <c r="Q6" s="888" t="s">
        <v>387</v>
      </c>
      <c r="R6" s="891" t="s">
        <v>516</v>
      </c>
      <c r="S6" s="953" t="s">
        <v>305</v>
      </c>
      <c r="T6" s="954"/>
      <c r="U6" s="954"/>
      <c r="V6" s="954"/>
      <c r="W6" s="954"/>
      <c r="X6" s="955"/>
      <c r="Y6" s="212"/>
      <c r="Z6" s="212"/>
      <c r="AA6" s="890" t="s">
        <v>261</v>
      </c>
      <c r="AB6" s="890"/>
      <c r="AC6" s="890"/>
      <c r="AD6" s="890"/>
      <c r="AE6" s="890"/>
      <c r="AF6" s="209"/>
      <c r="AG6" s="890" t="s">
        <v>222</v>
      </c>
      <c r="AH6" s="890"/>
      <c r="AI6" s="890"/>
      <c r="AJ6" s="890"/>
      <c r="AK6" s="890"/>
      <c r="AL6" s="890" t="s">
        <v>223</v>
      </c>
      <c r="AM6" s="890"/>
      <c r="AN6" s="890"/>
      <c r="AO6" s="890"/>
      <c r="AP6" s="890"/>
      <c r="AQ6" s="890" t="s">
        <v>224</v>
      </c>
      <c r="AR6" s="890"/>
      <c r="AS6" s="890"/>
      <c r="AT6" s="890"/>
      <c r="AU6" s="890"/>
      <c r="AV6" s="890" t="s">
        <v>225</v>
      </c>
      <c r="AW6" s="890"/>
      <c r="AX6" s="890"/>
      <c r="AY6" s="890"/>
      <c r="AZ6" s="890"/>
      <c r="BA6" s="299"/>
      <c r="BB6" s="209"/>
      <c r="BC6" s="890" t="s">
        <v>264</v>
      </c>
      <c r="BD6" s="890"/>
      <c r="BE6" s="890"/>
      <c r="BF6" s="890"/>
      <c r="BG6" s="890" t="s">
        <v>227</v>
      </c>
      <c r="BH6" s="890"/>
      <c r="BI6" s="890"/>
      <c r="BJ6" s="890"/>
      <c r="BK6" s="890"/>
      <c r="BL6" s="890" t="s">
        <v>228</v>
      </c>
      <c r="BM6" s="890"/>
      <c r="BN6" s="890"/>
      <c r="BO6" s="890"/>
      <c r="BP6" s="890"/>
      <c r="BQ6" s="890" t="s">
        <v>229</v>
      </c>
      <c r="BR6" s="890"/>
      <c r="BS6" s="890"/>
      <c r="BT6" s="890"/>
      <c r="BU6" s="890"/>
      <c r="BV6" s="890" t="s">
        <v>230</v>
      </c>
      <c r="BW6" s="890"/>
      <c r="BX6" s="890"/>
      <c r="BY6" s="890"/>
      <c r="BZ6" s="890"/>
      <c r="CD6" s="890" t="s">
        <v>265</v>
      </c>
      <c r="CE6" s="890"/>
      <c r="CF6" s="890"/>
      <c r="CG6" s="890"/>
      <c r="CH6" s="890"/>
      <c r="CI6" s="890" t="s">
        <v>267</v>
      </c>
      <c r="CJ6" s="890"/>
      <c r="CK6" s="890"/>
      <c r="CL6" s="890"/>
      <c r="CM6" s="890"/>
      <c r="CN6" s="890" t="s">
        <v>266</v>
      </c>
      <c r="CO6" s="890"/>
      <c r="CP6" s="890"/>
      <c r="CQ6" s="890"/>
      <c r="CR6" s="890"/>
      <c r="CS6" s="890" t="s">
        <v>268</v>
      </c>
      <c r="CT6" s="890"/>
      <c r="CU6" s="890"/>
      <c r="CV6" s="890"/>
      <c r="CW6" s="890"/>
      <c r="CX6" s="248"/>
      <c r="CZ6"/>
      <c r="DA6" s="730" t="s">
        <v>212</v>
      </c>
      <c r="DB6" s="730"/>
      <c r="DC6" s="730"/>
      <c r="DD6" s="730"/>
      <c r="DE6" s="730"/>
      <c r="DO6" s="1049" t="s">
        <v>320</v>
      </c>
      <c r="DP6" s="1050"/>
      <c r="DQ6" s="1050"/>
      <c r="DR6" s="1050"/>
      <c r="DS6" s="1050"/>
      <c r="DT6" s="1050"/>
      <c r="DU6" s="1050"/>
      <c r="DV6" s="1051"/>
      <c r="DW6" s="1052" t="s">
        <v>320</v>
      </c>
      <c r="DX6" s="1053"/>
      <c r="DY6" s="1053"/>
      <c r="DZ6" s="1053"/>
      <c r="EA6" s="1053"/>
      <c r="EB6" s="1054"/>
      <c r="EC6" s="1055" t="s">
        <v>376</v>
      </c>
      <c r="ED6" s="1056"/>
      <c r="EE6" s="1056"/>
      <c r="EF6" s="1056"/>
      <c r="EG6" s="1056"/>
      <c r="EH6" s="1056"/>
      <c r="EI6" s="1056"/>
      <c r="EJ6" s="1057"/>
      <c r="EK6" s="1058" t="s">
        <v>321</v>
      </c>
      <c r="EL6" s="1059"/>
      <c r="EM6" s="1059"/>
      <c r="EN6" s="1060"/>
      <c r="EO6" s="1058" t="s">
        <v>325</v>
      </c>
      <c r="EP6" s="1059"/>
      <c r="EQ6" s="1059"/>
      <c r="ER6" s="1060"/>
      <c r="ES6" s="873" t="s">
        <v>379</v>
      </c>
      <c r="ET6" s="874"/>
      <c r="EU6" s="874"/>
      <c r="EV6" s="875"/>
      <c r="EW6" s="873" t="s">
        <v>380</v>
      </c>
      <c r="EX6" s="874"/>
      <c r="EY6" s="874"/>
      <c r="EZ6" s="875"/>
      <c r="FA6" s="873" t="s">
        <v>381</v>
      </c>
      <c r="FB6" s="874"/>
      <c r="FC6" s="874"/>
      <c r="FD6" s="875"/>
      <c r="FE6" s="873" t="s">
        <v>382</v>
      </c>
      <c r="FF6" s="874"/>
      <c r="FG6" s="874"/>
      <c r="FH6" s="875"/>
      <c r="FI6" s="883" t="s">
        <v>605</v>
      </c>
      <c r="FJ6" s="884"/>
      <c r="FK6" s="884"/>
      <c r="FL6" s="1061"/>
      <c r="FM6" s="882" t="s">
        <v>381</v>
      </c>
      <c r="FN6" s="882"/>
      <c r="FO6" s="883" t="s">
        <v>632</v>
      </c>
      <c r="FP6" s="884"/>
      <c r="FQ6" s="884"/>
      <c r="FR6" s="885"/>
      <c r="FS6" s="886" t="s">
        <v>622</v>
      </c>
      <c r="FT6" s="887"/>
      <c r="FU6" t="s">
        <v>625</v>
      </c>
      <c r="FV6" s="882" t="s">
        <v>379</v>
      </c>
      <c r="FW6" s="882"/>
      <c r="FX6" s="882" t="s">
        <v>380</v>
      </c>
      <c r="FY6" s="882"/>
      <c r="FZ6" s="882" t="s">
        <v>382</v>
      </c>
      <c r="GA6" s="882"/>
      <c r="GB6" s="882" t="s">
        <v>378</v>
      </c>
      <c r="GC6" s="882"/>
    </row>
    <row r="7" spans="1:185" ht="191" customHeight="1">
      <c r="A7" s="997" t="s">
        <v>236</v>
      </c>
      <c r="B7" s="998"/>
      <c r="C7" s="998"/>
      <c r="D7" s="999"/>
      <c r="E7" s="943"/>
      <c r="F7" s="944"/>
      <c r="G7" s="945"/>
      <c r="H7" s="952" t="s">
        <v>486</v>
      </c>
      <c r="I7" s="937"/>
      <c r="J7" s="939"/>
      <c r="K7" s="328" t="s">
        <v>517</v>
      </c>
      <c r="L7" s="328" t="s">
        <v>518</v>
      </c>
      <c r="M7" s="328" t="s">
        <v>519</v>
      </c>
      <c r="N7" s="889"/>
      <c r="O7" s="889"/>
      <c r="P7" s="889"/>
      <c r="Q7" s="889"/>
      <c r="R7" s="892"/>
      <c r="S7" s="492" t="s">
        <v>738</v>
      </c>
      <c r="T7" s="327" t="s">
        <v>307</v>
      </c>
      <c r="U7" s="327" t="s">
        <v>401</v>
      </c>
      <c r="V7" s="443" t="s">
        <v>439</v>
      </c>
      <c r="W7" s="443" t="s">
        <v>438</v>
      </c>
      <c r="X7" s="444" t="s">
        <v>398</v>
      </c>
      <c r="Y7" s="212" t="s">
        <v>279</v>
      </c>
      <c r="Z7" s="436" t="s">
        <v>280</v>
      </c>
      <c r="AA7" s="300" t="s">
        <v>211</v>
      </c>
      <c r="AB7" t="s">
        <v>136</v>
      </c>
      <c r="AC7" t="s">
        <v>139</v>
      </c>
      <c r="AD7" t="s">
        <v>138</v>
      </c>
      <c r="AE7" t="s">
        <v>137</v>
      </c>
      <c r="AF7" t="s">
        <v>416</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8"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2" t="s">
        <v>231</v>
      </c>
      <c r="CB7" s="234" t="s">
        <v>251</v>
      </c>
      <c r="CC7" s="300"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8" t="s">
        <v>277</v>
      </c>
      <c r="CY7" s="248" t="s">
        <v>269</v>
      </c>
      <c r="CZ7" s="248" t="s">
        <v>270</v>
      </c>
      <c r="DA7" s="248" t="s">
        <v>271</v>
      </c>
      <c r="DB7" s="248" t="s">
        <v>272</v>
      </c>
      <c r="DC7" s="248" t="s">
        <v>273</v>
      </c>
      <c r="DD7" s="248" t="s">
        <v>274</v>
      </c>
      <c r="DE7" s="248" t="s">
        <v>275</v>
      </c>
      <c r="DF7" s="248" t="s">
        <v>276</v>
      </c>
      <c r="DG7" s="248"/>
      <c r="DO7" s="649" t="s">
        <v>720</v>
      </c>
      <c r="DP7" s="300" t="s">
        <v>721</v>
      </c>
      <c r="DQ7" s="703" t="s">
        <v>725</v>
      </c>
      <c r="DR7" s="703" t="s">
        <v>722</v>
      </c>
      <c r="DS7" s="650" t="s">
        <v>727</v>
      </c>
      <c r="DT7" s="650" t="str">
        <f>DP7</f>
        <v>Ulempetillæg på weekenddage - kræver der er sat kryds i weekendarbejde. KOLONNE I</v>
      </c>
      <c r="DU7" s="705" t="s">
        <v>728</v>
      </c>
      <c r="DV7" s="704" t="str">
        <f>DR7</f>
        <v>Ulempetillæg ændringer på weekenddage. Kræver der er sat kryds i ændring i timetal og at det er en weekeend. KOLONNE I OG S</v>
      </c>
      <c r="DW7" s="649" t="s">
        <v>598</v>
      </c>
      <c r="DX7" s="300" t="s">
        <v>596</v>
      </c>
      <c r="DY7" s="300" t="s">
        <v>597</v>
      </c>
      <c r="DZ7" s="650" t="str">
        <f>DW7</f>
        <v>17-06 timer til udbetaling inkl. ændringer 17-06</v>
      </c>
      <c r="EA7" s="650" t="str">
        <f>DX7</f>
        <v>Ulempetillæg på weekenddage</v>
      </c>
      <c r="EB7" s="651" t="str">
        <f>DY7</f>
        <v>Ulempetillæg ændringer på weekenddage</v>
      </c>
      <c r="EC7" s="706" t="s">
        <v>723</v>
      </c>
      <c r="ED7" s="703" t="s">
        <v>724</v>
      </c>
      <c r="EE7" s="703" t="s">
        <v>726</v>
      </c>
      <c r="EF7" s="703" t="s">
        <v>722</v>
      </c>
      <c r="EG7" s="650" t="s">
        <v>727</v>
      </c>
      <c r="EH7" s="705" t="str">
        <f>ED7</f>
        <v>Ulempetillæg på weekenddage til afspadsering. Kræver der er sat kryds i weekendarb. KOLONNE I</v>
      </c>
      <c r="EI7" s="705" t="s">
        <v>728</v>
      </c>
      <c r="EJ7" s="704" t="str">
        <f>EF7</f>
        <v>Ulempetillæg ændringer på weekenddage. Kræver der er sat kryds i ændring i timetal og at det er en weekeend. KOLONNE I OG S</v>
      </c>
      <c r="EK7" s="656" t="s">
        <v>730</v>
      </c>
      <c r="EL7" s="654" t="s">
        <v>729</v>
      </c>
      <c r="EM7" s="655" t="s">
        <v>733</v>
      </c>
      <c r="EN7" s="657" t="s">
        <v>732</v>
      </c>
      <c r="EO7" s="656" t="s">
        <v>730</v>
      </c>
      <c r="EP7" s="654" t="s">
        <v>729</v>
      </c>
      <c r="EQ7" s="655" t="s">
        <v>733</v>
      </c>
      <c r="ER7" s="657" t="s">
        <v>732</v>
      </c>
      <c r="ES7" s="656" t="s">
        <v>734</v>
      </c>
      <c r="ET7" s="654" t="s">
        <v>735</v>
      </c>
      <c r="EU7" s="655" t="s">
        <v>731</v>
      </c>
      <c r="EV7" s="657" t="s">
        <v>736</v>
      </c>
      <c r="EW7" s="656" t="s">
        <v>734</v>
      </c>
      <c r="EX7" s="654" t="s">
        <v>735</v>
      </c>
      <c r="EY7" s="655" t="s">
        <v>731</v>
      </c>
      <c r="EZ7" s="657" t="s">
        <v>736</v>
      </c>
      <c r="FA7" s="656" t="s">
        <v>737</v>
      </c>
      <c r="FB7" s="654" t="s">
        <v>735</v>
      </c>
      <c r="FC7" s="655" t="s">
        <v>731</v>
      </c>
      <c r="FD7" s="657" t="s">
        <v>736</v>
      </c>
      <c r="FE7" s="656" t="str">
        <f>FA7</f>
        <v>Weekendtimer på weekenddage</v>
      </c>
      <c r="FF7" s="654" t="s">
        <v>735</v>
      </c>
      <c r="FG7" s="655" t="s">
        <v>731</v>
      </c>
      <c r="FH7" s="657" t="s">
        <v>736</v>
      </c>
      <c r="FI7" s="682" t="s">
        <v>619</v>
      </c>
      <c r="FJ7" s="654" t="s">
        <v>600</v>
      </c>
      <c r="FK7" s="682" t="s">
        <v>619</v>
      </c>
      <c r="FL7" s="657" t="s">
        <v>600</v>
      </c>
      <c r="FM7" s="683" t="s">
        <v>613</v>
      </c>
      <c r="FN7" s="684" t="s">
        <v>614</v>
      </c>
      <c r="FO7" s="682" t="s">
        <v>599</v>
      </c>
      <c r="FP7" s="654" t="s">
        <v>600</v>
      </c>
      <c r="FQ7" s="686" t="s">
        <v>599</v>
      </c>
      <c r="FR7" s="687" t="s">
        <v>600</v>
      </c>
      <c r="FS7" s="691" t="s">
        <v>621</v>
      </c>
      <c r="FT7" s="684" t="s">
        <v>621</v>
      </c>
      <c r="FU7" s="300" t="s">
        <v>624</v>
      </c>
      <c r="FV7" s="683" t="s">
        <v>626</v>
      </c>
      <c r="FW7" s="683" t="s">
        <v>626</v>
      </c>
      <c r="FX7" s="683" t="s">
        <v>626</v>
      </c>
      <c r="FY7" s="683" t="s">
        <v>626</v>
      </c>
      <c r="FZ7" s="683" t="s">
        <v>615</v>
      </c>
      <c r="GA7" s="684" t="s">
        <v>616</v>
      </c>
      <c r="GB7" s="683" t="s">
        <v>615</v>
      </c>
      <c r="GC7" s="684" t="s">
        <v>616</v>
      </c>
    </row>
    <row r="8" spans="1:185" ht="20" customHeight="1">
      <c r="A8" s="1000"/>
      <c r="B8" s="1001"/>
      <c r="C8" s="1001"/>
      <c r="D8" s="1002"/>
      <c r="E8" s="946"/>
      <c r="F8" s="947"/>
      <c r="G8" s="948"/>
      <c r="H8" s="889"/>
      <c r="I8" s="928" t="s">
        <v>383</v>
      </c>
      <c r="J8" s="936"/>
      <c r="K8" s="928" t="s">
        <v>326</v>
      </c>
      <c r="L8" s="929"/>
      <c r="M8" s="929"/>
      <c r="N8" s="929"/>
      <c r="O8" s="929"/>
      <c r="P8" s="929"/>
      <c r="Q8" s="929"/>
      <c r="R8" s="929"/>
      <c r="S8" s="956" t="s">
        <v>383</v>
      </c>
      <c r="T8" s="929"/>
      <c r="U8" s="936"/>
      <c r="V8" s="1090" t="s">
        <v>384</v>
      </c>
      <c r="W8" s="1091"/>
      <c r="X8" s="1092"/>
      <c r="Y8" s="212"/>
      <c r="Z8" s="436"/>
      <c r="AA8" s="300"/>
      <c r="BB8" s="228"/>
      <c r="CA8" s="112"/>
      <c r="CB8" s="234"/>
      <c r="CC8" s="300"/>
      <c r="CX8" s="248"/>
      <c r="DA8" s="248"/>
      <c r="DB8" s="248"/>
      <c r="DC8" s="248"/>
      <c r="DD8" s="248"/>
      <c r="DE8" s="248"/>
      <c r="DF8" s="248"/>
      <c r="DG8" s="248"/>
      <c r="DH8" t="s">
        <v>493</v>
      </c>
      <c r="DI8" t="s">
        <v>494</v>
      </c>
      <c r="DJ8" t="s">
        <v>495</v>
      </c>
      <c r="DO8" s="652"/>
      <c r="DS8" s="1063" t="s">
        <v>162</v>
      </c>
      <c r="DT8" s="1063"/>
      <c r="DU8" s="1063"/>
      <c r="DV8" s="1064"/>
      <c r="DW8" s="652"/>
      <c r="DZ8" s="1065" t="s">
        <v>162</v>
      </c>
      <c r="EA8" s="1065"/>
      <c r="EB8" s="1066"/>
      <c r="EG8" s="1065" t="s">
        <v>162</v>
      </c>
      <c r="EH8" s="1065"/>
      <c r="EI8" s="1065"/>
      <c r="EJ8" s="653"/>
      <c r="EK8" s="283"/>
      <c r="EL8" s="251"/>
      <c r="EM8" s="876" t="s">
        <v>162</v>
      </c>
      <c r="EN8" s="877"/>
      <c r="EO8" s="283"/>
      <c r="EP8" s="251"/>
      <c r="EQ8" s="876" t="s">
        <v>162</v>
      </c>
      <c r="ER8" s="877"/>
      <c r="ES8" s="283"/>
      <c r="ET8" s="251"/>
      <c r="EU8" s="876" t="s">
        <v>162</v>
      </c>
      <c r="EV8" s="877"/>
      <c r="EW8" s="283"/>
      <c r="EX8" s="251"/>
      <c r="EY8" s="876" t="s">
        <v>162</v>
      </c>
      <c r="EZ8" s="877"/>
      <c r="FA8" s="283"/>
      <c r="FB8" s="251"/>
      <c r="FC8" s="876" t="s">
        <v>162</v>
      </c>
      <c r="FD8" s="877"/>
      <c r="FE8" s="283"/>
      <c r="FF8" s="251"/>
      <c r="FG8" s="876" t="s">
        <v>162</v>
      </c>
      <c r="FH8" s="877"/>
      <c r="FI8" s="283"/>
      <c r="FJ8" s="251"/>
      <c r="FK8" s="876" t="s">
        <v>162</v>
      </c>
      <c r="FL8" s="877"/>
      <c r="FN8" s="645" t="s">
        <v>160</v>
      </c>
      <c r="FO8" s="283"/>
      <c r="FP8" s="251"/>
      <c r="FQ8" s="876" t="s">
        <v>162</v>
      </c>
      <c r="FR8" s="1062"/>
      <c r="FS8" s="283"/>
      <c r="FT8" s="692" t="s">
        <v>160</v>
      </c>
      <c r="FW8" s="645" t="s">
        <v>160</v>
      </c>
      <c r="FY8" s="645" t="s">
        <v>160</v>
      </c>
      <c r="GA8" s="645" t="s">
        <v>160</v>
      </c>
      <c r="GC8" s="645" t="s">
        <v>160</v>
      </c>
    </row>
    <row r="9" spans="1:185">
      <c r="A9" s="245">
        <f>IF(ISNUMBER(A7),A7+1,1)</f>
        <v>1</v>
      </c>
      <c r="B9" s="128" t="str">
        <f t="shared" ref="B9:B38" si="0">CHOOSE(MOD(WEEKDAY(DATE(A$6,A$2,A9)),7)+1,"lø","sø","ma","ti","on","to","fr",)</f>
        <v>sø</v>
      </c>
      <c r="C9" s="129" t="s">
        <v>120</v>
      </c>
      <c r="D9" s="130" t="str">
        <f t="shared" ref="D9:D38" si="1">IF(B9="ma",(DATE(A$6,A$2,A9)-DATE(A$6,1,1)+7)/7,"")</f>
        <v/>
      </c>
      <c r="E9" s="917"/>
      <c r="F9" s="918"/>
      <c r="G9" s="919"/>
      <c r="H9" s="298"/>
      <c r="I9" s="413"/>
      <c r="J9" s="413"/>
      <c r="K9" s="380"/>
      <c r="L9" s="380"/>
      <c r="M9" s="380"/>
      <c r="N9" s="318">
        <f>BA9</f>
        <v>0</v>
      </c>
      <c r="O9" s="318">
        <f>CA9</f>
        <v>0</v>
      </c>
      <c r="P9" s="318">
        <f>IF(Stamoplysninger!$H$29="JA",September!DG9,CX9)</f>
        <v>0</v>
      </c>
      <c r="Q9" s="318">
        <f>IF(OR(C9="Lejrskole",C9="Ekskursion"),0,N9-O9-P9)</f>
        <v>0</v>
      </c>
      <c r="R9" s="319"/>
      <c r="S9" s="324"/>
      <c r="T9" s="325"/>
      <c r="U9" s="325"/>
      <c r="V9" s="435"/>
      <c r="W9" s="435"/>
      <c r="X9" s="644"/>
      <c r="Y9">
        <f>IF($S$9="x",V9-N9,0)</f>
        <v>0</v>
      </c>
      <c r="Z9" s="437">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9">
        <f t="shared" ref="BB9:BB38" si="7">SUM(AG9:AK9)*24</f>
        <v>0</v>
      </c>
      <c r="BC9" s="1">
        <f>IF($C$9="Lejrskole",$L$9,0)</f>
        <v>0</v>
      </c>
      <c r="BD9" s="1">
        <f t="shared" ref="BD9:BD38" si="8">IF(C9="Ekskursion",L9,0)</f>
        <v>0</v>
      </c>
      <c r="BE9" s="1">
        <f t="shared" ref="BE9:BE38" si="9">IF(C9="fagdag",L9,0)</f>
        <v>0</v>
      </c>
      <c r="BF9" s="1">
        <f t="shared" ref="BF9:BF38" si="10">IF(C9="emnedag",L9,0)</f>
        <v>0</v>
      </c>
      <c r="BG9" s="210" t="str">
        <f>IF(AND(C9="Skema 1",B9="ma"),Skemaoplysninger!$E$30,"")</f>
        <v/>
      </c>
      <c r="BH9" s="210" t="str">
        <f>IF(AND(C9="Skema 1",B9="ti"),Skemaoplysninger!$G$30,"")</f>
        <v/>
      </c>
      <c r="BI9" s="210" t="str">
        <f>IF(AND(C9="Skema 1",B9="on"),Skemaoplysninger!$I$30,"")</f>
        <v/>
      </c>
      <c r="BJ9" s="210" t="str">
        <f>IF(AND(C9="Skema 1",B9="to"),Skemaoplysninger!$K$30,"")</f>
        <v/>
      </c>
      <c r="BK9" s="210" t="str">
        <f>IF(AND(C9="Skema 1",B9="fr"),Skemaoplysninger!$M$30,"")</f>
        <v/>
      </c>
      <c r="BL9" s="210" t="str">
        <f>IF(AND(C9="Skema 2",B9="ma"),Skemaoplysninger!$S$30,"")</f>
        <v/>
      </c>
      <c r="BM9" s="210" t="str">
        <f>IF(AND(C9="Skema 2",B9="ti"),Skemaoplysninger!$U$30,"")</f>
        <v/>
      </c>
      <c r="BN9" s="210" t="str">
        <f>IF(AND(C9="Skema 2",B9="on"),Skemaoplysninger!$W$30,"")</f>
        <v/>
      </c>
      <c r="BO9" s="210" t="str">
        <f>IF(AND(C9="Skema 2",B9="to"),Skemaoplysninger!$Y$30,"")</f>
        <v/>
      </c>
      <c r="BP9" s="210" t="str">
        <f>IF(AND(C9="Skema 2",B9="fr"),Skemaoplysninger!$AA$30,"")</f>
        <v/>
      </c>
      <c r="BQ9" s="210" t="str">
        <f>IF(AND(C9="Skema 3",B9="ma"),Skemaoplysninger!$AG$30,"")</f>
        <v/>
      </c>
      <c r="BR9" s="210" t="str">
        <f>IF(AND(C9="Skema 3",B9="ti"),Skemaoplysninger!$AI$30,"")</f>
        <v/>
      </c>
      <c r="BS9" s="210" t="str">
        <f>IF(AND(C9="Skema 3",B9="on"),Skemaoplysninger!$AK$30,"")</f>
        <v/>
      </c>
      <c r="BT9" s="210" t="str">
        <f>IF(AND(C9="Skema 3",B9="to"),Skemaoplysninger!$AM$30,"")</f>
        <v/>
      </c>
      <c r="BU9" s="210" t="str">
        <f>IF(AND(C9="Skema 3",B9="fr"),Skemaoplysninger!$AO$30,"")</f>
        <v/>
      </c>
      <c r="BV9" s="210" t="str">
        <f>IF(AND(C9="Skema 4",B9="ma"),Skemaoplysninger!$AU$30,"")</f>
        <v/>
      </c>
      <c r="BW9" s="210" t="str">
        <f>IF(AND(C9="Skema 4",B9="ti"),Skemaoplysninger!$AW$30,"")</f>
        <v/>
      </c>
      <c r="BX9" s="210" t="str">
        <f>IF(AND(C9="Skema 4",B9="on"),Skemaoplysninger!$AY$30,"")</f>
        <v/>
      </c>
      <c r="BY9" s="210" t="str">
        <f>IF(AND(C9="Skema 4",B9="to"),Skemaoplysninger!$BA$30,"")</f>
        <v/>
      </c>
      <c r="BZ9" s="210" t="str">
        <f>IF(AND(C9="Skema 4",B9="fr"),Skemaoplysninger!$BC$30,"")</f>
        <v/>
      </c>
      <c r="CA9" s="1">
        <f>SUM(BG9:BZ9)*24+SUM(BC9:BF9)</f>
        <v>0</v>
      </c>
      <c r="CB9" s="1">
        <f t="shared" ref="CB9:CB38" si="11">IF(C9="fagdag",M9,0)</f>
        <v>0</v>
      </c>
      <c r="CC9" s="1">
        <f t="shared" ref="CC9:CC38" si="12">IF(C9="emnedag",M9,0)</f>
        <v>0</v>
      </c>
      <c r="CD9" s="210" t="str">
        <f>IF(AND(C9="Skema 1",B9="ma"),Skemaoplysninger!$E$31,"")</f>
        <v/>
      </c>
      <c r="CE9" s="210" t="str">
        <f>IF(AND(C9="Skema 1",B9="ti"),Skemaoplysninger!$G$31,"")</f>
        <v/>
      </c>
      <c r="CF9" s="210" t="str">
        <f>IF(AND(C9="Skema 1",B9="on"),Skemaoplysninger!$I$31,"")</f>
        <v/>
      </c>
      <c r="CG9" s="210" t="str">
        <f>IF(AND(C9="Skema 1",B9="to"),Skemaoplysninger!$K$31,"")</f>
        <v/>
      </c>
      <c r="CH9" s="210" t="str">
        <f>IF(AND(C9="Skema 1",B9="fr"),Skemaoplysninger!$M$31,"")</f>
        <v/>
      </c>
      <c r="CI9" s="210" t="str">
        <f>IF(AND(C9="Skema 2",B9="ma"),Skemaoplysninger!$S$31,"")</f>
        <v/>
      </c>
      <c r="CJ9" s="210" t="str">
        <f>IF(AND(C9="Skema 2",B9="ti"),Skemaoplysninger!$U$31,"")</f>
        <v/>
      </c>
      <c r="CK9" s="210" t="str">
        <f>IF(AND(C9="Skema 2",B9="on"),Skemaoplysninger!$W$31,"")</f>
        <v/>
      </c>
      <c r="CL9" s="210" t="str">
        <f>IF(AND(C9="Skema 2",B9="to"),Skemaoplysninger!$Y$31,"")</f>
        <v/>
      </c>
      <c r="CM9" s="210" t="str">
        <f>IF(AND(C9="Skema 2",B9="fr"),Skemaoplysninger!$AA$31,"")</f>
        <v/>
      </c>
      <c r="CN9" s="210" t="str">
        <f>IF(AND(C9="Skema 3",B9="ma"),Skemaoplysninger!$AG$31,"")</f>
        <v/>
      </c>
      <c r="CO9" s="210" t="str">
        <f>IF(AND(C9="Skema 3",B9="ti"),Skemaoplysninger!$AI$31,"")</f>
        <v/>
      </c>
      <c r="CP9" s="210" t="str">
        <f>IF(AND(C9="Skema 3",B9="on"),Skemaoplysninger!$AK$31,"")</f>
        <v/>
      </c>
      <c r="CQ9" s="210" t="str">
        <f>IF(AND(C9="Skema 3",B9="to"),Skemaoplysninger!$AM$31,"")</f>
        <v/>
      </c>
      <c r="CR9" s="210" t="str">
        <f>IF(AND(C9="Skema 3",B9="fr"),Skemaoplysninger!$AO$31,"")</f>
        <v/>
      </c>
      <c r="CS9" s="210" t="str">
        <f>IF(AND(C9="Skema 4",B9="ma"),Skemaoplysninger!$AU$31,"")</f>
        <v/>
      </c>
      <c r="CT9" s="210" t="str">
        <f>IF(AND(C9="Skema 4",B9="ti"),Skemaoplysninger!$AW$31,"")</f>
        <v/>
      </c>
      <c r="CU9" s="210" t="str">
        <f>IF(AND(C9="Skema 4",B9="on"),Skemaoplysninger!$AY$31,"")</f>
        <v/>
      </c>
      <c r="CV9" s="210" t="str">
        <f>IF(AND(C9="Skema 4",B9="to"),Skemaoplysninger!$BA$31,"")</f>
        <v/>
      </c>
      <c r="CW9" s="210" t="str">
        <f>IF(AND(C9="Skema 4",B9="fr"),Skemaoplysninger!$BC$31,"")</f>
        <v/>
      </c>
      <c r="CX9" s="249">
        <f>IF(Stamoplysninger!$H$29="NEJ",SUM(CD9:CW9)*24+CB9+CC9,0)</f>
        <v>0</v>
      </c>
      <c r="CY9" s="249">
        <f>IF(C9="Skema 1",Stamoplysninger!$H$30/200,0)</f>
        <v>0</v>
      </c>
      <c r="CZ9" s="249">
        <f>IF(C9="Skema 2",Stamoplysninger!$H$30/200,0)</f>
        <v>0</v>
      </c>
      <c r="DA9" s="249">
        <f>IF(C9="Skema 3",Stamoplysninger!$H$30/200,0)</f>
        <v>0</v>
      </c>
      <c r="DB9" s="249">
        <f>IF(C9="Skema 4",Stamoplysninger!$H$30/200,0)</f>
        <v>0</v>
      </c>
      <c r="DC9" s="249">
        <f>IF(C9="fagdag",Stamoplysninger!$H$30/200,0)</f>
        <v>0</v>
      </c>
      <c r="DD9" s="249">
        <f>IF(C9="emnedag",Stamoplysninger!$H$30/200,0)</f>
        <v>0</v>
      </c>
      <c r="DE9" s="249">
        <f>IF(C9="lejrskole",Stamoplysninger!$H$30/200,0)</f>
        <v>0</v>
      </c>
      <c r="DF9" s="249">
        <f>IF(C9="ekskursion",Stamoplysninger!$H$30/200,0)</f>
        <v>0</v>
      </c>
      <c r="DG9" s="249">
        <f>SUM(CY9:DF9)</f>
        <v>0</v>
      </c>
      <c r="DH9" t="str">
        <f>IF(AND(E9&gt;0,H9&gt;0),""&amp;E9&amp;" og "&amp;H9&amp;"","")</f>
        <v/>
      </c>
      <c r="DI9">
        <f>IF(H9="",E9,"")</f>
        <v>0</v>
      </c>
      <c r="DJ9">
        <f>IF(E9="",H9,"")</f>
        <v>0</v>
      </c>
      <c r="DK9" t="str">
        <f t="shared" ref="DK9:DM39" si="13">IF(DH9=0,"",DH9)</f>
        <v/>
      </c>
      <c r="DL9" t="str">
        <f>IF(DI9=0,"",DI9)</f>
        <v/>
      </c>
      <c r="DM9" t="str">
        <f>IF(DJ9=0,"",DJ9)</f>
        <v/>
      </c>
      <c r="DN9" t="str">
        <f t="shared" ref="DN9:DN14" si="14">DK9&amp;""&amp;DL9&amp;""&amp;DM9</f>
        <v/>
      </c>
      <c r="DO9" s="652">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71">
        <f>IF(AND(Stamoplysninger!$B$22="Ulempetillæg udbetales med 25% af nettotimelønnen.",C9="ikke relevant"),(R9)/4,0)</f>
        <v>0</v>
      </c>
      <c r="DT9" s="671">
        <f>IF(AND(AND(Stamoplysninger!$B$22="Ulempetillæg udbetales med 25% af nettotimelønnen.",I9="X",C9="Ikke relevant")),K9/4,0)</f>
        <v>0</v>
      </c>
      <c r="DU9" s="671">
        <f>IF(AND(AND(Stamoplysninger!$B$22="Ulempetillæg udbetales med 25% af nettotimelønnen.",C9="ikke relevant",U9="X")),(X9/4),0)</f>
        <v>0</v>
      </c>
      <c r="DV9" s="672">
        <f>IF(AND(AND(AND(Stamoplysninger!$B$22="Ulempetillæg udbetales med 25% af nettotimelønnen.",I9="X",C9="Ikke relevant",S9="X"))),V9/4,0)</f>
        <v>0</v>
      </c>
      <c r="DW9" s="652"/>
      <c r="DZ9" s="671"/>
      <c r="EA9" s="671"/>
      <c r="EB9" s="672"/>
      <c r="EC9" s="652">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71">
        <f>IF(AND(Stamoplysninger!$B$22="Ulempetillæg afspadseres med 25%(Kræver en aftale imellem ledelsen og den ansatte)",C9="ikke relevant"),(R9)/4,0)</f>
        <v>0</v>
      </c>
      <c r="EH9" s="671">
        <f>IF(AND(AND(Stamoplysninger!$B$22="Ulempetillæg afspadseres med 25%(Kræver en aftale imellem ledelsen og den ansatte)",I9="X",C9="Ikke relevant")),K9/4,0)</f>
        <v>0</v>
      </c>
      <c r="EI9" s="671">
        <f>IF(AND(AND(Stamoplysninger!$B$22="Ulempetillæg afspadseres med 25%(Kræver en aftale imellem ledelsen og den ansatte)",U9="X",C9="Ikke relevant")),X9/4,0)</f>
        <v>0</v>
      </c>
      <c r="EJ9" s="671">
        <f>IF(AND(AND(AND(Stamoplysninger!$B$22="Ulempetillæg afspadseres med 25%(Kræver en aftale imellem ledelsen og den ansatte)",I9="X",C9="Ikke relevant",S9="X"))),V9/4,0)</f>
        <v>0</v>
      </c>
      <c r="EK9" s="283">
        <f>IF(AND(Stamoplysninger!$B$26="Weekendtimer og weekendtillæg afspadseres.",$I$9="X"),$K$9*1.5,0)</f>
        <v>0</v>
      </c>
      <c r="EL9" s="251">
        <f>IF(AND(AND(Stamoplysninger!$B$26="Weekendtimer og weekendtillæg afspadseres.",$I$9="X",$S$9="X")),$V$9*1.5,0)</f>
        <v>0</v>
      </c>
      <c r="EM9" s="674">
        <f>IF(AND(AND(Stamoplysninger!$B$26="Weekendtimer og weekendtillæg afspadseres.",$I$9="X",$C$9="ikke relevant")),$K$9*1.5,0)</f>
        <v>0</v>
      </c>
      <c r="EN9" s="675">
        <f>IF(AND(AND(AND(Stamoplysninger!$B$26="Weekendtimer og weekendtillæg afspadseres.",$I$9="X",$C$9="ikke relevant",$S$9="X"))),($V$9*1.5),0)</f>
        <v>0</v>
      </c>
      <c r="EO9" s="283">
        <f>IF(AND(Stamoplysninger!$B$26="Weekendtimer og weekendtillæg udbetales.",$I$9="X"),$K$9*1.5,0)</f>
        <v>0</v>
      </c>
      <c r="EP9" s="251">
        <f>IF(AND(AND(Stamoplysninger!$B$26="Weekendtimer og weekendtillæg udbetales.",$I$9="X",$S$9="X")),$V$9*1.5,0)</f>
        <v>0</v>
      </c>
      <c r="EQ9" s="674">
        <f>IF(AND(AND(Stamoplysninger!$B$26="Weekendtimer og weekendtillæg udbetales.",$I$9="X",$C$9="ikke relevant")),$K$9*1.5,0)</f>
        <v>0</v>
      </c>
      <c r="ER9" s="675">
        <f>IF(AND(AND(AND(Stamoplysninger!$B$26="Weekendtimer og weekendtillæg udbetales.",$I$9="X",$C$9="ikke relevant",$S$9="X"))),($V$9*1.5),0)</f>
        <v>0</v>
      </c>
      <c r="ES9" s="283">
        <f>IF(AND(Stamoplysninger!$B$26="Der er indgået lokalaftale omkring weekendtimer.(Kræver aftale med TR/FSL) Weekendtillæg afspadseres.",$I$9="X"),$K$9*0.5,0)</f>
        <v>0</v>
      </c>
      <c r="ET9" s="251">
        <f>IF(AND(AND(Stamoplysninger!$B$26="Der er indgået lokalaftale omkring weekendtimer.(Kræver aftale med TR/FSL) Weekendtillæg afspadseres.",$I$9="X",$S$9="X")),$V$9*0.5,0)</f>
        <v>0</v>
      </c>
      <c r="EU9" s="674">
        <f>IF(AND(AND(Stamoplysninger!$B$26="Der er indgået lokalaftale omkring weekendtimer.(Kræver aftale med TR/FSL) Weekendtillæg afspadseres.",$I$9="X",$C$9="ikke relevant")),$K$9*0.5,0)</f>
        <v>0</v>
      </c>
      <c r="EV9" s="675">
        <f>IF(AND(AND(AND(Stamoplysninger!$B$26="Der er indgået lokalaftale omkring weekendtimer.(Kræver aftale med TR/FSL) Weekendtillæg afspadseres.",$I$9="X",$C$9="ikke relevant",$S$9="X"))),($V$9*0.5),0)</f>
        <v>0</v>
      </c>
      <c r="EW9" s="283">
        <f>IF(AND(Stamoplysninger!$B$26="Der er indgået lokalaftale omkring weekendtimer(Kræver aftale med TR/FSL). Weekendtillæg udbetales.",$I$9="X"),$K$9*0.5,0)</f>
        <v>0</v>
      </c>
      <c r="EX9" s="251">
        <f>IF(AND(AND(Stamoplysninger!$B$26="Der er indgået lokalaftale omkring weekendtimer(Kræver aftale med TR/FSL). Weekendtillæg udbetales.",$I$9="X",$S$9="X")),$V$9*0.5,0)</f>
        <v>0</v>
      </c>
      <c r="EY9" s="674">
        <f>IF(AND(AND(Stamoplysninger!$B$26="Der er indgået lokalaftale omkring weekendtimer(Kræver aftale med TR/FSL). Weekendtillæg udbetales.",$I$9="X",$C$9="ikke relevant")),$K$9*0.5,0)</f>
        <v>0</v>
      </c>
      <c r="EZ9" s="675">
        <f>IF(AND(AND(AND(Stamoplysninger!$B$26="Der er indgået lokalaftale omkring weekendtimer(Kræver aftale med TR/FSL). Weekendtillæg udbetales.",$I$9="X",$C$9="ikke relevant",$S$9="X"))),($V$9*0.5),0)</f>
        <v>0</v>
      </c>
      <c r="FA9" s="283">
        <f>IF(AND(Stamoplysninger!$B$26="Der er indgået lokalaftale omkring weekendtillæg(Kræver aftale med TR/FSL). Weekendtimerne afspadseres.",I9="X"),K9,0)</f>
        <v>0</v>
      </c>
      <c r="FB9" s="251">
        <f>IF(AND(AND(Stamoplysninger!$B$26="Der er indgået lokalaftale omkring weekendtillæg(Kræver aftale med TR/FSL). Weekendtimerne afspadseres.",I9="X",S9="X")),V9,0)</f>
        <v>0</v>
      </c>
      <c r="FC9" s="674">
        <f>IF(AND(AND(Stamoplysninger!$B$26="Der er indgået lokalaftale omkring weekendtillæg(Kræver aftale med TR/FSL). Weekendtimerne afspadseres..",I9="X",C9="ikke relevant")),K9,0)</f>
        <v>0</v>
      </c>
      <c r="FD9" s="675">
        <f>IF(AND(AND(AND(Stamoplysninger!$B$26="Der er indgået lokalaftale omkring weekendtillæg(Kræver aftale med TR/FSL). Weekendtimerne afspadseres.",I9="X",C9="ikke relevant",S9="X"))),(V9),0)</f>
        <v>0</v>
      </c>
      <c r="FE9" s="283">
        <f>IF(AND(Stamoplysninger!$B$26="Der er indgået lokalaftale omkring weekendtillæg(Kræver aftale med TR/FSL). Weekendtimerne udbetales.",I9="X"),K9,0)</f>
        <v>0</v>
      </c>
      <c r="FF9" s="251">
        <f>IF(AND(AND(Stamoplysninger!$B$26="Der er indgået lokalaftale omkring weekendtillæg(Kræver aftale med TR/FSL). Weekendtimerne udbetales.",I9="X",S9="X")),V9,0)</f>
        <v>0</v>
      </c>
      <c r="FG9" s="674">
        <f>IF(AND(AND(Stamoplysninger!$B$26="Der er indgået lokalaftale omkring weekendtillæg(Kræver aftale med TR/FSL). Weekendtimerne udbetales.",I9="X",C9="ikke relevant")),K9,0)</f>
        <v>0</v>
      </c>
      <c r="FH9" s="675">
        <f>IF(AND(AND(AND(Stamoplysninger!$B$26="Der er indgået lokalaftale omkring weekendtillæg(Kræver aftale med TR/FSL). Weekendtimerne udbetales.",I9="X",C9="ikke relevant",S9="X"))),(V9),0)</f>
        <v>0</v>
      </c>
      <c r="FI9" s="283">
        <f>IF(AND(Stamoplysninger!$B$26="Weekendtimer og weekendtillæg afspadseres.",I9="X"),K9,0)</f>
        <v>0</v>
      </c>
      <c r="FJ9" s="251">
        <f>IF(AND(Stamoplysninger!$B$26="Weekendtimer og weekendtillæg afspadseres.",I9="X"),(K9+V9)/2,0)</f>
        <v>0</v>
      </c>
      <c r="FK9" s="674">
        <f>IF(AND(AND(Stamoplysninger!$B$26="Weekendtimer og weekendtillæg afspadseres.",I9="X",C9="ikke relevant")),K9,0)</f>
        <v>0</v>
      </c>
      <c r="FL9" s="675">
        <f>IF(AND(AND(Stamoplysninger!$B$26="Weekendtimer og weekendtillæg afspadseres.",I9="X",C9="ikke relevant")),(K9+V9)/2,0)</f>
        <v>0</v>
      </c>
      <c r="FM9" s="283">
        <f>IF(AND(Stamoplysninger!$B$26="Der er indgået lokalaftale omkring weekendtillæg(Kræver aftale med TR/FSL). Weekendtimerne afspadseres.",I9="X"),K9,0)</f>
        <v>0</v>
      </c>
      <c r="FN9" s="674">
        <f>IF(AND(AND(Stamoplysninger!$B$26="Der er indgået lokalaftale omkring weekendtillæg(Kræver aftale med TR/FSL). Weekendtimerne afspadseres.",I9="X",C9="ikke relevant")),K9,0)</f>
        <v>0</v>
      </c>
      <c r="FO9" s="283">
        <f>IF(AND(Stamoplysninger!$B$26="Weekendtimer og weekendtillæg udbetales.",I9="X"),K9,0)</f>
        <v>0</v>
      </c>
      <c r="FP9" s="251">
        <f>IF(AND(Stamoplysninger!$B$26="Weekendtimer og weekendtillæg udbetales.",AA9="X"),(AC9+AN9)/2,0)</f>
        <v>0</v>
      </c>
      <c r="FQ9" s="674">
        <f>IF(AND(AND(Stamoplysninger!$B$26="Weekendtimer og weekendtillæg udbetales.",I9="X",C9="ikke relevant")),K9,0)</f>
        <v>0</v>
      </c>
      <c r="FR9" s="688">
        <f>IF(AND(AND(Stamoplysninger!$B$26="Weekendtimer og weekendtillæg udbetales.",AA9="X",U9="ikke relevant")),(AC9+AN9)/2,0)</f>
        <v>0</v>
      </c>
      <c r="FS9" s="283">
        <f t="shared" ref="FS9:FS37" si="15">IF(AND(I9="X",S9="X"),V9,0)</f>
        <v>0</v>
      </c>
      <c r="FT9" s="658">
        <f t="shared" ref="FT9:FT37" si="16">IF(AND(AND(C9="ikke relevant",I9="X",S9="X")),V9,0)</f>
        <v>0</v>
      </c>
      <c r="FU9">
        <f t="shared" ref="FU9:FU28" si="17">IF(AND(C9="weekend",I9="X"),K9,0)</f>
        <v>0</v>
      </c>
      <c r="FV9" s="283">
        <f>IF(AND(Stamoplysninger!$B$26="Der er indgået lokalaftale omkring weekendtimer.(Kræver aftale med TR/FSL) Weekendtillæg afspadseres.",I9="X"),K9,0)</f>
        <v>0</v>
      </c>
      <c r="FW9" s="674">
        <f>IF(AND(AND(Stamoplysninger!$B$26="Der er indgået lokalaftale omkring weekendtimer.(Kræver aftale med TR/FSL) Weekendtillæg afspadseres.",I9="X",C9="ikke relevant")),K9,0)</f>
        <v>0</v>
      </c>
      <c r="FX9" s="283">
        <f>IF(AND(Stamoplysninger!$B$26="Der er indgået lokalaftale omkring weekendtimer(Kræver aftale med TR/FSL). Weekendtillæg udbetales.",I9="X"),K9,0)</f>
        <v>0</v>
      </c>
      <c r="FY9" s="674">
        <f>IF(AND(AND(Stamoplysninger!$B$26="Der er indgået lokalaftale omkring weekendtimer(Kræver aftale med TR/FSL). Weekendtillæg udbetales.",I9="X",C9="ikke relevant")),K9,0)</f>
        <v>0</v>
      </c>
      <c r="FZ9" s="283">
        <f>IF(AND(Stamoplysninger!$B$26="Der er indgået lokalaftale omkring weekendtillæg(Kræver aftale med TR/FSL). Weekendtimerne udbetales.",I9="X"),K9,0)</f>
        <v>0</v>
      </c>
      <c r="GA9" s="674">
        <f>IF(AND(AND(Stamoplysninger!$B$26="Der er indgået lokalaftale omkring weekendtillæg(Kræver aftale med TR/FSL). Weekendtimerne udbetales.",I9="X",C9="ikke relevant")),K9,0)</f>
        <v>0</v>
      </c>
      <c r="GB9" s="283">
        <f>IF(AND(Stamoplysninger!$B$26="Der er indgået lokalaftale omkring weekendtimer og weekendtillæg.(Kræver aftale med TR/FSL).",I9="X"),K9,0)</f>
        <v>0</v>
      </c>
      <c r="GC9" s="674">
        <f>IF(AND(AND(Stamoplysninger!$B$26="Der er indgået lokalaftale omkring weekendtimer og weekendtillæg.(Kræver aftale med TR/FSL).",I9="X",C9="ikke relevant")),K9,0)</f>
        <v>0</v>
      </c>
    </row>
    <row r="10" spans="1:185">
      <c r="A10" s="245">
        <f t="shared" ref="A10:A38" si="18">IF(ISNUMBER(A9),A9+1,1)</f>
        <v>2</v>
      </c>
      <c r="B10" s="128" t="str">
        <f t="shared" si="0"/>
        <v>ma</v>
      </c>
      <c r="C10" s="129" t="s">
        <v>206</v>
      </c>
      <c r="D10" s="130">
        <f t="shared" si="1"/>
        <v>36</v>
      </c>
      <c r="E10" s="917"/>
      <c r="F10" s="918"/>
      <c r="G10" s="919"/>
      <c r="H10" s="298"/>
      <c r="I10" s="527"/>
      <c r="J10" s="413"/>
      <c r="K10" s="380"/>
      <c r="L10" s="380"/>
      <c r="M10" s="380"/>
      <c r="N10" s="318">
        <f t="shared" ref="N10:N38" si="19">BA10</f>
        <v>7.75</v>
      </c>
      <c r="O10" s="318">
        <f t="shared" ref="O10:O38" si="20">CA10</f>
        <v>3.916666666666667</v>
      </c>
      <c r="P10" s="318">
        <f>IF(Stamoplysninger!$H$29="JA",September!DG10,CX10)</f>
        <v>0.83333333333333337</v>
      </c>
      <c r="Q10" s="318">
        <f t="shared" ref="Q10:Q38" si="21">IF(OR(C10="Lejrskole",C10="Ekskursion"),0,N10-O10-P10)</f>
        <v>2.9999999999999996</v>
      </c>
      <c r="R10" s="319"/>
      <c r="S10" s="324"/>
      <c r="T10" s="325"/>
      <c r="U10" s="325"/>
      <c r="V10" s="435"/>
      <c r="W10" s="435"/>
      <c r="X10" s="644"/>
      <c r="Y10">
        <f t="shared" ref="Y10:Y38" si="22">IF(S10="x",V10-N10,0)</f>
        <v>0</v>
      </c>
      <c r="Z10" s="437">
        <f t="shared" ref="Z10:Z38" si="23">W10</f>
        <v>0</v>
      </c>
      <c r="AA10" s="1">
        <f t="shared" si="2"/>
        <v>0</v>
      </c>
      <c r="AB10" s="1">
        <f t="shared" si="3"/>
        <v>0</v>
      </c>
      <c r="AC10" s="1">
        <f t="shared" si="4"/>
        <v>0</v>
      </c>
      <c r="AD10" s="1">
        <f t="shared" si="5"/>
        <v>0</v>
      </c>
      <c r="AE10" s="1">
        <f t="shared" si="6"/>
        <v>0</v>
      </c>
      <c r="AF10" s="1">
        <f>IF(C10="Orlov",7.4*Stamoplysninger!$E$15,0)</f>
        <v>0</v>
      </c>
      <c r="AG10">
        <f>IF(AND(C10="Skema 1",B10="ma"),Arbejdstidsoversigt!$E$72,"")</f>
        <v>7.75</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7" si="24">SUM(AA10:AZ10)</f>
        <v>7.75</v>
      </c>
      <c r="BB10" s="229">
        <f t="shared" si="7"/>
        <v>186</v>
      </c>
      <c r="BC10" s="1">
        <f t="shared" ref="BC10:BC38" si="25">IF(C10="Lejrskole",L10,0)</f>
        <v>0</v>
      </c>
      <c r="BD10" s="1">
        <f t="shared" si="8"/>
        <v>0</v>
      </c>
      <c r="BE10" s="1">
        <f t="shared" si="9"/>
        <v>0</v>
      </c>
      <c r="BF10" s="1">
        <f t="shared" si="10"/>
        <v>0</v>
      </c>
      <c r="BG10" s="210">
        <f>IF(AND(C10="Skema 1",B10="ma"),Skemaoplysninger!$E$30,"")</f>
        <v>0.16319444444444445</v>
      </c>
      <c r="BH10" s="210" t="str">
        <f>IF(AND(C10="Skema 1",B10="ti"),Skemaoplysninger!$G$30,"")</f>
        <v/>
      </c>
      <c r="BI10" s="210" t="str">
        <f>IF(AND(C10="Skema 1",B10="on"),Skemaoplysninger!$I$30,"")</f>
        <v/>
      </c>
      <c r="BJ10" s="210" t="str">
        <f>IF(AND(C10="Skema 1",B10="to"),Skemaoplysninger!$K$30,"")</f>
        <v/>
      </c>
      <c r="BK10" s="210" t="str">
        <f>IF(AND(C10="Skema 1",B10="fr"),Skemaoplysninger!$M$30,"")</f>
        <v/>
      </c>
      <c r="BL10" s="210" t="str">
        <f>IF(AND(C10="Skema 2",B10="ma"),Skemaoplysninger!$S$30,"")</f>
        <v/>
      </c>
      <c r="BM10" s="210" t="str">
        <f>IF(AND(C10="Skema 2",B10="ti"),Skemaoplysninger!$U$30,"")</f>
        <v/>
      </c>
      <c r="BN10" s="210" t="str">
        <f>IF(AND(C10="Skema 2",B10="on"),Skemaoplysninger!$W$30,"")</f>
        <v/>
      </c>
      <c r="BO10" s="210" t="str">
        <f>IF(AND(C10="Skema 2",B10="to"),Skemaoplysninger!$Y$30,"")</f>
        <v/>
      </c>
      <c r="BP10" s="210" t="str">
        <f>IF(AND(C10="Skema 2",B10="fr"),Skemaoplysninger!$AA$30,"")</f>
        <v/>
      </c>
      <c r="BQ10" s="210" t="str">
        <f>IF(AND(C10="Skema 3",B10="ma"),Skemaoplysninger!$AG$30,"")</f>
        <v/>
      </c>
      <c r="BR10" s="210" t="str">
        <f>IF(AND(C10="Skema 3",B10="ti"),Skemaoplysninger!$AI$30,"")</f>
        <v/>
      </c>
      <c r="BS10" s="210" t="str">
        <f>IF(AND(C10="Skema 3",B10="on"),Skemaoplysninger!$AK$30,"")</f>
        <v/>
      </c>
      <c r="BT10" s="210" t="str">
        <f>IF(AND(C10="Skema 3",B10="to"),Skemaoplysninger!$AM$30,"")</f>
        <v/>
      </c>
      <c r="BU10" s="210" t="str">
        <f>IF(AND(C10="Skema 3",B10="fr"),Skemaoplysninger!$AO$30,"")</f>
        <v/>
      </c>
      <c r="BV10" s="210" t="str">
        <f>IF(AND(C10="Skema 4",B10="ma"),Skemaoplysninger!$AU$30,"")</f>
        <v/>
      </c>
      <c r="BW10" s="210" t="str">
        <f>IF(AND(C10="Skema 4",B10="ti"),Skemaoplysninger!$AW$30,"")</f>
        <v/>
      </c>
      <c r="BX10" s="210" t="str">
        <f>IF(AND(C10="Skema 4",B10="on"),Skemaoplysninger!$AY$30,"")</f>
        <v/>
      </c>
      <c r="BY10" s="210" t="str">
        <f>IF(AND(C10="Skema 4",B10="to"),Skemaoplysninger!$BA$30,"")</f>
        <v/>
      </c>
      <c r="BZ10" s="210" t="str">
        <f>IF(AND(C10="Skema 4",B10="fr"),Skemaoplysninger!$BC$30,"")</f>
        <v/>
      </c>
      <c r="CA10" s="1">
        <f t="shared" ref="CA10:CA38" si="26">SUM(BG10:BZ10)*24+SUM(BC10:BF10)</f>
        <v>3.916666666666667</v>
      </c>
      <c r="CB10" s="1">
        <f t="shared" si="11"/>
        <v>0</v>
      </c>
      <c r="CC10" s="1">
        <f t="shared" si="12"/>
        <v>0</v>
      </c>
      <c r="CD10" s="210">
        <f>IF(AND(C10="Skema 1",B10="ma"),Skemaoplysninger!$E$31,"")</f>
        <v>3.4722222222222224E-2</v>
      </c>
      <c r="CE10" s="210" t="str">
        <f>IF(AND(C10="Skema 1",B10="ti"),Skemaoplysninger!$G$31,"")</f>
        <v/>
      </c>
      <c r="CF10" s="210" t="str">
        <f>IF(AND(C10="Skema 1",B10="on"),Skemaoplysninger!$I$31,"")</f>
        <v/>
      </c>
      <c r="CG10" s="210" t="str">
        <f>IF(AND(C10="Skema 1",B10="to"),Skemaoplysninger!$K$31,"")</f>
        <v/>
      </c>
      <c r="CH10" s="210" t="str">
        <f>IF(AND(C10="Skema 1",B10="fr"),Skemaoplysninger!$M$31,"")</f>
        <v/>
      </c>
      <c r="CI10" s="210" t="str">
        <f>IF(AND(C10="Skema 2",B10="ma"),Skemaoplysninger!$S$31,"")</f>
        <v/>
      </c>
      <c r="CJ10" s="210" t="str">
        <f>IF(AND(C10="Skema 2",B10="ti"),Skemaoplysninger!$U$31,"")</f>
        <v/>
      </c>
      <c r="CK10" s="210" t="str">
        <f>IF(AND(C10="Skema 2",B10="on"),Skemaoplysninger!$W$31,"")</f>
        <v/>
      </c>
      <c r="CL10" s="210" t="str">
        <f>IF(AND(C10="Skema 2",B10="to"),Skemaoplysninger!$Y$31,"")</f>
        <v/>
      </c>
      <c r="CM10" s="210" t="str">
        <f>IF(AND(C10="Skema 2",B10="fr"),Skemaoplysninger!$AA$31,"")</f>
        <v/>
      </c>
      <c r="CN10" s="210" t="str">
        <f>IF(AND(C10="Skema 3",B10="ma"),Skemaoplysninger!$AG$31,"")</f>
        <v/>
      </c>
      <c r="CO10" s="210" t="str">
        <f>IF(AND(C10="Skema 3",B10="ti"),Skemaoplysninger!$AI$31,"")</f>
        <v/>
      </c>
      <c r="CP10" s="210" t="str">
        <f>IF(AND(C10="Skema 3",B10="on"),Skemaoplysninger!$AK$31,"")</f>
        <v/>
      </c>
      <c r="CQ10" s="210" t="str">
        <f>IF(AND(C10="Skema 3",B10="to"),Skemaoplysninger!$AM$31,"")</f>
        <v/>
      </c>
      <c r="CR10" s="210" t="str">
        <f>IF(AND(C10="Skema 3",B10="fr"),Skemaoplysninger!$AO$31,"")</f>
        <v/>
      </c>
      <c r="CS10" s="210" t="str">
        <f>IF(AND(C10="Skema 4",B10="ma"),Skemaoplysninger!$AU$31,"")</f>
        <v/>
      </c>
      <c r="CT10" s="210" t="str">
        <f>IF(AND(C10="Skema 4",B10="ti"),Skemaoplysninger!$AW$31,"")</f>
        <v/>
      </c>
      <c r="CU10" s="210" t="str">
        <f>IF(AND(C10="Skema 4",B10="on"),Skemaoplysninger!$AY$31,"")</f>
        <v/>
      </c>
      <c r="CV10" s="210" t="str">
        <f>IF(AND(C10="Skema 4",B10="to"),Skemaoplysninger!$BA$31,"")</f>
        <v/>
      </c>
      <c r="CW10" s="210" t="str">
        <f>IF(AND(C10="Skema 4",B10="fr"),Skemaoplysninger!$BC$31,"")</f>
        <v/>
      </c>
      <c r="CX10" s="249">
        <f>IF(Stamoplysninger!$H$29="NEJ",SUM(CD10:CW10)*24+CB10+CC10,0)</f>
        <v>0.83333333333333337</v>
      </c>
      <c r="CY10" s="249">
        <f>IF(C10="Skema 1",Stamoplysninger!$H$30/200,0)</f>
        <v>0</v>
      </c>
      <c r="CZ10" s="249">
        <f>IF(C10="Skema 2",Stamoplysninger!$H$30/200,0)</f>
        <v>0</v>
      </c>
      <c r="DA10" s="249">
        <f>IF(C10="Skema 3",Stamoplysninger!$H$30/200,0)</f>
        <v>0</v>
      </c>
      <c r="DB10" s="249">
        <f>IF(C10="Skema 4",Stamoplysninger!$H$30/200,0)</f>
        <v>0</v>
      </c>
      <c r="DC10" s="249">
        <f>IF(C10="fagdag",Stamoplysninger!$H$30/200,0)</f>
        <v>0</v>
      </c>
      <c r="DD10" s="249">
        <f>IF(C10="emnedag",Stamoplysninger!$H$30/200,0)</f>
        <v>0</v>
      </c>
      <c r="DE10" s="249">
        <f>IF(C10="lejrskole",Stamoplysninger!$H$30/200,0)</f>
        <v>0</v>
      </c>
      <c r="DF10" s="249">
        <f>IF(C10="ekskursion",Stamoplysninger!$H$30/200,0)</f>
        <v>0</v>
      </c>
      <c r="DG10" s="249">
        <f t="shared" ref="DG10:DG38" si="27">SUM(CY10:DF10)</f>
        <v>0</v>
      </c>
      <c r="DH10" t="str">
        <f t="shared" ref="DH10:DH39" si="28">IF(AND(E10&gt;0,H10&gt;0),""&amp;E10&amp;" og "&amp;H10&amp;"","")</f>
        <v/>
      </c>
      <c r="DI10">
        <f t="shared" ref="DI10:DI38" si="29">IF(H10="",E10,"")</f>
        <v>0</v>
      </c>
      <c r="DJ10">
        <f t="shared" ref="DJ10:DJ38" si="30">IF(E10="",H10,"")</f>
        <v>0</v>
      </c>
      <c r="DK10" t="str">
        <f t="shared" si="13"/>
        <v/>
      </c>
      <c r="DL10" t="str">
        <f t="shared" si="13"/>
        <v/>
      </c>
      <c r="DM10" t="str">
        <f t="shared" si="13"/>
        <v/>
      </c>
      <c r="DN10" t="str">
        <f t="shared" si="14"/>
        <v/>
      </c>
      <c r="DO10" s="652">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71">
        <f>IF(AND(Stamoplysninger!$B$22="Ulempetillæg udbetales med 25% af nettotimelønnen.",C10="ikke relevant"),(R10)/4,0)</f>
        <v>0</v>
      </c>
      <c r="DT10" s="671">
        <f>IF(AND(AND(Stamoplysninger!$B$22="Ulempetillæg udbetales med 25% af nettotimelønnen.",I10="X",C10="Ikke relevant")),K10/4,0)</f>
        <v>0</v>
      </c>
      <c r="DU10" s="671">
        <f>IF(AND(AND(Stamoplysninger!$B$22="Ulempetillæg udbetales med 25% af nettotimelønnen.",C10="ikke relevant",U10="X")),(X10/4),0)</f>
        <v>0</v>
      </c>
      <c r="DV10" s="672">
        <f>IF(AND(AND(AND(Stamoplysninger!$B$22="Ulempetillæg udbetales med 25% af nettotimelønnen.",I10="X",C10="Ikke relevant",S10="X"))),V10/4,0)</f>
        <v>0</v>
      </c>
      <c r="DW10" s="652"/>
      <c r="DZ10" s="671"/>
      <c r="EA10" s="671"/>
      <c r="EB10" s="672"/>
      <c r="EC10" s="652">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71">
        <f>IF(AND(Stamoplysninger!$B$22="Ulempetillæg afspadseres med 25%(Kræver en aftale imellem ledelsen og den ansatte)",C10="ikke relevant"),(R10)/4,0)</f>
        <v>0</v>
      </c>
      <c r="EH10" s="671">
        <f>IF(AND(AND(Stamoplysninger!$B$22="Ulempetillæg afspadseres med 25%(Kræver en aftale imellem ledelsen og den ansatte)",I10="X",C10="Ikke relevant")),K10/4,0)</f>
        <v>0</v>
      </c>
      <c r="EI10" s="671">
        <f>IF(AND(AND(Stamoplysninger!$B$22="Ulempetillæg afspadseres med 25%(Kræver en aftale imellem ledelsen og den ansatte)",U10="X",C10="Ikke relevant")),X10/4,0)</f>
        <v>0</v>
      </c>
      <c r="EJ10" s="671">
        <f>IF(AND(AND(AND(Stamoplysninger!$B$22="Ulempetillæg afspadseres med 25%(Kræver en aftale imellem ledelsen og den ansatte)",I10="X",C10="Ikke relevant",S10="X"))),V10/4,0)</f>
        <v>0</v>
      </c>
      <c r="EK10" s="283">
        <f>IF(AND(Stamoplysninger!$B$26="Weekendtimer og weekendtillæg afspadseres.",I10="X"),K10*1.5,0)</f>
        <v>0</v>
      </c>
      <c r="EL10" s="251">
        <f>IF(AND(AND(Stamoplysninger!$B$26="Weekendtimer og weekendtillæg afspadseres.",I10="X",S10="X")),V10*1.5,0)</f>
        <v>0</v>
      </c>
      <c r="EM10" s="674">
        <f>IF(AND(AND(Stamoplysninger!$B$26="Weekendtimer og weekendtillæg afspadseres.",I10="X",C10="ikke relevant")),K10*1.5,0)</f>
        <v>0</v>
      </c>
      <c r="EN10" s="675">
        <f>IF(AND(AND(AND(Stamoplysninger!$B$26="Weekendtimer og weekendtillæg afspadseres.",I10="X",C10="ikke relevant",S10="X"))),(V10*1.5),0)</f>
        <v>0</v>
      </c>
      <c r="EO10" s="283">
        <f>IF(AND(Stamoplysninger!$B$26="Weekendtimer og weekendtillæg udbetales.",I10="X"),K10*1.5,0)</f>
        <v>0</v>
      </c>
      <c r="EP10" s="251">
        <f>IF(AND(AND(Stamoplysninger!$B$26="Weekendtimer og weekendtillæg udbetales.",I10="X",S10="X")),V10*1.5,0)</f>
        <v>0</v>
      </c>
      <c r="EQ10" s="674">
        <f>IF(AND(AND(Stamoplysninger!$B$26="Weekendtimer og weekendtillæg udbetales.",I10="X",C10="ikke relevant")),K10*1.5,0)</f>
        <v>0</v>
      </c>
      <c r="ER10" s="675">
        <f>IF(AND(AND(AND(Stamoplysninger!$B$26="Weekendtimer og weekendtillæg udbetales.",I10="X",C10="ikke relevant",S10="X"))),(V10*1.5),0)</f>
        <v>0</v>
      </c>
      <c r="ES10" s="283">
        <f>IF(AND(Stamoplysninger!$B$26="Der er indgået lokalaftale omkring weekendtimer.(Kræver aftale med TR/FSL) Weekendtillæg afspadseres.",I10="X"),K10*0.5,0)</f>
        <v>0</v>
      </c>
      <c r="ET10" s="251">
        <f>IF(AND(AND(Stamoplysninger!$B$26="Der er indgået lokalaftale omkring weekendtimer.(Kræver aftale med TR/FSL) Weekendtillæg afspadseres.",I10="X",S10="X")),V10*0.5,0)</f>
        <v>0</v>
      </c>
      <c r="EU10" s="674">
        <f>IF(AND(AND(Stamoplysninger!$B$26="Der er indgået lokalaftale omkring weekendtimer.(Kræver aftale med TR/FSL) Weekendtillæg afspadseres.",I10="X",C10="ikke relevant")),K10*0.5,0)</f>
        <v>0</v>
      </c>
      <c r="EV10" s="675">
        <f>IF(AND(AND(AND(Stamoplysninger!$B$26="Der er indgået lokalaftale omkring weekendtimer.(Kræver aftale med TR/FSL) Weekendtillæg afspadseres.",I10="X",C10="ikke relevant",S10="X"))),(V10*0.5),0)</f>
        <v>0</v>
      </c>
      <c r="EW10" s="283">
        <f>IF(AND(Stamoplysninger!$B$26="Der er indgået lokalaftale omkring weekendtimer(Kræver aftale med TR/FSL). Weekendtillæg udbetales.",I10="X"),K10*0.5,0)</f>
        <v>0</v>
      </c>
      <c r="EX10" s="251">
        <f>IF(AND(AND(Stamoplysninger!$B$26="Der er indgået lokalaftale omkring weekendtimer(Kræver aftale med TR/FSL). Weekendtillæg udbetales.",I10="X",S10="X")),V10*0.5,0)</f>
        <v>0</v>
      </c>
      <c r="EY10" s="674">
        <f>IF(AND(AND(Stamoplysninger!$B$26="Der er indgået lokalaftale omkring weekendtimer(Kræver aftale med TR/FSL). Weekendtillæg udbetales.",I10="X",C10="ikke relevant")),K10*0.5,0)</f>
        <v>0</v>
      </c>
      <c r="EZ10" s="675">
        <f>IF(AND(AND(AND(Stamoplysninger!$B$26="Der er indgået lokalaftale omkring weekendtimer(Kræver aftale med TR/FSL). Weekendtillæg udbetales.",I10="X",C10="ikke relevant",S10="X"))),(V10*0.5),0)</f>
        <v>0</v>
      </c>
      <c r="FA10" s="283">
        <f>IF(AND(Stamoplysninger!$B$26="Der er indgået lokalaftale omkring weekendtillæg(Kræver aftale med TR/FSL). Weekendtimerne afspadseres.",I10="X"),K10,0)</f>
        <v>0</v>
      </c>
      <c r="FB10" s="251">
        <f>IF(AND(AND(Stamoplysninger!$B$26="Der er indgået lokalaftale omkring weekendtillæg(Kræver aftale med TR/FSL). Weekendtimerne afspadseres.",I10="X",S10="X")),V10,0)</f>
        <v>0</v>
      </c>
      <c r="FC10" s="674">
        <f>IF(AND(AND(Stamoplysninger!$B$26="Der er indgået lokalaftale omkring weekendtillæg(Kræver aftale med TR/FSL). Weekendtimerne afspadseres..",I10="X",C10="ikke relevant")),K10,0)</f>
        <v>0</v>
      </c>
      <c r="FD10" s="675">
        <f>IF(AND(AND(AND(Stamoplysninger!$B$26="Der er indgået lokalaftale omkring weekendtillæg(Kræver aftale med TR/FSL). Weekendtimerne afspadseres.",I10="X",C10="ikke relevant",S10="X"))),(V10),0)</f>
        <v>0</v>
      </c>
      <c r="FE10" s="283">
        <f>IF(AND(Stamoplysninger!$B$26="Der er indgået lokalaftale omkring weekendtillæg(Kræver aftale med TR/FSL). Weekendtimerne udbetales.",I10="X"),K10,0)</f>
        <v>0</v>
      </c>
      <c r="FF10" s="251">
        <f>IF(AND(AND(Stamoplysninger!$B$26="Der er indgået lokalaftale omkring weekendtillæg(Kræver aftale med TR/FSL). Weekendtimerne udbetales.",I10="X",S10="X")),V10,0)</f>
        <v>0</v>
      </c>
      <c r="FG10" s="674">
        <f>IF(AND(AND(Stamoplysninger!$B$26="Der er indgået lokalaftale omkring weekendtillæg(Kræver aftale med TR/FSL). Weekendtimerne udbetales.",I10="X",C10="ikke relevant")),K10,0)</f>
        <v>0</v>
      </c>
      <c r="FH10" s="675">
        <f>IF(AND(AND(AND(Stamoplysninger!$B$26="Der er indgået lokalaftale omkring weekendtillæg(Kræver aftale med TR/FSL). Weekendtimerne udbetales.",I10="X",C10="ikke relevant",S10="X"))),(V10),0)</f>
        <v>0</v>
      </c>
      <c r="FI10" s="283">
        <f>IF(AND(Stamoplysninger!$B$26="Weekendtimer og weekendtillæg afspadseres.",I10="X"),K10,0)</f>
        <v>0</v>
      </c>
      <c r="FJ10" s="251">
        <f>IF(AND(Stamoplysninger!$B$26="Weekendtimer og weekendtillæg afspadseres.",Y10="X"),(AA10+AL10)/2,0)</f>
        <v>0</v>
      </c>
      <c r="FK10" s="674">
        <f>IF(AND(AND(Stamoplysninger!$B$26="Weekendtimer og weekendtillæg afspadseres.",I10="X",C10="ikke relevant")),K10,0)</f>
        <v>0</v>
      </c>
      <c r="FL10" s="675">
        <f>IF(AND(AND(Stamoplysninger!$B$26="Weekendtimer og weekendtillæg afspadseres.",Y10="X",S10="ikke relevant")),(AA10+AL10)/2,0)</f>
        <v>0</v>
      </c>
      <c r="FM10" s="283">
        <f>IF(AND(Stamoplysninger!$B$26="Der er indgået lokalaftale omkring weekendtillæg(Kræver aftale med TR/FSL). Weekendtimerne afspadseres.",I10="X"),K10,0)</f>
        <v>0</v>
      </c>
      <c r="FN10" s="674">
        <f>IF(AND(AND(Stamoplysninger!$B$26="Der er indgået lokalaftale omkring weekendtillæg(Kræver aftale med TR/FSL). Weekendtimerne afspadseres.",I10="X",C10="ikke relevant")),K10,0)</f>
        <v>0</v>
      </c>
      <c r="FO10" s="283">
        <f>IF(AND(Stamoplysninger!$B$26="Weekendtimer og weekendtillæg udbetales.",I10="X"),K10,0)</f>
        <v>0</v>
      </c>
      <c r="FP10" s="251">
        <f>IF(AND(Stamoplysninger!$B$26="Weekendtimer og weekendtillæg udbetales.",AA10="X"),(AC10+AN10)/2,0)</f>
        <v>0</v>
      </c>
      <c r="FQ10" s="674">
        <f>IF(AND(AND(Stamoplysninger!$B$26="Weekendtimer og weekendtillæg udbetales.",I10="X",C10="ikke relevant")),K10,0)</f>
        <v>0</v>
      </c>
      <c r="FR10" s="688">
        <f>IF(AND(AND(Stamoplysninger!$B$26="Weekendtimer og weekendtillæg udbetales.",AA10="X",U10="ikke relevant")),(AC10+AN10)/2,0)</f>
        <v>0</v>
      </c>
      <c r="FS10" s="283">
        <f t="shared" si="15"/>
        <v>0</v>
      </c>
      <c r="FT10" s="658">
        <f t="shared" si="16"/>
        <v>0</v>
      </c>
      <c r="FU10">
        <f t="shared" si="17"/>
        <v>0</v>
      </c>
      <c r="FV10" s="283">
        <f>IF(AND(Stamoplysninger!$B$26="Der er indgået lokalaftale omkring weekendtimer.(Kræver aftale med TR/FSL) Weekendtillæg afspadseres.",I10="X"),K10,0)</f>
        <v>0</v>
      </c>
      <c r="FW10" s="674">
        <f>IF(AND(AND(Stamoplysninger!$B$26="Der er indgået lokalaftale omkring weekendtimer.(Kræver aftale med TR/FSL) Weekendtillæg afspadseres.",I10="X",C10="ikke relevant")),K10,0)</f>
        <v>0</v>
      </c>
      <c r="FX10" s="283">
        <f>IF(AND(Stamoplysninger!$B$26="Der er indgået lokalaftale omkring weekendtimer(Kræver aftale med TR/FSL). Weekendtillæg udbetales.",I10="X"),K10,0)</f>
        <v>0</v>
      </c>
      <c r="FY10" s="674">
        <f>IF(AND(AND(Stamoplysninger!$B$26="Der er indgået lokalaftale omkring weekendtimer(Kræver aftale med TR/FSL). Weekendtillæg udbetales.",I10="X",C10="ikke relevant")),K10,0)</f>
        <v>0</v>
      </c>
      <c r="FZ10" s="283">
        <f>IF(AND(Stamoplysninger!$B$26="Der er indgået lokalaftale omkring weekendtillæg(Kræver aftale med TR/FSL). Weekendtimerne udbetales.",I10="X"),K10,0)</f>
        <v>0</v>
      </c>
      <c r="GA10" s="674">
        <f>IF(AND(AND(Stamoplysninger!$B$26="Der er indgået lokalaftale omkring weekendtillæg(Kræver aftale med TR/FSL). Weekendtimerne udbetales.",I10="X",C10="ikke relevant")),K10,0)</f>
        <v>0</v>
      </c>
      <c r="GB10" s="283">
        <f>IF(AND(Stamoplysninger!$B$26="Der er indgået lokalaftale omkring weekendtimer og weekendtillæg.(Kræver aftale med TR/FSL).",I10="X"),K10,0)</f>
        <v>0</v>
      </c>
      <c r="GC10" s="674">
        <f>IF(AND(AND(Stamoplysninger!$B$26="Der er indgået lokalaftale omkring weekendtimer og weekendtillæg.(Kræver aftale med TR/FSL).",I10="X",C10="ikke relevant")),K10,0)</f>
        <v>0</v>
      </c>
    </row>
    <row r="11" spans="1:185">
      <c r="A11" s="245">
        <f t="shared" si="18"/>
        <v>3</v>
      </c>
      <c r="B11" s="128" t="str">
        <f t="shared" si="0"/>
        <v>ti</v>
      </c>
      <c r="C11" s="129" t="s">
        <v>206</v>
      </c>
      <c r="D11" s="130" t="str">
        <f t="shared" si="1"/>
        <v/>
      </c>
      <c r="E11" s="917"/>
      <c r="F11" s="918"/>
      <c r="G11" s="919"/>
      <c r="H11" s="298"/>
      <c r="I11" s="527"/>
      <c r="J11" s="413"/>
      <c r="K11" s="380"/>
      <c r="L11" s="380"/>
      <c r="M11" s="380"/>
      <c r="N11" s="318">
        <f t="shared" si="19"/>
        <v>7.75</v>
      </c>
      <c r="O11" s="318">
        <f t="shared" si="20"/>
        <v>4.5</v>
      </c>
      <c r="P11" s="318">
        <f>IF(Stamoplysninger!$H$29="JA",September!DG11,CX11)</f>
        <v>1</v>
      </c>
      <c r="Q11" s="318">
        <f t="shared" si="21"/>
        <v>2.25</v>
      </c>
      <c r="R11" s="319"/>
      <c r="S11" s="324"/>
      <c r="T11" s="325"/>
      <c r="U11" s="325"/>
      <c r="V11" s="435"/>
      <c r="W11" s="435"/>
      <c r="X11" s="644"/>
      <c r="Y11">
        <f t="shared" si="22"/>
        <v>0</v>
      </c>
      <c r="Z11" s="437">
        <f t="shared" si="23"/>
        <v>0</v>
      </c>
      <c r="AA11" s="1">
        <f t="shared" si="2"/>
        <v>0</v>
      </c>
      <c r="AB11" s="1">
        <f t="shared" si="3"/>
        <v>0</v>
      </c>
      <c r="AC11" s="1">
        <f t="shared" si="4"/>
        <v>0</v>
      </c>
      <c r="AD11" s="1">
        <f t="shared" si="5"/>
        <v>0</v>
      </c>
      <c r="AE11" s="1">
        <f t="shared" si="6"/>
        <v>0</v>
      </c>
      <c r="AF11" s="1">
        <f>IF(C11="Orlov",7.4*Stamoplysninger!$E$15,0)</f>
        <v>0</v>
      </c>
      <c r="AG11" t="str">
        <f>IF(AND(C11="Skema 1",B11="ma"),Arbejdstidsoversigt!$E$72,"")</f>
        <v/>
      </c>
      <c r="AH11">
        <f>IF(AND(C11="Skema 1",B11="ti"),Arbejdstidsoversigt!$E$73,"")</f>
        <v>7.75</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4"/>
        <v>7.75</v>
      </c>
      <c r="BB11" s="229">
        <f t="shared" si="7"/>
        <v>186</v>
      </c>
      <c r="BC11" s="1">
        <f t="shared" si="25"/>
        <v>0</v>
      </c>
      <c r="BD11" s="1">
        <f t="shared" si="8"/>
        <v>0</v>
      </c>
      <c r="BE11" s="1">
        <f t="shared" si="9"/>
        <v>0</v>
      </c>
      <c r="BF11" s="1">
        <f t="shared" si="10"/>
        <v>0</v>
      </c>
      <c r="BG11" s="210" t="str">
        <f>IF(AND(C11="Skema 1",B11="ma"),Skemaoplysninger!$E$30,"")</f>
        <v/>
      </c>
      <c r="BH11" s="210">
        <f>IF(AND(C11="Skema 1",B11="ti"),Skemaoplysninger!$G$30,"")</f>
        <v>0.1875</v>
      </c>
      <c r="BI11" s="210" t="str">
        <f>IF(AND(C11="Skema 1",B11="on"),Skemaoplysninger!$I$30,"")</f>
        <v/>
      </c>
      <c r="BJ11" s="210" t="str">
        <f>IF(AND(C11="Skema 1",B11="to"),Skemaoplysninger!$K$30,"")</f>
        <v/>
      </c>
      <c r="BK11" s="210" t="str">
        <f>IF(AND(C11="Skema 1",B11="fr"),Skemaoplysninger!$M$30,"")</f>
        <v/>
      </c>
      <c r="BL11" s="210" t="str">
        <f>IF(AND(C11="Skema 2",B11="ma"),Skemaoplysninger!$S$30,"")</f>
        <v/>
      </c>
      <c r="BM11" s="210" t="str">
        <f>IF(AND(C11="Skema 2",B11="ti"),Skemaoplysninger!$U$30,"")</f>
        <v/>
      </c>
      <c r="BN11" s="210" t="str">
        <f>IF(AND(C11="Skema 2",B11="on"),Skemaoplysninger!$W$30,"")</f>
        <v/>
      </c>
      <c r="BO11" s="210" t="str">
        <f>IF(AND(C11="Skema 2",B11="to"),Skemaoplysninger!$Y$30,"")</f>
        <v/>
      </c>
      <c r="BP11" s="210" t="str">
        <f>IF(AND(C11="Skema 2",B11="fr"),Skemaoplysninger!$AA$30,"")</f>
        <v/>
      </c>
      <c r="BQ11" s="210" t="str">
        <f>IF(AND(C11="Skema 3",B11="ma"),Skemaoplysninger!$AG$30,"")</f>
        <v/>
      </c>
      <c r="BR11" s="210" t="str">
        <f>IF(AND(C11="Skema 3",B11="ti"),Skemaoplysninger!$AI$30,"")</f>
        <v/>
      </c>
      <c r="BS11" s="210" t="str">
        <f>IF(AND(C11="Skema 3",B11="on"),Skemaoplysninger!$AK$30,"")</f>
        <v/>
      </c>
      <c r="BT11" s="210" t="str">
        <f>IF(AND(C11="Skema 3",B11="to"),Skemaoplysninger!$AM$30,"")</f>
        <v/>
      </c>
      <c r="BU11" s="210" t="str">
        <f>IF(AND(C11="Skema 3",B11="fr"),Skemaoplysninger!$AO$30,"")</f>
        <v/>
      </c>
      <c r="BV11" s="210" t="str">
        <f>IF(AND(C11="Skema 4",B11="ma"),Skemaoplysninger!$AU$30,"")</f>
        <v/>
      </c>
      <c r="BW11" s="210" t="str">
        <f>IF(AND(C11="Skema 4",B11="ti"),Skemaoplysninger!$AW$30,"")</f>
        <v/>
      </c>
      <c r="BX11" s="210" t="str">
        <f>IF(AND(C11="Skema 4",B11="on"),Skemaoplysninger!$AY$30,"")</f>
        <v/>
      </c>
      <c r="BY11" s="210" t="str">
        <f>IF(AND(C11="Skema 4",B11="to"),Skemaoplysninger!$BA$30,"")</f>
        <v/>
      </c>
      <c r="BZ11" s="210" t="str">
        <f>IF(AND(C11="Skema 4",B11="fr"),Skemaoplysninger!$BC$30,"")</f>
        <v/>
      </c>
      <c r="CA11" s="1">
        <f t="shared" si="26"/>
        <v>4.5</v>
      </c>
      <c r="CB11" s="1">
        <f t="shared" si="11"/>
        <v>0</v>
      </c>
      <c r="CC11" s="1">
        <f t="shared" si="12"/>
        <v>0</v>
      </c>
      <c r="CD11" s="210" t="str">
        <f>IF(AND(C11="Skema 1",B11="ma"),Skemaoplysninger!$E$31,"")</f>
        <v/>
      </c>
      <c r="CE11" s="210">
        <f>IF(AND(C11="Skema 1",B11="ti"),Skemaoplysninger!$G$31,"")</f>
        <v>4.1666666666666671E-2</v>
      </c>
      <c r="CF11" s="210" t="str">
        <f>IF(AND(C11="Skema 1",B11="on"),Skemaoplysninger!$I$31,"")</f>
        <v/>
      </c>
      <c r="CG11" s="210" t="str">
        <f>IF(AND(C11="Skema 1",B11="to"),Skemaoplysninger!$K$31,"")</f>
        <v/>
      </c>
      <c r="CH11" s="210" t="str">
        <f>IF(AND(C11="Skema 1",B11="fr"),Skemaoplysninger!$M$31,"")</f>
        <v/>
      </c>
      <c r="CI11" s="210" t="str">
        <f>IF(AND(C11="Skema 2",B11="ma"),Skemaoplysninger!$S$31,"")</f>
        <v/>
      </c>
      <c r="CJ11" s="210" t="str">
        <f>IF(AND(C11="Skema 2",B11="ti"),Skemaoplysninger!$U$31,"")</f>
        <v/>
      </c>
      <c r="CK11" s="210" t="str">
        <f>IF(AND(C11="Skema 2",B11="on"),Skemaoplysninger!$W$31,"")</f>
        <v/>
      </c>
      <c r="CL11" s="210" t="str">
        <f>IF(AND(C11="Skema 2",B11="to"),Skemaoplysninger!$Y$31,"")</f>
        <v/>
      </c>
      <c r="CM11" s="210" t="str">
        <f>IF(AND(C11="Skema 2",B11="fr"),Skemaoplysninger!$AA$31,"")</f>
        <v/>
      </c>
      <c r="CN11" s="210" t="str">
        <f>IF(AND(C11="Skema 3",B11="ma"),Skemaoplysninger!$AG$31,"")</f>
        <v/>
      </c>
      <c r="CO11" s="210" t="str">
        <f>IF(AND(C11="Skema 3",B11="ti"),Skemaoplysninger!$AI$31,"")</f>
        <v/>
      </c>
      <c r="CP11" s="210" t="str">
        <f>IF(AND(C11="Skema 3",B11="on"),Skemaoplysninger!$AK$31,"")</f>
        <v/>
      </c>
      <c r="CQ11" s="210" t="str">
        <f>IF(AND(C11="Skema 3",B11="to"),Skemaoplysninger!$AM$31,"")</f>
        <v/>
      </c>
      <c r="CR11" s="210" t="str">
        <f>IF(AND(C11="Skema 3",B11="fr"),Skemaoplysninger!$AO$31,"")</f>
        <v/>
      </c>
      <c r="CS11" s="210" t="str">
        <f>IF(AND(C11="Skema 4",B11="ma"),Skemaoplysninger!$AU$31,"")</f>
        <v/>
      </c>
      <c r="CT11" s="210" t="str">
        <f>IF(AND(C11="Skema 4",B11="ti"),Skemaoplysninger!$AW$31,"")</f>
        <v/>
      </c>
      <c r="CU11" s="210" t="str">
        <f>IF(AND(C11="Skema 4",B11="on"),Skemaoplysninger!$AY$31,"")</f>
        <v/>
      </c>
      <c r="CV11" s="210" t="str">
        <f>IF(AND(C11="Skema 4",B11="to"),Skemaoplysninger!$BA$31,"")</f>
        <v/>
      </c>
      <c r="CW11" s="210" t="str">
        <f>IF(AND(C11="Skema 4",B11="fr"),Skemaoplysninger!$BC$31,"")</f>
        <v/>
      </c>
      <c r="CX11" s="249">
        <f>IF(Stamoplysninger!$H$29="NEJ",SUM(CD11:CW11)*24+CB11+CC11,0)</f>
        <v>1</v>
      </c>
      <c r="CY11" s="249">
        <f>IF(C11="Skema 1",Stamoplysninger!$H$30/200,0)</f>
        <v>0</v>
      </c>
      <c r="CZ11" s="249">
        <f>IF(C11="Skema 2",Stamoplysninger!$H$30/200,0)</f>
        <v>0</v>
      </c>
      <c r="DA11" s="249">
        <f>IF(C11="Skema 3",Stamoplysninger!$H$30/200,0)</f>
        <v>0</v>
      </c>
      <c r="DB11" s="249">
        <f>IF(C11="Skema 4",Stamoplysninger!$H$30/200,0)</f>
        <v>0</v>
      </c>
      <c r="DC11" s="249">
        <f>IF(C11="fagdag",Stamoplysninger!$H$30/200,0)</f>
        <v>0</v>
      </c>
      <c r="DD11" s="249">
        <f>IF(C11="emnedag",Stamoplysninger!$H$30/200,0)</f>
        <v>0</v>
      </c>
      <c r="DE11" s="249">
        <f>IF(C11="lejrskole",Stamoplysninger!$H$30/200,0)</f>
        <v>0</v>
      </c>
      <c r="DF11" s="249">
        <f>IF(C11="ekskursion",Stamoplysninger!$H$30/200,0)</f>
        <v>0</v>
      </c>
      <c r="DG11" s="249">
        <f t="shared" si="27"/>
        <v>0</v>
      </c>
      <c r="DH11" t="str">
        <f t="shared" si="28"/>
        <v/>
      </c>
      <c r="DI11">
        <f t="shared" si="29"/>
        <v>0</v>
      </c>
      <c r="DJ11">
        <f t="shared" si="30"/>
        <v>0</v>
      </c>
      <c r="DK11" t="str">
        <f t="shared" si="13"/>
        <v/>
      </c>
      <c r="DL11" t="str">
        <f t="shared" si="13"/>
        <v/>
      </c>
      <c r="DM11" t="str">
        <f t="shared" si="13"/>
        <v/>
      </c>
      <c r="DN11" t="str">
        <f t="shared" si="14"/>
        <v/>
      </c>
      <c r="DO11" s="652">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71">
        <f>IF(AND(Stamoplysninger!$B$22="Ulempetillæg udbetales med 25% af nettotimelønnen.",C11="ikke relevant"),(R11)/4,0)</f>
        <v>0</v>
      </c>
      <c r="DT11" s="671">
        <f>IF(AND(AND(Stamoplysninger!$B$22="Ulempetillæg udbetales med 25% af nettotimelønnen.",I11="X",C11="Ikke relevant")),K11/4,0)</f>
        <v>0</v>
      </c>
      <c r="DU11" s="671">
        <f>IF(AND(AND(Stamoplysninger!$B$22="Ulempetillæg udbetales med 25% af nettotimelønnen.",C11="ikke relevant",U11="X")),(X11/4),0)</f>
        <v>0</v>
      </c>
      <c r="DV11" s="672">
        <f>IF(AND(AND(AND(Stamoplysninger!$B$22="Ulempetillæg udbetales med 25% af nettotimelønnen.",I11="X",C11="Ikke relevant",S11="X"))),V11/4,0)</f>
        <v>0</v>
      </c>
      <c r="DW11" s="652"/>
      <c r="DZ11" s="671"/>
      <c r="EA11" s="671"/>
      <c r="EB11" s="672"/>
      <c r="EC11" s="652">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71">
        <f>IF(AND(Stamoplysninger!$B$22="Ulempetillæg afspadseres med 25%(Kræver en aftale imellem ledelsen og den ansatte)",C11="ikke relevant"),(R11)/4,0)</f>
        <v>0</v>
      </c>
      <c r="EH11" s="671">
        <f>IF(AND(AND(Stamoplysninger!$B$22="Ulempetillæg afspadseres med 25%(Kræver en aftale imellem ledelsen og den ansatte)",I11="X",C11="Ikke relevant")),K11/4,0)</f>
        <v>0</v>
      </c>
      <c r="EI11" s="671">
        <f>IF(AND(AND(Stamoplysninger!$B$22="Ulempetillæg afspadseres med 25%(Kræver en aftale imellem ledelsen og den ansatte)",U11="X",C11="Ikke relevant")),X11/4,0)</f>
        <v>0</v>
      </c>
      <c r="EJ11" s="671">
        <f>IF(AND(AND(AND(Stamoplysninger!$B$22="Ulempetillæg afspadseres med 25%(Kræver en aftale imellem ledelsen og den ansatte)",I11="X",C11="Ikke relevant",S11="X"))),V11/4,0)</f>
        <v>0</v>
      </c>
      <c r="EK11" s="283">
        <f>IF(AND(Stamoplysninger!$B$26="Weekendtimer og weekendtillæg afspadseres.",I11="X"),K11*1.5,0)</f>
        <v>0</v>
      </c>
      <c r="EL11" s="251">
        <f>IF(AND(AND(Stamoplysninger!$B$26="Weekendtimer og weekendtillæg afspadseres.",I11="X",S11="X")),V11*1.5,0)</f>
        <v>0</v>
      </c>
      <c r="EM11" s="674">
        <f>IF(AND(AND(Stamoplysninger!$B$26="Weekendtimer og weekendtillæg afspadseres.",I11="X",C11="ikke relevant")),K11*1.5,0)</f>
        <v>0</v>
      </c>
      <c r="EN11" s="675">
        <f>IF(AND(AND(AND(Stamoplysninger!$B$26="Weekendtimer og weekendtillæg afspadseres.",I11="X",C11="ikke relevant",S11="X"))),(V11*1.5),0)</f>
        <v>0</v>
      </c>
      <c r="EO11" s="283">
        <f>IF(AND(Stamoplysninger!$B$26="Weekendtimer og weekendtillæg udbetales.",I11="X"),K11*1.5,0)</f>
        <v>0</v>
      </c>
      <c r="EP11" s="251">
        <f>IF(AND(AND(Stamoplysninger!$B$26="Weekendtimer og weekendtillæg udbetales.",I11="X",S11="X")),V11*1.5,0)</f>
        <v>0</v>
      </c>
      <c r="EQ11" s="674">
        <f>IF(AND(AND(Stamoplysninger!$B$26="Weekendtimer og weekendtillæg udbetales.",I11="X",C11="ikke relevant")),K11*1.5,0)</f>
        <v>0</v>
      </c>
      <c r="ER11" s="675">
        <f>IF(AND(AND(AND(Stamoplysninger!$B$26="Weekendtimer og weekendtillæg udbetales.",I11="X",C11="ikke relevant",S11="X"))),(V11*1.5),0)</f>
        <v>0</v>
      </c>
      <c r="ES11" s="283">
        <f>IF(AND(Stamoplysninger!$B$26="Der er indgået lokalaftale omkring weekendtimer.(Kræver aftale med TR/FSL) Weekendtillæg afspadseres.",I11="X"),K11*0.5,0)</f>
        <v>0</v>
      </c>
      <c r="ET11" s="251">
        <f>IF(AND(AND(Stamoplysninger!$B$26="Der er indgået lokalaftale omkring weekendtimer.(Kræver aftale med TR/FSL) Weekendtillæg afspadseres.",I11="X",S11="X")),V11*0.5,0)</f>
        <v>0</v>
      </c>
      <c r="EU11" s="674">
        <f>IF(AND(AND(Stamoplysninger!$B$26="Der er indgået lokalaftale omkring weekendtimer.(Kræver aftale med TR/FSL) Weekendtillæg afspadseres.",I11="X",C11="ikke relevant")),K11*0.5,0)</f>
        <v>0</v>
      </c>
      <c r="EV11" s="675">
        <f>IF(AND(AND(AND(Stamoplysninger!$B$26="Der er indgået lokalaftale omkring weekendtimer.(Kræver aftale med TR/FSL) Weekendtillæg afspadseres.",I11="X",C11="ikke relevant",S11="X"))),(V11*0.5),0)</f>
        <v>0</v>
      </c>
      <c r="EW11" s="283">
        <f>IF(AND(Stamoplysninger!$B$26="Der er indgået lokalaftale omkring weekendtimer(Kræver aftale med TR/FSL). Weekendtillæg udbetales.",I11="X"),K11*0.5,0)</f>
        <v>0</v>
      </c>
      <c r="EX11" s="251">
        <f>IF(AND(AND(Stamoplysninger!$B$26="Der er indgået lokalaftale omkring weekendtimer(Kræver aftale med TR/FSL). Weekendtillæg udbetales.",I11="X",S11="X")),V11*0.5,0)</f>
        <v>0</v>
      </c>
      <c r="EY11" s="674">
        <f>IF(AND(AND(Stamoplysninger!$B$26="Der er indgået lokalaftale omkring weekendtimer(Kræver aftale med TR/FSL). Weekendtillæg udbetales.",I11="X",C11="ikke relevant")),K11*0.5,0)</f>
        <v>0</v>
      </c>
      <c r="EZ11" s="675">
        <f>IF(AND(AND(AND(Stamoplysninger!$B$26="Der er indgået lokalaftale omkring weekendtimer(Kræver aftale med TR/FSL). Weekendtillæg udbetales.",I11="X",C11="ikke relevant",S11="X"))),(V11*0.5),0)</f>
        <v>0</v>
      </c>
      <c r="FA11" s="283">
        <f>IF(AND(Stamoplysninger!$B$26="Der er indgået lokalaftale omkring weekendtillæg(Kræver aftale med TR/FSL). Weekendtimerne afspadseres.",I11="X"),K11,0)</f>
        <v>0</v>
      </c>
      <c r="FB11" s="251">
        <f>IF(AND(AND(Stamoplysninger!$B$26="Der er indgået lokalaftale omkring weekendtillæg(Kræver aftale med TR/FSL). Weekendtimerne afspadseres.",I11="X",S11="X")),V11,0)</f>
        <v>0</v>
      </c>
      <c r="FC11" s="674">
        <f>IF(AND(AND(Stamoplysninger!$B$26="Der er indgået lokalaftale omkring weekendtillæg(Kræver aftale med TR/FSL). Weekendtimerne afspadseres..",I11="X",C11="ikke relevant")),K11,0)</f>
        <v>0</v>
      </c>
      <c r="FD11" s="675">
        <f>IF(AND(AND(AND(Stamoplysninger!$B$26="Der er indgået lokalaftale omkring weekendtillæg(Kræver aftale med TR/FSL). Weekendtimerne afspadseres.",I11="X",C11="ikke relevant",S11="X"))),(V11),0)</f>
        <v>0</v>
      </c>
      <c r="FE11" s="283">
        <f>IF(AND(Stamoplysninger!$B$26="Der er indgået lokalaftale omkring weekendtillæg(Kræver aftale med TR/FSL). Weekendtimerne udbetales.",I11="X"),K11,0)</f>
        <v>0</v>
      </c>
      <c r="FF11" s="251">
        <f>IF(AND(AND(Stamoplysninger!$B$26="Der er indgået lokalaftale omkring weekendtillæg(Kræver aftale med TR/FSL). Weekendtimerne udbetales.",I11="X",S11="X")),V11,0)</f>
        <v>0</v>
      </c>
      <c r="FG11" s="674">
        <f>IF(AND(AND(Stamoplysninger!$B$26="Der er indgået lokalaftale omkring weekendtillæg(Kræver aftale med TR/FSL). Weekendtimerne udbetales.",I11="X",C11="ikke relevant")),K11,0)</f>
        <v>0</v>
      </c>
      <c r="FH11" s="675">
        <f>IF(AND(AND(AND(Stamoplysninger!$B$26="Der er indgået lokalaftale omkring weekendtillæg(Kræver aftale med TR/FSL). Weekendtimerne udbetales.",I11="X",C11="ikke relevant",S11="X"))),(V11),0)</f>
        <v>0</v>
      </c>
      <c r="FI11" s="283">
        <f>IF(AND(Stamoplysninger!$B$26="Weekendtimer og weekendtillæg afspadseres.",I11="X"),K11,0)</f>
        <v>0</v>
      </c>
      <c r="FJ11" s="251">
        <f>IF(AND(Stamoplysninger!$B$26="Weekendtimer og weekendtillæg afspadseres.",Y11="X"),(AA11+AL11)/2,0)</f>
        <v>0</v>
      </c>
      <c r="FK11" s="674">
        <f>IF(AND(AND(Stamoplysninger!$B$26="Weekendtimer og weekendtillæg afspadseres.",I11="X",C11="ikke relevant")),K11,0)</f>
        <v>0</v>
      </c>
      <c r="FL11" s="675">
        <f>IF(AND(AND(Stamoplysninger!$B$26="Weekendtimer og weekendtillæg afspadseres.",Y11="X",S11="ikke relevant")),(AA11+AL11)/2,0)</f>
        <v>0</v>
      </c>
      <c r="FM11" s="283">
        <f>IF(AND(Stamoplysninger!$B$26="Der er indgået lokalaftale omkring weekendtillæg(Kræver aftale med TR/FSL). Weekendtimerne afspadseres.",I11="X"),K11,0)</f>
        <v>0</v>
      </c>
      <c r="FN11" s="674">
        <f>IF(AND(AND(Stamoplysninger!$B$26="Der er indgået lokalaftale omkring weekendtillæg(Kræver aftale med TR/FSL). Weekendtimerne afspadseres.",I11="X",C11="ikke relevant")),K11,0)</f>
        <v>0</v>
      </c>
      <c r="FO11" s="283">
        <f>IF(AND(Stamoplysninger!$B$26="Weekendtimer og weekendtillæg udbetales.",I11="X"),K11,0)</f>
        <v>0</v>
      </c>
      <c r="FP11" s="251">
        <f>IF(AND(Stamoplysninger!$B$26="Weekendtimer og weekendtillæg udbetales.",AA11="X"),(AC11+AN11)/2,0)</f>
        <v>0</v>
      </c>
      <c r="FQ11" s="674">
        <f>IF(AND(AND(Stamoplysninger!$B$26="Weekendtimer og weekendtillæg udbetales.",I11="X",C11="ikke relevant")),K11,0)</f>
        <v>0</v>
      </c>
      <c r="FR11" s="688">
        <f>IF(AND(AND(Stamoplysninger!$B$26="Weekendtimer og weekendtillæg udbetales.",AA11="X",U11="ikke relevant")),(AC11+AN11)/2,0)</f>
        <v>0</v>
      </c>
      <c r="FS11" s="283">
        <f t="shared" si="15"/>
        <v>0</v>
      </c>
      <c r="FT11" s="658">
        <f t="shared" si="16"/>
        <v>0</v>
      </c>
      <c r="FU11">
        <f t="shared" si="17"/>
        <v>0</v>
      </c>
      <c r="FV11" s="283">
        <f>IF(AND(Stamoplysninger!$B$26="Der er indgået lokalaftale omkring weekendtimer.(Kræver aftale med TR/FSL) Weekendtillæg afspadseres.",I11="X"),K11,0)</f>
        <v>0</v>
      </c>
      <c r="FW11" s="674">
        <f>IF(AND(AND(Stamoplysninger!$B$26="Der er indgået lokalaftale omkring weekendtimer.(Kræver aftale med TR/FSL) Weekendtillæg afspadseres.",I11="X",C11="ikke relevant")),K11,0)</f>
        <v>0</v>
      </c>
      <c r="FX11" s="283">
        <f>IF(AND(Stamoplysninger!$B$26="Der er indgået lokalaftale omkring weekendtimer(Kræver aftale med TR/FSL). Weekendtillæg udbetales.",I11="X"),K11,0)</f>
        <v>0</v>
      </c>
      <c r="FY11" s="674">
        <f>IF(AND(AND(Stamoplysninger!$B$26="Der er indgået lokalaftale omkring weekendtimer(Kræver aftale med TR/FSL). Weekendtillæg udbetales.",I11="X",C11="ikke relevant")),K11,0)</f>
        <v>0</v>
      </c>
      <c r="FZ11" s="283">
        <f>IF(AND(Stamoplysninger!$B$26="Der er indgået lokalaftale omkring weekendtillæg(Kræver aftale med TR/FSL). Weekendtimerne udbetales.",I11="X"),K11,0)</f>
        <v>0</v>
      </c>
      <c r="GA11" s="674">
        <f>IF(AND(AND(Stamoplysninger!$B$26="Der er indgået lokalaftale omkring weekendtillæg(Kræver aftale med TR/FSL). Weekendtimerne udbetales.",I11="X",C11="ikke relevant")),K11,0)</f>
        <v>0</v>
      </c>
      <c r="GB11" s="283">
        <f>IF(AND(Stamoplysninger!$B$26="Der er indgået lokalaftale omkring weekendtimer og weekendtillæg.(Kræver aftale med TR/FSL).",I11="X"),K11,0)</f>
        <v>0</v>
      </c>
      <c r="GC11" s="674">
        <f>IF(AND(AND(Stamoplysninger!$B$26="Der er indgået lokalaftale omkring weekendtimer og weekendtillæg.(Kræver aftale med TR/FSL).",I11="X",C11="ikke relevant")),K11,0)</f>
        <v>0</v>
      </c>
    </row>
    <row r="12" spans="1:185">
      <c r="A12" s="245">
        <f t="shared" si="18"/>
        <v>4</v>
      </c>
      <c r="B12" s="128" t="str">
        <f t="shared" si="0"/>
        <v>on</v>
      </c>
      <c r="C12" s="129" t="s">
        <v>206</v>
      </c>
      <c r="D12" s="130" t="str">
        <f t="shared" si="1"/>
        <v/>
      </c>
      <c r="E12" s="917"/>
      <c r="F12" s="918"/>
      <c r="G12" s="919"/>
      <c r="H12" s="298"/>
      <c r="I12" s="527"/>
      <c r="J12" s="413"/>
      <c r="K12" s="380"/>
      <c r="L12" s="380"/>
      <c r="M12" s="380"/>
      <c r="N12" s="318">
        <f t="shared" si="19"/>
        <v>7.75</v>
      </c>
      <c r="O12" s="318">
        <f t="shared" si="20"/>
        <v>5</v>
      </c>
      <c r="P12" s="318">
        <f>IF(Stamoplysninger!$H$29="JA",September!DG12,CX12)</f>
        <v>1.1666666666666665</v>
      </c>
      <c r="Q12" s="318">
        <f t="shared" si="21"/>
        <v>1.5833333333333335</v>
      </c>
      <c r="R12" s="319"/>
      <c r="S12" s="324"/>
      <c r="T12" s="325"/>
      <c r="U12" s="325"/>
      <c r="V12" s="435"/>
      <c r="W12" s="435"/>
      <c r="X12" s="644"/>
      <c r="Y12">
        <f t="shared" si="22"/>
        <v>0</v>
      </c>
      <c r="Z12" s="437">
        <f t="shared" si="23"/>
        <v>0</v>
      </c>
      <c r="AA12" s="1">
        <f t="shared" si="2"/>
        <v>0</v>
      </c>
      <c r="AB12" s="1">
        <f t="shared" si="3"/>
        <v>0</v>
      </c>
      <c r="AC12" s="1">
        <f t="shared" si="4"/>
        <v>0</v>
      </c>
      <c r="AD12" s="1">
        <f t="shared" si="5"/>
        <v>0</v>
      </c>
      <c r="AE12" s="1">
        <f t="shared" si="6"/>
        <v>0</v>
      </c>
      <c r="AF12" s="1">
        <f>IF(C12="Orlov",7.4*Stamoplysninger!$E$15,0)</f>
        <v>0</v>
      </c>
      <c r="AG12" t="str">
        <f>IF(AND(C12="Skema 1",B12="ma"),Arbejdstidsoversigt!$E$72,"")</f>
        <v/>
      </c>
      <c r="AH12" t="str">
        <f>IF(AND(C12="Skema 1",B12="ti"),Arbejdstidsoversigt!$E$73,"")</f>
        <v/>
      </c>
      <c r="AI12">
        <f>IF(AND(C12="Skema 1",B12="on"),Arbejdstidsoversigt!$E$74,"")</f>
        <v>7.75</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4"/>
        <v>7.75</v>
      </c>
      <c r="BB12" s="229">
        <f t="shared" si="7"/>
        <v>186</v>
      </c>
      <c r="BC12" s="1">
        <f t="shared" si="25"/>
        <v>0</v>
      </c>
      <c r="BD12" s="1">
        <f t="shared" si="8"/>
        <v>0</v>
      </c>
      <c r="BE12" s="1">
        <f t="shared" si="9"/>
        <v>0</v>
      </c>
      <c r="BF12" s="1">
        <f t="shared" si="10"/>
        <v>0</v>
      </c>
      <c r="BG12" s="210" t="str">
        <f>IF(AND(C12="Skema 1",B12="ma"),Skemaoplysninger!$E$30,"")</f>
        <v/>
      </c>
      <c r="BH12" s="210" t="str">
        <f>IF(AND(C12="Skema 1",B12="ti"),Skemaoplysninger!$G$30,"")</f>
        <v/>
      </c>
      <c r="BI12" s="210">
        <f>IF(AND(C12="Skema 1",B12="on"),Skemaoplysninger!$I$30,"")</f>
        <v>0.20833333333333331</v>
      </c>
      <c r="BJ12" s="210" t="str">
        <f>IF(AND(C12="Skema 1",B12="to"),Skemaoplysninger!$K$30,"")</f>
        <v/>
      </c>
      <c r="BK12" s="210" t="str">
        <f>IF(AND(C12="Skema 1",B12="fr"),Skemaoplysninger!$M$30,"")</f>
        <v/>
      </c>
      <c r="BL12" s="210" t="str">
        <f>IF(AND(C12="Skema 2",B12="ma"),Skemaoplysninger!$S$30,"")</f>
        <v/>
      </c>
      <c r="BM12" s="210" t="str">
        <f>IF(AND(C12="Skema 2",B12="ti"),Skemaoplysninger!$U$30,"")</f>
        <v/>
      </c>
      <c r="BN12" s="210" t="str">
        <f>IF(AND(C12="Skema 2",B12="on"),Skemaoplysninger!$W$30,"")</f>
        <v/>
      </c>
      <c r="BO12" s="210" t="str">
        <f>IF(AND(C12="Skema 2",B12="to"),Skemaoplysninger!$Y$30,"")</f>
        <v/>
      </c>
      <c r="BP12" s="210" t="str">
        <f>IF(AND(C12="Skema 2",B12="fr"),Skemaoplysninger!$AA$30,"")</f>
        <v/>
      </c>
      <c r="BQ12" s="210" t="str">
        <f>IF(AND(C12="Skema 3",B12="ma"),Skemaoplysninger!$AG$30,"")</f>
        <v/>
      </c>
      <c r="BR12" s="210" t="str">
        <f>IF(AND(C12="Skema 3",B12="ti"),Skemaoplysninger!$AI$30,"")</f>
        <v/>
      </c>
      <c r="BS12" s="210" t="str">
        <f>IF(AND(C12="Skema 3",B12="on"),Skemaoplysninger!$AK$30,"")</f>
        <v/>
      </c>
      <c r="BT12" s="210" t="str">
        <f>IF(AND(C12="Skema 3",B12="to"),Skemaoplysninger!$AM$30,"")</f>
        <v/>
      </c>
      <c r="BU12" s="210" t="str">
        <f>IF(AND(C12="Skema 3",B12="fr"),Skemaoplysninger!$AO$30,"")</f>
        <v/>
      </c>
      <c r="BV12" s="210" t="str">
        <f>IF(AND(C12="Skema 4",B12="ma"),Skemaoplysninger!$AU$30,"")</f>
        <v/>
      </c>
      <c r="BW12" s="210" t="str">
        <f>IF(AND(C12="Skema 4",B12="ti"),Skemaoplysninger!$AW$30,"")</f>
        <v/>
      </c>
      <c r="BX12" s="210" t="str">
        <f>IF(AND(C12="Skema 4",B12="on"),Skemaoplysninger!$AY$30,"")</f>
        <v/>
      </c>
      <c r="BY12" s="210" t="str">
        <f>IF(AND(C12="Skema 4",B12="to"),Skemaoplysninger!$BA$30,"")</f>
        <v/>
      </c>
      <c r="BZ12" s="210" t="str">
        <f>IF(AND(C12="Skema 4",B12="fr"),Skemaoplysninger!$BC$30,"")</f>
        <v/>
      </c>
      <c r="CA12" s="1">
        <f t="shared" si="26"/>
        <v>5</v>
      </c>
      <c r="CB12" s="1">
        <f t="shared" si="11"/>
        <v>0</v>
      </c>
      <c r="CC12" s="1">
        <f t="shared" si="12"/>
        <v>0</v>
      </c>
      <c r="CD12" s="210" t="str">
        <f>IF(AND(C12="Skema 1",B12="ma"),Skemaoplysninger!$E$31,"")</f>
        <v/>
      </c>
      <c r="CE12" s="210" t="str">
        <f>IF(AND(C12="Skema 1",B12="ti"),Skemaoplysninger!$G$31,"")</f>
        <v/>
      </c>
      <c r="CF12" s="210">
        <f>IF(AND(C12="Skema 1",B12="on"),Skemaoplysninger!$I$31,"")</f>
        <v>4.8611111111111105E-2</v>
      </c>
      <c r="CG12" s="210" t="str">
        <f>IF(AND(C12="Skema 1",B12="to"),Skemaoplysninger!$K$31,"")</f>
        <v/>
      </c>
      <c r="CH12" s="210" t="str">
        <f>IF(AND(C12="Skema 1",B12="fr"),Skemaoplysninger!$M$31,"")</f>
        <v/>
      </c>
      <c r="CI12" s="210" t="str">
        <f>IF(AND(C12="Skema 2",B12="ma"),Skemaoplysninger!$S$31,"")</f>
        <v/>
      </c>
      <c r="CJ12" s="210" t="str">
        <f>IF(AND(C12="Skema 2",B12="ti"),Skemaoplysninger!$U$31,"")</f>
        <v/>
      </c>
      <c r="CK12" s="210" t="str">
        <f>IF(AND(C12="Skema 2",B12="on"),Skemaoplysninger!$W$31,"")</f>
        <v/>
      </c>
      <c r="CL12" s="210" t="str">
        <f>IF(AND(C12="Skema 2",B12="to"),Skemaoplysninger!$Y$31,"")</f>
        <v/>
      </c>
      <c r="CM12" s="210" t="str">
        <f>IF(AND(C12="Skema 2",B12="fr"),Skemaoplysninger!$AA$31,"")</f>
        <v/>
      </c>
      <c r="CN12" s="210" t="str">
        <f>IF(AND(C12="Skema 3",B12="ma"),Skemaoplysninger!$AG$31,"")</f>
        <v/>
      </c>
      <c r="CO12" s="210" t="str">
        <f>IF(AND(C12="Skema 3",B12="ti"),Skemaoplysninger!$AI$31,"")</f>
        <v/>
      </c>
      <c r="CP12" s="210" t="str">
        <f>IF(AND(C12="Skema 3",B12="on"),Skemaoplysninger!$AK$31,"")</f>
        <v/>
      </c>
      <c r="CQ12" s="210" t="str">
        <f>IF(AND(C12="Skema 3",B12="to"),Skemaoplysninger!$AM$31,"")</f>
        <v/>
      </c>
      <c r="CR12" s="210" t="str">
        <f>IF(AND(C12="Skema 3",B12="fr"),Skemaoplysninger!$AO$31,"")</f>
        <v/>
      </c>
      <c r="CS12" s="210" t="str">
        <f>IF(AND(C12="Skema 4",B12="ma"),Skemaoplysninger!$AU$31,"")</f>
        <v/>
      </c>
      <c r="CT12" s="210" t="str">
        <f>IF(AND(C12="Skema 4",B12="ti"),Skemaoplysninger!$AW$31,"")</f>
        <v/>
      </c>
      <c r="CU12" s="210" t="str">
        <f>IF(AND(C12="Skema 4",B12="on"),Skemaoplysninger!$AY$31,"")</f>
        <v/>
      </c>
      <c r="CV12" s="210" t="str">
        <f>IF(AND(C12="Skema 4",B12="to"),Skemaoplysninger!$BA$31,"")</f>
        <v/>
      </c>
      <c r="CW12" s="210" t="str">
        <f>IF(AND(C12="Skema 4",B12="fr"),Skemaoplysninger!$BC$31,"")</f>
        <v/>
      </c>
      <c r="CX12" s="249">
        <f>IF(Stamoplysninger!$H$29="NEJ",SUM(CD12:CW12)*24+CB12+CC12,0)</f>
        <v>1.1666666666666665</v>
      </c>
      <c r="CY12" s="249">
        <f>IF(C12="Skema 1",Stamoplysninger!$H$30/200,0)</f>
        <v>0</v>
      </c>
      <c r="CZ12" s="249">
        <f>IF(C12="Skema 2",Stamoplysninger!$H$30/200,0)</f>
        <v>0</v>
      </c>
      <c r="DA12" s="249">
        <f>IF(C12="Skema 3",Stamoplysninger!$H$30/200,0)</f>
        <v>0</v>
      </c>
      <c r="DB12" s="249">
        <f>IF(C12="Skema 4",Stamoplysninger!$H$30/200,0)</f>
        <v>0</v>
      </c>
      <c r="DC12" s="249">
        <f>IF(C12="fagdag",Stamoplysninger!$H$30/200,0)</f>
        <v>0</v>
      </c>
      <c r="DD12" s="249">
        <f>IF(C12="emnedag",Stamoplysninger!$H$30/200,0)</f>
        <v>0</v>
      </c>
      <c r="DE12" s="249">
        <f>IF(C12="lejrskole",Stamoplysninger!$H$30/200,0)</f>
        <v>0</v>
      </c>
      <c r="DF12" s="249">
        <f>IF(C12="ekskursion",Stamoplysninger!$H$30/200,0)</f>
        <v>0</v>
      </c>
      <c r="DG12" s="249">
        <f t="shared" si="27"/>
        <v>0</v>
      </c>
      <c r="DH12" t="str">
        <f t="shared" si="28"/>
        <v/>
      </c>
      <c r="DI12">
        <f t="shared" si="29"/>
        <v>0</v>
      </c>
      <c r="DJ12">
        <f>IF(E12="",H12,"")</f>
        <v>0</v>
      </c>
      <c r="DK12" t="str">
        <f t="shared" si="13"/>
        <v/>
      </c>
      <c r="DL12" t="str">
        <f t="shared" si="13"/>
        <v/>
      </c>
      <c r="DM12" t="str">
        <f t="shared" si="13"/>
        <v/>
      </c>
      <c r="DN12" t="str">
        <f t="shared" si="14"/>
        <v/>
      </c>
      <c r="DO12" s="652">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71">
        <f>IF(AND(Stamoplysninger!$B$22="Ulempetillæg udbetales med 25% af nettotimelønnen.",C12="ikke relevant"),(R12)/4,0)</f>
        <v>0</v>
      </c>
      <c r="DT12" s="671">
        <f>IF(AND(AND(Stamoplysninger!$B$22="Ulempetillæg udbetales med 25% af nettotimelønnen.",I12="X",C12="Ikke relevant")),K12/4,0)</f>
        <v>0</v>
      </c>
      <c r="DU12" s="671">
        <f>IF(AND(AND(Stamoplysninger!$B$22="Ulempetillæg udbetales med 25% af nettotimelønnen.",C12="ikke relevant",U12="X")),(X12/4),0)</f>
        <v>0</v>
      </c>
      <c r="DV12" s="672">
        <f>IF(AND(AND(AND(Stamoplysninger!$B$22="Ulempetillæg udbetales med 25% af nettotimelønnen.",I12="X",C12="Ikke relevant",S12="X"))),V12/4,0)</f>
        <v>0</v>
      </c>
      <c r="DW12" s="652"/>
      <c r="DZ12" s="671"/>
      <c r="EA12" s="671"/>
      <c r="EB12" s="672"/>
      <c r="EC12" s="652">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71">
        <f>IF(AND(Stamoplysninger!$B$22="Ulempetillæg afspadseres med 25%(Kræver en aftale imellem ledelsen og den ansatte)",C12="ikke relevant"),(R12)/4,0)</f>
        <v>0</v>
      </c>
      <c r="EH12" s="671">
        <f>IF(AND(AND(Stamoplysninger!$B$22="Ulempetillæg afspadseres med 25%(Kræver en aftale imellem ledelsen og den ansatte)",I12="X",C12="Ikke relevant")),K12/4,0)</f>
        <v>0</v>
      </c>
      <c r="EI12" s="671">
        <f>IF(AND(AND(Stamoplysninger!$B$22="Ulempetillæg afspadseres med 25%(Kræver en aftale imellem ledelsen og den ansatte)",U12="X",C12="Ikke relevant")),X12/4,0)</f>
        <v>0</v>
      </c>
      <c r="EJ12" s="671">
        <f>IF(AND(AND(AND(Stamoplysninger!$B$22="Ulempetillæg afspadseres med 25%(Kræver en aftale imellem ledelsen og den ansatte)",I12="X",C12="Ikke relevant",S12="X"))),V12/4,0)</f>
        <v>0</v>
      </c>
      <c r="EK12" s="283">
        <f>IF(AND(Stamoplysninger!$B$26="Weekendtimer og weekendtillæg afspadseres.",I12="X"),K12*1.5,0)</f>
        <v>0</v>
      </c>
      <c r="EL12" s="251">
        <f>IF(AND(AND(Stamoplysninger!$B$26="Weekendtimer og weekendtillæg afspadseres.",I12="X",S12="X")),V12*1.5,0)</f>
        <v>0</v>
      </c>
      <c r="EM12" s="674">
        <f>IF(AND(AND(Stamoplysninger!$B$26="Weekendtimer og weekendtillæg afspadseres.",I12="X",C12="ikke relevant")),K12*1.5,0)</f>
        <v>0</v>
      </c>
      <c r="EN12" s="675">
        <f>IF(AND(AND(AND(Stamoplysninger!$B$26="Weekendtimer og weekendtillæg afspadseres.",I12="X",C12="ikke relevant",S12="X"))),(V12*1.5),0)</f>
        <v>0</v>
      </c>
      <c r="EO12" s="283">
        <f>IF(AND(Stamoplysninger!$B$26="Weekendtimer og weekendtillæg udbetales.",I12="X"),K12*1.5,0)</f>
        <v>0</v>
      </c>
      <c r="EP12" s="251">
        <f>IF(AND(AND(Stamoplysninger!$B$26="Weekendtimer og weekendtillæg udbetales.",I12="X",S12="X")),V12*1.5,0)</f>
        <v>0</v>
      </c>
      <c r="EQ12" s="674">
        <f>IF(AND(AND(Stamoplysninger!$B$26="Weekendtimer og weekendtillæg udbetales.",I12="X",C12="ikke relevant")),K12*1.5,0)</f>
        <v>0</v>
      </c>
      <c r="ER12" s="675">
        <f>IF(AND(AND(AND(Stamoplysninger!$B$26="Weekendtimer og weekendtillæg udbetales.",I12="X",C12="ikke relevant",S12="X"))),(V12*1.5),0)</f>
        <v>0</v>
      </c>
      <c r="ES12" s="283">
        <f>IF(AND(Stamoplysninger!$B$26="Der er indgået lokalaftale omkring weekendtimer.(Kræver aftale med TR/FSL) Weekendtillæg afspadseres.",I12="X"),K12*0.5,0)</f>
        <v>0</v>
      </c>
      <c r="ET12" s="251">
        <f>IF(AND(AND(Stamoplysninger!$B$26="Der er indgået lokalaftale omkring weekendtimer.(Kræver aftale med TR/FSL) Weekendtillæg afspadseres.",I12="X",S12="X")),V12*0.5,0)</f>
        <v>0</v>
      </c>
      <c r="EU12" s="674">
        <f>IF(AND(AND(Stamoplysninger!$B$26="Der er indgået lokalaftale omkring weekendtimer.(Kræver aftale med TR/FSL) Weekendtillæg afspadseres.",I12="X",C12="ikke relevant")),K12*0.5,0)</f>
        <v>0</v>
      </c>
      <c r="EV12" s="675">
        <f>IF(AND(AND(AND(Stamoplysninger!$B$26="Der er indgået lokalaftale omkring weekendtimer.(Kræver aftale med TR/FSL) Weekendtillæg afspadseres.",I12="X",C12="ikke relevant",S12="X"))),(V12*0.5),0)</f>
        <v>0</v>
      </c>
      <c r="EW12" s="283">
        <f>IF(AND(Stamoplysninger!$B$26="Der er indgået lokalaftale omkring weekendtimer(Kræver aftale med TR/FSL). Weekendtillæg udbetales.",I12="X"),K12*0.5,0)</f>
        <v>0</v>
      </c>
      <c r="EX12" s="251">
        <f>IF(AND(AND(Stamoplysninger!$B$26="Der er indgået lokalaftale omkring weekendtimer(Kræver aftale med TR/FSL). Weekendtillæg udbetales.",I12="X",S12="X")),V12*0.5,0)</f>
        <v>0</v>
      </c>
      <c r="EY12" s="674">
        <f>IF(AND(AND(Stamoplysninger!$B$26="Der er indgået lokalaftale omkring weekendtimer(Kræver aftale med TR/FSL). Weekendtillæg udbetales.",I12="X",C12="ikke relevant")),K12*0.5,0)</f>
        <v>0</v>
      </c>
      <c r="EZ12" s="675">
        <f>IF(AND(AND(AND(Stamoplysninger!$B$26="Der er indgået lokalaftale omkring weekendtimer(Kræver aftale med TR/FSL). Weekendtillæg udbetales.",I12="X",C12="ikke relevant",S12="X"))),(V12*0.5),0)</f>
        <v>0</v>
      </c>
      <c r="FA12" s="283">
        <f>IF(AND(Stamoplysninger!$B$26="Der er indgået lokalaftale omkring weekendtillæg(Kræver aftale med TR/FSL). Weekendtimerne afspadseres.",I12="X"),K12,0)</f>
        <v>0</v>
      </c>
      <c r="FB12" s="251">
        <f>IF(AND(AND(Stamoplysninger!$B$26="Der er indgået lokalaftale omkring weekendtillæg(Kræver aftale med TR/FSL). Weekendtimerne afspadseres.",I12="X",S12="X")),V12,0)</f>
        <v>0</v>
      </c>
      <c r="FC12" s="674">
        <f>IF(AND(AND(Stamoplysninger!$B$26="Der er indgået lokalaftale omkring weekendtillæg(Kræver aftale med TR/FSL). Weekendtimerne afspadseres..",I12="X",C12="ikke relevant")),K12,0)</f>
        <v>0</v>
      </c>
      <c r="FD12" s="675">
        <f>IF(AND(AND(AND(Stamoplysninger!$B$26="Der er indgået lokalaftale omkring weekendtillæg(Kræver aftale med TR/FSL). Weekendtimerne afspadseres.",I12="X",C12="ikke relevant",S12="X"))),(V12),0)</f>
        <v>0</v>
      </c>
      <c r="FE12" s="283">
        <f>IF(AND(Stamoplysninger!$B$26="Der er indgået lokalaftale omkring weekendtillæg(Kræver aftale med TR/FSL). Weekendtimerne udbetales.",I12="X"),K12,0)</f>
        <v>0</v>
      </c>
      <c r="FF12" s="251">
        <f>IF(AND(AND(Stamoplysninger!$B$26="Der er indgået lokalaftale omkring weekendtillæg(Kræver aftale med TR/FSL). Weekendtimerne udbetales.",I12="X",S12="X")),V12,0)</f>
        <v>0</v>
      </c>
      <c r="FG12" s="674">
        <f>IF(AND(AND(Stamoplysninger!$B$26="Der er indgået lokalaftale omkring weekendtillæg(Kræver aftale med TR/FSL). Weekendtimerne udbetales.",I12="X",C12="ikke relevant")),K12,0)</f>
        <v>0</v>
      </c>
      <c r="FH12" s="675">
        <f>IF(AND(AND(AND(Stamoplysninger!$B$26="Der er indgået lokalaftale omkring weekendtillæg(Kræver aftale med TR/FSL). Weekendtimerne udbetales.",I12="X",C12="ikke relevant",S12="X"))),(V12),0)</f>
        <v>0</v>
      </c>
      <c r="FI12" s="283">
        <f>IF(AND(Stamoplysninger!$B$26="Weekendtimer og weekendtillæg afspadseres.",I12="X"),K12,0)</f>
        <v>0</v>
      </c>
      <c r="FJ12" s="251">
        <f>IF(AND(Stamoplysninger!$B$26="Weekendtimer og weekendtillæg afspadseres.",Y12="X"),(AA12+AL12)/2,0)</f>
        <v>0</v>
      </c>
      <c r="FK12" s="674">
        <f>IF(AND(AND(Stamoplysninger!$B$26="Weekendtimer og weekendtillæg afspadseres.",I12="X",C12="ikke relevant")),K12,0)</f>
        <v>0</v>
      </c>
      <c r="FL12" s="675">
        <f>IF(AND(AND(Stamoplysninger!$B$26="Weekendtimer og weekendtillæg afspadseres.",Y12="X",S12="ikke relevant")),(AA12+AL12)/2,0)</f>
        <v>0</v>
      </c>
      <c r="FM12" s="283">
        <f>IF(AND(Stamoplysninger!$B$26="Der er indgået lokalaftale omkring weekendtillæg(Kræver aftale med TR/FSL). Weekendtimerne afspadseres.",I12="X"),K12,0)</f>
        <v>0</v>
      </c>
      <c r="FN12" s="674">
        <f>IF(AND(AND(Stamoplysninger!$B$26="Der er indgået lokalaftale omkring weekendtillæg(Kræver aftale med TR/FSL). Weekendtimerne afspadseres.",I12="X",C12="ikke relevant")),K12,0)</f>
        <v>0</v>
      </c>
      <c r="FO12" s="283">
        <f>IF(AND(Stamoplysninger!$B$26="Weekendtimer og weekendtillæg udbetales.",I12="X"),K12,0)</f>
        <v>0</v>
      </c>
      <c r="FP12" s="251">
        <f>IF(AND(Stamoplysninger!$B$26="Weekendtimer og weekendtillæg udbetales.",AA12="X"),(AC12+AN12)/2,0)</f>
        <v>0</v>
      </c>
      <c r="FQ12" s="674">
        <f>IF(AND(AND(Stamoplysninger!$B$26="Weekendtimer og weekendtillæg udbetales.",I12="X",C12="ikke relevant")),K12,0)</f>
        <v>0</v>
      </c>
      <c r="FR12" s="688">
        <f>IF(AND(AND(Stamoplysninger!$B$26="Weekendtimer og weekendtillæg udbetales.",AA12="X",U12="ikke relevant")),(AC12+AN12)/2,0)</f>
        <v>0</v>
      </c>
      <c r="FS12" s="283">
        <f t="shared" si="15"/>
        <v>0</v>
      </c>
      <c r="FT12" s="658">
        <f t="shared" si="16"/>
        <v>0</v>
      </c>
      <c r="FU12">
        <f t="shared" si="17"/>
        <v>0</v>
      </c>
      <c r="FV12" s="283">
        <f>IF(AND(Stamoplysninger!$B$26="Der er indgået lokalaftale omkring weekendtimer.(Kræver aftale med TR/FSL) Weekendtillæg afspadseres.",I12="X"),K12,0)</f>
        <v>0</v>
      </c>
      <c r="FW12" s="674">
        <f>IF(AND(AND(Stamoplysninger!$B$26="Der er indgået lokalaftale omkring weekendtimer.(Kræver aftale med TR/FSL) Weekendtillæg afspadseres.",I12="X",C12="ikke relevant")),K12,0)</f>
        <v>0</v>
      </c>
      <c r="FX12" s="283">
        <f>IF(AND(Stamoplysninger!$B$26="Der er indgået lokalaftale omkring weekendtimer(Kræver aftale med TR/FSL). Weekendtillæg udbetales.",I12="X"),K12,0)</f>
        <v>0</v>
      </c>
      <c r="FY12" s="674">
        <f>IF(AND(AND(Stamoplysninger!$B$26="Der er indgået lokalaftale omkring weekendtimer(Kræver aftale med TR/FSL). Weekendtillæg udbetales.",I12="X",C12="ikke relevant")),K12,0)</f>
        <v>0</v>
      </c>
      <c r="FZ12" s="283">
        <f>IF(AND(Stamoplysninger!$B$26="Der er indgået lokalaftale omkring weekendtillæg(Kræver aftale med TR/FSL). Weekendtimerne udbetales.",I12="X"),K12,0)</f>
        <v>0</v>
      </c>
      <c r="GA12" s="674">
        <f>IF(AND(AND(Stamoplysninger!$B$26="Der er indgået lokalaftale omkring weekendtillæg(Kræver aftale med TR/FSL). Weekendtimerne udbetales.",I12="X",C12="ikke relevant")),K12,0)</f>
        <v>0</v>
      </c>
      <c r="GB12" s="283">
        <f>IF(AND(Stamoplysninger!$B$26="Der er indgået lokalaftale omkring weekendtimer og weekendtillæg.(Kræver aftale med TR/FSL).",I12="X"),K12,0)</f>
        <v>0</v>
      </c>
      <c r="GC12" s="674">
        <f>IF(AND(AND(Stamoplysninger!$B$26="Der er indgået lokalaftale omkring weekendtimer og weekendtillæg.(Kræver aftale med TR/FSL).",I12="X",C12="ikke relevant")),K12,0)</f>
        <v>0</v>
      </c>
    </row>
    <row r="13" spans="1:185">
      <c r="A13" s="245">
        <f t="shared" si="18"/>
        <v>5</v>
      </c>
      <c r="B13" s="128" t="str">
        <f t="shared" si="0"/>
        <v>to</v>
      </c>
      <c r="C13" s="129" t="s">
        <v>206</v>
      </c>
      <c r="D13" s="130" t="str">
        <f t="shared" si="1"/>
        <v/>
      </c>
      <c r="E13" s="917"/>
      <c r="F13" s="918"/>
      <c r="G13" s="919"/>
      <c r="H13" s="298"/>
      <c r="I13" s="527"/>
      <c r="J13" s="413"/>
      <c r="K13" s="380"/>
      <c r="L13" s="380"/>
      <c r="M13" s="380"/>
      <c r="N13" s="318">
        <f t="shared" si="19"/>
        <v>8.5</v>
      </c>
      <c r="O13" s="318">
        <f t="shared" si="20"/>
        <v>3</v>
      </c>
      <c r="P13" s="318">
        <f>IF(Stamoplysninger!$H$29="JA",September!DG13,CX13)</f>
        <v>1.5</v>
      </c>
      <c r="Q13" s="318">
        <f t="shared" si="21"/>
        <v>4</v>
      </c>
      <c r="R13" s="319"/>
      <c r="S13" s="324"/>
      <c r="T13" s="325"/>
      <c r="U13" s="325"/>
      <c r="V13" s="435"/>
      <c r="W13" s="435"/>
      <c r="X13" s="644"/>
      <c r="Y13">
        <f t="shared" si="22"/>
        <v>0</v>
      </c>
      <c r="Z13" s="437">
        <f t="shared" si="23"/>
        <v>0</v>
      </c>
      <c r="AA13" s="1">
        <f t="shared" si="2"/>
        <v>0</v>
      </c>
      <c r="AB13" s="1">
        <f t="shared" si="3"/>
        <v>0</v>
      </c>
      <c r="AC13" s="1">
        <f t="shared" si="4"/>
        <v>0</v>
      </c>
      <c r="AD13" s="1">
        <f t="shared" si="5"/>
        <v>0</v>
      </c>
      <c r="AE13" s="1">
        <f t="shared" si="6"/>
        <v>0</v>
      </c>
      <c r="AF13" s="1">
        <f>IF(C13="Orlov",7.4*Stamoplysninger!$E$15,0)</f>
        <v>0</v>
      </c>
      <c r="AG13" t="str">
        <f>IF(AND(C13="Skema 1",B13="ma"),Arbejdstidsoversigt!$E$72,"")</f>
        <v/>
      </c>
      <c r="AH13" t="str">
        <f>IF(AND(C13="Skema 1",B13="ti"),Arbejdstidsoversigt!$E$73,"")</f>
        <v/>
      </c>
      <c r="AI13" t="str">
        <f>IF(AND(C13="Skema 1",B13="on"),Arbejdstidsoversigt!$E$74,"")</f>
        <v/>
      </c>
      <c r="AJ13">
        <f>IF(AND(C13="Skema 1",B13="to"),Arbejdstidsoversigt!$E$75,"")</f>
        <v>8.5</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4"/>
        <v>8.5</v>
      </c>
      <c r="BB13" s="229">
        <f t="shared" si="7"/>
        <v>204</v>
      </c>
      <c r="BC13" s="1">
        <f t="shared" si="25"/>
        <v>0</v>
      </c>
      <c r="BD13" s="1">
        <f t="shared" si="8"/>
        <v>0</v>
      </c>
      <c r="BE13" s="1">
        <f t="shared" si="9"/>
        <v>0</v>
      </c>
      <c r="BF13" s="1">
        <f t="shared" si="10"/>
        <v>0</v>
      </c>
      <c r="BG13" s="210" t="str">
        <f>IF(AND(C13="Skema 1",B13="ma"),Skemaoplysninger!$E$30,"")</f>
        <v/>
      </c>
      <c r="BH13" s="210" t="str">
        <f>IF(AND(C13="Skema 1",B13="ti"),Skemaoplysninger!$G$30,"")</f>
        <v/>
      </c>
      <c r="BI13" s="210" t="str">
        <f>IF(AND(C13="Skema 1",B13="on"),Skemaoplysninger!$I$30,"")</f>
        <v/>
      </c>
      <c r="BJ13" s="210">
        <f>IF(AND(C13="Skema 1",B13="to"),Skemaoplysninger!$K$30,"")</f>
        <v>0.125</v>
      </c>
      <c r="BK13" s="210" t="str">
        <f>IF(AND(C13="Skema 1",B13="fr"),Skemaoplysninger!$M$30,"")</f>
        <v/>
      </c>
      <c r="BL13" s="210" t="str">
        <f>IF(AND(C13="Skema 2",B13="ma"),Skemaoplysninger!$S$30,"")</f>
        <v/>
      </c>
      <c r="BM13" s="210" t="str">
        <f>IF(AND(C13="Skema 2",B13="ti"),Skemaoplysninger!$U$30,"")</f>
        <v/>
      </c>
      <c r="BN13" s="210" t="str">
        <f>IF(AND(C13="Skema 2",B13="on"),Skemaoplysninger!$W$30,"")</f>
        <v/>
      </c>
      <c r="BO13" s="210" t="str">
        <f>IF(AND(C13="Skema 2",B13="to"),Skemaoplysninger!$Y$30,"")</f>
        <v/>
      </c>
      <c r="BP13" s="210" t="str">
        <f>IF(AND(C13="Skema 2",B13="fr"),Skemaoplysninger!$AA$30,"")</f>
        <v/>
      </c>
      <c r="BQ13" s="210" t="str">
        <f>IF(AND(C13="Skema 3",B13="ma"),Skemaoplysninger!$AG$30,"")</f>
        <v/>
      </c>
      <c r="BR13" s="210" t="str">
        <f>IF(AND(C13="Skema 3",B13="ti"),Skemaoplysninger!$AI$30,"")</f>
        <v/>
      </c>
      <c r="BS13" s="210" t="str">
        <f>IF(AND(C13="Skema 3",B13="on"),Skemaoplysninger!$AK$30,"")</f>
        <v/>
      </c>
      <c r="BT13" s="210" t="str">
        <f>IF(AND(C13="Skema 3",B13="to"),Skemaoplysninger!$AM$30,"")</f>
        <v/>
      </c>
      <c r="BU13" s="210" t="str">
        <f>IF(AND(C13="Skema 3",B13="fr"),Skemaoplysninger!$AO$30,"")</f>
        <v/>
      </c>
      <c r="BV13" s="210" t="str">
        <f>IF(AND(C13="Skema 4",B13="ma"),Skemaoplysninger!$AU$30,"")</f>
        <v/>
      </c>
      <c r="BW13" s="210" t="str">
        <f>IF(AND(C13="Skema 4",B13="ti"),Skemaoplysninger!$AW$30,"")</f>
        <v/>
      </c>
      <c r="BX13" s="210" t="str">
        <f>IF(AND(C13="Skema 4",B13="on"),Skemaoplysninger!$AY$30,"")</f>
        <v/>
      </c>
      <c r="BY13" s="210" t="str">
        <f>IF(AND(C13="Skema 4",B13="to"),Skemaoplysninger!$BA$30,"")</f>
        <v/>
      </c>
      <c r="BZ13" s="210" t="str">
        <f>IF(AND(C13="Skema 4",B13="fr"),Skemaoplysninger!$BC$30,"")</f>
        <v/>
      </c>
      <c r="CA13" s="1">
        <f t="shared" si="26"/>
        <v>3</v>
      </c>
      <c r="CB13" s="1">
        <f t="shared" si="11"/>
        <v>0</v>
      </c>
      <c r="CC13" s="1">
        <f t="shared" si="12"/>
        <v>0</v>
      </c>
      <c r="CD13" s="210" t="str">
        <f>IF(AND(C13="Skema 1",B13="ma"),Skemaoplysninger!$E$31,"")</f>
        <v/>
      </c>
      <c r="CE13" s="210" t="str">
        <f>IF(AND(C13="Skema 1",B13="ti"),Skemaoplysninger!$G$31,"")</f>
        <v/>
      </c>
      <c r="CF13" s="210" t="str">
        <f>IF(AND(C13="Skema 1",B13="on"),Skemaoplysninger!$I$31,"")</f>
        <v/>
      </c>
      <c r="CG13" s="210">
        <f>IF(AND(C13="Skema 1",B13="to"),Skemaoplysninger!$K$31,"")</f>
        <v>6.25E-2</v>
      </c>
      <c r="CH13" s="210" t="str">
        <f>IF(AND(C13="Skema 1",B13="fr"),Skemaoplysninger!$M$31,"")</f>
        <v/>
      </c>
      <c r="CI13" s="210" t="str">
        <f>IF(AND(C13="Skema 2",B13="ma"),Skemaoplysninger!$S$31,"")</f>
        <v/>
      </c>
      <c r="CJ13" s="210" t="str">
        <f>IF(AND(C13="Skema 2",B13="ti"),Skemaoplysninger!$U$31,"")</f>
        <v/>
      </c>
      <c r="CK13" s="210" t="str">
        <f>IF(AND(C13="Skema 2",B13="on"),Skemaoplysninger!$W$31,"")</f>
        <v/>
      </c>
      <c r="CL13" s="210" t="str">
        <f>IF(AND(C13="Skema 2",B13="to"),Skemaoplysninger!$Y$31,"")</f>
        <v/>
      </c>
      <c r="CM13" s="210" t="str">
        <f>IF(AND(C13="Skema 2",B13="fr"),Skemaoplysninger!$AA$31,"")</f>
        <v/>
      </c>
      <c r="CN13" s="210" t="str">
        <f>IF(AND(C13="Skema 3",B13="ma"),Skemaoplysninger!$AG$31,"")</f>
        <v/>
      </c>
      <c r="CO13" s="210" t="str">
        <f>IF(AND(C13="Skema 3",B13="ti"),Skemaoplysninger!$AI$31,"")</f>
        <v/>
      </c>
      <c r="CP13" s="210" t="str">
        <f>IF(AND(C13="Skema 3",B13="on"),Skemaoplysninger!$AK$31,"")</f>
        <v/>
      </c>
      <c r="CQ13" s="210" t="str">
        <f>IF(AND(C13="Skema 3",B13="to"),Skemaoplysninger!$AM$31,"")</f>
        <v/>
      </c>
      <c r="CR13" s="210" t="str">
        <f>IF(AND(C13="Skema 3",B13="fr"),Skemaoplysninger!$AO$31,"")</f>
        <v/>
      </c>
      <c r="CS13" s="210" t="str">
        <f>IF(AND(C13="Skema 4",B13="ma"),Skemaoplysninger!$AU$31,"")</f>
        <v/>
      </c>
      <c r="CT13" s="210" t="str">
        <f>IF(AND(C13="Skema 4",B13="ti"),Skemaoplysninger!$AW$31,"")</f>
        <v/>
      </c>
      <c r="CU13" s="210" t="str">
        <f>IF(AND(C13="Skema 4",B13="on"),Skemaoplysninger!$AY$31,"")</f>
        <v/>
      </c>
      <c r="CV13" s="210" t="str">
        <f>IF(AND(C13="Skema 4",B13="to"),Skemaoplysninger!$BA$31,"")</f>
        <v/>
      </c>
      <c r="CW13" s="210" t="str">
        <f>IF(AND(C13="Skema 4",B13="fr"),Skemaoplysninger!$BC$31,"")</f>
        <v/>
      </c>
      <c r="CX13" s="249">
        <f>IF(Stamoplysninger!$H$29="NEJ",SUM(CD13:CW13)*24+CB13+CC13,0)</f>
        <v>1.5</v>
      </c>
      <c r="CY13" s="249">
        <f>IF(C13="Skema 1",Stamoplysninger!$H$30/200,0)</f>
        <v>0</v>
      </c>
      <c r="CZ13" s="249">
        <f>IF(C13="Skema 2",Stamoplysninger!$H$30/200,0)</f>
        <v>0</v>
      </c>
      <c r="DA13" s="249">
        <f>IF(C13="Skema 3",Stamoplysninger!$H$30/200,0)</f>
        <v>0</v>
      </c>
      <c r="DB13" s="249">
        <f>IF(C13="Skema 4",Stamoplysninger!$H$30/200,0)</f>
        <v>0</v>
      </c>
      <c r="DC13" s="249">
        <f>IF(C13="fagdag",Stamoplysninger!$H$30/200,0)</f>
        <v>0</v>
      </c>
      <c r="DD13" s="249">
        <f>IF(C13="emnedag",Stamoplysninger!$H$30/200,0)</f>
        <v>0</v>
      </c>
      <c r="DE13" s="249">
        <f>IF(C13="lejrskole",Stamoplysninger!$H$30/200,0)</f>
        <v>0</v>
      </c>
      <c r="DF13" s="249">
        <f>IF(C13="ekskursion",Stamoplysninger!$H$30/200,0)</f>
        <v>0</v>
      </c>
      <c r="DG13" s="249">
        <f t="shared" si="27"/>
        <v>0</v>
      </c>
      <c r="DH13" t="str">
        <f t="shared" si="28"/>
        <v/>
      </c>
      <c r="DI13">
        <f t="shared" si="29"/>
        <v>0</v>
      </c>
      <c r="DJ13">
        <f t="shared" si="30"/>
        <v>0</v>
      </c>
      <c r="DK13" t="str">
        <f t="shared" si="13"/>
        <v/>
      </c>
      <c r="DL13" t="str">
        <f t="shared" si="13"/>
        <v/>
      </c>
      <c r="DM13" t="str">
        <f t="shared" si="13"/>
        <v/>
      </c>
      <c r="DN13" t="str">
        <f t="shared" si="14"/>
        <v/>
      </c>
      <c r="DO13" s="652">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71">
        <f>IF(AND(Stamoplysninger!$B$22="Ulempetillæg udbetales med 25% af nettotimelønnen.",C13="ikke relevant"),(R13)/4,0)</f>
        <v>0</v>
      </c>
      <c r="DT13" s="671">
        <f>IF(AND(AND(Stamoplysninger!$B$22="Ulempetillæg udbetales med 25% af nettotimelønnen.",I13="X",C13="Ikke relevant")),K13/4,0)</f>
        <v>0</v>
      </c>
      <c r="DU13" s="671">
        <f>IF(AND(AND(Stamoplysninger!$B$22="Ulempetillæg udbetales med 25% af nettotimelønnen.",C13="ikke relevant",U13="X")),(X13/4),0)</f>
        <v>0</v>
      </c>
      <c r="DV13" s="672">
        <f>IF(AND(AND(AND(Stamoplysninger!$B$22="Ulempetillæg udbetales med 25% af nettotimelønnen.",I13="X",C13="Ikke relevant",S13="X"))),V13/4,0)</f>
        <v>0</v>
      </c>
      <c r="DW13" s="652"/>
      <c r="DZ13" s="671"/>
      <c r="EA13" s="671"/>
      <c r="EB13" s="672"/>
      <c r="EC13" s="652">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71">
        <f>IF(AND(Stamoplysninger!$B$22="Ulempetillæg afspadseres med 25%(Kræver en aftale imellem ledelsen og den ansatte)",C13="ikke relevant"),(R13)/4,0)</f>
        <v>0</v>
      </c>
      <c r="EH13" s="671">
        <f>IF(AND(AND(Stamoplysninger!$B$22="Ulempetillæg afspadseres med 25%(Kræver en aftale imellem ledelsen og den ansatte)",I13="X",C13="Ikke relevant")),K13/4,0)</f>
        <v>0</v>
      </c>
      <c r="EI13" s="671">
        <f>IF(AND(AND(Stamoplysninger!$B$22="Ulempetillæg afspadseres med 25%(Kræver en aftale imellem ledelsen og den ansatte)",U13="X",C13="Ikke relevant")),X13/4,0)</f>
        <v>0</v>
      </c>
      <c r="EJ13" s="671">
        <f>IF(AND(AND(AND(Stamoplysninger!$B$22="Ulempetillæg afspadseres med 25%(Kræver en aftale imellem ledelsen og den ansatte)",I13="X",C13="Ikke relevant",S13="X"))),V13/4,0)</f>
        <v>0</v>
      </c>
      <c r="EK13" s="283">
        <f>IF(AND(Stamoplysninger!$B$26="Weekendtimer og weekendtillæg afspadseres.",I13="X"),K13*1.5,0)</f>
        <v>0</v>
      </c>
      <c r="EL13" s="251">
        <f>IF(AND(AND(Stamoplysninger!$B$26="Weekendtimer og weekendtillæg afspadseres.",I13="X",S13="X")),V13*1.5,0)</f>
        <v>0</v>
      </c>
      <c r="EM13" s="674">
        <f>IF(AND(AND(Stamoplysninger!$B$26="Weekendtimer og weekendtillæg afspadseres.",I13="X",C13="ikke relevant")),K13*1.5,0)</f>
        <v>0</v>
      </c>
      <c r="EN13" s="675">
        <f>IF(AND(AND(AND(Stamoplysninger!$B$26="Weekendtimer og weekendtillæg afspadseres.",I13="X",C13="ikke relevant",S13="X"))),(V13*1.5),0)</f>
        <v>0</v>
      </c>
      <c r="EO13" s="283">
        <f>IF(AND(Stamoplysninger!$B$26="Weekendtimer og weekendtillæg udbetales.",I13="X"),K13*1.5,0)</f>
        <v>0</v>
      </c>
      <c r="EP13" s="251">
        <f>IF(AND(AND(Stamoplysninger!$B$26="Weekendtimer og weekendtillæg udbetales.",I13="X",S13="X")),V13*1.5,0)</f>
        <v>0</v>
      </c>
      <c r="EQ13" s="674">
        <f>IF(AND(AND(Stamoplysninger!$B$26="Weekendtimer og weekendtillæg udbetales.",I13="X",C13="ikke relevant")),K13*1.5,0)</f>
        <v>0</v>
      </c>
      <c r="ER13" s="675">
        <f>IF(AND(AND(AND(Stamoplysninger!$B$26="Weekendtimer og weekendtillæg udbetales.",I13="X",C13="ikke relevant",S13="X"))),(V13*1.5),0)</f>
        <v>0</v>
      </c>
      <c r="ES13" s="283">
        <f>IF(AND(Stamoplysninger!$B$26="Der er indgået lokalaftale omkring weekendtimer.(Kræver aftale med TR/FSL) Weekendtillæg afspadseres.",I13="X"),K13*0.5,0)</f>
        <v>0</v>
      </c>
      <c r="ET13" s="251">
        <f>IF(AND(AND(Stamoplysninger!$B$26="Der er indgået lokalaftale omkring weekendtimer.(Kræver aftale med TR/FSL) Weekendtillæg afspadseres.",I13="X",S13="X")),V13*0.5,0)</f>
        <v>0</v>
      </c>
      <c r="EU13" s="674">
        <f>IF(AND(AND(Stamoplysninger!$B$26="Der er indgået lokalaftale omkring weekendtimer.(Kræver aftale med TR/FSL) Weekendtillæg afspadseres.",I13="X",C13="ikke relevant")),K13*0.5,0)</f>
        <v>0</v>
      </c>
      <c r="EV13" s="675">
        <f>IF(AND(AND(AND(Stamoplysninger!$B$26="Der er indgået lokalaftale omkring weekendtimer.(Kræver aftale med TR/FSL) Weekendtillæg afspadseres.",I13="X",C13="ikke relevant",S13="X"))),(V13*0.5),0)</f>
        <v>0</v>
      </c>
      <c r="EW13" s="283">
        <f>IF(AND(Stamoplysninger!$B$26="Der er indgået lokalaftale omkring weekendtimer(Kræver aftale med TR/FSL). Weekendtillæg udbetales.",I13="X"),K13*0.5,0)</f>
        <v>0</v>
      </c>
      <c r="EX13" s="251">
        <f>IF(AND(AND(Stamoplysninger!$B$26="Der er indgået lokalaftale omkring weekendtimer(Kræver aftale med TR/FSL). Weekendtillæg udbetales.",I13="X",S13="X")),V13*0.5,0)</f>
        <v>0</v>
      </c>
      <c r="EY13" s="674">
        <f>IF(AND(AND(Stamoplysninger!$B$26="Der er indgået lokalaftale omkring weekendtimer(Kræver aftale med TR/FSL). Weekendtillæg udbetales.",I13="X",C13="ikke relevant")),K13*0.5,0)</f>
        <v>0</v>
      </c>
      <c r="EZ13" s="675">
        <f>IF(AND(AND(AND(Stamoplysninger!$B$26="Der er indgået lokalaftale omkring weekendtimer(Kræver aftale med TR/FSL). Weekendtillæg udbetales.",I13="X",C13="ikke relevant",S13="X"))),(V13*0.5),0)</f>
        <v>0</v>
      </c>
      <c r="FA13" s="283">
        <f>IF(AND(Stamoplysninger!$B$26="Der er indgået lokalaftale omkring weekendtillæg(Kræver aftale med TR/FSL). Weekendtimerne afspadseres.",I13="X"),K13,0)</f>
        <v>0</v>
      </c>
      <c r="FB13" s="251">
        <f>IF(AND(AND(Stamoplysninger!$B$26="Der er indgået lokalaftale omkring weekendtillæg(Kræver aftale med TR/FSL). Weekendtimerne afspadseres.",I13="X",S13="X")),V13,0)</f>
        <v>0</v>
      </c>
      <c r="FC13" s="674">
        <f>IF(AND(AND(Stamoplysninger!$B$26="Der er indgået lokalaftale omkring weekendtillæg(Kræver aftale med TR/FSL). Weekendtimerne afspadseres..",I13="X",C13="ikke relevant")),K13,0)</f>
        <v>0</v>
      </c>
      <c r="FD13" s="675">
        <f>IF(AND(AND(AND(Stamoplysninger!$B$26="Der er indgået lokalaftale omkring weekendtillæg(Kræver aftale med TR/FSL). Weekendtimerne afspadseres.",I13="X",C13="ikke relevant",S13="X"))),(V13),0)</f>
        <v>0</v>
      </c>
      <c r="FE13" s="283">
        <f>IF(AND(Stamoplysninger!$B$26="Der er indgået lokalaftale omkring weekendtillæg(Kræver aftale med TR/FSL). Weekendtimerne udbetales.",I13="X"),K13,0)</f>
        <v>0</v>
      </c>
      <c r="FF13" s="251">
        <f>IF(AND(AND(Stamoplysninger!$B$26="Der er indgået lokalaftale omkring weekendtillæg(Kræver aftale med TR/FSL). Weekendtimerne udbetales.",I13="X",S13="X")),V13,0)</f>
        <v>0</v>
      </c>
      <c r="FG13" s="674">
        <f>IF(AND(AND(Stamoplysninger!$B$26="Der er indgået lokalaftale omkring weekendtillæg(Kræver aftale med TR/FSL). Weekendtimerne udbetales.",I13="X",C13="ikke relevant")),K13,0)</f>
        <v>0</v>
      </c>
      <c r="FH13" s="675">
        <f>IF(AND(AND(AND(Stamoplysninger!$B$26="Der er indgået lokalaftale omkring weekendtillæg(Kræver aftale med TR/FSL). Weekendtimerne udbetales.",I13="X",C13="ikke relevant",S13="X"))),(V13),0)</f>
        <v>0</v>
      </c>
      <c r="FI13" s="283">
        <f>IF(AND(Stamoplysninger!$B$26="Weekendtimer og weekendtillæg afspadseres.",I13="X"),K13,0)</f>
        <v>0</v>
      </c>
      <c r="FJ13" s="251">
        <f>IF(AND(Stamoplysninger!$B$26="Weekendtimer og weekendtillæg afspadseres.",Y13="X"),(AA13+AL13)/2,0)</f>
        <v>0</v>
      </c>
      <c r="FK13" s="674">
        <f>IF(AND(AND(Stamoplysninger!$B$26="Weekendtimer og weekendtillæg afspadseres.",I13="X",C13="ikke relevant")),K13,0)</f>
        <v>0</v>
      </c>
      <c r="FL13" s="675">
        <f>IF(AND(AND(Stamoplysninger!$B$26="Weekendtimer og weekendtillæg afspadseres.",Y13="X",S13="ikke relevant")),(AA13+AL13)/2,0)</f>
        <v>0</v>
      </c>
      <c r="FM13" s="283">
        <f>IF(AND(Stamoplysninger!$B$26="Der er indgået lokalaftale omkring weekendtillæg(Kræver aftale med TR/FSL). Weekendtimerne afspadseres.",I13="X"),K13,0)</f>
        <v>0</v>
      </c>
      <c r="FN13" s="674">
        <f>IF(AND(AND(Stamoplysninger!$B$26="Der er indgået lokalaftale omkring weekendtillæg(Kræver aftale med TR/FSL). Weekendtimerne afspadseres.",I13="X",C13="ikke relevant")),K13,0)</f>
        <v>0</v>
      </c>
      <c r="FO13" s="283">
        <f>IF(AND(Stamoplysninger!$B$26="Weekendtimer og weekendtillæg udbetales.",I13="X"),K13,0)</f>
        <v>0</v>
      </c>
      <c r="FP13" s="251">
        <f>IF(AND(Stamoplysninger!$B$26="Weekendtimer og weekendtillæg udbetales.",AA13="X"),(AC13+AN13)/2,0)</f>
        <v>0</v>
      </c>
      <c r="FQ13" s="674">
        <f>IF(AND(AND(Stamoplysninger!$B$26="Weekendtimer og weekendtillæg udbetales.",I13="X",C13="ikke relevant")),K13,0)</f>
        <v>0</v>
      </c>
      <c r="FR13" s="688">
        <f>IF(AND(AND(Stamoplysninger!$B$26="Weekendtimer og weekendtillæg udbetales.",AA13="X",U13="ikke relevant")),(AC13+AN13)/2,0)</f>
        <v>0</v>
      </c>
      <c r="FS13" s="283">
        <f t="shared" si="15"/>
        <v>0</v>
      </c>
      <c r="FT13" s="658">
        <f t="shared" si="16"/>
        <v>0</v>
      </c>
      <c r="FU13">
        <f t="shared" si="17"/>
        <v>0</v>
      </c>
      <c r="FV13" s="283">
        <f>IF(AND(Stamoplysninger!$B$26="Der er indgået lokalaftale omkring weekendtimer.(Kræver aftale med TR/FSL) Weekendtillæg afspadseres.",I13="X"),K13,0)</f>
        <v>0</v>
      </c>
      <c r="FW13" s="674">
        <f>IF(AND(AND(Stamoplysninger!$B$26="Der er indgået lokalaftale omkring weekendtimer.(Kræver aftale med TR/FSL) Weekendtillæg afspadseres.",I13="X",C13="ikke relevant")),K13,0)</f>
        <v>0</v>
      </c>
      <c r="FX13" s="283">
        <f>IF(AND(Stamoplysninger!$B$26="Der er indgået lokalaftale omkring weekendtimer(Kræver aftale med TR/FSL). Weekendtillæg udbetales.",I13="X"),K13,0)</f>
        <v>0</v>
      </c>
      <c r="FY13" s="674">
        <f>IF(AND(AND(Stamoplysninger!$B$26="Der er indgået lokalaftale omkring weekendtimer(Kræver aftale med TR/FSL). Weekendtillæg udbetales.",I13="X",C13="ikke relevant")),K13,0)</f>
        <v>0</v>
      </c>
      <c r="FZ13" s="283">
        <f>IF(AND(Stamoplysninger!$B$26="Der er indgået lokalaftale omkring weekendtillæg(Kræver aftale med TR/FSL). Weekendtimerne udbetales.",I13="X"),K13,0)</f>
        <v>0</v>
      </c>
      <c r="GA13" s="674">
        <f>IF(AND(AND(Stamoplysninger!$B$26="Der er indgået lokalaftale omkring weekendtillæg(Kræver aftale med TR/FSL). Weekendtimerne udbetales.",I13="X",C13="ikke relevant")),K13,0)</f>
        <v>0</v>
      </c>
      <c r="GB13" s="283">
        <f>IF(AND(Stamoplysninger!$B$26="Der er indgået lokalaftale omkring weekendtimer og weekendtillæg.(Kræver aftale med TR/FSL).",I13="X"),K13,0)</f>
        <v>0</v>
      </c>
      <c r="GC13" s="674">
        <f>IF(AND(AND(Stamoplysninger!$B$26="Der er indgået lokalaftale omkring weekendtimer og weekendtillæg.(Kræver aftale med TR/FSL).",I13="X",C13="ikke relevant")),K13,0)</f>
        <v>0</v>
      </c>
    </row>
    <row r="14" spans="1:185" ht="16" customHeight="1">
      <c r="A14" s="245">
        <f t="shared" si="18"/>
        <v>6</v>
      </c>
      <c r="B14" s="128" t="str">
        <f t="shared" si="0"/>
        <v>fr</v>
      </c>
      <c r="C14" s="129" t="s">
        <v>206</v>
      </c>
      <c r="D14" s="130" t="str">
        <f t="shared" si="1"/>
        <v/>
      </c>
      <c r="E14" s="917"/>
      <c r="F14" s="918"/>
      <c r="G14" s="919"/>
      <c r="H14" s="298"/>
      <c r="I14" s="527"/>
      <c r="J14" s="413"/>
      <c r="K14" s="380"/>
      <c r="L14" s="380"/>
      <c r="M14" s="380"/>
      <c r="N14" s="318">
        <f t="shared" si="19"/>
        <v>6.75</v>
      </c>
      <c r="O14" s="318">
        <f t="shared" si="20"/>
        <v>3</v>
      </c>
      <c r="P14" s="318">
        <f>IF(Stamoplysninger!$H$29="JA",September!DG14,CX14)</f>
        <v>1.5</v>
      </c>
      <c r="Q14" s="318">
        <f t="shared" si="21"/>
        <v>2.25</v>
      </c>
      <c r="R14" s="319"/>
      <c r="S14" s="324"/>
      <c r="T14" s="325"/>
      <c r="U14" s="325"/>
      <c r="V14" s="435"/>
      <c r="W14" s="435"/>
      <c r="X14" s="644"/>
      <c r="Y14">
        <f t="shared" si="22"/>
        <v>0</v>
      </c>
      <c r="Z14" s="437">
        <f t="shared" si="23"/>
        <v>0</v>
      </c>
      <c r="AA14" s="1">
        <f t="shared" si="2"/>
        <v>0</v>
      </c>
      <c r="AB14" s="1">
        <f t="shared" si="3"/>
        <v>0</v>
      </c>
      <c r="AC14" s="1">
        <f t="shared" si="4"/>
        <v>0</v>
      </c>
      <c r="AD14" s="1">
        <f t="shared" si="5"/>
        <v>0</v>
      </c>
      <c r="AE14" s="1">
        <f t="shared" si="6"/>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f>IF(AND(C14="Skema 1",B14="fr"),Arbejdstidsoversigt!$E$76,"")</f>
        <v>6.75</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4"/>
        <v>6.75</v>
      </c>
      <c r="BB14" s="229">
        <f t="shared" si="7"/>
        <v>162</v>
      </c>
      <c r="BC14" s="1">
        <f t="shared" si="25"/>
        <v>0</v>
      </c>
      <c r="BD14" s="1">
        <f t="shared" si="8"/>
        <v>0</v>
      </c>
      <c r="BE14" s="1">
        <f t="shared" si="9"/>
        <v>0</v>
      </c>
      <c r="BF14" s="1">
        <f t="shared" si="10"/>
        <v>0</v>
      </c>
      <c r="BG14" s="210" t="str">
        <f>IF(AND(C14="Skema 1",B14="ma"),Skemaoplysninger!$E$30,"")</f>
        <v/>
      </c>
      <c r="BH14" s="210" t="str">
        <f>IF(AND(C14="Skema 1",B14="ti"),Skemaoplysninger!$G$30,"")</f>
        <v/>
      </c>
      <c r="BI14" s="210" t="str">
        <f>IF(AND(C14="Skema 1",B14="on"),Skemaoplysninger!$I$30,"")</f>
        <v/>
      </c>
      <c r="BJ14" s="210" t="str">
        <f>IF(AND(C14="Skema 1",B14="to"),Skemaoplysninger!$K$30,"")</f>
        <v/>
      </c>
      <c r="BK14" s="210">
        <f>IF(AND(C14="Skema 1",B14="fr"),Skemaoplysninger!$M$30,"")</f>
        <v>0.125</v>
      </c>
      <c r="BL14" s="210" t="str">
        <f>IF(AND(C14="Skema 2",B14="ma"),Skemaoplysninger!$S$30,"")</f>
        <v/>
      </c>
      <c r="BM14" s="210" t="str">
        <f>IF(AND(C14="Skema 2",B14="ti"),Skemaoplysninger!$U$30,"")</f>
        <v/>
      </c>
      <c r="BN14" s="210" t="str">
        <f>IF(AND(C14="Skema 2",B14="on"),Skemaoplysninger!$W$30,"")</f>
        <v/>
      </c>
      <c r="BO14" s="210" t="str">
        <f>IF(AND(C14="Skema 2",B14="to"),Skemaoplysninger!$Y$30,"")</f>
        <v/>
      </c>
      <c r="BP14" s="210" t="str">
        <f>IF(AND(C14="Skema 2",B14="fr"),Skemaoplysninger!$AA$30,"")</f>
        <v/>
      </c>
      <c r="BQ14" s="210" t="str">
        <f>IF(AND(C14="Skema 3",B14="ma"),Skemaoplysninger!$AG$30,"")</f>
        <v/>
      </c>
      <c r="BR14" s="210" t="str">
        <f>IF(AND(C14="Skema 3",B14="ti"),Skemaoplysninger!$AI$30,"")</f>
        <v/>
      </c>
      <c r="BS14" s="210" t="str">
        <f>IF(AND(C14="Skema 3",B14="on"),Skemaoplysninger!$AK$30,"")</f>
        <v/>
      </c>
      <c r="BT14" s="210" t="str">
        <f>IF(AND(C14="Skema 3",B14="to"),Skemaoplysninger!$AM$30,"")</f>
        <v/>
      </c>
      <c r="BU14" s="210" t="str">
        <f>IF(AND(C14="Skema 3",B14="fr"),Skemaoplysninger!$AO$30,"")</f>
        <v/>
      </c>
      <c r="BV14" s="210" t="str">
        <f>IF(AND(C14="Skema 4",B14="ma"),Skemaoplysninger!$AU$30,"")</f>
        <v/>
      </c>
      <c r="BW14" s="210" t="str">
        <f>IF(AND(C14="Skema 4",B14="ti"),Skemaoplysninger!$AW$30,"")</f>
        <v/>
      </c>
      <c r="BX14" s="210" t="str">
        <f>IF(AND(C14="Skema 4",B14="on"),Skemaoplysninger!$AY$30,"")</f>
        <v/>
      </c>
      <c r="BY14" s="210" t="str">
        <f>IF(AND(C14="Skema 4",B14="to"),Skemaoplysninger!$BA$30,"")</f>
        <v/>
      </c>
      <c r="BZ14" s="210" t="str">
        <f>IF(AND(C14="Skema 4",B14="fr"),Skemaoplysninger!$BC$30,"")</f>
        <v/>
      </c>
      <c r="CA14" s="1">
        <f t="shared" si="26"/>
        <v>3</v>
      </c>
      <c r="CB14" s="1">
        <f t="shared" si="11"/>
        <v>0</v>
      </c>
      <c r="CC14" s="1">
        <f t="shared" si="12"/>
        <v>0</v>
      </c>
      <c r="CD14" s="210" t="str">
        <f>IF(AND(C14="Skema 1",B14="ma"),Skemaoplysninger!$E$31,"")</f>
        <v/>
      </c>
      <c r="CE14" s="210" t="str">
        <f>IF(AND(C14="Skema 1",B14="ti"),Skemaoplysninger!$G$31,"")</f>
        <v/>
      </c>
      <c r="CF14" s="210" t="str">
        <f>IF(AND(C14="Skema 1",B14="on"),Skemaoplysninger!$I$31,"")</f>
        <v/>
      </c>
      <c r="CG14" s="210" t="str">
        <f>IF(AND(C14="Skema 1",B14="to"),Skemaoplysninger!$K$31,"")</f>
        <v/>
      </c>
      <c r="CH14" s="210">
        <f>IF(AND(C14="Skema 1",B14="fr"),Skemaoplysninger!$M$31,"")</f>
        <v>6.25E-2</v>
      </c>
      <c r="CI14" s="210" t="str">
        <f>IF(AND(C14="Skema 2",B14="ma"),Skemaoplysninger!$S$31,"")</f>
        <v/>
      </c>
      <c r="CJ14" s="210" t="str">
        <f>IF(AND(C14="Skema 2",B14="ti"),Skemaoplysninger!$U$31,"")</f>
        <v/>
      </c>
      <c r="CK14" s="210" t="str">
        <f>IF(AND(C14="Skema 2",B14="on"),Skemaoplysninger!$W$31,"")</f>
        <v/>
      </c>
      <c r="CL14" s="210" t="str">
        <f>IF(AND(C14="Skema 2",B14="to"),Skemaoplysninger!$Y$31,"")</f>
        <v/>
      </c>
      <c r="CM14" s="210" t="str">
        <f>IF(AND(C14="Skema 2",B14="fr"),Skemaoplysninger!$AA$31,"")</f>
        <v/>
      </c>
      <c r="CN14" s="210" t="str">
        <f>IF(AND(C14="Skema 3",B14="ma"),Skemaoplysninger!$AG$31,"")</f>
        <v/>
      </c>
      <c r="CO14" s="210" t="str">
        <f>IF(AND(C14="Skema 3",B14="ti"),Skemaoplysninger!$AI$31,"")</f>
        <v/>
      </c>
      <c r="CP14" s="210" t="str">
        <f>IF(AND(C14="Skema 3",B14="on"),Skemaoplysninger!$AK$31,"")</f>
        <v/>
      </c>
      <c r="CQ14" s="210" t="str">
        <f>IF(AND(C14="Skema 3",B14="to"),Skemaoplysninger!$AM$31,"")</f>
        <v/>
      </c>
      <c r="CR14" s="210" t="str">
        <f>IF(AND(C14="Skema 3",B14="fr"),Skemaoplysninger!$AO$31,"")</f>
        <v/>
      </c>
      <c r="CS14" s="210" t="str">
        <f>IF(AND(C14="Skema 4",B14="ma"),Skemaoplysninger!$AU$31,"")</f>
        <v/>
      </c>
      <c r="CT14" s="210" t="str">
        <f>IF(AND(C14="Skema 4",B14="ti"),Skemaoplysninger!$AW$31,"")</f>
        <v/>
      </c>
      <c r="CU14" s="210" t="str">
        <f>IF(AND(C14="Skema 4",B14="on"),Skemaoplysninger!$AY$31,"")</f>
        <v/>
      </c>
      <c r="CV14" s="210" t="str">
        <f>IF(AND(C14="Skema 4",B14="to"),Skemaoplysninger!$BA$31,"")</f>
        <v/>
      </c>
      <c r="CW14" s="210" t="str">
        <f>IF(AND(C14="Skema 4",B14="fr"),Skemaoplysninger!$BC$31,"")</f>
        <v/>
      </c>
      <c r="CX14" s="249">
        <f>IF(Stamoplysninger!$H$29="NEJ",SUM(CD14:CW14)*24+CB14+CC14,0)</f>
        <v>1.5</v>
      </c>
      <c r="CY14" s="249">
        <f>IF(C14="Skema 1",Stamoplysninger!$H$30/200,0)</f>
        <v>0</v>
      </c>
      <c r="CZ14" s="249">
        <f>IF(C14="Skema 2",Stamoplysninger!$H$30/200,0)</f>
        <v>0</v>
      </c>
      <c r="DA14" s="249">
        <f>IF(C14="Skema 3",Stamoplysninger!$H$30/200,0)</f>
        <v>0</v>
      </c>
      <c r="DB14" s="249">
        <f>IF(C14="Skema 4",Stamoplysninger!$H$30/200,0)</f>
        <v>0</v>
      </c>
      <c r="DC14" s="249">
        <f>IF(C14="fagdag",Stamoplysninger!$H$30/200,0)</f>
        <v>0</v>
      </c>
      <c r="DD14" s="249">
        <f>IF(C14="emnedag",Stamoplysninger!$H$30/200,0)</f>
        <v>0</v>
      </c>
      <c r="DE14" s="249">
        <f>IF(C14="lejrskole",Stamoplysninger!$H$30/200,0)</f>
        <v>0</v>
      </c>
      <c r="DF14" s="249">
        <f>IF(C14="ekskursion",Stamoplysninger!$H$30/200,0)</f>
        <v>0</v>
      </c>
      <c r="DG14" s="249">
        <f t="shared" si="27"/>
        <v>0</v>
      </c>
      <c r="DH14" t="str">
        <f t="shared" si="28"/>
        <v/>
      </c>
      <c r="DI14">
        <f t="shared" si="29"/>
        <v>0</v>
      </c>
      <c r="DJ14">
        <f t="shared" si="30"/>
        <v>0</v>
      </c>
      <c r="DK14" t="str">
        <f t="shared" si="13"/>
        <v/>
      </c>
      <c r="DL14" t="str">
        <f t="shared" si="13"/>
        <v/>
      </c>
      <c r="DM14" t="str">
        <f t="shared" si="13"/>
        <v/>
      </c>
      <c r="DN14" t="str">
        <f t="shared" si="14"/>
        <v/>
      </c>
      <c r="DO14" s="652">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71">
        <f>IF(AND(Stamoplysninger!$B$22="Ulempetillæg udbetales med 25% af nettotimelønnen.",C14="ikke relevant"),(R14)/4,0)</f>
        <v>0</v>
      </c>
      <c r="DT14" s="671">
        <f>IF(AND(AND(Stamoplysninger!$B$22="Ulempetillæg udbetales med 25% af nettotimelønnen.",I14="X",C14="Ikke relevant")),K14/4,0)</f>
        <v>0</v>
      </c>
      <c r="DU14" s="671">
        <f>IF(AND(AND(Stamoplysninger!$B$22="Ulempetillæg udbetales med 25% af nettotimelønnen.",C14="ikke relevant",U14="X")),(X14/4),0)</f>
        <v>0</v>
      </c>
      <c r="DV14" s="672">
        <f>IF(AND(AND(AND(Stamoplysninger!$B$22="Ulempetillæg udbetales med 25% af nettotimelønnen.",I14="X",C14="Ikke relevant",S14="X"))),V14/4,0)</f>
        <v>0</v>
      </c>
      <c r="DW14" s="652"/>
      <c r="DZ14" s="671"/>
      <c r="EA14" s="671"/>
      <c r="EB14" s="672"/>
      <c r="EC14" s="652">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71">
        <f>IF(AND(Stamoplysninger!$B$22="Ulempetillæg afspadseres med 25%(Kræver en aftale imellem ledelsen og den ansatte)",C14="ikke relevant"),(R14)/4,0)</f>
        <v>0</v>
      </c>
      <c r="EH14" s="671">
        <f>IF(AND(AND(Stamoplysninger!$B$22="Ulempetillæg afspadseres med 25%(Kræver en aftale imellem ledelsen og den ansatte)",I14="X",C14="Ikke relevant")),K14/4,0)</f>
        <v>0</v>
      </c>
      <c r="EI14" s="671">
        <f>IF(AND(AND(Stamoplysninger!$B$22="Ulempetillæg afspadseres med 25%(Kræver en aftale imellem ledelsen og den ansatte)",U14="X",C14="Ikke relevant")),X14/4,0)</f>
        <v>0</v>
      </c>
      <c r="EJ14" s="671">
        <f>IF(AND(AND(AND(Stamoplysninger!$B$22="Ulempetillæg afspadseres med 25%(Kræver en aftale imellem ledelsen og den ansatte)",I14="X",C14="Ikke relevant",S14="X"))),V14/4,0)</f>
        <v>0</v>
      </c>
      <c r="EK14" s="283">
        <f>IF(AND(Stamoplysninger!$B$26="Weekendtimer og weekendtillæg afspadseres.",I14="X"),K14*1.5,0)</f>
        <v>0</v>
      </c>
      <c r="EL14" s="251">
        <f>IF(AND(AND(Stamoplysninger!$B$26="Weekendtimer og weekendtillæg afspadseres.",I14="X",S14="X")),V14*1.5,0)</f>
        <v>0</v>
      </c>
      <c r="EM14" s="674">
        <f>IF(AND(AND(Stamoplysninger!$B$26="Weekendtimer og weekendtillæg afspadseres.",I14="X",C14="ikke relevant")),K14*1.5,0)</f>
        <v>0</v>
      </c>
      <c r="EN14" s="675">
        <f>IF(AND(AND(AND(Stamoplysninger!$B$26="Weekendtimer og weekendtillæg afspadseres.",I14="X",C14="ikke relevant",S14="X"))),(V14*1.5),0)</f>
        <v>0</v>
      </c>
      <c r="EO14" s="283">
        <f>IF(AND(Stamoplysninger!$B$26="Weekendtimer og weekendtillæg udbetales.",I14="X"),K14*1.5,0)</f>
        <v>0</v>
      </c>
      <c r="EP14" s="251">
        <f>IF(AND(AND(Stamoplysninger!$B$26="Weekendtimer og weekendtillæg udbetales.",I14="X",S14="X")),V14*1.5,0)</f>
        <v>0</v>
      </c>
      <c r="EQ14" s="674">
        <f>IF(AND(AND(Stamoplysninger!$B$26="Weekendtimer og weekendtillæg udbetales.",I14="X",C14="ikke relevant")),K14*1.5,0)</f>
        <v>0</v>
      </c>
      <c r="ER14" s="675">
        <f>IF(AND(AND(AND(Stamoplysninger!$B$26="Weekendtimer og weekendtillæg udbetales.",I14="X",C14="ikke relevant",S14="X"))),(V14*1.5),0)</f>
        <v>0</v>
      </c>
      <c r="ES14" s="283">
        <f>IF(AND(Stamoplysninger!$B$26="Der er indgået lokalaftale omkring weekendtimer.(Kræver aftale med TR/FSL) Weekendtillæg afspadseres.",I14="X"),K14*0.5,0)</f>
        <v>0</v>
      </c>
      <c r="ET14" s="251">
        <f>IF(AND(AND(Stamoplysninger!$B$26="Der er indgået lokalaftale omkring weekendtimer.(Kræver aftale med TR/FSL) Weekendtillæg afspadseres.",I14="X",S14="X")),V14*0.5,0)</f>
        <v>0</v>
      </c>
      <c r="EU14" s="674">
        <f>IF(AND(AND(Stamoplysninger!$B$26="Der er indgået lokalaftale omkring weekendtimer.(Kræver aftale med TR/FSL) Weekendtillæg afspadseres.",I14="X",C14="ikke relevant")),K14*0.5,0)</f>
        <v>0</v>
      </c>
      <c r="EV14" s="675">
        <f>IF(AND(AND(AND(Stamoplysninger!$B$26="Der er indgået lokalaftale omkring weekendtimer.(Kræver aftale med TR/FSL) Weekendtillæg afspadseres.",I14="X",C14="ikke relevant",S14="X"))),(V14*0.5),0)</f>
        <v>0</v>
      </c>
      <c r="EW14" s="283">
        <f>IF(AND(Stamoplysninger!$B$26="Der er indgået lokalaftale omkring weekendtimer(Kræver aftale med TR/FSL). Weekendtillæg udbetales.",I14="X"),K14*0.5,0)</f>
        <v>0</v>
      </c>
      <c r="EX14" s="251">
        <f>IF(AND(AND(Stamoplysninger!$B$26="Der er indgået lokalaftale omkring weekendtimer(Kræver aftale med TR/FSL). Weekendtillæg udbetales.",I14="X",S14="X")),V14*0.5,0)</f>
        <v>0</v>
      </c>
      <c r="EY14" s="674">
        <f>IF(AND(AND(Stamoplysninger!$B$26="Der er indgået lokalaftale omkring weekendtimer(Kræver aftale med TR/FSL). Weekendtillæg udbetales.",I14="X",C14="ikke relevant")),K14*0.5,0)</f>
        <v>0</v>
      </c>
      <c r="EZ14" s="675">
        <f>IF(AND(AND(AND(Stamoplysninger!$B$26="Der er indgået lokalaftale omkring weekendtimer(Kræver aftale med TR/FSL). Weekendtillæg udbetales.",I14="X",C14="ikke relevant",S14="X"))),(V14*0.5),0)</f>
        <v>0</v>
      </c>
      <c r="FA14" s="283">
        <f>IF(AND(Stamoplysninger!$B$26="Der er indgået lokalaftale omkring weekendtillæg(Kræver aftale med TR/FSL). Weekendtimerne afspadseres.",I14="X"),K14,0)</f>
        <v>0</v>
      </c>
      <c r="FB14" s="251">
        <f>IF(AND(AND(Stamoplysninger!$B$26="Der er indgået lokalaftale omkring weekendtillæg(Kræver aftale med TR/FSL). Weekendtimerne afspadseres.",I14="X",S14="X")),V14,0)</f>
        <v>0</v>
      </c>
      <c r="FC14" s="674">
        <f>IF(AND(AND(Stamoplysninger!$B$26="Der er indgået lokalaftale omkring weekendtillæg(Kræver aftale med TR/FSL). Weekendtimerne afspadseres..",I14="X",C14="ikke relevant")),K14,0)</f>
        <v>0</v>
      </c>
      <c r="FD14" s="675">
        <f>IF(AND(AND(AND(Stamoplysninger!$B$26="Der er indgået lokalaftale omkring weekendtillæg(Kræver aftale med TR/FSL). Weekendtimerne afspadseres.",I14="X",C14="ikke relevant",S14="X"))),(V14),0)</f>
        <v>0</v>
      </c>
      <c r="FE14" s="283">
        <f>IF(AND(Stamoplysninger!$B$26="Der er indgået lokalaftale omkring weekendtillæg(Kræver aftale med TR/FSL). Weekendtimerne udbetales.",I14="X"),K14,0)</f>
        <v>0</v>
      </c>
      <c r="FF14" s="251">
        <f>IF(AND(AND(Stamoplysninger!$B$26="Der er indgået lokalaftale omkring weekendtillæg(Kræver aftale med TR/FSL). Weekendtimerne udbetales.",I14="X",S14="X")),V14,0)</f>
        <v>0</v>
      </c>
      <c r="FG14" s="674">
        <f>IF(AND(AND(Stamoplysninger!$B$26="Der er indgået lokalaftale omkring weekendtillæg(Kræver aftale med TR/FSL). Weekendtimerne udbetales.",I14="X",C14="ikke relevant")),K14,0)</f>
        <v>0</v>
      </c>
      <c r="FH14" s="675">
        <f>IF(AND(AND(AND(Stamoplysninger!$B$26="Der er indgået lokalaftale omkring weekendtillæg(Kræver aftale med TR/FSL). Weekendtimerne udbetales.",I14="X",C14="ikke relevant",S14="X"))),(V14),0)</f>
        <v>0</v>
      </c>
      <c r="FI14" s="283">
        <f>IF(AND(Stamoplysninger!$B$26="Weekendtimer og weekendtillæg afspadseres.",I14="X"),K14,0)</f>
        <v>0</v>
      </c>
      <c r="FJ14" s="251">
        <f>IF(AND(Stamoplysninger!$B$26="Weekendtimer og weekendtillæg afspadseres.",Y14="X"),(AA14+AL14)/2,0)</f>
        <v>0</v>
      </c>
      <c r="FK14" s="674">
        <f>IF(AND(AND(Stamoplysninger!$B$26="Weekendtimer og weekendtillæg afspadseres.",I14="X",C14="ikke relevant")),K14,0)</f>
        <v>0</v>
      </c>
      <c r="FL14" s="675">
        <f>IF(AND(AND(Stamoplysninger!$B$26="Weekendtimer og weekendtillæg afspadseres.",Y14="X",S14="ikke relevant")),(AA14+AL14)/2,0)</f>
        <v>0</v>
      </c>
      <c r="FM14" s="283">
        <f>IF(AND(Stamoplysninger!$B$26="Der er indgået lokalaftale omkring weekendtillæg(Kræver aftale med TR/FSL). Weekendtimerne afspadseres.",I14="X"),K14,0)</f>
        <v>0</v>
      </c>
      <c r="FN14" s="674">
        <f>IF(AND(AND(Stamoplysninger!$B$26="Der er indgået lokalaftale omkring weekendtillæg(Kræver aftale med TR/FSL). Weekendtimerne afspadseres.",I14="X",C14="ikke relevant")),K14,0)</f>
        <v>0</v>
      </c>
      <c r="FO14" s="283">
        <f>IF(AND(Stamoplysninger!$B$26="Weekendtimer og weekendtillæg udbetales.",I14="X"),K14,0)</f>
        <v>0</v>
      </c>
      <c r="FP14" s="251">
        <f>IF(AND(Stamoplysninger!$B$26="Weekendtimer og weekendtillæg udbetales.",AA14="X"),(AC14+AN14)/2,0)</f>
        <v>0</v>
      </c>
      <c r="FQ14" s="674">
        <f>IF(AND(AND(Stamoplysninger!$B$26="Weekendtimer og weekendtillæg udbetales.",I14="X",C14="ikke relevant")),K14,0)</f>
        <v>0</v>
      </c>
      <c r="FR14" s="688">
        <f>IF(AND(AND(Stamoplysninger!$B$26="Weekendtimer og weekendtillæg udbetales.",AA14="X",U14="ikke relevant")),(AC14+AN14)/2,0)</f>
        <v>0</v>
      </c>
      <c r="FS14" s="283">
        <f t="shared" si="15"/>
        <v>0</v>
      </c>
      <c r="FT14" s="658">
        <f t="shared" si="16"/>
        <v>0</v>
      </c>
      <c r="FU14">
        <f t="shared" si="17"/>
        <v>0</v>
      </c>
      <c r="FV14" s="283">
        <f>IF(AND(Stamoplysninger!$B$26="Der er indgået lokalaftale omkring weekendtimer.(Kræver aftale med TR/FSL) Weekendtillæg afspadseres.",I14="X"),K14,0)</f>
        <v>0</v>
      </c>
      <c r="FW14" s="674">
        <f>IF(AND(AND(Stamoplysninger!$B$26="Der er indgået lokalaftale omkring weekendtimer.(Kræver aftale med TR/FSL) Weekendtillæg afspadseres.",I14="X",C14="ikke relevant")),K14,0)</f>
        <v>0</v>
      </c>
      <c r="FX14" s="283">
        <f>IF(AND(Stamoplysninger!$B$26="Der er indgået lokalaftale omkring weekendtimer(Kræver aftale med TR/FSL). Weekendtillæg udbetales.",I14="X"),K14,0)</f>
        <v>0</v>
      </c>
      <c r="FY14" s="674">
        <f>IF(AND(AND(Stamoplysninger!$B$26="Der er indgået lokalaftale omkring weekendtimer(Kræver aftale med TR/FSL). Weekendtillæg udbetales.",I14="X",C14="ikke relevant")),K14,0)</f>
        <v>0</v>
      </c>
      <c r="FZ14" s="283">
        <f>IF(AND(Stamoplysninger!$B$26="Der er indgået lokalaftale omkring weekendtillæg(Kræver aftale med TR/FSL). Weekendtimerne udbetales.",I14="X"),K14,0)</f>
        <v>0</v>
      </c>
      <c r="GA14" s="674">
        <f>IF(AND(AND(Stamoplysninger!$B$26="Der er indgået lokalaftale omkring weekendtillæg(Kræver aftale med TR/FSL). Weekendtimerne udbetales.",I14="X",C14="ikke relevant")),K14,0)</f>
        <v>0</v>
      </c>
      <c r="GB14" s="283">
        <f>IF(AND(Stamoplysninger!$B$26="Der er indgået lokalaftale omkring weekendtimer og weekendtillæg.(Kræver aftale med TR/FSL).",I14="X"),K14,0)</f>
        <v>0</v>
      </c>
      <c r="GC14" s="674">
        <f>IF(AND(AND(Stamoplysninger!$B$26="Der er indgået lokalaftale omkring weekendtimer og weekendtillæg.(Kræver aftale med TR/FSL).",I14="X",C14="ikke relevant")),K14,0)</f>
        <v>0</v>
      </c>
    </row>
    <row r="15" spans="1:185" ht="16" customHeight="1">
      <c r="A15" s="245">
        <f t="shared" si="18"/>
        <v>7</v>
      </c>
      <c r="B15" s="128" t="str">
        <f t="shared" si="0"/>
        <v>lø</v>
      </c>
      <c r="C15" s="129" t="s">
        <v>120</v>
      </c>
      <c r="D15" s="130" t="str">
        <f t="shared" si="1"/>
        <v/>
      </c>
      <c r="E15" s="917"/>
      <c r="F15" s="918"/>
      <c r="G15" s="919"/>
      <c r="H15" s="298"/>
      <c r="I15" s="413"/>
      <c r="J15" s="413"/>
      <c r="K15" s="380"/>
      <c r="L15" s="380"/>
      <c r="M15" s="380"/>
      <c r="N15" s="318">
        <f t="shared" si="19"/>
        <v>0</v>
      </c>
      <c r="O15" s="318">
        <f t="shared" si="20"/>
        <v>0</v>
      </c>
      <c r="P15" s="318">
        <f>IF(Stamoplysninger!$H$29="JA",September!DG15,CX15)</f>
        <v>0</v>
      </c>
      <c r="Q15" s="318">
        <f t="shared" si="21"/>
        <v>0</v>
      </c>
      <c r="R15" s="319"/>
      <c r="S15" s="324"/>
      <c r="T15" s="325"/>
      <c r="U15" s="325"/>
      <c r="V15" s="435"/>
      <c r="W15" s="435"/>
      <c r="X15" s="644"/>
      <c r="Y15">
        <f t="shared" si="22"/>
        <v>0</v>
      </c>
      <c r="Z15" s="437">
        <f t="shared" si="23"/>
        <v>0</v>
      </c>
      <c r="AA15" s="1">
        <f t="shared" si="2"/>
        <v>0</v>
      </c>
      <c r="AB15" s="1">
        <f t="shared" si="3"/>
        <v>0</v>
      </c>
      <c r="AC15" s="1">
        <f t="shared" si="4"/>
        <v>0</v>
      </c>
      <c r="AD15" s="1">
        <f t="shared" si="5"/>
        <v>0</v>
      </c>
      <c r="AE15" s="1">
        <f t="shared" si="6"/>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4"/>
        <v>0</v>
      </c>
      <c r="BB15" s="229">
        <f t="shared" si="7"/>
        <v>0</v>
      </c>
      <c r="BC15" s="1">
        <f t="shared" si="25"/>
        <v>0</v>
      </c>
      <c r="BD15" s="1">
        <f t="shared" si="8"/>
        <v>0</v>
      </c>
      <c r="BE15" s="1">
        <f t="shared" si="9"/>
        <v>0</v>
      </c>
      <c r="BF15" s="1">
        <f t="shared" si="10"/>
        <v>0</v>
      </c>
      <c r="BG15" s="210" t="str">
        <f>IF(AND(C15="Skema 1",B15="ma"),Skemaoplysninger!$E$30,"")</f>
        <v/>
      </c>
      <c r="BH15" s="210" t="str">
        <f>IF(AND(C15="Skema 1",B15="ti"),Skemaoplysninger!$G$30,"")</f>
        <v/>
      </c>
      <c r="BI15" s="210" t="str">
        <f>IF(AND(C15="Skema 1",B15="on"),Skemaoplysninger!$I$30,"")</f>
        <v/>
      </c>
      <c r="BJ15" s="210" t="str">
        <f>IF(AND(C15="Skema 1",B15="to"),Skemaoplysninger!$K$30,"")</f>
        <v/>
      </c>
      <c r="BK15" s="210" t="str">
        <f>IF(AND(C15="Skema 1",B15="fr"),Skemaoplysninger!$M$30,"")</f>
        <v/>
      </c>
      <c r="BL15" s="210" t="str">
        <f>IF(AND(C15="Skema 2",B15="ma"),Skemaoplysninger!$S$30,"")</f>
        <v/>
      </c>
      <c r="BM15" s="210" t="str">
        <f>IF(AND(C15="Skema 2",B15="ti"),Skemaoplysninger!$U$30,"")</f>
        <v/>
      </c>
      <c r="BN15" s="210" t="str">
        <f>IF(AND(C15="Skema 2",B15="on"),Skemaoplysninger!$W$30,"")</f>
        <v/>
      </c>
      <c r="BO15" s="210" t="str">
        <f>IF(AND(C15="Skema 2",B15="to"),Skemaoplysninger!$Y$30,"")</f>
        <v/>
      </c>
      <c r="BP15" s="210" t="str">
        <f>IF(AND(C15="Skema 2",B15="fr"),Skemaoplysninger!$AA$30,"")</f>
        <v/>
      </c>
      <c r="BQ15" s="210" t="str">
        <f>IF(AND(C15="Skema 3",B15="ma"),Skemaoplysninger!$AG$30,"")</f>
        <v/>
      </c>
      <c r="BR15" s="210" t="str">
        <f>IF(AND(C15="Skema 3",B15="ti"),Skemaoplysninger!$AI$30,"")</f>
        <v/>
      </c>
      <c r="BS15" s="210" t="str">
        <f>IF(AND(C15="Skema 3",B15="on"),Skemaoplysninger!$AK$30,"")</f>
        <v/>
      </c>
      <c r="BT15" s="210" t="str">
        <f>IF(AND(C15="Skema 3",B15="to"),Skemaoplysninger!$AM$30,"")</f>
        <v/>
      </c>
      <c r="BU15" s="210" t="str">
        <f>IF(AND(C15="Skema 3",B15="fr"),Skemaoplysninger!$AO$30,"")</f>
        <v/>
      </c>
      <c r="BV15" s="210" t="str">
        <f>IF(AND(C15="Skema 4",B15="ma"),Skemaoplysninger!$AU$30,"")</f>
        <v/>
      </c>
      <c r="BW15" s="210" t="str">
        <f>IF(AND(C15="Skema 4",B15="ti"),Skemaoplysninger!$AW$30,"")</f>
        <v/>
      </c>
      <c r="BX15" s="210" t="str">
        <f>IF(AND(C15="Skema 4",B15="on"),Skemaoplysninger!$AY$30,"")</f>
        <v/>
      </c>
      <c r="BY15" s="210" t="str">
        <f>IF(AND(C15="Skema 4",B15="to"),Skemaoplysninger!$BA$30,"")</f>
        <v/>
      </c>
      <c r="BZ15" s="210" t="str">
        <f>IF(AND(C15="Skema 4",B15="fr"),Skemaoplysninger!$BC$30,"")</f>
        <v/>
      </c>
      <c r="CA15" s="1">
        <f t="shared" si="26"/>
        <v>0</v>
      </c>
      <c r="CB15" s="1">
        <f t="shared" si="11"/>
        <v>0</v>
      </c>
      <c r="CC15" s="1">
        <f t="shared" si="12"/>
        <v>0</v>
      </c>
      <c r="CD15" s="210" t="str">
        <f>IF(AND(C15="Skema 1",B15="ma"),Skemaoplysninger!$E$31,"")</f>
        <v/>
      </c>
      <c r="CE15" s="210" t="str">
        <f>IF(AND(C15="Skema 1",B15="ti"),Skemaoplysninger!$G$31,"")</f>
        <v/>
      </c>
      <c r="CF15" s="210" t="str">
        <f>IF(AND(C15="Skema 1",B15="on"),Skemaoplysninger!$I$31,"")</f>
        <v/>
      </c>
      <c r="CG15" s="210" t="str">
        <f>IF(AND(C15="Skema 1",B15="to"),Skemaoplysninger!$K$31,"")</f>
        <v/>
      </c>
      <c r="CH15" s="210" t="str">
        <f>IF(AND(C15="Skema 1",B15="fr"),Skemaoplysninger!$M$31,"")</f>
        <v/>
      </c>
      <c r="CI15" s="210" t="str">
        <f>IF(AND(C15="Skema 2",B15="ma"),Skemaoplysninger!$S$31,"")</f>
        <v/>
      </c>
      <c r="CJ15" s="210" t="str">
        <f>IF(AND(C15="Skema 2",B15="ti"),Skemaoplysninger!$U$31,"")</f>
        <v/>
      </c>
      <c r="CK15" s="210" t="str">
        <f>IF(AND(C15="Skema 2",B15="on"),Skemaoplysninger!$W$31,"")</f>
        <v/>
      </c>
      <c r="CL15" s="210" t="str">
        <f>IF(AND(C15="Skema 2",B15="to"),Skemaoplysninger!$Y$31,"")</f>
        <v/>
      </c>
      <c r="CM15" s="210" t="str">
        <f>IF(AND(C15="Skema 2",B15="fr"),Skemaoplysninger!$AA$31,"")</f>
        <v/>
      </c>
      <c r="CN15" s="210" t="str">
        <f>IF(AND(C15="Skema 3",B15="ma"),Skemaoplysninger!$AG$31,"")</f>
        <v/>
      </c>
      <c r="CO15" s="210" t="str">
        <f>IF(AND(C15="Skema 3",B15="ti"),Skemaoplysninger!$AI$31,"")</f>
        <v/>
      </c>
      <c r="CP15" s="210" t="str">
        <f>IF(AND(C15="Skema 3",B15="on"),Skemaoplysninger!$AK$31,"")</f>
        <v/>
      </c>
      <c r="CQ15" s="210" t="str">
        <f>IF(AND(C15="Skema 3",B15="to"),Skemaoplysninger!$AM$31,"")</f>
        <v/>
      </c>
      <c r="CR15" s="210" t="str">
        <f>IF(AND(C15="Skema 3",B15="fr"),Skemaoplysninger!$AO$31,"")</f>
        <v/>
      </c>
      <c r="CS15" s="210" t="str">
        <f>IF(AND(C15="Skema 4",B15="ma"),Skemaoplysninger!$AU$31,"")</f>
        <v/>
      </c>
      <c r="CT15" s="210" t="str">
        <f>IF(AND(C15="Skema 4",B15="ti"),Skemaoplysninger!$AW$31,"")</f>
        <v/>
      </c>
      <c r="CU15" s="210" t="str">
        <f>IF(AND(C15="Skema 4",B15="on"),Skemaoplysninger!$AY$31,"")</f>
        <v/>
      </c>
      <c r="CV15" s="210" t="str">
        <f>IF(AND(C15="Skema 4",B15="to"),Skemaoplysninger!$BA$31,"")</f>
        <v/>
      </c>
      <c r="CW15" s="210" t="str">
        <f>IF(AND(C15="Skema 4",B15="fr"),Skemaoplysninger!$BC$31,"")</f>
        <v/>
      </c>
      <c r="CX15" s="249">
        <f>IF(Stamoplysninger!$H$29="NEJ",SUM(CD15:CW15)*24+CB15+CC15,0)</f>
        <v>0</v>
      </c>
      <c r="CY15" s="249">
        <f>IF(C15="Skema 1",Stamoplysninger!$H$30/200,0)</f>
        <v>0</v>
      </c>
      <c r="CZ15" s="249">
        <f>IF(C15="Skema 2",Stamoplysninger!$H$30/200,0)</f>
        <v>0</v>
      </c>
      <c r="DA15" s="249">
        <f>IF(C15="Skema 3",Stamoplysninger!$H$30/200,0)</f>
        <v>0</v>
      </c>
      <c r="DB15" s="249">
        <f>IF(C15="Skema 4",Stamoplysninger!$H$30/200,0)</f>
        <v>0</v>
      </c>
      <c r="DC15" s="249">
        <f>IF(C15="fagdag",Stamoplysninger!$H$30/200,0)</f>
        <v>0</v>
      </c>
      <c r="DD15" s="249">
        <f>IF(C15="emnedag",Stamoplysninger!$H$30/200,0)</f>
        <v>0</v>
      </c>
      <c r="DE15" s="249">
        <f>IF(C15="lejrskole",Stamoplysninger!$H$30/200,0)</f>
        <v>0</v>
      </c>
      <c r="DF15" s="249">
        <f>IF(C15="ekskursion",Stamoplysninger!$H$30/200,0)</f>
        <v>0</v>
      </c>
      <c r="DG15" s="249">
        <f t="shared" si="27"/>
        <v>0</v>
      </c>
      <c r="DH15" t="str">
        <f t="shared" si="28"/>
        <v/>
      </c>
      <c r="DI15">
        <f t="shared" si="29"/>
        <v>0</v>
      </c>
      <c r="DJ15">
        <f t="shared" si="30"/>
        <v>0</v>
      </c>
      <c r="DK15" t="str">
        <f t="shared" si="13"/>
        <v/>
      </c>
      <c r="DL15" t="str">
        <f t="shared" si="13"/>
        <v/>
      </c>
      <c r="DM15" t="str">
        <f t="shared" si="13"/>
        <v/>
      </c>
      <c r="DN15" t="str">
        <f t="shared" ref="DN15:DN38" si="31">DK15&amp;""&amp;DL15&amp;""&amp;DM15</f>
        <v/>
      </c>
      <c r="DO15" s="652">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71">
        <f>IF(AND(Stamoplysninger!$B$22="Ulempetillæg udbetales med 25% af nettotimelønnen.",C15="ikke relevant"),(R15)/4,0)</f>
        <v>0</v>
      </c>
      <c r="DT15" s="671">
        <f>IF(AND(AND(Stamoplysninger!$B$22="Ulempetillæg udbetales med 25% af nettotimelønnen.",I15="X",C15="Ikke relevant")),K15/4,0)</f>
        <v>0</v>
      </c>
      <c r="DU15" s="671">
        <f>IF(AND(AND(Stamoplysninger!$B$22="Ulempetillæg udbetales med 25% af nettotimelønnen.",C15="ikke relevant",U15="X")),(X15/4),0)</f>
        <v>0</v>
      </c>
      <c r="DV15" s="672">
        <f>IF(AND(AND(AND(Stamoplysninger!$B$22="Ulempetillæg udbetales med 25% af nettotimelønnen.",I15="X",C15="Ikke relevant",S15="X"))),V15/4,0)</f>
        <v>0</v>
      </c>
      <c r="DW15" s="652"/>
      <c r="DZ15" s="671"/>
      <c r="EA15" s="671"/>
      <c r="EB15" s="672"/>
      <c r="EC15" s="652">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71">
        <f>IF(AND(Stamoplysninger!$B$22="Ulempetillæg afspadseres med 25%(Kræver en aftale imellem ledelsen og den ansatte)",C15="ikke relevant"),(R15)/4,0)</f>
        <v>0</v>
      </c>
      <c r="EH15" s="671">
        <f>IF(AND(AND(Stamoplysninger!$B$22="Ulempetillæg afspadseres med 25%(Kræver en aftale imellem ledelsen og den ansatte)",I15="X",C15="Ikke relevant")),K15/4,0)</f>
        <v>0</v>
      </c>
      <c r="EI15" s="671">
        <f>IF(AND(AND(Stamoplysninger!$B$22="Ulempetillæg afspadseres med 25%(Kræver en aftale imellem ledelsen og den ansatte)",U15="X",C15="Ikke relevant")),X15/4,0)</f>
        <v>0</v>
      </c>
      <c r="EJ15" s="671">
        <f>IF(AND(AND(AND(Stamoplysninger!$B$22="Ulempetillæg afspadseres med 25%(Kræver en aftale imellem ledelsen og den ansatte)",I15="X",C15="Ikke relevant",S15="X"))),V15/4,0)</f>
        <v>0</v>
      </c>
      <c r="EK15" s="283">
        <f>IF(AND(Stamoplysninger!$B$26="Weekendtimer og weekendtillæg afspadseres.",I15="X"),K15*1.5,0)</f>
        <v>0</v>
      </c>
      <c r="EL15" s="251">
        <f>IF(AND(AND(Stamoplysninger!$B$26="Weekendtimer og weekendtillæg afspadseres.",I15="X",S15="X")),V15*1.5,0)</f>
        <v>0</v>
      </c>
      <c r="EM15" s="674">
        <f>IF(AND(AND(Stamoplysninger!$B$26="Weekendtimer og weekendtillæg afspadseres.",I15="X",C15="ikke relevant")),K15*1.5,0)</f>
        <v>0</v>
      </c>
      <c r="EN15" s="675">
        <f>IF(AND(AND(AND(Stamoplysninger!$B$26="Weekendtimer og weekendtillæg afspadseres.",I15="X",C15="ikke relevant",S15="X"))),(V15*1.5),0)</f>
        <v>0</v>
      </c>
      <c r="EO15" s="283">
        <f>IF(AND(Stamoplysninger!$B$26="Weekendtimer og weekendtillæg udbetales.",I15="X"),K15*1.5,0)</f>
        <v>0</v>
      </c>
      <c r="EP15" s="251">
        <f>IF(AND(AND(Stamoplysninger!$B$26="Weekendtimer og weekendtillæg udbetales.",I15="X",S15="X")),V15*1.5,0)</f>
        <v>0</v>
      </c>
      <c r="EQ15" s="674">
        <f>IF(AND(AND(Stamoplysninger!$B$26="Weekendtimer og weekendtillæg udbetales.",I15="X",C15="ikke relevant")),K15*1.5,0)</f>
        <v>0</v>
      </c>
      <c r="ER15" s="675">
        <f>IF(AND(AND(AND(Stamoplysninger!$B$26="Weekendtimer og weekendtillæg udbetales.",I15="X",C15="ikke relevant",S15="X"))),(V15*1.5),0)</f>
        <v>0</v>
      </c>
      <c r="ES15" s="283">
        <f>IF(AND(Stamoplysninger!$B$26="Der er indgået lokalaftale omkring weekendtimer.(Kræver aftale med TR/FSL) Weekendtillæg afspadseres.",I15="X"),K15*0.5,0)</f>
        <v>0</v>
      </c>
      <c r="ET15" s="251">
        <f>IF(AND(AND(Stamoplysninger!$B$26="Der er indgået lokalaftale omkring weekendtimer.(Kræver aftale med TR/FSL) Weekendtillæg afspadseres.",I15="X",S15="X")),V15*0.5,0)</f>
        <v>0</v>
      </c>
      <c r="EU15" s="674">
        <f>IF(AND(AND(Stamoplysninger!$B$26="Der er indgået lokalaftale omkring weekendtimer.(Kræver aftale med TR/FSL) Weekendtillæg afspadseres.",I15="X",C15="ikke relevant")),K15*0.5,0)</f>
        <v>0</v>
      </c>
      <c r="EV15" s="675">
        <f>IF(AND(AND(AND(Stamoplysninger!$B$26="Der er indgået lokalaftale omkring weekendtimer.(Kræver aftale med TR/FSL) Weekendtillæg afspadseres.",I15="X",C15="ikke relevant",S15="X"))),(V15*0.5),0)</f>
        <v>0</v>
      </c>
      <c r="EW15" s="283">
        <f>IF(AND(Stamoplysninger!$B$26="Der er indgået lokalaftale omkring weekendtimer(Kræver aftale med TR/FSL). Weekendtillæg udbetales.",I15="X"),K15*0.5,0)</f>
        <v>0</v>
      </c>
      <c r="EX15" s="251">
        <f>IF(AND(AND(Stamoplysninger!$B$26="Der er indgået lokalaftale omkring weekendtimer(Kræver aftale med TR/FSL). Weekendtillæg udbetales.",I15="X",S15="X")),V15*0.5,0)</f>
        <v>0</v>
      </c>
      <c r="EY15" s="674">
        <f>IF(AND(AND(Stamoplysninger!$B$26="Der er indgået lokalaftale omkring weekendtimer(Kræver aftale med TR/FSL). Weekendtillæg udbetales.",I15="X",C15="ikke relevant")),K15*0.5,0)</f>
        <v>0</v>
      </c>
      <c r="EZ15" s="675">
        <f>IF(AND(AND(AND(Stamoplysninger!$B$26="Der er indgået lokalaftale omkring weekendtimer(Kræver aftale med TR/FSL). Weekendtillæg udbetales.",I15="X",C15="ikke relevant",S15="X"))),(V15*0.5),0)</f>
        <v>0</v>
      </c>
      <c r="FA15" s="283">
        <f>IF(AND(Stamoplysninger!$B$26="Der er indgået lokalaftale omkring weekendtillæg(Kræver aftale med TR/FSL). Weekendtimerne afspadseres.",I15="X"),K15,0)</f>
        <v>0</v>
      </c>
      <c r="FB15" s="251">
        <f>IF(AND(AND(Stamoplysninger!$B$26="Der er indgået lokalaftale omkring weekendtillæg(Kræver aftale med TR/FSL). Weekendtimerne afspadseres.",I15="X",S15="X")),V15,0)</f>
        <v>0</v>
      </c>
      <c r="FC15" s="674">
        <f>IF(AND(AND(Stamoplysninger!$B$26="Der er indgået lokalaftale omkring weekendtillæg(Kræver aftale med TR/FSL). Weekendtimerne afspadseres..",I15="X",C15="ikke relevant")),K15,0)</f>
        <v>0</v>
      </c>
      <c r="FD15" s="675">
        <f>IF(AND(AND(AND(Stamoplysninger!$B$26="Der er indgået lokalaftale omkring weekendtillæg(Kræver aftale med TR/FSL). Weekendtimerne afspadseres.",I15="X",C15="ikke relevant",S15="X"))),(V15),0)</f>
        <v>0</v>
      </c>
      <c r="FE15" s="283">
        <f>IF(AND(Stamoplysninger!$B$26="Der er indgået lokalaftale omkring weekendtillæg(Kræver aftale med TR/FSL). Weekendtimerne udbetales.",I15="X"),K15,0)</f>
        <v>0</v>
      </c>
      <c r="FF15" s="251">
        <f>IF(AND(AND(Stamoplysninger!$B$26="Der er indgået lokalaftale omkring weekendtillæg(Kræver aftale med TR/FSL). Weekendtimerne udbetales.",I15="X",S15="X")),V15,0)</f>
        <v>0</v>
      </c>
      <c r="FG15" s="674">
        <f>IF(AND(AND(Stamoplysninger!$B$26="Der er indgået lokalaftale omkring weekendtillæg(Kræver aftale med TR/FSL). Weekendtimerne udbetales.",I15="X",C15="ikke relevant")),K15,0)</f>
        <v>0</v>
      </c>
      <c r="FH15" s="675">
        <f>IF(AND(AND(AND(Stamoplysninger!$B$26="Der er indgået lokalaftale omkring weekendtillæg(Kræver aftale med TR/FSL). Weekendtimerne udbetales.",I15="X",C15="ikke relevant",S15="X"))),(V15),0)</f>
        <v>0</v>
      </c>
      <c r="FI15" s="283">
        <f>IF(AND(Stamoplysninger!$B$26="Weekendtimer og weekendtillæg afspadseres.",I15="X"),K15,0)</f>
        <v>0</v>
      </c>
      <c r="FJ15" s="251">
        <f>IF(AND(Stamoplysninger!$B$26="Weekendtimer og weekendtillæg afspadseres.",Y15="X"),(AA15+AL15)/2,0)</f>
        <v>0</v>
      </c>
      <c r="FK15" s="674">
        <f>IF(AND(AND(Stamoplysninger!$B$26="Weekendtimer og weekendtillæg afspadseres.",I15="X",C15="ikke relevant")),K15,0)</f>
        <v>0</v>
      </c>
      <c r="FL15" s="675">
        <f>IF(AND(AND(Stamoplysninger!$B$26="Weekendtimer og weekendtillæg afspadseres.",Y15="X",S15="ikke relevant")),(AA15+AL15)/2,0)</f>
        <v>0</v>
      </c>
      <c r="FM15" s="283">
        <f>IF(AND(Stamoplysninger!$B$26="Der er indgået lokalaftale omkring weekendtillæg(Kræver aftale med TR/FSL). Weekendtimerne afspadseres.",I15="X"),K15,0)</f>
        <v>0</v>
      </c>
      <c r="FN15" s="674">
        <f>IF(AND(AND(Stamoplysninger!$B$26="Der er indgået lokalaftale omkring weekendtillæg(Kræver aftale med TR/FSL). Weekendtimerne afspadseres.",I15="X",C15="ikke relevant")),K15,0)</f>
        <v>0</v>
      </c>
      <c r="FO15" s="283">
        <f>IF(AND(Stamoplysninger!$B$26="Weekendtimer og weekendtillæg udbetales.",I15="X"),K15,0)</f>
        <v>0</v>
      </c>
      <c r="FP15" s="251">
        <f>IF(AND(Stamoplysninger!$B$26="Weekendtimer og weekendtillæg udbetales.",AA15="X"),(AC15+AN15)/2,0)</f>
        <v>0</v>
      </c>
      <c r="FQ15" s="674">
        <f>IF(AND(AND(Stamoplysninger!$B$26="Weekendtimer og weekendtillæg udbetales.",I15="X",C15="ikke relevant")),K15,0)</f>
        <v>0</v>
      </c>
      <c r="FR15" s="688">
        <f>IF(AND(AND(Stamoplysninger!$B$26="Weekendtimer og weekendtillæg udbetales.",AA15="X",U15="ikke relevant")),(AC15+AN15)/2,0)</f>
        <v>0</v>
      </c>
      <c r="FS15" s="283">
        <f t="shared" si="15"/>
        <v>0</v>
      </c>
      <c r="FT15" s="658">
        <f t="shared" si="16"/>
        <v>0</v>
      </c>
      <c r="FU15">
        <f t="shared" si="17"/>
        <v>0</v>
      </c>
      <c r="FV15" s="283">
        <f>IF(AND(Stamoplysninger!$B$26="Der er indgået lokalaftale omkring weekendtimer.(Kræver aftale med TR/FSL) Weekendtillæg afspadseres.",I15="X"),K15,0)</f>
        <v>0</v>
      </c>
      <c r="FW15" s="674">
        <f>IF(AND(AND(Stamoplysninger!$B$26="Der er indgået lokalaftale omkring weekendtimer.(Kræver aftale med TR/FSL) Weekendtillæg afspadseres.",I15="X",C15="ikke relevant")),K15,0)</f>
        <v>0</v>
      </c>
      <c r="FX15" s="283">
        <f>IF(AND(Stamoplysninger!$B$26="Der er indgået lokalaftale omkring weekendtimer(Kræver aftale med TR/FSL). Weekendtillæg udbetales.",I15="X"),K15,0)</f>
        <v>0</v>
      </c>
      <c r="FY15" s="674">
        <f>IF(AND(AND(Stamoplysninger!$B$26="Der er indgået lokalaftale omkring weekendtimer(Kræver aftale med TR/FSL). Weekendtillæg udbetales.",I15="X",C15="ikke relevant")),K15,0)</f>
        <v>0</v>
      </c>
      <c r="FZ15" s="283">
        <f>IF(AND(Stamoplysninger!$B$26="Der er indgået lokalaftale omkring weekendtillæg(Kræver aftale med TR/FSL). Weekendtimerne udbetales.",I15="X"),K15,0)</f>
        <v>0</v>
      </c>
      <c r="GA15" s="674">
        <f>IF(AND(AND(Stamoplysninger!$B$26="Der er indgået lokalaftale omkring weekendtillæg(Kræver aftale med TR/FSL). Weekendtimerne udbetales.",I15="X",C15="ikke relevant")),K15,0)</f>
        <v>0</v>
      </c>
      <c r="GB15" s="283">
        <f>IF(AND(Stamoplysninger!$B$26="Der er indgået lokalaftale omkring weekendtimer og weekendtillæg.(Kræver aftale med TR/FSL).",I15="X"),K15,0)</f>
        <v>0</v>
      </c>
      <c r="GC15" s="674">
        <f>IF(AND(AND(Stamoplysninger!$B$26="Der er indgået lokalaftale omkring weekendtimer og weekendtillæg.(Kræver aftale med TR/FSL).",I15="X",C15="ikke relevant")),K15,0)</f>
        <v>0</v>
      </c>
    </row>
    <row r="16" spans="1:185">
      <c r="A16" s="245">
        <f t="shared" si="18"/>
        <v>8</v>
      </c>
      <c r="B16" s="128" t="str">
        <f t="shared" si="0"/>
        <v>sø</v>
      </c>
      <c r="C16" s="129" t="s">
        <v>120</v>
      </c>
      <c r="D16" s="130" t="str">
        <f t="shared" si="1"/>
        <v/>
      </c>
      <c r="E16" s="917"/>
      <c r="F16" s="918"/>
      <c r="G16" s="919"/>
      <c r="H16" s="298"/>
      <c r="I16" s="413"/>
      <c r="J16" s="413"/>
      <c r="K16" s="380"/>
      <c r="L16" s="380"/>
      <c r="M16" s="380"/>
      <c r="N16" s="318">
        <f t="shared" si="19"/>
        <v>0</v>
      </c>
      <c r="O16" s="318">
        <f t="shared" si="20"/>
        <v>0</v>
      </c>
      <c r="P16" s="318">
        <f>IF(Stamoplysninger!$H$29="JA",September!DG16,CX16)</f>
        <v>0</v>
      </c>
      <c r="Q16" s="318">
        <f t="shared" si="21"/>
        <v>0</v>
      </c>
      <c r="R16" s="319"/>
      <c r="S16" s="324"/>
      <c r="T16" s="325"/>
      <c r="U16" s="325"/>
      <c r="V16" s="435"/>
      <c r="W16" s="435"/>
      <c r="X16" s="644"/>
      <c r="Y16">
        <f t="shared" si="22"/>
        <v>0</v>
      </c>
      <c r="Z16" s="437">
        <f t="shared" si="23"/>
        <v>0</v>
      </c>
      <c r="AA16" s="1">
        <f t="shared" si="2"/>
        <v>0</v>
      </c>
      <c r="AB16" s="1">
        <f t="shared" si="3"/>
        <v>0</v>
      </c>
      <c r="AC16" s="1">
        <f t="shared" si="4"/>
        <v>0</v>
      </c>
      <c r="AD16" s="1">
        <f t="shared" si="5"/>
        <v>0</v>
      </c>
      <c r="AE16" s="1">
        <f t="shared" si="6"/>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4"/>
        <v>0</v>
      </c>
      <c r="BB16" s="229">
        <f t="shared" si="7"/>
        <v>0</v>
      </c>
      <c r="BC16" s="1">
        <f t="shared" si="25"/>
        <v>0</v>
      </c>
      <c r="BD16" s="1">
        <f t="shared" si="8"/>
        <v>0</v>
      </c>
      <c r="BE16" s="1">
        <f t="shared" si="9"/>
        <v>0</v>
      </c>
      <c r="BF16" s="1">
        <f t="shared" si="10"/>
        <v>0</v>
      </c>
      <c r="BG16" s="210" t="str">
        <f>IF(AND(C16="Skema 1",B16="ma"),Skemaoplysninger!$E$30,"")</f>
        <v/>
      </c>
      <c r="BH16" s="210" t="str">
        <f>IF(AND(C16="Skema 1",B16="ti"),Skemaoplysninger!$G$30,"")</f>
        <v/>
      </c>
      <c r="BI16" s="210" t="str">
        <f>IF(AND(C16="Skema 1",B16="on"),Skemaoplysninger!$I$30,"")</f>
        <v/>
      </c>
      <c r="BJ16" s="210" t="str">
        <f>IF(AND(C16="Skema 1",B16="to"),Skemaoplysninger!$K$30,"")</f>
        <v/>
      </c>
      <c r="BK16" s="210" t="str">
        <f>IF(AND(C16="Skema 1",B16="fr"),Skemaoplysninger!$M$30,"")</f>
        <v/>
      </c>
      <c r="BL16" s="210" t="str">
        <f>IF(AND(C16="Skema 2",B16="ma"),Skemaoplysninger!$S$30,"")</f>
        <v/>
      </c>
      <c r="BM16" s="210" t="str">
        <f>IF(AND(C16="Skema 2",B16="ti"),Skemaoplysninger!$U$30,"")</f>
        <v/>
      </c>
      <c r="BN16" s="210" t="str">
        <f>IF(AND(C16="Skema 2",B16="on"),Skemaoplysninger!$W$30,"")</f>
        <v/>
      </c>
      <c r="BO16" s="210" t="str">
        <f>IF(AND(C16="Skema 2",B16="to"),Skemaoplysninger!$Y$30,"")</f>
        <v/>
      </c>
      <c r="BP16" s="210" t="str">
        <f>IF(AND(C16="Skema 2",B16="fr"),Skemaoplysninger!$AA$30,"")</f>
        <v/>
      </c>
      <c r="BQ16" s="210" t="str">
        <f>IF(AND(C16="Skema 3",B16="ma"),Skemaoplysninger!$AG$30,"")</f>
        <v/>
      </c>
      <c r="BR16" s="210" t="str">
        <f>IF(AND(C16="Skema 3",B16="ti"),Skemaoplysninger!$AI$30,"")</f>
        <v/>
      </c>
      <c r="BS16" s="210" t="str">
        <f>IF(AND(C16="Skema 3",B16="on"),Skemaoplysninger!$AK$30,"")</f>
        <v/>
      </c>
      <c r="BT16" s="210" t="str">
        <f>IF(AND(C16="Skema 3",B16="to"),Skemaoplysninger!$AM$30,"")</f>
        <v/>
      </c>
      <c r="BU16" s="210" t="str">
        <f>IF(AND(C16="Skema 3",B16="fr"),Skemaoplysninger!$AO$30,"")</f>
        <v/>
      </c>
      <c r="BV16" s="210" t="str">
        <f>IF(AND(C16="Skema 4",B16="ma"),Skemaoplysninger!$AU$30,"")</f>
        <v/>
      </c>
      <c r="BW16" s="210" t="str">
        <f>IF(AND(C16="Skema 4",B16="ti"),Skemaoplysninger!$AW$30,"")</f>
        <v/>
      </c>
      <c r="BX16" s="210" t="str">
        <f>IF(AND(C16="Skema 4",B16="on"),Skemaoplysninger!$AY$30,"")</f>
        <v/>
      </c>
      <c r="BY16" s="210" t="str">
        <f>IF(AND(C16="Skema 4",B16="to"),Skemaoplysninger!$BA$30,"")</f>
        <v/>
      </c>
      <c r="BZ16" s="210" t="str">
        <f>IF(AND(C16="Skema 4",B16="fr"),Skemaoplysninger!$BC$30,"")</f>
        <v/>
      </c>
      <c r="CA16" s="1">
        <f t="shared" si="26"/>
        <v>0</v>
      </c>
      <c r="CB16" s="1">
        <f t="shared" si="11"/>
        <v>0</v>
      </c>
      <c r="CC16" s="1">
        <f t="shared" si="12"/>
        <v>0</v>
      </c>
      <c r="CD16" s="210" t="str">
        <f>IF(AND(C16="Skema 1",B16="ma"),Skemaoplysninger!$E$31,"")</f>
        <v/>
      </c>
      <c r="CE16" s="210" t="str">
        <f>IF(AND(C16="Skema 1",B16="ti"),Skemaoplysninger!$G$31,"")</f>
        <v/>
      </c>
      <c r="CF16" s="210" t="str">
        <f>IF(AND(C16="Skema 1",B16="on"),Skemaoplysninger!$I$31,"")</f>
        <v/>
      </c>
      <c r="CG16" s="210" t="str">
        <f>IF(AND(C16="Skema 1",B16="to"),Skemaoplysninger!$K$31,"")</f>
        <v/>
      </c>
      <c r="CH16" s="210" t="str">
        <f>IF(AND(C16="Skema 1",B16="fr"),Skemaoplysninger!$M$31,"")</f>
        <v/>
      </c>
      <c r="CI16" s="210" t="str">
        <f>IF(AND(C16="Skema 2",B16="ma"),Skemaoplysninger!$S$31,"")</f>
        <v/>
      </c>
      <c r="CJ16" s="210" t="str">
        <f>IF(AND(C16="Skema 2",B16="ti"),Skemaoplysninger!$U$31,"")</f>
        <v/>
      </c>
      <c r="CK16" s="210" t="str">
        <f>IF(AND(C16="Skema 2",B16="on"),Skemaoplysninger!$W$31,"")</f>
        <v/>
      </c>
      <c r="CL16" s="210" t="str">
        <f>IF(AND(C16="Skema 2",B16="to"),Skemaoplysninger!$Y$31,"")</f>
        <v/>
      </c>
      <c r="CM16" s="210" t="str">
        <f>IF(AND(C16="Skema 2",B16="fr"),Skemaoplysninger!$AA$31,"")</f>
        <v/>
      </c>
      <c r="CN16" s="210" t="str">
        <f>IF(AND(C16="Skema 3",B16="ma"),Skemaoplysninger!$AG$31,"")</f>
        <v/>
      </c>
      <c r="CO16" s="210" t="str">
        <f>IF(AND(C16="Skema 3",B16="ti"),Skemaoplysninger!$AI$31,"")</f>
        <v/>
      </c>
      <c r="CP16" s="210" t="str">
        <f>IF(AND(C16="Skema 3",B16="on"),Skemaoplysninger!$AK$31,"")</f>
        <v/>
      </c>
      <c r="CQ16" s="210" t="str">
        <f>IF(AND(C16="Skema 3",B16="to"),Skemaoplysninger!$AM$31,"")</f>
        <v/>
      </c>
      <c r="CR16" s="210" t="str">
        <f>IF(AND(C16="Skema 3",B16="fr"),Skemaoplysninger!$AO$31,"")</f>
        <v/>
      </c>
      <c r="CS16" s="210" t="str">
        <f>IF(AND(C16="Skema 4",B16="ma"),Skemaoplysninger!$AU$31,"")</f>
        <v/>
      </c>
      <c r="CT16" s="210" t="str">
        <f>IF(AND(C16="Skema 4",B16="ti"),Skemaoplysninger!$AW$31,"")</f>
        <v/>
      </c>
      <c r="CU16" s="210" t="str">
        <f>IF(AND(C16="Skema 4",B16="on"),Skemaoplysninger!$AY$31,"")</f>
        <v/>
      </c>
      <c r="CV16" s="210" t="str">
        <f>IF(AND(C16="Skema 4",B16="to"),Skemaoplysninger!$BA$31,"")</f>
        <v/>
      </c>
      <c r="CW16" s="210" t="str">
        <f>IF(AND(C16="Skema 4",B16="fr"),Skemaoplysninger!$BC$31,"")</f>
        <v/>
      </c>
      <c r="CX16" s="249">
        <f>IF(Stamoplysninger!$H$29="NEJ",SUM(CD16:CW16)*24+CB16+CC16,0)</f>
        <v>0</v>
      </c>
      <c r="CY16" s="249">
        <f>IF(C16="Skema 1",Stamoplysninger!$H$30/200,0)</f>
        <v>0</v>
      </c>
      <c r="CZ16" s="249">
        <f>IF(C16="Skema 2",Stamoplysninger!$H$30/200,0)</f>
        <v>0</v>
      </c>
      <c r="DA16" s="249">
        <f>IF(C16="Skema 3",Stamoplysninger!$H$30/200,0)</f>
        <v>0</v>
      </c>
      <c r="DB16" s="249">
        <f>IF(C16="Skema 4",Stamoplysninger!$H$30/200,0)</f>
        <v>0</v>
      </c>
      <c r="DC16" s="249">
        <f>IF(C16="fagdag",Stamoplysninger!$H$30/200,0)</f>
        <v>0</v>
      </c>
      <c r="DD16" s="249">
        <f>IF(C16="emnedag",Stamoplysninger!$H$30/200,0)</f>
        <v>0</v>
      </c>
      <c r="DE16" s="249">
        <f>IF(C16="lejrskole",Stamoplysninger!$H$30/200,0)</f>
        <v>0</v>
      </c>
      <c r="DF16" s="249">
        <f>IF(C16="ekskursion",Stamoplysninger!$H$30/200,0)</f>
        <v>0</v>
      </c>
      <c r="DG16" s="249">
        <f t="shared" si="27"/>
        <v>0</v>
      </c>
      <c r="DH16" t="str">
        <f t="shared" si="28"/>
        <v/>
      </c>
      <c r="DI16">
        <f t="shared" si="29"/>
        <v>0</v>
      </c>
      <c r="DJ16">
        <f t="shared" si="30"/>
        <v>0</v>
      </c>
      <c r="DK16" t="str">
        <f t="shared" si="13"/>
        <v/>
      </c>
      <c r="DL16" t="str">
        <f t="shared" si="13"/>
        <v/>
      </c>
      <c r="DM16" t="str">
        <f t="shared" si="13"/>
        <v/>
      </c>
      <c r="DN16" t="str">
        <f t="shared" si="31"/>
        <v/>
      </c>
      <c r="DO16" s="652">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71">
        <f>IF(AND(Stamoplysninger!$B$22="Ulempetillæg udbetales med 25% af nettotimelønnen.",C16="ikke relevant"),(R16)/4,0)</f>
        <v>0</v>
      </c>
      <c r="DT16" s="671">
        <f>IF(AND(AND(Stamoplysninger!$B$22="Ulempetillæg udbetales med 25% af nettotimelønnen.",I16="X",C16="Ikke relevant")),K16/4,0)</f>
        <v>0</v>
      </c>
      <c r="DU16" s="671">
        <f>IF(AND(AND(Stamoplysninger!$B$22="Ulempetillæg udbetales med 25% af nettotimelønnen.",C16="ikke relevant",U16="X")),(X16/4),0)</f>
        <v>0</v>
      </c>
      <c r="DV16" s="672">
        <f>IF(AND(AND(AND(Stamoplysninger!$B$22="Ulempetillæg udbetales med 25% af nettotimelønnen.",I16="X",C16="Ikke relevant",S16="X"))),V16/4,0)</f>
        <v>0</v>
      </c>
      <c r="DW16" s="652"/>
      <c r="DZ16" s="671"/>
      <c r="EA16" s="671"/>
      <c r="EB16" s="672"/>
      <c r="EC16" s="652">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71">
        <f>IF(AND(Stamoplysninger!$B$22="Ulempetillæg afspadseres med 25%(Kræver en aftale imellem ledelsen og den ansatte)",C16="ikke relevant"),(R16)/4,0)</f>
        <v>0</v>
      </c>
      <c r="EH16" s="671">
        <f>IF(AND(AND(Stamoplysninger!$B$22="Ulempetillæg afspadseres med 25%(Kræver en aftale imellem ledelsen og den ansatte)",I16="X",C16="Ikke relevant")),K16/4,0)</f>
        <v>0</v>
      </c>
      <c r="EI16" s="671">
        <f>IF(AND(AND(Stamoplysninger!$B$22="Ulempetillæg afspadseres med 25%(Kræver en aftale imellem ledelsen og den ansatte)",U16="X",C16="Ikke relevant")),X16/4,0)</f>
        <v>0</v>
      </c>
      <c r="EJ16" s="671">
        <f>IF(AND(AND(AND(Stamoplysninger!$B$22="Ulempetillæg afspadseres med 25%(Kræver en aftale imellem ledelsen og den ansatte)",I16="X",C16="Ikke relevant",S16="X"))),V16/4,0)</f>
        <v>0</v>
      </c>
      <c r="EK16" s="283">
        <f>IF(AND(Stamoplysninger!$B$26="Weekendtimer og weekendtillæg afspadseres.",I16="X"),K16*1.5,0)</f>
        <v>0</v>
      </c>
      <c r="EL16" s="251">
        <f>IF(AND(AND(Stamoplysninger!$B$26="Weekendtimer og weekendtillæg afspadseres.",I16="X",S16="X")),V16*1.5,0)</f>
        <v>0</v>
      </c>
      <c r="EM16" s="674">
        <f>IF(AND(AND(Stamoplysninger!$B$26="Weekendtimer og weekendtillæg afspadseres.",I16="X",C16="ikke relevant")),K16*1.5,0)</f>
        <v>0</v>
      </c>
      <c r="EN16" s="675">
        <f>IF(AND(AND(AND(Stamoplysninger!$B$26="Weekendtimer og weekendtillæg afspadseres.",I16="X",C16="ikke relevant",S16="X"))),(V16*1.5),0)</f>
        <v>0</v>
      </c>
      <c r="EO16" s="283">
        <f>IF(AND(Stamoplysninger!$B$26="Weekendtimer og weekendtillæg udbetales.",I16="X"),K16*1.5,0)</f>
        <v>0</v>
      </c>
      <c r="EP16" s="251">
        <f>IF(AND(AND(Stamoplysninger!$B$26="Weekendtimer og weekendtillæg udbetales.",I16="X",S16="X")),V16*1.5,0)</f>
        <v>0</v>
      </c>
      <c r="EQ16" s="674">
        <f>IF(AND(AND(Stamoplysninger!$B$26="Weekendtimer og weekendtillæg udbetales.",I16="X",C16="ikke relevant")),K16*1.5,0)</f>
        <v>0</v>
      </c>
      <c r="ER16" s="675">
        <f>IF(AND(AND(AND(Stamoplysninger!$B$26="Weekendtimer og weekendtillæg udbetales.",I16="X",C16="ikke relevant",S16="X"))),(V16*1.5),0)</f>
        <v>0</v>
      </c>
      <c r="ES16" s="283">
        <f>IF(AND(Stamoplysninger!$B$26="Der er indgået lokalaftale omkring weekendtimer.(Kræver aftale med TR/FSL) Weekendtillæg afspadseres.",I16="X"),K16*0.5,0)</f>
        <v>0</v>
      </c>
      <c r="ET16" s="251">
        <f>IF(AND(AND(Stamoplysninger!$B$26="Der er indgået lokalaftale omkring weekendtimer.(Kræver aftale med TR/FSL) Weekendtillæg afspadseres.",I16="X",S16="X")),V16*0.5,0)</f>
        <v>0</v>
      </c>
      <c r="EU16" s="674">
        <f>IF(AND(AND(Stamoplysninger!$B$26="Der er indgået lokalaftale omkring weekendtimer.(Kræver aftale med TR/FSL) Weekendtillæg afspadseres.",I16="X",C16="ikke relevant")),K16*0.5,0)</f>
        <v>0</v>
      </c>
      <c r="EV16" s="675">
        <f>IF(AND(AND(AND(Stamoplysninger!$B$26="Der er indgået lokalaftale omkring weekendtimer.(Kræver aftale med TR/FSL) Weekendtillæg afspadseres.",I16="X",C16="ikke relevant",S16="X"))),(V16*0.5),0)</f>
        <v>0</v>
      </c>
      <c r="EW16" s="283">
        <f>IF(AND(Stamoplysninger!$B$26="Der er indgået lokalaftale omkring weekendtimer(Kræver aftale med TR/FSL). Weekendtillæg udbetales.",I16="X"),K16*0.5,0)</f>
        <v>0</v>
      </c>
      <c r="EX16" s="251">
        <f>IF(AND(AND(Stamoplysninger!$B$26="Der er indgået lokalaftale omkring weekendtimer(Kræver aftale med TR/FSL). Weekendtillæg udbetales.",I16="X",S16="X")),V16*0.5,0)</f>
        <v>0</v>
      </c>
      <c r="EY16" s="674">
        <f>IF(AND(AND(Stamoplysninger!$B$26="Der er indgået lokalaftale omkring weekendtimer(Kræver aftale med TR/FSL). Weekendtillæg udbetales.",I16="X",C16="ikke relevant")),K16*0.5,0)</f>
        <v>0</v>
      </c>
      <c r="EZ16" s="675">
        <f>IF(AND(AND(AND(Stamoplysninger!$B$26="Der er indgået lokalaftale omkring weekendtimer(Kræver aftale med TR/FSL). Weekendtillæg udbetales.",I16="X",C16="ikke relevant",S16="X"))),(V16*0.5),0)</f>
        <v>0</v>
      </c>
      <c r="FA16" s="283">
        <f>IF(AND(Stamoplysninger!$B$26="Der er indgået lokalaftale omkring weekendtillæg(Kræver aftale med TR/FSL). Weekendtimerne afspadseres.",I16="X"),K16,0)</f>
        <v>0</v>
      </c>
      <c r="FB16" s="251">
        <f>IF(AND(AND(Stamoplysninger!$B$26="Der er indgået lokalaftale omkring weekendtillæg(Kræver aftale med TR/FSL). Weekendtimerne afspadseres.",I16="X",S16="X")),V16,0)</f>
        <v>0</v>
      </c>
      <c r="FC16" s="674">
        <f>IF(AND(AND(Stamoplysninger!$B$26="Der er indgået lokalaftale omkring weekendtillæg(Kræver aftale med TR/FSL). Weekendtimerne afspadseres..",I16="X",C16="ikke relevant")),K16,0)</f>
        <v>0</v>
      </c>
      <c r="FD16" s="675">
        <f>IF(AND(AND(AND(Stamoplysninger!$B$26="Der er indgået lokalaftale omkring weekendtillæg(Kræver aftale med TR/FSL). Weekendtimerne afspadseres.",I16="X",C16="ikke relevant",S16="X"))),(V16),0)</f>
        <v>0</v>
      </c>
      <c r="FE16" s="283">
        <f>IF(AND(Stamoplysninger!$B$26="Der er indgået lokalaftale omkring weekendtillæg(Kræver aftale med TR/FSL). Weekendtimerne udbetales.",I16="X"),K16,0)</f>
        <v>0</v>
      </c>
      <c r="FF16" s="251">
        <f>IF(AND(AND(Stamoplysninger!$B$26="Der er indgået lokalaftale omkring weekendtillæg(Kræver aftale med TR/FSL). Weekendtimerne udbetales.",I16="X",S16="X")),V16,0)</f>
        <v>0</v>
      </c>
      <c r="FG16" s="674">
        <f>IF(AND(AND(Stamoplysninger!$B$26="Der er indgået lokalaftale omkring weekendtillæg(Kræver aftale med TR/FSL). Weekendtimerne udbetales.",I16="X",C16="ikke relevant")),K16,0)</f>
        <v>0</v>
      </c>
      <c r="FH16" s="675">
        <f>IF(AND(AND(AND(Stamoplysninger!$B$26="Der er indgået lokalaftale omkring weekendtillæg(Kræver aftale med TR/FSL). Weekendtimerne udbetales.",I16="X",C16="ikke relevant",S16="X"))),(V16),0)</f>
        <v>0</v>
      </c>
      <c r="FI16" s="283">
        <f>IF(AND(Stamoplysninger!$B$26="Weekendtimer og weekendtillæg afspadseres.",I16="X"),K16,0)</f>
        <v>0</v>
      </c>
      <c r="FJ16" s="251">
        <f>IF(AND(Stamoplysninger!$B$26="Weekendtimer og weekendtillæg afspadseres.",Y16="X"),(AA16+AL16)/2,0)</f>
        <v>0</v>
      </c>
      <c r="FK16" s="674">
        <f>IF(AND(AND(Stamoplysninger!$B$26="Weekendtimer og weekendtillæg afspadseres.",I16="X",C16="ikke relevant")),K16,0)</f>
        <v>0</v>
      </c>
      <c r="FL16" s="675">
        <f>IF(AND(AND(Stamoplysninger!$B$26="Weekendtimer og weekendtillæg afspadseres.",Y16="X",S16="ikke relevant")),(AA16+AL16)/2,0)</f>
        <v>0</v>
      </c>
      <c r="FM16" s="283">
        <f>IF(AND(Stamoplysninger!$B$26="Der er indgået lokalaftale omkring weekendtillæg(Kræver aftale med TR/FSL). Weekendtimerne afspadseres.",I16="X"),K16,0)</f>
        <v>0</v>
      </c>
      <c r="FN16" s="674">
        <f>IF(AND(AND(Stamoplysninger!$B$26="Der er indgået lokalaftale omkring weekendtillæg(Kræver aftale med TR/FSL). Weekendtimerne afspadseres.",I16="X",C16="ikke relevant")),K16,0)</f>
        <v>0</v>
      </c>
      <c r="FO16" s="283">
        <f>IF(AND(Stamoplysninger!$B$26="Weekendtimer og weekendtillæg udbetales.",I16="X"),K16,0)</f>
        <v>0</v>
      </c>
      <c r="FP16" s="251">
        <f>IF(AND(Stamoplysninger!$B$26="Weekendtimer og weekendtillæg udbetales.",AA16="X"),(AC16+AN16)/2,0)</f>
        <v>0</v>
      </c>
      <c r="FQ16" s="674">
        <f>IF(AND(AND(Stamoplysninger!$B$26="Weekendtimer og weekendtillæg udbetales.",I16="X",C16="ikke relevant")),K16,0)</f>
        <v>0</v>
      </c>
      <c r="FR16" s="688">
        <f>IF(AND(AND(Stamoplysninger!$B$26="Weekendtimer og weekendtillæg udbetales.",AA16="X",U16="ikke relevant")),(AC16+AN16)/2,0)</f>
        <v>0</v>
      </c>
      <c r="FS16" s="283">
        <f t="shared" si="15"/>
        <v>0</v>
      </c>
      <c r="FT16" s="658">
        <f t="shared" si="16"/>
        <v>0</v>
      </c>
      <c r="FU16">
        <f t="shared" si="17"/>
        <v>0</v>
      </c>
      <c r="FV16" s="283">
        <f>IF(AND(Stamoplysninger!$B$26="Der er indgået lokalaftale omkring weekendtimer.(Kræver aftale med TR/FSL) Weekendtillæg afspadseres.",I16="X"),K16,0)</f>
        <v>0</v>
      </c>
      <c r="FW16" s="674">
        <f>IF(AND(AND(Stamoplysninger!$B$26="Der er indgået lokalaftale omkring weekendtimer.(Kræver aftale med TR/FSL) Weekendtillæg afspadseres.",I16="X",C16="ikke relevant")),K16,0)</f>
        <v>0</v>
      </c>
      <c r="FX16" s="283">
        <f>IF(AND(Stamoplysninger!$B$26="Der er indgået lokalaftale omkring weekendtimer(Kræver aftale med TR/FSL). Weekendtillæg udbetales.",I16="X"),K16,0)</f>
        <v>0</v>
      </c>
      <c r="FY16" s="674">
        <f>IF(AND(AND(Stamoplysninger!$B$26="Der er indgået lokalaftale omkring weekendtimer(Kræver aftale med TR/FSL). Weekendtillæg udbetales.",I16="X",C16="ikke relevant")),K16,0)</f>
        <v>0</v>
      </c>
      <c r="FZ16" s="283">
        <f>IF(AND(Stamoplysninger!$B$26="Der er indgået lokalaftale omkring weekendtillæg(Kræver aftale med TR/FSL). Weekendtimerne udbetales.",I16="X"),K16,0)</f>
        <v>0</v>
      </c>
      <c r="GA16" s="674">
        <f>IF(AND(AND(Stamoplysninger!$B$26="Der er indgået lokalaftale omkring weekendtillæg(Kræver aftale med TR/FSL). Weekendtimerne udbetales.",I16="X",C16="ikke relevant")),K16,0)</f>
        <v>0</v>
      </c>
      <c r="GB16" s="283">
        <f>IF(AND(Stamoplysninger!$B$26="Der er indgået lokalaftale omkring weekendtimer og weekendtillæg.(Kræver aftale med TR/FSL).",I16="X"),K16,0)</f>
        <v>0</v>
      </c>
      <c r="GC16" s="674">
        <f>IF(AND(AND(Stamoplysninger!$B$26="Der er indgået lokalaftale omkring weekendtimer og weekendtillæg.(Kræver aftale med TR/FSL).",I16="X",C16="ikke relevant")),K16,0)</f>
        <v>0</v>
      </c>
    </row>
    <row r="17" spans="1:185">
      <c r="A17" s="245">
        <f t="shared" si="18"/>
        <v>9</v>
      </c>
      <c r="B17" s="128" t="str">
        <f t="shared" si="0"/>
        <v>ma</v>
      </c>
      <c r="C17" s="129" t="s">
        <v>206</v>
      </c>
      <c r="D17" s="130">
        <f t="shared" si="1"/>
        <v>37</v>
      </c>
      <c r="E17" s="917"/>
      <c r="F17" s="918"/>
      <c r="G17" s="919"/>
      <c r="H17" s="298"/>
      <c r="I17" s="527"/>
      <c r="J17" s="413"/>
      <c r="K17" s="380"/>
      <c r="L17" s="380"/>
      <c r="M17" s="380"/>
      <c r="N17" s="318">
        <f t="shared" si="19"/>
        <v>7.75</v>
      </c>
      <c r="O17" s="318">
        <f t="shared" si="20"/>
        <v>3.916666666666667</v>
      </c>
      <c r="P17" s="318">
        <f>IF(Stamoplysninger!$H$29="JA",September!DG17,CX17)</f>
        <v>0.83333333333333337</v>
      </c>
      <c r="Q17" s="318">
        <f t="shared" si="21"/>
        <v>2.9999999999999996</v>
      </c>
      <c r="R17" s="319"/>
      <c r="S17" s="324"/>
      <c r="T17" s="325"/>
      <c r="U17" s="325"/>
      <c r="V17" s="435"/>
      <c r="W17" s="435"/>
      <c r="X17" s="644"/>
      <c r="Y17">
        <f t="shared" si="22"/>
        <v>0</v>
      </c>
      <c r="Z17" s="437">
        <f t="shared" si="23"/>
        <v>0</v>
      </c>
      <c r="AA17" s="1">
        <f t="shared" si="2"/>
        <v>0</v>
      </c>
      <c r="AB17" s="1">
        <f t="shared" si="3"/>
        <v>0</v>
      </c>
      <c r="AC17" s="1">
        <f t="shared" si="4"/>
        <v>0</v>
      </c>
      <c r="AD17" s="1">
        <f t="shared" si="5"/>
        <v>0</v>
      </c>
      <c r="AE17" s="1">
        <f t="shared" si="6"/>
        <v>0</v>
      </c>
      <c r="AF17" s="1">
        <f>IF(C17="Orlov",7.4*Stamoplysninger!$E$15,0)</f>
        <v>0</v>
      </c>
      <c r="AG17">
        <f>IF(AND(C17="Skema 1",B17="ma"),Arbejdstidsoversigt!$E$72,"")</f>
        <v>7.75</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4"/>
        <v>7.75</v>
      </c>
      <c r="BB17" s="229">
        <f t="shared" si="7"/>
        <v>186</v>
      </c>
      <c r="BC17" s="1">
        <f t="shared" si="25"/>
        <v>0</v>
      </c>
      <c r="BD17" s="1">
        <f t="shared" si="8"/>
        <v>0</v>
      </c>
      <c r="BE17" s="1">
        <f t="shared" si="9"/>
        <v>0</v>
      </c>
      <c r="BF17" s="1">
        <f t="shared" si="10"/>
        <v>0</v>
      </c>
      <c r="BG17" s="210">
        <f>IF(AND(C17="Skema 1",B17="ma"),Skemaoplysninger!$E$30,"")</f>
        <v>0.16319444444444445</v>
      </c>
      <c r="BH17" s="210" t="str">
        <f>IF(AND(C17="Skema 1",B17="ti"),Skemaoplysninger!$G$30,"")</f>
        <v/>
      </c>
      <c r="BI17" s="210" t="str">
        <f>IF(AND(C17="Skema 1",B17="on"),Skemaoplysninger!$I$30,"")</f>
        <v/>
      </c>
      <c r="BJ17" s="210" t="str">
        <f>IF(AND(C17="Skema 1",B17="to"),Skemaoplysninger!$K$30,"")</f>
        <v/>
      </c>
      <c r="BK17" s="210" t="str">
        <f>IF(AND(C17="Skema 1",B17="fr"),Skemaoplysninger!$M$30,"")</f>
        <v/>
      </c>
      <c r="BL17" s="210" t="str">
        <f>IF(AND(C17="Skema 2",B17="ma"),Skemaoplysninger!$S$30,"")</f>
        <v/>
      </c>
      <c r="BM17" s="210" t="str">
        <f>IF(AND(C17="Skema 2",B17="ti"),Skemaoplysninger!$U$30,"")</f>
        <v/>
      </c>
      <c r="BN17" s="210" t="str">
        <f>IF(AND(C17="Skema 2",B17="on"),Skemaoplysninger!$W$30,"")</f>
        <v/>
      </c>
      <c r="BO17" s="210" t="str">
        <f>IF(AND(C17="Skema 2",B17="to"),Skemaoplysninger!$Y$30,"")</f>
        <v/>
      </c>
      <c r="BP17" s="210" t="str">
        <f>IF(AND(C17="Skema 2",B17="fr"),Skemaoplysninger!$AA$30,"")</f>
        <v/>
      </c>
      <c r="BQ17" s="210" t="str">
        <f>IF(AND(C17="Skema 3",B17="ma"),Skemaoplysninger!$AG$30,"")</f>
        <v/>
      </c>
      <c r="BR17" s="210" t="str">
        <f>IF(AND(C17="Skema 3",B17="ti"),Skemaoplysninger!$AI$30,"")</f>
        <v/>
      </c>
      <c r="BS17" s="210" t="str">
        <f>IF(AND(C17="Skema 3",B17="on"),Skemaoplysninger!$AK$30,"")</f>
        <v/>
      </c>
      <c r="BT17" s="210" t="str">
        <f>IF(AND(C17="Skema 3",B17="to"),Skemaoplysninger!$AM$30,"")</f>
        <v/>
      </c>
      <c r="BU17" s="210" t="str">
        <f>IF(AND(C17="Skema 3",B17="fr"),Skemaoplysninger!$AO$30,"")</f>
        <v/>
      </c>
      <c r="BV17" s="210" t="str">
        <f>IF(AND(C17="Skema 4",B17="ma"),Skemaoplysninger!$AU$30,"")</f>
        <v/>
      </c>
      <c r="BW17" s="210" t="str">
        <f>IF(AND(C17="Skema 4",B17="ti"),Skemaoplysninger!$AW$30,"")</f>
        <v/>
      </c>
      <c r="BX17" s="210" t="str">
        <f>IF(AND(C17="Skema 4",B17="on"),Skemaoplysninger!$AY$30,"")</f>
        <v/>
      </c>
      <c r="BY17" s="210" t="str">
        <f>IF(AND(C17="Skema 4",B17="to"),Skemaoplysninger!$BA$30,"")</f>
        <v/>
      </c>
      <c r="BZ17" s="210" t="str">
        <f>IF(AND(C17="Skema 4",B17="fr"),Skemaoplysninger!$BC$30,"")</f>
        <v/>
      </c>
      <c r="CA17" s="1">
        <f t="shared" si="26"/>
        <v>3.916666666666667</v>
      </c>
      <c r="CB17" s="1">
        <f t="shared" si="11"/>
        <v>0</v>
      </c>
      <c r="CC17" s="1">
        <f t="shared" si="12"/>
        <v>0</v>
      </c>
      <c r="CD17" s="210">
        <f>IF(AND(C17="Skema 1",B17="ma"),Skemaoplysninger!$E$31,"")</f>
        <v>3.4722222222222224E-2</v>
      </c>
      <c r="CE17" s="210" t="str">
        <f>IF(AND(C17="Skema 1",B17="ti"),Skemaoplysninger!$G$31,"")</f>
        <v/>
      </c>
      <c r="CF17" s="210" t="str">
        <f>IF(AND(C17="Skema 1",B17="on"),Skemaoplysninger!$I$31,"")</f>
        <v/>
      </c>
      <c r="CG17" s="210" t="str">
        <f>IF(AND(C17="Skema 1",B17="to"),Skemaoplysninger!$K$31,"")</f>
        <v/>
      </c>
      <c r="CH17" s="210" t="str">
        <f>IF(AND(C17="Skema 1",B17="fr"),Skemaoplysninger!$M$31,"")</f>
        <v/>
      </c>
      <c r="CI17" s="210" t="str">
        <f>IF(AND(C17="Skema 2",B17="ma"),Skemaoplysninger!$S$31,"")</f>
        <v/>
      </c>
      <c r="CJ17" s="210" t="str">
        <f>IF(AND(C17="Skema 2",B17="ti"),Skemaoplysninger!$U$31,"")</f>
        <v/>
      </c>
      <c r="CK17" s="210" t="str">
        <f>IF(AND(C17="Skema 2",B17="on"),Skemaoplysninger!$W$31,"")</f>
        <v/>
      </c>
      <c r="CL17" s="210" t="str">
        <f>IF(AND(C17="Skema 2",B17="to"),Skemaoplysninger!$Y$31,"")</f>
        <v/>
      </c>
      <c r="CM17" s="210" t="str">
        <f>IF(AND(C17="Skema 2",B17="fr"),Skemaoplysninger!$AA$31,"")</f>
        <v/>
      </c>
      <c r="CN17" s="210" t="str">
        <f>IF(AND(C17="Skema 3",B17="ma"),Skemaoplysninger!$AG$31,"")</f>
        <v/>
      </c>
      <c r="CO17" s="210" t="str">
        <f>IF(AND(C17="Skema 3",B17="ti"),Skemaoplysninger!$AI$31,"")</f>
        <v/>
      </c>
      <c r="CP17" s="210" t="str">
        <f>IF(AND(C17="Skema 3",B17="on"),Skemaoplysninger!$AK$31,"")</f>
        <v/>
      </c>
      <c r="CQ17" s="210" t="str">
        <f>IF(AND(C17="Skema 3",B17="to"),Skemaoplysninger!$AM$31,"")</f>
        <v/>
      </c>
      <c r="CR17" s="210" t="str">
        <f>IF(AND(C17="Skema 3",B17="fr"),Skemaoplysninger!$AO$31,"")</f>
        <v/>
      </c>
      <c r="CS17" s="210" t="str">
        <f>IF(AND(C17="Skema 4",B17="ma"),Skemaoplysninger!$AU$31,"")</f>
        <v/>
      </c>
      <c r="CT17" s="210" t="str">
        <f>IF(AND(C17="Skema 4",B17="ti"),Skemaoplysninger!$AW$31,"")</f>
        <v/>
      </c>
      <c r="CU17" s="210" t="str">
        <f>IF(AND(C17="Skema 4",B17="on"),Skemaoplysninger!$AY$31,"")</f>
        <v/>
      </c>
      <c r="CV17" s="210" t="str">
        <f>IF(AND(C17="Skema 4",B17="to"),Skemaoplysninger!$BA$31,"")</f>
        <v/>
      </c>
      <c r="CW17" s="210" t="str">
        <f>IF(AND(C17="Skema 4",B17="fr"),Skemaoplysninger!$BC$31,"")</f>
        <v/>
      </c>
      <c r="CX17" s="249">
        <f>IF(Stamoplysninger!$H$29="NEJ",SUM(CD17:CW17)*24+CB17+CC17,0)</f>
        <v>0.83333333333333337</v>
      </c>
      <c r="CY17" s="249">
        <f>IF(C17="Skema 1",Stamoplysninger!$H$30/200,0)</f>
        <v>0</v>
      </c>
      <c r="CZ17" s="249">
        <f>IF(C17="Skema 2",Stamoplysninger!$H$30/200,0)</f>
        <v>0</v>
      </c>
      <c r="DA17" s="249">
        <f>IF(C17="Skema 3",Stamoplysninger!$H$30/200,0)</f>
        <v>0</v>
      </c>
      <c r="DB17" s="249">
        <f>IF(C17="Skema 4",Stamoplysninger!$H$30/200,0)</f>
        <v>0</v>
      </c>
      <c r="DC17" s="249">
        <f>IF(C17="fagdag",Stamoplysninger!$H$30/200,0)</f>
        <v>0</v>
      </c>
      <c r="DD17" s="249">
        <f>IF(C17="emnedag",Stamoplysninger!$H$30/200,0)</f>
        <v>0</v>
      </c>
      <c r="DE17" s="249">
        <f>IF(C17="lejrskole",Stamoplysninger!$H$30/200,0)</f>
        <v>0</v>
      </c>
      <c r="DF17" s="249">
        <f>IF(C17="ekskursion",Stamoplysninger!$H$30/200,0)</f>
        <v>0</v>
      </c>
      <c r="DG17" s="249">
        <f t="shared" si="27"/>
        <v>0</v>
      </c>
      <c r="DH17" t="str">
        <f t="shared" si="28"/>
        <v/>
      </c>
      <c r="DI17">
        <f t="shared" si="29"/>
        <v>0</v>
      </c>
      <c r="DJ17">
        <f t="shared" si="30"/>
        <v>0</v>
      </c>
      <c r="DK17" t="str">
        <f t="shared" si="13"/>
        <v/>
      </c>
      <c r="DL17" t="str">
        <f t="shared" si="13"/>
        <v/>
      </c>
      <c r="DM17" t="str">
        <f t="shared" si="13"/>
        <v/>
      </c>
      <c r="DN17" t="str">
        <f t="shared" si="31"/>
        <v/>
      </c>
      <c r="DO17" s="652">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71">
        <f>IF(AND(Stamoplysninger!$B$22="Ulempetillæg udbetales med 25% af nettotimelønnen.",C17="ikke relevant"),(R17)/4,0)</f>
        <v>0</v>
      </c>
      <c r="DT17" s="671">
        <f>IF(AND(AND(Stamoplysninger!$B$22="Ulempetillæg udbetales med 25% af nettotimelønnen.",I17="X",C17="Ikke relevant")),K17/4,0)</f>
        <v>0</v>
      </c>
      <c r="DU17" s="671">
        <f>IF(AND(AND(Stamoplysninger!$B$22="Ulempetillæg udbetales med 25% af nettotimelønnen.",C17="ikke relevant",U17="X")),(X17/4),0)</f>
        <v>0</v>
      </c>
      <c r="DV17" s="672">
        <f>IF(AND(AND(AND(Stamoplysninger!$B$22="Ulempetillæg udbetales med 25% af nettotimelønnen.",I17="X",C17="Ikke relevant",S17="X"))),V17/4,0)</f>
        <v>0</v>
      </c>
      <c r="DW17" s="652"/>
      <c r="DZ17" s="671"/>
      <c r="EA17" s="671"/>
      <c r="EB17" s="672"/>
      <c r="EC17" s="652">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71">
        <f>IF(AND(Stamoplysninger!$B$22="Ulempetillæg afspadseres med 25%(Kræver en aftale imellem ledelsen og den ansatte)",C17="ikke relevant"),(R17)/4,0)</f>
        <v>0</v>
      </c>
      <c r="EH17" s="671">
        <f>IF(AND(AND(Stamoplysninger!$B$22="Ulempetillæg afspadseres med 25%(Kræver en aftale imellem ledelsen og den ansatte)",I17="X",C17="Ikke relevant")),K17/4,0)</f>
        <v>0</v>
      </c>
      <c r="EI17" s="671">
        <f>IF(AND(AND(Stamoplysninger!$B$22="Ulempetillæg afspadseres med 25%(Kræver en aftale imellem ledelsen og den ansatte)",U17="X",C17="Ikke relevant")),X17/4,0)</f>
        <v>0</v>
      </c>
      <c r="EJ17" s="671">
        <f>IF(AND(AND(AND(Stamoplysninger!$B$22="Ulempetillæg afspadseres med 25%(Kræver en aftale imellem ledelsen og den ansatte)",I17="X",C17="Ikke relevant",S17="X"))),V17/4,0)</f>
        <v>0</v>
      </c>
      <c r="EK17" s="283">
        <f>IF(AND(Stamoplysninger!$B$26="Weekendtimer og weekendtillæg afspadseres.",I17="X"),K17*1.5,0)</f>
        <v>0</v>
      </c>
      <c r="EL17" s="251">
        <f>IF(AND(AND(Stamoplysninger!$B$26="Weekendtimer og weekendtillæg afspadseres.",I17="X",S17="X")),V17*1.5,0)</f>
        <v>0</v>
      </c>
      <c r="EM17" s="674">
        <f>IF(AND(AND(Stamoplysninger!$B$26="Weekendtimer og weekendtillæg afspadseres.",I17="X",C17="ikke relevant")),K17*1.5,0)</f>
        <v>0</v>
      </c>
      <c r="EN17" s="675">
        <f>IF(AND(AND(AND(Stamoplysninger!$B$26="Weekendtimer og weekendtillæg afspadseres.",I17="X",C17="ikke relevant",S17="X"))),(V17*1.5),0)</f>
        <v>0</v>
      </c>
      <c r="EO17" s="283">
        <f>IF(AND(Stamoplysninger!$B$26="Weekendtimer og weekendtillæg udbetales.",I17="X"),K17*1.5,0)</f>
        <v>0</v>
      </c>
      <c r="EP17" s="251">
        <f>IF(AND(AND(Stamoplysninger!$B$26="Weekendtimer og weekendtillæg udbetales.",I17="X",S17="X")),V17*1.5,0)</f>
        <v>0</v>
      </c>
      <c r="EQ17" s="674">
        <f>IF(AND(AND(Stamoplysninger!$B$26="Weekendtimer og weekendtillæg udbetales.",I17="X",C17="ikke relevant")),K17*1.5,0)</f>
        <v>0</v>
      </c>
      <c r="ER17" s="675">
        <f>IF(AND(AND(AND(Stamoplysninger!$B$26="Weekendtimer og weekendtillæg udbetales.",I17="X",C17="ikke relevant",S17="X"))),(V17*1.5),0)</f>
        <v>0</v>
      </c>
      <c r="ES17" s="283">
        <f>IF(AND(Stamoplysninger!$B$26="Der er indgået lokalaftale omkring weekendtimer.(Kræver aftale med TR/FSL) Weekendtillæg afspadseres.",I17="X"),K17*0.5,0)</f>
        <v>0</v>
      </c>
      <c r="ET17" s="251">
        <f>IF(AND(AND(Stamoplysninger!$B$26="Der er indgået lokalaftale omkring weekendtimer.(Kræver aftale med TR/FSL) Weekendtillæg afspadseres.",I17="X",S17="X")),V17*0.5,0)</f>
        <v>0</v>
      </c>
      <c r="EU17" s="674">
        <f>IF(AND(AND(Stamoplysninger!$B$26="Der er indgået lokalaftale omkring weekendtimer.(Kræver aftale med TR/FSL) Weekendtillæg afspadseres.",I17="X",C17="ikke relevant")),K17*0.5,0)</f>
        <v>0</v>
      </c>
      <c r="EV17" s="675">
        <f>IF(AND(AND(AND(Stamoplysninger!$B$26="Der er indgået lokalaftale omkring weekendtimer.(Kræver aftale med TR/FSL) Weekendtillæg afspadseres.",I17="X",C17="ikke relevant",S17="X"))),(V17*0.5),0)</f>
        <v>0</v>
      </c>
      <c r="EW17" s="283">
        <f>IF(AND(Stamoplysninger!$B$26="Der er indgået lokalaftale omkring weekendtimer(Kræver aftale med TR/FSL). Weekendtillæg udbetales.",I17="X"),K17*0.5,0)</f>
        <v>0</v>
      </c>
      <c r="EX17" s="251">
        <f>IF(AND(AND(Stamoplysninger!$B$26="Der er indgået lokalaftale omkring weekendtimer(Kræver aftale med TR/FSL). Weekendtillæg udbetales.",I17="X",S17="X")),V17*0.5,0)</f>
        <v>0</v>
      </c>
      <c r="EY17" s="674">
        <f>IF(AND(AND(Stamoplysninger!$B$26="Der er indgået lokalaftale omkring weekendtimer(Kræver aftale med TR/FSL). Weekendtillæg udbetales.",I17="X",C17="ikke relevant")),K17*0.5,0)</f>
        <v>0</v>
      </c>
      <c r="EZ17" s="675">
        <f>IF(AND(AND(AND(Stamoplysninger!$B$26="Der er indgået lokalaftale omkring weekendtimer(Kræver aftale med TR/FSL). Weekendtillæg udbetales.",I17="X",C17="ikke relevant",S17="X"))),(V17*0.5),0)</f>
        <v>0</v>
      </c>
      <c r="FA17" s="283">
        <f>IF(AND(Stamoplysninger!$B$26="Der er indgået lokalaftale omkring weekendtillæg(Kræver aftale med TR/FSL). Weekendtimerne afspadseres.",I17="X"),K17,0)</f>
        <v>0</v>
      </c>
      <c r="FB17" s="251">
        <f>IF(AND(AND(Stamoplysninger!$B$26="Der er indgået lokalaftale omkring weekendtillæg(Kræver aftale med TR/FSL). Weekendtimerne afspadseres.",I17="X",S17="X")),V17,0)</f>
        <v>0</v>
      </c>
      <c r="FC17" s="674">
        <f>IF(AND(AND(Stamoplysninger!$B$26="Der er indgået lokalaftale omkring weekendtillæg(Kræver aftale med TR/FSL). Weekendtimerne afspadseres..",I17="X",C17="ikke relevant")),K17,0)</f>
        <v>0</v>
      </c>
      <c r="FD17" s="675">
        <f>IF(AND(AND(AND(Stamoplysninger!$B$26="Der er indgået lokalaftale omkring weekendtillæg(Kræver aftale med TR/FSL). Weekendtimerne afspadseres.",I17="X",C17="ikke relevant",S17="X"))),(V17),0)</f>
        <v>0</v>
      </c>
      <c r="FE17" s="283">
        <f>IF(AND(Stamoplysninger!$B$26="Der er indgået lokalaftale omkring weekendtillæg(Kræver aftale med TR/FSL). Weekendtimerne udbetales.",I17="X"),K17,0)</f>
        <v>0</v>
      </c>
      <c r="FF17" s="251">
        <f>IF(AND(AND(Stamoplysninger!$B$26="Der er indgået lokalaftale omkring weekendtillæg(Kræver aftale med TR/FSL). Weekendtimerne udbetales.",I17="X",S17="X")),V17,0)</f>
        <v>0</v>
      </c>
      <c r="FG17" s="674">
        <f>IF(AND(AND(Stamoplysninger!$B$26="Der er indgået lokalaftale omkring weekendtillæg(Kræver aftale med TR/FSL). Weekendtimerne udbetales.",I17="X",C17="ikke relevant")),K17,0)</f>
        <v>0</v>
      </c>
      <c r="FH17" s="675">
        <f>IF(AND(AND(AND(Stamoplysninger!$B$26="Der er indgået lokalaftale omkring weekendtillæg(Kræver aftale med TR/FSL). Weekendtimerne udbetales.",I17="X",C17="ikke relevant",S17="X"))),(V17),0)</f>
        <v>0</v>
      </c>
      <c r="FI17" s="283">
        <f>IF(AND(Stamoplysninger!$B$26="Weekendtimer og weekendtillæg afspadseres.",I17="X"),K17,0)</f>
        <v>0</v>
      </c>
      <c r="FJ17" s="251">
        <f>IF(AND(Stamoplysninger!$B$26="Weekendtimer og weekendtillæg afspadseres.",Y17="X"),(AA17+AL17)/2,0)</f>
        <v>0</v>
      </c>
      <c r="FK17" s="674">
        <f>IF(AND(AND(Stamoplysninger!$B$26="Weekendtimer og weekendtillæg afspadseres.",I17="X",C17="ikke relevant")),K17,0)</f>
        <v>0</v>
      </c>
      <c r="FL17" s="675">
        <f>IF(AND(AND(Stamoplysninger!$B$26="Weekendtimer og weekendtillæg afspadseres.",Y17="X",S17="ikke relevant")),(AA17+AL17)/2,0)</f>
        <v>0</v>
      </c>
      <c r="FM17" s="283">
        <f>IF(AND(Stamoplysninger!$B$26="Der er indgået lokalaftale omkring weekendtillæg(Kræver aftale med TR/FSL). Weekendtimerne afspadseres.",I17="X"),K17,0)</f>
        <v>0</v>
      </c>
      <c r="FN17" s="674">
        <f>IF(AND(AND(Stamoplysninger!$B$26="Der er indgået lokalaftale omkring weekendtillæg(Kræver aftale med TR/FSL). Weekendtimerne afspadseres.",I17="X",C17="ikke relevant")),K17,0)</f>
        <v>0</v>
      </c>
      <c r="FO17" s="283">
        <f>IF(AND(Stamoplysninger!$B$26="Weekendtimer og weekendtillæg udbetales.",I17="X"),K17,0)</f>
        <v>0</v>
      </c>
      <c r="FP17" s="251">
        <f>IF(AND(Stamoplysninger!$B$26="Weekendtimer og weekendtillæg udbetales.",AA17="X"),(AC17+AN17)/2,0)</f>
        <v>0</v>
      </c>
      <c r="FQ17" s="674">
        <f>IF(AND(AND(Stamoplysninger!$B$26="Weekendtimer og weekendtillæg udbetales.",I17="X",C17="ikke relevant")),K17,0)</f>
        <v>0</v>
      </c>
      <c r="FR17" s="688">
        <f>IF(AND(AND(Stamoplysninger!$B$26="Weekendtimer og weekendtillæg udbetales.",AA17="X",U17="ikke relevant")),(AC17+AN17)/2,0)</f>
        <v>0</v>
      </c>
      <c r="FS17" s="283">
        <f t="shared" si="15"/>
        <v>0</v>
      </c>
      <c r="FT17" s="658">
        <f t="shared" si="16"/>
        <v>0</v>
      </c>
      <c r="FU17">
        <f t="shared" si="17"/>
        <v>0</v>
      </c>
      <c r="FV17" s="283">
        <f>IF(AND(Stamoplysninger!$B$26="Der er indgået lokalaftale omkring weekendtimer.(Kræver aftale med TR/FSL) Weekendtillæg afspadseres.",I17="X"),K17,0)</f>
        <v>0</v>
      </c>
      <c r="FW17" s="674">
        <f>IF(AND(AND(Stamoplysninger!$B$26="Der er indgået lokalaftale omkring weekendtimer.(Kræver aftale med TR/FSL) Weekendtillæg afspadseres.",I17="X",C17="ikke relevant")),K17,0)</f>
        <v>0</v>
      </c>
      <c r="FX17" s="283">
        <f>IF(AND(Stamoplysninger!$B$26="Der er indgået lokalaftale omkring weekendtimer(Kræver aftale med TR/FSL). Weekendtillæg udbetales.",I17="X"),K17,0)</f>
        <v>0</v>
      </c>
      <c r="FY17" s="674">
        <f>IF(AND(AND(Stamoplysninger!$B$26="Der er indgået lokalaftale omkring weekendtimer(Kræver aftale med TR/FSL). Weekendtillæg udbetales.",I17="X",C17="ikke relevant")),K17,0)</f>
        <v>0</v>
      </c>
      <c r="FZ17" s="283">
        <f>IF(AND(Stamoplysninger!$B$26="Der er indgået lokalaftale omkring weekendtillæg(Kræver aftale med TR/FSL). Weekendtimerne udbetales.",I17="X"),K17,0)</f>
        <v>0</v>
      </c>
      <c r="GA17" s="674">
        <f>IF(AND(AND(Stamoplysninger!$B$26="Der er indgået lokalaftale omkring weekendtillæg(Kræver aftale med TR/FSL). Weekendtimerne udbetales.",I17="X",C17="ikke relevant")),K17,0)</f>
        <v>0</v>
      </c>
      <c r="GB17" s="283">
        <f>IF(AND(Stamoplysninger!$B$26="Der er indgået lokalaftale omkring weekendtimer og weekendtillæg.(Kræver aftale med TR/FSL).",I17="X"),K17,0)</f>
        <v>0</v>
      </c>
      <c r="GC17" s="674">
        <f>IF(AND(AND(Stamoplysninger!$B$26="Der er indgået lokalaftale omkring weekendtimer og weekendtillæg.(Kræver aftale med TR/FSL).",I17="X",C17="ikke relevant")),K17,0)</f>
        <v>0</v>
      </c>
    </row>
    <row r="18" spans="1:185">
      <c r="A18" s="245">
        <f t="shared" si="18"/>
        <v>10</v>
      </c>
      <c r="B18" s="128" t="str">
        <f t="shared" si="0"/>
        <v>ti</v>
      </c>
      <c r="C18" s="129" t="s">
        <v>137</v>
      </c>
      <c r="D18" s="130" t="str">
        <f t="shared" si="1"/>
        <v/>
      </c>
      <c r="E18" s="917" t="s">
        <v>698</v>
      </c>
      <c r="F18" s="918"/>
      <c r="G18" s="919"/>
      <c r="H18" s="298"/>
      <c r="I18" s="527"/>
      <c r="J18" s="413"/>
      <c r="K18" s="380">
        <v>17.329999999999998</v>
      </c>
      <c r="L18" s="380">
        <v>6</v>
      </c>
      <c r="M18" s="380"/>
      <c r="N18" s="318">
        <f t="shared" si="19"/>
        <v>17.329999999999998</v>
      </c>
      <c r="O18" s="318">
        <f t="shared" si="20"/>
        <v>6</v>
      </c>
      <c r="P18" s="318">
        <f>IF(Stamoplysninger!$H$29="JA",September!DG18,CX18)</f>
        <v>0</v>
      </c>
      <c r="Q18" s="318">
        <f t="shared" si="21"/>
        <v>0</v>
      </c>
      <c r="R18" s="319"/>
      <c r="S18" s="324"/>
      <c r="T18" s="325"/>
      <c r="U18" s="325"/>
      <c r="V18" s="435"/>
      <c r="W18" s="435"/>
      <c r="X18" s="644"/>
      <c r="Y18">
        <f t="shared" si="22"/>
        <v>0</v>
      </c>
      <c r="Z18" s="437">
        <f t="shared" si="23"/>
        <v>0</v>
      </c>
      <c r="AA18" s="1">
        <f t="shared" si="2"/>
        <v>0</v>
      </c>
      <c r="AB18" s="1">
        <f t="shared" si="3"/>
        <v>0</v>
      </c>
      <c r="AC18" s="1">
        <f t="shared" si="4"/>
        <v>0</v>
      </c>
      <c r="AD18" s="1">
        <f t="shared" si="5"/>
        <v>0</v>
      </c>
      <c r="AE18" s="1">
        <f t="shared" si="6"/>
        <v>17.329999999999998</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4"/>
        <v>17.329999999999998</v>
      </c>
      <c r="BB18" s="229">
        <f t="shared" si="7"/>
        <v>0</v>
      </c>
      <c r="BC18" s="1">
        <f t="shared" si="25"/>
        <v>6</v>
      </c>
      <c r="BD18" s="1">
        <f t="shared" si="8"/>
        <v>0</v>
      </c>
      <c r="BE18" s="1">
        <f t="shared" si="9"/>
        <v>0</v>
      </c>
      <c r="BF18" s="1">
        <f t="shared" si="10"/>
        <v>0</v>
      </c>
      <c r="BG18" s="210" t="str">
        <f>IF(AND(C18="Skema 1",B18="ma"),Skemaoplysninger!$E$30,"")</f>
        <v/>
      </c>
      <c r="BH18" s="210" t="str">
        <f>IF(AND(C18="Skema 1",B18="ti"),Skemaoplysninger!$G$30,"")</f>
        <v/>
      </c>
      <c r="BI18" s="210" t="str">
        <f>IF(AND(C18="Skema 1",B18="on"),Skemaoplysninger!$I$30,"")</f>
        <v/>
      </c>
      <c r="BJ18" s="210" t="str">
        <f>IF(AND(C18="Skema 1",B18="to"),Skemaoplysninger!$K$30,"")</f>
        <v/>
      </c>
      <c r="BK18" s="210" t="str">
        <f>IF(AND(C18="Skema 1",B18="fr"),Skemaoplysninger!$M$30,"")</f>
        <v/>
      </c>
      <c r="BL18" s="210" t="str">
        <f>IF(AND(C18="Skema 2",B18="ma"),Skemaoplysninger!$S$30,"")</f>
        <v/>
      </c>
      <c r="BM18" s="210" t="str">
        <f>IF(AND(C18="Skema 2",B18="ti"),Skemaoplysninger!$U$30,"")</f>
        <v/>
      </c>
      <c r="BN18" s="210" t="str">
        <f>IF(AND(C18="Skema 2",B18="on"),Skemaoplysninger!$W$30,"")</f>
        <v/>
      </c>
      <c r="BO18" s="210" t="str">
        <f>IF(AND(C18="Skema 2",B18="to"),Skemaoplysninger!$Y$30,"")</f>
        <v/>
      </c>
      <c r="BP18" s="210" t="str">
        <f>IF(AND(C18="Skema 2",B18="fr"),Skemaoplysninger!$AA$30,"")</f>
        <v/>
      </c>
      <c r="BQ18" s="210" t="str">
        <f>IF(AND(C18="Skema 3",B18="ma"),Skemaoplysninger!$AG$30,"")</f>
        <v/>
      </c>
      <c r="BR18" s="210" t="str">
        <f>IF(AND(C18="Skema 3",B18="ti"),Skemaoplysninger!$AI$30,"")</f>
        <v/>
      </c>
      <c r="BS18" s="210" t="str">
        <f>IF(AND(C18="Skema 3",B18="on"),Skemaoplysninger!$AK$30,"")</f>
        <v/>
      </c>
      <c r="BT18" s="210" t="str">
        <f>IF(AND(C18="Skema 3",B18="to"),Skemaoplysninger!$AM$30,"")</f>
        <v/>
      </c>
      <c r="BU18" s="210" t="str">
        <f>IF(AND(C18="Skema 3",B18="fr"),Skemaoplysninger!$AO$30,"")</f>
        <v/>
      </c>
      <c r="BV18" s="210" t="str">
        <f>IF(AND(C18="Skema 4",B18="ma"),Skemaoplysninger!$AU$30,"")</f>
        <v/>
      </c>
      <c r="BW18" s="210" t="str">
        <f>IF(AND(C18="Skema 4",B18="ti"),Skemaoplysninger!$AW$30,"")</f>
        <v/>
      </c>
      <c r="BX18" s="210" t="str">
        <f>IF(AND(C18="Skema 4",B18="on"),Skemaoplysninger!$AY$30,"")</f>
        <v/>
      </c>
      <c r="BY18" s="210" t="str">
        <f>IF(AND(C18="Skema 4",B18="to"),Skemaoplysninger!$BA$30,"")</f>
        <v/>
      </c>
      <c r="BZ18" s="210" t="str">
        <f>IF(AND(C18="Skema 4",B18="fr"),Skemaoplysninger!$BC$30,"")</f>
        <v/>
      </c>
      <c r="CA18" s="1">
        <f t="shared" si="26"/>
        <v>6</v>
      </c>
      <c r="CB18" s="1">
        <f t="shared" si="11"/>
        <v>0</v>
      </c>
      <c r="CC18" s="1">
        <f t="shared" si="12"/>
        <v>0</v>
      </c>
      <c r="CD18" s="210" t="str">
        <f>IF(AND(C18="Skema 1",B18="ma"),Skemaoplysninger!$E$31,"")</f>
        <v/>
      </c>
      <c r="CE18" s="210" t="str">
        <f>IF(AND(C18="Skema 1",B18="ti"),Skemaoplysninger!$G$31,"")</f>
        <v/>
      </c>
      <c r="CF18" s="210" t="str">
        <f>IF(AND(C18="Skema 1",B18="on"),Skemaoplysninger!$I$31,"")</f>
        <v/>
      </c>
      <c r="CG18" s="210" t="str">
        <f>IF(AND(C18="Skema 1",B18="to"),Skemaoplysninger!$K$31,"")</f>
        <v/>
      </c>
      <c r="CH18" s="210" t="str">
        <f>IF(AND(C18="Skema 1",B18="fr"),Skemaoplysninger!$M$31,"")</f>
        <v/>
      </c>
      <c r="CI18" s="210" t="str">
        <f>IF(AND(C18="Skema 2",B18="ma"),Skemaoplysninger!$S$31,"")</f>
        <v/>
      </c>
      <c r="CJ18" s="210" t="str">
        <f>IF(AND(C18="Skema 2",B18="ti"),Skemaoplysninger!$U$31,"")</f>
        <v/>
      </c>
      <c r="CK18" s="210" t="str">
        <f>IF(AND(C18="Skema 2",B18="on"),Skemaoplysninger!$W$31,"")</f>
        <v/>
      </c>
      <c r="CL18" s="210" t="str">
        <f>IF(AND(C18="Skema 2",B18="to"),Skemaoplysninger!$Y$31,"")</f>
        <v/>
      </c>
      <c r="CM18" s="210" t="str">
        <f>IF(AND(C18="Skema 2",B18="fr"),Skemaoplysninger!$AA$31,"")</f>
        <v/>
      </c>
      <c r="CN18" s="210" t="str">
        <f>IF(AND(C18="Skema 3",B18="ma"),Skemaoplysninger!$AG$31,"")</f>
        <v/>
      </c>
      <c r="CO18" s="210" t="str">
        <f>IF(AND(C18="Skema 3",B18="ti"),Skemaoplysninger!$AI$31,"")</f>
        <v/>
      </c>
      <c r="CP18" s="210" t="str">
        <f>IF(AND(C18="Skema 3",B18="on"),Skemaoplysninger!$AK$31,"")</f>
        <v/>
      </c>
      <c r="CQ18" s="210" t="str">
        <f>IF(AND(C18="Skema 3",B18="to"),Skemaoplysninger!$AM$31,"")</f>
        <v/>
      </c>
      <c r="CR18" s="210" t="str">
        <f>IF(AND(C18="Skema 3",B18="fr"),Skemaoplysninger!$AO$31,"")</f>
        <v/>
      </c>
      <c r="CS18" s="210" t="str">
        <f>IF(AND(C18="Skema 4",B18="ma"),Skemaoplysninger!$AU$31,"")</f>
        <v/>
      </c>
      <c r="CT18" s="210" t="str">
        <f>IF(AND(C18="Skema 4",B18="ti"),Skemaoplysninger!$AW$31,"")</f>
        <v/>
      </c>
      <c r="CU18" s="210" t="str">
        <f>IF(AND(C18="Skema 4",B18="on"),Skemaoplysninger!$AY$31,"")</f>
        <v/>
      </c>
      <c r="CV18" s="210" t="str">
        <f>IF(AND(C18="Skema 4",B18="to"),Skemaoplysninger!$BA$31,"")</f>
        <v/>
      </c>
      <c r="CW18" s="210" t="str">
        <f>IF(AND(C18="Skema 4",B18="fr"),Skemaoplysninger!$BC$31,"")</f>
        <v/>
      </c>
      <c r="CX18" s="249">
        <f>IF(Stamoplysninger!$H$29="NEJ",SUM(CD18:CW18)*24+CB18+CC18,0)</f>
        <v>0</v>
      </c>
      <c r="CY18" s="249">
        <f>IF(C18="Skema 1",Stamoplysninger!$H$30/200,0)</f>
        <v>0</v>
      </c>
      <c r="CZ18" s="249">
        <f>IF(C18="Skema 2",Stamoplysninger!$H$30/200,0)</f>
        <v>0</v>
      </c>
      <c r="DA18" s="249">
        <f>IF(C18="Skema 3",Stamoplysninger!$H$30/200,0)</f>
        <v>0</v>
      </c>
      <c r="DB18" s="249">
        <f>IF(C18="Skema 4",Stamoplysninger!$H$30/200,0)</f>
        <v>0</v>
      </c>
      <c r="DC18" s="249">
        <f>IF(C18="fagdag",Stamoplysninger!$H$30/200,0)</f>
        <v>0</v>
      </c>
      <c r="DD18" s="249">
        <f>IF(C18="emnedag",Stamoplysninger!$H$30/200,0)</f>
        <v>0</v>
      </c>
      <c r="DE18" s="249">
        <f>IF(C18="lejrskole",Stamoplysninger!$H$30/200,0)</f>
        <v>0</v>
      </c>
      <c r="DF18" s="249">
        <f>IF(C18="ekskursion",Stamoplysninger!$H$30/200,0)</f>
        <v>0</v>
      </c>
      <c r="DG18" s="249">
        <f t="shared" si="27"/>
        <v>0</v>
      </c>
      <c r="DH18" t="str">
        <f t="shared" si="28"/>
        <v/>
      </c>
      <c r="DI18" t="str">
        <f t="shared" si="29"/>
        <v>Skolebyt - afgang kl. 08:00</v>
      </c>
      <c r="DJ18" t="str">
        <f t="shared" si="30"/>
        <v/>
      </c>
      <c r="DK18" t="str">
        <f t="shared" si="13"/>
        <v/>
      </c>
      <c r="DL18" t="str">
        <f t="shared" si="13"/>
        <v>Skolebyt - afgang kl. 08:00</v>
      </c>
      <c r="DM18" t="str">
        <f t="shared" si="13"/>
        <v/>
      </c>
      <c r="DN18" t="str">
        <f t="shared" si="31"/>
        <v>Skolebyt - afgang kl. 08:00</v>
      </c>
      <c r="DO18" s="652">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71">
        <f>IF(AND(Stamoplysninger!$B$22="Ulempetillæg udbetales med 25% af nettotimelønnen.",C18="ikke relevant"),(R18)/4,0)</f>
        <v>0</v>
      </c>
      <c r="DT18" s="671">
        <f>IF(AND(AND(Stamoplysninger!$B$22="Ulempetillæg udbetales med 25% af nettotimelønnen.",I18="X",C18="Ikke relevant")),K18/4,0)</f>
        <v>0</v>
      </c>
      <c r="DU18" s="671">
        <f>IF(AND(AND(Stamoplysninger!$B$22="Ulempetillæg udbetales med 25% af nettotimelønnen.",C18="ikke relevant",U18="X")),(X18/4),0)</f>
        <v>0</v>
      </c>
      <c r="DV18" s="672">
        <f>IF(AND(AND(AND(Stamoplysninger!$B$22="Ulempetillæg udbetales med 25% af nettotimelønnen.",I18="X",C18="Ikke relevant",S18="X"))),V18/4,0)</f>
        <v>0</v>
      </c>
      <c r="DW18" s="652"/>
      <c r="DZ18" s="671"/>
      <c r="EA18" s="671"/>
      <c r="EB18" s="672"/>
      <c r="EC18" s="652">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71">
        <f>IF(AND(Stamoplysninger!$B$22="Ulempetillæg afspadseres med 25%(Kræver en aftale imellem ledelsen og den ansatte)",C18="ikke relevant"),(R18)/4,0)</f>
        <v>0</v>
      </c>
      <c r="EH18" s="671">
        <f>IF(AND(AND(Stamoplysninger!$B$22="Ulempetillæg afspadseres med 25%(Kræver en aftale imellem ledelsen og den ansatte)",I18="X",C18="Ikke relevant")),K18/4,0)</f>
        <v>0</v>
      </c>
      <c r="EI18" s="671">
        <f>IF(AND(AND(Stamoplysninger!$B$22="Ulempetillæg afspadseres med 25%(Kræver en aftale imellem ledelsen og den ansatte)",U18="X",C18="Ikke relevant")),X18/4,0)</f>
        <v>0</v>
      </c>
      <c r="EJ18" s="671">
        <f>IF(AND(AND(AND(Stamoplysninger!$B$22="Ulempetillæg afspadseres med 25%(Kræver en aftale imellem ledelsen og den ansatte)",I18="X",C18="Ikke relevant",S18="X"))),V18/4,0)</f>
        <v>0</v>
      </c>
      <c r="EK18" s="283">
        <f>IF(AND(Stamoplysninger!$B$26="Weekendtimer og weekendtillæg afspadseres.",I18="X"),K18*1.5,0)</f>
        <v>0</v>
      </c>
      <c r="EL18" s="251">
        <f>IF(AND(AND(Stamoplysninger!$B$26="Weekendtimer og weekendtillæg afspadseres.",I18="X",S18="X")),V18*1.5,0)</f>
        <v>0</v>
      </c>
      <c r="EM18" s="674">
        <f>IF(AND(AND(Stamoplysninger!$B$26="Weekendtimer og weekendtillæg afspadseres.",I18="X",C18="ikke relevant")),K18*1.5,0)</f>
        <v>0</v>
      </c>
      <c r="EN18" s="675">
        <f>IF(AND(AND(AND(Stamoplysninger!$B$26="Weekendtimer og weekendtillæg afspadseres.",I18="X",C18="ikke relevant",S18="X"))),(V18*1.5),0)</f>
        <v>0</v>
      </c>
      <c r="EO18" s="283">
        <f>IF(AND(Stamoplysninger!$B$26="Weekendtimer og weekendtillæg udbetales.",I18="X"),K18*1.5,0)</f>
        <v>0</v>
      </c>
      <c r="EP18" s="251">
        <f>IF(AND(AND(Stamoplysninger!$B$26="Weekendtimer og weekendtillæg udbetales.",I18="X",S18="X")),V18*1.5,0)</f>
        <v>0</v>
      </c>
      <c r="EQ18" s="674">
        <f>IF(AND(AND(Stamoplysninger!$B$26="Weekendtimer og weekendtillæg udbetales.",I18="X",C18="ikke relevant")),K18*1.5,0)</f>
        <v>0</v>
      </c>
      <c r="ER18" s="675">
        <f>IF(AND(AND(AND(Stamoplysninger!$B$26="Weekendtimer og weekendtillæg udbetales.",I18="X",C18="ikke relevant",S18="X"))),(V18*1.5),0)</f>
        <v>0</v>
      </c>
      <c r="ES18" s="283">
        <f>IF(AND(Stamoplysninger!$B$26="Der er indgået lokalaftale omkring weekendtimer.(Kræver aftale med TR/FSL) Weekendtillæg afspadseres.",I18="X"),K18*0.5,0)</f>
        <v>0</v>
      </c>
      <c r="ET18" s="251">
        <f>IF(AND(AND(Stamoplysninger!$B$26="Der er indgået lokalaftale omkring weekendtimer.(Kræver aftale med TR/FSL) Weekendtillæg afspadseres.",I18="X",S18="X")),V18*0.5,0)</f>
        <v>0</v>
      </c>
      <c r="EU18" s="674">
        <f>IF(AND(AND(Stamoplysninger!$B$26="Der er indgået lokalaftale omkring weekendtimer.(Kræver aftale med TR/FSL) Weekendtillæg afspadseres.",I18="X",C18="ikke relevant")),K18*0.5,0)</f>
        <v>0</v>
      </c>
      <c r="EV18" s="675">
        <f>IF(AND(AND(AND(Stamoplysninger!$B$26="Der er indgået lokalaftale omkring weekendtimer.(Kræver aftale med TR/FSL) Weekendtillæg afspadseres.",I18="X",C18="ikke relevant",S18="X"))),(V18*0.5),0)</f>
        <v>0</v>
      </c>
      <c r="EW18" s="283">
        <f>IF(AND(Stamoplysninger!$B$26="Der er indgået lokalaftale omkring weekendtimer(Kræver aftale med TR/FSL). Weekendtillæg udbetales.",I18="X"),K18*0.5,0)</f>
        <v>0</v>
      </c>
      <c r="EX18" s="251">
        <f>IF(AND(AND(Stamoplysninger!$B$26="Der er indgået lokalaftale omkring weekendtimer(Kræver aftale med TR/FSL). Weekendtillæg udbetales.",I18="X",S18="X")),V18*0.5,0)</f>
        <v>0</v>
      </c>
      <c r="EY18" s="674">
        <f>IF(AND(AND(Stamoplysninger!$B$26="Der er indgået lokalaftale omkring weekendtimer(Kræver aftale med TR/FSL). Weekendtillæg udbetales.",I18="X",C18="ikke relevant")),K18*0.5,0)</f>
        <v>0</v>
      </c>
      <c r="EZ18" s="675">
        <f>IF(AND(AND(AND(Stamoplysninger!$B$26="Der er indgået lokalaftale omkring weekendtimer(Kræver aftale med TR/FSL). Weekendtillæg udbetales.",I18="X",C18="ikke relevant",S18="X"))),(V18*0.5),0)</f>
        <v>0</v>
      </c>
      <c r="FA18" s="283">
        <f>IF(AND(Stamoplysninger!$B$26="Der er indgået lokalaftale omkring weekendtillæg(Kræver aftale med TR/FSL). Weekendtimerne afspadseres.",I18="X"),K18,0)</f>
        <v>0</v>
      </c>
      <c r="FB18" s="251">
        <f>IF(AND(AND(Stamoplysninger!$B$26="Der er indgået lokalaftale omkring weekendtillæg(Kræver aftale med TR/FSL). Weekendtimerne afspadseres.",I18="X",S18="X")),V18,0)</f>
        <v>0</v>
      </c>
      <c r="FC18" s="674">
        <f>IF(AND(AND(Stamoplysninger!$B$26="Der er indgået lokalaftale omkring weekendtillæg(Kræver aftale med TR/FSL). Weekendtimerne afspadseres..",I18="X",C18="ikke relevant")),K18,0)</f>
        <v>0</v>
      </c>
      <c r="FD18" s="675">
        <f>IF(AND(AND(AND(Stamoplysninger!$B$26="Der er indgået lokalaftale omkring weekendtillæg(Kræver aftale med TR/FSL). Weekendtimerne afspadseres.",I18="X",C18="ikke relevant",S18="X"))),(V18),0)</f>
        <v>0</v>
      </c>
      <c r="FE18" s="283">
        <f>IF(AND(Stamoplysninger!$B$26="Der er indgået lokalaftale omkring weekendtillæg(Kræver aftale med TR/FSL). Weekendtimerne udbetales.",I18="X"),K18,0)</f>
        <v>0</v>
      </c>
      <c r="FF18" s="251">
        <f>IF(AND(AND(Stamoplysninger!$B$26="Der er indgået lokalaftale omkring weekendtillæg(Kræver aftale med TR/FSL). Weekendtimerne udbetales.",I18="X",S18="X")),V18,0)</f>
        <v>0</v>
      </c>
      <c r="FG18" s="674">
        <f>IF(AND(AND(Stamoplysninger!$B$26="Der er indgået lokalaftale omkring weekendtillæg(Kræver aftale med TR/FSL). Weekendtimerne udbetales.",I18="X",C18="ikke relevant")),K18,0)</f>
        <v>0</v>
      </c>
      <c r="FH18" s="675">
        <f>IF(AND(AND(AND(Stamoplysninger!$B$26="Der er indgået lokalaftale omkring weekendtillæg(Kræver aftale med TR/FSL). Weekendtimerne udbetales.",I18="X",C18="ikke relevant",S18="X"))),(V18),0)</f>
        <v>0</v>
      </c>
      <c r="FI18" s="283">
        <f>IF(AND(Stamoplysninger!$B$26="Weekendtimer og weekendtillæg afspadseres.",I18="X"),K18,0)</f>
        <v>0</v>
      </c>
      <c r="FJ18" s="251">
        <f>IF(AND(Stamoplysninger!$B$26="Weekendtimer og weekendtillæg afspadseres.",Y18="X"),(AA18+AL18)/2,0)</f>
        <v>0</v>
      </c>
      <c r="FK18" s="674">
        <f>IF(AND(AND(Stamoplysninger!$B$26="Weekendtimer og weekendtillæg afspadseres.",I18="X",C18="ikke relevant")),K18,0)</f>
        <v>0</v>
      </c>
      <c r="FL18" s="675">
        <f>IF(AND(AND(Stamoplysninger!$B$26="Weekendtimer og weekendtillæg afspadseres.",Y18="X",S18="ikke relevant")),(AA18+AL18)/2,0)</f>
        <v>0</v>
      </c>
      <c r="FM18" s="283">
        <f>IF(AND(Stamoplysninger!$B$26="Der er indgået lokalaftale omkring weekendtillæg(Kræver aftale med TR/FSL). Weekendtimerne afspadseres.",I18="X"),K18,0)</f>
        <v>0</v>
      </c>
      <c r="FN18" s="674">
        <f>IF(AND(AND(Stamoplysninger!$B$26="Der er indgået lokalaftale omkring weekendtillæg(Kræver aftale med TR/FSL). Weekendtimerne afspadseres.",I18="X",C18="ikke relevant")),K18,0)</f>
        <v>0</v>
      </c>
      <c r="FO18" s="283">
        <f>IF(AND(Stamoplysninger!$B$26="Weekendtimer og weekendtillæg udbetales.",I18="X"),K18,0)</f>
        <v>0</v>
      </c>
      <c r="FP18" s="251">
        <f>IF(AND(Stamoplysninger!$B$26="Weekendtimer og weekendtillæg udbetales.",AA18="X"),(AC18+AN18)/2,0)</f>
        <v>0</v>
      </c>
      <c r="FQ18" s="674">
        <f>IF(AND(AND(Stamoplysninger!$B$26="Weekendtimer og weekendtillæg udbetales.",I18="X",C18="ikke relevant")),K18,0)</f>
        <v>0</v>
      </c>
      <c r="FR18" s="688">
        <f>IF(AND(AND(Stamoplysninger!$B$26="Weekendtimer og weekendtillæg udbetales.",AA18="X",U18="ikke relevant")),(AC18+AN18)/2,0)</f>
        <v>0</v>
      </c>
      <c r="FS18" s="283">
        <f t="shared" si="15"/>
        <v>0</v>
      </c>
      <c r="FT18" s="658">
        <f t="shared" si="16"/>
        <v>0</v>
      </c>
      <c r="FU18">
        <f t="shared" si="17"/>
        <v>0</v>
      </c>
      <c r="FV18" s="283">
        <f>IF(AND(Stamoplysninger!$B$26="Der er indgået lokalaftale omkring weekendtimer.(Kræver aftale med TR/FSL) Weekendtillæg afspadseres.",I18="X"),K18,0)</f>
        <v>0</v>
      </c>
      <c r="FW18" s="674">
        <f>IF(AND(AND(Stamoplysninger!$B$26="Der er indgået lokalaftale omkring weekendtimer.(Kræver aftale med TR/FSL) Weekendtillæg afspadseres.",I18="X",C18="ikke relevant")),K18,0)</f>
        <v>0</v>
      </c>
      <c r="FX18" s="283">
        <f>IF(AND(Stamoplysninger!$B$26="Der er indgået lokalaftale omkring weekendtimer(Kræver aftale med TR/FSL). Weekendtillæg udbetales.",I18="X"),K18,0)</f>
        <v>0</v>
      </c>
      <c r="FY18" s="674">
        <f>IF(AND(AND(Stamoplysninger!$B$26="Der er indgået lokalaftale omkring weekendtimer(Kræver aftale med TR/FSL). Weekendtillæg udbetales.",I18="X",C18="ikke relevant")),K18,0)</f>
        <v>0</v>
      </c>
      <c r="FZ18" s="283">
        <f>IF(AND(Stamoplysninger!$B$26="Der er indgået lokalaftale omkring weekendtillæg(Kræver aftale med TR/FSL). Weekendtimerne udbetales.",I18="X"),K18,0)</f>
        <v>0</v>
      </c>
      <c r="GA18" s="674">
        <f>IF(AND(AND(Stamoplysninger!$B$26="Der er indgået lokalaftale omkring weekendtillæg(Kræver aftale med TR/FSL). Weekendtimerne udbetales.",I18="X",C18="ikke relevant")),K18,0)</f>
        <v>0</v>
      </c>
      <c r="GB18" s="283">
        <f>IF(AND(Stamoplysninger!$B$26="Der er indgået lokalaftale omkring weekendtimer og weekendtillæg.(Kræver aftale med TR/FSL).",I18="X"),K18,0)</f>
        <v>0</v>
      </c>
      <c r="GC18" s="674">
        <f>IF(AND(AND(Stamoplysninger!$B$26="Der er indgået lokalaftale omkring weekendtimer og weekendtillæg.(Kræver aftale med TR/FSL).",I18="X",C18="ikke relevant")),K18,0)</f>
        <v>0</v>
      </c>
    </row>
    <row r="19" spans="1:185">
      <c r="A19" s="245">
        <f t="shared" si="18"/>
        <v>11</v>
      </c>
      <c r="B19" s="128" t="str">
        <f t="shared" si="0"/>
        <v>on</v>
      </c>
      <c r="C19" s="129" t="s">
        <v>137</v>
      </c>
      <c r="D19" s="130" t="str">
        <f t="shared" si="1"/>
        <v/>
      </c>
      <c r="E19" s="917" t="s">
        <v>699</v>
      </c>
      <c r="F19" s="918"/>
      <c r="G19" s="919"/>
      <c r="H19" s="298"/>
      <c r="I19" s="527"/>
      <c r="J19" s="413"/>
      <c r="K19" s="380">
        <v>17.329999999999998</v>
      </c>
      <c r="L19" s="380">
        <v>6</v>
      </c>
      <c r="M19" s="380"/>
      <c r="N19" s="318">
        <f t="shared" si="19"/>
        <v>17.329999999999998</v>
      </c>
      <c r="O19" s="318">
        <f t="shared" si="20"/>
        <v>6</v>
      </c>
      <c r="P19" s="318">
        <f>IF(Stamoplysninger!$H$29="JA",September!DG19,CX19)</f>
        <v>0</v>
      </c>
      <c r="Q19" s="318">
        <f t="shared" si="21"/>
        <v>0</v>
      </c>
      <c r="R19" s="319"/>
      <c r="S19" s="324"/>
      <c r="T19" s="325"/>
      <c r="U19" s="325"/>
      <c r="V19" s="435"/>
      <c r="W19" s="435"/>
      <c r="X19" s="644"/>
      <c r="Y19">
        <f t="shared" si="22"/>
        <v>0</v>
      </c>
      <c r="Z19" s="437">
        <f t="shared" si="23"/>
        <v>0</v>
      </c>
      <c r="AA19" s="1">
        <f t="shared" si="2"/>
        <v>0</v>
      </c>
      <c r="AB19" s="1">
        <f t="shared" si="3"/>
        <v>0</v>
      </c>
      <c r="AC19" s="1">
        <f t="shared" si="4"/>
        <v>0</v>
      </c>
      <c r="AD19" s="1">
        <f t="shared" si="5"/>
        <v>0</v>
      </c>
      <c r="AE19" s="1">
        <f t="shared" si="6"/>
        <v>17.329999999999998</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4"/>
        <v>17.329999999999998</v>
      </c>
      <c r="BB19" s="229">
        <f t="shared" si="7"/>
        <v>0</v>
      </c>
      <c r="BC19" s="1">
        <f t="shared" si="25"/>
        <v>6</v>
      </c>
      <c r="BD19" s="1">
        <f t="shared" si="8"/>
        <v>0</v>
      </c>
      <c r="BE19" s="1">
        <f t="shared" si="9"/>
        <v>0</v>
      </c>
      <c r="BF19" s="1">
        <f t="shared" si="10"/>
        <v>0</v>
      </c>
      <c r="BG19" s="210" t="str">
        <f>IF(AND(C19="Skema 1",B19="ma"),Skemaoplysninger!$E$30,"")</f>
        <v/>
      </c>
      <c r="BH19" s="210" t="str">
        <f>IF(AND(C19="Skema 1",B19="ti"),Skemaoplysninger!$G$30,"")</f>
        <v/>
      </c>
      <c r="BI19" s="210" t="str">
        <f>IF(AND(C19="Skema 1",B19="on"),Skemaoplysninger!$I$30,"")</f>
        <v/>
      </c>
      <c r="BJ19" s="210" t="str">
        <f>IF(AND(C19="Skema 1",B19="to"),Skemaoplysninger!$K$30,"")</f>
        <v/>
      </c>
      <c r="BK19" s="210" t="str">
        <f>IF(AND(C19="Skema 1",B19="fr"),Skemaoplysninger!$M$30,"")</f>
        <v/>
      </c>
      <c r="BL19" s="210" t="str">
        <f>IF(AND(C19="Skema 2",B19="ma"),Skemaoplysninger!$S$30,"")</f>
        <v/>
      </c>
      <c r="BM19" s="210" t="str">
        <f>IF(AND(C19="Skema 2",B19="ti"),Skemaoplysninger!$U$30,"")</f>
        <v/>
      </c>
      <c r="BN19" s="210" t="str">
        <f>IF(AND(C19="Skema 2",B19="on"),Skemaoplysninger!$W$30,"")</f>
        <v/>
      </c>
      <c r="BO19" s="210" t="str">
        <f>IF(AND(C19="Skema 2",B19="to"),Skemaoplysninger!$Y$30,"")</f>
        <v/>
      </c>
      <c r="BP19" s="210" t="str">
        <f>IF(AND(C19="Skema 2",B19="fr"),Skemaoplysninger!$AA$30,"")</f>
        <v/>
      </c>
      <c r="BQ19" s="210" t="str">
        <f>IF(AND(C19="Skema 3",B19="ma"),Skemaoplysninger!$AG$30,"")</f>
        <v/>
      </c>
      <c r="BR19" s="210" t="str">
        <f>IF(AND(C19="Skema 3",B19="ti"),Skemaoplysninger!$AI$30,"")</f>
        <v/>
      </c>
      <c r="BS19" s="210" t="str">
        <f>IF(AND(C19="Skema 3",B19="on"),Skemaoplysninger!$AK$30,"")</f>
        <v/>
      </c>
      <c r="BT19" s="210" t="str">
        <f>IF(AND(C19="Skema 3",B19="to"),Skemaoplysninger!$AM$30,"")</f>
        <v/>
      </c>
      <c r="BU19" s="210" t="str">
        <f>IF(AND(C19="Skema 3",B19="fr"),Skemaoplysninger!$AO$30,"")</f>
        <v/>
      </c>
      <c r="BV19" s="210" t="str">
        <f>IF(AND(C19="Skema 4",B19="ma"),Skemaoplysninger!$AU$30,"")</f>
        <v/>
      </c>
      <c r="BW19" s="210" t="str">
        <f>IF(AND(C19="Skema 4",B19="ti"),Skemaoplysninger!$AW$30,"")</f>
        <v/>
      </c>
      <c r="BX19" s="210" t="str">
        <f>IF(AND(C19="Skema 4",B19="on"),Skemaoplysninger!$AY$30,"")</f>
        <v/>
      </c>
      <c r="BY19" s="210" t="str">
        <f>IF(AND(C19="Skema 4",B19="to"),Skemaoplysninger!$BA$30,"")</f>
        <v/>
      </c>
      <c r="BZ19" s="210" t="str">
        <f>IF(AND(C19="Skema 4",B19="fr"),Skemaoplysninger!$BC$30,"")</f>
        <v/>
      </c>
      <c r="CA19" s="1">
        <f t="shared" si="26"/>
        <v>6</v>
      </c>
      <c r="CB19" s="1">
        <f t="shared" si="11"/>
        <v>0</v>
      </c>
      <c r="CC19" s="1">
        <f t="shared" si="12"/>
        <v>0</v>
      </c>
      <c r="CD19" s="210" t="str">
        <f>IF(AND(C19="Skema 1",B19="ma"),Skemaoplysninger!$E$31,"")</f>
        <v/>
      </c>
      <c r="CE19" s="210" t="str">
        <f>IF(AND(C19="Skema 1",B19="ti"),Skemaoplysninger!$G$31,"")</f>
        <v/>
      </c>
      <c r="CF19" s="210" t="str">
        <f>IF(AND(C19="Skema 1",B19="on"),Skemaoplysninger!$I$31,"")</f>
        <v/>
      </c>
      <c r="CG19" s="210" t="str">
        <f>IF(AND(C19="Skema 1",B19="to"),Skemaoplysninger!$K$31,"")</f>
        <v/>
      </c>
      <c r="CH19" s="210" t="str">
        <f>IF(AND(C19="Skema 1",B19="fr"),Skemaoplysninger!$M$31,"")</f>
        <v/>
      </c>
      <c r="CI19" s="210" t="str">
        <f>IF(AND(C19="Skema 2",B19="ma"),Skemaoplysninger!$S$31,"")</f>
        <v/>
      </c>
      <c r="CJ19" s="210" t="str">
        <f>IF(AND(C19="Skema 2",B19="ti"),Skemaoplysninger!$U$31,"")</f>
        <v/>
      </c>
      <c r="CK19" s="210" t="str">
        <f>IF(AND(C19="Skema 2",B19="on"),Skemaoplysninger!$W$31,"")</f>
        <v/>
      </c>
      <c r="CL19" s="210" t="str">
        <f>IF(AND(C19="Skema 2",B19="to"),Skemaoplysninger!$Y$31,"")</f>
        <v/>
      </c>
      <c r="CM19" s="210" t="str">
        <f>IF(AND(C19="Skema 2",B19="fr"),Skemaoplysninger!$AA$31,"")</f>
        <v/>
      </c>
      <c r="CN19" s="210" t="str">
        <f>IF(AND(C19="Skema 3",B19="ma"),Skemaoplysninger!$AG$31,"")</f>
        <v/>
      </c>
      <c r="CO19" s="210" t="str">
        <f>IF(AND(C19="Skema 3",B19="ti"),Skemaoplysninger!$AI$31,"")</f>
        <v/>
      </c>
      <c r="CP19" s="210" t="str">
        <f>IF(AND(C19="Skema 3",B19="on"),Skemaoplysninger!$AK$31,"")</f>
        <v/>
      </c>
      <c r="CQ19" s="210" t="str">
        <f>IF(AND(C19="Skema 3",B19="to"),Skemaoplysninger!$AM$31,"")</f>
        <v/>
      </c>
      <c r="CR19" s="210" t="str">
        <f>IF(AND(C19="Skema 3",B19="fr"),Skemaoplysninger!$AO$31,"")</f>
        <v/>
      </c>
      <c r="CS19" s="210" t="str">
        <f>IF(AND(C19="Skema 4",B19="ma"),Skemaoplysninger!$AU$31,"")</f>
        <v/>
      </c>
      <c r="CT19" s="210" t="str">
        <f>IF(AND(C19="Skema 4",B19="ti"),Skemaoplysninger!$AW$31,"")</f>
        <v/>
      </c>
      <c r="CU19" s="210" t="str">
        <f>IF(AND(C19="Skema 4",B19="on"),Skemaoplysninger!$AY$31,"")</f>
        <v/>
      </c>
      <c r="CV19" s="210" t="str">
        <f>IF(AND(C19="Skema 4",B19="to"),Skemaoplysninger!$BA$31,"")</f>
        <v/>
      </c>
      <c r="CW19" s="210" t="str">
        <f>IF(AND(C19="Skema 4",B19="fr"),Skemaoplysninger!$BC$31,"")</f>
        <v/>
      </c>
      <c r="CX19" s="249">
        <f>IF(Stamoplysninger!$H$29="NEJ",SUM(CD19:CW19)*24+CB19+CC19,0)</f>
        <v>0</v>
      </c>
      <c r="CY19" s="249">
        <f>IF(C19="Skema 1",Stamoplysninger!$H$30/200,0)</f>
        <v>0</v>
      </c>
      <c r="CZ19" s="249">
        <f>IF(C19="Skema 2",Stamoplysninger!$H$30/200,0)</f>
        <v>0</v>
      </c>
      <c r="DA19" s="249">
        <f>IF(C19="Skema 3",Stamoplysninger!$H$30/200,0)</f>
        <v>0</v>
      </c>
      <c r="DB19" s="249">
        <f>IF(C19="Skema 4",Stamoplysninger!$H$30/200,0)</f>
        <v>0</v>
      </c>
      <c r="DC19" s="249">
        <f>IF(C19="fagdag",Stamoplysninger!$H$30/200,0)</f>
        <v>0</v>
      </c>
      <c r="DD19" s="249">
        <f>IF(C19="emnedag",Stamoplysninger!$H$30/200,0)</f>
        <v>0</v>
      </c>
      <c r="DE19" s="249">
        <f>IF(C19="lejrskole",Stamoplysninger!$H$30/200,0)</f>
        <v>0</v>
      </c>
      <c r="DF19" s="249">
        <f>IF(C19="ekskursion",Stamoplysninger!$H$30/200,0)</f>
        <v>0</v>
      </c>
      <c r="DG19" s="249">
        <f t="shared" si="27"/>
        <v>0</v>
      </c>
      <c r="DH19" t="str">
        <f t="shared" si="28"/>
        <v/>
      </c>
      <c r="DI19" t="str">
        <f t="shared" si="29"/>
        <v xml:space="preserve">Skolebyt  </v>
      </c>
      <c r="DJ19" t="str">
        <f t="shared" si="30"/>
        <v/>
      </c>
      <c r="DK19" t="str">
        <f t="shared" si="13"/>
        <v/>
      </c>
      <c r="DL19" t="str">
        <f t="shared" si="13"/>
        <v xml:space="preserve">Skolebyt  </v>
      </c>
      <c r="DM19" t="str">
        <f t="shared" si="13"/>
        <v/>
      </c>
      <c r="DN19" t="str">
        <f t="shared" si="31"/>
        <v xml:space="preserve">Skolebyt  </v>
      </c>
      <c r="DO19" s="652">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71">
        <f>IF(AND(Stamoplysninger!$B$22="Ulempetillæg udbetales med 25% af nettotimelønnen.",C19="ikke relevant"),(R19)/4,0)</f>
        <v>0</v>
      </c>
      <c r="DT19" s="671">
        <f>IF(AND(AND(Stamoplysninger!$B$22="Ulempetillæg udbetales med 25% af nettotimelønnen.",I19="X",C19="Ikke relevant")),K19/4,0)</f>
        <v>0</v>
      </c>
      <c r="DU19" s="671">
        <f>IF(AND(AND(Stamoplysninger!$B$22="Ulempetillæg udbetales med 25% af nettotimelønnen.",C19="ikke relevant",U19="X")),(X19/4),0)</f>
        <v>0</v>
      </c>
      <c r="DV19" s="672">
        <f>IF(AND(AND(AND(Stamoplysninger!$B$22="Ulempetillæg udbetales med 25% af nettotimelønnen.",I19="X",C19="Ikke relevant",S19="X"))),V19/4,0)</f>
        <v>0</v>
      </c>
      <c r="DW19" s="652"/>
      <c r="DZ19" s="671"/>
      <c r="EA19" s="671"/>
      <c r="EB19" s="672"/>
      <c r="EC19" s="652">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71">
        <f>IF(AND(Stamoplysninger!$B$22="Ulempetillæg afspadseres med 25%(Kræver en aftale imellem ledelsen og den ansatte)",C19="ikke relevant"),(R19)/4,0)</f>
        <v>0</v>
      </c>
      <c r="EH19" s="671">
        <f>IF(AND(AND(Stamoplysninger!$B$22="Ulempetillæg afspadseres med 25%(Kræver en aftale imellem ledelsen og den ansatte)",I19="X",C19="Ikke relevant")),K19/4,0)</f>
        <v>0</v>
      </c>
      <c r="EI19" s="671">
        <f>IF(AND(AND(Stamoplysninger!$B$22="Ulempetillæg afspadseres med 25%(Kræver en aftale imellem ledelsen og den ansatte)",U19="X",C19="Ikke relevant")),X19/4,0)</f>
        <v>0</v>
      </c>
      <c r="EJ19" s="671">
        <f>IF(AND(AND(AND(Stamoplysninger!$B$22="Ulempetillæg afspadseres med 25%(Kræver en aftale imellem ledelsen og den ansatte)",I19="X",C19="Ikke relevant",S19="X"))),V19/4,0)</f>
        <v>0</v>
      </c>
      <c r="EK19" s="283">
        <f>IF(AND(Stamoplysninger!$B$26="Weekendtimer og weekendtillæg afspadseres.",I19="X"),K19*1.5,0)</f>
        <v>0</v>
      </c>
      <c r="EL19" s="251">
        <f>IF(AND(AND(Stamoplysninger!$B$26="Weekendtimer og weekendtillæg afspadseres.",I19="X",S19="X")),V19*1.5,0)</f>
        <v>0</v>
      </c>
      <c r="EM19" s="674">
        <f>IF(AND(AND(Stamoplysninger!$B$26="Weekendtimer og weekendtillæg afspadseres.",I19="X",C19="ikke relevant")),K19*1.5,0)</f>
        <v>0</v>
      </c>
      <c r="EN19" s="675">
        <f>IF(AND(AND(AND(Stamoplysninger!$B$26="Weekendtimer og weekendtillæg afspadseres.",I19="X",C19="ikke relevant",S19="X"))),(V19*1.5),0)</f>
        <v>0</v>
      </c>
      <c r="EO19" s="283">
        <f>IF(AND(Stamoplysninger!$B$26="Weekendtimer og weekendtillæg udbetales.",I19="X"),K19*1.5,0)</f>
        <v>0</v>
      </c>
      <c r="EP19" s="251">
        <f>IF(AND(AND(Stamoplysninger!$B$26="Weekendtimer og weekendtillæg udbetales.",I19="X",S19="X")),V19*1.5,0)</f>
        <v>0</v>
      </c>
      <c r="EQ19" s="674">
        <f>IF(AND(AND(Stamoplysninger!$B$26="Weekendtimer og weekendtillæg udbetales.",I19="X",C19="ikke relevant")),K19*1.5,0)</f>
        <v>0</v>
      </c>
      <c r="ER19" s="675">
        <f>IF(AND(AND(AND(Stamoplysninger!$B$26="Weekendtimer og weekendtillæg udbetales.",I19="X",C19="ikke relevant",S19="X"))),(V19*1.5),0)</f>
        <v>0</v>
      </c>
      <c r="ES19" s="283">
        <f>IF(AND(Stamoplysninger!$B$26="Der er indgået lokalaftale omkring weekendtimer.(Kræver aftale med TR/FSL) Weekendtillæg afspadseres.",I19="X"),K19*0.5,0)</f>
        <v>0</v>
      </c>
      <c r="ET19" s="251">
        <f>IF(AND(AND(Stamoplysninger!$B$26="Der er indgået lokalaftale omkring weekendtimer.(Kræver aftale med TR/FSL) Weekendtillæg afspadseres.",I19="X",S19="X")),V19*0.5,0)</f>
        <v>0</v>
      </c>
      <c r="EU19" s="674">
        <f>IF(AND(AND(Stamoplysninger!$B$26="Der er indgået lokalaftale omkring weekendtimer.(Kræver aftale med TR/FSL) Weekendtillæg afspadseres.",I19="X",C19="ikke relevant")),K19*0.5,0)</f>
        <v>0</v>
      </c>
      <c r="EV19" s="675">
        <f>IF(AND(AND(AND(Stamoplysninger!$B$26="Der er indgået lokalaftale omkring weekendtimer.(Kræver aftale med TR/FSL) Weekendtillæg afspadseres.",I19="X",C19="ikke relevant",S19="X"))),(V19*0.5),0)</f>
        <v>0</v>
      </c>
      <c r="EW19" s="283">
        <f>IF(AND(Stamoplysninger!$B$26="Der er indgået lokalaftale omkring weekendtimer(Kræver aftale med TR/FSL). Weekendtillæg udbetales.",I19="X"),K19*0.5,0)</f>
        <v>0</v>
      </c>
      <c r="EX19" s="251">
        <f>IF(AND(AND(Stamoplysninger!$B$26="Der er indgået lokalaftale omkring weekendtimer(Kræver aftale med TR/FSL). Weekendtillæg udbetales.",I19="X",S19="X")),V19*0.5,0)</f>
        <v>0</v>
      </c>
      <c r="EY19" s="674">
        <f>IF(AND(AND(Stamoplysninger!$B$26="Der er indgået lokalaftale omkring weekendtimer(Kræver aftale med TR/FSL). Weekendtillæg udbetales.",I19="X",C19="ikke relevant")),K19*0.5,0)</f>
        <v>0</v>
      </c>
      <c r="EZ19" s="675">
        <f>IF(AND(AND(AND(Stamoplysninger!$B$26="Der er indgået lokalaftale omkring weekendtimer(Kræver aftale med TR/FSL). Weekendtillæg udbetales.",I19="X",C19="ikke relevant",S19="X"))),(V19*0.5),0)</f>
        <v>0</v>
      </c>
      <c r="FA19" s="283">
        <f>IF(AND(Stamoplysninger!$B$26="Der er indgået lokalaftale omkring weekendtillæg(Kræver aftale med TR/FSL). Weekendtimerne afspadseres.",I19="X"),K19,0)</f>
        <v>0</v>
      </c>
      <c r="FB19" s="251">
        <f>IF(AND(AND(Stamoplysninger!$B$26="Der er indgået lokalaftale omkring weekendtillæg(Kræver aftale med TR/FSL). Weekendtimerne afspadseres.",I19="X",S19="X")),V19,0)</f>
        <v>0</v>
      </c>
      <c r="FC19" s="674">
        <f>IF(AND(AND(Stamoplysninger!$B$26="Der er indgået lokalaftale omkring weekendtillæg(Kræver aftale med TR/FSL). Weekendtimerne afspadseres..",I19="X",C19="ikke relevant")),K19,0)</f>
        <v>0</v>
      </c>
      <c r="FD19" s="675">
        <f>IF(AND(AND(AND(Stamoplysninger!$B$26="Der er indgået lokalaftale omkring weekendtillæg(Kræver aftale med TR/FSL). Weekendtimerne afspadseres.",I19="X",C19="ikke relevant",S19="X"))),(V19),0)</f>
        <v>0</v>
      </c>
      <c r="FE19" s="283">
        <f>IF(AND(Stamoplysninger!$B$26="Der er indgået lokalaftale omkring weekendtillæg(Kræver aftale med TR/FSL). Weekendtimerne udbetales.",I19="X"),K19,0)</f>
        <v>0</v>
      </c>
      <c r="FF19" s="251">
        <f>IF(AND(AND(Stamoplysninger!$B$26="Der er indgået lokalaftale omkring weekendtillæg(Kræver aftale med TR/FSL). Weekendtimerne udbetales.",I19="X",S19="X")),V19,0)</f>
        <v>0</v>
      </c>
      <c r="FG19" s="674">
        <f>IF(AND(AND(Stamoplysninger!$B$26="Der er indgået lokalaftale omkring weekendtillæg(Kræver aftale med TR/FSL). Weekendtimerne udbetales.",I19="X",C19="ikke relevant")),K19,0)</f>
        <v>0</v>
      </c>
      <c r="FH19" s="675">
        <f>IF(AND(AND(AND(Stamoplysninger!$B$26="Der er indgået lokalaftale omkring weekendtillæg(Kræver aftale med TR/FSL). Weekendtimerne udbetales.",I19="X",C19="ikke relevant",S19="X"))),(V19),0)</f>
        <v>0</v>
      </c>
      <c r="FI19" s="283">
        <f>IF(AND(Stamoplysninger!$B$26="Weekendtimer og weekendtillæg afspadseres.",I19="X"),K19,0)</f>
        <v>0</v>
      </c>
      <c r="FJ19" s="251">
        <f>IF(AND(Stamoplysninger!$B$26="Weekendtimer og weekendtillæg afspadseres.",Y19="X"),(AA19+AL19)/2,0)</f>
        <v>0</v>
      </c>
      <c r="FK19" s="674">
        <f>IF(AND(AND(Stamoplysninger!$B$26="Weekendtimer og weekendtillæg afspadseres.",I19="X",C19="ikke relevant")),K19,0)</f>
        <v>0</v>
      </c>
      <c r="FL19" s="675">
        <f>IF(AND(AND(Stamoplysninger!$B$26="Weekendtimer og weekendtillæg afspadseres.",Y19="X",S19="ikke relevant")),(AA19+AL19)/2,0)</f>
        <v>0</v>
      </c>
      <c r="FM19" s="283">
        <f>IF(AND(Stamoplysninger!$B$26="Der er indgået lokalaftale omkring weekendtillæg(Kræver aftale med TR/FSL). Weekendtimerne afspadseres.",I19="X"),K19,0)</f>
        <v>0</v>
      </c>
      <c r="FN19" s="674">
        <f>IF(AND(AND(Stamoplysninger!$B$26="Der er indgået lokalaftale omkring weekendtillæg(Kræver aftale med TR/FSL). Weekendtimerne afspadseres.",I19="X",C19="ikke relevant")),K19,0)</f>
        <v>0</v>
      </c>
      <c r="FO19" s="283">
        <f>IF(AND(Stamoplysninger!$B$26="Weekendtimer og weekendtillæg udbetales.",I19="X"),K19,0)</f>
        <v>0</v>
      </c>
      <c r="FP19" s="251">
        <f>IF(AND(Stamoplysninger!$B$26="Weekendtimer og weekendtillæg udbetales.",AA19="X"),(AC19+AN19)/2,0)</f>
        <v>0</v>
      </c>
      <c r="FQ19" s="674">
        <f>IF(AND(AND(Stamoplysninger!$B$26="Weekendtimer og weekendtillæg udbetales.",I19="X",C19="ikke relevant")),K19,0)</f>
        <v>0</v>
      </c>
      <c r="FR19" s="688">
        <f>IF(AND(AND(Stamoplysninger!$B$26="Weekendtimer og weekendtillæg udbetales.",AA19="X",U19="ikke relevant")),(AC19+AN19)/2,0)</f>
        <v>0</v>
      </c>
      <c r="FS19" s="283">
        <f t="shared" si="15"/>
        <v>0</v>
      </c>
      <c r="FT19" s="658">
        <f t="shared" si="16"/>
        <v>0</v>
      </c>
      <c r="FU19">
        <f t="shared" si="17"/>
        <v>0</v>
      </c>
      <c r="FV19" s="283">
        <f>IF(AND(Stamoplysninger!$B$26="Der er indgået lokalaftale omkring weekendtimer.(Kræver aftale med TR/FSL) Weekendtillæg afspadseres.",I19="X"),K19,0)</f>
        <v>0</v>
      </c>
      <c r="FW19" s="674">
        <f>IF(AND(AND(Stamoplysninger!$B$26="Der er indgået lokalaftale omkring weekendtimer.(Kræver aftale med TR/FSL) Weekendtillæg afspadseres.",I19="X",C19="ikke relevant")),K19,0)</f>
        <v>0</v>
      </c>
      <c r="FX19" s="283">
        <f>IF(AND(Stamoplysninger!$B$26="Der er indgået lokalaftale omkring weekendtimer(Kræver aftale med TR/FSL). Weekendtillæg udbetales.",I19="X"),K19,0)</f>
        <v>0</v>
      </c>
      <c r="FY19" s="674">
        <f>IF(AND(AND(Stamoplysninger!$B$26="Der er indgået lokalaftale omkring weekendtimer(Kræver aftale med TR/FSL). Weekendtillæg udbetales.",I19="X",C19="ikke relevant")),K19,0)</f>
        <v>0</v>
      </c>
      <c r="FZ19" s="283">
        <f>IF(AND(Stamoplysninger!$B$26="Der er indgået lokalaftale omkring weekendtillæg(Kræver aftale med TR/FSL). Weekendtimerne udbetales.",I19="X"),K19,0)</f>
        <v>0</v>
      </c>
      <c r="GA19" s="674">
        <f>IF(AND(AND(Stamoplysninger!$B$26="Der er indgået lokalaftale omkring weekendtillæg(Kræver aftale med TR/FSL). Weekendtimerne udbetales.",I19="X",C19="ikke relevant")),K19,0)</f>
        <v>0</v>
      </c>
      <c r="GB19" s="283">
        <f>IF(AND(Stamoplysninger!$B$26="Der er indgået lokalaftale omkring weekendtimer og weekendtillæg.(Kræver aftale med TR/FSL).",I19="X"),K19,0)</f>
        <v>0</v>
      </c>
      <c r="GC19" s="674">
        <f>IF(AND(AND(Stamoplysninger!$B$26="Der er indgået lokalaftale omkring weekendtimer og weekendtillæg.(Kræver aftale med TR/FSL).",I19="X",C19="ikke relevant")),K19,0)</f>
        <v>0</v>
      </c>
    </row>
    <row r="20" spans="1:185">
      <c r="A20" s="245">
        <f>IF(ISNUMBER(A19),A19+1,1)</f>
        <v>12</v>
      </c>
      <c r="B20" s="128" t="str">
        <f t="shared" si="0"/>
        <v>to</v>
      </c>
      <c r="C20" s="129" t="s">
        <v>137</v>
      </c>
      <c r="D20" s="130" t="str">
        <f t="shared" si="1"/>
        <v/>
      </c>
      <c r="E20" s="917" t="s">
        <v>699</v>
      </c>
      <c r="F20" s="918"/>
      <c r="G20" s="919"/>
      <c r="H20" s="298"/>
      <c r="I20" s="527"/>
      <c r="J20" s="413"/>
      <c r="K20" s="380">
        <v>17.329999999999998</v>
      </c>
      <c r="L20" s="380">
        <v>6</v>
      </c>
      <c r="M20" s="380"/>
      <c r="N20" s="318">
        <f t="shared" si="19"/>
        <v>17.329999999999998</v>
      </c>
      <c r="O20" s="318">
        <f t="shared" si="20"/>
        <v>6</v>
      </c>
      <c r="P20" s="318">
        <f>IF(Stamoplysninger!$H$29="JA",September!DG20,CX20)</f>
        <v>0</v>
      </c>
      <c r="Q20" s="318">
        <f t="shared" si="21"/>
        <v>0</v>
      </c>
      <c r="R20" s="319"/>
      <c r="S20" s="324"/>
      <c r="T20" s="325"/>
      <c r="U20" s="325"/>
      <c r="V20" s="435"/>
      <c r="W20" s="435"/>
      <c r="X20" s="644"/>
      <c r="Y20">
        <f t="shared" si="22"/>
        <v>0</v>
      </c>
      <c r="Z20" s="437">
        <f t="shared" si="23"/>
        <v>0</v>
      </c>
      <c r="AA20" s="1">
        <f t="shared" si="2"/>
        <v>0</v>
      </c>
      <c r="AB20" s="1">
        <f t="shared" si="3"/>
        <v>0</v>
      </c>
      <c r="AC20" s="1">
        <f t="shared" si="4"/>
        <v>0</v>
      </c>
      <c r="AD20" s="1">
        <f t="shared" si="5"/>
        <v>0</v>
      </c>
      <c r="AE20" s="1">
        <f t="shared" si="6"/>
        <v>17.329999999999998</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4"/>
        <v>17.329999999999998</v>
      </c>
      <c r="BB20" s="229">
        <f t="shared" si="7"/>
        <v>0</v>
      </c>
      <c r="BC20" s="1">
        <f t="shared" si="25"/>
        <v>6</v>
      </c>
      <c r="BD20" s="1">
        <f t="shared" si="8"/>
        <v>0</v>
      </c>
      <c r="BE20" s="1">
        <f t="shared" si="9"/>
        <v>0</v>
      </c>
      <c r="BF20" s="1">
        <f t="shared" si="10"/>
        <v>0</v>
      </c>
      <c r="BG20" s="210" t="str">
        <f>IF(AND(C20="Skema 1",B20="ma"),Skemaoplysninger!$E$30,"")</f>
        <v/>
      </c>
      <c r="BH20" s="210" t="str">
        <f>IF(AND(C20="Skema 1",B20="ti"),Skemaoplysninger!$G$30,"")</f>
        <v/>
      </c>
      <c r="BI20" s="210" t="str">
        <f>IF(AND(C20="Skema 1",B20="on"),Skemaoplysninger!$I$30,"")</f>
        <v/>
      </c>
      <c r="BJ20" s="210" t="str">
        <f>IF(AND(C20="Skema 1",B20="to"),Skemaoplysninger!$K$30,"")</f>
        <v/>
      </c>
      <c r="BK20" s="210" t="str">
        <f>IF(AND(C20="Skema 1",B20="fr"),Skemaoplysninger!$M$30,"")</f>
        <v/>
      </c>
      <c r="BL20" s="210" t="str">
        <f>IF(AND(C20="Skema 2",B20="ma"),Skemaoplysninger!$S$30,"")</f>
        <v/>
      </c>
      <c r="BM20" s="210" t="str">
        <f>IF(AND(C20="Skema 2",B20="ti"),Skemaoplysninger!$U$30,"")</f>
        <v/>
      </c>
      <c r="BN20" s="210" t="str">
        <f>IF(AND(C20="Skema 2",B20="on"),Skemaoplysninger!$W$30,"")</f>
        <v/>
      </c>
      <c r="BO20" s="210" t="str">
        <f>IF(AND(C20="Skema 2",B20="to"),Skemaoplysninger!$Y$30,"")</f>
        <v/>
      </c>
      <c r="BP20" s="210" t="str">
        <f>IF(AND(C20="Skema 2",B20="fr"),Skemaoplysninger!$AA$30,"")</f>
        <v/>
      </c>
      <c r="BQ20" s="210" t="str">
        <f>IF(AND(C20="Skema 3",B20="ma"),Skemaoplysninger!$AG$30,"")</f>
        <v/>
      </c>
      <c r="BR20" s="210" t="str">
        <f>IF(AND(C20="Skema 3",B20="ti"),Skemaoplysninger!$AI$30,"")</f>
        <v/>
      </c>
      <c r="BS20" s="210" t="str">
        <f>IF(AND(C20="Skema 3",B20="on"),Skemaoplysninger!$AK$30,"")</f>
        <v/>
      </c>
      <c r="BT20" s="210" t="str">
        <f>IF(AND(C20="Skema 3",B20="to"),Skemaoplysninger!$AM$30,"")</f>
        <v/>
      </c>
      <c r="BU20" s="210" t="str">
        <f>IF(AND(C20="Skema 3",B20="fr"),Skemaoplysninger!$AO$30,"")</f>
        <v/>
      </c>
      <c r="BV20" s="210" t="str">
        <f>IF(AND(C20="Skema 4",B20="ma"),Skemaoplysninger!$AU$30,"")</f>
        <v/>
      </c>
      <c r="BW20" s="210" t="str">
        <f>IF(AND(C20="Skema 4",B20="ti"),Skemaoplysninger!$AW$30,"")</f>
        <v/>
      </c>
      <c r="BX20" s="210" t="str">
        <f>IF(AND(C20="Skema 4",B20="on"),Skemaoplysninger!$AY$30,"")</f>
        <v/>
      </c>
      <c r="BY20" s="210" t="str">
        <f>IF(AND(C20="Skema 4",B20="to"),Skemaoplysninger!$BA$30,"")</f>
        <v/>
      </c>
      <c r="BZ20" s="210" t="str">
        <f>IF(AND(C20="Skema 4",B20="fr"),Skemaoplysninger!$BC$30,"")</f>
        <v/>
      </c>
      <c r="CA20" s="1">
        <f t="shared" si="26"/>
        <v>6</v>
      </c>
      <c r="CB20" s="1">
        <f t="shared" si="11"/>
        <v>0</v>
      </c>
      <c r="CC20" s="1">
        <f t="shared" si="12"/>
        <v>0</v>
      </c>
      <c r="CD20" s="210" t="str">
        <f>IF(AND(C20="Skema 1",B20="ma"),Skemaoplysninger!$E$31,"")</f>
        <v/>
      </c>
      <c r="CE20" s="210" t="str">
        <f>IF(AND(C20="Skema 1",B20="ti"),Skemaoplysninger!$G$31,"")</f>
        <v/>
      </c>
      <c r="CF20" s="210" t="str">
        <f>IF(AND(C20="Skema 1",B20="on"),Skemaoplysninger!$I$31,"")</f>
        <v/>
      </c>
      <c r="CG20" s="210" t="str">
        <f>IF(AND(C20="Skema 1",B20="to"),Skemaoplysninger!$K$31,"")</f>
        <v/>
      </c>
      <c r="CH20" s="210" t="str">
        <f>IF(AND(C20="Skema 1",B20="fr"),Skemaoplysninger!$M$31,"")</f>
        <v/>
      </c>
      <c r="CI20" s="210" t="str">
        <f>IF(AND(C20="Skema 2",B20="ma"),Skemaoplysninger!$S$31,"")</f>
        <v/>
      </c>
      <c r="CJ20" s="210" t="str">
        <f>IF(AND(C20="Skema 2",B20="ti"),Skemaoplysninger!$U$31,"")</f>
        <v/>
      </c>
      <c r="CK20" s="210" t="str">
        <f>IF(AND(C20="Skema 2",B20="on"),Skemaoplysninger!$W$31,"")</f>
        <v/>
      </c>
      <c r="CL20" s="210" t="str">
        <f>IF(AND(C20="Skema 2",B20="to"),Skemaoplysninger!$Y$31,"")</f>
        <v/>
      </c>
      <c r="CM20" s="210" t="str">
        <f>IF(AND(C20="Skema 2",B20="fr"),Skemaoplysninger!$AA$31,"")</f>
        <v/>
      </c>
      <c r="CN20" s="210" t="str">
        <f>IF(AND(C20="Skema 3",B20="ma"),Skemaoplysninger!$AG$31,"")</f>
        <v/>
      </c>
      <c r="CO20" s="210" t="str">
        <f>IF(AND(C20="Skema 3",B20="ti"),Skemaoplysninger!$AI$31,"")</f>
        <v/>
      </c>
      <c r="CP20" s="210" t="str">
        <f>IF(AND(C20="Skema 3",B20="on"),Skemaoplysninger!$AK$31,"")</f>
        <v/>
      </c>
      <c r="CQ20" s="210" t="str">
        <f>IF(AND(C20="Skema 3",B20="to"),Skemaoplysninger!$AM$31,"")</f>
        <v/>
      </c>
      <c r="CR20" s="210" t="str">
        <f>IF(AND(C20="Skema 3",B20="fr"),Skemaoplysninger!$AO$31,"")</f>
        <v/>
      </c>
      <c r="CS20" s="210" t="str">
        <f>IF(AND(C20="Skema 4",B20="ma"),Skemaoplysninger!$AU$31,"")</f>
        <v/>
      </c>
      <c r="CT20" s="210" t="str">
        <f>IF(AND(C20="Skema 4",B20="ti"),Skemaoplysninger!$AW$31,"")</f>
        <v/>
      </c>
      <c r="CU20" s="210" t="str">
        <f>IF(AND(C20="Skema 4",B20="on"),Skemaoplysninger!$AY$31,"")</f>
        <v/>
      </c>
      <c r="CV20" s="210" t="str">
        <f>IF(AND(C20="Skema 4",B20="to"),Skemaoplysninger!$BA$31,"")</f>
        <v/>
      </c>
      <c r="CW20" s="210" t="str">
        <f>IF(AND(C20="Skema 4",B20="fr"),Skemaoplysninger!$BC$31,"")</f>
        <v/>
      </c>
      <c r="CX20" s="249">
        <f>IF(Stamoplysninger!$H$29="NEJ",SUM(CD20:CW20)*24+CB20+CC20,0)</f>
        <v>0</v>
      </c>
      <c r="CY20" s="249">
        <f>IF(C20="Skema 1",Stamoplysninger!$H$30/200,0)</f>
        <v>0</v>
      </c>
      <c r="CZ20" s="249">
        <f>IF(C20="Skema 2",Stamoplysninger!$H$30/200,0)</f>
        <v>0</v>
      </c>
      <c r="DA20" s="249">
        <f>IF(C20="Skema 3",Stamoplysninger!$H$30/200,0)</f>
        <v>0</v>
      </c>
      <c r="DB20" s="249">
        <f>IF(C20="Skema 4",Stamoplysninger!$H$30/200,0)</f>
        <v>0</v>
      </c>
      <c r="DC20" s="249">
        <f>IF(C20="fagdag",Stamoplysninger!$H$30/200,0)</f>
        <v>0</v>
      </c>
      <c r="DD20" s="249">
        <f>IF(C20="emnedag",Stamoplysninger!$H$30/200,0)</f>
        <v>0</v>
      </c>
      <c r="DE20" s="249">
        <f>IF(C20="lejrskole",Stamoplysninger!$H$30/200,0)</f>
        <v>0</v>
      </c>
      <c r="DF20" s="249">
        <f>IF(C20="ekskursion",Stamoplysninger!$H$30/200,0)</f>
        <v>0</v>
      </c>
      <c r="DG20" s="249">
        <f t="shared" si="27"/>
        <v>0</v>
      </c>
      <c r="DH20" t="str">
        <f t="shared" si="28"/>
        <v/>
      </c>
      <c r="DI20" t="str">
        <f t="shared" si="29"/>
        <v xml:space="preserve">Skolebyt  </v>
      </c>
      <c r="DJ20" t="str">
        <f t="shared" si="30"/>
        <v/>
      </c>
      <c r="DK20" t="str">
        <f t="shared" si="13"/>
        <v/>
      </c>
      <c r="DL20" t="str">
        <f t="shared" si="13"/>
        <v xml:space="preserve">Skolebyt  </v>
      </c>
      <c r="DM20" t="str">
        <f t="shared" si="13"/>
        <v/>
      </c>
      <c r="DN20" t="str">
        <f t="shared" si="31"/>
        <v xml:space="preserve">Skolebyt  </v>
      </c>
      <c r="DO20" s="652">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71">
        <f>IF(AND(Stamoplysninger!$B$22="Ulempetillæg udbetales med 25% af nettotimelønnen.",C20="ikke relevant"),(R20)/4,0)</f>
        <v>0</v>
      </c>
      <c r="DT20" s="671">
        <f>IF(AND(AND(Stamoplysninger!$B$22="Ulempetillæg udbetales med 25% af nettotimelønnen.",I20="X",C20="Ikke relevant")),K20/4,0)</f>
        <v>0</v>
      </c>
      <c r="DU20" s="671">
        <f>IF(AND(AND(Stamoplysninger!$B$22="Ulempetillæg udbetales med 25% af nettotimelønnen.",C20="ikke relevant",U20="X")),(X20/4),0)</f>
        <v>0</v>
      </c>
      <c r="DV20" s="672">
        <f>IF(AND(AND(AND(Stamoplysninger!$B$22="Ulempetillæg udbetales med 25% af nettotimelønnen.",I20="X",C20="Ikke relevant",S20="X"))),V20/4,0)</f>
        <v>0</v>
      </c>
      <c r="DW20" s="652"/>
      <c r="DZ20" s="671"/>
      <c r="EA20" s="671"/>
      <c r="EB20" s="672"/>
      <c r="EC20" s="652">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71">
        <f>IF(AND(Stamoplysninger!$B$22="Ulempetillæg afspadseres med 25%(Kræver en aftale imellem ledelsen og den ansatte)",C20="ikke relevant"),(R20)/4,0)</f>
        <v>0</v>
      </c>
      <c r="EH20" s="671">
        <f>IF(AND(AND(Stamoplysninger!$B$22="Ulempetillæg afspadseres med 25%(Kræver en aftale imellem ledelsen og den ansatte)",I20="X",C20="Ikke relevant")),K20/4,0)</f>
        <v>0</v>
      </c>
      <c r="EI20" s="671">
        <f>IF(AND(AND(Stamoplysninger!$B$22="Ulempetillæg afspadseres med 25%(Kræver en aftale imellem ledelsen og den ansatte)",U20="X",C20="Ikke relevant")),X20/4,0)</f>
        <v>0</v>
      </c>
      <c r="EJ20" s="671">
        <f>IF(AND(AND(AND(Stamoplysninger!$B$22="Ulempetillæg afspadseres med 25%(Kræver en aftale imellem ledelsen og den ansatte)",I20="X",C20="Ikke relevant",S20="X"))),V20/4,0)</f>
        <v>0</v>
      </c>
      <c r="EK20" s="283">
        <f>IF(AND(Stamoplysninger!$B$26="Weekendtimer og weekendtillæg afspadseres.",I20="X"),K20*1.5,0)</f>
        <v>0</v>
      </c>
      <c r="EL20" s="251">
        <f>IF(AND(AND(Stamoplysninger!$B$26="Weekendtimer og weekendtillæg afspadseres.",I20="X",S20="X")),V20*1.5,0)</f>
        <v>0</v>
      </c>
      <c r="EM20" s="674">
        <f>IF(AND(AND(Stamoplysninger!$B$26="Weekendtimer og weekendtillæg afspadseres.",I20="X",C20="ikke relevant")),K20*1.5,0)</f>
        <v>0</v>
      </c>
      <c r="EN20" s="675">
        <f>IF(AND(AND(AND(Stamoplysninger!$B$26="Weekendtimer og weekendtillæg afspadseres.",I20="X",C20="ikke relevant",S20="X"))),(V20*1.5),0)</f>
        <v>0</v>
      </c>
      <c r="EO20" s="283">
        <f>IF(AND(Stamoplysninger!$B$26="Weekendtimer og weekendtillæg udbetales.",I20="X"),K20*1.5,0)</f>
        <v>0</v>
      </c>
      <c r="EP20" s="251">
        <f>IF(AND(AND(Stamoplysninger!$B$26="Weekendtimer og weekendtillæg udbetales.",I20="X",S20="X")),V20*1.5,0)</f>
        <v>0</v>
      </c>
      <c r="EQ20" s="674">
        <f>IF(AND(AND(Stamoplysninger!$B$26="Weekendtimer og weekendtillæg udbetales.",I20="X",C20="ikke relevant")),K20*1.5,0)</f>
        <v>0</v>
      </c>
      <c r="ER20" s="675">
        <f>IF(AND(AND(AND(Stamoplysninger!$B$26="Weekendtimer og weekendtillæg udbetales.",I20="X",C20="ikke relevant",S20="X"))),(V20*1.5),0)</f>
        <v>0</v>
      </c>
      <c r="ES20" s="283">
        <f>IF(AND(Stamoplysninger!$B$26="Der er indgået lokalaftale omkring weekendtimer.(Kræver aftale med TR/FSL) Weekendtillæg afspadseres.",I20="X"),K20*0.5,0)</f>
        <v>0</v>
      </c>
      <c r="ET20" s="251">
        <f>IF(AND(AND(Stamoplysninger!$B$26="Der er indgået lokalaftale omkring weekendtimer.(Kræver aftale med TR/FSL) Weekendtillæg afspadseres.",I20="X",S20="X")),V20*0.5,0)</f>
        <v>0</v>
      </c>
      <c r="EU20" s="674">
        <f>IF(AND(AND(Stamoplysninger!$B$26="Der er indgået lokalaftale omkring weekendtimer.(Kræver aftale med TR/FSL) Weekendtillæg afspadseres.",I20="X",C20="ikke relevant")),K20*0.5,0)</f>
        <v>0</v>
      </c>
      <c r="EV20" s="675">
        <f>IF(AND(AND(AND(Stamoplysninger!$B$26="Der er indgået lokalaftale omkring weekendtimer.(Kræver aftale med TR/FSL) Weekendtillæg afspadseres.",I20="X",C20="ikke relevant",S20="X"))),(V20*0.5),0)</f>
        <v>0</v>
      </c>
      <c r="EW20" s="283">
        <f>IF(AND(Stamoplysninger!$B$26="Der er indgået lokalaftale omkring weekendtimer(Kræver aftale med TR/FSL). Weekendtillæg udbetales.",I20="X"),K20*0.5,0)</f>
        <v>0</v>
      </c>
      <c r="EX20" s="251">
        <f>IF(AND(AND(Stamoplysninger!$B$26="Der er indgået lokalaftale omkring weekendtimer(Kræver aftale med TR/FSL). Weekendtillæg udbetales.",I20="X",S20="X")),V20*0.5,0)</f>
        <v>0</v>
      </c>
      <c r="EY20" s="674">
        <f>IF(AND(AND(Stamoplysninger!$B$26="Der er indgået lokalaftale omkring weekendtimer(Kræver aftale med TR/FSL). Weekendtillæg udbetales.",I20="X",C20="ikke relevant")),K20*0.5,0)</f>
        <v>0</v>
      </c>
      <c r="EZ20" s="675">
        <f>IF(AND(AND(AND(Stamoplysninger!$B$26="Der er indgået lokalaftale omkring weekendtimer(Kræver aftale med TR/FSL). Weekendtillæg udbetales.",I20="X",C20="ikke relevant",S20="X"))),(V20*0.5),0)</f>
        <v>0</v>
      </c>
      <c r="FA20" s="283">
        <f>IF(AND(Stamoplysninger!$B$26="Der er indgået lokalaftale omkring weekendtillæg(Kræver aftale med TR/FSL). Weekendtimerne afspadseres.",I20="X"),K20,0)</f>
        <v>0</v>
      </c>
      <c r="FB20" s="251">
        <f>IF(AND(AND(Stamoplysninger!$B$26="Der er indgået lokalaftale omkring weekendtillæg(Kræver aftale med TR/FSL). Weekendtimerne afspadseres.",I20="X",S20="X")),V20,0)</f>
        <v>0</v>
      </c>
      <c r="FC20" s="674">
        <f>IF(AND(AND(Stamoplysninger!$B$26="Der er indgået lokalaftale omkring weekendtillæg(Kræver aftale med TR/FSL). Weekendtimerne afspadseres..",I20="X",C20="ikke relevant")),K20,0)</f>
        <v>0</v>
      </c>
      <c r="FD20" s="675">
        <f>IF(AND(AND(AND(Stamoplysninger!$B$26="Der er indgået lokalaftale omkring weekendtillæg(Kræver aftale med TR/FSL). Weekendtimerne afspadseres.",I20="X",C20="ikke relevant",S20="X"))),(V20),0)</f>
        <v>0</v>
      </c>
      <c r="FE20" s="283">
        <f>IF(AND(Stamoplysninger!$B$26="Der er indgået lokalaftale omkring weekendtillæg(Kræver aftale med TR/FSL). Weekendtimerne udbetales.",I20="X"),K20,0)</f>
        <v>0</v>
      </c>
      <c r="FF20" s="251">
        <f>IF(AND(AND(Stamoplysninger!$B$26="Der er indgået lokalaftale omkring weekendtillæg(Kræver aftale med TR/FSL). Weekendtimerne udbetales.",I20="X",S20="X")),V20,0)</f>
        <v>0</v>
      </c>
      <c r="FG20" s="674">
        <f>IF(AND(AND(Stamoplysninger!$B$26="Der er indgået lokalaftale omkring weekendtillæg(Kræver aftale med TR/FSL). Weekendtimerne udbetales.",I20="X",C20="ikke relevant")),K20,0)</f>
        <v>0</v>
      </c>
      <c r="FH20" s="675">
        <f>IF(AND(AND(AND(Stamoplysninger!$B$26="Der er indgået lokalaftale omkring weekendtillæg(Kræver aftale med TR/FSL). Weekendtimerne udbetales.",I20="X",C20="ikke relevant",S20="X"))),(V20),0)</f>
        <v>0</v>
      </c>
      <c r="FI20" s="283">
        <f>IF(AND(Stamoplysninger!$B$26="Weekendtimer og weekendtillæg afspadseres.",I20="X"),K20,0)</f>
        <v>0</v>
      </c>
      <c r="FJ20" s="251">
        <f>IF(AND(Stamoplysninger!$B$26="Weekendtimer og weekendtillæg afspadseres.",Y20="X"),(AA20+AL20)/2,0)</f>
        <v>0</v>
      </c>
      <c r="FK20" s="674">
        <f>IF(AND(AND(Stamoplysninger!$B$26="Weekendtimer og weekendtillæg afspadseres.",I20="X",C20="ikke relevant")),K20,0)</f>
        <v>0</v>
      </c>
      <c r="FL20" s="675">
        <f>IF(AND(AND(Stamoplysninger!$B$26="Weekendtimer og weekendtillæg afspadseres.",Y20="X",S20="ikke relevant")),(AA20+AL20)/2,0)</f>
        <v>0</v>
      </c>
      <c r="FM20" s="283">
        <f>IF(AND(Stamoplysninger!$B$26="Der er indgået lokalaftale omkring weekendtillæg(Kræver aftale med TR/FSL). Weekendtimerne afspadseres.",I20="X"),K20,0)</f>
        <v>0</v>
      </c>
      <c r="FN20" s="674">
        <f>IF(AND(AND(Stamoplysninger!$B$26="Der er indgået lokalaftale omkring weekendtillæg(Kræver aftale med TR/FSL). Weekendtimerne afspadseres.",I20="X",C20="ikke relevant")),K20,0)</f>
        <v>0</v>
      </c>
      <c r="FO20" s="283">
        <f>IF(AND(Stamoplysninger!$B$26="Weekendtimer og weekendtillæg udbetales.",I20="X"),K20,0)</f>
        <v>0</v>
      </c>
      <c r="FP20" s="251">
        <f>IF(AND(Stamoplysninger!$B$26="Weekendtimer og weekendtillæg udbetales.",AA20="X"),(AC20+AN20)/2,0)</f>
        <v>0</v>
      </c>
      <c r="FQ20" s="674">
        <f>IF(AND(AND(Stamoplysninger!$B$26="Weekendtimer og weekendtillæg udbetales.",I20="X",C20="ikke relevant")),K20,0)</f>
        <v>0</v>
      </c>
      <c r="FR20" s="688">
        <f>IF(AND(AND(Stamoplysninger!$B$26="Weekendtimer og weekendtillæg udbetales.",AA20="X",U20="ikke relevant")),(AC20+AN20)/2,0)</f>
        <v>0</v>
      </c>
      <c r="FS20" s="283">
        <f t="shared" si="15"/>
        <v>0</v>
      </c>
      <c r="FT20" s="658">
        <f t="shared" si="16"/>
        <v>0</v>
      </c>
      <c r="FU20">
        <f t="shared" si="17"/>
        <v>0</v>
      </c>
      <c r="FV20" s="283">
        <f>IF(AND(Stamoplysninger!$B$26="Der er indgået lokalaftale omkring weekendtimer.(Kræver aftale med TR/FSL) Weekendtillæg afspadseres.",I20="X"),K20,0)</f>
        <v>0</v>
      </c>
      <c r="FW20" s="674">
        <f>IF(AND(AND(Stamoplysninger!$B$26="Der er indgået lokalaftale omkring weekendtimer.(Kræver aftale med TR/FSL) Weekendtillæg afspadseres.",I20="X",C20="ikke relevant")),K20,0)</f>
        <v>0</v>
      </c>
      <c r="FX20" s="283">
        <f>IF(AND(Stamoplysninger!$B$26="Der er indgået lokalaftale omkring weekendtimer(Kræver aftale med TR/FSL). Weekendtillæg udbetales.",I20="X"),K20,0)</f>
        <v>0</v>
      </c>
      <c r="FY20" s="674">
        <f>IF(AND(AND(Stamoplysninger!$B$26="Der er indgået lokalaftale omkring weekendtimer(Kræver aftale med TR/FSL). Weekendtillæg udbetales.",I20="X",C20="ikke relevant")),K20,0)</f>
        <v>0</v>
      </c>
      <c r="FZ20" s="283">
        <f>IF(AND(Stamoplysninger!$B$26="Der er indgået lokalaftale omkring weekendtillæg(Kræver aftale med TR/FSL). Weekendtimerne udbetales.",I20="X"),K20,0)</f>
        <v>0</v>
      </c>
      <c r="GA20" s="674">
        <f>IF(AND(AND(Stamoplysninger!$B$26="Der er indgået lokalaftale omkring weekendtillæg(Kræver aftale med TR/FSL). Weekendtimerne udbetales.",I20="X",C20="ikke relevant")),K20,0)</f>
        <v>0</v>
      </c>
      <c r="GB20" s="283">
        <f>IF(AND(Stamoplysninger!$B$26="Der er indgået lokalaftale omkring weekendtimer og weekendtillæg.(Kræver aftale med TR/FSL).",I20="X"),K20,0)</f>
        <v>0</v>
      </c>
      <c r="GC20" s="674">
        <f>IF(AND(AND(Stamoplysninger!$B$26="Der er indgået lokalaftale omkring weekendtimer og weekendtillæg.(Kræver aftale med TR/FSL).",I20="X",C20="ikke relevant")),K20,0)</f>
        <v>0</v>
      </c>
    </row>
    <row r="21" spans="1:185">
      <c r="A21" s="245">
        <f>IF(ISNUMBER(A20),A20+1,1)</f>
        <v>13</v>
      </c>
      <c r="B21" s="128" t="str">
        <f t="shared" si="0"/>
        <v>fr</v>
      </c>
      <c r="C21" s="129" t="s">
        <v>137</v>
      </c>
      <c r="D21" s="130" t="str">
        <f t="shared" si="1"/>
        <v/>
      </c>
      <c r="E21" s="949" t="s">
        <v>700</v>
      </c>
      <c r="F21" s="950"/>
      <c r="G21" s="951"/>
      <c r="H21" s="297"/>
      <c r="I21" s="527"/>
      <c r="J21" s="413"/>
      <c r="K21" s="380">
        <v>14</v>
      </c>
      <c r="L21" s="380">
        <v>6</v>
      </c>
      <c r="M21" s="380"/>
      <c r="N21" s="318">
        <f t="shared" si="19"/>
        <v>14</v>
      </c>
      <c r="O21" s="318">
        <f t="shared" si="20"/>
        <v>6</v>
      </c>
      <c r="P21" s="318">
        <f>IF(Stamoplysninger!$H$29="JA",September!DG21,CX21)</f>
        <v>0</v>
      </c>
      <c r="Q21" s="318">
        <f t="shared" si="21"/>
        <v>0</v>
      </c>
      <c r="R21" s="319"/>
      <c r="S21" s="324"/>
      <c r="T21" s="325"/>
      <c r="U21" s="325"/>
      <c r="V21" s="435"/>
      <c r="W21" s="435"/>
      <c r="X21" s="644"/>
      <c r="Y21">
        <f t="shared" si="22"/>
        <v>0</v>
      </c>
      <c r="Z21" s="437">
        <f t="shared" si="23"/>
        <v>0</v>
      </c>
      <c r="AA21" s="1">
        <f t="shared" si="2"/>
        <v>0</v>
      </c>
      <c r="AB21" s="1">
        <f t="shared" si="3"/>
        <v>0</v>
      </c>
      <c r="AC21" s="1">
        <f t="shared" si="4"/>
        <v>0</v>
      </c>
      <c r="AD21" s="1">
        <f t="shared" si="5"/>
        <v>0</v>
      </c>
      <c r="AE21" s="1">
        <f t="shared" si="6"/>
        <v>14</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4"/>
        <v>14</v>
      </c>
      <c r="BB21" s="229">
        <f t="shared" si="7"/>
        <v>0</v>
      </c>
      <c r="BC21" s="1">
        <f t="shared" si="25"/>
        <v>6</v>
      </c>
      <c r="BD21" s="1">
        <f t="shared" si="8"/>
        <v>0</v>
      </c>
      <c r="BE21" s="1">
        <f t="shared" si="9"/>
        <v>0</v>
      </c>
      <c r="BF21" s="1">
        <f t="shared" si="10"/>
        <v>0</v>
      </c>
      <c r="BG21" s="210" t="str">
        <f>IF(AND(C21="Skema 1",B21="ma"),Skemaoplysninger!$E$30,"")</f>
        <v/>
      </c>
      <c r="BH21" s="210" t="str">
        <f>IF(AND(C21="Skema 1",B21="ti"),Skemaoplysninger!$G$30,"")</f>
        <v/>
      </c>
      <c r="BI21" s="210" t="str">
        <f>IF(AND(C21="Skema 1",B21="on"),Skemaoplysninger!$I$30,"")</f>
        <v/>
      </c>
      <c r="BJ21" s="210" t="str">
        <f>IF(AND(C21="Skema 1",B21="to"),Skemaoplysninger!$K$30,"")</f>
        <v/>
      </c>
      <c r="BK21" s="210" t="str">
        <f>IF(AND(C21="Skema 1",B21="fr"),Skemaoplysninger!$M$30,"")</f>
        <v/>
      </c>
      <c r="BL21" s="210" t="str">
        <f>IF(AND(C21="Skema 2",B21="ma"),Skemaoplysninger!$S$30,"")</f>
        <v/>
      </c>
      <c r="BM21" s="210" t="str">
        <f>IF(AND(C21="Skema 2",B21="ti"),Skemaoplysninger!$U$30,"")</f>
        <v/>
      </c>
      <c r="BN21" s="210" t="str">
        <f>IF(AND(C21="Skema 2",B21="on"),Skemaoplysninger!$W$30,"")</f>
        <v/>
      </c>
      <c r="BO21" s="210" t="str">
        <f>IF(AND(C21="Skema 2",B21="to"),Skemaoplysninger!$Y$30,"")</f>
        <v/>
      </c>
      <c r="BP21" s="210" t="str">
        <f>IF(AND(C21="Skema 2",B21="fr"),Skemaoplysninger!$AA$30,"")</f>
        <v/>
      </c>
      <c r="BQ21" s="210" t="str">
        <f>IF(AND(C21="Skema 3",B21="ma"),Skemaoplysninger!$AG$30,"")</f>
        <v/>
      </c>
      <c r="BR21" s="210" t="str">
        <f>IF(AND(C21="Skema 3",B21="ti"),Skemaoplysninger!$AI$30,"")</f>
        <v/>
      </c>
      <c r="BS21" s="210" t="str">
        <f>IF(AND(C21="Skema 3",B21="on"),Skemaoplysninger!$AK$30,"")</f>
        <v/>
      </c>
      <c r="BT21" s="210" t="str">
        <f>IF(AND(C21="Skema 3",B21="to"),Skemaoplysninger!$AM$30,"")</f>
        <v/>
      </c>
      <c r="BU21" s="210" t="str">
        <f>IF(AND(C21="Skema 3",B21="fr"),Skemaoplysninger!$AO$30,"")</f>
        <v/>
      </c>
      <c r="BV21" s="210" t="str">
        <f>IF(AND(C21="Skema 4",B21="ma"),Skemaoplysninger!$AU$30,"")</f>
        <v/>
      </c>
      <c r="BW21" s="210" t="str">
        <f>IF(AND(C21="Skema 4",B21="ti"),Skemaoplysninger!$AW$30,"")</f>
        <v/>
      </c>
      <c r="BX21" s="210" t="str">
        <f>IF(AND(C21="Skema 4",B21="on"),Skemaoplysninger!$AY$30,"")</f>
        <v/>
      </c>
      <c r="BY21" s="210" t="str">
        <f>IF(AND(C21="Skema 4",B21="to"),Skemaoplysninger!$BA$30,"")</f>
        <v/>
      </c>
      <c r="BZ21" s="210" t="str">
        <f>IF(AND(C21="Skema 4",B21="fr"),Skemaoplysninger!$BC$30,"")</f>
        <v/>
      </c>
      <c r="CA21" s="1">
        <f t="shared" si="26"/>
        <v>6</v>
      </c>
      <c r="CB21" s="1">
        <f t="shared" si="11"/>
        <v>0</v>
      </c>
      <c r="CC21" s="1">
        <f t="shared" si="12"/>
        <v>0</v>
      </c>
      <c r="CD21" s="210" t="str">
        <f>IF(AND(C21="Skema 1",B21="ma"),Skemaoplysninger!$E$31,"")</f>
        <v/>
      </c>
      <c r="CE21" s="210" t="str">
        <f>IF(AND(C21="Skema 1",B21="ti"),Skemaoplysninger!$G$31,"")</f>
        <v/>
      </c>
      <c r="CF21" s="210" t="str">
        <f>IF(AND(C21="Skema 1",B21="on"),Skemaoplysninger!$I$31,"")</f>
        <v/>
      </c>
      <c r="CG21" s="210" t="str">
        <f>IF(AND(C21="Skema 1",B21="to"),Skemaoplysninger!$K$31,"")</f>
        <v/>
      </c>
      <c r="CH21" s="210" t="str">
        <f>IF(AND(C21="Skema 1",B21="fr"),Skemaoplysninger!$M$31,"")</f>
        <v/>
      </c>
      <c r="CI21" s="210" t="str">
        <f>IF(AND(C21="Skema 2",B21="ma"),Skemaoplysninger!$S$31,"")</f>
        <v/>
      </c>
      <c r="CJ21" s="210" t="str">
        <f>IF(AND(C21="Skema 2",B21="ti"),Skemaoplysninger!$U$31,"")</f>
        <v/>
      </c>
      <c r="CK21" s="210" t="str">
        <f>IF(AND(C21="Skema 2",B21="on"),Skemaoplysninger!$W$31,"")</f>
        <v/>
      </c>
      <c r="CL21" s="210" t="str">
        <f>IF(AND(C21="Skema 2",B21="to"),Skemaoplysninger!$Y$31,"")</f>
        <v/>
      </c>
      <c r="CM21" s="210" t="str">
        <f>IF(AND(C21="Skema 2",B21="fr"),Skemaoplysninger!$AA$31,"")</f>
        <v/>
      </c>
      <c r="CN21" s="210" t="str">
        <f>IF(AND(C21="Skema 3",B21="ma"),Skemaoplysninger!$AG$31,"")</f>
        <v/>
      </c>
      <c r="CO21" s="210" t="str">
        <f>IF(AND(C21="Skema 3",B21="ti"),Skemaoplysninger!$AI$31,"")</f>
        <v/>
      </c>
      <c r="CP21" s="210" t="str">
        <f>IF(AND(C21="Skema 3",B21="on"),Skemaoplysninger!$AK$31,"")</f>
        <v/>
      </c>
      <c r="CQ21" s="210" t="str">
        <f>IF(AND(C21="Skema 3",B21="to"),Skemaoplysninger!$AM$31,"")</f>
        <v/>
      </c>
      <c r="CR21" s="210" t="str">
        <f>IF(AND(C21="Skema 3",B21="fr"),Skemaoplysninger!$AO$31,"")</f>
        <v/>
      </c>
      <c r="CS21" s="210" t="str">
        <f>IF(AND(C21="Skema 4",B21="ma"),Skemaoplysninger!$AU$31,"")</f>
        <v/>
      </c>
      <c r="CT21" s="210" t="str">
        <f>IF(AND(C21="Skema 4",B21="ti"),Skemaoplysninger!$AW$31,"")</f>
        <v/>
      </c>
      <c r="CU21" s="210" t="str">
        <f>IF(AND(C21="Skema 4",B21="on"),Skemaoplysninger!$AY$31,"")</f>
        <v/>
      </c>
      <c r="CV21" s="210" t="str">
        <f>IF(AND(C21="Skema 4",B21="to"),Skemaoplysninger!$BA$31,"")</f>
        <v/>
      </c>
      <c r="CW21" s="210" t="str">
        <f>IF(AND(C21="Skema 4",B21="fr"),Skemaoplysninger!$BC$31,"")</f>
        <v/>
      </c>
      <c r="CX21" s="249">
        <f>IF(Stamoplysninger!$H$29="NEJ",SUM(CD21:CW21)*24+CB21+CC21,0)</f>
        <v>0</v>
      </c>
      <c r="CY21" s="249">
        <f>IF(C21="Skema 1",Stamoplysninger!$H$30/200,0)</f>
        <v>0</v>
      </c>
      <c r="CZ21" s="249">
        <f>IF(C21="Skema 2",Stamoplysninger!$H$30/200,0)</f>
        <v>0</v>
      </c>
      <c r="DA21" s="249">
        <f>IF(C21="Skema 3",Stamoplysninger!$H$30/200,0)</f>
        <v>0</v>
      </c>
      <c r="DB21" s="249">
        <f>IF(C21="Skema 4",Stamoplysninger!$H$30/200,0)</f>
        <v>0</v>
      </c>
      <c r="DC21" s="249">
        <f>IF(C21="fagdag",Stamoplysninger!$H$30/200,0)</f>
        <v>0</v>
      </c>
      <c r="DD21" s="249">
        <f>IF(C21="emnedag",Stamoplysninger!$H$30/200,0)</f>
        <v>0</v>
      </c>
      <c r="DE21" s="249">
        <f>IF(C21="lejrskole",Stamoplysninger!$H$30/200,0)</f>
        <v>0</v>
      </c>
      <c r="DF21" s="249">
        <f>IF(C21="ekskursion",Stamoplysninger!$H$30/200,0)</f>
        <v>0</v>
      </c>
      <c r="DG21" s="249">
        <f t="shared" si="27"/>
        <v>0</v>
      </c>
      <c r="DH21" t="str">
        <f t="shared" si="28"/>
        <v/>
      </c>
      <c r="DI21" t="str">
        <f t="shared" si="29"/>
        <v>Skolebyt - forventet hjemkomst kl. 14:00</v>
      </c>
      <c r="DJ21" t="str">
        <f t="shared" si="30"/>
        <v/>
      </c>
      <c r="DK21" t="str">
        <f t="shared" si="13"/>
        <v/>
      </c>
      <c r="DL21" t="str">
        <f t="shared" si="13"/>
        <v>Skolebyt - forventet hjemkomst kl. 14:00</v>
      </c>
      <c r="DM21" t="str">
        <f t="shared" si="13"/>
        <v/>
      </c>
      <c r="DN21" t="str">
        <f t="shared" si="31"/>
        <v>Skolebyt - forventet hjemkomst kl. 14:00</v>
      </c>
      <c r="DO21" s="652">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71">
        <f>IF(AND(Stamoplysninger!$B$22="Ulempetillæg udbetales med 25% af nettotimelønnen.",C21="ikke relevant"),(R21)/4,0)</f>
        <v>0</v>
      </c>
      <c r="DT21" s="671">
        <f>IF(AND(AND(Stamoplysninger!$B$22="Ulempetillæg udbetales med 25% af nettotimelønnen.",I21="X",C21="Ikke relevant")),K21/4,0)</f>
        <v>0</v>
      </c>
      <c r="DU21" s="671">
        <f>IF(AND(AND(Stamoplysninger!$B$22="Ulempetillæg udbetales med 25% af nettotimelønnen.",C21="ikke relevant",U21="X")),(X21/4),0)</f>
        <v>0</v>
      </c>
      <c r="DV21" s="672">
        <f>IF(AND(AND(AND(Stamoplysninger!$B$22="Ulempetillæg udbetales med 25% af nettotimelønnen.",I21="X",C21="Ikke relevant",S21="X"))),V21/4,0)</f>
        <v>0</v>
      </c>
      <c r="DW21" s="652"/>
      <c r="DZ21" s="671"/>
      <c r="EA21" s="671"/>
      <c r="EB21" s="672"/>
      <c r="EC21" s="652">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71">
        <f>IF(AND(Stamoplysninger!$B$22="Ulempetillæg afspadseres med 25%(Kræver en aftale imellem ledelsen og den ansatte)",C21="ikke relevant"),(R21)/4,0)</f>
        <v>0</v>
      </c>
      <c r="EH21" s="671">
        <f>IF(AND(AND(Stamoplysninger!$B$22="Ulempetillæg afspadseres med 25%(Kræver en aftale imellem ledelsen og den ansatte)",I21="X",C21="Ikke relevant")),K21/4,0)</f>
        <v>0</v>
      </c>
      <c r="EI21" s="671">
        <f>IF(AND(AND(Stamoplysninger!$B$22="Ulempetillæg afspadseres med 25%(Kræver en aftale imellem ledelsen og den ansatte)",U21="X",C21="Ikke relevant")),X21/4,0)</f>
        <v>0</v>
      </c>
      <c r="EJ21" s="671">
        <f>IF(AND(AND(AND(Stamoplysninger!$B$22="Ulempetillæg afspadseres med 25%(Kræver en aftale imellem ledelsen og den ansatte)",I21="X",C21="Ikke relevant",S21="X"))),V21/4,0)</f>
        <v>0</v>
      </c>
      <c r="EK21" s="283">
        <f>IF(AND(Stamoplysninger!$B$26="Weekendtimer og weekendtillæg afspadseres.",I21="X"),K21*1.5,0)</f>
        <v>0</v>
      </c>
      <c r="EL21" s="251">
        <f>IF(AND(AND(Stamoplysninger!$B$26="Weekendtimer og weekendtillæg afspadseres.",I21="X",S21="X")),V21*1.5,0)</f>
        <v>0</v>
      </c>
      <c r="EM21" s="674">
        <f>IF(AND(AND(Stamoplysninger!$B$26="Weekendtimer og weekendtillæg afspadseres.",I21="X",C21="ikke relevant")),K21*1.5,0)</f>
        <v>0</v>
      </c>
      <c r="EN21" s="675">
        <f>IF(AND(AND(AND(Stamoplysninger!$B$26="Weekendtimer og weekendtillæg afspadseres.",I21="X",C21="ikke relevant",S21="X"))),(V21*1.5),0)</f>
        <v>0</v>
      </c>
      <c r="EO21" s="283">
        <f>IF(AND(Stamoplysninger!$B$26="Weekendtimer og weekendtillæg udbetales.",I21="X"),K21*1.5,0)</f>
        <v>0</v>
      </c>
      <c r="EP21" s="251">
        <f>IF(AND(AND(Stamoplysninger!$B$26="Weekendtimer og weekendtillæg udbetales.",I21="X",S21="X")),V21*1.5,0)</f>
        <v>0</v>
      </c>
      <c r="EQ21" s="674">
        <f>IF(AND(AND(Stamoplysninger!$B$26="Weekendtimer og weekendtillæg udbetales.",I21="X",C21="ikke relevant")),K21*1.5,0)</f>
        <v>0</v>
      </c>
      <c r="ER21" s="675">
        <f>IF(AND(AND(AND(Stamoplysninger!$B$26="Weekendtimer og weekendtillæg udbetales.",I21="X",C21="ikke relevant",S21="X"))),(V21*1.5),0)</f>
        <v>0</v>
      </c>
      <c r="ES21" s="283">
        <f>IF(AND(Stamoplysninger!$B$26="Der er indgået lokalaftale omkring weekendtimer.(Kræver aftale med TR/FSL) Weekendtillæg afspadseres.",I21="X"),K21*0.5,0)</f>
        <v>0</v>
      </c>
      <c r="ET21" s="251">
        <f>IF(AND(AND(Stamoplysninger!$B$26="Der er indgået lokalaftale omkring weekendtimer.(Kræver aftale med TR/FSL) Weekendtillæg afspadseres.",I21="X",S21="X")),V21*0.5,0)</f>
        <v>0</v>
      </c>
      <c r="EU21" s="674">
        <f>IF(AND(AND(Stamoplysninger!$B$26="Der er indgået lokalaftale omkring weekendtimer.(Kræver aftale med TR/FSL) Weekendtillæg afspadseres.",I21="X",C21="ikke relevant")),K21*0.5,0)</f>
        <v>0</v>
      </c>
      <c r="EV21" s="675">
        <f>IF(AND(AND(AND(Stamoplysninger!$B$26="Der er indgået lokalaftale omkring weekendtimer.(Kræver aftale med TR/FSL) Weekendtillæg afspadseres.",I21="X",C21="ikke relevant",S21="X"))),(V21*0.5),0)</f>
        <v>0</v>
      </c>
      <c r="EW21" s="283">
        <f>IF(AND(Stamoplysninger!$B$26="Der er indgået lokalaftale omkring weekendtimer(Kræver aftale med TR/FSL). Weekendtillæg udbetales.",I21="X"),K21*0.5,0)</f>
        <v>0</v>
      </c>
      <c r="EX21" s="251">
        <f>IF(AND(AND(Stamoplysninger!$B$26="Der er indgået lokalaftale omkring weekendtimer(Kræver aftale med TR/FSL). Weekendtillæg udbetales.",I21="X",S21="X")),V21*0.5,0)</f>
        <v>0</v>
      </c>
      <c r="EY21" s="674">
        <f>IF(AND(AND(Stamoplysninger!$B$26="Der er indgået lokalaftale omkring weekendtimer(Kræver aftale med TR/FSL). Weekendtillæg udbetales.",I21="X",C21="ikke relevant")),K21*0.5,0)</f>
        <v>0</v>
      </c>
      <c r="EZ21" s="675">
        <f>IF(AND(AND(AND(Stamoplysninger!$B$26="Der er indgået lokalaftale omkring weekendtimer(Kræver aftale med TR/FSL). Weekendtillæg udbetales.",I21="X",C21="ikke relevant",S21="X"))),(V21*0.5),0)</f>
        <v>0</v>
      </c>
      <c r="FA21" s="283">
        <f>IF(AND(Stamoplysninger!$B$26="Der er indgået lokalaftale omkring weekendtillæg(Kræver aftale med TR/FSL). Weekendtimerne afspadseres.",I21="X"),K21,0)</f>
        <v>0</v>
      </c>
      <c r="FB21" s="251">
        <f>IF(AND(AND(Stamoplysninger!$B$26="Der er indgået lokalaftale omkring weekendtillæg(Kræver aftale med TR/FSL). Weekendtimerne afspadseres.",I21="X",S21="X")),V21,0)</f>
        <v>0</v>
      </c>
      <c r="FC21" s="674">
        <f>IF(AND(AND(Stamoplysninger!$B$26="Der er indgået lokalaftale omkring weekendtillæg(Kræver aftale med TR/FSL). Weekendtimerne afspadseres..",I21="X",C21="ikke relevant")),K21,0)</f>
        <v>0</v>
      </c>
      <c r="FD21" s="675">
        <f>IF(AND(AND(AND(Stamoplysninger!$B$26="Der er indgået lokalaftale omkring weekendtillæg(Kræver aftale med TR/FSL). Weekendtimerne afspadseres.",I21="X",C21="ikke relevant",S21="X"))),(V21),0)</f>
        <v>0</v>
      </c>
      <c r="FE21" s="283">
        <f>IF(AND(Stamoplysninger!$B$26="Der er indgået lokalaftale omkring weekendtillæg(Kræver aftale med TR/FSL). Weekendtimerne udbetales.",I21="X"),K21,0)</f>
        <v>0</v>
      </c>
      <c r="FF21" s="251">
        <f>IF(AND(AND(Stamoplysninger!$B$26="Der er indgået lokalaftale omkring weekendtillæg(Kræver aftale med TR/FSL). Weekendtimerne udbetales.",I21="X",S21="X")),V21,0)</f>
        <v>0</v>
      </c>
      <c r="FG21" s="674">
        <f>IF(AND(AND(Stamoplysninger!$B$26="Der er indgået lokalaftale omkring weekendtillæg(Kræver aftale med TR/FSL). Weekendtimerne udbetales.",I21="X",C21="ikke relevant")),K21,0)</f>
        <v>0</v>
      </c>
      <c r="FH21" s="675">
        <f>IF(AND(AND(AND(Stamoplysninger!$B$26="Der er indgået lokalaftale omkring weekendtillæg(Kræver aftale med TR/FSL). Weekendtimerne udbetales.",I21="X",C21="ikke relevant",S21="X"))),(V21),0)</f>
        <v>0</v>
      </c>
      <c r="FI21" s="283">
        <f>IF(AND(Stamoplysninger!$B$26="Weekendtimer og weekendtillæg afspadseres.",I21="X"),K21,0)</f>
        <v>0</v>
      </c>
      <c r="FJ21" s="251">
        <f>IF(AND(Stamoplysninger!$B$26="Weekendtimer og weekendtillæg afspadseres.",Y21="X"),(AA21+AL21)/2,0)</f>
        <v>0</v>
      </c>
      <c r="FK21" s="674">
        <f>IF(AND(AND(Stamoplysninger!$B$26="Weekendtimer og weekendtillæg afspadseres.",I21="X",C21="ikke relevant")),K21,0)</f>
        <v>0</v>
      </c>
      <c r="FL21" s="675">
        <f>IF(AND(AND(Stamoplysninger!$B$26="Weekendtimer og weekendtillæg afspadseres.",Y21="X",S21="ikke relevant")),(AA21+AL21)/2,0)</f>
        <v>0</v>
      </c>
      <c r="FM21" s="283">
        <f>IF(AND(Stamoplysninger!$B$26="Der er indgået lokalaftale omkring weekendtillæg(Kræver aftale med TR/FSL). Weekendtimerne afspadseres.",I21="X"),K21,0)</f>
        <v>0</v>
      </c>
      <c r="FN21" s="674">
        <f>IF(AND(AND(Stamoplysninger!$B$26="Der er indgået lokalaftale omkring weekendtillæg(Kræver aftale med TR/FSL). Weekendtimerne afspadseres.",I21="X",C21="ikke relevant")),K21,0)</f>
        <v>0</v>
      </c>
      <c r="FO21" s="283">
        <f>IF(AND(Stamoplysninger!$B$26="Weekendtimer og weekendtillæg udbetales.",I21="X"),K21,0)</f>
        <v>0</v>
      </c>
      <c r="FP21" s="251">
        <f>IF(AND(Stamoplysninger!$B$26="Weekendtimer og weekendtillæg udbetales.",AA21="X"),(AC21+AN21)/2,0)</f>
        <v>0</v>
      </c>
      <c r="FQ21" s="674">
        <f>IF(AND(AND(Stamoplysninger!$B$26="Weekendtimer og weekendtillæg udbetales.",I21="X",C21="ikke relevant")),K21,0)</f>
        <v>0</v>
      </c>
      <c r="FR21" s="688">
        <f>IF(AND(AND(Stamoplysninger!$B$26="Weekendtimer og weekendtillæg udbetales.",AA21="X",U21="ikke relevant")),(AC21+AN21)/2,0)</f>
        <v>0</v>
      </c>
      <c r="FS21" s="283">
        <f t="shared" si="15"/>
        <v>0</v>
      </c>
      <c r="FT21" s="658">
        <f t="shared" si="16"/>
        <v>0</v>
      </c>
      <c r="FU21">
        <f t="shared" si="17"/>
        <v>0</v>
      </c>
      <c r="FV21" s="283">
        <f>IF(AND(Stamoplysninger!$B$26="Der er indgået lokalaftale omkring weekendtimer.(Kræver aftale med TR/FSL) Weekendtillæg afspadseres.",I21="X"),K21,0)</f>
        <v>0</v>
      </c>
      <c r="FW21" s="674">
        <f>IF(AND(AND(Stamoplysninger!$B$26="Der er indgået lokalaftale omkring weekendtimer.(Kræver aftale med TR/FSL) Weekendtillæg afspadseres.",I21="X",C21="ikke relevant")),K21,0)</f>
        <v>0</v>
      </c>
      <c r="FX21" s="283">
        <f>IF(AND(Stamoplysninger!$B$26="Der er indgået lokalaftale omkring weekendtimer(Kræver aftale med TR/FSL). Weekendtillæg udbetales.",I21="X"),K21,0)</f>
        <v>0</v>
      </c>
      <c r="FY21" s="674">
        <f>IF(AND(AND(Stamoplysninger!$B$26="Der er indgået lokalaftale omkring weekendtimer(Kræver aftale med TR/FSL). Weekendtillæg udbetales.",I21="X",C21="ikke relevant")),K21,0)</f>
        <v>0</v>
      </c>
      <c r="FZ21" s="283">
        <f>IF(AND(Stamoplysninger!$B$26="Der er indgået lokalaftale omkring weekendtillæg(Kræver aftale med TR/FSL). Weekendtimerne udbetales.",I21="X"),K21,0)</f>
        <v>0</v>
      </c>
      <c r="GA21" s="674">
        <f>IF(AND(AND(Stamoplysninger!$B$26="Der er indgået lokalaftale omkring weekendtillæg(Kræver aftale med TR/FSL). Weekendtimerne udbetales.",I21="X",C21="ikke relevant")),K21,0)</f>
        <v>0</v>
      </c>
      <c r="GB21" s="283">
        <f>IF(AND(Stamoplysninger!$B$26="Der er indgået lokalaftale omkring weekendtimer og weekendtillæg.(Kræver aftale med TR/FSL).",I21="X"),K21,0)</f>
        <v>0</v>
      </c>
      <c r="GC21" s="674">
        <f>IF(AND(AND(Stamoplysninger!$B$26="Der er indgået lokalaftale omkring weekendtimer og weekendtillæg.(Kræver aftale med TR/FSL).",I21="X",C21="ikke relevant")),K21,0)</f>
        <v>0</v>
      </c>
    </row>
    <row r="22" spans="1:185">
      <c r="A22" s="245">
        <f t="shared" si="18"/>
        <v>14</v>
      </c>
      <c r="B22" s="128" t="str">
        <f t="shared" si="0"/>
        <v>lø</v>
      </c>
      <c r="C22" s="129" t="s">
        <v>120</v>
      </c>
      <c r="D22" s="130" t="str">
        <f t="shared" si="1"/>
        <v/>
      </c>
      <c r="E22" s="949"/>
      <c r="F22" s="950"/>
      <c r="G22" s="951"/>
      <c r="H22" s="297"/>
      <c r="I22" s="413"/>
      <c r="J22" s="413"/>
      <c r="K22" s="380"/>
      <c r="L22" s="380"/>
      <c r="M22" s="380"/>
      <c r="N22" s="318">
        <f t="shared" si="19"/>
        <v>0</v>
      </c>
      <c r="O22" s="318">
        <f t="shared" si="20"/>
        <v>0</v>
      </c>
      <c r="P22" s="318">
        <f>IF(Stamoplysninger!$H$29="JA",September!DG22,CX22)</f>
        <v>0</v>
      </c>
      <c r="Q22" s="318">
        <f t="shared" si="21"/>
        <v>0</v>
      </c>
      <c r="R22" s="319"/>
      <c r="S22" s="324"/>
      <c r="T22" s="325"/>
      <c r="U22" s="325"/>
      <c r="V22" s="435"/>
      <c r="W22" s="435"/>
      <c r="X22" s="644"/>
      <c r="Y22">
        <f t="shared" si="22"/>
        <v>0</v>
      </c>
      <c r="Z22" s="437">
        <f t="shared" si="23"/>
        <v>0</v>
      </c>
      <c r="AA22" s="1">
        <f t="shared" si="2"/>
        <v>0</v>
      </c>
      <c r="AB22" s="1">
        <f t="shared" si="3"/>
        <v>0</v>
      </c>
      <c r="AC22" s="1">
        <f t="shared" si="4"/>
        <v>0</v>
      </c>
      <c r="AD22" s="1">
        <f t="shared" si="5"/>
        <v>0</v>
      </c>
      <c r="AE22" s="1">
        <f t="shared" si="6"/>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4"/>
        <v>0</v>
      </c>
      <c r="BB22" s="229">
        <f t="shared" si="7"/>
        <v>0</v>
      </c>
      <c r="BC22" s="1">
        <f t="shared" si="25"/>
        <v>0</v>
      </c>
      <c r="BD22" s="1">
        <f t="shared" si="8"/>
        <v>0</v>
      </c>
      <c r="BE22" s="1">
        <f t="shared" si="9"/>
        <v>0</v>
      </c>
      <c r="BF22" s="1">
        <f t="shared" si="10"/>
        <v>0</v>
      </c>
      <c r="BG22" s="210" t="str">
        <f>IF(AND(C22="Skema 1",B22="ma"),Skemaoplysninger!$E$30,"")</f>
        <v/>
      </c>
      <c r="BH22" s="210" t="str">
        <f>IF(AND(C22="Skema 1",B22="ti"),Skemaoplysninger!$G$30,"")</f>
        <v/>
      </c>
      <c r="BI22" s="210" t="str">
        <f>IF(AND(C22="Skema 1",B22="on"),Skemaoplysninger!$I$30,"")</f>
        <v/>
      </c>
      <c r="BJ22" s="210" t="str">
        <f>IF(AND(C22="Skema 1",B22="to"),Skemaoplysninger!$K$30,"")</f>
        <v/>
      </c>
      <c r="BK22" s="210" t="str">
        <f>IF(AND(C22="Skema 1",B22="fr"),Skemaoplysninger!$M$30,"")</f>
        <v/>
      </c>
      <c r="BL22" s="210" t="str">
        <f>IF(AND(C22="Skema 2",B22="ma"),Skemaoplysninger!$S$30,"")</f>
        <v/>
      </c>
      <c r="BM22" s="210" t="str">
        <f>IF(AND(C22="Skema 2",B22="ti"),Skemaoplysninger!$U$30,"")</f>
        <v/>
      </c>
      <c r="BN22" s="210" t="str">
        <f>IF(AND(C22="Skema 2",B22="on"),Skemaoplysninger!$W$30,"")</f>
        <v/>
      </c>
      <c r="BO22" s="210" t="str">
        <f>IF(AND(C22="Skema 2",B22="to"),Skemaoplysninger!$Y$30,"")</f>
        <v/>
      </c>
      <c r="BP22" s="210" t="str">
        <f>IF(AND(C22="Skema 2",B22="fr"),Skemaoplysninger!$AA$30,"")</f>
        <v/>
      </c>
      <c r="BQ22" s="210" t="str">
        <f>IF(AND(C22="Skema 3",B22="ma"),Skemaoplysninger!$AG$30,"")</f>
        <v/>
      </c>
      <c r="BR22" s="210" t="str">
        <f>IF(AND(C22="Skema 3",B22="ti"),Skemaoplysninger!$AI$30,"")</f>
        <v/>
      </c>
      <c r="BS22" s="210" t="str">
        <f>IF(AND(C22="Skema 3",B22="on"),Skemaoplysninger!$AK$30,"")</f>
        <v/>
      </c>
      <c r="BT22" s="210" t="str">
        <f>IF(AND(C22="Skema 3",B22="to"),Skemaoplysninger!$AM$30,"")</f>
        <v/>
      </c>
      <c r="BU22" s="210" t="str">
        <f>IF(AND(C22="Skema 3",B22="fr"),Skemaoplysninger!$AO$30,"")</f>
        <v/>
      </c>
      <c r="BV22" s="210" t="str">
        <f>IF(AND(C22="Skema 4",B22="ma"),Skemaoplysninger!$AU$30,"")</f>
        <v/>
      </c>
      <c r="BW22" s="210" t="str">
        <f>IF(AND(C22="Skema 4",B22="ti"),Skemaoplysninger!$AW$30,"")</f>
        <v/>
      </c>
      <c r="BX22" s="210" t="str">
        <f>IF(AND(C22="Skema 4",B22="on"),Skemaoplysninger!$AY$30,"")</f>
        <v/>
      </c>
      <c r="BY22" s="210" t="str">
        <f>IF(AND(C22="Skema 4",B22="to"),Skemaoplysninger!$BA$30,"")</f>
        <v/>
      </c>
      <c r="BZ22" s="210" t="str">
        <f>IF(AND(C22="Skema 4",B22="fr"),Skemaoplysninger!$BC$30,"")</f>
        <v/>
      </c>
      <c r="CA22" s="1">
        <f t="shared" si="26"/>
        <v>0</v>
      </c>
      <c r="CB22" s="1">
        <f t="shared" si="11"/>
        <v>0</v>
      </c>
      <c r="CC22" s="1">
        <f t="shared" si="12"/>
        <v>0</v>
      </c>
      <c r="CD22" s="210" t="str">
        <f>IF(AND(C22="Skema 1",B22="ma"),Skemaoplysninger!$E$31,"")</f>
        <v/>
      </c>
      <c r="CE22" s="210" t="str">
        <f>IF(AND(C22="Skema 1",B22="ti"),Skemaoplysninger!$G$31,"")</f>
        <v/>
      </c>
      <c r="CF22" s="210" t="str">
        <f>IF(AND(C22="Skema 1",B22="on"),Skemaoplysninger!$I$31,"")</f>
        <v/>
      </c>
      <c r="CG22" s="210" t="str">
        <f>IF(AND(C22="Skema 1",B22="to"),Skemaoplysninger!$K$31,"")</f>
        <v/>
      </c>
      <c r="CH22" s="210" t="str">
        <f>IF(AND(C22="Skema 1",B22="fr"),Skemaoplysninger!$M$31,"")</f>
        <v/>
      </c>
      <c r="CI22" s="210" t="str">
        <f>IF(AND(C22="Skema 2",B22="ma"),Skemaoplysninger!$S$31,"")</f>
        <v/>
      </c>
      <c r="CJ22" s="210" t="str">
        <f>IF(AND(C22="Skema 2",B22="ti"),Skemaoplysninger!$U$31,"")</f>
        <v/>
      </c>
      <c r="CK22" s="210" t="str">
        <f>IF(AND(C22="Skema 2",B22="on"),Skemaoplysninger!$W$31,"")</f>
        <v/>
      </c>
      <c r="CL22" s="210" t="str">
        <f>IF(AND(C22="Skema 2",B22="to"),Skemaoplysninger!$Y$31,"")</f>
        <v/>
      </c>
      <c r="CM22" s="210" t="str">
        <f>IF(AND(C22="Skema 2",B22="fr"),Skemaoplysninger!$AA$31,"")</f>
        <v/>
      </c>
      <c r="CN22" s="210" t="str">
        <f>IF(AND(C22="Skema 3",B22="ma"),Skemaoplysninger!$AG$31,"")</f>
        <v/>
      </c>
      <c r="CO22" s="210" t="str">
        <f>IF(AND(C22="Skema 3",B22="ti"),Skemaoplysninger!$AI$31,"")</f>
        <v/>
      </c>
      <c r="CP22" s="210" t="str">
        <f>IF(AND(C22="Skema 3",B22="on"),Skemaoplysninger!$AK$31,"")</f>
        <v/>
      </c>
      <c r="CQ22" s="210" t="str">
        <f>IF(AND(C22="Skema 3",B22="to"),Skemaoplysninger!$AM$31,"")</f>
        <v/>
      </c>
      <c r="CR22" s="210" t="str">
        <f>IF(AND(C22="Skema 3",B22="fr"),Skemaoplysninger!$AO$31,"")</f>
        <v/>
      </c>
      <c r="CS22" s="210" t="str">
        <f>IF(AND(C22="Skema 4",B22="ma"),Skemaoplysninger!$AU$31,"")</f>
        <v/>
      </c>
      <c r="CT22" s="210" t="str">
        <f>IF(AND(C22="Skema 4",B22="ti"),Skemaoplysninger!$AW$31,"")</f>
        <v/>
      </c>
      <c r="CU22" s="210" t="str">
        <f>IF(AND(C22="Skema 4",B22="on"),Skemaoplysninger!$AY$31,"")</f>
        <v/>
      </c>
      <c r="CV22" s="210" t="str">
        <f>IF(AND(C22="Skema 4",B22="to"),Skemaoplysninger!$BA$31,"")</f>
        <v/>
      </c>
      <c r="CW22" s="210" t="str">
        <f>IF(AND(C22="Skema 4",B22="fr"),Skemaoplysninger!$BC$31,"")</f>
        <v/>
      </c>
      <c r="CX22" s="249">
        <f>IF(Stamoplysninger!$H$29="NEJ",SUM(CD22:CW22)*24+CB22+CC22,0)</f>
        <v>0</v>
      </c>
      <c r="CY22" s="249">
        <f>IF(C22="Skema 1",Stamoplysninger!$H$30/200,0)</f>
        <v>0</v>
      </c>
      <c r="CZ22" s="249">
        <f>IF(C22="Skema 2",Stamoplysninger!$H$30/200,0)</f>
        <v>0</v>
      </c>
      <c r="DA22" s="249">
        <f>IF(C22="Skema 3",Stamoplysninger!$H$30/200,0)</f>
        <v>0</v>
      </c>
      <c r="DB22" s="249">
        <f>IF(C22="Skema 4",Stamoplysninger!$H$30/200,0)</f>
        <v>0</v>
      </c>
      <c r="DC22" s="249">
        <f>IF(C22="fagdag",Stamoplysninger!$H$30/200,0)</f>
        <v>0</v>
      </c>
      <c r="DD22" s="249">
        <f>IF(C22="emnedag",Stamoplysninger!$H$30/200,0)</f>
        <v>0</v>
      </c>
      <c r="DE22" s="249">
        <f>IF(C22="lejrskole",Stamoplysninger!$H$30/200,0)</f>
        <v>0</v>
      </c>
      <c r="DF22" s="249">
        <f>IF(C22="ekskursion",Stamoplysninger!$H$30/200,0)</f>
        <v>0</v>
      </c>
      <c r="DG22" s="249">
        <f t="shared" si="27"/>
        <v>0</v>
      </c>
      <c r="DH22" t="str">
        <f t="shared" si="28"/>
        <v/>
      </c>
      <c r="DI22">
        <f t="shared" si="29"/>
        <v>0</v>
      </c>
      <c r="DJ22">
        <f t="shared" si="30"/>
        <v>0</v>
      </c>
      <c r="DK22" t="str">
        <f t="shared" si="13"/>
        <v/>
      </c>
      <c r="DL22" t="str">
        <f t="shared" si="13"/>
        <v/>
      </c>
      <c r="DM22" t="str">
        <f t="shared" si="13"/>
        <v/>
      </c>
      <c r="DN22" t="str">
        <f t="shared" si="31"/>
        <v/>
      </c>
      <c r="DO22" s="652">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71">
        <f>IF(AND(Stamoplysninger!$B$22="Ulempetillæg udbetales med 25% af nettotimelønnen.",C22="ikke relevant"),(R22)/4,0)</f>
        <v>0</v>
      </c>
      <c r="DT22" s="671">
        <f>IF(AND(AND(Stamoplysninger!$B$22="Ulempetillæg udbetales med 25% af nettotimelønnen.",I22="X",C22="Ikke relevant")),K22/4,0)</f>
        <v>0</v>
      </c>
      <c r="DU22" s="671">
        <f>IF(AND(AND(Stamoplysninger!$B$22="Ulempetillæg udbetales med 25% af nettotimelønnen.",C22="ikke relevant",U22="X")),(X22/4),0)</f>
        <v>0</v>
      </c>
      <c r="DV22" s="672">
        <f>IF(AND(AND(AND(Stamoplysninger!$B$22="Ulempetillæg udbetales med 25% af nettotimelønnen.",I22="X",C22="Ikke relevant",S22="X"))),V22/4,0)</f>
        <v>0</v>
      </c>
      <c r="DW22" s="652"/>
      <c r="DZ22" s="671"/>
      <c r="EA22" s="671"/>
      <c r="EB22" s="672"/>
      <c r="EC22" s="652">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71">
        <f>IF(AND(Stamoplysninger!$B$22="Ulempetillæg afspadseres med 25%(Kræver en aftale imellem ledelsen og den ansatte)",C22="ikke relevant"),(R22)/4,0)</f>
        <v>0</v>
      </c>
      <c r="EH22" s="671">
        <f>IF(AND(AND(Stamoplysninger!$B$22="Ulempetillæg afspadseres med 25%(Kræver en aftale imellem ledelsen og den ansatte)",I22="X",C22="Ikke relevant")),K22/4,0)</f>
        <v>0</v>
      </c>
      <c r="EI22" s="671">
        <f>IF(AND(AND(Stamoplysninger!$B$22="Ulempetillæg afspadseres med 25%(Kræver en aftale imellem ledelsen og den ansatte)",U22="X",C22="Ikke relevant")),X22/4,0)</f>
        <v>0</v>
      </c>
      <c r="EJ22" s="671">
        <f>IF(AND(AND(AND(Stamoplysninger!$B$22="Ulempetillæg afspadseres med 25%(Kræver en aftale imellem ledelsen og den ansatte)",I22="X",C22="Ikke relevant",S22="X"))),V22/4,0)</f>
        <v>0</v>
      </c>
      <c r="EK22" s="283">
        <f>IF(AND(Stamoplysninger!$B$26="Weekendtimer og weekendtillæg afspadseres.",I22="X"),K22*1.5,0)</f>
        <v>0</v>
      </c>
      <c r="EL22" s="251">
        <f>IF(AND(AND(Stamoplysninger!$B$26="Weekendtimer og weekendtillæg afspadseres.",I22="X",S22="X")),V22*1.5,0)</f>
        <v>0</v>
      </c>
      <c r="EM22" s="674">
        <f>IF(AND(AND(Stamoplysninger!$B$26="Weekendtimer og weekendtillæg afspadseres.",I22="X",C22="ikke relevant")),K22*1.5,0)</f>
        <v>0</v>
      </c>
      <c r="EN22" s="675">
        <f>IF(AND(AND(AND(Stamoplysninger!$B$26="Weekendtimer og weekendtillæg afspadseres.",I22="X",C22="ikke relevant",S22="X"))),(V22*1.5),0)</f>
        <v>0</v>
      </c>
      <c r="EO22" s="283">
        <f>IF(AND(Stamoplysninger!$B$26="Weekendtimer og weekendtillæg udbetales.",I22="X"),K22*1.5,0)</f>
        <v>0</v>
      </c>
      <c r="EP22" s="251">
        <f>IF(AND(AND(Stamoplysninger!$B$26="Weekendtimer og weekendtillæg udbetales.",I22="X",S22="X")),V22*1.5,0)</f>
        <v>0</v>
      </c>
      <c r="EQ22" s="674">
        <f>IF(AND(AND(Stamoplysninger!$B$26="Weekendtimer og weekendtillæg udbetales.",I22="X",C22="ikke relevant")),K22*1.5,0)</f>
        <v>0</v>
      </c>
      <c r="ER22" s="675">
        <f>IF(AND(AND(AND(Stamoplysninger!$B$26="Weekendtimer og weekendtillæg udbetales.",I22="X",C22="ikke relevant",S22="X"))),(V22*1.5),0)</f>
        <v>0</v>
      </c>
      <c r="ES22" s="283">
        <f>IF(AND(Stamoplysninger!$B$26="Der er indgået lokalaftale omkring weekendtimer.(Kræver aftale med TR/FSL) Weekendtillæg afspadseres.",I22="X"),K22*0.5,0)</f>
        <v>0</v>
      </c>
      <c r="ET22" s="251">
        <f>IF(AND(AND(Stamoplysninger!$B$26="Der er indgået lokalaftale omkring weekendtimer.(Kræver aftale med TR/FSL) Weekendtillæg afspadseres.",I22="X",S22="X")),V22*0.5,0)</f>
        <v>0</v>
      </c>
      <c r="EU22" s="674">
        <f>IF(AND(AND(Stamoplysninger!$B$26="Der er indgået lokalaftale omkring weekendtimer.(Kræver aftale med TR/FSL) Weekendtillæg afspadseres.",I22="X",C22="ikke relevant")),K22*0.5,0)</f>
        <v>0</v>
      </c>
      <c r="EV22" s="675">
        <f>IF(AND(AND(AND(Stamoplysninger!$B$26="Der er indgået lokalaftale omkring weekendtimer.(Kræver aftale med TR/FSL) Weekendtillæg afspadseres.",I22="X",C22="ikke relevant",S22="X"))),(V22*0.5),0)</f>
        <v>0</v>
      </c>
      <c r="EW22" s="283">
        <f>IF(AND(Stamoplysninger!$B$26="Der er indgået lokalaftale omkring weekendtimer(Kræver aftale med TR/FSL). Weekendtillæg udbetales.",I22="X"),K22*0.5,0)</f>
        <v>0</v>
      </c>
      <c r="EX22" s="251">
        <f>IF(AND(AND(Stamoplysninger!$B$26="Der er indgået lokalaftale omkring weekendtimer(Kræver aftale med TR/FSL). Weekendtillæg udbetales.",I22="X",S22="X")),V22*0.5,0)</f>
        <v>0</v>
      </c>
      <c r="EY22" s="674">
        <f>IF(AND(AND(Stamoplysninger!$B$26="Der er indgået lokalaftale omkring weekendtimer(Kræver aftale med TR/FSL). Weekendtillæg udbetales.",I22="X",C22="ikke relevant")),K22*0.5,0)</f>
        <v>0</v>
      </c>
      <c r="EZ22" s="675">
        <f>IF(AND(AND(AND(Stamoplysninger!$B$26="Der er indgået lokalaftale omkring weekendtimer(Kræver aftale med TR/FSL). Weekendtillæg udbetales.",I22="X",C22="ikke relevant",S22="X"))),(V22*0.5),0)</f>
        <v>0</v>
      </c>
      <c r="FA22" s="283">
        <f>IF(AND(Stamoplysninger!$B$26="Der er indgået lokalaftale omkring weekendtillæg(Kræver aftale med TR/FSL). Weekendtimerne afspadseres.",I22="X"),K22,0)</f>
        <v>0</v>
      </c>
      <c r="FB22" s="251">
        <f>IF(AND(AND(Stamoplysninger!$B$26="Der er indgået lokalaftale omkring weekendtillæg(Kræver aftale med TR/FSL). Weekendtimerne afspadseres.",I22="X",S22="X")),V22,0)</f>
        <v>0</v>
      </c>
      <c r="FC22" s="674">
        <f>IF(AND(AND(Stamoplysninger!$B$26="Der er indgået lokalaftale omkring weekendtillæg(Kræver aftale med TR/FSL). Weekendtimerne afspadseres..",I22="X",C22="ikke relevant")),K22,0)</f>
        <v>0</v>
      </c>
      <c r="FD22" s="675">
        <f>IF(AND(AND(AND(Stamoplysninger!$B$26="Der er indgået lokalaftale omkring weekendtillæg(Kræver aftale med TR/FSL). Weekendtimerne afspadseres.",I22="X",C22="ikke relevant",S22="X"))),(V22),0)</f>
        <v>0</v>
      </c>
      <c r="FE22" s="283">
        <f>IF(AND(Stamoplysninger!$B$26="Der er indgået lokalaftale omkring weekendtillæg(Kræver aftale med TR/FSL). Weekendtimerne udbetales.",I22="X"),K22,0)</f>
        <v>0</v>
      </c>
      <c r="FF22" s="251">
        <f>IF(AND(AND(Stamoplysninger!$B$26="Der er indgået lokalaftale omkring weekendtillæg(Kræver aftale med TR/FSL). Weekendtimerne udbetales.",I22="X",S22="X")),V22,0)</f>
        <v>0</v>
      </c>
      <c r="FG22" s="674">
        <f>IF(AND(AND(Stamoplysninger!$B$26="Der er indgået lokalaftale omkring weekendtillæg(Kræver aftale med TR/FSL). Weekendtimerne udbetales.",I22="X",C22="ikke relevant")),K22,0)</f>
        <v>0</v>
      </c>
      <c r="FH22" s="675">
        <f>IF(AND(AND(AND(Stamoplysninger!$B$26="Der er indgået lokalaftale omkring weekendtillæg(Kræver aftale med TR/FSL). Weekendtimerne udbetales.",I22="X",C22="ikke relevant",S22="X"))),(V22),0)</f>
        <v>0</v>
      </c>
      <c r="FI22" s="283">
        <f>IF(AND(Stamoplysninger!$B$26="Weekendtimer og weekendtillæg afspadseres.",I22="X"),K22,0)</f>
        <v>0</v>
      </c>
      <c r="FJ22" s="251">
        <f>IF(AND(Stamoplysninger!$B$26="Weekendtimer og weekendtillæg afspadseres.",Y22="X"),(AA22+AL22)/2,0)</f>
        <v>0</v>
      </c>
      <c r="FK22" s="674">
        <f>IF(AND(AND(Stamoplysninger!$B$26="Weekendtimer og weekendtillæg afspadseres.",I22="X",C22="ikke relevant")),K22,0)</f>
        <v>0</v>
      </c>
      <c r="FL22" s="675">
        <f>IF(AND(AND(Stamoplysninger!$B$26="Weekendtimer og weekendtillæg afspadseres.",Y22="X",S22="ikke relevant")),(AA22+AL22)/2,0)</f>
        <v>0</v>
      </c>
      <c r="FM22" s="283">
        <f>IF(AND(Stamoplysninger!$B$26="Der er indgået lokalaftale omkring weekendtillæg(Kræver aftale med TR/FSL). Weekendtimerne afspadseres.",I22="X"),K22,0)</f>
        <v>0</v>
      </c>
      <c r="FN22" s="674">
        <f>IF(AND(AND(Stamoplysninger!$B$26="Der er indgået lokalaftale omkring weekendtillæg(Kræver aftale med TR/FSL). Weekendtimerne afspadseres.",I22="X",C22="ikke relevant")),K22,0)</f>
        <v>0</v>
      </c>
      <c r="FO22" s="283">
        <f>IF(AND(Stamoplysninger!$B$26="Weekendtimer og weekendtillæg udbetales.",I22="X"),K22,0)</f>
        <v>0</v>
      </c>
      <c r="FP22" s="251">
        <f>IF(AND(Stamoplysninger!$B$26="Weekendtimer og weekendtillæg udbetales.",AA22="X"),(AC22+AN22)/2,0)</f>
        <v>0</v>
      </c>
      <c r="FQ22" s="674">
        <f>IF(AND(AND(Stamoplysninger!$B$26="Weekendtimer og weekendtillæg udbetales.",I22="X",C22="ikke relevant")),K22,0)</f>
        <v>0</v>
      </c>
      <c r="FR22" s="688">
        <f>IF(AND(AND(Stamoplysninger!$B$26="Weekendtimer og weekendtillæg udbetales.",AA22="X",U22="ikke relevant")),(AC22+AN22)/2,0)</f>
        <v>0</v>
      </c>
      <c r="FS22" s="283">
        <f t="shared" si="15"/>
        <v>0</v>
      </c>
      <c r="FT22" s="658">
        <f t="shared" si="16"/>
        <v>0</v>
      </c>
      <c r="FU22">
        <f t="shared" si="17"/>
        <v>0</v>
      </c>
      <c r="FV22" s="283">
        <f>IF(AND(Stamoplysninger!$B$26="Der er indgået lokalaftale omkring weekendtimer.(Kræver aftale med TR/FSL) Weekendtillæg afspadseres.",I22="X"),K22,0)</f>
        <v>0</v>
      </c>
      <c r="FW22" s="674">
        <f>IF(AND(AND(Stamoplysninger!$B$26="Der er indgået lokalaftale omkring weekendtimer.(Kræver aftale med TR/FSL) Weekendtillæg afspadseres.",I22="X",C22="ikke relevant")),K22,0)</f>
        <v>0</v>
      </c>
      <c r="FX22" s="283">
        <f>IF(AND(Stamoplysninger!$B$26="Der er indgået lokalaftale omkring weekendtimer(Kræver aftale med TR/FSL). Weekendtillæg udbetales.",I22="X"),K22,0)</f>
        <v>0</v>
      </c>
      <c r="FY22" s="674">
        <f>IF(AND(AND(Stamoplysninger!$B$26="Der er indgået lokalaftale omkring weekendtimer(Kræver aftale med TR/FSL). Weekendtillæg udbetales.",I22="X",C22="ikke relevant")),K22,0)</f>
        <v>0</v>
      </c>
      <c r="FZ22" s="283">
        <f>IF(AND(Stamoplysninger!$B$26="Der er indgået lokalaftale omkring weekendtillæg(Kræver aftale med TR/FSL). Weekendtimerne udbetales.",I22="X"),K22,0)</f>
        <v>0</v>
      </c>
      <c r="GA22" s="674">
        <f>IF(AND(AND(Stamoplysninger!$B$26="Der er indgået lokalaftale omkring weekendtillæg(Kræver aftale med TR/FSL). Weekendtimerne udbetales.",I22="X",C22="ikke relevant")),K22,0)</f>
        <v>0</v>
      </c>
      <c r="GB22" s="283">
        <f>IF(AND(Stamoplysninger!$B$26="Der er indgået lokalaftale omkring weekendtimer og weekendtillæg.(Kræver aftale med TR/FSL).",I22="X"),K22,0)</f>
        <v>0</v>
      </c>
      <c r="GC22" s="674">
        <f>IF(AND(AND(Stamoplysninger!$B$26="Der er indgået lokalaftale omkring weekendtimer og weekendtillæg.(Kræver aftale med TR/FSL).",I22="X",C22="ikke relevant")),K22,0)</f>
        <v>0</v>
      </c>
    </row>
    <row r="23" spans="1:185">
      <c r="A23" s="245">
        <f t="shared" si="18"/>
        <v>15</v>
      </c>
      <c r="B23" s="128" t="str">
        <f t="shared" si="0"/>
        <v>sø</v>
      </c>
      <c r="C23" s="129" t="s">
        <v>120</v>
      </c>
      <c r="D23" s="130" t="str">
        <f t="shared" si="1"/>
        <v/>
      </c>
      <c r="E23" s="949"/>
      <c r="F23" s="950"/>
      <c r="G23" s="951"/>
      <c r="H23" s="297"/>
      <c r="I23" s="413"/>
      <c r="J23" s="413"/>
      <c r="K23" s="380"/>
      <c r="L23" s="380"/>
      <c r="M23" s="380"/>
      <c r="N23" s="318">
        <f t="shared" si="19"/>
        <v>0</v>
      </c>
      <c r="O23" s="318">
        <f t="shared" si="20"/>
        <v>0</v>
      </c>
      <c r="P23" s="318">
        <f>IF(Stamoplysninger!$H$29="JA",September!DG23,CX23)</f>
        <v>0</v>
      </c>
      <c r="Q23" s="318">
        <f t="shared" si="21"/>
        <v>0</v>
      </c>
      <c r="R23" s="319"/>
      <c r="S23" s="324"/>
      <c r="T23" s="325"/>
      <c r="U23" s="325"/>
      <c r="V23" s="435"/>
      <c r="W23" s="435"/>
      <c r="X23" s="644"/>
      <c r="Y23">
        <f t="shared" si="22"/>
        <v>0</v>
      </c>
      <c r="Z23" s="437">
        <f t="shared" si="23"/>
        <v>0</v>
      </c>
      <c r="AA23" s="1">
        <f t="shared" si="2"/>
        <v>0</v>
      </c>
      <c r="AB23" s="1">
        <f t="shared" si="3"/>
        <v>0</v>
      </c>
      <c r="AC23" s="1">
        <f t="shared" si="4"/>
        <v>0</v>
      </c>
      <c r="AD23" s="1">
        <f t="shared" si="5"/>
        <v>0</v>
      </c>
      <c r="AE23" s="1">
        <f t="shared" si="6"/>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4"/>
        <v>0</v>
      </c>
      <c r="BB23" s="229">
        <f t="shared" si="7"/>
        <v>0</v>
      </c>
      <c r="BC23" s="1">
        <f t="shared" si="25"/>
        <v>0</v>
      </c>
      <c r="BD23" s="1">
        <f t="shared" si="8"/>
        <v>0</v>
      </c>
      <c r="BE23" s="1">
        <f t="shared" si="9"/>
        <v>0</v>
      </c>
      <c r="BF23" s="1">
        <f t="shared" si="10"/>
        <v>0</v>
      </c>
      <c r="BG23" s="210" t="str">
        <f>IF(AND(C23="Skema 1",B23="ma"),Skemaoplysninger!$E$30,"")</f>
        <v/>
      </c>
      <c r="BH23" s="210" t="str">
        <f>IF(AND(C23="Skema 1",B23="ti"),Skemaoplysninger!$G$30,"")</f>
        <v/>
      </c>
      <c r="BI23" s="210" t="str">
        <f>IF(AND(C23="Skema 1",B23="on"),Skemaoplysninger!$I$30,"")</f>
        <v/>
      </c>
      <c r="BJ23" s="210" t="str">
        <f>IF(AND(C23="Skema 1",B23="to"),Skemaoplysninger!$K$30,"")</f>
        <v/>
      </c>
      <c r="BK23" s="210" t="str">
        <f>IF(AND(C23="Skema 1",B23="fr"),Skemaoplysninger!$M$30,"")</f>
        <v/>
      </c>
      <c r="BL23" s="210" t="str">
        <f>IF(AND(C23="Skema 2",B23="ma"),Skemaoplysninger!$S$30,"")</f>
        <v/>
      </c>
      <c r="BM23" s="210" t="str">
        <f>IF(AND(C23="Skema 2",B23="ti"),Skemaoplysninger!$U$30,"")</f>
        <v/>
      </c>
      <c r="BN23" s="210" t="str">
        <f>IF(AND(C23="Skema 2",B23="on"),Skemaoplysninger!$W$30,"")</f>
        <v/>
      </c>
      <c r="BO23" s="210" t="str">
        <f>IF(AND(C23="Skema 2",B23="to"),Skemaoplysninger!$Y$30,"")</f>
        <v/>
      </c>
      <c r="BP23" s="210" t="str">
        <f>IF(AND(C23="Skema 2",B23="fr"),Skemaoplysninger!$AA$30,"")</f>
        <v/>
      </c>
      <c r="BQ23" s="210" t="str">
        <f>IF(AND(C23="Skema 3",B23="ma"),Skemaoplysninger!$AG$30,"")</f>
        <v/>
      </c>
      <c r="BR23" s="210" t="str">
        <f>IF(AND(C23="Skema 3",B23="ti"),Skemaoplysninger!$AI$30,"")</f>
        <v/>
      </c>
      <c r="BS23" s="210" t="str">
        <f>IF(AND(C23="Skema 3",B23="on"),Skemaoplysninger!$AK$30,"")</f>
        <v/>
      </c>
      <c r="BT23" s="210" t="str">
        <f>IF(AND(C23="Skema 3",B23="to"),Skemaoplysninger!$AM$30,"")</f>
        <v/>
      </c>
      <c r="BU23" s="210" t="str">
        <f>IF(AND(C23="Skema 3",B23="fr"),Skemaoplysninger!$AO$30,"")</f>
        <v/>
      </c>
      <c r="BV23" s="210" t="str">
        <f>IF(AND(C23="Skema 4",B23="ma"),Skemaoplysninger!$AU$30,"")</f>
        <v/>
      </c>
      <c r="BW23" s="210" t="str">
        <f>IF(AND(C23="Skema 4",B23="ti"),Skemaoplysninger!$AW$30,"")</f>
        <v/>
      </c>
      <c r="BX23" s="210" t="str">
        <f>IF(AND(C23="Skema 4",B23="on"),Skemaoplysninger!$AY$30,"")</f>
        <v/>
      </c>
      <c r="BY23" s="210" t="str">
        <f>IF(AND(C23="Skema 4",B23="to"),Skemaoplysninger!$BA$30,"")</f>
        <v/>
      </c>
      <c r="BZ23" s="210" t="str">
        <f>IF(AND(C23="Skema 4",B23="fr"),Skemaoplysninger!$BC$30,"")</f>
        <v/>
      </c>
      <c r="CA23" s="1">
        <f t="shared" si="26"/>
        <v>0</v>
      </c>
      <c r="CB23" s="1">
        <f t="shared" si="11"/>
        <v>0</v>
      </c>
      <c r="CC23" s="1">
        <f t="shared" si="12"/>
        <v>0</v>
      </c>
      <c r="CD23" s="210" t="str">
        <f>IF(AND(C23="Skema 1",B23="ma"),Skemaoplysninger!$E$31,"")</f>
        <v/>
      </c>
      <c r="CE23" s="210" t="str">
        <f>IF(AND(C23="Skema 1",B23="ti"),Skemaoplysninger!$G$31,"")</f>
        <v/>
      </c>
      <c r="CF23" s="210" t="str">
        <f>IF(AND(C23="Skema 1",B23="on"),Skemaoplysninger!$I$31,"")</f>
        <v/>
      </c>
      <c r="CG23" s="210" t="str">
        <f>IF(AND(C23="Skema 1",B23="to"),Skemaoplysninger!$K$31,"")</f>
        <v/>
      </c>
      <c r="CH23" s="210" t="str">
        <f>IF(AND(C23="Skema 1",B23="fr"),Skemaoplysninger!$M$31,"")</f>
        <v/>
      </c>
      <c r="CI23" s="210" t="str">
        <f>IF(AND(C23="Skema 2",B23="ma"),Skemaoplysninger!$S$31,"")</f>
        <v/>
      </c>
      <c r="CJ23" s="210" t="str">
        <f>IF(AND(C23="Skema 2",B23="ti"),Skemaoplysninger!$U$31,"")</f>
        <v/>
      </c>
      <c r="CK23" s="210" t="str">
        <f>IF(AND(C23="Skema 2",B23="on"),Skemaoplysninger!$W$31,"")</f>
        <v/>
      </c>
      <c r="CL23" s="210" t="str">
        <f>IF(AND(C23="Skema 2",B23="to"),Skemaoplysninger!$Y$31,"")</f>
        <v/>
      </c>
      <c r="CM23" s="210" t="str">
        <f>IF(AND(C23="Skema 2",B23="fr"),Skemaoplysninger!$AA$31,"")</f>
        <v/>
      </c>
      <c r="CN23" s="210" t="str">
        <f>IF(AND(C23="Skema 3",B23="ma"),Skemaoplysninger!$AG$31,"")</f>
        <v/>
      </c>
      <c r="CO23" s="210" t="str">
        <f>IF(AND(C23="Skema 3",B23="ti"),Skemaoplysninger!$AI$31,"")</f>
        <v/>
      </c>
      <c r="CP23" s="210" t="str">
        <f>IF(AND(C23="Skema 3",B23="on"),Skemaoplysninger!$AK$31,"")</f>
        <v/>
      </c>
      <c r="CQ23" s="210" t="str">
        <f>IF(AND(C23="Skema 3",B23="to"),Skemaoplysninger!$AM$31,"")</f>
        <v/>
      </c>
      <c r="CR23" s="210" t="str">
        <f>IF(AND(C23="Skema 3",B23="fr"),Skemaoplysninger!$AO$31,"")</f>
        <v/>
      </c>
      <c r="CS23" s="210" t="str">
        <f>IF(AND(C23="Skema 4",B23="ma"),Skemaoplysninger!$AU$31,"")</f>
        <v/>
      </c>
      <c r="CT23" s="210" t="str">
        <f>IF(AND(C23="Skema 4",B23="ti"),Skemaoplysninger!$AW$31,"")</f>
        <v/>
      </c>
      <c r="CU23" s="210" t="str">
        <f>IF(AND(C23="Skema 4",B23="on"),Skemaoplysninger!$AY$31,"")</f>
        <v/>
      </c>
      <c r="CV23" s="210" t="str">
        <f>IF(AND(C23="Skema 4",B23="to"),Skemaoplysninger!$BA$31,"")</f>
        <v/>
      </c>
      <c r="CW23" s="210" t="str">
        <f>IF(AND(C23="Skema 4",B23="fr"),Skemaoplysninger!$BC$31,"")</f>
        <v/>
      </c>
      <c r="CX23" s="249">
        <f>IF(Stamoplysninger!$H$29="NEJ",SUM(CD23:CW23)*24+CB23+CC23,0)</f>
        <v>0</v>
      </c>
      <c r="CY23" s="249">
        <f>IF(C23="Skema 1",Stamoplysninger!$H$30/200,0)</f>
        <v>0</v>
      </c>
      <c r="CZ23" s="249">
        <f>IF(C23="Skema 2",Stamoplysninger!$H$30/200,0)</f>
        <v>0</v>
      </c>
      <c r="DA23" s="249">
        <f>IF(C23="Skema 3",Stamoplysninger!$H$30/200,0)</f>
        <v>0</v>
      </c>
      <c r="DB23" s="249">
        <f>IF(C23="Skema 4",Stamoplysninger!$H$30/200,0)</f>
        <v>0</v>
      </c>
      <c r="DC23" s="249">
        <f>IF(C23="fagdag",Stamoplysninger!$H$30/200,0)</f>
        <v>0</v>
      </c>
      <c r="DD23" s="249">
        <f>IF(C23="emnedag",Stamoplysninger!$H$30/200,0)</f>
        <v>0</v>
      </c>
      <c r="DE23" s="249">
        <f>IF(C23="lejrskole",Stamoplysninger!$H$30/200,0)</f>
        <v>0</v>
      </c>
      <c r="DF23" s="249">
        <f>IF(C23="ekskursion",Stamoplysninger!$H$30/200,0)</f>
        <v>0</v>
      </c>
      <c r="DG23" s="249">
        <f t="shared" si="27"/>
        <v>0</v>
      </c>
      <c r="DH23" t="str">
        <f t="shared" si="28"/>
        <v/>
      </c>
      <c r="DI23">
        <f t="shared" si="29"/>
        <v>0</v>
      </c>
      <c r="DJ23">
        <f t="shared" si="30"/>
        <v>0</v>
      </c>
      <c r="DK23" t="str">
        <f t="shared" si="13"/>
        <v/>
      </c>
      <c r="DL23" t="str">
        <f t="shared" si="13"/>
        <v/>
      </c>
      <c r="DM23" t="str">
        <f t="shared" si="13"/>
        <v/>
      </c>
      <c r="DN23" t="str">
        <f t="shared" si="31"/>
        <v/>
      </c>
      <c r="DO23" s="652">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71">
        <f>IF(AND(Stamoplysninger!$B$22="Ulempetillæg udbetales med 25% af nettotimelønnen.",C23="ikke relevant"),(R23)/4,0)</f>
        <v>0</v>
      </c>
      <c r="DT23" s="671">
        <f>IF(AND(AND(Stamoplysninger!$B$22="Ulempetillæg udbetales med 25% af nettotimelønnen.",I23="X",C23="Ikke relevant")),K23/4,0)</f>
        <v>0</v>
      </c>
      <c r="DU23" s="671">
        <f>IF(AND(AND(Stamoplysninger!$B$22="Ulempetillæg udbetales med 25% af nettotimelønnen.",C23="ikke relevant",U23="X")),(X23/4),0)</f>
        <v>0</v>
      </c>
      <c r="DV23" s="672">
        <f>IF(AND(AND(AND(Stamoplysninger!$B$22="Ulempetillæg udbetales med 25% af nettotimelønnen.",I23="X",C23="Ikke relevant",S23="X"))),V23/4,0)</f>
        <v>0</v>
      </c>
      <c r="DW23" s="652"/>
      <c r="DZ23" s="671"/>
      <c r="EA23" s="671"/>
      <c r="EB23" s="672"/>
      <c r="EC23" s="652">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71">
        <f>IF(AND(Stamoplysninger!$B$22="Ulempetillæg afspadseres med 25%(Kræver en aftale imellem ledelsen og den ansatte)",C23="ikke relevant"),(R23)/4,0)</f>
        <v>0</v>
      </c>
      <c r="EH23" s="671">
        <f>IF(AND(AND(Stamoplysninger!$B$22="Ulempetillæg afspadseres med 25%(Kræver en aftale imellem ledelsen og den ansatte)",I23="X",C23="Ikke relevant")),K23/4,0)</f>
        <v>0</v>
      </c>
      <c r="EI23" s="671">
        <f>IF(AND(AND(Stamoplysninger!$B$22="Ulempetillæg afspadseres med 25%(Kræver en aftale imellem ledelsen og den ansatte)",U23="X",C23="Ikke relevant")),X23/4,0)</f>
        <v>0</v>
      </c>
      <c r="EJ23" s="671">
        <f>IF(AND(AND(AND(Stamoplysninger!$B$22="Ulempetillæg afspadseres med 25%(Kræver en aftale imellem ledelsen og den ansatte)",I23="X",C23="Ikke relevant",S23="X"))),V23/4,0)</f>
        <v>0</v>
      </c>
      <c r="EK23" s="283">
        <f>IF(AND(Stamoplysninger!$B$26="Weekendtimer og weekendtillæg afspadseres.",I23="X"),K23*1.5,0)</f>
        <v>0</v>
      </c>
      <c r="EL23" s="251">
        <f>IF(AND(AND(Stamoplysninger!$B$26="Weekendtimer og weekendtillæg afspadseres.",I23="X",S23="X")),V23*1.5,0)</f>
        <v>0</v>
      </c>
      <c r="EM23" s="674">
        <f>IF(AND(AND(Stamoplysninger!$B$26="Weekendtimer og weekendtillæg afspadseres.",I23="X",C23="ikke relevant")),K23*1.5,0)</f>
        <v>0</v>
      </c>
      <c r="EN23" s="675">
        <f>IF(AND(AND(AND(Stamoplysninger!$B$26="Weekendtimer og weekendtillæg afspadseres.",I23="X",C23="ikke relevant",S23="X"))),(V23*1.5),0)</f>
        <v>0</v>
      </c>
      <c r="EO23" s="283">
        <f>IF(AND(Stamoplysninger!$B$26="Weekendtimer og weekendtillæg udbetales.",I23="X"),K23*1.5,0)</f>
        <v>0</v>
      </c>
      <c r="EP23" s="251">
        <f>IF(AND(AND(Stamoplysninger!$B$26="Weekendtimer og weekendtillæg udbetales.",I23="X",S23="X")),V23*1.5,0)</f>
        <v>0</v>
      </c>
      <c r="EQ23" s="674">
        <f>IF(AND(AND(Stamoplysninger!$B$26="Weekendtimer og weekendtillæg udbetales.",I23="X",C23="ikke relevant")),K23*1.5,0)</f>
        <v>0</v>
      </c>
      <c r="ER23" s="675">
        <f>IF(AND(AND(AND(Stamoplysninger!$B$26="Weekendtimer og weekendtillæg udbetales.",I23="X",C23="ikke relevant",S23="X"))),(V23*1.5),0)</f>
        <v>0</v>
      </c>
      <c r="ES23" s="283">
        <f>IF(AND(Stamoplysninger!$B$26="Der er indgået lokalaftale omkring weekendtimer.(Kræver aftale med TR/FSL) Weekendtillæg afspadseres.",I23="X"),K23*0.5,0)</f>
        <v>0</v>
      </c>
      <c r="ET23" s="251">
        <f>IF(AND(AND(Stamoplysninger!$B$26="Der er indgået lokalaftale omkring weekendtimer.(Kræver aftale med TR/FSL) Weekendtillæg afspadseres.",I23="X",S23="X")),V23*0.5,0)</f>
        <v>0</v>
      </c>
      <c r="EU23" s="674">
        <f>IF(AND(AND(Stamoplysninger!$B$26="Der er indgået lokalaftale omkring weekendtimer.(Kræver aftale med TR/FSL) Weekendtillæg afspadseres.",I23="X",C23="ikke relevant")),K23*0.5,0)</f>
        <v>0</v>
      </c>
      <c r="EV23" s="675">
        <f>IF(AND(AND(AND(Stamoplysninger!$B$26="Der er indgået lokalaftale omkring weekendtimer.(Kræver aftale med TR/FSL) Weekendtillæg afspadseres.",I23="X",C23="ikke relevant",S23="X"))),(V23*0.5),0)</f>
        <v>0</v>
      </c>
      <c r="EW23" s="283">
        <f>IF(AND(Stamoplysninger!$B$26="Der er indgået lokalaftale omkring weekendtimer(Kræver aftale med TR/FSL). Weekendtillæg udbetales.",I23="X"),K23*0.5,0)</f>
        <v>0</v>
      </c>
      <c r="EX23" s="251">
        <f>IF(AND(AND(Stamoplysninger!$B$26="Der er indgået lokalaftale omkring weekendtimer(Kræver aftale med TR/FSL). Weekendtillæg udbetales.",I23="X",S23="X")),V23*0.5,0)</f>
        <v>0</v>
      </c>
      <c r="EY23" s="674">
        <f>IF(AND(AND(Stamoplysninger!$B$26="Der er indgået lokalaftale omkring weekendtimer(Kræver aftale med TR/FSL). Weekendtillæg udbetales.",I23="X",C23="ikke relevant")),K23*0.5,0)</f>
        <v>0</v>
      </c>
      <c r="EZ23" s="675">
        <f>IF(AND(AND(AND(Stamoplysninger!$B$26="Der er indgået lokalaftale omkring weekendtimer(Kræver aftale med TR/FSL). Weekendtillæg udbetales.",I23="X",C23="ikke relevant",S23="X"))),(V23*0.5),0)</f>
        <v>0</v>
      </c>
      <c r="FA23" s="283">
        <f>IF(AND(Stamoplysninger!$B$26="Der er indgået lokalaftale omkring weekendtillæg(Kræver aftale med TR/FSL). Weekendtimerne afspadseres.",I23="X"),K23,0)</f>
        <v>0</v>
      </c>
      <c r="FB23" s="251">
        <f>IF(AND(AND(Stamoplysninger!$B$26="Der er indgået lokalaftale omkring weekendtillæg(Kræver aftale med TR/FSL). Weekendtimerne afspadseres.",I23="X",S23="X")),V23,0)</f>
        <v>0</v>
      </c>
      <c r="FC23" s="674">
        <f>IF(AND(AND(Stamoplysninger!$B$26="Der er indgået lokalaftale omkring weekendtillæg(Kræver aftale med TR/FSL). Weekendtimerne afspadseres..",I23="X",C23="ikke relevant")),K23,0)</f>
        <v>0</v>
      </c>
      <c r="FD23" s="675">
        <f>IF(AND(AND(AND(Stamoplysninger!$B$26="Der er indgået lokalaftale omkring weekendtillæg(Kræver aftale med TR/FSL). Weekendtimerne afspadseres.",I23="X",C23="ikke relevant",S23="X"))),(V23),0)</f>
        <v>0</v>
      </c>
      <c r="FE23" s="283">
        <f>IF(AND(Stamoplysninger!$B$26="Der er indgået lokalaftale omkring weekendtillæg(Kræver aftale med TR/FSL). Weekendtimerne udbetales.",I23="X"),K23,0)</f>
        <v>0</v>
      </c>
      <c r="FF23" s="251">
        <f>IF(AND(AND(Stamoplysninger!$B$26="Der er indgået lokalaftale omkring weekendtillæg(Kræver aftale med TR/FSL). Weekendtimerne udbetales.",I23="X",S23="X")),V23,0)</f>
        <v>0</v>
      </c>
      <c r="FG23" s="674">
        <f>IF(AND(AND(Stamoplysninger!$B$26="Der er indgået lokalaftale omkring weekendtillæg(Kræver aftale med TR/FSL). Weekendtimerne udbetales.",I23="X",C23="ikke relevant")),K23,0)</f>
        <v>0</v>
      </c>
      <c r="FH23" s="675">
        <f>IF(AND(AND(AND(Stamoplysninger!$B$26="Der er indgået lokalaftale omkring weekendtillæg(Kræver aftale med TR/FSL). Weekendtimerne udbetales.",I23="X",C23="ikke relevant",S23="X"))),(V23),0)</f>
        <v>0</v>
      </c>
      <c r="FI23" s="283">
        <f>IF(AND(Stamoplysninger!$B$26="Weekendtimer og weekendtillæg afspadseres.",I23="X"),K23,0)</f>
        <v>0</v>
      </c>
      <c r="FJ23" s="251">
        <f>IF(AND(Stamoplysninger!$B$26="Weekendtimer og weekendtillæg afspadseres.",Y23="X"),(AA23+AL23)/2,0)</f>
        <v>0</v>
      </c>
      <c r="FK23" s="674">
        <f>IF(AND(AND(Stamoplysninger!$B$26="Weekendtimer og weekendtillæg afspadseres.",I23="X",C23="ikke relevant")),K23,0)</f>
        <v>0</v>
      </c>
      <c r="FL23" s="675">
        <f>IF(AND(AND(Stamoplysninger!$B$26="Weekendtimer og weekendtillæg afspadseres.",Y23="X",S23="ikke relevant")),(AA23+AL23)/2,0)</f>
        <v>0</v>
      </c>
      <c r="FM23" s="283">
        <f>IF(AND(Stamoplysninger!$B$26="Der er indgået lokalaftale omkring weekendtillæg(Kræver aftale med TR/FSL). Weekendtimerne afspadseres.",I23="X"),K23,0)</f>
        <v>0</v>
      </c>
      <c r="FN23" s="674">
        <f>IF(AND(AND(Stamoplysninger!$B$26="Der er indgået lokalaftale omkring weekendtillæg(Kræver aftale med TR/FSL). Weekendtimerne afspadseres.",I23="X",C23="ikke relevant")),K23,0)</f>
        <v>0</v>
      </c>
      <c r="FO23" s="283">
        <f>IF(AND(Stamoplysninger!$B$26="Weekendtimer og weekendtillæg udbetales.",I23="X"),K23,0)</f>
        <v>0</v>
      </c>
      <c r="FP23" s="251">
        <f>IF(AND(Stamoplysninger!$B$26="Weekendtimer og weekendtillæg udbetales.",AA23="X"),(AC23+AN23)/2,0)</f>
        <v>0</v>
      </c>
      <c r="FQ23" s="674">
        <f>IF(AND(AND(Stamoplysninger!$B$26="Weekendtimer og weekendtillæg udbetales.",I23="X",C23="ikke relevant")),K23,0)</f>
        <v>0</v>
      </c>
      <c r="FR23" s="688">
        <f>IF(AND(AND(Stamoplysninger!$B$26="Weekendtimer og weekendtillæg udbetales.",AA23="X",U23="ikke relevant")),(AC23+AN23)/2,0)</f>
        <v>0</v>
      </c>
      <c r="FS23" s="283">
        <f t="shared" si="15"/>
        <v>0</v>
      </c>
      <c r="FT23" s="658">
        <f t="shared" si="16"/>
        <v>0</v>
      </c>
      <c r="FU23">
        <f t="shared" si="17"/>
        <v>0</v>
      </c>
      <c r="FV23" s="283">
        <f>IF(AND(Stamoplysninger!$B$26="Der er indgået lokalaftale omkring weekendtimer.(Kræver aftale med TR/FSL) Weekendtillæg afspadseres.",I23="X"),K23,0)</f>
        <v>0</v>
      </c>
      <c r="FW23" s="674">
        <f>IF(AND(AND(Stamoplysninger!$B$26="Der er indgået lokalaftale omkring weekendtimer.(Kræver aftale med TR/FSL) Weekendtillæg afspadseres.",I23="X",C23="ikke relevant")),K23,0)</f>
        <v>0</v>
      </c>
      <c r="FX23" s="283">
        <f>IF(AND(Stamoplysninger!$B$26="Der er indgået lokalaftale omkring weekendtimer(Kræver aftale med TR/FSL). Weekendtillæg udbetales.",I23="X"),K23,0)</f>
        <v>0</v>
      </c>
      <c r="FY23" s="674">
        <f>IF(AND(AND(Stamoplysninger!$B$26="Der er indgået lokalaftale omkring weekendtimer(Kræver aftale med TR/FSL). Weekendtillæg udbetales.",I23="X",C23="ikke relevant")),K23,0)</f>
        <v>0</v>
      </c>
      <c r="FZ23" s="283">
        <f>IF(AND(Stamoplysninger!$B$26="Der er indgået lokalaftale omkring weekendtillæg(Kræver aftale med TR/FSL). Weekendtimerne udbetales.",I23="X"),K23,0)</f>
        <v>0</v>
      </c>
      <c r="GA23" s="674">
        <f>IF(AND(AND(Stamoplysninger!$B$26="Der er indgået lokalaftale omkring weekendtillæg(Kræver aftale med TR/FSL). Weekendtimerne udbetales.",I23="X",C23="ikke relevant")),K23,0)</f>
        <v>0</v>
      </c>
      <c r="GB23" s="283">
        <f>IF(AND(Stamoplysninger!$B$26="Der er indgået lokalaftale omkring weekendtimer og weekendtillæg.(Kræver aftale med TR/FSL).",I23="X"),K23,0)</f>
        <v>0</v>
      </c>
      <c r="GC23" s="674">
        <f>IF(AND(AND(Stamoplysninger!$B$26="Der er indgået lokalaftale omkring weekendtimer og weekendtillæg.(Kræver aftale med TR/FSL).",I23="X",C23="ikke relevant")),K23,0)</f>
        <v>0</v>
      </c>
    </row>
    <row r="24" spans="1:185">
      <c r="A24" s="245">
        <f>IF(ISNUMBER(A23),A23+1,1)</f>
        <v>16</v>
      </c>
      <c r="B24" s="128" t="str">
        <f t="shared" si="0"/>
        <v>ma</v>
      </c>
      <c r="C24" s="129" t="s">
        <v>206</v>
      </c>
      <c r="D24" s="130">
        <f t="shared" si="1"/>
        <v>38</v>
      </c>
      <c r="E24" s="917"/>
      <c r="F24" s="918"/>
      <c r="G24" s="919"/>
      <c r="H24" s="298"/>
      <c r="I24" s="527"/>
      <c r="J24" s="413"/>
      <c r="K24" s="380"/>
      <c r="L24" s="380"/>
      <c r="M24" s="380"/>
      <c r="N24" s="318">
        <f t="shared" si="19"/>
        <v>7.75</v>
      </c>
      <c r="O24" s="318">
        <f t="shared" si="20"/>
        <v>3.916666666666667</v>
      </c>
      <c r="P24" s="318">
        <f>IF(Stamoplysninger!$H$29="JA",September!DG24,CX24)</f>
        <v>0.83333333333333337</v>
      </c>
      <c r="Q24" s="318">
        <f t="shared" si="21"/>
        <v>2.9999999999999996</v>
      </c>
      <c r="R24" s="319"/>
      <c r="S24" s="324"/>
      <c r="T24" s="325"/>
      <c r="U24" s="325"/>
      <c r="V24" s="435"/>
      <c r="W24" s="435"/>
      <c r="X24" s="644"/>
      <c r="Y24">
        <f t="shared" si="22"/>
        <v>0</v>
      </c>
      <c r="Z24" s="437">
        <f t="shared" si="23"/>
        <v>0</v>
      </c>
      <c r="AA24" s="1">
        <f t="shared" si="2"/>
        <v>0</v>
      </c>
      <c r="AB24" s="1">
        <f t="shared" si="3"/>
        <v>0</v>
      </c>
      <c r="AC24" s="1">
        <f t="shared" si="4"/>
        <v>0</v>
      </c>
      <c r="AD24" s="1">
        <f t="shared" si="5"/>
        <v>0</v>
      </c>
      <c r="AE24" s="1">
        <f t="shared" si="6"/>
        <v>0</v>
      </c>
      <c r="AF24" s="1">
        <f>IF(C24="Orlov",7.4*Stamoplysninger!$E$15,0)</f>
        <v>0</v>
      </c>
      <c r="AG24">
        <f>IF(AND(C24="Skema 1",B24="ma"),Arbejdstidsoversigt!$E$72,"")</f>
        <v>7.75</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4"/>
        <v>7.75</v>
      </c>
      <c r="BB24" s="229">
        <f t="shared" si="7"/>
        <v>186</v>
      </c>
      <c r="BC24" s="1">
        <f t="shared" si="25"/>
        <v>0</v>
      </c>
      <c r="BD24" s="1">
        <f t="shared" si="8"/>
        <v>0</v>
      </c>
      <c r="BE24" s="1">
        <f t="shared" si="9"/>
        <v>0</v>
      </c>
      <c r="BF24" s="1">
        <f t="shared" si="10"/>
        <v>0</v>
      </c>
      <c r="BG24" s="210">
        <f>IF(AND(C24="Skema 1",B24="ma"),Skemaoplysninger!$E$30,"")</f>
        <v>0.16319444444444445</v>
      </c>
      <c r="BH24" s="210" t="str">
        <f>IF(AND(C24="Skema 1",B24="ti"),Skemaoplysninger!$G$30,"")</f>
        <v/>
      </c>
      <c r="BI24" s="210" t="str">
        <f>IF(AND(C24="Skema 1",B24="on"),Skemaoplysninger!$I$30,"")</f>
        <v/>
      </c>
      <c r="BJ24" s="210" t="str">
        <f>IF(AND(C24="Skema 1",B24="to"),Skemaoplysninger!$K$30,"")</f>
        <v/>
      </c>
      <c r="BK24" s="210" t="str">
        <f>IF(AND(C24="Skema 1",B24="fr"),Skemaoplysninger!$M$30,"")</f>
        <v/>
      </c>
      <c r="BL24" s="210" t="str">
        <f>IF(AND(C24="Skema 2",B24="ma"),Skemaoplysninger!$S$30,"")</f>
        <v/>
      </c>
      <c r="BM24" s="210" t="str">
        <f>IF(AND(C24="Skema 2",B24="ti"),Skemaoplysninger!$U$30,"")</f>
        <v/>
      </c>
      <c r="BN24" s="210" t="str">
        <f>IF(AND(C24="Skema 2",B24="on"),Skemaoplysninger!$W$30,"")</f>
        <v/>
      </c>
      <c r="BO24" s="210" t="str">
        <f>IF(AND(C24="Skema 2",B24="to"),Skemaoplysninger!$Y$30,"")</f>
        <v/>
      </c>
      <c r="BP24" s="210" t="str">
        <f>IF(AND(C24="Skema 2",B24="fr"),Skemaoplysninger!$AA$30,"")</f>
        <v/>
      </c>
      <c r="BQ24" s="210" t="str">
        <f>IF(AND(C24="Skema 3",B24="ma"),Skemaoplysninger!$AG$30,"")</f>
        <v/>
      </c>
      <c r="BR24" s="210" t="str">
        <f>IF(AND(C24="Skema 3",B24="ti"),Skemaoplysninger!$AI$30,"")</f>
        <v/>
      </c>
      <c r="BS24" s="210" t="str">
        <f>IF(AND(C24="Skema 3",B24="on"),Skemaoplysninger!$AK$30,"")</f>
        <v/>
      </c>
      <c r="BT24" s="210" t="str">
        <f>IF(AND(C24="Skema 3",B24="to"),Skemaoplysninger!$AM$30,"")</f>
        <v/>
      </c>
      <c r="BU24" s="210" t="str">
        <f>IF(AND(C24="Skema 3",B24="fr"),Skemaoplysninger!$AO$30,"")</f>
        <v/>
      </c>
      <c r="BV24" s="210" t="str">
        <f>IF(AND(C24="Skema 4",B24="ma"),Skemaoplysninger!$AU$30,"")</f>
        <v/>
      </c>
      <c r="BW24" s="210" t="str">
        <f>IF(AND(C24="Skema 4",B24="ti"),Skemaoplysninger!$AW$30,"")</f>
        <v/>
      </c>
      <c r="BX24" s="210" t="str">
        <f>IF(AND(C24="Skema 4",B24="on"),Skemaoplysninger!$AY$30,"")</f>
        <v/>
      </c>
      <c r="BY24" s="210" t="str">
        <f>IF(AND(C24="Skema 4",B24="to"),Skemaoplysninger!$BA$30,"")</f>
        <v/>
      </c>
      <c r="BZ24" s="210" t="str">
        <f>IF(AND(C24="Skema 4",B24="fr"),Skemaoplysninger!$BC$30,"")</f>
        <v/>
      </c>
      <c r="CA24" s="1">
        <f t="shared" si="26"/>
        <v>3.916666666666667</v>
      </c>
      <c r="CB24" s="1">
        <f t="shared" si="11"/>
        <v>0</v>
      </c>
      <c r="CC24" s="1">
        <f t="shared" si="12"/>
        <v>0</v>
      </c>
      <c r="CD24" s="210">
        <f>IF(AND(C24="Skema 1",B24="ma"),Skemaoplysninger!$E$31,"")</f>
        <v>3.4722222222222224E-2</v>
      </c>
      <c r="CE24" s="210" t="str">
        <f>IF(AND(C24="Skema 1",B24="ti"),Skemaoplysninger!$G$31,"")</f>
        <v/>
      </c>
      <c r="CF24" s="210" t="str">
        <f>IF(AND(C24="Skema 1",B24="on"),Skemaoplysninger!$I$31,"")</f>
        <v/>
      </c>
      <c r="CG24" s="210" t="str">
        <f>IF(AND(C24="Skema 1",B24="to"),Skemaoplysninger!$K$31,"")</f>
        <v/>
      </c>
      <c r="CH24" s="210" t="str">
        <f>IF(AND(C24="Skema 1",B24="fr"),Skemaoplysninger!$M$31,"")</f>
        <v/>
      </c>
      <c r="CI24" s="210" t="str">
        <f>IF(AND(C24="Skema 2",B24="ma"),Skemaoplysninger!$S$31,"")</f>
        <v/>
      </c>
      <c r="CJ24" s="210" t="str">
        <f>IF(AND(C24="Skema 2",B24="ti"),Skemaoplysninger!$U$31,"")</f>
        <v/>
      </c>
      <c r="CK24" s="210" t="str">
        <f>IF(AND(C24="Skema 2",B24="on"),Skemaoplysninger!$W$31,"")</f>
        <v/>
      </c>
      <c r="CL24" s="210" t="str">
        <f>IF(AND(C24="Skema 2",B24="to"),Skemaoplysninger!$Y$31,"")</f>
        <v/>
      </c>
      <c r="CM24" s="210" t="str">
        <f>IF(AND(C24="Skema 2",B24="fr"),Skemaoplysninger!$AA$31,"")</f>
        <v/>
      </c>
      <c r="CN24" s="210" t="str">
        <f>IF(AND(C24="Skema 3",B24="ma"),Skemaoplysninger!$AG$31,"")</f>
        <v/>
      </c>
      <c r="CO24" s="210" t="str">
        <f>IF(AND(C24="Skema 3",B24="ti"),Skemaoplysninger!$AI$31,"")</f>
        <v/>
      </c>
      <c r="CP24" s="210" t="str">
        <f>IF(AND(C24="Skema 3",B24="on"),Skemaoplysninger!$AK$31,"")</f>
        <v/>
      </c>
      <c r="CQ24" s="210" t="str">
        <f>IF(AND(C24="Skema 3",B24="to"),Skemaoplysninger!$AM$31,"")</f>
        <v/>
      </c>
      <c r="CR24" s="210" t="str">
        <f>IF(AND(C24="Skema 3",B24="fr"),Skemaoplysninger!$AO$31,"")</f>
        <v/>
      </c>
      <c r="CS24" s="210" t="str">
        <f>IF(AND(C24="Skema 4",B24="ma"),Skemaoplysninger!$AU$31,"")</f>
        <v/>
      </c>
      <c r="CT24" s="210" t="str">
        <f>IF(AND(C24="Skema 4",B24="ti"),Skemaoplysninger!$AW$31,"")</f>
        <v/>
      </c>
      <c r="CU24" s="210" t="str">
        <f>IF(AND(C24="Skema 4",B24="on"),Skemaoplysninger!$AY$31,"")</f>
        <v/>
      </c>
      <c r="CV24" s="210" t="str">
        <f>IF(AND(C24="Skema 4",B24="to"),Skemaoplysninger!$BA$31,"")</f>
        <v/>
      </c>
      <c r="CW24" s="210" t="str">
        <f>IF(AND(C24="Skema 4",B24="fr"),Skemaoplysninger!$BC$31,"")</f>
        <v/>
      </c>
      <c r="CX24" s="249">
        <f>IF(Stamoplysninger!$H$29="NEJ",SUM(CD24:CW24)*24+CB24+CC24,0)</f>
        <v>0.83333333333333337</v>
      </c>
      <c r="CY24" s="249">
        <f>IF(C24="Skema 1",Stamoplysninger!$H$30/200,0)</f>
        <v>0</v>
      </c>
      <c r="CZ24" s="249">
        <f>IF(C24="Skema 2",Stamoplysninger!$H$30/200,0)</f>
        <v>0</v>
      </c>
      <c r="DA24" s="249">
        <f>IF(C24="Skema 3",Stamoplysninger!$H$30/200,0)</f>
        <v>0</v>
      </c>
      <c r="DB24" s="249">
        <f>IF(C24="Skema 4",Stamoplysninger!$H$30/200,0)</f>
        <v>0</v>
      </c>
      <c r="DC24" s="249">
        <f>IF(C24="fagdag",Stamoplysninger!$H$30/200,0)</f>
        <v>0</v>
      </c>
      <c r="DD24" s="249">
        <f>IF(C24="emnedag",Stamoplysninger!$H$30/200,0)</f>
        <v>0</v>
      </c>
      <c r="DE24" s="249">
        <f>IF(C24="lejrskole",Stamoplysninger!$H$30/200,0)</f>
        <v>0</v>
      </c>
      <c r="DF24" s="249">
        <f>IF(C24="ekskursion",Stamoplysninger!$H$30/200,0)</f>
        <v>0</v>
      </c>
      <c r="DG24" s="249">
        <f t="shared" si="27"/>
        <v>0</v>
      </c>
      <c r="DH24" t="str">
        <f t="shared" si="28"/>
        <v/>
      </c>
      <c r="DI24">
        <f t="shared" si="29"/>
        <v>0</v>
      </c>
      <c r="DJ24">
        <f t="shared" si="30"/>
        <v>0</v>
      </c>
      <c r="DK24" t="str">
        <f t="shared" si="13"/>
        <v/>
      </c>
      <c r="DL24" t="str">
        <f t="shared" si="13"/>
        <v/>
      </c>
      <c r="DM24" t="str">
        <f t="shared" si="13"/>
        <v/>
      </c>
      <c r="DN24" t="str">
        <f t="shared" si="31"/>
        <v/>
      </c>
      <c r="DO24" s="652">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71">
        <f>IF(AND(Stamoplysninger!$B$22="Ulempetillæg udbetales med 25% af nettotimelønnen.",C24="ikke relevant"),(R24)/4,0)</f>
        <v>0</v>
      </c>
      <c r="DT24" s="671">
        <f>IF(AND(AND(Stamoplysninger!$B$22="Ulempetillæg udbetales med 25% af nettotimelønnen.",I24="X",C24="Ikke relevant")),K24/4,0)</f>
        <v>0</v>
      </c>
      <c r="DU24" s="671">
        <f>IF(AND(AND(Stamoplysninger!$B$22="Ulempetillæg udbetales med 25% af nettotimelønnen.",C24="ikke relevant",U24="X")),(X24/4),0)</f>
        <v>0</v>
      </c>
      <c r="DV24" s="672">
        <f>IF(AND(AND(AND(Stamoplysninger!$B$22="Ulempetillæg udbetales med 25% af nettotimelønnen.",I24="X",C24="Ikke relevant",S24="X"))),V24/4,0)</f>
        <v>0</v>
      </c>
      <c r="DW24" s="652"/>
      <c r="DZ24" s="671"/>
      <c r="EA24" s="671"/>
      <c r="EB24" s="672"/>
      <c r="EC24" s="652">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71">
        <f>IF(AND(Stamoplysninger!$B$22="Ulempetillæg afspadseres med 25%(Kræver en aftale imellem ledelsen og den ansatte)",C24="ikke relevant"),(R24)/4,0)</f>
        <v>0</v>
      </c>
      <c r="EH24" s="671">
        <f>IF(AND(AND(Stamoplysninger!$B$22="Ulempetillæg afspadseres med 25%(Kræver en aftale imellem ledelsen og den ansatte)",I24="X",C24="Ikke relevant")),K24/4,0)</f>
        <v>0</v>
      </c>
      <c r="EI24" s="671">
        <f>IF(AND(AND(Stamoplysninger!$B$22="Ulempetillæg afspadseres med 25%(Kræver en aftale imellem ledelsen og den ansatte)",U24="X",C24="Ikke relevant")),X24/4,0)</f>
        <v>0</v>
      </c>
      <c r="EJ24" s="671">
        <f>IF(AND(AND(AND(Stamoplysninger!$B$22="Ulempetillæg afspadseres med 25%(Kræver en aftale imellem ledelsen og den ansatte)",I24="X",C24="Ikke relevant",S24="X"))),V24/4,0)</f>
        <v>0</v>
      </c>
      <c r="EK24" s="283">
        <f>IF(AND(Stamoplysninger!$B$26="Weekendtimer og weekendtillæg afspadseres.",I24="X"),K24*1.5,0)</f>
        <v>0</v>
      </c>
      <c r="EL24" s="251">
        <f>IF(AND(AND(Stamoplysninger!$B$26="Weekendtimer og weekendtillæg afspadseres.",I24="X",S24="X")),V24*1.5,0)</f>
        <v>0</v>
      </c>
      <c r="EM24" s="674">
        <f>IF(AND(AND(Stamoplysninger!$B$26="Weekendtimer og weekendtillæg afspadseres.",I24="X",C24="ikke relevant")),K24*1.5,0)</f>
        <v>0</v>
      </c>
      <c r="EN24" s="675">
        <f>IF(AND(AND(AND(Stamoplysninger!$B$26="Weekendtimer og weekendtillæg afspadseres.",I24="X",C24="ikke relevant",S24="X"))),(V24*1.5),0)</f>
        <v>0</v>
      </c>
      <c r="EO24" s="283">
        <f>IF(AND(Stamoplysninger!$B$26="Weekendtimer og weekendtillæg udbetales.",I24="X"),K24*1.5,0)</f>
        <v>0</v>
      </c>
      <c r="EP24" s="251">
        <f>IF(AND(AND(Stamoplysninger!$B$26="Weekendtimer og weekendtillæg udbetales.",I24="X",S24="X")),V24*1.5,0)</f>
        <v>0</v>
      </c>
      <c r="EQ24" s="674">
        <f>IF(AND(AND(Stamoplysninger!$B$26="Weekendtimer og weekendtillæg udbetales.",I24="X",C24="ikke relevant")),K24*1.5,0)</f>
        <v>0</v>
      </c>
      <c r="ER24" s="675">
        <f>IF(AND(AND(AND(Stamoplysninger!$B$26="Weekendtimer og weekendtillæg udbetales.",I24="X",C24="ikke relevant",S24="X"))),(V24*1.5),0)</f>
        <v>0</v>
      </c>
      <c r="ES24" s="283">
        <f>IF(AND(Stamoplysninger!$B$26="Der er indgået lokalaftale omkring weekendtimer.(Kræver aftale med TR/FSL) Weekendtillæg afspadseres.",I24="X"),K24*0.5,0)</f>
        <v>0</v>
      </c>
      <c r="ET24" s="251">
        <f>IF(AND(AND(Stamoplysninger!$B$26="Der er indgået lokalaftale omkring weekendtimer.(Kræver aftale med TR/FSL) Weekendtillæg afspadseres.",I24="X",S24="X")),V24*0.5,0)</f>
        <v>0</v>
      </c>
      <c r="EU24" s="674">
        <f>IF(AND(AND(Stamoplysninger!$B$26="Der er indgået lokalaftale omkring weekendtimer.(Kræver aftale med TR/FSL) Weekendtillæg afspadseres.",I24="X",C24="ikke relevant")),K24*0.5,0)</f>
        <v>0</v>
      </c>
      <c r="EV24" s="675">
        <f>IF(AND(AND(AND(Stamoplysninger!$B$26="Der er indgået lokalaftale omkring weekendtimer.(Kræver aftale med TR/FSL) Weekendtillæg afspadseres.",I24="X",C24="ikke relevant",S24="X"))),(V24*0.5),0)</f>
        <v>0</v>
      </c>
      <c r="EW24" s="283">
        <f>IF(AND(Stamoplysninger!$B$26="Der er indgået lokalaftale omkring weekendtimer(Kræver aftale med TR/FSL). Weekendtillæg udbetales.",I24="X"),K24*0.5,0)</f>
        <v>0</v>
      </c>
      <c r="EX24" s="251">
        <f>IF(AND(AND(Stamoplysninger!$B$26="Der er indgået lokalaftale omkring weekendtimer(Kræver aftale med TR/FSL). Weekendtillæg udbetales.",I24="X",S24="X")),V24*0.5,0)</f>
        <v>0</v>
      </c>
      <c r="EY24" s="674">
        <f>IF(AND(AND(Stamoplysninger!$B$26="Der er indgået lokalaftale omkring weekendtimer(Kræver aftale med TR/FSL). Weekendtillæg udbetales.",I24="X",C24="ikke relevant")),K24*0.5,0)</f>
        <v>0</v>
      </c>
      <c r="EZ24" s="675">
        <f>IF(AND(AND(AND(Stamoplysninger!$B$26="Der er indgået lokalaftale omkring weekendtimer(Kræver aftale med TR/FSL). Weekendtillæg udbetales.",I24="X",C24="ikke relevant",S24="X"))),(V24*0.5),0)</f>
        <v>0</v>
      </c>
      <c r="FA24" s="283">
        <f>IF(AND(Stamoplysninger!$B$26="Der er indgået lokalaftale omkring weekendtillæg(Kræver aftale med TR/FSL). Weekendtimerne afspadseres.",I24="X"),K24,0)</f>
        <v>0</v>
      </c>
      <c r="FB24" s="251">
        <f>IF(AND(AND(Stamoplysninger!$B$26="Der er indgået lokalaftale omkring weekendtillæg(Kræver aftale med TR/FSL). Weekendtimerne afspadseres.",I24="X",S24="X")),V24,0)</f>
        <v>0</v>
      </c>
      <c r="FC24" s="674">
        <f>IF(AND(AND(Stamoplysninger!$B$26="Der er indgået lokalaftale omkring weekendtillæg(Kræver aftale med TR/FSL). Weekendtimerne afspadseres..",I24="X",C24="ikke relevant")),K24,0)</f>
        <v>0</v>
      </c>
      <c r="FD24" s="675">
        <f>IF(AND(AND(AND(Stamoplysninger!$B$26="Der er indgået lokalaftale omkring weekendtillæg(Kræver aftale med TR/FSL). Weekendtimerne afspadseres.",I24="X",C24="ikke relevant",S24="X"))),(V24),0)</f>
        <v>0</v>
      </c>
      <c r="FE24" s="283">
        <f>IF(AND(Stamoplysninger!$B$26="Der er indgået lokalaftale omkring weekendtillæg(Kræver aftale med TR/FSL). Weekendtimerne udbetales.",I24="X"),K24,0)</f>
        <v>0</v>
      </c>
      <c r="FF24" s="251">
        <f>IF(AND(AND(Stamoplysninger!$B$26="Der er indgået lokalaftale omkring weekendtillæg(Kræver aftale med TR/FSL). Weekendtimerne udbetales.",I24="X",S24="X")),V24,0)</f>
        <v>0</v>
      </c>
      <c r="FG24" s="674">
        <f>IF(AND(AND(Stamoplysninger!$B$26="Der er indgået lokalaftale omkring weekendtillæg(Kræver aftale med TR/FSL). Weekendtimerne udbetales.",I24="X",C24="ikke relevant")),K24,0)</f>
        <v>0</v>
      </c>
      <c r="FH24" s="675">
        <f>IF(AND(AND(AND(Stamoplysninger!$B$26="Der er indgået lokalaftale omkring weekendtillæg(Kræver aftale med TR/FSL). Weekendtimerne udbetales.",I24="X",C24="ikke relevant",S24="X"))),(V24),0)</f>
        <v>0</v>
      </c>
      <c r="FI24" s="283">
        <f>IF(AND(Stamoplysninger!$B$26="Weekendtimer og weekendtillæg afspadseres.",I24="X"),K24,0)</f>
        <v>0</v>
      </c>
      <c r="FJ24" s="251">
        <f>IF(AND(Stamoplysninger!$B$26="Weekendtimer og weekendtillæg afspadseres.",Y24="X"),(AA24+AL24)/2,0)</f>
        <v>0</v>
      </c>
      <c r="FK24" s="674">
        <f>IF(AND(AND(Stamoplysninger!$B$26="Weekendtimer og weekendtillæg afspadseres.",I24="X",C24="ikke relevant")),K24,0)</f>
        <v>0</v>
      </c>
      <c r="FL24" s="675">
        <f>IF(AND(AND(Stamoplysninger!$B$26="Weekendtimer og weekendtillæg afspadseres.",Y24="X",S24="ikke relevant")),(AA24+AL24)/2,0)</f>
        <v>0</v>
      </c>
      <c r="FM24" s="283">
        <f>IF(AND(Stamoplysninger!$B$26="Der er indgået lokalaftale omkring weekendtillæg(Kræver aftale med TR/FSL). Weekendtimerne afspadseres.",I24="X"),K24,0)</f>
        <v>0</v>
      </c>
      <c r="FN24" s="674">
        <f>IF(AND(AND(Stamoplysninger!$B$26="Der er indgået lokalaftale omkring weekendtillæg(Kræver aftale med TR/FSL). Weekendtimerne afspadseres.",I24="X",C24="ikke relevant")),K24,0)</f>
        <v>0</v>
      </c>
      <c r="FO24" s="283">
        <f>IF(AND(Stamoplysninger!$B$26="Weekendtimer og weekendtillæg udbetales.",I24="X"),K24,0)</f>
        <v>0</v>
      </c>
      <c r="FP24" s="251">
        <f>IF(AND(Stamoplysninger!$B$26="Weekendtimer og weekendtillæg udbetales.",AA24="X"),(AC24+AN24)/2,0)</f>
        <v>0</v>
      </c>
      <c r="FQ24" s="674">
        <f>IF(AND(AND(Stamoplysninger!$B$26="Weekendtimer og weekendtillæg udbetales.",I24="X",C24="ikke relevant")),K24,0)</f>
        <v>0</v>
      </c>
      <c r="FR24" s="688">
        <f>IF(AND(AND(Stamoplysninger!$B$26="Weekendtimer og weekendtillæg udbetales.",AA24="X",U24="ikke relevant")),(AC24+AN24)/2,0)</f>
        <v>0</v>
      </c>
      <c r="FS24" s="283">
        <f t="shared" si="15"/>
        <v>0</v>
      </c>
      <c r="FT24" s="658">
        <f t="shared" si="16"/>
        <v>0</v>
      </c>
      <c r="FU24">
        <f t="shared" si="17"/>
        <v>0</v>
      </c>
      <c r="FV24" s="283">
        <f>IF(AND(Stamoplysninger!$B$26="Der er indgået lokalaftale omkring weekendtimer.(Kræver aftale med TR/FSL) Weekendtillæg afspadseres.",I24="X"),K24,0)</f>
        <v>0</v>
      </c>
      <c r="FW24" s="674">
        <f>IF(AND(AND(Stamoplysninger!$B$26="Der er indgået lokalaftale omkring weekendtimer.(Kræver aftale med TR/FSL) Weekendtillæg afspadseres.",I24="X",C24="ikke relevant")),K24,0)</f>
        <v>0</v>
      </c>
      <c r="FX24" s="283">
        <f>IF(AND(Stamoplysninger!$B$26="Der er indgået lokalaftale omkring weekendtimer(Kræver aftale med TR/FSL). Weekendtillæg udbetales.",I24="X"),K24,0)</f>
        <v>0</v>
      </c>
      <c r="FY24" s="674">
        <f>IF(AND(AND(Stamoplysninger!$B$26="Der er indgået lokalaftale omkring weekendtimer(Kræver aftale med TR/FSL). Weekendtillæg udbetales.",I24="X",C24="ikke relevant")),K24,0)</f>
        <v>0</v>
      </c>
      <c r="FZ24" s="283">
        <f>IF(AND(Stamoplysninger!$B$26="Der er indgået lokalaftale omkring weekendtillæg(Kræver aftale med TR/FSL). Weekendtimerne udbetales.",I24="X"),K24,0)</f>
        <v>0</v>
      </c>
      <c r="GA24" s="674">
        <f>IF(AND(AND(Stamoplysninger!$B$26="Der er indgået lokalaftale omkring weekendtillæg(Kræver aftale med TR/FSL). Weekendtimerne udbetales.",I24="X",C24="ikke relevant")),K24,0)</f>
        <v>0</v>
      </c>
      <c r="GB24" s="283">
        <f>IF(AND(Stamoplysninger!$B$26="Der er indgået lokalaftale omkring weekendtimer og weekendtillæg.(Kræver aftale med TR/FSL).",I24="X"),K24,0)</f>
        <v>0</v>
      </c>
      <c r="GC24" s="674">
        <f>IF(AND(AND(Stamoplysninger!$B$26="Der er indgået lokalaftale omkring weekendtimer og weekendtillæg.(Kræver aftale med TR/FSL).",I24="X",C24="ikke relevant")),K24,0)</f>
        <v>0</v>
      </c>
    </row>
    <row r="25" spans="1:185">
      <c r="A25" s="245">
        <f t="shared" si="18"/>
        <v>17</v>
      </c>
      <c r="B25" s="128" t="str">
        <f t="shared" si="0"/>
        <v>ti</v>
      </c>
      <c r="C25" s="129" t="s">
        <v>206</v>
      </c>
      <c r="D25" s="130" t="str">
        <f t="shared" si="1"/>
        <v/>
      </c>
      <c r="E25" s="917"/>
      <c r="F25" s="918"/>
      <c r="G25" s="919"/>
      <c r="H25" s="298"/>
      <c r="I25" s="527"/>
      <c r="J25" s="413"/>
      <c r="K25" s="380"/>
      <c r="L25" s="380"/>
      <c r="M25" s="380"/>
      <c r="N25" s="318">
        <f t="shared" si="19"/>
        <v>7.75</v>
      </c>
      <c r="O25" s="318">
        <f t="shared" si="20"/>
        <v>4.5</v>
      </c>
      <c r="P25" s="318">
        <f>IF(Stamoplysninger!$H$29="JA",September!DG25,CX25)</f>
        <v>1</v>
      </c>
      <c r="Q25" s="318">
        <f t="shared" si="21"/>
        <v>2.25</v>
      </c>
      <c r="R25" s="319"/>
      <c r="S25" s="324"/>
      <c r="T25" s="325"/>
      <c r="U25" s="325"/>
      <c r="V25" s="435"/>
      <c r="W25" s="435"/>
      <c r="X25" s="644"/>
      <c r="Y25">
        <f t="shared" si="22"/>
        <v>0</v>
      </c>
      <c r="Z25" s="437">
        <f t="shared" si="23"/>
        <v>0</v>
      </c>
      <c r="AA25" s="1">
        <f t="shared" si="2"/>
        <v>0</v>
      </c>
      <c r="AB25" s="1">
        <f t="shared" si="3"/>
        <v>0</v>
      </c>
      <c r="AC25" s="1">
        <f t="shared" si="4"/>
        <v>0</v>
      </c>
      <c r="AD25" s="1">
        <f t="shared" si="5"/>
        <v>0</v>
      </c>
      <c r="AE25" s="1">
        <f t="shared" si="6"/>
        <v>0</v>
      </c>
      <c r="AF25" s="1">
        <f>IF(C25="Orlov",7.4*Stamoplysninger!$E$15,0)</f>
        <v>0</v>
      </c>
      <c r="AG25" t="str">
        <f>IF(AND(C25="Skema 1",B25="ma"),Arbejdstidsoversigt!$E$72,"")</f>
        <v/>
      </c>
      <c r="AH25">
        <f>IF(AND(C25="Skema 1",B25="ti"),Arbejdstidsoversigt!$E$73,"")</f>
        <v>7.75</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4"/>
        <v>7.75</v>
      </c>
      <c r="BB25" s="229">
        <f t="shared" si="7"/>
        <v>186</v>
      </c>
      <c r="BC25" s="1">
        <f t="shared" si="25"/>
        <v>0</v>
      </c>
      <c r="BD25" s="1">
        <f t="shared" si="8"/>
        <v>0</v>
      </c>
      <c r="BE25" s="1">
        <f t="shared" si="9"/>
        <v>0</v>
      </c>
      <c r="BF25" s="1">
        <f t="shared" si="10"/>
        <v>0</v>
      </c>
      <c r="BG25" s="210" t="str">
        <f>IF(AND(C25="Skema 1",B25="ma"),Skemaoplysninger!$E$30,"")</f>
        <v/>
      </c>
      <c r="BH25" s="210">
        <f>IF(AND(C25="Skema 1",B25="ti"),Skemaoplysninger!$G$30,"")</f>
        <v>0.1875</v>
      </c>
      <c r="BI25" s="210" t="str">
        <f>IF(AND(C25="Skema 1",B25="on"),Skemaoplysninger!$I$30,"")</f>
        <v/>
      </c>
      <c r="BJ25" s="210" t="str">
        <f>IF(AND(C25="Skema 1",B25="to"),Skemaoplysninger!$K$30,"")</f>
        <v/>
      </c>
      <c r="BK25" s="210" t="str">
        <f>IF(AND(C25="Skema 1",B25="fr"),Skemaoplysninger!$M$30,"")</f>
        <v/>
      </c>
      <c r="BL25" s="210" t="str">
        <f>IF(AND(C25="Skema 2",B25="ma"),Skemaoplysninger!$S$30,"")</f>
        <v/>
      </c>
      <c r="BM25" s="210" t="str">
        <f>IF(AND(C25="Skema 2",B25="ti"),Skemaoplysninger!$U$30,"")</f>
        <v/>
      </c>
      <c r="BN25" s="210" t="str">
        <f>IF(AND(C25="Skema 2",B25="on"),Skemaoplysninger!$W$30,"")</f>
        <v/>
      </c>
      <c r="BO25" s="210" t="str">
        <f>IF(AND(C25="Skema 2",B25="to"),Skemaoplysninger!$Y$30,"")</f>
        <v/>
      </c>
      <c r="BP25" s="210" t="str">
        <f>IF(AND(C25="Skema 2",B25="fr"),Skemaoplysninger!$AA$30,"")</f>
        <v/>
      </c>
      <c r="BQ25" s="210" t="str">
        <f>IF(AND(C25="Skema 3",B25="ma"),Skemaoplysninger!$AG$30,"")</f>
        <v/>
      </c>
      <c r="BR25" s="210" t="str">
        <f>IF(AND(C25="Skema 3",B25="ti"),Skemaoplysninger!$AI$30,"")</f>
        <v/>
      </c>
      <c r="BS25" s="210" t="str">
        <f>IF(AND(C25="Skema 3",B25="on"),Skemaoplysninger!$AK$30,"")</f>
        <v/>
      </c>
      <c r="BT25" s="210" t="str">
        <f>IF(AND(C25="Skema 3",B25="to"),Skemaoplysninger!$AM$30,"")</f>
        <v/>
      </c>
      <c r="BU25" s="210" t="str">
        <f>IF(AND(C25="Skema 3",B25="fr"),Skemaoplysninger!$AO$30,"")</f>
        <v/>
      </c>
      <c r="BV25" s="210" t="str">
        <f>IF(AND(C25="Skema 4",B25="ma"),Skemaoplysninger!$AU$30,"")</f>
        <v/>
      </c>
      <c r="BW25" s="210" t="str">
        <f>IF(AND(C25="Skema 4",B25="ti"),Skemaoplysninger!$AW$30,"")</f>
        <v/>
      </c>
      <c r="BX25" s="210" t="str">
        <f>IF(AND(C25="Skema 4",B25="on"),Skemaoplysninger!$AY$30,"")</f>
        <v/>
      </c>
      <c r="BY25" s="210" t="str">
        <f>IF(AND(C25="Skema 4",B25="to"),Skemaoplysninger!$BA$30,"")</f>
        <v/>
      </c>
      <c r="BZ25" s="210" t="str">
        <f>IF(AND(C25="Skema 4",B25="fr"),Skemaoplysninger!$BC$30,"")</f>
        <v/>
      </c>
      <c r="CA25" s="1">
        <f t="shared" si="26"/>
        <v>4.5</v>
      </c>
      <c r="CB25" s="1">
        <f t="shared" si="11"/>
        <v>0</v>
      </c>
      <c r="CC25" s="1">
        <f t="shared" si="12"/>
        <v>0</v>
      </c>
      <c r="CD25" s="210" t="str">
        <f>IF(AND(C25="Skema 1",B25="ma"),Skemaoplysninger!$E$31,"")</f>
        <v/>
      </c>
      <c r="CE25" s="210">
        <f>IF(AND(C25="Skema 1",B25="ti"),Skemaoplysninger!$G$31,"")</f>
        <v>4.1666666666666671E-2</v>
      </c>
      <c r="CF25" s="210" t="str">
        <f>IF(AND(C25="Skema 1",B25="on"),Skemaoplysninger!$I$31,"")</f>
        <v/>
      </c>
      <c r="CG25" s="210" t="str">
        <f>IF(AND(C25="Skema 1",B25="to"),Skemaoplysninger!$K$31,"")</f>
        <v/>
      </c>
      <c r="CH25" s="210" t="str">
        <f>IF(AND(C25="Skema 1",B25="fr"),Skemaoplysninger!$M$31,"")</f>
        <v/>
      </c>
      <c r="CI25" s="210" t="str">
        <f>IF(AND(C25="Skema 2",B25="ma"),Skemaoplysninger!$S$31,"")</f>
        <v/>
      </c>
      <c r="CJ25" s="210" t="str">
        <f>IF(AND(C25="Skema 2",B25="ti"),Skemaoplysninger!$U$31,"")</f>
        <v/>
      </c>
      <c r="CK25" s="210" t="str">
        <f>IF(AND(C25="Skema 2",B25="on"),Skemaoplysninger!$W$31,"")</f>
        <v/>
      </c>
      <c r="CL25" s="210" t="str">
        <f>IF(AND(C25="Skema 2",B25="to"),Skemaoplysninger!$Y$31,"")</f>
        <v/>
      </c>
      <c r="CM25" s="210" t="str">
        <f>IF(AND(C25="Skema 2",B25="fr"),Skemaoplysninger!$AA$31,"")</f>
        <v/>
      </c>
      <c r="CN25" s="210" t="str">
        <f>IF(AND(C25="Skema 3",B25="ma"),Skemaoplysninger!$AG$31,"")</f>
        <v/>
      </c>
      <c r="CO25" s="210" t="str">
        <f>IF(AND(C25="Skema 3",B25="ti"),Skemaoplysninger!$AI$31,"")</f>
        <v/>
      </c>
      <c r="CP25" s="210" t="str">
        <f>IF(AND(C25="Skema 3",B25="on"),Skemaoplysninger!$AK$31,"")</f>
        <v/>
      </c>
      <c r="CQ25" s="210" t="str">
        <f>IF(AND(C25="Skema 3",B25="to"),Skemaoplysninger!$AM$31,"")</f>
        <v/>
      </c>
      <c r="CR25" s="210" t="str">
        <f>IF(AND(C25="Skema 3",B25="fr"),Skemaoplysninger!$AO$31,"")</f>
        <v/>
      </c>
      <c r="CS25" s="210" t="str">
        <f>IF(AND(C25="Skema 4",B25="ma"),Skemaoplysninger!$AU$31,"")</f>
        <v/>
      </c>
      <c r="CT25" s="210" t="str">
        <f>IF(AND(C25="Skema 4",B25="ti"),Skemaoplysninger!$AW$31,"")</f>
        <v/>
      </c>
      <c r="CU25" s="210" t="str">
        <f>IF(AND(C25="Skema 4",B25="on"),Skemaoplysninger!$AY$31,"")</f>
        <v/>
      </c>
      <c r="CV25" s="210" t="str">
        <f>IF(AND(C25="Skema 4",B25="to"),Skemaoplysninger!$BA$31,"")</f>
        <v/>
      </c>
      <c r="CW25" s="210" t="str">
        <f>IF(AND(C25="Skema 4",B25="fr"),Skemaoplysninger!$BC$31,"")</f>
        <v/>
      </c>
      <c r="CX25" s="249">
        <f>IF(Stamoplysninger!$H$29="NEJ",SUM(CD25:CW25)*24+CB25+CC25,0)</f>
        <v>1</v>
      </c>
      <c r="CY25" s="249">
        <f>IF(C25="Skema 1",Stamoplysninger!$H$30/200,0)</f>
        <v>0</v>
      </c>
      <c r="CZ25" s="249">
        <f>IF(C25="Skema 2",Stamoplysninger!$H$30/200,0)</f>
        <v>0</v>
      </c>
      <c r="DA25" s="249">
        <f>IF(C25="Skema 3",Stamoplysninger!$H$30/200,0)</f>
        <v>0</v>
      </c>
      <c r="DB25" s="249">
        <f>IF(C25="Skema 4",Stamoplysninger!$H$30/200,0)</f>
        <v>0</v>
      </c>
      <c r="DC25" s="249">
        <f>IF(C25="fagdag",Stamoplysninger!$H$30/200,0)</f>
        <v>0</v>
      </c>
      <c r="DD25" s="249">
        <f>IF(C25="emnedag",Stamoplysninger!$H$30/200,0)</f>
        <v>0</v>
      </c>
      <c r="DE25" s="249">
        <f>IF(C25="lejrskole",Stamoplysninger!$H$30/200,0)</f>
        <v>0</v>
      </c>
      <c r="DF25" s="249">
        <f>IF(C25="ekskursion",Stamoplysninger!$H$30/200,0)</f>
        <v>0</v>
      </c>
      <c r="DG25" s="249">
        <f t="shared" si="27"/>
        <v>0</v>
      </c>
      <c r="DH25" t="str">
        <f t="shared" si="28"/>
        <v/>
      </c>
      <c r="DI25">
        <f t="shared" si="29"/>
        <v>0</v>
      </c>
      <c r="DJ25">
        <f t="shared" si="30"/>
        <v>0</v>
      </c>
      <c r="DK25" t="str">
        <f t="shared" si="13"/>
        <v/>
      </c>
      <c r="DL25" t="str">
        <f t="shared" si="13"/>
        <v/>
      </c>
      <c r="DM25" t="str">
        <f t="shared" si="13"/>
        <v/>
      </c>
      <c r="DN25" t="str">
        <f t="shared" si="31"/>
        <v/>
      </c>
      <c r="DO25" s="652">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71">
        <f>IF(AND(Stamoplysninger!$B$22="Ulempetillæg udbetales med 25% af nettotimelønnen.",C25="ikke relevant"),(R25)/4,0)</f>
        <v>0</v>
      </c>
      <c r="DT25" s="671">
        <f>IF(AND(AND(Stamoplysninger!$B$22="Ulempetillæg udbetales med 25% af nettotimelønnen.",I25="X",C25="Ikke relevant")),K25/4,0)</f>
        <v>0</v>
      </c>
      <c r="DU25" s="671">
        <f>IF(AND(AND(Stamoplysninger!$B$22="Ulempetillæg udbetales med 25% af nettotimelønnen.",C25="ikke relevant",U25="X")),(X25/4),0)</f>
        <v>0</v>
      </c>
      <c r="DV25" s="672">
        <f>IF(AND(AND(AND(Stamoplysninger!$B$22="Ulempetillæg udbetales med 25% af nettotimelønnen.",I25="X",C25="Ikke relevant",S25="X"))),V25/4,0)</f>
        <v>0</v>
      </c>
      <c r="DW25" s="652"/>
      <c r="DZ25" s="671"/>
      <c r="EA25" s="671"/>
      <c r="EB25" s="672"/>
      <c r="EC25" s="652">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71">
        <f>IF(AND(Stamoplysninger!$B$22="Ulempetillæg afspadseres med 25%(Kræver en aftale imellem ledelsen og den ansatte)",C25="ikke relevant"),(R25)/4,0)</f>
        <v>0</v>
      </c>
      <c r="EH25" s="671">
        <f>IF(AND(AND(Stamoplysninger!$B$22="Ulempetillæg afspadseres med 25%(Kræver en aftale imellem ledelsen og den ansatte)",I25="X",C25="Ikke relevant")),K25/4,0)</f>
        <v>0</v>
      </c>
      <c r="EI25" s="671">
        <f>IF(AND(AND(Stamoplysninger!$B$22="Ulempetillæg afspadseres med 25%(Kræver en aftale imellem ledelsen og den ansatte)",U25="X",C25="Ikke relevant")),X25/4,0)</f>
        <v>0</v>
      </c>
      <c r="EJ25" s="671">
        <f>IF(AND(AND(AND(Stamoplysninger!$B$22="Ulempetillæg afspadseres med 25%(Kræver en aftale imellem ledelsen og den ansatte)",I25="X",C25="Ikke relevant",S25="X"))),V25/4,0)</f>
        <v>0</v>
      </c>
      <c r="EK25" s="283">
        <f>IF(AND(Stamoplysninger!$B$26="Weekendtimer og weekendtillæg afspadseres.",I25="X"),K25*1.5,0)</f>
        <v>0</v>
      </c>
      <c r="EL25" s="251">
        <f>IF(AND(AND(Stamoplysninger!$B$26="Weekendtimer og weekendtillæg afspadseres.",I25="X",S25="X")),V25*1.5,0)</f>
        <v>0</v>
      </c>
      <c r="EM25" s="674">
        <f>IF(AND(AND(Stamoplysninger!$B$26="Weekendtimer og weekendtillæg afspadseres.",I25="X",C25="ikke relevant")),K25*1.5,0)</f>
        <v>0</v>
      </c>
      <c r="EN25" s="675">
        <f>IF(AND(AND(AND(Stamoplysninger!$B$26="Weekendtimer og weekendtillæg afspadseres.",I25="X",C25="ikke relevant",S25="X"))),(V25*1.5),0)</f>
        <v>0</v>
      </c>
      <c r="EO25" s="283">
        <f>IF(AND(Stamoplysninger!$B$26="Weekendtimer og weekendtillæg udbetales.",I25="X"),K25*1.5,0)</f>
        <v>0</v>
      </c>
      <c r="EP25" s="251">
        <f>IF(AND(AND(Stamoplysninger!$B$26="Weekendtimer og weekendtillæg udbetales.",I25="X",S25="X")),V25*1.5,0)</f>
        <v>0</v>
      </c>
      <c r="EQ25" s="674">
        <f>IF(AND(AND(Stamoplysninger!$B$26="Weekendtimer og weekendtillæg udbetales.",I25="X",C25="ikke relevant")),K25*1.5,0)</f>
        <v>0</v>
      </c>
      <c r="ER25" s="675">
        <f>IF(AND(AND(AND(Stamoplysninger!$B$26="Weekendtimer og weekendtillæg udbetales.",I25="X",C25="ikke relevant",S25="X"))),(V25*1.5),0)</f>
        <v>0</v>
      </c>
      <c r="ES25" s="283">
        <f>IF(AND(Stamoplysninger!$B$26="Der er indgået lokalaftale omkring weekendtimer.(Kræver aftale med TR/FSL) Weekendtillæg afspadseres.",I25="X"),K25*0.5,0)</f>
        <v>0</v>
      </c>
      <c r="ET25" s="251">
        <f>IF(AND(AND(Stamoplysninger!$B$26="Der er indgået lokalaftale omkring weekendtimer.(Kræver aftale med TR/FSL) Weekendtillæg afspadseres.",I25="X",S25="X")),V25*0.5,0)</f>
        <v>0</v>
      </c>
      <c r="EU25" s="674">
        <f>IF(AND(AND(Stamoplysninger!$B$26="Der er indgået lokalaftale omkring weekendtimer.(Kræver aftale med TR/FSL) Weekendtillæg afspadseres.",I25="X",C25="ikke relevant")),K25*0.5,0)</f>
        <v>0</v>
      </c>
      <c r="EV25" s="675">
        <f>IF(AND(AND(AND(Stamoplysninger!$B$26="Der er indgået lokalaftale omkring weekendtimer.(Kræver aftale med TR/FSL) Weekendtillæg afspadseres.",I25="X",C25="ikke relevant",S25="X"))),(V25*0.5),0)</f>
        <v>0</v>
      </c>
      <c r="EW25" s="283">
        <f>IF(AND(Stamoplysninger!$B$26="Der er indgået lokalaftale omkring weekendtimer(Kræver aftale med TR/FSL). Weekendtillæg udbetales.",I25="X"),K25*0.5,0)</f>
        <v>0</v>
      </c>
      <c r="EX25" s="251">
        <f>IF(AND(AND(Stamoplysninger!$B$26="Der er indgået lokalaftale omkring weekendtimer(Kræver aftale med TR/FSL). Weekendtillæg udbetales.",I25="X",S25="X")),V25*0.5,0)</f>
        <v>0</v>
      </c>
      <c r="EY25" s="674">
        <f>IF(AND(AND(Stamoplysninger!$B$26="Der er indgået lokalaftale omkring weekendtimer(Kræver aftale med TR/FSL). Weekendtillæg udbetales.",I25="X",C25="ikke relevant")),K25*0.5,0)</f>
        <v>0</v>
      </c>
      <c r="EZ25" s="675">
        <f>IF(AND(AND(AND(Stamoplysninger!$B$26="Der er indgået lokalaftale omkring weekendtimer(Kræver aftale med TR/FSL). Weekendtillæg udbetales.",I25="X",C25="ikke relevant",S25="X"))),(V25*0.5),0)</f>
        <v>0</v>
      </c>
      <c r="FA25" s="283">
        <f>IF(AND(Stamoplysninger!$B$26="Der er indgået lokalaftale omkring weekendtillæg(Kræver aftale med TR/FSL). Weekendtimerne afspadseres.",I25="X"),K25,0)</f>
        <v>0</v>
      </c>
      <c r="FB25" s="251">
        <f>IF(AND(AND(Stamoplysninger!$B$26="Der er indgået lokalaftale omkring weekendtillæg(Kræver aftale med TR/FSL). Weekendtimerne afspadseres.",I25="X",S25="X")),V25,0)</f>
        <v>0</v>
      </c>
      <c r="FC25" s="674">
        <f>IF(AND(AND(Stamoplysninger!$B$26="Der er indgået lokalaftale omkring weekendtillæg(Kræver aftale med TR/FSL). Weekendtimerne afspadseres..",I25="X",C25="ikke relevant")),K25,0)</f>
        <v>0</v>
      </c>
      <c r="FD25" s="675">
        <f>IF(AND(AND(AND(Stamoplysninger!$B$26="Der er indgået lokalaftale omkring weekendtillæg(Kræver aftale med TR/FSL). Weekendtimerne afspadseres.",I25="X",C25="ikke relevant",S25="X"))),(V25),0)</f>
        <v>0</v>
      </c>
      <c r="FE25" s="283">
        <f>IF(AND(Stamoplysninger!$B$26="Der er indgået lokalaftale omkring weekendtillæg(Kræver aftale med TR/FSL). Weekendtimerne udbetales.",I25="X"),K25,0)</f>
        <v>0</v>
      </c>
      <c r="FF25" s="251">
        <f>IF(AND(AND(Stamoplysninger!$B$26="Der er indgået lokalaftale omkring weekendtillæg(Kræver aftale med TR/FSL). Weekendtimerne udbetales.",I25="X",S25="X")),V25,0)</f>
        <v>0</v>
      </c>
      <c r="FG25" s="674">
        <f>IF(AND(AND(Stamoplysninger!$B$26="Der er indgået lokalaftale omkring weekendtillæg(Kræver aftale med TR/FSL). Weekendtimerne udbetales.",I25="X",C25="ikke relevant")),K25,0)</f>
        <v>0</v>
      </c>
      <c r="FH25" s="675">
        <f>IF(AND(AND(AND(Stamoplysninger!$B$26="Der er indgået lokalaftale omkring weekendtillæg(Kræver aftale med TR/FSL). Weekendtimerne udbetales.",I25="X",C25="ikke relevant",S25="X"))),(V25),0)</f>
        <v>0</v>
      </c>
      <c r="FI25" s="283">
        <f>IF(AND(Stamoplysninger!$B$26="Weekendtimer og weekendtillæg afspadseres.",I25="X"),K25,0)</f>
        <v>0</v>
      </c>
      <c r="FJ25" s="251">
        <f>IF(AND(Stamoplysninger!$B$26="Weekendtimer og weekendtillæg afspadseres.",Y25="X"),(AA25+AL25)/2,0)</f>
        <v>0</v>
      </c>
      <c r="FK25" s="674">
        <f>IF(AND(AND(Stamoplysninger!$B$26="Weekendtimer og weekendtillæg afspadseres.",I25="X",C25="ikke relevant")),K25,0)</f>
        <v>0</v>
      </c>
      <c r="FL25" s="675">
        <f>IF(AND(AND(Stamoplysninger!$B$26="Weekendtimer og weekendtillæg afspadseres.",Y25="X",S25="ikke relevant")),(AA25+AL25)/2,0)</f>
        <v>0</v>
      </c>
      <c r="FM25" s="283">
        <f>IF(AND(Stamoplysninger!$B$26="Der er indgået lokalaftale omkring weekendtillæg(Kræver aftale med TR/FSL). Weekendtimerne afspadseres.",I25="X"),K25,0)</f>
        <v>0</v>
      </c>
      <c r="FN25" s="674">
        <f>IF(AND(AND(Stamoplysninger!$B$26="Der er indgået lokalaftale omkring weekendtillæg(Kræver aftale med TR/FSL). Weekendtimerne afspadseres.",I25="X",C25="ikke relevant")),K25,0)</f>
        <v>0</v>
      </c>
      <c r="FO25" s="283">
        <f>IF(AND(Stamoplysninger!$B$26="Weekendtimer og weekendtillæg udbetales.",I25="X"),K25,0)</f>
        <v>0</v>
      </c>
      <c r="FP25" s="251">
        <f>IF(AND(Stamoplysninger!$B$26="Weekendtimer og weekendtillæg udbetales.",AA25="X"),(AC25+AN25)/2,0)</f>
        <v>0</v>
      </c>
      <c r="FQ25" s="674">
        <f>IF(AND(AND(Stamoplysninger!$B$26="Weekendtimer og weekendtillæg udbetales.",I25="X",C25="ikke relevant")),K25,0)</f>
        <v>0</v>
      </c>
      <c r="FR25" s="688">
        <f>IF(AND(AND(Stamoplysninger!$B$26="Weekendtimer og weekendtillæg udbetales.",AA25="X",U25="ikke relevant")),(AC25+AN25)/2,0)</f>
        <v>0</v>
      </c>
      <c r="FS25" s="283">
        <f t="shared" si="15"/>
        <v>0</v>
      </c>
      <c r="FT25" s="658">
        <f t="shared" si="16"/>
        <v>0</v>
      </c>
      <c r="FU25">
        <f t="shared" si="17"/>
        <v>0</v>
      </c>
      <c r="FV25" s="283">
        <f>IF(AND(Stamoplysninger!$B$26="Der er indgået lokalaftale omkring weekendtimer.(Kræver aftale med TR/FSL) Weekendtillæg afspadseres.",I25="X"),K25,0)</f>
        <v>0</v>
      </c>
      <c r="FW25" s="674">
        <f>IF(AND(AND(Stamoplysninger!$B$26="Der er indgået lokalaftale omkring weekendtimer.(Kræver aftale med TR/FSL) Weekendtillæg afspadseres.",I25="X",C25="ikke relevant")),K25,0)</f>
        <v>0</v>
      </c>
      <c r="FX25" s="283">
        <f>IF(AND(Stamoplysninger!$B$26="Der er indgået lokalaftale omkring weekendtimer(Kræver aftale med TR/FSL). Weekendtillæg udbetales.",I25="X"),K25,0)</f>
        <v>0</v>
      </c>
      <c r="FY25" s="674">
        <f>IF(AND(AND(Stamoplysninger!$B$26="Der er indgået lokalaftale omkring weekendtimer(Kræver aftale med TR/FSL). Weekendtillæg udbetales.",I25="X",C25="ikke relevant")),K25,0)</f>
        <v>0</v>
      </c>
      <c r="FZ25" s="283">
        <f>IF(AND(Stamoplysninger!$B$26="Der er indgået lokalaftale omkring weekendtillæg(Kræver aftale med TR/FSL). Weekendtimerne udbetales.",I25="X"),K25,0)</f>
        <v>0</v>
      </c>
      <c r="GA25" s="674">
        <f>IF(AND(AND(Stamoplysninger!$B$26="Der er indgået lokalaftale omkring weekendtillæg(Kræver aftale med TR/FSL). Weekendtimerne udbetales.",I25="X",C25="ikke relevant")),K25,0)</f>
        <v>0</v>
      </c>
      <c r="GB25" s="283">
        <f>IF(AND(Stamoplysninger!$B$26="Der er indgået lokalaftale omkring weekendtimer og weekendtillæg.(Kræver aftale med TR/FSL).",I25="X"),K25,0)</f>
        <v>0</v>
      </c>
      <c r="GC25" s="674">
        <f>IF(AND(AND(Stamoplysninger!$B$26="Der er indgået lokalaftale omkring weekendtimer og weekendtillæg.(Kræver aftale med TR/FSL).",I25="X",C25="ikke relevant")),K25,0)</f>
        <v>0</v>
      </c>
    </row>
    <row r="26" spans="1:185">
      <c r="A26" s="245">
        <f t="shared" si="18"/>
        <v>18</v>
      </c>
      <c r="B26" s="128" t="str">
        <f t="shared" si="0"/>
        <v>on</v>
      </c>
      <c r="C26" s="129" t="s">
        <v>206</v>
      </c>
      <c r="D26" s="130" t="str">
        <f t="shared" si="1"/>
        <v/>
      </c>
      <c r="E26" s="917"/>
      <c r="F26" s="918"/>
      <c r="G26" s="919"/>
      <c r="H26" s="298"/>
      <c r="I26" s="527"/>
      <c r="J26" s="413"/>
      <c r="K26" s="380"/>
      <c r="L26" s="380"/>
      <c r="M26" s="380"/>
      <c r="N26" s="318">
        <f t="shared" si="19"/>
        <v>7.75</v>
      </c>
      <c r="O26" s="318">
        <f t="shared" si="20"/>
        <v>5</v>
      </c>
      <c r="P26" s="318">
        <f>IF(Stamoplysninger!$H$29="JA",September!DG26,CX26)</f>
        <v>1.1666666666666665</v>
      </c>
      <c r="Q26" s="318">
        <f t="shared" si="21"/>
        <v>1.5833333333333335</v>
      </c>
      <c r="R26" s="319"/>
      <c r="S26" s="324"/>
      <c r="T26" s="325"/>
      <c r="U26" s="325"/>
      <c r="V26" s="435"/>
      <c r="W26" s="435"/>
      <c r="X26" s="644"/>
      <c r="Y26">
        <f t="shared" si="22"/>
        <v>0</v>
      </c>
      <c r="Z26" s="437">
        <f t="shared" si="23"/>
        <v>0</v>
      </c>
      <c r="AA26" s="1">
        <f t="shared" si="2"/>
        <v>0</v>
      </c>
      <c r="AB26" s="1">
        <f t="shared" si="3"/>
        <v>0</v>
      </c>
      <c r="AC26" s="1">
        <f t="shared" si="4"/>
        <v>0</v>
      </c>
      <c r="AD26" s="1">
        <f t="shared" si="5"/>
        <v>0</v>
      </c>
      <c r="AE26" s="1">
        <f t="shared" si="6"/>
        <v>0</v>
      </c>
      <c r="AF26" s="1">
        <f>IF(C26="Orlov",7.4*Stamoplysninger!$E$15,0)</f>
        <v>0</v>
      </c>
      <c r="AG26" t="str">
        <f>IF(AND(C26="Skema 1",B26="ma"),Arbejdstidsoversigt!$E$72,"")</f>
        <v/>
      </c>
      <c r="AH26" t="str">
        <f>IF(AND(C26="Skema 1",B26="ti"),Arbejdstidsoversigt!$E$73,"")</f>
        <v/>
      </c>
      <c r="AI26">
        <f>IF(AND(C26="Skema 1",B26="on"),Arbejdstidsoversigt!$E$74,"")</f>
        <v>7.75</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4"/>
        <v>7.75</v>
      </c>
      <c r="BB26" s="229">
        <f t="shared" si="7"/>
        <v>186</v>
      </c>
      <c r="BC26" s="1">
        <f t="shared" si="25"/>
        <v>0</v>
      </c>
      <c r="BD26" s="1">
        <f t="shared" si="8"/>
        <v>0</v>
      </c>
      <c r="BE26" s="1">
        <f t="shared" si="9"/>
        <v>0</v>
      </c>
      <c r="BF26" s="1">
        <f t="shared" si="10"/>
        <v>0</v>
      </c>
      <c r="BG26" s="210" t="str">
        <f>IF(AND(C26="Skema 1",B26="ma"),Skemaoplysninger!$E$30,"")</f>
        <v/>
      </c>
      <c r="BH26" s="210" t="str">
        <f>IF(AND(C26="Skema 1",B26="ti"),Skemaoplysninger!$G$30,"")</f>
        <v/>
      </c>
      <c r="BI26" s="210">
        <f>IF(AND(C26="Skema 1",B26="on"),Skemaoplysninger!$I$30,"")</f>
        <v>0.20833333333333331</v>
      </c>
      <c r="BJ26" s="210" t="str">
        <f>IF(AND(C26="Skema 1",B26="to"),Skemaoplysninger!$K$30,"")</f>
        <v/>
      </c>
      <c r="BK26" s="210" t="str">
        <f>IF(AND(C26="Skema 1",B26="fr"),Skemaoplysninger!$M$30,"")</f>
        <v/>
      </c>
      <c r="BL26" s="210" t="str">
        <f>IF(AND(C26="Skema 2",B26="ma"),Skemaoplysninger!$S$30,"")</f>
        <v/>
      </c>
      <c r="BM26" s="210" t="str">
        <f>IF(AND(C26="Skema 2",B26="ti"),Skemaoplysninger!$U$30,"")</f>
        <v/>
      </c>
      <c r="BN26" s="210" t="str">
        <f>IF(AND(C26="Skema 2",B26="on"),Skemaoplysninger!$W$30,"")</f>
        <v/>
      </c>
      <c r="BO26" s="210" t="str">
        <f>IF(AND(C26="Skema 2",B26="to"),Skemaoplysninger!$Y$30,"")</f>
        <v/>
      </c>
      <c r="BP26" s="210" t="str">
        <f>IF(AND(C26="Skema 2",B26="fr"),Skemaoplysninger!$AA$30,"")</f>
        <v/>
      </c>
      <c r="BQ26" s="210" t="str">
        <f>IF(AND(C26="Skema 3",B26="ma"),Skemaoplysninger!$AG$30,"")</f>
        <v/>
      </c>
      <c r="BR26" s="210" t="str">
        <f>IF(AND(C26="Skema 3",B26="ti"),Skemaoplysninger!$AI$30,"")</f>
        <v/>
      </c>
      <c r="BS26" s="210" t="str">
        <f>IF(AND(C26="Skema 3",B26="on"),Skemaoplysninger!$AK$30,"")</f>
        <v/>
      </c>
      <c r="BT26" s="210" t="str">
        <f>IF(AND(C26="Skema 3",B26="to"),Skemaoplysninger!$AM$30,"")</f>
        <v/>
      </c>
      <c r="BU26" s="210" t="str">
        <f>IF(AND(C26="Skema 3",B26="fr"),Skemaoplysninger!$AO$30,"")</f>
        <v/>
      </c>
      <c r="BV26" s="210" t="str">
        <f>IF(AND(C26="Skema 4",B26="ma"),Skemaoplysninger!$AU$30,"")</f>
        <v/>
      </c>
      <c r="BW26" s="210" t="str">
        <f>IF(AND(C26="Skema 4",B26="ti"),Skemaoplysninger!$AW$30,"")</f>
        <v/>
      </c>
      <c r="BX26" s="210" t="str">
        <f>IF(AND(C26="Skema 4",B26="on"),Skemaoplysninger!$AY$30,"")</f>
        <v/>
      </c>
      <c r="BY26" s="210" t="str">
        <f>IF(AND(C26="Skema 4",B26="to"),Skemaoplysninger!$BA$30,"")</f>
        <v/>
      </c>
      <c r="BZ26" s="210" t="str">
        <f>IF(AND(C26="Skema 4",B26="fr"),Skemaoplysninger!$BC$30,"")</f>
        <v/>
      </c>
      <c r="CA26" s="1">
        <f t="shared" si="26"/>
        <v>5</v>
      </c>
      <c r="CB26" s="1">
        <f t="shared" si="11"/>
        <v>0</v>
      </c>
      <c r="CC26" s="1">
        <f t="shared" si="12"/>
        <v>0</v>
      </c>
      <c r="CD26" s="210" t="str">
        <f>IF(AND(C26="Skema 1",B26="ma"),Skemaoplysninger!$E$31,"")</f>
        <v/>
      </c>
      <c r="CE26" s="210" t="str">
        <f>IF(AND(C26="Skema 1",B26="ti"),Skemaoplysninger!$G$31,"")</f>
        <v/>
      </c>
      <c r="CF26" s="210">
        <f>IF(AND(C26="Skema 1",B26="on"),Skemaoplysninger!$I$31,"")</f>
        <v>4.8611111111111105E-2</v>
      </c>
      <c r="CG26" s="210" t="str">
        <f>IF(AND(C26="Skema 1",B26="to"),Skemaoplysninger!$K$31,"")</f>
        <v/>
      </c>
      <c r="CH26" s="210" t="str">
        <f>IF(AND(C26="Skema 1",B26="fr"),Skemaoplysninger!$M$31,"")</f>
        <v/>
      </c>
      <c r="CI26" s="210" t="str">
        <f>IF(AND(C26="Skema 2",B26="ma"),Skemaoplysninger!$S$31,"")</f>
        <v/>
      </c>
      <c r="CJ26" s="210" t="str">
        <f>IF(AND(C26="Skema 2",B26="ti"),Skemaoplysninger!$U$31,"")</f>
        <v/>
      </c>
      <c r="CK26" s="210" t="str">
        <f>IF(AND(C26="Skema 2",B26="on"),Skemaoplysninger!$W$31,"")</f>
        <v/>
      </c>
      <c r="CL26" s="210" t="str">
        <f>IF(AND(C26="Skema 2",B26="to"),Skemaoplysninger!$Y$31,"")</f>
        <v/>
      </c>
      <c r="CM26" s="210" t="str">
        <f>IF(AND(C26="Skema 2",B26="fr"),Skemaoplysninger!$AA$31,"")</f>
        <v/>
      </c>
      <c r="CN26" s="210" t="str">
        <f>IF(AND(C26="Skema 3",B26="ma"),Skemaoplysninger!$AG$31,"")</f>
        <v/>
      </c>
      <c r="CO26" s="210" t="str">
        <f>IF(AND(C26="Skema 3",B26="ti"),Skemaoplysninger!$AI$31,"")</f>
        <v/>
      </c>
      <c r="CP26" s="210" t="str">
        <f>IF(AND(C26="Skema 3",B26="on"),Skemaoplysninger!$AK$31,"")</f>
        <v/>
      </c>
      <c r="CQ26" s="210" t="str">
        <f>IF(AND(C26="Skema 3",B26="to"),Skemaoplysninger!$AM$31,"")</f>
        <v/>
      </c>
      <c r="CR26" s="210" t="str">
        <f>IF(AND(C26="Skema 3",B26="fr"),Skemaoplysninger!$AO$31,"")</f>
        <v/>
      </c>
      <c r="CS26" s="210" t="str">
        <f>IF(AND(C26="Skema 4",B26="ma"),Skemaoplysninger!$AU$31,"")</f>
        <v/>
      </c>
      <c r="CT26" s="210" t="str">
        <f>IF(AND(C26="Skema 4",B26="ti"),Skemaoplysninger!$AW$31,"")</f>
        <v/>
      </c>
      <c r="CU26" s="210" t="str">
        <f>IF(AND(C26="Skema 4",B26="on"),Skemaoplysninger!$AY$31,"")</f>
        <v/>
      </c>
      <c r="CV26" s="210" t="str">
        <f>IF(AND(C26="Skema 4",B26="to"),Skemaoplysninger!$BA$31,"")</f>
        <v/>
      </c>
      <c r="CW26" s="210" t="str">
        <f>IF(AND(C26="Skema 4",B26="fr"),Skemaoplysninger!$BC$31,"")</f>
        <v/>
      </c>
      <c r="CX26" s="249">
        <f>IF(Stamoplysninger!$H$29="NEJ",SUM(CD26:CW26)*24+CB26+CC26,0)</f>
        <v>1.1666666666666665</v>
      </c>
      <c r="CY26" s="249">
        <f>IF(C26="Skema 1",Stamoplysninger!$H$30/200,0)</f>
        <v>0</v>
      </c>
      <c r="CZ26" s="249">
        <f>IF(C26="Skema 2",Stamoplysninger!$H$30/200,0)</f>
        <v>0</v>
      </c>
      <c r="DA26" s="249">
        <f>IF(C26="Skema 3",Stamoplysninger!$H$30/200,0)</f>
        <v>0</v>
      </c>
      <c r="DB26" s="249">
        <f>IF(C26="Skema 4",Stamoplysninger!$H$30/200,0)</f>
        <v>0</v>
      </c>
      <c r="DC26" s="249">
        <f>IF(C26="fagdag",Stamoplysninger!$H$30/200,0)</f>
        <v>0</v>
      </c>
      <c r="DD26" s="249">
        <f>IF(C26="emnedag",Stamoplysninger!$H$30/200,0)</f>
        <v>0</v>
      </c>
      <c r="DE26" s="249">
        <f>IF(C26="lejrskole",Stamoplysninger!$H$30/200,0)</f>
        <v>0</v>
      </c>
      <c r="DF26" s="249">
        <f>IF(C26="ekskursion",Stamoplysninger!$H$30/200,0)</f>
        <v>0</v>
      </c>
      <c r="DG26" s="249">
        <f t="shared" si="27"/>
        <v>0</v>
      </c>
      <c r="DH26" t="str">
        <f t="shared" si="28"/>
        <v/>
      </c>
      <c r="DI26">
        <f t="shared" si="29"/>
        <v>0</v>
      </c>
      <c r="DJ26">
        <f t="shared" si="30"/>
        <v>0</v>
      </c>
      <c r="DK26" t="str">
        <f t="shared" si="13"/>
        <v/>
      </c>
      <c r="DL26" t="str">
        <f t="shared" si="13"/>
        <v/>
      </c>
      <c r="DM26" t="str">
        <f t="shared" si="13"/>
        <v/>
      </c>
      <c r="DN26" t="str">
        <f t="shared" si="31"/>
        <v/>
      </c>
      <c r="DO26" s="652">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71">
        <f>IF(AND(Stamoplysninger!$B$22="Ulempetillæg udbetales med 25% af nettotimelønnen.",C26="ikke relevant"),(R26)/4,0)</f>
        <v>0</v>
      </c>
      <c r="DT26" s="671">
        <f>IF(AND(AND(Stamoplysninger!$B$22="Ulempetillæg udbetales med 25% af nettotimelønnen.",I26="X",C26="Ikke relevant")),K26/4,0)</f>
        <v>0</v>
      </c>
      <c r="DU26" s="671">
        <f>IF(AND(AND(Stamoplysninger!$B$22="Ulempetillæg udbetales med 25% af nettotimelønnen.",C26="ikke relevant",U26="X")),(X26/4),0)</f>
        <v>0</v>
      </c>
      <c r="DV26" s="672">
        <f>IF(AND(AND(AND(Stamoplysninger!$B$22="Ulempetillæg udbetales med 25% af nettotimelønnen.",I26="X",C26="Ikke relevant",S26="X"))),V26/4,0)</f>
        <v>0</v>
      </c>
      <c r="DW26" s="652"/>
      <c r="DZ26" s="671"/>
      <c r="EA26" s="671"/>
      <c r="EB26" s="672"/>
      <c r="EC26" s="652">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71">
        <f>IF(AND(Stamoplysninger!$B$22="Ulempetillæg afspadseres med 25%(Kræver en aftale imellem ledelsen og den ansatte)",C26="ikke relevant"),(R26)/4,0)</f>
        <v>0</v>
      </c>
      <c r="EH26" s="671">
        <f>IF(AND(AND(Stamoplysninger!$B$22="Ulempetillæg afspadseres med 25%(Kræver en aftale imellem ledelsen og den ansatte)",I26="X",C26="Ikke relevant")),K26/4,0)</f>
        <v>0</v>
      </c>
      <c r="EI26" s="671">
        <f>IF(AND(AND(Stamoplysninger!$B$22="Ulempetillæg afspadseres med 25%(Kræver en aftale imellem ledelsen og den ansatte)",U26="X",C26="Ikke relevant")),X26/4,0)</f>
        <v>0</v>
      </c>
      <c r="EJ26" s="671">
        <f>IF(AND(AND(AND(Stamoplysninger!$B$22="Ulempetillæg afspadseres med 25%(Kræver en aftale imellem ledelsen og den ansatte)",I26="X",C26="Ikke relevant",S26="X"))),V26/4,0)</f>
        <v>0</v>
      </c>
      <c r="EK26" s="283">
        <f>IF(AND(Stamoplysninger!$B$26="Weekendtimer og weekendtillæg afspadseres.",I26="X"),K26*1.5,0)</f>
        <v>0</v>
      </c>
      <c r="EL26" s="251">
        <f>IF(AND(AND(Stamoplysninger!$B$26="Weekendtimer og weekendtillæg afspadseres.",I26="X",S26="X")),V26*1.5,0)</f>
        <v>0</v>
      </c>
      <c r="EM26" s="674">
        <f>IF(AND(AND(Stamoplysninger!$B$26="Weekendtimer og weekendtillæg afspadseres.",I26="X",C26="ikke relevant")),K26*1.5,0)</f>
        <v>0</v>
      </c>
      <c r="EN26" s="675">
        <f>IF(AND(AND(AND(Stamoplysninger!$B$26="Weekendtimer og weekendtillæg afspadseres.",I26="X",C26="ikke relevant",S26="X"))),(V26*1.5),0)</f>
        <v>0</v>
      </c>
      <c r="EO26" s="283">
        <f>IF(AND(Stamoplysninger!$B$26="Weekendtimer og weekendtillæg udbetales.",I26="X"),K26*1.5,0)</f>
        <v>0</v>
      </c>
      <c r="EP26" s="251">
        <f>IF(AND(AND(Stamoplysninger!$B$26="Weekendtimer og weekendtillæg udbetales.",I26="X",S26="X")),V26*1.5,0)</f>
        <v>0</v>
      </c>
      <c r="EQ26" s="674">
        <f>IF(AND(AND(Stamoplysninger!$B$26="Weekendtimer og weekendtillæg udbetales.",I26="X",C26="ikke relevant")),K26*1.5,0)</f>
        <v>0</v>
      </c>
      <c r="ER26" s="675">
        <f>IF(AND(AND(AND(Stamoplysninger!$B$26="Weekendtimer og weekendtillæg udbetales.",I26="X",C26="ikke relevant",S26="X"))),(V26*1.5),0)</f>
        <v>0</v>
      </c>
      <c r="ES26" s="283">
        <f>IF(AND(Stamoplysninger!$B$26="Der er indgået lokalaftale omkring weekendtimer.(Kræver aftale med TR/FSL) Weekendtillæg afspadseres.",I26="X"),K26*0.5,0)</f>
        <v>0</v>
      </c>
      <c r="ET26" s="251">
        <f>IF(AND(AND(Stamoplysninger!$B$26="Der er indgået lokalaftale omkring weekendtimer.(Kræver aftale med TR/FSL) Weekendtillæg afspadseres.",I26="X",S26="X")),V26*0.5,0)</f>
        <v>0</v>
      </c>
      <c r="EU26" s="674">
        <f>IF(AND(AND(Stamoplysninger!$B$26="Der er indgået lokalaftale omkring weekendtimer.(Kræver aftale med TR/FSL) Weekendtillæg afspadseres.",I26="X",C26="ikke relevant")),K26*0.5,0)</f>
        <v>0</v>
      </c>
      <c r="EV26" s="675">
        <f>IF(AND(AND(AND(Stamoplysninger!$B$26="Der er indgået lokalaftale omkring weekendtimer.(Kræver aftale med TR/FSL) Weekendtillæg afspadseres.",I26="X",C26="ikke relevant",S26="X"))),(V26*0.5),0)</f>
        <v>0</v>
      </c>
      <c r="EW26" s="283">
        <f>IF(AND(Stamoplysninger!$B$26="Der er indgået lokalaftale omkring weekendtimer(Kræver aftale med TR/FSL). Weekendtillæg udbetales.",I26="X"),K26*0.5,0)</f>
        <v>0</v>
      </c>
      <c r="EX26" s="251">
        <f>IF(AND(AND(Stamoplysninger!$B$26="Der er indgået lokalaftale omkring weekendtimer(Kræver aftale med TR/FSL). Weekendtillæg udbetales.",I26="X",S26="X")),V26*0.5,0)</f>
        <v>0</v>
      </c>
      <c r="EY26" s="674">
        <f>IF(AND(AND(Stamoplysninger!$B$26="Der er indgået lokalaftale omkring weekendtimer(Kræver aftale med TR/FSL). Weekendtillæg udbetales.",I26="X",C26="ikke relevant")),K26*0.5,0)</f>
        <v>0</v>
      </c>
      <c r="EZ26" s="675">
        <f>IF(AND(AND(AND(Stamoplysninger!$B$26="Der er indgået lokalaftale omkring weekendtimer(Kræver aftale med TR/FSL). Weekendtillæg udbetales.",I26="X",C26="ikke relevant",S26="X"))),(V26*0.5),0)</f>
        <v>0</v>
      </c>
      <c r="FA26" s="283">
        <f>IF(AND(Stamoplysninger!$B$26="Der er indgået lokalaftale omkring weekendtillæg(Kræver aftale med TR/FSL). Weekendtimerne afspadseres.",I26="X"),K26,0)</f>
        <v>0</v>
      </c>
      <c r="FB26" s="251">
        <f>IF(AND(AND(Stamoplysninger!$B$26="Der er indgået lokalaftale omkring weekendtillæg(Kræver aftale med TR/FSL). Weekendtimerne afspadseres.",I26="X",S26="X")),V26,0)</f>
        <v>0</v>
      </c>
      <c r="FC26" s="674">
        <f>IF(AND(AND(Stamoplysninger!$B$26="Der er indgået lokalaftale omkring weekendtillæg(Kræver aftale med TR/FSL). Weekendtimerne afspadseres..",I26="X",C26="ikke relevant")),K26,0)</f>
        <v>0</v>
      </c>
      <c r="FD26" s="675">
        <f>IF(AND(AND(AND(Stamoplysninger!$B$26="Der er indgået lokalaftale omkring weekendtillæg(Kræver aftale med TR/FSL). Weekendtimerne afspadseres.",I26="X",C26="ikke relevant",S26="X"))),(V26),0)</f>
        <v>0</v>
      </c>
      <c r="FE26" s="283">
        <f>IF(AND(Stamoplysninger!$B$26="Der er indgået lokalaftale omkring weekendtillæg(Kræver aftale med TR/FSL). Weekendtimerne udbetales.",I26="X"),K26,0)</f>
        <v>0</v>
      </c>
      <c r="FF26" s="251">
        <f>IF(AND(AND(Stamoplysninger!$B$26="Der er indgået lokalaftale omkring weekendtillæg(Kræver aftale med TR/FSL). Weekendtimerne udbetales.",I26="X",S26="X")),V26,0)</f>
        <v>0</v>
      </c>
      <c r="FG26" s="674">
        <f>IF(AND(AND(Stamoplysninger!$B$26="Der er indgået lokalaftale omkring weekendtillæg(Kræver aftale med TR/FSL). Weekendtimerne udbetales.",I26="X",C26="ikke relevant")),K26,0)</f>
        <v>0</v>
      </c>
      <c r="FH26" s="675">
        <f>IF(AND(AND(AND(Stamoplysninger!$B$26="Der er indgået lokalaftale omkring weekendtillæg(Kræver aftale med TR/FSL). Weekendtimerne udbetales.",I26="X",C26="ikke relevant",S26="X"))),(V26),0)</f>
        <v>0</v>
      </c>
      <c r="FI26" s="283">
        <f>IF(AND(Stamoplysninger!$B$26="Weekendtimer og weekendtillæg afspadseres.",I26="X"),K26,0)</f>
        <v>0</v>
      </c>
      <c r="FJ26" s="251">
        <f>IF(AND(Stamoplysninger!$B$26="Weekendtimer og weekendtillæg afspadseres.",Y26="X"),(AA26+AL26)/2,0)</f>
        <v>0</v>
      </c>
      <c r="FK26" s="674">
        <f>IF(AND(AND(Stamoplysninger!$B$26="Weekendtimer og weekendtillæg afspadseres.",I26="X",C26="ikke relevant")),K26,0)</f>
        <v>0</v>
      </c>
      <c r="FL26" s="675">
        <f>IF(AND(AND(Stamoplysninger!$B$26="Weekendtimer og weekendtillæg afspadseres.",Y26="X",S26="ikke relevant")),(AA26+AL26)/2,0)</f>
        <v>0</v>
      </c>
      <c r="FM26" s="283">
        <f>IF(AND(Stamoplysninger!$B$26="Der er indgået lokalaftale omkring weekendtillæg(Kræver aftale med TR/FSL). Weekendtimerne afspadseres.",I26="X"),K26,0)</f>
        <v>0</v>
      </c>
      <c r="FN26" s="674">
        <f>IF(AND(AND(Stamoplysninger!$B$26="Der er indgået lokalaftale omkring weekendtillæg(Kræver aftale med TR/FSL). Weekendtimerne afspadseres.",I26="X",C26="ikke relevant")),K26,0)</f>
        <v>0</v>
      </c>
      <c r="FO26" s="283">
        <f>IF(AND(Stamoplysninger!$B$26="Weekendtimer og weekendtillæg udbetales.",I26="X"),K26,0)</f>
        <v>0</v>
      </c>
      <c r="FP26" s="251">
        <f>IF(AND(Stamoplysninger!$B$26="Weekendtimer og weekendtillæg udbetales.",AA26="X"),(AC26+AN26)/2,0)</f>
        <v>0</v>
      </c>
      <c r="FQ26" s="674">
        <f>IF(AND(AND(Stamoplysninger!$B$26="Weekendtimer og weekendtillæg udbetales.",I26="X",C26="ikke relevant")),K26,0)</f>
        <v>0</v>
      </c>
      <c r="FR26" s="688">
        <f>IF(AND(AND(Stamoplysninger!$B$26="Weekendtimer og weekendtillæg udbetales.",AA26="X",U26="ikke relevant")),(AC26+AN26)/2,0)</f>
        <v>0</v>
      </c>
      <c r="FS26" s="283">
        <f t="shared" si="15"/>
        <v>0</v>
      </c>
      <c r="FT26" s="658">
        <f t="shared" si="16"/>
        <v>0</v>
      </c>
      <c r="FU26">
        <f t="shared" si="17"/>
        <v>0</v>
      </c>
      <c r="FV26" s="283">
        <f>IF(AND(Stamoplysninger!$B$26="Der er indgået lokalaftale omkring weekendtimer.(Kræver aftale med TR/FSL) Weekendtillæg afspadseres.",I26="X"),K26,0)</f>
        <v>0</v>
      </c>
      <c r="FW26" s="674">
        <f>IF(AND(AND(Stamoplysninger!$B$26="Der er indgået lokalaftale omkring weekendtimer.(Kræver aftale med TR/FSL) Weekendtillæg afspadseres.",I26="X",C26="ikke relevant")),K26,0)</f>
        <v>0</v>
      </c>
      <c r="FX26" s="283">
        <f>IF(AND(Stamoplysninger!$B$26="Der er indgået lokalaftale omkring weekendtimer(Kræver aftale med TR/FSL). Weekendtillæg udbetales.",I26="X"),K26,0)</f>
        <v>0</v>
      </c>
      <c r="FY26" s="674">
        <f>IF(AND(AND(Stamoplysninger!$B$26="Der er indgået lokalaftale omkring weekendtimer(Kræver aftale med TR/FSL). Weekendtillæg udbetales.",I26="X",C26="ikke relevant")),K26,0)</f>
        <v>0</v>
      </c>
      <c r="FZ26" s="283">
        <f>IF(AND(Stamoplysninger!$B$26="Der er indgået lokalaftale omkring weekendtillæg(Kræver aftale med TR/FSL). Weekendtimerne udbetales.",I26="X"),K26,0)</f>
        <v>0</v>
      </c>
      <c r="GA26" s="674">
        <f>IF(AND(AND(Stamoplysninger!$B$26="Der er indgået lokalaftale omkring weekendtillæg(Kræver aftale med TR/FSL). Weekendtimerne udbetales.",I26="X",C26="ikke relevant")),K26,0)</f>
        <v>0</v>
      </c>
      <c r="GB26" s="283">
        <f>IF(AND(Stamoplysninger!$B$26="Der er indgået lokalaftale omkring weekendtimer og weekendtillæg.(Kræver aftale med TR/FSL).",I26="X"),K26,0)</f>
        <v>0</v>
      </c>
      <c r="GC26" s="674">
        <f>IF(AND(AND(Stamoplysninger!$B$26="Der er indgået lokalaftale omkring weekendtimer og weekendtillæg.(Kræver aftale med TR/FSL).",I26="X",C26="ikke relevant")),K26,0)</f>
        <v>0</v>
      </c>
    </row>
    <row r="27" spans="1:185">
      <c r="A27" s="245">
        <f t="shared" si="18"/>
        <v>19</v>
      </c>
      <c r="B27" s="128" t="str">
        <f t="shared" si="0"/>
        <v>to</v>
      </c>
      <c r="C27" s="129" t="s">
        <v>206</v>
      </c>
      <c r="D27" s="130" t="str">
        <f t="shared" si="1"/>
        <v/>
      </c>
      <c r="E27" s="917"/>
      <c r="F27" s="918"/>
      <c r="G27" s="919"/>
      <c r="H27" s="298"/>
      <c r="I27" s="527"/>
      <c r="J27" s="413"/>
      <c r="K27" s="380"/>
      <c r="L27" s="380"/>
      <c r="M27" s="380"/>
      <c r="N27" s="318">
        <f t="shared" si="19"/>
        <v>8.5</v>
      </c>
      <c r="O27" s="318">
        <f t="shared" si="20"/>
        <v>3</v>
      </c>
      <c r="P27" s="318">
        <f>IF(Stamoplysninger!$H$29="JA",September!DG27,CX27)</f>
        <v>1.5</v>
      </c>
      <c r="Q27" s="318">
        <f t="shared" si="21"/>
        <v>4</v>
      </c>
      <c r="R27" s="319"/>
      <c r="S27" s="324"/>
      <c r="T27" s="325"/>
      <c r="U27" s="325"/>
      <c r="V27" s="435"/>
      <c r="W27" s="435"/>
      <c r="X27" s="644"/>
      <c r="Y27">
        <f t="shared" si="22"/>
        <v>0</v>
      </c>
      <c r="Z27" s="437">
        <f t="shared" si="23"/>
        <v>0</v>
      </c>
      <c r="AA27" s="1">
        <f t="shared" si="2"/>
        <v>0</v>
      </c>
      <c r="AB27" s="1">
        <f t="shared" si="3"/>
        <v>0</v>
      </c>
      <c r="AC27" s="1">
        <f t="shared" si="4"/>
        <v>0</v>
      </c>
      <c r="AD27" s="1">
        <f t="shared" si="5"/>
        <v>0</v>
      </c>
      <c r="AE27" s="1">
        <f t="shared" si="6"/>
        <v>0</v>
      </c>
      <c r="AF27" s="1">
        <f>IF(C27="Orlov",7.4*Stamoplysninger!$E$15,0)</f>
        <v>0</v>
      </c>
      <c r="AG27" t="str">
        <f>IF(AND(C27="Skema 1",B27="ma"),Arbejdstidsoversigt!$E$72,"")</f>
        <v/>
      </c>
      <c r="AH27" t="str">
        <f>IF(AND(C27="Skema 1",B27="ti"),Arbejdstidsoversigt!$E$73,"")</f>
        <v/>
      </c>
      <c r="AI27" t="str">
        <f>IF(AND(C27="Skema 1",B27="on"),Arbejdstidsoversigt!$E$74,"")</f>
        <v/>
      </c>
      <c r="AJ27">
        <f>IF(AND(C27="Skema 1",B27="to"),Arbejdstidsoversigt!$E$75,"")</f>
        <v>8.5</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4"/>
        <v>8.5</v>
      </c>
      <c r="BB27" s="229">
        <f t="shared" si="7"/>
        <v>204</v>
      </c>
      <c r="BC27" s="1">
        <f t="shared" si="25"/>
        <v>0</v>
      </c>
      <c r="BD27" s="1">
        <f t="shared" si="8"/>
        <v>0</v>
      </c>
      <c r="BE27" s="1">
        <f t="shared" si="9"/>
        <v>0</v>
      </c>
      <c r="BF27" s="1">
        <f t="shared" si="10"/>
        <v>0</v>
      </c>
      <c r="BG27" s="210" t="str">
        <f>IF(AND(C27="Skema 1",B27="ma"),Skemaoplysninger!$E$30,"")</f>
        <v/>
      </c>
      <c r="BH27" s="210" t="str">
        <f>IF(AND(C27="Skema 1",B27="ti"),Skemaoplysninger!$G$30,"")</f>
        <v/>
      </c>
      <c r="BI27" s="210" t="str">
        <f>IF(AND(C27="Skema 1",B27="on"),Skemaoplysninger!$I$30,"")</f>
        <v/>
      </c>
      <c r="BJ27" s="210">
        <f>IF(AND(C27="Skema 1",B27="to"),Skemaoplysninger!$K$30,"")</f>
        <v>0.125</v>
      </c>
      <c r="BK27" s="210" t="str">
        <f>IF(AND(C27="Skema 1",B27="fr"),Skemaoplysninger!$M$30,"")</f>
        <v/>
      </c>
      <c r="BL27" s="210" t="str">
        <f>IF(AND(C27="Skema 2",B27="ma"),Skemaoplysninger!$S$30,"")</f>
        <v/>
      </c>
      <c r="BM27" s="210" t="str">
        <f>IF(AND(C27="Skema 2",B27="ti"),Skemaoplysninger!$U$30,"")</f>
        <v/>
      </c>
      <c r="BN27" s="210" t="str">
        <f>IF(AND(C27="Skema 2",B27="on"),Skemaoplysninger!$W$30,"")</f>
        <v/>
      </c>
      <c r="BO27" s="210" t="str">
        <f>IF(AND(C27="Skema 2",B27="to"),Skemaoplysninger!$Y$30,"")</f>
        <v/>
      </c>
      <c r="BP27" s="210" t="str">
        <f>IF(AND(C27="Skema 2",B27="fr"),Skemaoplysninger!$AA$30,"")</f>
        <v/>
      </c>
      <c r="BQ27" s="210" t="str">
        <f>IF(AND(C27="Skema 3",B27="ma"),Skemaoplysninger!$AG$30,"")</f>
        <v/>
      </c>
      <c r="BR27" s="210" t="str">
        <f>IF(AND(C27="Skema 3",B27="ti"),Skemaoplysninger!$AI$30,"")</f>
        <v/>
      </c>
      <c r="BS27" s="210" t="str">
        <f>IF(AND(C27="Skema 3",B27="on"),Skemaoplysninger!$AK$30,"")</f>
        <v/>
      </c>
      <c r="BT27" s="210" t="str">
        <f>IF(AND(C27="Skema 3",B27="to"),Skemaoplysninger!$AM$30,"")</f>
        <v/>
      </c>
      <c r="BU27" s="210" t="str">
        <f>IF(AND(C27="Skema 3",B27="fr"),Skemaoplysninger!$AO$30,"")</f>
        <v/>
      </c>
      <c r="BV27" s="210" t="str">
        <f>IF(AND(C27="Skema 4",B27="ma"),Skemaoplysninger!$AU$30,"")</f>
        <v/>
      </c>
      <c r="BW27" s="210" t="str">
        <f>IF(AND(C27="Skema 4",B27="ti"),Skemaoplysninger!$AW$30,"")</f>
        <v/>
      </c>
      <c r="BX27" s="210" t="str">
        <f>IF(AND(C27="Skema 4",B27="on"),Skemaoplysninger!$AY$30,"")</f>
        <v/>
      </c>
      <c r="BY27" s="210" t="str">
        <f>IF(AND(C27="Skema 4",B27="to"),Skemaoplysninger!$BA$30,"")</f>
        <v/>
      </c>
      <c r="BZ27" s="210" t="str">
        <f>IF(AND(C27="Skema 4",B27="fr"),Skemaoplysninger!$BC$30,"")</f>
        <v/>
      </c>
      <c r="CA27" s="1">
        <f t="shared" si="26"/>
        <v>3</v>
      </c>
      <c r="CB27" s="1">
        <f t="shared" si="11"/>
        <v>0</v>
      </c>
      <c r="CC27" s="1">
        <f t="shared" si="12"/>
        <v>0</v>
      </c>
      <c r="CD27" s="210" t="str">
        <f>IF(AND(C27="Skema 1",B27="ma"),Skemaoplysninger!$E$31,"")</f>
        <v/>
      </c>
      <c r="CE27" s="210" t="str">
        <f>IF(AND(C27="Skema 1",B27="ti"),Skemaoplysninger!$G$31,"")</f>
        <v/>
      </c>
      <c r="CF27" s="210" t="str">
        <f>IF(AND(C27="Skema 1",B27="on"),Skemaoplysninger!$I$31,"")</f>
        <v/>
      </c>
      <c r="CG27" s="210">
        <f>IF(AND(C27="Skema 1",B27="to"),Skemaoplysninger!$K$31,"")</f>
        <v>6.25E-2</v>
      </c>
      <c r="CH27" s="210" t="str">
        <f>IF(AND(C27="Skema 1",B27="fr"),Skemaoplysninger!$M$31,"")</f>
        <v/>
      </c>
      <c r="CI27" s="210" t="str">
        <f>IF(AND(C27="Skema 2",B27="ma"),Skemaoplysninger!$S$31,"")</f>
        <v/>
      </c>
      <c r="CJ27" s="210" t="str">
        <f>IF(AND(C27="Skema 2",B27="ti"),Skemaoplysninger!$U$31,"")</f>
        <v/>
      </c>
      <c r="CK27" s="210" t="str">
        <f>IF(AND(C27="Skema 2",B27="on"),Skemaoplysninger!$W$31,"")</f>
        <v/>
      </c>
      <c r="CL27" s="210" t="str">
        <f>IF(AND(C27="Skema 2",B27="to"),Skemaoplysninger!$Y$31,"")</f>
        <v/>
      </c>
      <c r="CM27" s="210" t="str">
        <f>IF(AND(C27="Skema 2",B27="fr"),Skemaoplysninger!$AA$31,"")</f>
        <v/>
      </c>
      <c r="CN27" s="210" t="str">
        <f>IF(AND(C27="Skema 3",B27="ma"),Skemaoplysninger!$AG$31,"")</f>
        <v/>
      </c>
      <c r="CO27" s="210" t="str">
        <f>IF(AND(C27="Skema 3",B27="ti"),Skemaoplysninger!$AI$31,"")</f>
        <v/>
      </c>
      <c r="CP27" s="210" t="str">
        <f>IF(AND(C27="Skema 3",B27="on"),Skemaoplysninger!$AK$31,"")</f>
        <v/>
      </c>
      <c r="CQ27" s="210" t="str">
        <f>IF(AND(C27="Skema 3",B27="to"),Skemaoplysninger!$AM$31,"")</f>
        <v/>
      </c>
      <c r="CR27" s="210" t="str">
        <f>IF(AND(C27="Skema 3",B27="fr"),Skemaoplysninger!$AO$31,"")</f>
        <v/>
      </c>
      <c r="CS27" s="210" t="str">
        <f>IF(AND(C27="Skema 4",B27="ma"),Skemaoplysninger!$AU$31,"")</f>
        <v/>
      </c>
      <c r="CT27" s="210" t="str">
        <f>IF(AND(C27="Skema 4",B27="ti"),Skemaoplysninger!$AW$31,"")</f>
        <v/>
      </c>
      <c r="CU27" s="210" t="str">
        <f>IF(AND(C27="Skema 4",B27="on"),Skemaoplysninger!$AY$31,"")</f>
        <v/>
      </c>
      <c r="CV27" s="210" t="str">
        <f>IF(AND(C27="Skema 4",B27="to"),Skemaoplysninger!$BA$31,"")</f>
        <v/>
      </c>
      <c r="CW27" s="210" t="str">
        <f>IF(AND(C27="Skema 4",B27="fr"),Skemaoplysninger!$BC$31,"")</f>
        <v/>
      </c>
      <c r="CX27" s="249">
        <f>IF(Stamoplysninger!$H$29="NEJ",SUM(CD27:CW27)*24+CB27+CC27,0)</f>
        <v>1.5</v>
      </c>
      <c r="CY27" s="249">
        <f>IF(C27="Skema 1",Stamoplysninger!$H$30/200,0)</f>
        <v>0</v>
      </c>
      <c r="CZ27" s="249">
        <f>IF(C27="Skema 2",Stamoplysninger!$H$30/200,0)</f>
        <v>0</v>
      </c>
      <c r="DA27" s="249">
        <f>IF(C27="Skema 3",Stamoplysninger!$H$30/200,0)</f>
        <v>0</v>
      </c>
      <c r="DB27" s="249">
        <f>IF(C27="Skema 4",Stamoplysninger!$H$30/200,0)</f>
        <v>0</v>
      </c>
      <c r="DC27" s="249">
        <f>IF(C27="fagdag",Stamoplysninger!$H$30/200,0)</f>
        <v>0</v>
      </c>
      <c r="DD27" s="249">
        <f>IF(C27="emnedag",Stamoplysninger!$H$30/200,0)</f>
        <v>0</v>
      </c>
      <c r="DE27" s="249">
        <f>IF(C27="lejrskole",Stamoplysninger!$H$30/200,0)</f>
        <v>0</v>
      </c>
      <c r="DF27" s="249">
        <f>IF(C27="ekskursion",Stamoplysninger!$H$30/200,0)</f>
        <v>0</v>
      </c>
      <c r="DG27" s="249">
        <f t="shared" si="27"/>
        <v>0</v>
      </c>
      <c r="DH27" t="str">
        <f t="shared" si="28"/>
        <v/>
      </c>
      <c r="DI27">
        <f t="shared" si="29"/>
        <v>0</v>
      </c>
      <c r="DJ27">
        <f t="shared" si="30"/>
        <v>0</v>
      </c>
      <c r="DK27" t="str">
        <f t="shared" si="13"/>
        <v/>
      </c>
      <c r="DL27" t="str">
        <f t="shared" si="13"/>
        <v/>
      </c>
      <c r="DM27" t="str">
        <f t="shared" si="13"/>
        <v/>
      </c>
      <c r="DN27" t="str">
        <f t="shared" si="31"/>
        <v/>
      </c>
      <c r="DO27" s="652">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71">
        <f>IF(AND(Stamoplysninger!$B$22="Ulempetillæg udbetales med 25% af nettotimelønnen.",C27="ikke relevant"),(R27)/4,0)</f>
        <v>0</v>
      </c>
      <c r="DT27" s="671">
        <f>IF(AND(AND(Stamoplysninger!$B$22="Ulempetillæg udbetales med 25% af nettotimelønnen.",I27="X",C27="Ikke relevant")),K27/4,0)</f>
        <v>0</v>
      </c>
      <c r="DU27" s="671">
        <f>IF(AND(AND(Stamoplysninger!$B$22="Ulempetillæg udbetales med 25% af nettotimelønnen.",C27="ikke relevant",U27="X")),(X27/4),0)</f>
        <v>0</v>
      </c>
      <c r="DV27" s="672">
        <f>IF(AND(AND(AND(Stamoplysninger!$B$22="Ulempetillæg udbetales med 25% af nettotimelønnen.",I27="X",C27="Ikke relevant",S27="X"))),V27/4,0)</f>
        <v>0</v>
      </c>
      <c r="DW27" s="652"/>
      <c r="DZ27" s="671"/>
      <c r="EA27" s="671"/>
      <c r="EB27" s="672"/>
      <c r="EC27" s="652">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71">
        <f>IF(AND(Stamoplysninger!$B$22="Ulempetillæg afspadseres med 25%(Kræver en aftale imellem ledelsen og den ansatte)",C27="ikke relevant"),(R27)/4,0)</f>
        <v>0</v>
      </c>
      <c r="EH27" s="671">
        <f>IF(AND(AND(Stamoplysninger!$B$22="Ulempetillæg afspadseres med 25%(Kræver en aftale imellem ledelsen og den ansatte)",I27="X",C27="Ikke relevant")),K27/4,0)</f>
        <v>0</v>
      </c>
      <c r="EI27" s="671">
        <f>IF(AND(AND(Stamoplysninger!$B$22="Ulempetillæg afspadseres med 25%(Kræver en aftale imellem ledelsen og den ansatte)",U27="X",C27="Ikke relevant")),X27/4,0)</f>
        <v>0</v>
      </c>
      <c r="EJ27" s="671">
        <f>IF(AND(AND(AND(Stamoplysninger!$B$22="Ulempetillæg afspadseres med 25%(Kræver en aftale imellem ledelsen og den ansatte)",I27="X",C27="Ikke relevant",S27="X"))),V27/4,0)</f>
        <v>0</v>
      </c>
      <c r="EK27" s="283">
        <f>IF(AND(Stamoplysninger!$B$26="Weekendtimer og weekendtillæg afspadseres.",I27="X"),K27*1.5,0)</f>
        <v>0</v>
      </c>
      <c r="EL27" s="251">
        <f>IF(AND(AND(Stamoplysninger!$B$26="Weekendtimer og weekendtillæg afspadseres.",I27="X",S27="X")),V27*1.5,0)</f>
        <v>0</v>
      </c>
      <c r="EM27" s="674">
        <f>IF(AND(AND(Stamoplysninger!$B$26="Weekendtimer og weekendtillæg afspadseres.",I27="X",C27="ikke relevant")),K27*1.5,0)</f>
        <v>0</v>
      </c>
      <c r="EN27" s="675">
        <f>IF(AND(AND(AND(Stamoplysninger!$B$26="Weekendtimer og weekendtillæg afspadseres.",I27="X",C27="ikke relevant",S27="X"))),(V27*1.5),0)</f>
        <v>0</v>
      </c>
      <c r="EO27" s="283">
        <f>IF(AND(Stamoplysninger!$B$26="Weekendtimer og weekendtillæg udbetales.",I27="X"),K27*1.5,0)</f>
        <v>0</v>
      </c>
      <c r="EP27" s="251">
        <f>IF(AND(AND(Stamoplysninger!$B$26="Weekendtimer og weekendtillæg udbetales.",I27="X",S27="X")),V27*1.5,0)</f>
        <v>0</v>
      </c>
      <c r="EQ27" s="674">
        <f>IF(AND(AND(Stamoplysninger!$B$26="Weekendtimer og weekendtillæg udbetales.",I27="X",C27="ikke relevant")),K27*1.5,0)</f>
        <v>0</v>
      </c>
      <c r="ER27" s="675">
        <f>IF(AND(AND(AND(Stamoplysninger!$B$26="Weekendtimer og weekendtillæg udbetales.",I27="X",C27="ikke relevant",S27="X"))),(V27*1.5),0)</f>
        <v>0</v>
      </c>
      <c r="ES27" s="283">
        <f>IF(AND(Stamoplysninger!$B$26="Der er indgået lokalaftale omkring weekendtimer.(Kræver aftale med TR/FSL) Weekendtillæg afspadseres.",I27="X"),K27*0.5,0)</f>
        <v>0</v>
      </c>
      <c r="ET27" s="251">
        <f>IF(AND(AND(Stamoplysninger!$B$26="Der er indgået lokalaftale omkring weekendtimer.(Kræver aftale med TR/FSL) Weekendtillæg afspadseres.",I27="X",S27="X")),V27*0.5,0)</f>
        <v>0</v>
      </c>
      <c r="EU27" s="674">
        <f>IF(AND(AND(Stamoplysninger!$B$26="Der er indgået lokalaftale omkring weekendtimer.(Kræver aftale med TR/FSL) Weekendtillæg afspadseres.",I27="X",C27="ikke relevant")),K27*0.5,0)</f>
        <v>0</v>
      </c>
      <c r="EV27" s="675">
        <f>IF(AND(AND(AND(Stamoplysninger!$B$26="Der er indgået lokalaftale omkring weekendtimer.(Kræver aftale med TR/FSL) Weekendtillæg afspadseres.",I27="X",C27="ikke relevant",S27="X"))),(V27*0.5),0)</f>
        <v>0</v>
      </c>
      <c r="EW27" s="283">
        <f>IF(AND(Stamoplysninger!$B$26="Der er indgået lokalaftale omkring weekendtimer(Kræver aftale med TR/FSL). Weekendtillæg udbetales.",I27="X"),K27*0.5,0)</f>
        <v>0</v>
      </c>
      <c r="EX27" s="251">
        <f>IF(AND(AND(Stamoplysninger!$B$26="Der er indgået lokalaftale omkring weekendtimer(Kræver aftale med TR/FSL). Weekendtillæg udbetales.",I27="X",S27="X")),V27*0.5,0)</f>
        <v>0</v>
      </c>
      <c r="EY27" s="674">
        <f>IF(AND(AND(Stamoplysninger!$B$26="Der er indgået lokalaftale omkring weekendtimer(Kræver aftale med TR/FSL). Weekendtillæg udbetales.",I27="X",C27="ikke relevant")),K27*0.5,0)</f>
        <v>0</v>
      </c>
      <c r="EZ27" s="675">
        <f>IF(AND(AND(AND(Stamoplysninger!$B$26="Der er indgået lokalaftale omkring weekendtimer(Kræver aftale med TR/FSL). Weekendtillæg udbetales.",I27="X",C27="ikke relevant",S27="X"))),(V27*0.5),0)</f>
        <v>0</v>
      </c>
      <c r="FA27" s="283">
        <f>IF(AND(Stamoplysninger!$B$26="Der er indgået lokalaftale omkring weekendtillæg(Kræver aftale med TR/FSL). Weekendtimerne afspadseres.",I27="X"),K27,0)</f>
        <v>0</v>
      </c>
      <c r="FB27" s="251">
        <f>IF(AND(AND(Stamoplysninger!$B$26="Der er indgået lokalaftale omkring weekendtillæg(Kræver aftale med TR/FSL). Weekendtimerne afspadseres.",I27="X",S27="X")),V27,0)</f>
        <v>0</v>
      </c>
      <c r="FC27" s="674">
        <f>IF(AND(AND(Stamoplysninger!$B$26="Der er indgået lokalaftale omkring weekendtillæg(Kræver aftale med TR/FSL). Weekendtimerne afspadseres..",I27="X",C27="ikke relevant")),K27,0)</f>
        <v>0</v>
      </c>
      <c r="FD27" s="675">
        <f>IF(AND(AND(AND(Stamoplysninger!$B$26="Der er indgået lokalaftale omkring weekendtillæg(Kræver aftale med TR/FSL). Weekendtimerne afspadseres.",I27="X",C27="ikke relevant",S27="X"))),(V27),0)</f>
        <v>0</v>
      </c>
      <c r="FE27" s="283">
        <f>IF(AND(Stamoplysninger!$B$26="Der er indgået lokalaftale omkring weekendtillæg(Kræver aftale med TR/FSL). Weekendtimerne udbetales.",I27="X"),K27,0)</f>
        <v>0</v>
      </c>
      <c r="FF27" s="251">
        <f>IF(AND(AND(Stamoplysninger!$B$26="Der er indgået lokalaftale omkring weekendtillæg(Kræver aftale med TR/FSL). Weekendtimerne udbetales.",I27="X",S27="X")),V27,0)</f>
        <v>0</v>
      </c>
      <c r="FG27" s="674">
        <f>IF(AND(AND(Stamoplysninger!$B$26="Der er indgået lokalaftale omkring weekendtillæg(Kræver aftale med TR/FSL). Weekendtimerne udbetales.",I27="X",C27="ikke relevant")),K27,0)</f>
        <v>0</v>
      </c>
      <c r="FH27" s="675">
        <f>IF(AND(AND(AND(Stamoplysninger!$B$26="Der er indgået lokalaftale omkring weekendtillæg(Kræver aftale med TR/FSL). Weekendtimerne udbetales.",I27="X",C27="ikke relevant",S27="X"))),(V27),0)</f>
        <v>0</v>
      </c>
      <c r="FI27" s="283">
        <f>IF(AND(Stamoplysninger!$B$26="Weekendtimer og weekendtillæg afspadseres.",I27="X"),K27,0)</f>
        <v>0</v>
      </c>
      <c r="FJ27" s="251">
        <f>IF(AND(Stamoplysninger!$B$26="Weekendtimer og weekendtillæg afspadseres.",Y27="X"),(AA27+AL27)/2,0)</f>
        <v>0</v>
      </c>
      <c r="FK27" s="674">
        <f>IF(AND(AND(Stamoplysninger!$B$26="Weekendtimer og weekendtillæg afspadseres.",I27="X",C27="ikke relevant")),K27,0)</f>
        <v>0</v>
      </c>
      <c r="FL27" s="675">
        <f>IF(AND(AND(Stamoplysninger!$B$26="Weekendtimer og weekendtillæg afspadseres.",Y27="X",S27="ikke relevant")),(AA27+AL27)/2,0)</f>
        <v>0</v>
      </c>
      <c r="FM27" s="283">
        <f>IF(AND(Stamoplysninger!$B$26="Der er indgået lokalaftale omkring weekendtillæg(Kræver aftale med TR/FSL). Weekendtimerne afspadseres.",I27="X"),K27,0)</f>
        <v>0</v>
      </c>
      <c r="FN27" s="674">
        <f>IF(AND(AND(Stamoplysninger!$B$26="Der er indgået lokalaftale omkring weekendtillæg(Kræver aftale med TR/FSL). Weekendtimerne afspadseres.",I27="X",C27="ikke relevant")),K27,0)</f>
        <v>0</v>
      </c>
      <c r="FO27" s="283">
        <f>IF(AND(Stamoplysninger!$B$26="Weekendtimer og weekendtillæg udbetales.",I27="X"),K27,0)</f>
        <v>0</v>
      </c>
      <c r="FP27" s="251">
        <f>IF(AND(Stamoplysninger!$B$26="Weekendtimer og weekendtillæg udbetales.",AA27="X"),(AC27+AN27)/2,0)</f>
        <v>0</v>
      </c>
      <c r="FQ27" s="674">
        <f>IF(AND(AND(Stamoplysninger!$B$26="Weekendtimer og weekendtillæg udbetales.",I27="X",C27="ikke relevant")),K27,0)</f>
        <v>0</v>
      </c>
      <c r="FR27" s="688">
        <f>IF(AND(AND(Stamoplysninger!$B$26="Weekendtimer og weekendtillæg udbetales.",AA27="X",U27="ikke relevant")),(AC27+AN27)/2,0)</f>
        <v>0</v>
      </c>
      <c r="FS27" s="283">
        <f t="shared" si="15"/>
        <v>0</v>
      </c>
      <c r="FT27" s="658">
        <f t="shared" si="16"/>
        <v>0</v>
      </c>
      <c r="FU27">
        <f t="shared" si="17"/>
        <v>0</v>
      </c>
      <c r="FV27" s="283">
        <f>IF(AND(Stamoplysninger!$B$26="Der er indgået lokalaftale omkring weekendtimer.(Kræver aftale med TR/FSL) Weekendtillæg afspadseres.",I27="X"),K27,0)</f>
        <v>0</v>
      </c>
      <c r="FW27" s="674">
        <f>IF(AND(AND(Stamoplysninger!$B$26="Der er indgået lokalaftale omkring weekendtimer.(Kræver aftale med TR/FSL) Weekendtillæg afspadseres.",I27="X",C27="ikke relevant")),K27,0)</f>
        <v>0</v>
      </c>
      <c r="FX27" s="283">
        <f>IF(AND(Stamoplysninger!$B$26="Der er indgået lokalaftale omkring weekendtimer(Kræver aftale med TR/FSL). Weekendtillæg udbetales.",I27="X"),K27,0)</f>
        <v>0</v>
      </c>
      <c r="FY27" s="674">
        <f>IF(AND(AND(Stamoplysninger!$B$26="Der er indgået lokalaftale omkring weekendtimer(Kræver aftale med TR/FSL). Weekendtillæg udbetales.",I27="X",C27="ikke relevant")),K27,0)</f>
        <v>0</v>
      </c>
      <c r="FZ27" s="283">
        <f>IF(AND(Stamoplysninger!$B$26="Der er indgået lokalaftale omkring weekendtillæg(Kræver aftale med TR/FSL). Weekendtimerne udbetales.",I27="X"),K27,0)</f>
        <v>0</v>
      </c>
      <c r="GA27" s="674">
        <f>IF(AND(AND(Stamoplysninger!$B$26="Der er indgået lokalaftale omkring weekendtillæg(Kræver aftale med TR/FSL). Weekendtimerne udbetales.",I27="X",C27="ikke relevant")),K27,0)</f>
        <v>0</v>
      </c>
      <c r="GB27" s="283">
        <f>IF(AND(Stamoplysninger!$B$26="Der er indgået lokalaftale omkring weekendtimer og weekendtillæg.(Kræver aftale med TR/FSL).",I27="X"),K27,0)</f>
        <v>0</v>
      </c>
      <c r="GC27" s="674">
        <f>IF(AND(AND(Stamoplysninger!$B$26="Der er indgået lokalaftale omkring weekendtimer og weekendtillæg.(Kræver aftale med TR/FSL).",I27="X",C27="ikke relevant")),K27,0)</f>
        <v>0</v>
      </c>
    </row>
    <row r="28" spans="1:185">
      <c r="A28" s="245">
        <f t="shared" si="18"/>
        <v>20</v>
      </c>
      <c r="B28" s="128" t="str">
        <f t="shared" si="0"/>
        <v>fr</v>
      </c>
      <c r="C28" s="129" t="s">
        <v>206</v>
      </c>
      <c r="D28" s="130" t="str">
        <f t="shared" si="1"/>
        <v/>
      </c>
      <c r="E28" s="917"/>
      <c r="F28" s="918"/>
      <c r="G28" s="919"/>
      <c r="H28" s="298"/>
      <c r="I28" s="527"/>
      <c r="J28" s="413"/>
      <c r="K28" s="380"/>
      <c r="L28" s="380"/>
      <c r="M28" s="380"/>
      <c r="N28" s="318">
        <f t="shared" si="19"/>
        <v>6.75</v>
      </c>
      <c r="O28" s="318">
        <f t="shared" si="20"/>
        <v>3</v>
      </c>
      <c r="P28" s="318">
        <f>IF(Stamoplysninger!$H$29="JA",September!DG28,CX28)</f>
        <v>1.5</v>
      </c>
      <c r="Q28" s="318">
        <f t="shared" si="21"/>
        <v>2.25</v>
      </c>
      <c r="R28" s="319"/>
      <c r="S28" s="324"/>
      <c r="T28" s="325"/>
      <c r="U28" s="325"/>
      <c r="V28" s="435"/>
      <c r="W28" s="435"/>
      <c r="X28" s="644"/>
      <c r="Y28">
        <f t="shared" si="22"/>
        <v>0</v>
      </c>
      <c r="Z28" s="437">
        <f t="shared" si="23"/>
        <v>0</v>
      </c>
      <c r="AA28" s="1">
        <f t="shared" si="2"/>
        <v>0</v>
      </c>
      <c r="AB28" s="1">
        <f t="shared" si="3"/>
        <v>0</v>
      </c>
      <c r="AC28" s="1">
        <f t="shared" si="4"/>
        <v>0</v>
      </c>
      <c r="AD28" s="1">
        <f t="shared" si="5"/>
        <v>0</v>
      </c>
      <c r="AE28" s="1">
        <f t="shared" si="6"/>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f>IF(AND(C28="Skema 1",B28="fr"),Arbejdstidsoversigt!$E$76,"")</f>
        <v>6.75</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4"/>
        <v>6.75</v>
      </c>
      <c r="BB28" s="229">
        <f t="shared" si="7"/>
        <v>162</v>
      </c>
      <c r="BC28" s="1">
        <f t="shared" si="25"/>
        <v>0</v>
      </c>
      <c r="BD28" s="1">
        <f t="shared" si="8"/>
        <v>0</v>
      </c>
      <c r="BE28" s="1">
        <f t="shared" si="9"/>
        <v>0</v>
      </c>
      <c r="BF28" s="1">
        <f t="shared" si="10"/>
        <v>0</v>
      </c>
      <c r="BG28" s="210" t="str">
        <f>IF(AND(C28="Skema 1",B28="ma"),Skemaoplysninger!$E$30,"")</f>
        <v/>
      </c>
      <c r="BH28" s="210" t="str">
        <f>IF(AND(C28="Skema 1",B28="ti"),Skemaoplysninger!$G$30,"")</f>
        <v/>
      </c>
      <c r="BI28" s="210" t="str">
        <f>IF(AND(C28="Skema 1",B28="on"),Skemaoplysninger!$I$30,"")</f>
        <v/>
      </c>
      <c r="BJ28" s="210" t="str">
        <f>IF(AND(C28="Skema 1",B28="to"),Skemaoplysninger!$K$30,"")</f>
        <v/>
      </c>
      <c r="BK28" s="210">
        <f>IF(AND(C28="Skema 1",B28="fr"),Skemaoplysninger!$M$30,"")</f>
        <v>0.125</v>
      </c>
      <c r="BL28" s="210" t="str">
        <f>IF(AND(C28="Skema 2",B28="ma"),Skemaoplysninger!$S$30,"")</f>
        <v/>
      </c>
      <c r="BM28" s="210" t="str">
        <f>IF(AND(C28="Skema 2",B28="ti"),Skemaoplysninger!$U$30,"")</f>
        <v/>
      </c>
      <c r="BN28" s="210" t="str">
        <f>IF(AND(C28="Skema 2",B28="on"),Skemaoplysninger!$W$30,"")</f>
        <v/>
      </c>
      <c r="BO28" s="210" t="str">
        <f>IF(AND(C28="Skema 2",B28="to"),Skemaoplysninger!$Y$30,"")</f>
        <v/>
      </c>
      <c r="BP28" s="210" t="str">
        <f>IF(AND(C28="Skema 2",B28="fr"),Skemaoplysninger!$AA$30,"")</f>
        <v/>
      </c>
      <c r="BQ28" s="210" t="str">
        <f>IF(AND(C28="Skema 3",B28="ma"),Skemaoplysninger!$AG$30,"")</f>
        <v/>
      </c>
      <c r="BR28" s="210" t="str">
        <f>IF(AND(C28="Skema 3",B28="ti"),Skemaoplysninger!$AI$30,"")</f>
        <v/>
      </c>
      <c r="BS28" s="210" t="str">
        <f>IF(AND(C28="Skema 3",B28="on"),Skemaoplysninger!$AK$30,"")</f>
        <v/>
      </c>
      <c r="BT28" s="210" t="str">
        <f>IF(AND(C28="Skema 3",B28="to"),Skemaoplysninger!$AM$30,"")</f>
        <v/>
      </c>
      <c r="BU28" s="210" t="str">
        <f>IF(AND(C28="Skema 3",B28="fr"),Skemaoplysninger!$AO$30,"")</f>
        <v/>
      </c>
      <c r="BV28" s="210" t="str">
        <f>IF(AND(C28="Skema 4",B28="ma"),Skemaoplysninger!$AU$30,"")</f>
        <v/>
      </c>
      <c r="BW28" s="210" t="str">
        <f>IF(AND(C28="Skema 4",B28="ti"),Skemaoplysninger!$AW$30,"")</f>
        <v/>
      </c>
      <c r="BX28" s="210" t="str">
        <f>IF(AND(C28="Skema 4",B28="on"),Skemaoplysninger!$AY$30,"")</f>
        <v/>
      </c>
      <c r="BY28" s="210" t="str">
        <f>IF(AND(C28="Skema 4",B28="to"),Skemaoplysninger!$BA$30,"")</f>
        <v/>
      </c>
      <c r="BZ28" s="210" t="str">
        <f>IF(AND(C28="Skema 4",B28="fr"),Skemaoplysninger!$BC$30,"")</f>
        <v/>
      </c>
      <c r="CA28" s="1">
        <f t="shared" si="26"/>
        <v>3</v>
      </c>
      <c r="CB28" s="1">
        <f t="shared" si="11"/>
        <v>0</v>
      </c>
      <c r="CC28" s="1">
        <f t="shared" si="12"/>
        <v>0</v>
      </c>
      <c r="CD28" s="210" t="str">
        <f>IF(AND(C28="Skema 1",B28="ma"),Skemaoplysninger!$E$31,"")</f>
        <v/>
      </c>
      <c r="CE28" s="210" t="str">
        <f>IF(AND(C28="Skema 1",B28="ti"),Skemaoplysninger!$G$31,"")</f>
        <v/>
      </c>
      <c r="CF28" s="210" t="str">
        <f>IF(AND(C28="Skema 1",B28="on"),Skemaoplysninger!$I$31,"")</f>
        <v/>
      </c>
      <c r="CG28" s="210" t="str">
        <f>IF(AND(C28="Skema 1",B28="to"),Skemaoplysninger!$K$31,"")</f>
        <v/>
      </c>
      <c r="CH28" s="210">
        <f>IF(AND(C28="Skema 1",B28="fr"),Skemaoplysninger!$M$31,"")</f>
        <v>6.25E-2</v>
      </c>
      <c r="CI28" s="210" t="str">
        <f>IF(AND(C28="Skema 2",B28="ma"),Skemaoplysninger!$S$31,"")</f>
        <v/>
      </c>
      <c r="CJ28" s="210" t="str">
        <f>IF(AND(C28="Skema 2",B28="ti"),Skemaoplysninger!$U$31,"")</f>
        <v/>
      </c>
      <c r="CK28" s="210" t="str">
        <f>IF(AND(C28="Skema 2",B28="on"),Skemaoplysninger!$W$31,"")</f>
        <v/>
      </c>
      <c r="CL28" s="210" t="str">
        <f>IF(AND(C28="Skema 2",B28="to"),Skemaoplysninger!$Y$31,"")</f>
        <v/>
      </c>
      <c r="CM28" s="210" t="str">
        <f>IF(AND(C28="Skema 2",B28="fr"),Skemaoplysninger!$AA$31,"")</f>
        <v/>
      </c>
      <c r="CN28" s="210" t="str">
        <f>IF(AND(C28="Skema 3",B28="ma"),Skemaoplysninger!$AG$31,"")</f>
        <v/>
      </c>
      <c r="CO28" s="210" t="str">
        <f>IF(AND(C28="Skema 3",B28="ti"),Skemaoplysninger!$AI$31,"")</f>
        <v/>
      </c>
      <c r="CP28" s="210" t="str">
        <f>IF(AND(C28="Skema 3",B28="on"),Skemaoplysninger!$AK$31,"")</f>
        <v/>
      </c>
      <c r="CQ28" s="210" t="str">
        <f>IF(AND(C28="Skema 3",B28="to"),Skemaoplysninger!$AM$31,"")</f>
        <v/>
      </c>
      <c r="CR28" s="210" t="str">
        <f>IF(AND(C28="Skema 3",B28="fr"),Skemaoplysninger!$AO$31,"")</f>
        <v/>
      </c>
      <c r="CS28" s="210" t="str">
        <f>IF(AND(C28="Skema 4",B28="ma"),Skemaoplysninger!$AU$31,"")</f>
        <v/>
      </c>
      <c r="CT28" s="210" t="str">
        <f>IF(AND(C28="Skema 4",B28="ti"),Skemaoplysninger!$AW$31,"")</f>
        <v/>
      </c>
      <c r="CU28" s="210" t="str">
        <f>IF(AND(C28="Skema 4",B28="on"),Skemaoplysninger!$AY$31,"")</f>
        <v/>
      </c>
      <c r="CV28" s="210" t="str">
        <f>IF(AND(C28="Skema 4",B28="to"),Skemaoplysninger!$BA$31,"")</f>
        <v/>
      </c>
      <c r="CW28" s="210" t="str">
        <f>IF(AND(C28="Skema 4",B28="fr"),Skemaoplysninger!$BC$31,"")</f>
        <v/>
      </c>
      <c r="CX28" s="249">
        <f>IF(Stamoplysninger!$H$29="NEJ",SUM(CD28:CW28)*24+CB28+CC28,0)</f>
        <v>1.5</v>
      </c>
      <c r="CY28" s="249">
        <f>IF(C28="Skema 1",Stamoplysninger!$H$30/200,0)</f>
        <v>0</v>
      </c>
      <c r="CZ28" s="249">
        <f>IF(C28="Skema 2",Stamoplysninger!$H$30/200,0)</f>
        <v>0</v>
      </c>
      <c r="DA28" s="249">
        <f>IF(C28="Skema 3",Stamoplysninger!$H$30/200,0)</f>
        <v>0</v>
      </c>
      <c r="DB28" s="249">
        <f>IF(C28="Skema 4",Stamoplysninger!$H$30/200,0)</f>
        <v>0</v>
      </c>
      <c r="DC28" s="249">
        <f>IF(C28="fagdag",Stamoplysninger!$H$30/200,0)</f>
        <v>0</v>
      </c>
      <c r="DD28" s="249">
        <f>IF(C28="emnedag",Stamoplysninger!$H$30/200,0)</f>
        <v>0</v>
      </c>
      <c r="DE28" s="249">
        <f>IF(C28="lejrskole",Stamoplysninger!$H$30/200,0)</f>
        <v>0</v>
      </c>
      <c r="DF28" s="249">
        <f>IF(C28="ekskursion",Stamoplysninger!$H$30/200,0)</f>
        <v>0</v>
      </c>
      <c r="DG28" s="249">
        <f t="shared" si="27"/>
        <v>0</v>
      </c>
      <c r="DH28" t="str">
        <f t="shared" si="28"/>
        <v/>
      </c>
      <c r="DI28">
        <f t="shared" si="29"/>
        <v>0</v>
      </c>
      <c r="DJ28">
        <f t="shared" si="30"/>
        <v>0</v>
      </c>
      <c r="DK28" t="str">
        <f t="shared" si="13"/>
        <v/>
      </c>
      <c r="DL28" t="str">
        <f t="shared" si="13"/>
        <v/>
      </c>
      <c r="DM28" t="str">
        <f t="shared" si="13"/>
        <v/>
      </c>
      <c r="DN28" t="str">
        <f t="shared" si="31"/>
        <v/>
      </c>
      <c r="DO28" s="652">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71">
        <f>IF(AND(Stamoplysninger!$B$22="Ulempetillæg udbetales med 25% af nettotimelønnen.",C28="ikke relevant"),(R28)/4,0)</f>
        <v>0</v>
      </c>
      <c r="DT28" s="671">
        <f>IF(AND(AND(Stamoplysninger!$B$22="Ulempetillæg udbetales med 25% af nettotimelønnen.",I28="X",C28="Ikke relevant")),K28/4,0)</f>
        <v>0</v>
      </c>
      <c r="DU28" s="671">
        <f>IF(AND(AND(Stamoplysninger!$B$22="Ulempetillæg udbetales med 25% af nettotimelønnen.",C28="ikke relevant",U28="X")),(X28/4),0)</f>
        <v>0</v>
      </c>
      <c r="DV28" s="672">
        <f>IF(AND(AND(AND(Stamoplysninger!$B$22="Ulempetillæg udbetales med 25% af nettotimelønnen.",I28="X",C28="Ikke relevant",S28="X"))),V28/4,0)</f>
        <v>0</v>
      </c>
      <c r="DW28" s="652"/>
      <c r="DZ28" s="671"/>
      <c r="EA28" s="671"/>
      <c r="EB28" s="672"/>
      <c r="EC28" s="652">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71">
        <f>IF(AND(Stamoplysninger!$B$22="Ulempetillæg afspadseres med 25%(Kræver en aftale imellem ledelsen og den ansatte)",C28="ikke relevant"),(R28)/4,0)</f>
        <v>0</v>
      </c>
      <c r="EH28" s="671">
        <f>IF(AND(AND(Stamoplysninger!$B$22="Ulempetillæg afspadseres med 25%(Kræver en aftale imellem ledelsen og den ansatte)",I28="X",C28="Ikke relevant")),K28/4,0)</f>
        <v>0</v>
      </c>
      <c r="EI28" s="671">
        <f>IF(AND(AND(Stamoplysninger!$B$22="Ulempetillæg afspadseres med 25%(Kræver en aftale imellem ledelsen og den ansatte)",U28="X",C28="Ikke relevant")),X28/4,0)</f>
        <v>0</v>
      </c>
      <c r="EJ28" s="671">
        <f>IF(AND(AND(AND(Stamoplysninger!$B$22="Ulempetillæg afspadseres med 25%(Kræver en aftale imellem ledelsen og den ansatte)",I28="X",C28="Ikke relevant",S28="X"))),V28/4,0)</f>
        <v>0</v>
      </c>
      <c r="EK28" s="283">
        <f>IF(AND(Stamoplysninger!$B$26="Weekendtimer og weekendtillæg afspadseres.",I28="X"),K28*1.5,0)</f>
        <v>0</v>
      </c>
      <c r="EL28" s="251">
        <f>IF(AND(AND(Stamoplysninger!$B$26="Weekendtimer og weekendtillæg afspadseres.",I28="X",S28="X")),V28*1.5,0)</f>
        <v>0</v>
      </c>
      <c r="EM28" s="674">
        <f>IF(AND(AND(Stamoplysninger!$B$26="Weekendtimer og weekendtillæg afspadseres.",I28="X",C28="ikke relevant")),K28*1.5,0)</f>
        <v>0</v>
      </c>
      <c r="EN28" s="675">
        <f>IF(AND(AND(AND(Stamoplysninger!$B$26="Weekendtimer og weekendtillæg afspadseres.",I28="X",C28="ikke relevant",S28="X"))),(V28*1.5),0)</f>
        <v>0</v>
      </c>
      <c r="EO28" s="283">
        <f>IF(AND(Stamoplysninger!$B$26="Weekendtimer og weekendtillæg udbetales.",I28="X"),K28*1.5,0)</f>
        <v>0</v>
      </c>
      <c r="EP28" s="251">
        <f>IF(AND(AND(Stamoplysninger!$B$26="Weekendtimer og weekendtillæg udbetales.",I28="X",S28="X")),V28*1.5,0)</f>
        <v>0</v>
      </c>
      <c r="EQ28" s="674">
        <f>IF(AND(AND(Stamoplysninger!$B$26="Weekendtimer og weekendtillæg udbetales.",I28="X",C28="ikke relevant")),K28*1.5,0)</f>
        <v>0</v>
      </c>
      <c r="ER28" s="675">
        <f>IF(AND(AND(AND(Stamoplysninger!$B$26="Weekendtimer og weekendtillæg udbetales.",I28="X",C28="ikke relevant",S28="X"))),(V28*1.5),0)</f>
        <v>0</v>
      </c>
      <c r="ES28" s="283">
        <f>IF(AND(Stamoplysninger!$B$26="Der er indgået lokalaftale omkring weekendtimer.(Kræver aftale med TR/FSL) Weekendtillæg afspadseres.",I28="X"),K28*0.5,0)</f>
        <v>0</v>
      </c>
      <c r="ET28" s="251">
        <f>IF(AND(AND(Stamoplysninger!$B$26="Der er indgået lokalaftale omkring weekendtimer.(Kræver aftale med TR/FSL) Weekendtillæg afspadseres.",I28="X",S28="X")),V28*0.5,0)</f>
        <v>0</v>
      </c>
      <c r="EU28" s="674">
        <f>IF(AND(AND(Stamoplysninger!$B$26="Der er indgået lokalaftale omkring weekendtimer.(Kræver aftale med TR/FSL) Weekendtillæg afspadseres.",I28="X",C28="ikke relevant")),K28*0.5,0)</f>
        <v>0</v>
      </c>
      <c r="EV28" s="675">
        <f>IF(AND(AND(AND(Stamoplysninger!$B$26="Der er indgået lokalaftale omkring weekendtimer.(Kræver aftale med TR/FSL) Weekendtillæg afspadseres.",I28="X",C28="ikke relevant",S28="X"))),(V28*0.5),0)</f>
        <v>0</v>
      </c>
      <c r="EW28" s="283">
        <f>IF(AND(Stamoplysninger!$B$26="Der er indgået lokalaftale omkring weekendtimer(Kræver aftale med TR/FSL). Weekendtillæg udbetales.",I28="X"),K28*0.5,0)</f>
        <v>0</v>
      </c>
      <c r="EX28" s="251">
        <f>IF(AND(AND(Stamoplysninger!$B$26="Der er indgået lokalaftale omkring weekendtimer(Kræver aftale med TR/FSL). Weekendtillæg udbetales.",I28="X",S28="X")),V28*0.5,0)</f>
        <v>0</v>
      </c>
      <c r="EY28" s="674">
        <f>IF(AND(AND(Stamoplysninger!$B$26="Der er indgået lokalaftale omkring weekendtimer(Kræver aftale med TR/FSL). Weekendtillæg udbetales.",I28="X",C28="ikke relevant")),K28*0.5,0)</f>
        <v>0</v>
      </c>
      <c r="EZ28" s="675">
        <f>IF(AND(AND(AND(Stamoplysninger!$B$26="Der er indgået lokalaftale omkring weekendtimer(Kræver aftale med TR/FSL). Weekendtillæg udbetales.",I28="X",C28="ikke relevant",S28="X"))),(V28*0.5),0)</f>
        <v>0</v>
      </c>
      <c r="FA28" s="283">
        <f>IF(AND(Stamoplysninger!$B$26="Der er indgået lokalaftale omkring weekendtillæg(Kræver aftale med TR/FSL). Weekendtimerne afspadseres.",I28="X"),K28,0)</f>
        <v>0</v>
      </c>
      <c r="FB28" s="251">
        <f>IF(AND(AND(Stamoplysninger!$B$26="Der er indgået lokalaftale omkring weekendtillæg(Kræver aftale med TR/FSL). Weekendtimerne afspadseres.",I28="X",S28="X")),V28,0)</f>
        <v>0</v>
      </c>
      <c r="FC28" s="674">
        <f>IF(AND(AND(Stamoplysninger!$B$26="Der er indgået lokalaftale omkring weekendtillæg(Kræver aftale med TR/FSL). Weekendtimerne afspadseres..",I28="X",C28="ikke relevant")),K28,0)</f>
        <v>0</v>
      </c>
      <c r="FD28" s="675">
        <f>IF(AND(AND(AND(Stamoplysninger!$B$26="Der er indgået lokalaftale omkring weekendtillæg(Kræver aftale med TR/FSL). Weekendtimerne afspadseres.",I28="X",C28="ikke relevant",S28="X"))),(V28),0)</f>
        <v>0</v>
      </c>
      <c r="FE28" s="283">
        <f>IF(AND(Stamoplysninger!$B$26="Der er indgået lokalaftale omkring weekendtillæg(Kræver aftale med TR/FSL). Weekendtimerne udbetales.",I28="X"),K28,0)</f>
        <v>0</v>
      </c>
      <c r="FF28" s="251">
        <f>IF(AND(AND(Stamoplysninger!$B$26="Der er indgået lokalaftale omkring weekendtillæg(Kræver aftale med TR/FSL). Weekendtimerne udbetales.",I28="X",S28="X")),V28,0)</f>
        <v>0</v>
      </c>
      <c r="FG28" s="674">
        <f>IF(AND(AND(Stamoplysninger!$B$26="Der er indgået lokalaftale omkring weekendtillæg(Kræver aftale med TR/FSL). Weekendtimerne udbetales.",I28="X",C28="ikke relevant")),K28,0)</f>
        <v>0</v>
      </c>
      <c r="FH28" s="675">
        <f>IF(AND(AND(AND(Stamoplysninger!$B$26="Der er indgået lokalaftale omkring weekendtillæg(Kræver aftale med TR/FSL). Weekendtimerne udbetales.",I28="X",C28="ikke relevant",S28="X"))),(V28),0)</f>
        <v>0</v>
      </c>
      <c r="FI28" s="283">
        <f>IF(AND(Stamoplysninger!$B$26="Weekendtimer og weekendtillæg afspadseres.",I28="X"),K28,0)</f>
        <v>0</v>
      </c>
      <c r="FJ28" s="251">
        <f>IF(AND(Stamoplysninger!$B$26="Weekendtimer og weekendtillæg afspadseres.",Y28="X"),(AA28+AL28)/2,0)</f>
        <v>0</v>
      </c>
      <c r="FK28" s="674">
        <f>IF(AND(AND(Stamoplysninger!$B$26="Weekendtimer og weekendtillæg afspadseres.",I28="X",C28="ikke relevant")),K28,0)</f>
        <v>0</v>
      </c>
      <c r="FL28" s="675">
        <f>IF(AND(AND(Stamoplysninger!$B$26="Weekendtimer og weekendtillæg afspadseres.",Y28="X",S28="ikke relevant")),(AA28+AL28)/2,0)</f>
        <v>0</v>
      </c>
      <c r="FM28" s="283">
        <f>IF(AND(Stamoplysninger!$B$26="Der er indgået lokalaftale omkring weekendtillæg(Kræver aftale med TR/FSL). Weekendtimerne afspadseres.",I28="X"),K28,0)</f>
        <v>0</v>
      </c>
      <c r="FN28" s="674">
        <f>IF(AND(AND(Stamoplysninger!$B$26="Der er indgået lokalaftale omkring weekendtillæg(Kræver aftale med TR/FSL). Weekendtimerne afspadseres.",I28="X",C28="ikke relevant")),K28,0)</f>
        <v>0</v>
      </c>
      <c r="FO28" s="283">
        <f>IF(AND(Stamoplysninger!$B$26="Weekendtimer og weekendtillæg udbetales.",I28="X"),K28,0)</f>
        <v>0</v>
      </c>
      <c r="FP28" s="251">
        <f>IF(AND(Stamoplysninger!$B$26="Weekendtimer og weekendtillæg udbetales.",AA28="X"),(AC28+AN28)/2,0)</f>
        <v>0</v>
      </c>
      <c r="FQ28" s="674">
        <f>IF(AND(AND(Stamoplysninger!$B$26="Weekendtimer og weekendtillæg udbetales.",I28="X",C28="ikke relevant")),K28,0)</f>
        <v>0</v>
      </c>
      <c r="FR28" s="688">
        <f>IF(AND(AND(Stamoplysninger!$B$26="Weekendtimer og weekendtillæg udbetales.",AA28="X",U28="ikke relevant")),(AC28+AN28)/2,0)</f>
        <v>0</v>
      </c>
      <c r="FS28" s="283">
        <f t="shared" si="15"/>
        <v>0</v>
      </c>
      <c r="FT28" s="658">
        <f t="shared" si="16"/>
        <v>0</v>
      </c>
      <c r="FU28">
        <f t="shared" si="17"/>
        <v>0</v>
      </c>
      <c r="FV28" s="283">
        <f>IF(AND(Stamoplysninger!$B$26="Der er indgået lokalaftale omkring weekendtimer.(Kræver aftale med TR/FSL) Weekendtillæg afspadseres.",I28="X"),K28,0)</f>
        <v>0</v>
      </c>
      <c r="FW28" s="674">
        <f>IF(AND(AND(Stamoplysninger!$B$26="Der er indgået lokalaftale omkring weekendtimer.(Kræver aftale med TR/FSL) Weekendtillæg afspadseres.",I28="X",C28="ikke relevant")),K28,0)</f>
        <v>0</v>
      </c>
      <c r="FX28" s="283">
        <f>IF(AND(Stamoplysninger!$B$26="Der er indgået lokalaftale omkring weekendtimer(Kræver aftale med TR/FSL). Weekendtillæg udbetales.",I28="X"),K28,0)</f>
        <v>0</v>
      </c>
      <c r="FY28" s="674">
        <f>IF(AND(AND(Stamoplysninger!$B$26="Der er indgået lokalaftale omkring weekendtimer(Kræver aftale med TR/FSL). Weekendtillæg udbetales.",I28="X",C28="ikke relevant")),K28,0)</f>
        <v>0</v>
      </c>
      <c r="FZ28" s="283">
        <f>IF(AND(Stamoplysninger!$B$26="Der er indgået lokalaftale omkring weekendtillæg(Kræver aftale med TR/FSL). Weekendtimerne udbetales.",I28="X"),K28,0)</f>
        <v>0</v>
      </c>
      <c r="GA28" s="674">
        <f>IF(AND(AND(Stamoplysninger!$B$26="Der er indgået lokalaftale omkring weekendtillæg(Kræver aftale med TR/FSL). Weekendtimerne udbetales.",I28="X",C28="ikke relevant")),K28,0)</f>
        <v>0</v>
      </c>
      <c r="GB28" s="283">
        <f>IF(AND(Stamoplysninger!$B$26="Der er indgået lokalaftale omkring weekendtimer og weekendtillæg.(Kræver aftale med TR/FSL).",I28="X"),K28,0)</f>
        <v>0</v>
      </c>
      <c r="GC28" s="674">
        <f>IF(AND(AND(Stamoplysninger!$B$26="Der er indgået lokalaftale omkring weekendtimer og weekendtillæg.(Kræver aftale med TR/FSL).",I28="X",C28="ikke relevant")),K28,0)</f>
        <v>0</v>
      </c>
    </row>
    <row r="29" spans="1:185">
      <c r="A29" s="245">
        <f t="shared" si="18"/>
        <v>21</v>
      </c>
      <c r="B29" s="128" t="str">
        <f t="shared" si="0"/>
        <v>lø</v>
      </c>
      <c r="C29" s="129" t="s">
        <v>120</v>
      </c>
      <c r="D29" s="130" t="str">
        <f t="shared" si="1"/>
        <v/>
      </c>
      <c r="E29" s="917"/>
      <c r="F29" s="918"/>
      <c r="G29" s="919"/>
      <c r="H29" s="298"/>
      <c r="I29" s="413"/>
      <c r="J29" s="413"/>
      <c r="K29" s="380"/>
      <c r="L29" s="380"/>
      <c r="M29" s="380"/>
      <c r="N29" s="318">
        <f t="shared" si="19"/>
        <v>0</v>
      </c>
      <c r="O29" s="318">
        <f t="shared" si="20"/>
        <v>0</v>
      </c>
      <c r="P29" s="318">
        <f>IF(Stamoplysninger!$H$29="JA",September!DG29,CX29)</f>
        <v>0</v>
      </c>
      <c r="Q29" s="318">
        <f t="shared" si="21"/>
        <v>0</v>
      </c>
      <c r="R29" s="319"/>
      <c r="S29" s="324"/>
      <c r="T29" s="325"/>
      <c r="U29" s="325"/>
      <c r="V29" s="435"/>
      <c r="W29" s="435"/>
      <c r="X29" s="644"/>
      <c r="Y29">
        <f t="shared" si="22"/>
        <v>0</v>
      </c>
      <c r="Z29" s="437">
        <f t="shared" si="23"/>
        <v>0</v>
      </c>
      <c r="AA29" s="1">
        <f t="shared" si="2"/>
        <v>0</v>
      </c>
      <c r="AB29" s="1">
        <f t="shared" si="3"/>
        <v>0</v>
      </c>
      <c r="AC29" s="1">
        <f t="shared" si="4"/>
        <v>0</v>
      </c>
      <c r="AD29" s="1">
        <f t="shared" si="5"/>
        <v>0</v>
      </c>
      <c r="AE29" s="1">
        <f t="shared" si="6"/>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4"/>
        <v>0</v>
      </c>
      <c r="BB29" s="229">
        <f t="shared" si="7"/>
        <v>0</v>
      </c>
      <c r="BC29" s="1">
        <f t="shared" si="25"/>
        <v>0</v>
      </c>
      <c r="BD29" s="1">
        <f t="shared" si="8"/>
        <v>0</v>
      </c>
      <c r="BE29" s="1">
        <f t="shared" si="9"/>
        <v>0</v>
      </c>
      <c r="BF29" s="1">
        <f t="shared" si="10"/>
        <v>0</v>
      </c>
      <c r="BG29" s="210" t="str">
        <f>IF(AND(C29="Skema 1",B29="ma"),Skemaoplysninger!$E$30,"")</f>
        <v/>
      </c>
      <c r="BH29" s="210" t="str">
        <f>IF(AND(C29="Skema 1",B29="ti"),Skemaoplysninger!$G$30,"")</f>
        <v/>
      </c>
      <c r="BI29" s="210" t="str">
        <f>IF(AND(C29="Skema 1",B29="on"),Skemaoplysninger!$I$30,"")</f>
        <v/>
      </c>
      <c r="BJ29" s="210" t="str">
        <f>IF(AND(C29="Skema 1",B29="to"),Skemaoplysninger!$K$30,"")</f>
        <v/>
      </c>
      <c r="BK29" s="210" t="str">
        <f>IF(AND(C29="Skema 1",B29="fr"),Skemaoplysninger!$M$30,"")</f>
        <v/>
      </c>
      <c r="BL29" s="210" t="str">
        <f>IF(AND(C29="Skema 2",B29="ma"),Skemaoplysninger!$S$30,"")</f>
        <v/>
      </c>
      <c r="BM29" s="210" t="str">
        <f>IF(AND(C29="Skema 2",B29="ti"),Skemaoplysninger!$U$30,"")</f>
        <v/>
      </c>
      <c r="BN29" s="210" t="str">
        <f>IF(AND(C29="Skema 2",B29="on"),Skemaoplysninger!$W$30,"")</f>
        <v/>
      </c>
      <c r="BO29" s="210" t="str">
        <f>IF(AND(C29="Skema 2",B29="to"),Skemaoplysninger!$Y$30,"")</f>
        <v/>
      </c>
      <c r="BP29" s="210" t="str">
        <f>IF(AND(C29="Skema 2",B29="fr"),Skemaoplysninger!$AA$30,"")</f>
        <v/>
      </c>
      <c r="BQ29" s="210" t="str">
        <f>IF(AND(C29="Skema 3",B29="ma"),Skemaoplysninger!$AG$30,"")</f>
        <v/>
      </c>
      <c r="BR29" s="210" t="str">
        <f>IF(AND(C29="Skema 3",B29="ti"),Skemaoplysninger!$AI$30,"")</f>
        <v/>
      </c>
      <c r="BS29" s="210" t="str">
        <f>IF(AND(C29="Skema 3",B29="on"),Skemaoplysninger!$AK$30,"")</f>
        <v/>
      </c>
      <c r="BT29" s="210" t="str">
        <f>IF(AND(C29="Skema 3",B29="to"),Skemaoplysninger!$AM$30,"")</f>
        <v/>
      </c>
      <c r="BU29" s="210" t="str">
        <f>IF(AND(C29="Skema 3",B29="fr"),Skemaoplysninger!$AO$30,"")</f>
        <v/>
      </c>
      <c r="BV29" s="210" t="str">
        <f>IF(AND(C29="Skema 4",B29="ma"),Skemaoplysninger!$AU$30,"")</f>
        <v/>
      </c>
      <c r="BW29" s="210" t="str">
        <f>IF(AND(C29="Skema 4",B29="ti"),Skemaoplysninger!$AW$30,"")</f>
        <v/>
      </c>
      <c r="BX29" s="210" t="str">
        <f>IF(AND(C29="Skema 4",B29="on"),Skemaoplysninger!$AY$30,"")</f>
        <v/>
      </c>
      <c r="BY29" s="210" t="str">
        <f>IF(AND(C29="Skema 4",B29="to"),Skemaoplysninger!$BA$30,"")</f>
        <v/>
      </c>
      <c r="BZ29" s="210" t="str">
        <f>IF(AND(C29="Skema 4",B29="fr"),Skemaoplysninger!$BC$30,"")</f>
        <v/>
      </c>
      <c r="CA29" s="1">
        <f t="shared" si="26"/>
        <v>0</v>
      </c>
      <c r="CB29" s="1">
        <f t="shared" si="11"/>
        <v>0</v>
      </c>
      <c r="CC29" s="1">
        <f t="shared" si="12"/>
        <v>0</v>
      </c>
      <c r="CD29" s="210" t="str">
        <f>IF(AND(C29="Skema 1",B29="ma"),Skemaoplysninger!$E$31,"")</f>
        <v/>
      </c>
      <c r="CE29" s="210" t="str">
        <f>IF(AND(C29="Skema 1",B29="ti"),Skemaoplysninger!$G$31,"")</f>
        <v/>
      </c>
      <c r="CF29" s="210" t="str">
        <f>IF(AND(C29="Skema 1",B29="on"),Skemaoplysninger!$I$31,"")</f>
        <v/>
      </c>
      <c r="CG29" s="210" t="str">
        <f>IF(AND(C29="Skema 1",B29="to"),Skemaoplysninger!$K$31,"")</f>
        <v/>
      </c>
      <c r="CH29" s="210" t="str">
        <f>IF(AND(C29="Skema 1",B29="fr"),Skemaoplysninger!$M$31,"")</f>
        <v/>
      </c>
      <c r="CI29" s="210" t="str">
        <f>IF(AND(C29="Skema 2",B29="ma"),Skemaoplysninger!$S$31,"")</f>
        <v/>
      </c>
      <c r="CJ29" s="210" t="str">
        <f>IF(AND(C29="Skema 2",B29="ti"),Skemaoplysninger!$U$31,"")</f>
        <v/>
      </c>
      <c r="CK29" s="210" t="str">
        <f>IF(AND(C29="Skema 2",B29="on"),Skemaoplysninger!$W$31,"")</f>
        <v/>
      </c>
      <c r="CL29" s="210" t="str">
        <f>IF(AND(C29="Skema 2",B29="to"),Skemaoplysninger!$Y$31,"")</f>
        <v/>
      </c>
      <c r="CM29" s="210" t="str">
        <f>IF(AND(C29="Skema 2",B29="fr"),Skemaoplysninger!$AA$31,"")</f>
        <v/>
      </c>
      <c r="CN29" s="210" t="str">
        <f>IF(AND(C29="Skema 3",B29="ma"),Skemaoplysninger!$AG$31,"")</f>
        <v/>
      </c>
      <c r="CO29" s="210" t="str">
        <f>IF(AND(C29="Skema 3",B29="ti"),Skemaoplysninger!$AI$31,"")</f>
        <v/>
      </c>
      <c r="CP29" s="210" t="str">
        <f>IF(AND(C29="Skema 3",B29="on"),Skemaoplysninger!$AK$31,"")</f>
        <v/>
      </c>
      <c r="CQ29" s="210" t="str">
        <f>IF(AND(C29="Skema 3",B29="to"),Skemaoplysninger!$AM$31,"")</f>
        <v/>
      </c>
      <c r="CR29" s="210" t="str">
        <f>IF(AND(C29="Skema 3",B29="fr"),Skemaoplysninger!$AO$31,"")</f>
        <v/>
      </c>
      <c r="CS29" s="210" t="str">
        <f>IF(AND(C29="Skema 4",B29="ma"),Skemaoplysninger!$AU$31,"")</f>
        <v/>
      </c>
      <c r="CT29" s="210" t="str">
        <f>IF(AND(C29="Skema 4",B29="ti"),Skemaoplysninger!$AW$31,"")</f>
        <v/>
      </c>
      <c r="CU29" s="210" t="str">
        <f>IF(AND(C29="Skema 4",B29="on"),Skemaoplysninger!$AY$31,"")</f>
        <v/>
      </c>
      <c r="CV29" s="210" t="str">
        <f>IF(AND(C29="Skema 4",B29="to"),Skemaoplysninger!$BA$31,"")</f>
        <v/>
      </c>
      <c r="CW29" s="210" t="str">
        <f>IF(AND(C29="Skema 4",B29="fr"),Skemaoplysninger!$BC$31,"")</f>
        <v/>
      </c>
      <c r="CX29" s="249">
        <f>IF(Stamoplysninger!$H$29="NEJ",SUM(CD29:CW29)*24+CB29+CC29,0)</f>
        <v>0</v>
      </c>
      <c r="CY29" s="249">
        <f>IF(C29="Skema 1",Stamoplysninger!$H$30/200,0)</f>
        <v>0</v>
      </c>
      <c r="CZ29" s="249">
        <f>IF(C29="Skema 2",Stamoplysninger!$H$30/200,0)</f>
        <v>0</v>
      </c>
      <c r="DA29" s="249">
        <f>IF(C29="Skema 3",Stamoplysninger!$H$30/200,0)</f>
        <v>0</v>
      </c>
      <c r="DB29" s="249">
        <f>IF(C29="Skema 4",Stamoplysninger!$H$30/200,0)</f>
        <v>0</v>
      </c>
      <c r="DC29" s="249">
        <f>IF(C29="fagdag",Stamoplysninger!$H$30/200,0)</f>
        <v>0</v>
      </c>
      <c r="DD29" s="249">
        <f>IF(C29="emnedag",Stamoplysninger!$H$30/200,0)</f>
        <v>0</v>
      </c>
      <c r="DE29" s="249">
        <f>IF(C29="lejrskole",Stamoplysninger!$H$30/200,0)</f>
        <v>0</v>
      </c>
      <c r="DF29" s="249">
        <f>IF(C29="ekskursion",Stamoplysninger!$H$30/200,0)</f>
        <v>0</v>
      </c>
      <c r="DG29" s="249">
        <f t="shared" si="27"/>
        <v>0</v>
      </c>
      <c r="DH29" t="str">
        <f t="shared" si="28"/>
        <v/>
      </c>
      <c r="DI29">
        <f t="shared" si="29"/>
        <v>0</v>
      </c>
      <c r="DJ29">
        <f t="shared" si="30"/>
        <v>0</v>
      </c>
      <c r="DK29" t="str">
        <f t="shared" si="13"/>
        <v/>
      </c>
      <c r="DL29" t="str">
        <f t="shared" si="13"/>
        <v/>
      </c>
      <c r="DM29" t="str">
        <f t="shared" si="13"/>
        <v/>
      </c>
      <c r="DN29" t="str">
        <f t="shared" si="31"/>
        <v/>
      </c>
      <c r="DO29" s="652">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71">
        <f>IF(AND(Stamoplysninger!$B$22="Ulempetillæg udbetales med 25% af nettotimelønnen.",C29="ikke relevant"),(R29)/4,0)</f>
        <v>0</v>
      </c>
      <c r="DT29" s="671">
        <f>IF(AND(AND(Stamoplysninger!$B$22="Ulempetillæg udbetales med 25% af nettotimelønnen.",I29="X",C29="Ikke relevant")),K29/4,0)</f>
        <v>0</v>
      </c>
      <c r="DU29" s="671">
        <f>IF(AND(AND(Stamoplysninger!$B$22="Ulempetillæg udbetales med 25% af nettotimelønnen.",C29="ikke relevant",U29="X")),(X29/4),0)</f>
        <v>0</v>
      </c>
      <c r="DV29" s="672">
        <f>IF(AND(AND(AND(Stamoplysninger!$B$22="Ulempetillæg udbetales med 25% af nettotimelønnen.",I29="X",C29="Ikke relevant",S29="X"))),V29/4,0)</f>
        <v>0</v>
      </c>
      <c r="DW29" s="652"/>
      <c r="DZ29" s="671"/>
      <c r="EA29" s="671"/>
      <c r="EB29" s="672"/>
      <c r="EC29" s="652">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71">
        <f>IF(AND(Stamoplysninger!$B$22="Ulempetillæg afspadseres med 25%(Kræver en aftale imellem ledelsen og den ansatte)",C29="ikke relevant"),(R29)/4,0)</f>
        <v>0</v>
      </c>
      <c r="EH29" s="671">
        <f>IF(AND(AND(Stamoplysninger!$B$22="Ulempetillæg afspadseres med 25%(Kræver en aftale imellem ledelsen og den ansatte)",I29="X",C29="Ikke relevant")),K29/4,0)</f>
        <v>0</v>
      </c>
      <c r="EI29" s="671">
        <f>IF(AND(AND(Stamoplysninger!$B$22="Ulempetillæg afspadseres med 25%(Kræver en aftale imellem ledelsen og den ansatte)",U29="X",C29="Ikke relevant")),X29/4,0)</f>
        <v>0</v>
      </c>
      <c r="EJ29" s="671">
        <f>IF(AND(AND(AND(Stamoplysninger!$B$22="Ulempetillæg afspadseres med 25%(Kræver en aftale imellem ledelsen og den ansatte)",I29="X",C29="Ikke relevant",S29="X"))),V29/4,0)</f>
        <v>0</v>
      </c>
      <c r="EK29" s="283">
        <f>IF(AND(Stamoplysninger!$B$26="Weekendtimer og weekendtillæg afspadseres.",I29="X"),K29*1.5,0)</f>
        <v>0</v>
      </c>
      <c r="EL29" s="251">
        <f>IF(AND(AND(Stamoplysninger!$B$26="Weekendtimer og weekendtillæg afspadseres.",I29="X",S29="X")),V29*1.5,0)</f>
        <v>0</v>
      </c>
      <c r="EM29" s="674">
        <f>IF(AND(AND(Stamoplysninger!$B$26="Weekendtimer og weekendtillæg afspadseres.",I29="X",C29="ikke relevant")),K29*1.5,0)</f>
        <v>0</v>
      </c>
      <c r="EN29" s="675">
        <f>IF(AND(AND(AND(Stamoplysninger!$B$26="Weekendtimer og weekendtillæg afspadseres.",I29="X",C29="ikke relevant",S29="X"))),(V29*1.5),0)</f>
        <v>0</v>
      </c>
      <c r="EO29" s="283">
        <f>IF(AND(Stamoplysninger!$B$26="Weekendtimer og weekendtillæg udbetales.",I29="X"),K29*1.5,0)</f>
        <v>0</v>
      </c>
      <c r="EP29" s="251">
        <f>IF(AND(AND(Stamoplysninger!$B$26="Weekendtimer og weekendtillæg udbetales.",I29="X",S29="X")),V29*1.5,0)</f>
        <v>0</v>
      </c>
      <c r="EQ29" s="674">
        <f>IF(AND(AND(Stamoplysninger!$B$26="Weekendtimer og weekendtillæg udbetales.",I29="X",C29="ikke relevant")),K29*1.5,0)</f>
        <v>0</v>
      </c>
      <c r="ER29" s="675">
        <f>IF(AND(AND(AND(Stamoplysninger!$B$26="Weekendtimer og weekendtillæg udbetales.",I29="X",C29="ikke relevant",S29="X"))),(V29*1.5),0)</f>
        <v>0</v>
      </c>
      <c r="ES29" s="283">
        <f>IF(AND(Stamoplysninger!$B$26="Der er indgået lokalaftale omkring weekendtimer.(Kræver aftale med TR/FSL) Weekendtillæg afspadseres.",I29="X"),K29*0.5,0)</f>
        <v>0</v>
      </c>
      <c r="ET29" s="251">
        <f>IF(AND(AND(Stamoplysninger!$B$26="Der er indgået lokalaftale omkring weekendtimer.(Kræver aftale med TR/FSL) Weekendtillæg afspadseres.",I29="X",S29="X")),V29*0.5,0)</f>
        <v>0</v>
      </c>
      <c r="EU29" s="674">
        <f>IF(AND(AND(Stamoplysninger!$B$26="Der er indgået lokalaftale omkring weekendtimer.(Kræver aftale med TR/FSL) Weekendtillæg afspadseres.",I29="X",C29="ikke relevant")),K29*0.5,0)</f>
        <v>0</v>
      </c>
      <c r="EV29" s="675">
        <f>IF(AND(AND(AND(Stamoplysninger!$B$26="Der er indgået lokalaftale omkring weekendtimer.(Kræver aftale med TR/FSL) Weekendtillæg afspadseres.",I29="X",C29="ikke relevant",S29="X"))),(V29*0.5),0)</f>
        <v>0</v>
      </c>
      <c r="EW29" s="283">
        <f>IF(AND(Stamoplysninger!$B$26="Der er indgået lokalaftale omkring weekendtimer(Kræver aftale med TR/FSL). Weekendtillæg udbetales.",I29="X"),K29*0.5,0)</f>
        <v>0</v>
      </c>
      <c r="EX29" s="251">
        <f>IF(AND(AND(Stamoplysninger!$B$26="Der er indgået lokalaftale omkring weekendtimer(Kræver aftale med TR/FSL). Weekendtillæg udbetales.",I29="X",S29="X")),V29*0.5,0)</f>
        <v>0</v>
      </c>
      <c r="EY29" s="674">
        <f>IF(AND(AND(Stamoplysninger!$B$26="Der er indgået lokalaftale omkring weekendtimer(Kræver aftale med TR/FSL). Weekendtillæg udbetales.",I29="X",C29="ikke relevant")),K29*0.5,0)</f>
        <v>0</v>
      </c>
      <c r="EZ29" s="675">
        <f>IF(AND(AND(AND(Stamoplysninger!$B$26="Der er indgået lokalaftale omkring weekendtimer(Kræver aftale med TR/FSL). Weekendtillæg udbetales.",I29="X",C29="ikke relevant",S29="X"))),(V29*0.5),0)</f>
        <v>0</v>
      </c>
      <c r="FA29" s="283">
        <f>IF(AND(Stamoplysninger!$B$26="Der er indgået lokalaftale omkring weekendtillæg(Kræver aftale med TR/FSL). Weekendtimerne afspadseres.",I29="X"),K29,0)</f>
        <v>0</v>
      </c>
      <c r="FB29" s="251">
        <f>IF(AND(AND(Stamoplysninger!$B$26="Der er indgået lokalaftale omkring weekendtillæg(Kræver aftale med TR/FSL). Weekendtimerne afspadseres.",I29="X",S29="X")),V29,0)</f>
        <v>0</v>
      </c>
      <c r="FC29" s="674">
        <f>IF(AND(AND(Stamoplysninger!$B$26="Der er indgået lokalaftale omkring weekendtillæg(Kræver aftale med TR/FSL). Weekendtimerne afspadseres..",I29="X",C29="ikke relevant")),K29,0)</f>
        <v>0</v>
      </c>
      <c r="FD29" s="675">
        <f>IF(AND(AND(AND(Stamoplysninger!$B$26="Der er indgået lokalaftale omkring weekendtillæg(Kræver aftale med TR/FSL). Weekendtimerne afspadseres.",I29="X",C29="ikke relevant",S29="X"))),(V29),0)</f>
        <v>0</v>
      </c>
      <c r="FE29" s="283">
        <f>IF(AND(Stamoplysninger!$B$26="Der er indgået lokalaftale omkring weekendtillæg(Kræver aftale med TR/FSL). Weekendtimerne udbetales.",I29="X"),K29,0)</f>
        <v>0</v>
      </c>
      <c r="FF29" s="251">
        <f>IF(AND(AND(Stamoplysninger!$B$26="Der er indgået lokalaftale omkring weekendtillæg(Kræver aftale med TR/FSL). Weekendtimerne udbetales.",I29="X",S29="X")),V29,0)</f>
        <v>0</v>
      </c>
      <c r="FG29" s="674">
        <f>IF(AND(AND(Stamoplysninger!$B$26="Der er indgået lokalaftale omkring weekendtillæg(Kræver aftale med TR/FSL). Weekendtimerne udbetales.",I29="X",C29="ikke relevant")),K29,0)</f>
        <v>0</v>
      </c>
      <c r="FH29" s="675">
        <f>IF(AND(AND(AND(Stamoplysninger!$B$26="Der er indgået lokalaftale omkring weekendtillæg(Kræver aftale med TR/FSL). Weekendtimerne udbetales.",I29="X",C29="ikke relevant",S29="X"))),(V29),0)</f>
        <v>0</v>
      </c>
      <c r="FI29" s="283">
        <f>IF(AND(Stamoplysninger!$B$26="Weekendtimer og weekendtillæg afspadseres.",I29="X"),K29,0)</f>
        <v>0</v>
      </c>
      <c r="FJ29" s="251">
        <f>IF(AND(Stamoplysninger!$B$26="Weekendtimer og weekendtillæg afspadseres.",Y29="X"),(AA29+AL29)/2,0)</f>
        <v>0</v>
      </c>
      <c r="FK29" s="674">
        <f>IF(AND(AND(Stamoplysninger!$B$26="Weekendtimer og weekendtillæg afspadseres.",I29="X",C29="ikke relevant")),K29,0)</f>
        <v>0</v>
      </c>
      <c r="FL29" s="675">
        <f>IF(AND(AND(Stamoplysninger!$B$26="Weekendtimer og weekendtillæg afspadseres.",Y29="X",S29="ikke relevant")),(AA29+AL29)/2,0)</f>
        <v>0</v>
      </c>
      <c r="FM29" s="283">
        <f>IF(AND(Stamoplysninger!$B$26="Der er indgået lokalaftale omkring weekendtillæg(Kræver aftale med TR/FSL). Weekendtimerne afspadseres.",I29="X"),K29,0)</f>
        <v>0</v>
      </c>
      <c r="FN29" s="674">
        <f>IF(AND(AND(Stamoplysninger!$B$26="Der er indgået lokalaftale omkring weekendtillæg(Kræver aftale med TR/FSL). Weekendtimerne afspadseres.",I29="X",C29="ikke relevant")),K29,0)</f>
        <v>0</v>
      </c>
      <c r="FO29" s="283">
        <f>IF(AND(Stamoplysninger!$B$26="Weekendtimer og weekendtillæg udbetales.",I29="X"),K29,0)</f>
        <v>0</v>
      </c>
      <c r="FP29" s="251">
        <f>IF(AND(Stamoplysninger!$B$26="Weekendtimer og weekendtillæg udbetales.",AA29="X"),(AC29+AN29)/2,0)</f>
        <v>0</v>
      </c>
      <c r="FQ29" s="674">
        <f>IF(AND(AND(Stamoplysninger!$B$26="Weekendtimer og weekendtillæg udbetales.",I29="X",C29="ikke relevant")),K29,0)</f>
        <v>0</v>
      </c>
      <c r="FR29" s="688">
        <f>IF(AND(AND(Stamoplysninger!$B$26="Weekendtimer og weekendtillæg udbetales.",AA29="X",U29="ikke relevant")),(AC29+AN29)/2,0)</f>
        <v>0</v>
      </c>
      <c r="FS29" s="283">
        <f t="shared" si="15"/>
        <v>0</v>
      </c>
      <c r="FT29" s="658">
        <f t="shared" si="16"/>
        <v>0</v>
      </c>
      <c r="FU29">
        <f>IF(AND(C29="weekend",I29="X"),K29,0)</f>
        <v>0</v>
      </c>
      <c r="FV29" s="283">
        <f>IF(AND(Stamoplysninger!$B$26="Der er indgået lokalaftale omkring weekendtimer.(Kræver aftale med TR/FSL) Weekendtillæg afspadseres.",I29="X"),K29,0)</f>
        <v>0</v>
      </c>
      <c r="FW29" s="674">
        <f>IF(AND(AND(Stamoplysninger!$B$26="Der er indgået lokalaftale omkring weekendtimer.(Kræver aftale med TR/FSL) Weekendtillæg afspadseres.",I29="X",C29="ikke relevant")),K29,0)</f>
        <v>0</v>
      </c>
      <c r="FX29" s="283">
        <f>IF(AND(Stamoplysninger!$B$26="Der er indgået lokalaftale omkring weekendtimer(Kræver aftale med TR/FSL). Weekendtillæg udbetales.",I29="X"),K29,0)</f>
        <v>0</v>
      </c>
      <c r="FY29" s="674">
        <f>IF(AND(AND(Stamoplysninger!$B$26="Der er indgået lokalaftale omkring weekendtimer(Kræver aftale med TR/FSL). Weekendtillæg udbetales.",I29="X",C29="ikke relevant")),K29,0)</f>
        <v>0</v>
      </c>
      <c r="FZ29" s="283">
        <f>IF(AND(Stamoplysninger!$B$26="Der er indgået lokalaftale omkring weekendtillæg(Kræver aftale med TR/FSL). Weekendtimerne udbetales.",I29="X"),K29,0)</f>
        <v>0</v>
      </c>
      <c r="GA29" s="674">
        <f>IF(AND(AND(Stamoplysninger!$B$26="Der er indgået lokalaftale omkring weekendtillæg(Kræver aftale med TR/FSL). Weekendtimerne udbetales.",I29="X",C29="ikke relevant")),K29,0)</f>
        <v>0</v>
      </c>
      <c r="GB29" s="283">
        <f>IF(AND(Stamoplysninger!$B$26="Der er indgået lokalaftale omkring weekendtimer og weekendtillæg.(Kræver aftale med TR/FSL).",I29="X"),K29,0)</f>
        <v>0</v>
      </c>
      <c r="GC29" s="674">
        <f>IF(AND(AND(Stamoplysninger!$B$26="Der er indgået lokalaftale omkring weekendtimer og weekendtillæg.(Kræver aftale med TR/FSL).",I29="X",C29="ikke relevant")),K29,0)</f>
        <v>0</v>
      </c>
    </row>
    <row r="30" spans="1:185">
      <c r="A30" s="245">
        <f t="shared" si="18"/>
        <v>22</v>
      </c>
      <c r="B30" s="128" t="str">
        <f t="shared" si="0"/>
        <v>sø</v>
      </c>
      <c r="C30" s="129" t="s">
        <v>120</v>
      </c>
      <c r="D30" s="130" t="str">
        <f t="shared" si="1"/>
        <v/>
      </c>
      <c r="E30" s="917"/>
      <c r="F30" s="918"/>
      <c r="G30" s="919"/>
      <c r="H30" s="298"/>
      <c r="I30" s="413"/>
      <c r="J30" s="413"/>
      <c r="K30" s="380"/>
      <c r="L30" s="380"/>
      <c r="M30" s="380"/>
      <c r="N30" s="318">
        <f t="shared" si="19"/>
        <v>0</v>
      </c>
      <c r="O30" s="318">
        <f t="shared" si="20"/>
        <v>0</v>
      </c>
      <c r="P30" s="318">
        <f>IF(Stamoplysninger!$H$29="JA",September!DG30,CX30)</f>
        <v>0</v>
      </c>
      <c r="Q30" s="318">
        <f t="shared" si="21"/>
        <v>0</v>
      </c>
      <c r="R30" s="319"/>
      <c r="S30" s="324"/>
      <c r="T30" s="325"/>
      <c r="U30" s="325"/>
      <c r="V30" s="435"/>
      <c r="W30" s="435"/>
      <c r="X30" s="644"/>
      <c r="Y30">
        <f t="shared" si="22"/>
        <v>0</v>
      </c>
      <c r="Z30" s="437">
        <f t="shared" si="23"/>
        <v>0</v>
      </c>
      <c r="AA30" s="1">
        <f t="shared" si="2"/>
        <v>0</v>
      </c>
      <c r="AB30" s="1">
        <f t="shared" si="3"/>
        <v>0</v>
      </c>
      <c r="AC30" s="1">
        <f t="shared" si="4"/>
        <v>0</v>
      </c>
      <c r="AD30" s="1">
        <f t="shared" si="5"/>
        <v>0</v>
      </c>
      <c r="AE30" s="1">
        <f t="shared" si="6"/>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4"/>
        <v>0</v>
      </c>
      <c r="BB30" s="229">
        <f t="shared" si="7"/>
        <v>0</v>
      </c>
      <c r="BC30" s="1">
        <f t="shared" si="25"/>
        <v>0</v>
      </c>
      <c r="BD30" s="1">
        <f t="shared" si="8"/>
        <v>0</v>
      </c>
      <c r="BE30" s="1">
        <f t="shared" si="9"/>
        <v>0</v>
      </c>
      <c r="BF30" s="1">
        <f t="shared" si="10"/>
        <v>0</v>
      </c>
      <c r="BG30" s="210" t="str">
        <f>IF(AND(C30="Skema 1",B30="ma"),Skemaoplysninger!$E$30,"")</f>
        <v/>
      </c>
      <c r="BH30" s="210" t="str">
        <f>IF(AND(C30="Skema 1",B30="ti"),Skemaoplysninger!$G$30,"")</f>
        <v/>
      </c>
      <c r="BI30" s="210" t="str">
        <f>IF(AND(C30="Skema 1",B30="on"),Skemaoplysninger!$I$30,"")</f>
        <v/>
      </c>
      <c r="BJ30" s="210" t="str">
        <f>IF(AND(C30="Skema 1",B30="to"),Skemaoplysninger!$K$30,"")</f>
        <v/>
      </c>
      <c r="BK30" s="210" t="str">
        <f>IF(AND(C30="Skema 1",B30="fr"),Skemaoplysninger!$M$30,"")</f>
        <v/>
      </c>
      <c r="BL30" s="210" t="str">
        <f>IF(AND(C30="Skema 2",B30="ma"),Skemaoplysninger!$S$30,"")</f>
        <v/>
      </c>
      <c r="BM30" s="210" t="str">
        <f>IF(AND(C30="Skema 2",B30="ti"),Skemaoplysninger!$U$30,"")</f>
        <v/>
      </c>
      <c r="BN30" s="210" t="str">
        <f>IF(AND(C30="Skema 2",B30="on"),Skemaoplysninger!$W$30,"")</f>
        <v/>
      </c>
      <c r="BO30" s="210" t="str">
        <f>IF(AND(C30="Skema 2",B30="to"),Skemaoplysninger!$Y$30,"")</f>
        <v/>
      </c>
      <c r="BP30" s="210" t="str">
        <f>IF(AND(C30="Skema 2",B30="fr"),Skemaoplysninger!$AA$30,"")</f>
        <v/>
      </c>
      <c r="BQ30" s="210" t="str">
        <f>IF(AND(C30="Skema 3",B30="ma"),Skemaoplysninger!$AG$30,"")</f>
        <v/>
      </c>
      <c r="BR30" s="210" t="str">
        <f>IF(AND(C30="Skema 3",B30="ti"),Skemaoplysninger!$AI$30,"")</f>
        <v/>
      </c>
      <c r="BS30" s="210" t="str">
        <f>IF(AND(C30="Skema 3",B30="on"),Skemaoplysninger!$AK$30,"")</f>
        <v/>
      </c>
      <c r="BT30" s="210" t="str">
        <f>IF(AND(C30="Skema 3",B30="to"),Skemaoplysninger!$AM$30,"")</f>
        <v/>
      </c>
      <c r="BU30" s="210" t="str">
        <f>IF(AND(C30="Skema 3",B30="fr"),Skemaoplysninger!$AO$30,"")</f>
        <v/>
      </c>
      <c r="BV30" s="210" t="str">
        <f>IF(AND(C30="Skema 4",B30="ma"),Skemaoplysninger!$AU$30,"")</f>
        <v/>
      </c>
      <c r="BW30" s="210" t="str">
        <f>IF(AND(C30="Skema 4",B30="ti"),Skemaoplysninger!$AW$30,"")</f>
        <v/>
      </c>
      <c r="BX30" s="210" t="str">
        <f>IF(AND(C30="Skema 4",B30="on"),Skemaoplysninger!$AY$30,"")</f>
        <v/>
      </c>
      <c r="BY30" s="210" t="str">
        <f>IF(AND(C30="Skema 4",B30="to"),Skemaoplysninger!$BA$30,"")</f>
        <v/>
      </c>
      <c r="BZ30" s="210" t="str">
        <f>IF(AND(C30="Skema 4",B30="fr"),Skemaoplysninger!$BC$30,"")</f>
        <v/>
      </c>
      <c r="CA30" s="1">
        <f t="shared" si="26"/>
        <v>0</v>
      </c>
      <c r="CB30" s="1">
        <f t="shared" si="11"/>
        <v>0</v>
      </c>
      <c r="CC30" s="1">
        <f t="shared" si="12"/>
        <v>0</v>
      </c>
      <c r="CD30" s="210" t="str">
        <f>IF(AND(C30="Skema 1",B30="ma"),Skemaoplysninger!$E$31,"")</f>
        <v/>
      </c>
      <c r="CE30" s="210" t="str">
        <f>IF(AND(C30="Skema 1",B30="ti"),Skemaoplysninger!$G$31,"")</f>
        <v/>
      </c>
      <c r="CF30" s="210" t="str">
        <f>IF(AND(C30="Skema 1",B30="on"),Skemaoplysninger!$I$31,"")</f>
        <v/>
      </c>
      <c r="CG30" s="210" t="str">
        <f>IF(AND(C30="Skema 1",B30="to"),Skemaoplysninger!$K$31,"")</f>
        <v/>
      </c>
      <c r="CH30" s="210" t="str">
        <f>IF(AND(C30="Skema 1",B30="fr"),Skemaoplysninger!$M$31,"")</f>
        <v/>
      </c>
      <c r="CI30" s="210" t="str">
        <f>IF(AND(C30="Skema 2",B30="ma"),Skemaoplysninger!$S$31,"")</f>
        <v/>
      </c>
      <c r="CJ30" s="210" t="str">
        <f>IF(AND(C30="Skema 2",B30="ti"),Skemaoplysninger!$U$31,"")</f>
        <v/>
      </c>
      <c r="CK30" s="210" t="str">
        <f>IF(AND(C30="Skema 2",B30="on"),Skemaoplysninger!$W$31,"")</f>
        <v/>
      </c>
      <c r="CL30" s="210" t="str">
        <f>IF(AND(C30="Skema 2",B30="to"),Skemaoplysninger!$Y$31,"")</f>
        <v/>
      </c>
      <c r="CM30" s="210" t="str">
        <f>IF(AND(C30="Skema 2",B30="fr"),Skemaoplysninger!$AA$31,"")</f>
        <v/>
      </c>
      <c r="CN30" s="210" t="str">
        <f>IF(AND(C30="Skema 3",B30="ma"),Skemaoplysninger!$AG$31,"")</f>
        <v/>
      </c>
      <c r="CO30" s="210" t="str">
        <f>IF(AND(C30="Skema 3",B30="ti"),Skemaoplysninger!$AI$31,"")</f>
        <v/>
      </c>
      <c r="CP30" s="210" t="str">
        <f>IF(AND(C30="Skema 3",B30="on"),Skemaoplysninger!$AK$31,"")</f>
        <v/>
      </c>
      <c r="CQ30" s="210" t="str">
        <f>IF(AND(C30="Skema 3",B30="to"),Skemaoplysninger!$AM$31,"")</f>
        <v/>
      </c>
      <c r="CR30" s="210" t="str">
        <f>IF(AND(C30="Skema 3",B30="fr"),Skemaoplysninger!$AO$31,"")</f>
        <v/>
      </c>
      <c r="CS30" s="210" t="str">
        <f>IF(AND(C30="Skema 4",B30="ma"),Skemaoplysninger!$AU$31,"")</f>
        <v/>
      </c>
      <c r="CT30" s="210" t="str">
        <f>IF(AND(C30="Skema 4",B30="ti"),Skemaoplysninger!$AW$31,"")</f>
        <v/>
      </c>
      <c r="CU30" s="210" t="str">
        <f>IF(AND(C30="Skema 4",B30="on"),Skemaoplysninger!$AY$31,"")</f>
        <v/>
      </c>
      <c r="CV30" s="210" t="str">
        <f>IF(AND(C30="Skema 4",B30="to"),Skemaoplysninger!$BA$31,"")</f>
        <v/>
      </c>
      <c r="CW30" s="210" t="str">
        <f>IF(AND(C30="Skema 4",B30="fr"),Skemaoplysninger!$BC$31,"")</f>
        <v/>
      </c>
      <c r="CX30" s="249">
        <f>IF(Stamoplysninger!$H$29="NEJ",SUM(CD30:CW30)*24+CB30+CC30,0)</f>
        <v>0</v>
      </c>
      <c r="CY30" s="249">
        <f>IF(C30="Skema 1",Stamoplysninger!$H$30/200,0)</f>
        <v>0</v>
      </c>
      <c r="CZ30" s="249">
        <f>IF(C30="Skema 2",Stamoplysninger!$H$30/200,0)</f>
        <v>0</v>
      </c>
      <c r="DA30" s="249">
        <f>IF(C30="Skema 3",Stamoplysninger!$H$30/200,0)</f>
        <v>0</v>
      </c>
      <c r="DB30" s="249">
        <f>IF(C30="Skema 4",Stamoplysninger!$H$30/200,0)</f>
        <v>0</v>
      </c>
      <c r="DC30" s="249">
        <f>IF(C30="fagdag",Stamoplysninger!$H$30/200,0)</f>
        <v>0</v>
      </c>
      <c r="DD30" s="249">
        <f>IF(C30="emnedag",Stamoplysninger!$H$30/200,0)</f>
        <v>0</v>
      </c>
      <c r="DE30" s="249">
        <f>IF(C30="lejrskole",Stamoplysninger!$H$30/200,0)</f>
        <v>0</v>
      </c>
      <c r="DF30" s="249">
        <f>IF(C30="ekskursion",Stamoplysninger!$H$30/200,0)</f>
        <v>0</v>
      </c>
      <c r="DG30" s="249">
        <f t="shared" si="27"/>
        <v>0</v>
      </c>
      <c r="DH30" t="str">
        <f t="shared" si="28"/>
        <v/>
      </c>
      <c r="DI30">
        <f t="shared" si="29"/>
        <v>0</v>
      </c>
      <c r="DJ30">
        <f t="shared" si="30"/>
        <v>0</v>
      </c>
      <c r="DK30" t="str">
        <f t="shared" si="13"/>
        <v/>
      </c>
      <c r="DL30" t="str">
        <f t="shared" si="13"/>
        <v/>
      </c>
      <c r="DM30" t="str">
        <f t="shared" si="13"/>
        <v/>
      </c>
      <c r="DN30" t="str">
        <f t="shared" si="31"/>
        <v/>
      </c>
      <c r="DO30" s="652">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71">
        <f>IF(AND(Stamoplysninger!$B$22="Ulempetillæg udbetales med 25% af nettotimelønnen.",C30="ikke relevant"),(R30)/4,0)</f>
        <v>0</v>
      </c>
      <c r="DT30" s="671">
        <f>IF(AND(AND(Stamoplysninger!$B$22="Ulempetillæg udbetales med 25% af nettotimelønnen.",I30="X",C30="Ikke relevant")),K30/4,0)</f>
        <v>0</v>
      </c>
      <c r="DU30" s="671">
        <f>IF(AND(AND(Stamoplysninger!$B$22="Ulempetillæg udbetales med 25% af nettotimelønnen.",C30="ikke relevant",U30="X")),(X30/4),0)</f>
        <v>0</v>
      </c>
      <c r="DV30" s="672">
        <f>IF(AND(AND(AND(Stamoplysninger!$B$22="Ulempetillæg udbetales med 25% af nettotimelønnen.",I30="X",C30="Ikke relevant",S30="X"))),V30/4,0)</f>
        <v>0</v>
      </c>
      <c r="DW30" s="652"/>
      <c r="DZ30" s="671"/>
      <c r="EA30" s="671"/>
      <c r="EB30" s="672"/>
      <c r="EC30" s="652">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71">
        <f>IF(AND(Stamoplysninger!$B$22="Ulempetillæg afspadseres med 25%(Kræver en aftale imellem ledelsen og den ansatte)",C30="ikke relevant"),(R30)/4,0)</f>
        <v>0</v>
      </c>
      <c r="EH30" s="671">
        <f>IF(AND(AND(Stamoplysninger!$B$22="Ulempetillæg afspadseres med 25%(Kræver en aftale imellem ledelsen og den ansatte)",I30="X",C30="Ikke relevant")),K30/4,0)</f>
        <v>0</v>
      </c>
      <c r="EI30" s="671">
        <f>IF(AND(AND(Stamoplysninger!$B$22="Ulempetillæg afspadseres med 25%(Kræver en aftale imellem ledelsen og den ansatte)",U30="X",C30="Ikke relevant")),X30/4,0)</f>
        <v>0</v>
      </c>
      <c r="EJ30" s="671">
        <f>IF(AND(AND(AND(Stamoplysninger!$B$22="Ulempetillæg afspadseres med 25%(Kræver en aftale imellem ledelsen og den ansatte)",I30="X",C30="Ikke relevant",S30="X"))),V30/4,0)</f>
        <v>0</v>
      </c>
      <c r="EK30" s="283">
        <f>IF(AND(Stamoplysninger!$B$26="Weekendtimer og weekendtillæg afspadseres.",I30="X"),K30*1.5,0)</f>
        <v>0</v>
      </c>
      <c r="EL30" s="251">
        <f>IF(AND(AND(Stamoplysninger!$B$26="Weekendtimer og weekendtillæg afspadseres.",I30="X",S30="X")),V30*1.5,0)</f>
        <v>0</v>
      </c>
      <c r="EM30" s="674">
        <f>IF(AND(AND(Stamoplysninger!$B$26="Weekendtimer og weekendtillæg afspadseres.",I30="X",C30="ikke relevant")),K30*1.5,0)</f>
        <v>0</v>
      </c>
      <c r="EN30" s="675">
        <f>IF(AND(AND(AND(Stamoplysninger!$B$26="Weekendtimer og weekendtillæg afspadseres.",I30="X",C30="ikke relevant",S30="X"))),(V30*1.5),0)</f>
        <v>0</v>
      </c>
      <c r="EO30" s="283">
        <f>IF(AND(Stamoplysninger!$B$26="Weekendtimer og weekendtillæg udbetales.",I30="X"),K30*1.5,0)</f>
        <v>0</v>
      </c>
      <c r="EP30" s="251">
        <f>IF(AND(AND(Stamoplysninger!$B$26="Weekendtimer og weekendtillæg udbetales.",I30="X",S30="X")),V30*1.5,0)</f>
        <v>0</v>
      </c>
      <c r="EQ30" s="674">
        <f>IF(AND(AND(Stamoplysninger!$B$26="Weekendtimer og weekendtillæg udbetales.",I30="X",C30="ikke relevant")),K30*1.5,0)</f>
        <v>0</v>
      </c>
      <c r="ER30" s="675">
        <f>IF(AND(AND(AND(Stamoplysninger!$B$26="Weekendtimer og weekendtillæg udbetales.",I30="X",C30="ikke relevant",S30="X"))),(V30*1.5),0)</f>
        <v>0</v>
      </c>
      <c r="ES30" s="283">
        <f>IF(AND(Stamoplysninger!$B$26="Der er indgået lokalaftale omkring weekendtimer.(Kræver aftale med TR/FSL) Weekendtillæg afspadseres.",I30="X"),K30*0.5,0)</f>
        <v>0</v>
      </c>
      <c r="ET30" s="251">
        <f>IF(AND(AND(Stamoplysninger!$B$26="Der er indgået lokalaftale omkring weekendtimer.(Kræver aftale med TR/FSL) Weekendtillæg afspadseres.",I30="X",S30="X")),V30*0.5,0)</f>
        <v>0</v>
      </c>
      <c r="EU30" s="674">
        <f>IF(AND(AND(Stamoplysninger!$B$26="Der er indgået lokalaftale omkring weekendtimer.(Kræver aftale med TR/FSL) Weekendtillæg afspadseres.",I30="X",C30="ikke relevant")),K30*0.5,0)</f>
        <v>0</v>
      </c>
      <c r="EV30" s="675">
        <f>IF(AND(AND(AND(Stamoplysninger!$B$26="Der er indgået lokalaftale omkring weekendtimer.(Kræver aftale med TR/FSL) Weekendtillæg afspadseres.",I30="X",C30="ikke relevant",S30="X"))),(V30*0.5),0)</f>
        <v>0</v>
      </c>
      <c r="EW30" s="283">
        <f>IF(AND(Stamoplysninger!$B$26="Der er indgået lokalaftale omkring weekendtimer(Kræver aftale med TR/FSL). Weekendtillæg udbetales.",I30="X"),K30*0.5,0)</f>
        <v>0</v>
      </c>
      <c r="EX30" s="251">
        <f>IF(AND(AND(Stamoplysninger!$B$26="Der er indgået lokalaftale omkring weekendtimer(Kræver aftale med TR/FSL). Weekendtillæg udbetales.",I30="X",S30="X")),V30*0.5,0)</f>
        <v>0</v>
      </c>
      <c r="EY30" s="674">
        <f>IF(AND(AND(Stamoplysninger!$B$26="Der er indgået lokalaftale omkring weekendtimer(Kræver aftale med TR/FSL). Weekendtillæg udbetales.",I30="X",C30="ikke relevant")),K30*0.5,0)</f>
        <v>0</v>
      </c>
      <c r="EZ30" s="675">
        <f>IF(AND(AND(AND(Stamoplysninger!$B$26="Der er indgået lokalaftale omkring weekendtimer(Kræver aftale med TR/FSL). Weekendtillæg udbetales.",I30="X",C30="ikke relevant",S30="X"))),(V30*0.5),0)</f>
        <v>0</v>
      </c>
      <c r="FA30" s="283">
        <f>IF(AND(Stamoplysninger!$B$26="Der er indgået lokalaftale omkring weekendtillæg(Kræver aftale med TR/FSL). Weekendtimerne afspadseres.",I30="X"),K30,0)</f>
        <v>0</v>
      </c>
      <c r="FB30" s="251">
        <f>IF(AND(AND(Stamoplysninger!$B$26="Der er indgået lokalaftale omkring weekendtillæg(Kræver aftale med TR/FSL). Weekendtimerne afspadseres.",I30="X",S30="X")),V30,0)</f>
        <v>0</v>
      </c>
      <c r="FC30" s="674">
        <f>IF(AND(AND(Stamoplysninger!$B$26="Der er indgået lokalaftale omkring weekendtillæg(Kræver aftale med TR/FSL). Weekendtimerne afspadseres..",I30="X",C30="ikke relevant")),K30,0)</f>
        <v>0</v>
      </c>
      <c r="FD30" s="675">
        <f>IF(AND(AND(AND(Stamoplysninger!$B$26="Der er indgået lokalaftale omkring weekendtillæg(Kræver aftale med TR/FSL). Weekendtimerne afspadseres.",I30="X",C30="ikke relevant",S30="X"))),(V30),0)</f>
        <v>0</v>
      </c>
      <c r="FE30" s="283">
        <f>IF(AND(Stamoplysninger!$B$26="Der er indgået lokalaftale omkring weekendtillæg(Kræver aftale med TR/FSL). Weekendtimerne udbetales.",I30="X"),K30,0)</f>
        <v>0</v>
      </c>
      <c r="FF30" s="251">
        <f>IF(AND(AND(Stamoplysninger!$B$26="Der er indgået lokalaftale omkring weekendtillæg(Kræver aftale med TR/FSL). Weekendtimerne udbetales.",I30="X",S30="X")),V30,0)</f>
        <v>0</v>
      </c>
      <c r="FG30" s="674">
        <f>IF(AND(AND(Stamoplysninger!$B$26="Der er indgået lokalaftale omkring weekendtillæg(Kræver aftale med TR/FSL). Weekendtimerne udbetales.",I30="X",C30="ikke relevant")),K30,0)</f>
        <v>0</v>
      </c>
      <c r="FH30" s="675">
        <f>IF(AND(AND(AND(Stamoplysninger!$B$26="Der er indgået lokalaftale omkring weekendtillæg(Kræver aftale med TR/FSL). Weekendtimerne udbetales.",I30="X",C30="ikke relevant",S30="X"))),(V30),0)</f>
        <v>0</v>
      </c>
      <c r="FI30" s="283">
        <f>IF(AND(Stamoplysninger!$B$26="Weekendtimer og weekendtillæg afspadseres.",I30="X"),K30,0)</f>
        <v>0</v>
      </c>
      <c r="FJ30" s="251">
        <f>IF(AND(Stamoplysninger!$B$26="Weekendtimer og weekendtillæg afspadseres.",Y30="X"),(AA30+AL30)/2,0)</f>
        <v>0</v>
      </c>
      <c r="FK30" s="674">
        <f>IF(AND(AND(Stamoplysninger!$B$26="Weekendtimer og weekendtillæg afspadseres.",I30="X",C30="ikke relevant")),K30,0)</f>
        <v>0</v>
      </c>
      <c r="FL30" s="675">
        <f>IF(AND(AND(Stamoplysninger!$B$26="Weekendtimer og weekendtillæg afspadseres.",Y30="X",S30="ikke relevant")),(AA30+AL30)/2,0)</f>
        <v>0</v>
      </c>
      <c r="FM30" s="283">
        <f>IF(AND(Stamoplysninger!$B$26="Der er indgået lokalaftale omkring weekendtillæg(Kræver aftale med TR/FSL). Weekendtimerne afspadseres.",I30="X"),K30,0)</f>
        <v>0</v>
      </c>
      <c r="FN30" s="674">
        <f>IF(AND(AND(Stamoplysninger!$B$26="Der er indgået lokalaftale omkring weekendtillæg(Kræver aftale med TR/FSL). Weekendtimerne afspadseres.",I30="X",C30="ikke relevant")),K30,0)</f>
        <v>0</v>
      </c>
      <c r="FO30" s="283">
        <f>IF(AND(Stamoplysninger!$B$26="Weekendtimer og weekendtillæg udbetales.",I30="X"),K30,0)</f>
        <v>0</v>
      </c>
      <c r="FP30" s="251">
        <f>IF(AND(Stamoplysninger!$B$26="Weekendtimer og weekendtillæg udbetales.",AA30="X"),(AC30+AN30)/2,0)</f>
        <v>0</v>
      </c>
      <c r="FQ30" s="674">
        <f>IF(AND(AND(Stamoplysninger!$B$26="Weekendtimer og weekendtillæg udbetales.",I30="X",C30="ikke relevant")),K30,0)</f>
        <v>0</v>
      </c>
      <c r="FR30" s="688">
        <f>IF(AND(AND(Stamoplysninger!$B$26="Weekendtimer og weekendtillæg udbetales.",AA30="X",U30="ikke relevant")),(AC30+AN30)/2,0)</f>
        <v>0</v>
      </c>
      <c r="FS30" s="283">
        <f t="shared" si="15"/>
        <v>0</v>
      </c>
      <c r="FT30" s="658">
        <f t="shared" si="16"/>
        <v>0</v>
      </c>
      <c r="FU30">
        <f t="shared" ref="FU30:FU38" si="32">IF(AND(C30="weekend",I30="X"),K30,0)</f>
        <v>0</v>
      </c>
      <c r="FV30" s="283">
        <f>IF(AND(Stamoplysninger!$B$26="Der er indgået lokalaftale omkring weekendtimer.(Kræver aftale med TR/FSL) Weekendtillæg afspadseres.",I30="X"),K30,0)</f>
        <v>0</v>
      </c>
      <c r="FW30" s="674">
        <f>IF(AND(AND(Stamoplysninger!$B$26="Der er indgået lokalaftale omkring weekendtimer.(Kræver aftale med TR/FSL) Weekendtillæg afspadseres.",I30="X",C30="ikke relevant")),K30,0)</f>
        <v>0</v>
      </c>
      <c r="FX30" s="283">
        <f>IF(AND(Stamoplysninger!$B$26="Der er indgået lokalaftale omkring weekendtimer(Kræver aftale med TR/FSL). Weekendtillæg udbetales.",I30="X"),K30,0)</f>
        <v>0</v>
      </c>
      <c r="FY30" s="674">
        <f>IF(AND(AND(Stamoplysninger!$B$26="Der er indgået lokalaftale omkring weekendtimer(Kræver aftale med TR/FSL). Weekendtillæg udbetales.",I30="X",C30="ikke relevant")),K30,0)</f>
        <v>0</v>
      </c>
      <c r="FZ30" s="283">
        <f>IF(AND(Stamoplysninger!$B$26="Der er indgået lokalaftale omkring weekendtillæg(Kræver aftale med TR/FSL). Weekendtimerne udbetales.",I30="X"),K30,0)</f>
        <v>0</v>
      </c>
      <c r="GA30" s="674">
        <f>IF(AND(AND(Stamoplysninger!$B$26="Der er indgået lokalaftale omkring weekendtillæg(Kræver aftale med TR/FSL). Weekendtimerne udbetales.",I30="X",C30="ikke relevant")),K30,0)</f>
        <v>0</v>
      </c>
      <c r="GB30" s="283">
        <f>IF(AND(Stamoplysninger!$B$26="Der er indgået lokalaftale omkring weekendtimer og weekendtillæg.(Kræver aftale med TR/FSL).",I30="X"),K30,0)</f>
        <v>0</v>
      </c>
      <c r="GC30" s="674">
        <f>IF(AND(AND(Stamoplysninger!$B$26="Der er indgået lokalaftale omkring weekendtimer og weekendtillæg.(Kræver aftale med TR/FSL).",I30="X",C30="ikke relevant")),K30,0)</f>
        <v>0</v>
      </c>
    </row>
    <row r="31" spans="1:185">
      <c r="A31" s="245">
        <f t="shared" si="18"/>
        <v>23</v>
      </c>
      <c r="B31" s="128" t="str">
        <f t="shared" si="0"/>
        <v>ma</v>
      </c>
      <c r="C31" s="129" t="s">
        <v>136</v>
      </c>
      <c r="D31" s="130">
        <f t="shared" si="1"/>
        <v>39</v>
      </c>
      <c r="E31" s="917" t="s">
        <v>5</v>
      </c>
      <c r="F31" s="918"/>
      <c r="G31" s="919"/>
      <c r="H31" s="298"/>
      <c r="I31" s="527"/>
      <c r="J31" s="413"/>
      <c r="K31" s="380">
        <v>6.5</v>
      </c>
      <c r="L31" s="380">
        <v>4.5</v>
      </c>
      <c r="M31" s="380">
        <v>1</v>
      </c>
      <c r="N31" s="318">
        <f t="shared" si="19"/>
        <v>6.5</v>
      </c>
      <c r="O31" s="318">
        <f t="shared" si="20"/>
        <v>4.5</v>
      </c>
      <c r="P31" s="318">
        <f>IF(Stamoplysninger!$H$29="JA",September!DG31,CX31)</f>
        <v>1</v>
      </c>
      <c r="Q31" s="318">
        <f t="shared" si="21"/>
        <v>1</v>
      </c>
      <c r="R31" s="319"/>
      <c r="S31" s="324"/>
      <c r="T31" s="325"/>
      <c r="U31" s="325"/>
      <c r="V31" s="435"/>
      <c r="W31" s="435"/>
      <c r="X31" s="644"/>
      <c r="Y31">
        <f t="shared" si="22"/>
        <v>0</v>
      </c>
      <c r="Z31" s="437">
        <f t="shared" si="23"/>
        <v>0</v>
      </c>
      <c r="AA31" s="1">
        <f t="shared" si="2"/>
        <v>0</v>
      </c>
      <c r="AB31" s="1">
        <f t="shared" si="3"/>
        <v>6.5</v>
      </c>
      <c r="AC31" s="1">
        <f t="shared" si="4"/>
        <v>0</v>
      </c>
      <c r="AD31" s="1">
        <f t="shared" si="5"/>
        <v>0</v>
      </c>
      <c r="AE31" s="1">
        <f t="shared" si="6"/>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4"/>
        <v>6.5</v>
      </c>
      <c r="BB31" s="229">
        <f t="shared" si="7"/>
        <v>0</v>
      </c>
      <c r="BC31" s="1">
        <f t="shared" si="25"/>
        <v>0</v>
      </c>
      <c r="BD31" s="1">
        <f t="shared" si="8"/>
        <v>0</v>
      </c>
      <c r="BE31" s="1">
        <f t="shared" si="9"/>
        <v>4.5</v>
      </c>
      <c r="BF31" s="1">
        <f t="shared" si="10"/>
        <v>0</v>
      </c>
      <c r="BG31" s="210" t="str">
        <f>IF(AND(C31="Skema 1",B31="ma"),Skemaoplysninger!$E$30,"")</f>
        <v/>
      </c>
      <c r="BH31" s="210" t="str">
        <f>IF(AND(C31="Skema 1",B31="ti"),Skemaoplysninger!$G$30,"")</f>
        <v/>
      </c>
      <c r="BI31" s="210" t="str">
        <f>IF(AND(C31="Skema 1",B31="on"),Skemaoplysninger!$I$30,"")</f>
        <v/>
      </c>
      <c r="BJ31" s="210" t="str">
        <f>IF(AND(C31="Skema 1",B31="to"),Skemaoplysninger!$K$30,"")</f>
        <v/>
      </c>
      <c r="BK31" s="210" t="str">
        <f>IF(AND(C31="Skema 1",B31="fr"),Skemaoplysninger!$M$30,"")</f>
        <v/>
      </c>
      <c r="BL31" s="210" t="str">
        <f>IF(AND(C31="Skema 2",B31="ma"),Skemaoplysninger!$S$30,"")</f>
        <v/>
      </c>
      <c r="BM31" s="210" t="str">
        <f>IF(AND(C31="Skema 2",B31="ti"),Skemaoplysninger!$U$30,"")</f>
        <v/>
      </c>
      <c r="BN31" s="210" t="str">
        <f>IF(AND(C31="Skema 2",B31="on"),Skemaoplysninger!$W$30,"")</f>
        <v/>
      </c>
      <c r="BO31" s="210" t="str">
        <f>IF(AND(C31="Skema 2",B31="to"),Skemaoplysninger!$Y$30,"")</f>
        <v/>
      </c>
      <c r="BP31" s="210" t="str">
        <f>IF(AND(C31="Skema 2",B31="fr"),Skemaoplysninger!$AA$30,"")</f>
        <v/>
      </c>
      <c r="BQ31" s="210" t="str">
        <f>IF(AND(C31="Skema 3",B31="ma"),Skemaoplysninger!$AG$30,"")</f>
        <v/>
      </c>
      <c r="BR31" s="210" t="str">
        <f>IF(AND(C31="Skema 3",B31="ti"),Skemaoplysninger!$AI$30,"")</f>
        <v/>
      </c>
      <c r="BS31" s="210" t="str">
        <f>IF(AND(C31="Skema 3",B31="on"),Skemaoplysninger!$AK$30,"")</f>
        <v/>
      </c>
      <c r="BT31" s="210" t="str">
        <f>IF(AND(C31="Skema 3",B31="to"),Skemaoplysninger!$AM$30,"")</f>
        <v/>
      </c>
      <c r="BU31" s="210" t="str">
        <f>IF(AND(C31="Skema 3",B31="fr"),Skemaoplysninger!$AO$30,"")</f>
        <v/>
      </c>
      <c r="BV31" s="210" t="str">
        <f>IF(AND(C31="Skema 4",B31="ma"),Skemaoplysninger!$AU$30,"")</f>
        <v/>
      </c>
      <c r="BW31" s="210" t="str">
        <f>IF(AND(C31="Skema 4",B31="ti"),Skemaoplysninger!$AW$30,"")</f>
        <v/>
      </c>
      <c r="BX31" s="210" t="str">
        <f>IF(AND(C31="Skema 4",B31="on"),Skemaoplysninger!$AY$30,"")</f>
        <v/>
      </c>
      <c r="BY31" s="210" t="str">
        <f>IF(AND(C31="Skema 4",B31="to"),Skemaoplysninger!$BA$30,"")</f>
        <v/>
      </c>
      <c r="BZ31" s="210" t="str">
        <f>IF(AND(C31="Skema 4",B31="fr"),Skemaoplysninger!$BC$30,"")</f>
        <v/>
      </c>
      <c r="CA31" s="1">
        <f t="shared" si="26"/>
        <v>4.5</v>
      </c>
      <c r="CB31" s="1">
        <f t="shared" si="11"/>
        <v>1</v>
      </c>
      <c r="CC31" s="1">
        <f t="shared" si="12"/>
        <v>0</v>
      </c>
      <c r="CD31" s="210" t="str">
        <f>IF(AND(C31="Skema 1",B31="ma"),Skemaoplysninger!$E$31,"")</f>
        <v/>
      </c>
      <c r="CE31" s="210" t="str">
        <f>IF(AND(C31="Skema 1",B31="ti"),Skemaoplysninger!$G$31,"")</f>
        <v/>
      </c>
      <c r="CF31" s="210" t="str">
        <f>IF(AND(C31="Skema 1",B31="on"),Skemaoplysninger!$I$31,"")</f>
        <v/>
      </c>
      <c r="CG31" s="210" t="str">
        <f>IF(AND(C31="Skema 1",B31="to"),Skemaoplysninger!$K$31,"")</f>
        <v/>
      </c>
      <c r="CH31" s="210" t="str">
        <f>IF(AND(C31="Skema 1",B31="fr"),Skemaoplysninger!$M$31,"")</f>
        <v/>
      </c>
      <c r="CI31" s="210" t="str">
        <f>IF(AND(C31="Skema 2",B31="ma"),Skemaoplysninger!$S$31,"")</f>
        <v/>
      </c>
      <c r="CJ31" s="210" t="str">
        <f>IF(AND(C31="Skema 2",B31="ti"),Skemaoplysninger!$U$31,"")</f>
        <v/>
      </c>
      <c r="CK31" s="210" t="str">
        <f>IF(AND(C31="Skema 2",B31="on"),Skemaoplysninger!$W$31,"")</f>
        <v/>
      </c>
      <c r="CL31" s="210" t="str">
        <f>IF(AND(C31="Skema 2",B31="to"),Skemaoplysninger!$Y$31,"")</f>
        <v/>
      </c>
      <c r="CM31" s="210" t="str">
        <f>IF(AND(C31="Skema 2",B31="fr"),Skemaoplysninger!$AA$31,"")</f>
        <v/>
      </c>
      <c r="CN31" s="210" t="str">
        <f>IF(AND(C31="Skema 3",B31="ma"),Skemaoplysninger!$AG$31,"")</f>
        <v/>
      </c>
      <c r="CO31" s="210" t="str">
        <f>IF(AND(C31="Skema 3",B31="ti"),Skemaoplysninger!$AI$31,"")</f>
        <v/>
      </c>
      <c r="CP31" s="210" t="str">
        <f>IF(AND(C31="Skema 3",B31="on"),Skemaoplysninger!$AK$31,"")</f>
        <v/>
      </c>
      <c r="CQ31" s="210" t="str">
        <f>IF(AND(C31="Skema 3",B31="to"),Skemaoplysninger!$AM$31,"")</f>
        <v/>
      </c>
      <c r="CR31" s="210" t="str">
        <f>IF(AND(C31="Skema 3",B31="fr"),Skemaoplysninger!$AO$31,"")</f>
        <v/>
      </c>
      <c r="CS31" s="210" t="str">
        <f>IF(AND(C31="Skema 4",B31="ma"),Skemaoplysninger!$AU$31,"")</f>
        <v/>
      </c>
      <c r="CT31" s="210" t="str">
        <f>IF(AND(C31="Skema 4",B31="ti"),Skemaoplysninger!$AW$31,"")</f>
        <v/>
      </c>
      <c r="CU31" s="210" t="str">
        <f>IF(AND(C31="Skema 4",B31="on"),Skemaoplysninger!$AY$31,"")</f>
        <v/>
      </c>
      <c r="CV31" s="210" t="str">
        <f>IF(AND(C31="Skema 4",B31="to"),Skemaoplysninger!$BA$31,"")</f>
        <v/>
      </c>
      <c r="CW31" s="210" t="str">
        <f>IF(AND(C31="Skema 4",B31="fr"),Skemaoplysninger!$BC$31,"")</f>
        <v/>
      </c>
      <c r="CX31" s="249">
        <f>IF(Stamoplysninger!$H$29="NEJ",SUM(CD31:CW31)*24+CB31+CC31,0)</f>
        <v>1</v>
      </c>
      <c r="CY31" s="249">
        <f>IF(C31="Skema 1",Stamoplysninger!$H$30/200,0)</f>
        <v>0</v>
      </c>
      <c r="CZ31" s="249">
        <f>IF(C31="Skema 2",Stamoplysninger!$H$30/200,0)</f>
        <v>0</v>
      </c>
      <c r="DA31" s="249">
        <f>IF(C31="Skema 3",Stamoplysninger!$H$30/200,0)</f>
        <v>0</v>
      </c>
      <c r="DB31" s="249">
        <f>IF(C31="Skema 4",Stamoplysninger!$H$30/200,0)</f>
        <v>0</v>
      </c>
      <c r="DC31" s="249">
        <f>IF(C31="fagdag",Stamoplysninger!$H$30/200,0)</f>
        <v>0</v>
      </c>
      <c r="DD31" s="249">
        <f>IF(C31="emnedag",Stamoplysninger!$H$30/200,0)</f>
        <v>0</v>
      </c>
      <c r="DE31" s="249">
        <f>IF(C31="lejrskole",Stamoplysninger!$H$30/200,0)</f>
        <v>0</v>
      </c>
      <c r="DF31" s="249">
        <f>IF(C31="ekskursion",Stamoplysninger!$H$30/200,0)</f>
        <v>0</v>
      </c>
      <c r="DG31" s="249">
        <f t="shared" si="27"/>
        <v>0</v>
      </c>
      <c r="DH31" t="str">
        <f t="shared" si="28"/>
        <v/>
      </c>
      <c r="DI31" t="str">
        <f t="shared" si="29"/>
        <v>Dansk</v>
      </c>
      <c r="DJ31" t="str">
        <f t="shared" si="30"/>
        <v/>
      </c>
      <c r="DK31" t="str">
        <f t="shared" si="13"/>
        <v/>
      </c>
      <c r="DL31" t="str">
        <f t="shared" si="13"/>
        <v>Dansk</v>
      </c>
      <c r="DM31" t="str">
        <f t="shared" si="13"/>
        <v/>
      </c>
      <c r="DN31" t="str">
        <f t="shared" si="31"/>
        <v>Dansk</v>
      </c>
      <c r="DO31" s="652">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71">
        <f>IF(AND(Stamoplysninger!$B$22="Ulempetillæg udbetales med 25% af nettotimelønnen.",C31="ikke relevant"),(R31)/4,0)</f>
        <v>0</v>
      </c>
      <c r="DT31" s="671">
        <f>IF(AND(AND(Stamoplysninger!$B$22="Ulempetillæg udbetales med 25% af nettotimelønnen.",I31="X",C31="Ikke relevant")),K31/4,0)</f>
        <v>0</v>
      </c>
      <c r="DU31" s="671">
        <f>IF(AND(AND(Stamoplysninger!$B$22="Ulempetillæg udbetales med 25% af nettotimelønnen.",C31="ikke relevant",U31="X")),(X31/4),0)</f>
        <v>0</v>
      </c>
      <c r="DV31" s="672">
        <f>IF(AND(AND(AND(Stamoplysninger!$B$22="Ulempetillæg udbetales med 25% af nettotimelønnen.",I31="X",C31="Ikke relevant",S31="X"))),V31/4,0)</f>
        <v>0</v>
      </c>
      <c r="DW31" s="652"/>
      <c r="DZ31" s="671"/>
      <c r="EA31" s="671"/>
      <c r="EB31" s="672"/>
      <c r="EC31" s="652">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71">
        <f>IF(AND(Stamoplysninger!$B$22="Ulempetillæg afspadseres med 25%(Kræver en aftale imellem ledelsen og den ansatte)",C31="ikke relevant"),(R31)/4,0)</f>
        <v>0</v>
      </c>
      <c r="EH31" s="671">
        <f>IF(AND(AND(Stamoplysninger!$B$22="Ulempetillæg afspadseres med 25%(Kræver en aftale imellem ledelsen og den ansatte)",I31="X",C31="Ikke relevant")),K31/4,0)</f>
        <v>0</v>
      </c>
      <c r="EI31" s="671">
        <f>IF(AND(AND(Stamoplysninger!$B$22="Ulempetillæg afspadseres med 25%(Kræver en aftale imellem ledelsen og den ansatte)",U31="X",C31="Ikke relevant")),X31/4,0)</f>
        <v>0</v>
      </c>
      <c r="EJ31" s="671">
        <f>IF(AND(AND(AND(Stamoplysninger!$B$22="Ulempetillæg afspadseres med 25%(Kræver en aftale imellem ledelsen og den ansatte)",I31="X",C31="Ikke relevant",S31="X"))),V31/4,0)</f>
        <v>0</v>
      </c>
      <c r="EK31" s="283">
        <f>IF(AND(Stamoplysninger!$B$26="Weekendtimer og weekendtillæg afspadseres.",I31="X"),K31*1.5,0)</f>
        <v>0</v>
      </c>
      <c r="EL31" s="251">
        <f>IF(AND(AND(Stamoplysninger!$B$26="Weekendtimer og weekendtillæg afspadseres.",I31="X",S31="X")),V31*1.5,0)</f>
        <v>0</v>
      </c>
      <c r="EM31" s="674">
        <f>IF(AND(AND(Stamoplysninger!$B$26="Weekendtimer og weekendtillæg afspadseres.",I31="X",C31="ikke relevant")),K31*1.5,0)</f>
        <v>0</v>
      </c>
      <c r="EN31" s="675">
        <f>IF(AND(AND(AND(Stamoplysninger!$B$26="Weekendtimer og weekendtillæg afspadseres.",I31="X",C31="ikke relevant",S31="X"))),(V31*1.5),0)</f>
        <v>0</v>
      </c>
      <c r="EO31" s="283">
        <f>IF(AND(Stamoplysninger!$B$26="Weekendtimer og weekendtillæg udbetales.",I31="X"),K31*1.5,0)</f>
        <v>0</v>
      </c>
      <c r="EP31" s="251">
        <f>IF(AND(AND(Stamoplysninger!$B$26="Weekendtimer og weekendtillæg udbetales.",I31="X",S31="X")),V31*1.5,0)</f>
        <v>0</v>
      </c>
      <c r="EQ31" s="674">
        <f>IF(AND(AND(Stamoplysninger!$B$26="Weekendtimer og weekendtillæg udbetales.",I31="X",C31="ikke relevant")),K31*1.5,0)</f>
        <v>0</v>
      </c>
      <c r="ER31" s="675">
        <f>IF(AND(AND(AND(Stamoplysninger!$B$26="Weekendtimer og weekendtillæg udbetales.",I31="X",C31="ikke relevant",S31="X"))),(V31*1.5),0)</f>
        <v>0</v>
      </c>
      <c r="ES31" s="283">
        <f>IF(AND(Stamoplysninger!$B$26="Der er indgået lokalaftale omkring weekendtimer.(Kræver aftale med TR/FSL) Weekendtillæg afspadseres.",I31="X"),K31*0.5,0)</f>
        <v>0</v>
      </c>
      <c r="ET31" s="251">
        <f>IF(AND(AND(Stamoplysninger!$B$26="Der er indgået lokalaftale omkring weekendtimer.(Kræver aftale med TR/FSL) Weekendtillæg afspadseres.",I31="X",S31="X")),V31*0.5,0)</f>
        <v>0</v>
      </c>
      <c r="EU31" s="674">
        <f>IF(AND(AND(Stamoplysninger!$B$26="Der er indgået lokalaftale omkring weekendtimer.(Kræver aftale med TR/FSL) Weekendtillæg afspadseres.",I31="X",C31="ikke relevant")),K31*0.5,0)</f>
        <v>0</v>
      </c>
      <c r="EV31" s="675">
        <f>IF(AND(AND(AND(Stamoplysninger!$B$26="Der er indgået lokalaftale omkring weekendtimer.(Kræver aftale med TR/FSL) Weekendtillæg afspadseres.",I31="X",C31="ikke relevant",S31="X"))),(V31*0.5),0)</f>
        <v>0</v>
      </c>
      <c r="EW31" s="283">
        <f>IF(AND(Stamoplysninger!$B$26="Der er indgået lokalaftale omkring weekendtimer(Kræver aftale med TR/FSL). Weekendtillæg udbetales.",I31="X"),K31*0.5,0)</f>
        <v>0</v>
      </c>
      <c r="EX31" s="251">
        <f>IF(AND(AND(Stamoplysninger!$B$26="Der er indgået lokalaftale omkring weekendtimer(Kræver aftale med TR/FSL). Weekendtillæg udbetales.",I31="X",S31="X")),V31*0.5,0)</f>
        <v>0</v>
      </c>
      <c r="EY31" s="674">
        <f>IF(AND(AND(Stamoplysninger!$B$26="Der er indgået lokalaftale omkring weekendtimer(Kræver aftale med TR/FSL). Weekendtillæg udbetales.",I31="X",C31="ikke relevant")),K31*0.5,0)</f>
        <v>0</v>
      </c>
      <c r="EZ31" s="675">
        <f>IF(AND(AND(AND(Stamoplysninger!$B$26="Der er indgået lokalaftale omkring weekendtimer(Kræver aftale med TR/FSL). Weekendtillæg udbetales.",I31="X",C31="ikke relevant",S31="X"))),(V31*0.5),0)</f>
        <v>0</v>
      </c>
      <c r="FA31" s="283">
        <f>IF(AND(Stamoplysninger!$B$26="Der er indgået lokalaftale omkring weekendtillæg(Kræver aftale med TR/FSL). Weekendtimerne afspadseres.",I31="X"),K31,0)</f>
        <v>0</v>
      </c>
      <c r="FB31" s="251">
        <f>IF(AND(AND(Stamoplysninger!$B$26="Der er indgået lokalaftale omkring weekendtillæg(Kræver aftale med TR/FSL). Weekendtimerne afspadseres.",I31="X",S31="X")),V31,0)</f>
        <v>0</v>
      </c>
      <c r="FC31" s="674">
        <f>IF(AND(AND(Stamoplysninger!$B$26="Der er indgået lokalaftale omkring weekendtillæg(Kræver aftale med TR/FSL). Weekendtimerne afspadseres..",I31="X",C31="ikke relevant")),K31,0)</f>
        <v>0</v>
      </c>
      <c r="FD31" s="675">
        <f>IF(AND(AND(AND(Stamoplysninger!$B$26="Der er indgået lokalaftale omkring weekendtillæg(Kræver aftale med TR/FSL). Weekendtimerne afspadseres.",I31="X",C31="ikke relevant",S31="X"))),(V31),0)</f>
        <v>0</v>
      </c>
      <c r="FE31" s="283">
        <f>IF(AND(Stamoplysninger!$B$26="Der er indgået lokalaftale omkring weekendtillæg(Kræver aftale med TR/FSL). Weekendtimerne udbetales.",I31="X"),K31,0)</f>
        <v>0</v>
      </c>
      <c r="FF31" s="251">
        <f>IF(AND(AND(Stamoplysninger!$B$26="Der er indgået lokalaftale omkring weekendtillæg(Kræver aftale med TR/FSL). Weekendtimerne udbetales.",I31="X",S31="X")),V31,0)</f>
        <v>0</v>
      </c>
      <c r="FG31" s="674">
        <f>IF(AND(AND(Stamoplysninger!$B$26="Der er indgået lokalaftale omkring weekendtillæg(Kræver aftale med TR/FSL). Weekendtimerne udbetales.",I31="X",C31="ikke relevant")),K31,0)</f>
        <v>0</v>
      </c>
      <c r="FH31" s="675">
        <f>IF(AND(AND(AND(Stamoplysninger!$B$26="Der er indgået lokalaftale omkring weekendtillæg(Kræver aftale med TR/FSL). Weekendtimerne udbetales.",I31="X",C31="ikke relevant",S31="X"))),(V31),0)</f>
        <v>0</v>
      </c>
      <c r="FI31" s="283">
        <f>IF(AND(Stamoplysninger!$B$26="Weekendtimer og weekendtillæg afspadseres.",I31="X"),K31,0)</f>
        <v>0</v>
      </c>
      <c r="FJ31" s="251">
        <f>IF(AND(Stamoplysninger!$B$26="Weekendtimer og weekendtillæg afspadseres.",Y31="X"),(AA31+AL31)/2,0)</f>
        <v>0</v>
      </c>
      <c r="FK31" s="674">
        <f>IF(AND(AND(Stamoplysninger!$B$26="Weekendtimer og weekendtillæg afspadseres.",I31="X",C31="ikke relevant")),K31,0)</f>
        <v>0</v>
      </c>
      <c r="FL31" s="675">
        <f>IF(AND(AND(Stamoplysninger!$B$26="Weekendtimer og weekendtillæg afspadseres.",Y31="X",S31="ikke relevant")),(AA31+AL31)/2,0)</f>
        <v>0</v>
      </c>
      <c r="FM31" s="283">
        <f>IF(AND(Stamoplysninger!$B$26="Der er indgået lokalaftale omkring weekendtillæg(Kræver aftale med TR/FSL). Weekendtimerne afspadseres.",I31="X"),K31,0)</f>
        <v>0</v>
      </c>
      <c r="FN31" s="674">
        <f>IF(AND(AND(Stamoplysninger!$B$26="Der er indgået lokalaftale omkring weekendtillæg(Kræver aftale med TR/FSL). Weekendtimerne afspadseres.",I31="X",C31="ikke relevant")),K31,0)</f>
        <v>0</v>
      </c>
      <c r="FO31" s="283">
        <f>IF(AND(Stamoplysninger!$B$26="Weekendtimer og weekendtillæg udbetales.",I31="X"),K31,0)</f>
        <v>0</v>
      </c>
      <c r="FP31" s="251">
        <f>IF(AND(Stamoplysninger!$B$26="Weekendtimer og weekendtillæg udbetales.",AA31="X"),(AC31+AN31)/2,0)</f>
        <v>0</v>
      </c>
      <c r="FQ31" s="674">
        <f>IF(AND(AND(Stamoplysninger!$B$26="Weekendtimer og weekendtillæg udbetales.",I31="X",C31="ikke relevant")),K31,0)</f>
        <v>0</v>
      </c>
      <c r="FR31" s="688">
        <f>IF(AND(AND(Stamoplysninger!$B$26="Weekendtimer og weekendtillæg udbetales.",AA31="X",U31="ikke relevant")),(AC31+AN31)/2,0)</f>
        <v>0</v>
      </c>
      <c r="FS31" s="283">
        <f t="shared" si="15"/>
        <v>0</v>
      </c>
      <c r="FT31" s="658">
        <f t="shared" si="16"/>
        <v>0</v>
      </c>
      <c r="FU31">
        <f t="shared" si="32"/>
        <v>0</v>
      </c>
      <c r="FV31" s="283">
        <f>IF(AND(Stamoplysninger!$B$26="Der er indgået lokalaftale omkring weekendtimer.(Kræver aftale med TR/FSL) Weekendtillæg afspadseres.",I31="X"),K31,0)</f>
        <v>0</v>
      </c>
      <c r="FW31" s="674">
        <f>IF(AND(AND(Stamoplysninger!$B$26="Der er indgået lokalaftale omkring weekendtimer.(Kræver aftale med TR/FSL) Weekendtillæg afspadseres.",I31="X",C31="ikke relevant")),K31,0)</f>
        <v>0</v>
      </c>
      <c r="FX31" s="283">
        <f>IF(AND(Stamoplysninger!$B$26="Der er indgået lokalaftale omkring weekendtimer(Kræver aftale med TR/FSL). Weekendtillæg udbetales.",I31="X"),K31,0)</f>
        <v>0</v>
      </c>
      <c r="FY31" s="674">
        <f>IF(AND(AND(Stamoplysninger!$B$26="Der er indgået lokalaftale omkring weekendtimer(Kræver aftale med TR/FSL). Weekendtillæg udbetales.",I31="X",C31="ikke relevant")),K31,0)</f>
        <v>0</v>
      </c>
      <c r="FZ31" s="283">
        <f>IF(AND(Stamoplysninger!$B$26="Der er indgået lokalaftale omkring weekendtillæg(Kræver aftale med TR/FSL). Weekendtimerne udbetales.",I31="X"),K31,0)</f>
        <v>0</v>
      </c>
      <c r="GA31" s="674">
        <f>IF(AND(AND(Stamoplysninger!$B$26="Der er indgået lokalaftale omkring weekendtillæg(Kræver aftale med TR/FSL). Weekendtimerne udbetales.",I31="X",C31="ikke relevant")),K31,0)</f>
        <v>0</v>
      </c>
      <c r="GB31" s="283">
        <f>IF(AND(Stamoplysninger!$B$26="Der er indgået lokalaftale omkring weekendtimer og weekendtillæg.(Kræver aftale med TR/FSL).",I31="X"),K31,0)</f>
        <v>0</v>
      </c>
      <c r="GC31" s="674">
        <f>IF(AND(AND(Stamoplysninger!$B$26="Der er indgået lokalaftale omkring weekendtimer og weekendtillæg.(Kræver aftale med TR/FSL).",I31="X",C31="ikke relevant")),K31,0)</f>
        <v>0</v>
      </c>
    </row>
    <row r="32" spans="1:185">
      <c r="A32" s="245">
        <f t="shared" si="18"/>
        <v>24</v>
      </c>
      <c r="B32" s="128" t="str">
        <f t="shared" si="0"/>
        <v>ti</v>
      </c>
      <c r="C32" s="129" t="s">
        <v>206</v>
      </c>
      <c r="D32" s="130" t="str">
        <f t="shared" si="1"/>
        <v/>
      </c>
      <c r="E32" s="949"/>
      <c r="F32" s="950"/>
      <c r="G32" s="951"/>
      <c r="H32" s="298"/>
      <c r="I32" s="527"/>
      <c r="J32" s="413"/>
      <c r="K32" s="380"/>
      <c r="L32" s="380"/>
      <c r="M32" s="380"/>
      <c r="N32" s="318">
        <f t="shared" si="19"/>
        <v>7.75</v>
      </c>
      <c r="O32" s="318">
        <f t="shared" si="20"/>
        <v>4.5</v>
      </c>
      <c r="P32" s="318">
        <f>IF(Stamoplysninger!$H$29="JA",September!DG32,CX32)</f>
        <v>1</v>
      </c>
      <c r="Q32" s="318">
        <f t="shared" si="21"/>
        <v>2.25</v>
      </c>
      <c r="R32" s="319"/>
      <c r="S32" s="324"/>
      <c r="T32" s="325"/>
      <c r="U32" s="325"/>
      <c r="V32" s="435"/>
      <c r="W32" s="435"/>
      <c r="X32" s="644"/>
      <c r="Y32">
        <f t="shared" si="22"/>
        <v>0</v>
      </c>
      <c r="Z32" s="437">
        <f t="shared" si="23"/>
        <v>0</v>
      </c>
      <c r="AA32" s="1">
        <f t="shared" si="2"/>
        <v>0</v>
      </c>
      <c r="AB32" s="1">
        <f t="shared" si="3"/>
        <v>0</v>
      </c>
      <c r="AC32" s="1">
        <f t="shared" si="4"/>
        <v>0</v>
      </c>
      <c r="AD32" s="1">
        <f t="shared" si="5"/>
        <v>0</v>
      </c>
      <c r="AE32" s="1">
        <f t="shared" si="6"/>
        <v>0</v>
      </c>
      <c r="AF32" s="1">
        <f>IF(C32="Orlov",7.4*Stamoplysninger!$E$15,0)</f>
        <v>0</v>
      </c>
      <c r="AG32" t="str">
        <f>IF(AND(C32="Skema 1",B32="ma"),Arbejdstidsoversigt!$E$72,"")</f>
        <v/>
      </c>
      <c r="AH32">
        <f>IF(AND(C32="Skema 1",B32="ti"),Arbejdstidsoversigt!$E$73,"")</f>
        <v>7.75</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4"/>
        <v>7.75</v>
      </c>
      <c r="BB32" s="229">
        <f t="shared" si="7"/>
        <v>186</v>
      </c>
      <c r="BC32" s="1">
        <f t="shared" si="25"/>
        <v>0</v>
      </c>
      <c r="BD32" s="1">
        <f t="shared" si="8"/>
        <v>0</v>
      </c>
      <c r="BE32" s="1">
        <f t="shared" si="9"/>
        <v>0</v>
      </c>
      <c r="BF32" s="1">
        <f t="shared" si="10"/>
        <v>0</v>
      </c>
      <c r="BG32" s="210" t="str">
        <f>IF(AND(C32="Skema 1",B32="ma"),Skemaoplysninger!$E$30,"")</f>
        <v/>
      </c>
      <c r="BH32" s="210">
        <f>IF(AND(C32="Skema 1",B32="ti"),Skemaoplysninger!$G$30,"")</f>
        <v>0.1875</v>
      </c>
      <c r="BI32" s="210" t="str">
        <f>IF(AND(C32="Skema 1",B32="on"),Skemaoplysninger!$I$30,"")</f>
        <v/>
      </c>
      <c r="BJ32" s="210" t="str">
        <f>IF(AND(C32="Skema 1",B32="to"),Skemaoplysninger!$K$30,"")</f>
        <v/>
      </c>
      <c r="BK32" s="210" t="str">
        <f>IF(AND(C32="Skema 1",B32="fr"),Skemaoplysninger!$M$30,"")</f>
        <v/>
      </c>
      <c r="BL32" s="210" t="str">
        <f>IF(AND(C32="Skema 2",B32="ma"),Skemaoplysninger!$S$30,"")</f>
        <v/>
      </c>
      <c r="BM32" s="210" t="str">
        <f>IF(AND(C32="Skema 2",B32="ti"),Skemaoplysninger!$U$30,"")</f>
        <v/>
      </c>
      <c r="BN32" s="210" t="str">
        <f>IF(AND(C32="Skema 2",B32="on"),Skemaoplysninger!$W$30,"")</f>
        <v/>
      </c>
      <c r="BO32" s="210" t="str">
        <f>IF(AND(C32="Skema 2",B32="to"),Skemaoplysninger!$Y$30,"")</f>
        <v/>
      </c>
      <c r="BP32" s="210" t="str">
        <f>IF(AND(C32="Skema 2",B32="fr"),Skemaoplysninger!$AA$30,"")</f>
        <v/>
      </c>
      <c r="BQ32" s="210" t="str">
        <f>IF(AND(C32="Skema 3",B32="ma"),Skemaoplysninger!$AG$30,"")</f>
        <v/>
      </c>
      <c r="BR32" s="210" t="str">
        <f>IF(AND(C32="Skema 3",B32="ti"),Skemaoplysninger!$AI$30,"")</f>
        <v/>
      </c>
      <c r="BS32" s="210" t="str">
        <f>IF(AND(C32="Skema 3",B32="on"),Skemaoplysninger!$AK$30,"")</f>
        <v/>
      </c>
      <c r="BT32" s="210" t="str">
        <f>IF(AND(C32="Skema 3",B32="to"),Skemaoplysninger!$AM$30,"")</f>
        <v/>
      </c>
      <c r="BU32" s="210" t="str">
        <f>IF(AND(C32="Skema 3",B32="fr"),Skemaoplysninger!$AO$30,"")</f>
        <v/>
      </c>
      <c r="BV32" s="210" t="str">
        <f>IF(AND(C32="Skema 4",B32="ma"),Skemaoplysninger!$AU$30,"")</f>
        <v/>
      </c>
      <c r="BW32" s="210" t="str">
        <f>IF(AND(C32="Skema 4",B32="ti"),Skemaoplysninger!$AW$30,"")</f>
        <v/>
      </c>
      <c r="BX32" s="210" t="str">
        <f>IF(AND(C32="Skema 4",B32="on"),Skemaoplysninger!$AY$30,"")</f>
        <v/>
      </c>
      <c r="BY32" s="210" t="str">
        <f>IF(AND(C32="Skema 4",B32="to"),Skemaoplysninger!$BA$30,"")</f>
        <v/>
      </c>
      <c r="BZ32" s="210" t="str">
        <f>IF(AND(C32="Skema 4",B32="fr"),Skemaoplysninger!$BC$30,"")</f>
        <v/>
      </c>
      <c r="CA32" s="1">
        <f t="shared" si="26"/>
        <v>4.5</v>
      </c>
      <c r="CB32" s="1">
        <f t="shared" si="11"/>
        <v>0</v>
      </c>
      <c r="CC32" s="1">
        <f t="shared" si="12"/>
        <v>0</v>
      </c>
      <c r="CD32" s="210" t="str">
        <f>IF(AND(C32="Skema 1",B32="ma"),Skemaoplysninger!$E$31,"")</f>
        <v/>
      </c>
      <c r="CE32" s="210">
        <f>IF(AND(C32="Skema 1",B32="ti"),Skemaoplysninger!$G$31,"")</f>
        <v>4.1666666666666671E-2</v>
      </c>
      <c r="CF32" s="210" t="str">
        <f>IF(AND(C32="Skema 1",B32="on"),Skemaoplysninger!$I$31,"")</f>
        <v/>
      </c>
      <c r="CG32" s="210" t="str">
        <f>IF(AND(C32="Skema 1",B32="to"),Skemaoplysninger!$K$31,"")</f>
        <v/>
      </c>
      <c r="CH32" s="210" t="str">
        <f>IF(AND(C32="Skema 1",B32="fr"),Skemaoplysninger!$M$31,"")</f>
        <v/>
      </c>
      <c r="CI32" s="210" t="str">
        <f>IF(AND(C32="Skema 2",B32="ma"),Skemaoplysninger!$S$31,"")</f>
        <v/>
      </c>
      <c r="CJ32" s="210" t="str">
        <f>IF(AND(C32="Skema 2",B32="ti"),Skemaoplysninger!$U$31,"")</f>
        <v/>
      </c>
      <c r="CK32" s="210" t="str">
        <f>IF(AND(C32="Skema 2",B32="on"),Skemaoplysninger!$W$31,"")</f>
        <v/>
      </c>
      <c r="CL32" s="210" t="str">
        <f>IF(AND(C32="Skema 2",B32="to"),Skemaoplysninger!$Y$31,"")</f>
        <v/>
      </c>
      <c r="CM32" s="210" t="str">
        <f>IF(AND(C32="Skema 2",B32="fr"),Skemaoplysninger!$AA$31,"")</f>
        <v/>
      </c>
      <c r="CN32" s="210" t="str">
        <f>IF(AND(C32="Skema 3",B32="ma"),Skemaoplysninger!$AG$31,"")</f>
        <v/>
      </c>
      <c r="CO32" s="210" t="str">
        <f>IF(AND(C32="Skema 3",B32="ti"),Skemaoplysninger!$AI$31,"")</f>
        <v/>
      </c>
      <c r="CP32" s="210" t="str">
        <f>IF(AND(C32="Skema 3",B32="on"),Skemaoplysninger!$AK$31,"")</f>
        <v/>
      </c>
      <c r="CQ32" s="210" t="str">
        <f>IF(AND(C32="Skema 3",B32="to"),Skemaoplysninger!$AM$31,"")</f>
        <v/>
      </c>
      <c r="CR32" s="210" t="str">
        <f>IF(AND(C32="Skema 3",B32="fr"),Skemaoplysninger!$AO$31,"")</f>
        <v/>
      </c>
      <c r="CS32" s="210" t="str">
        <f>IF(AND(C32="Skema 4",B32="ma"),Skemaoplysninger!$AU$31,"")</f>
        <v/>
      </c>
      <c r="CT32" s="210" t="str">
        <f>IF(AND(C32="Skema 4",B32="ti"),Skemaoplysninger!$AW$31,"")</f>
        <v/>
      </c>
      <c r="CU32" s="210" t="str">
        <f>IF(AND(C32="Skema 4",B32="on"),Skemaoplysninger!$AY$31,"")</f>
        <v/>
      </c>
      <c r="CV32" s="210" t="str">
        <f>IF(AND(C32="Skema 4",B32="to"),Skemaoplysninger!$BA$31,"")</f>
        <v/>
      </c>
      <c r="CW32" s="210" t="str">
        <f>IF(AND(C32="Skema 4",B32="fr"),Skemaoplysninger!$BC$31,"")</f>
        <v/>
      </c>
      <c r="CX32" s="249">
        <f>IF(Stamoplysninger!$H$29="NEJ",SUM(CD32:CW32)*24+CB32+CC32,0)</f>
        <v>1</v>
      </c>
      <c r="CY32" s="249">
        <f>IF(C32="Skema 1",Stamoplysninger!$H$30/200,0)</f>
        <v>0</v>
      </c>
      <c r="CZ32" s="249">
        <f>IF(C32="Skema 2",Stamoplysninger!$H$30/200,0)</f>
        <v>0</v>
      </c>
      <c r="DA32" s="249">
        <f>IF(C32="Skema 3",Stamoplysninger!$H$30/200,0)</f>
        <v>0</v>
      </c>
      <c r="DB32" s="249">
        <f>IF(C32="Skema 4",Stamoplysninger!$H$30/200,0)</f>
        <v>0</v>
      </c>
      <c r="DC32" s="249">
        <f>IF(C32="fagdag",Stamoplysninger!$H$30/200,0)</f>
        <v>0</v>
      </c>
      <c r="DD32" s="249">
        <f>IF(C32="emnedag",Stamoplysninger!$H$30/200,0)</f>
        <v>0</v>
      </c>
      <c r="DE32" s="249">
        <f>IF(C32="lejrskole",Stamoplysninger!$H$30/200,0)</f>
        <v>0</v>
      </c>
      <c r="DF32" s="249">
        <f>IF(C32="ekskursion",Stamoplysninger!$H$30/200,0)</f>
        <v>0</v>
      </c>
      <c r="DG32" s="249">
        <f t="shared" si="27"/>
        <v>0</v>
      </c>
      <c r="DH32" t="str">
        <f t="shared" si="28"/>
        <v/>
      </c>
      <c r="DI32">
        <f t="shared" si="29"/>
        <v>0</v>
      </c>
      <c r="DJ32">
        <f t="shared" si="30"/>
        <v>0</v>
      </c>
      <c r="DK32" t="str">
        <f t="shared" si="13"/>
        <v/>
      </c>
      <c r="DL32" t="str">
        <f t="shared" si="13"/>
        <v/>
      </c>
      <c r="DM32" t="str">
        <f t="shared" si="13"/>
        <v/>
      </c>
      <c r="DN32" t="str">
        <f t="shared" si="31"/>
        <v/>
      </c>
      <c r="DO32" s="652">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71">
        <f>IF(AND(Stamoplysninger!$B$22="Ulempetillæg udbetales med 25% af nettotimelønnen.",C32="ikke relevant"),(R32)/4,0)</f>
        <v>0</v>
      </c>
      <c r="DT32" s="671">
        <f>IF(AND(AND(Stamoplysninger!$B$22="Ulempetillæg udbetales med 25% af nettotimelønnen.",I32="X",C32="Ikke relevant")),K32/4,0)</f>
        <v>0</v>
      </c>
      <c r="DU32" s="671">
        <f>IF(AND(AND(Stamoplysninger!$B$22="Ulempetillæg udbetales med 25% af nettotimelønnen.",C32="ikke relevant",U32="X")),(X32/4),0)</f>
        <v>0</v>
      </c>
      <c r="DV32" s="672">
        <f>IF(AND(AND(AND(Stamoplysninger!$B$22="Ulempetillæg udbetales med 25% af nettotimelønnen.",I32="X",C32="Ikke relevant",S32="X"))),V32/4,0)</f>
        <v>0</v>
      </c>
      <c r="DW32" s="652"/>
      <c r="DZ32" s="671"/>
      <c r="EA32" s="671"/>
      <c r="EB32" s="672"/>
      <c r="EC32" s="652">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71">
        <f>IF(AND(Stamoplysninger!$B$22="Ulempetillæg afspadseres med 25%(Kræver en aftale imellem ledelsen og den ansatte)",C32="ikke relevant"),(R32)/4,0)</f>
        <v>0</v>
      </c>
      <c r="EH32" s="671">
        <f>IF(AND(AND(Stamoplysninger!$B$22="Ulempetillæg afspadseres med 25%(Kræver en aftale imellem ledelsen og den ansatte)",I32="X",C32="Ikke relevant")),K32/4,0)</f>
        <v>0</v>
      </c>
      <c r="EI32" s="671">
        <f>IF(AND(AND(Stamoplysninger!$B$22="Ulempetillæg afspadseres med 25%(Kræver en aftale imellem ledelsen og den ansatte)",U32="X",C32="Ikke relevant")),X32/4,0)</f>
        <v>0</v>
      </c>
      <c r="EJ32" s="671">
        <f>IF(AND(AND(AND(Stamoplysninger!$B$22="Ulempetillæg afspadseres med 25%(Kræver en aftale imellem ledelsen og den ansatte)",I32="X",C32="Ikke relevant",S32="X"))),V32/4,0)</f>
        <v>0</v>
      </c>
      <c r="EK32" s="283">
        <f>IF(AND(Stamoplysninger!$B$26="Weekendtimer og weekendtillæg afspadseres.",I32="X"),K32*1.5,0)</f>
        <v>0</v>
      </c>
      <c r="EL32" s="251">
        <f>IF(AND(AND(Stamoplysninger!$B$26="Weekendtimer og weekendtillæg afspadseres.",I32="X",S32="X")),V32*1.5,0)</f>
        <v>0</v>
      </c>
      <c r="EM32" s="674">
        <f>IF(AND(AND(Stamoplysninger!$B$26="Weekendtimer og weekendtillæg afspadseres.",I32="X",C32="ikke relevant")),K32*1.5,0)</f>
        <v>0</v>
      </c>
      <c r="EN32" s="675">
        <f>IF(AND(AND(AND(Stamoplysninger!$B$26="Weekendtimer og weekendtillæg afspadseres.",I32="X",C32="ikke relevant",S32="X"))),(V32*1.5),0)</f>
        <v>0</v>
      </c>
      <c r="EO32" s="283">
        <f>IF(AND(Stamoplysninger!$B$26="Weekendtimer og weekendtillæg udbetales.",I32="X"),K32*1.5,0)</f>
        <v>0</v>
      </c>
      <c r="EP32" s="251">
        <f>IF(AND(AND(Stamoplysninger!$B$26="Weekendtimer og weekendtillæg udbetales.",I32="X",S32="X")),V32*1.5,0)</f>
        <v>0</v>
      </c>
      <c r="EQ32" s="674">
        <f>IF(AND(AND(Stamoplysninger!$B$26="Weekendtimer og weekendtillæg udbetales.",I32="X",C32="ikke relevant")),K32*1.5,0)</f>
        <v>0</v>
      </c>
      <c r="ER32" s="675">
        <f>IF(AND(AND(AND(Stamoplysninger!$B$26="Weekendtimer og weekendtillæg udbetales.",I32="X",C32="ikke relevant",S32="X"))),(V32*1.5),0)</f>
        <v>0</v>
      </c>
      <c r="ES32" s="283">
        <f>IF(AND(Stamoplysninger!$B$26="Der er indgået lokalaftale omkring weekendtimer.(Kræver aftale med TR/FSL) Weekendtillæg afspadseres.",I32="X"),K32*0.5,0)</f>
        <v>0</v>
      </c>
      <c r="ET32" s="251">
        <f>IF(AND(AND(Stamoplysninger!$B$26="Der er indgået lokalaftale omkring weekendtimer.(Kræver aftale med TR/FSL) Weekendtillæg afspadseres.",I32="X",S32="X")),V32*0.5,0)</f>
        <v>0</v>
      </c>
      <c r="EU32" s="674">
        <f>IF(AND(AND(Stamoplysninger!$B$26="Der er indgået lokalaftale omkring weekendtimer.(Kræver aftale med TR/FSL) Weekendtillæg afspadseres.",I32="X",C32="ikke relevant")),K32*0.5,0)</f>
        <v>0</v>
      </c>
      <c r="EV32" s="675">
        <f>IF(AND(AND(AND(Stamoplysninger!$B$26="Der er indgået lokalaftale omkring weekendtimer.(Kræver aftale med TR/FSL) Weekendtillæg afspadseres.",I32="X",C32="ikke relevant",S32="X"))),(V32*0.5),0)</f>
        <v>0</v>
      </c>
      <c r="EW32" s="283">
        <f>IF(AND(Stamoplysninger!$B$26="Der er indgået lokalaftale omkring weekendtimer(Kræver aftale med TR/FSL). Weekendtillæg udbetales.",I32="X"),K32*0.5,0)</f>
        <v>0</v>
      </c>
      <c r="EX32" s="251">
        <f>IF(AND(AND(Stamoplysninger!$B$26="Der er indgået lokalaftale omkring weekendtimer(Kræver aftale med TR/FSL). Weekendtillæg udbetales.",I32="X",S32="X")),V32*0.5,0)</f>
        <v>0</v>
      </c>
      <c r="EY32" s="674">
        <f>IF(AND(AND(Stamoplysninger!$B$26="Der er indgået lokalaftale omkring weekendtimer(Kræver aftale med TR/FSL). Weekendtillæg udbetales.",I32="X",C32="ikke relevant")),K32*0.5,0)</f>
        <v>0</v>
      </c>
      <c r="EZ32" s="675">
        <f>IF(AND(AND(AND(Stamoplysninger!$B$26="Der er indgået lokalaftale omkring weekendtimer(Kræver aftale med TR/FSL). Weekendtillæg udbetales.",I32="X",C32="ikke relevant",S32="X"))),(V32*0.5),0)</f>
        <v>0</v>
      </c>
      <c r="FA32" s="283">
        <f>IF(AND(Stamoplysninger!$B$26="Der er indgået lokalaftale omkring weekendtillæg(Kræver aftale med TR/FSL). Weekendtimerne afspadseres.",I32="X"),K32,0)</f>
        <v>0</v>
      </c>
      <c r="FB32" s="251">
        <f>IF(AND(AND(Stamoplysninger!$B$26="Der er indgået lokalaftale omkring weekendtillæg(Kræver aftale med TR/FSL). Weekendtimerne afspadseres.",I32="X",S32="X")),V32,0)</f>
        <v>0</v>
      </c>
      <c r="FC32" s="674">
        <f>IF(AND(AND(Stamoplysninger!$B$26="Der er indgået lokalaftale omkring weekendtillæg(Kræver aftale med TR/FSL). Weekendtimerne afspadseres..",I32="X",C32="ikke relevant")),K32,0)</f>
        <v>0</v>
      </c>
      <c r="FD32" s="675">
        <f>IF(AND(AND(AND(Stamoplysninger!$B$26="Der er indgået lokalaftale omkring weekendtillæg(Kræver aftale med TR/FSL). Weekendtimerne afspadseres.",I32="X",C32="ikke relevant",S32="X"))),(V32),0)</f>
        <v>0</v>
      </c>
      <c r="FE32" s="283">
        <f>IF(AND(Stamoplysninger!$B$26="Der er indgået lokalaftale omkring weekendtillæg(Kræver aftale med TR/FSL). Weekendtimerne udbetales.",I32="X"),K32,0)</f>
        <v>0</v>
      </c>
      <c r="FF32" s="251">
        <f>IF(AND(AND(Stamoplysninger!$B$26="Der er indgået lokalaftale omkring weekendtillæg(Kræver aftale med TR/FSL). Weekendtimerne udbetales.",I32="X",S32="X")),V32,0)</f>
        <v>0</v>
      </c>
      <c r="FG32" s="674">
        <f>IF(AND(AND(Stamoplysninger!$B$26="Der er indgået lokalaftale omkring weekendtillæg(Kræver aftale med TR/FSL). Weekendtimerne udbetales.",I32="X",C32="ikke relevant")),K32,0)</f>
        <v>0</v>
      </c>
      <c r="FH32" s="675">
        <f>IF(AND(AND(AND(Stamoplysninger!$B$26="Der er indgået lokalaftale omkring weekendtillæg(Kræver aftale med TR/FSL). Weekendtimerne udbetales.",I32="X",C32="ikke relevant",S32="X"))),(V32),0)</f>
        <v>0</v>
      </c>
      <c r="FI32" s="283">
        <f>IF(AND(Stamoplysninger!$B$26="Weekendtimer og weekendtillæg afspadseres.",I32="X"),K32,0)</f>
        <v>0</v>
      </c>
      <c r="FJ32" s="251">
        <f>IF(AND(Stamoplysninger!$B$26="Weekendtimer og weekendtillæg afspadseres.",Y32="X"),(AA32+AL32)/2,0)</f>
        <v>0</v>
      </c>
      <c r="FK32" s="674">
        <f>IF(AND(AND(Stamoplysninger!$B$26="Weekendtimer og weekendtillæg afspadseres.",I32="X",C32="ikke relevant")),K32,0)</f>
        <v>0</v>
      </c>
      <c r="FL32" s="675">
        <f>IF(AND(AND(Stamoplysninger!$B$26="Weekendtimer og weekendtillæg afspadseres.",Y32="X",S32="ikke relevant")),(AA32+AL32)/2,0)</f>
        <v>0</v>
      </c>
      <c r="FM32" s="283">
        <f>IF(AND(Stamoplysninger!$B$26="Der er indgået lokalaftale omkring weekendtillæg(Kræver aftale med TR/FSL). Weekendtimerne afspadseres.",I32="X"),K32,0)</f>
        <v>0</v>
      </c>
      <c r="FN32" s="674">
        <f>IF(AND(AND(Stamoplysninger!$B$26="Der er indgået lokalaftale omkring weekendtillæg(Kræver aftale med TR/FSL). Weekendtimerne afspadseres.",I32="X",C32="ikke relevant")),K32,0)</f>
        <v>0</v>
      </c>
      <c r="FO32" s="283">
        <f>IF(AND(Stamoplysninger!$B$26="Weekendtimer og weekendtillæg udbetales.",I32="X"),K32,0)</f>
        <v>0</v>
      </c>
      <c r="FP32" s="251">
        <f>IF(AND(Stamoplysninger!$B$26="Weekendtimer og weekendtillæg udbetales.",AA32="X"),(AC32+AN32)/2,0)</f>
        <v>0</v>
      </c>
      <c r="FQ32" s="674">
        <f>IF(AND(AND(Stamoplysninger!$B$26="Weekendtimer og weekendtillæg udbetales.",I32="X",C32="ikke relevant")),K32,0)</f>
        <v>0</v>
      </c>
      <c r="FR32" s="688">
        <f>IF(AND(AND(Stamoplysninger!$B$26="Weekendtimer og weekendtillæg udbetales.",AA32="X",U32="ikke relevant")),(AC32+AN32)/2,0)</f>
        <v>0</v>
      </c>
      <c r="FS32" s="283">
        <f t="shared" si="15"/>
        <v>0</v>
      </c>
      <c r="FT32" s="658">
        <f t="shared" si="16"/>
        <v>0</v>
      </c>
      <c r="FU32">
        <f t="shared" si="32"/>
        <v>0</v>
      </c>
      <c r="FV32" s="283">
        <f>IF(AND(Stamoplysninger!$B$26="Der er indgået lokalaftale omkring weekendtimer.(Kræver aftale med TR/FSL) Weekendtillæg afspadseres.",I32="X"),K32,0)</f>
        <v>0</v>
      </c>
      <c r="FW32" s="674">
        <f>IF(AND(AND(Stamoplysninger!$B$26="Der er indgået lokalaftale omkring weekendtimer.(Kræver aftale med TR/FSL) Weekendtillæg afspadseres.",I32="X",C32="ikke relevant")),K32,0)</f>
        <v>0</v>
      </c>
      <c r="FX32" s="283">
        <f>IF(AND(Stamoplysninger!$B$26="Der er indgået lokalaftale omkring weekendtimer(Kræver aftale med TR/FSL). Weekendtillæg udbetales.",I32="X"),K32,0)</f>
        <v>0</v>
      </c>
      <c r="FY32" s="674">
        <f>IF(AND(AND(Stamoplysninger!$B$26="Der er indgået lokalaftale omkring weekendtimer(Kræver aftale med TR/FSL). Weekendtillæg udbetales.",I32="X",C32="ikke relevant")),K32,0)</f>
        <v>0</v>
      </c>
      <c r="FZ32" s="283">
        <f>IF(AND(Stamoplysninger!$B$26="Der er indgået lokalaftale omkring weekendtillæg(Kræver aftale med TR/FSL). Weekendtimerne udbetales.",I32="X"),K32,0)</f>
        <v>0</v>
      </c>
      <c r="GA32" s="674">
        <f>IF(AND(AND(Stamoplysninger!$B$26="Der er indgået lokalaftale omkring weekendtillæg(Kræver aftale med TR/FSL). Weekendtimerne udbetales.",I32="X",C32="ikke relevant")),K32,0)</f>
        <v>0</v>
      </c>
      <c r="GB32" s="283">
        <f>IF(AND(Stamoplysninger!$B$26="Der er indgået lokalaftale omkring weekendtimer og weekendtillæg.(Kræver aftale med TR/FSL).",I32="X"),K32,0)</f>
        <v>0</v>
      </c>
      <c r="GC32" s="674">
        <f>IF(AND(AND(Stamoplysninger!$B$26="Der er indgået lokalaftale omkring weekendtimer og weekendtillæg.(Kræver aftale med TR/FSL).",I32="X",C32="ikke relevant")),K32,0)</f>
        <v>0</v>
      </c>
    </row>
    <row r="33" spans="1:185">
      <c r="A33" s="245">
        <f t="shared" si="18"/>
        <v>25</v>
      </c>
      <c r="B33" s="128" t="str">
        <f t="shared" si="0"/>
        <v>on</v>
      </c>
      <c r="C33" s="129" t="s">
        <v>206</v>
      </c>
      <c r="D33" s="130" t="str">
        <f t="shared" si="1"/>
        <v/>
      </c>
      <c r="E33" s="917"/>
      <c r="F33" s="918"/>
      <c r="G33" s="919"/>
      <c r="H33" s="298"/>
      <c r="I33" s="527"/>
      <c r="J33" s="413"/>
      <c r="K33" s="380"/>
      <c r="L33" s="380"/>
      <c r="M33" s="380"/>
      <c r="N33" s="318">
        <f t="shared" si="19"/>
        <v>7.75</v>
      </c>
      <c r="O33" s="318">
        <f t="shared" si="20"/>
        <v>5</v>
      </c>
      <c r="P33" s="318">
        <f>IF(Stamoplysninger!$H$29="JA",September!DG33,CX33)</f>
        <v>1.1666666666666665</v>
      </c>
      <c r="Q33" s="318">
        <f t="shared" si="21"/>
        <v>1.5833333333333335</v>
      </c>
      <c r="R33" s="319"/>
      <c r="S33" s="324"/>
      <c r="T33" s="325"/>
      <c r="U33" s="325"/>
      <c r="V33" s="435"/>
      <c r="W33" s="435"/>
      <c r="X33" s="644"/>
      <c r="Y33">
        <f t="shared" si="22"/>
        <v>0</v>
      </c>
      <c r="Z33" s="437">
        <f t="shared" si="23"/>
        <v>0</v>
      </c>
      <c r="AA33" s="1">
        <f t="shared" si="2"/>
        <v>0</v>
      </c>
      <c r="AB33" s="1">
        <f t="shared" si="3"/>
        <v>0</v>
      </c>
      <c r="AC33" s="1">
        <f t="shared" si="4"/>
        <v>0</v>
      </c>
      <c r="AD33" s="1">
        <f t="shared" si="5"/>
        <v>0</v>
      </c>
      <c r="AE33" s="1">
        <f t="shared" si="6"/>
        <v>0</v>
      </c>
      <c r="AF33" s="1">
        <f>IF(C33="Orlov",7.4*Stamoplysninger!$E$15,0)</f>
        <v>0</v>
      </c>
      <c r="AG33" t="str">
        <f>IF(AND(C33="Skema 1",B33="ma"),Arbejdstidsoversigt!$E$72,"")</f>
        <v/>
      </c>
      <c r="AH33" t="str">
        <f>IF(AND(C33="Skema 1",B33="ti"),Arbejdstidsoversigt!$E$73,"")</f>
        <v/>
      </c>
      <c r="AI33">
        <f>IF(AND(C33="Skema 1",B33="on"),Arbejdstidsoversigt!$E$74,"")</f>
        <v>7.75</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4"/>
        <v>7.75</v>
      </c>
      <c r="BB33" s="229">
        <f t="shared" si="7"/>
        <v>186</v>
      </c>
      <c r="BC33" s="1">
        <f t="shared" si="25"/>
        <v>0</v>
      </c>
      <c r="BD33" s="1">
        <f t="shared" si="8"/>
        <v>0</v>
      </c>
      <c r="BE33" s="1">
        <f t="shared" si="9"/>
        <v>0</v>
      </c>
      <c r="BF33" s="1">
        <f t="shared" si="10"/>
        <v>0</v>
      </c>
      <c r="BG33" s="210" t="str">
        <f>IF(AND(C33="Skema 1",B33="ma"),Skemaoplysninger!$E$30,"")</f>
        <v/>
      </c>
      <c r="BH33" s="210" t="str">
        <f>IF(AND(C33="Skema 1",B33="ti"),Skemaoplysninger!$G$30,"")</f>
        <v/>
      </c>
      <c r="BI33" s="210">
        <f>IF(AND(C33="Skema 1",B33="on"),Skemaoplysninger!$I$30,"")</f>
        <v>0.20833333333333331</v>
      </c>
      <c r="BJ33" s="210" t="str">
        <f>IF(AND(C33="Skema 1",B33="to"),Skemaoplysninger!$K$30,"")</f>
        <v/>
      </c>
      <c r="BK33" s="210" t="str">
        <f>IF(AND(C33="Skema 1",B33="fr"),Skemaoplysninger!$M$30,"")</f>
        <v/>
      </c>
      <c r="BL33" s="210" t="str">
        <f>IF(AND(C33="Skema 2",B33="ma"),Skemaoplysninger!$S$30,"")</f>
        <v/>
      </c>
      <c r="BM33" s="210" t="str">
        <f>IF(AND(C33="Skema 2",B33="ti"),Skemaoplysninger!$U$30,"")</f>
        <v/>
      </c>
      <c r="BN33" s="210" t="str">
        <f>IF(AND(C33="Skema 2",B33="on"),Skemaoplysninger!$W$30,"")</f>
        <v/>
      </c>
      <c r="BO33" s="210" t="str">
        <f>IF(AND(C33="Skema 2",B33="to"),Skemaoplysninger!$Y$30,"")</f>
        <v/>
      </c>
      <c r="BP33" s="210" t="str">
        <f>IF(AND(C33="Skema 2",B33="fr"),Skemaoplysninger!$AA$30,"")</f>
        <v/>
      </c>
      <c r="BQ33" s="210" t="str">
        <f>IF(AND(C33="Skema 3",B33="ma"),Skemaoplysninger!$AG$30,"")</f>
        <v/>
      </c>
      <c r="BR33" s="210" t="str">
        <f>IF(AND(C33="Skema 3",B33="ti"),Skemaoplysninger!$AI$30,"")</f>
        <v/>
      </c>
      <c r="BS33" s="210" t="str">
        <f>IF(AND(C33="Skema 3",B33="on"),Skemaoplysninger!$AK$30,"")</f>
        <v/>
      </c>
      <c r="BT33" s="210" t="str">
        <f>IF(AND(C33="Skema 3",B33="to"),Skemaoplysninger!$AM$30,"")</f>
        <v/>
      </c>
      <c r="BU33" s="210" t="str">
        <f>IF(AND(C33="Skema 3",B33="fr"),Skemaoplysninger!$AO$30,"")</f>
        <v/>
      </c>
      <c r="BV33" s="210" t="str">
        <f>IF(AND(C33="Skema 4",B33="ma"),Skemaoplysninger!$AU$30,"")</f>
        <v/>
      </c>
      <c r="BW33" s="210" t="str">
        <f>IF(AND(C33="Skema 4",B33="ti"),Skemaoplysninger!$AW$30,"")</f>
        <v/>
      </c>
      <c r="BX33" s="210" t="str">
        <f>IF(AND(C33="Skema 4",B33="on"),Skemaoplysninger!$AY$30,"")</f>
        <v/>
      </c>
      <c r="BY33" s="210" t="str">
        <f>IF(AND(C33="Skema 4",B33="to"),Skemaoplysninger!$BA$30,"")</f>
        <v/>
      </c>
      <c r="BZ33" s="210" t="str">
        <f>IF(AND(C33="Skema 4",B33="fr"),Skemaoplysninger!$BC$30,"")</f>
        <v/>
      </c>
      <c r="CA33" s="1">
        <f t="shared" si="26"/>
        <v>5</v>
      </c>
      <c r="CB33" s="1">
        <f t="shared" si="11"/>
        <v>0</v>
      </c>
      <c r="CC33" s="1">
        <f t="shared" si="12"/>
        <v>0</v>
      </c>
      <c r="CD33" s="210" t="str">
        <f>IF(AND(C33="Skema 1",B33="ma"),Skemaoplysninger!$E$31,"")</f>
        <v/>
      </c>
      <c r="CE33" s="210" t="str">
        <f>IF(AND(C33="Skema 1",B33="ti"),Skemaoplysninger!$G$31,"")</f>
        <v/>
      </c>
      <c r="CF33" s="210">
        <f>IF(AND(C33="Skema 1",B33="on"),Skemaoplysninger!$I$31,"")</f>
        <v>4.8611111111111105E-2</v>
      </c>
      <c r="CG33" s="210" t="str">
        <f>IF(AND(C33="Skema 1",B33="to"),Skemaoplysninger!$K$31,"")</f>
        <v/>
      </c>
      <c r="CH33" s="210" t="str">
        <f>IF(AND(C33="Skema 1",B33="fr"),Skemaoplysninger!$M$31,"")</f>
        <v/>
      </c>
      <c r="CI33" s="210" t="str">
        <f>IF(AND(C33="Skema 2",B33="ma"),Skemaoplysninger!$S$31,"")</f>
        <v/>
      </c>
      <c r="CJ33" s="210" t="str">
        <f>IF(AND(C33="Skema 2",B33="ti"),Skemaoplysninger!$U$31,"")</f>
        <v/>
      </c>
      <c r="CK33" s="210" t="str">
        <f>IF(AND(C33="Skema 2",B33="on"),Skemaoplysninger!$W$31,"")</f>
        <v/>
      </c>
      <c r="CL33" s="210" t="str">
        <f>IF(AND(C33="Skema 2",B33="to"),Skemaoplysninger!$Y$31,"")</f>
        <v/>
      </c>
      <c r="CM33" s="210" t="str">
        <f>IF(AND(C33="Skema 2",B33="fr"),Skemaoplysninger!$AA$31,"")</f>
        <v/>
      </c>
      <c r="CN33" s="210" t="str">
        <f>IF(AND(C33="Skema 3",B33="ma"),Skemaoplysninger!$AG$31,"")</f>
        <v/>
      </c>
      <c r="CO33" s="210" t="str">
        <f>IF(AND(C33="Skema 3",B33="ti"),Skemaoplysninger!$AI$31,"")</f>
        <v/>
      </c>
      <c r="CP33" s="210" t="str">
        <f>IF(AND(C33="Skema 3",B33="on"),Skemaoplysninger!$AK$31,"")</f>
        <v/>
      </c>
      <c r="CQ33" s="210" t="str">
        <f>IF(AND(C33="Skema 3",B33="to"),Skemaoplysninger!$AM$31,"")</f>
        <v/>
      </c>
      <c r="CR33" s="210" t="str">
        <f>IF(AND(C33="Skema 3",B33="fr"),Skemaoplysninger!$AO$31,"")</f>
        <v/>
      </c>
      <c r="CS33" s="210" t="str">
        <f>IF(AND(C33="Skema 4",B33="ma"),Skemaoplysninger!$AU$31,"")</f>
        <v/>
      </c>
      <c r="CT33" s="210" t="str">
        <f>IF(AND(C33="Skema 4",B33="ti"),Skemaoplysninger!$AW$31,"")</f>
        <v/>
      </c>
      <c r="CU33" s="210" t="str">
        <f>IF(AND(C33="Skema 4",B33="on"),Skemaoplysninger!$AY$31,"")</f>
        <v/>
      </c>
      <c r="CV33" s="210" t="str">
        <f>IF(AND(C33="Skema 4",B33="to"),Skemaoplysninger!$BA$31,"")</f>
        <v/>
      </c>
      <c r="CW33" s="210" t="str">
        <f>IF(AND(C33="Skema 4",B33="fr"),Skemaoplysninger!$BC$31,"")</f>
        <v/>
      </c>
      <c r="CX33" s="249">
        <f>IF(Stamoplysninger!$H$29="NEJ",SUM(CD33:CW33)*24+CB33+CC33,0)</f>
        <v>1.1666666666666665</v>
      </c>
      <c r="CY33" s="249">
        <f>IF(C33="Skema 1",Stamoplysninger!$H$30/200,0)</f>
        <v>0</v>
      </c>
      <c r="CZ33" s="249">
        <f>IF(C33="Skema 2",Stamoplysninger!$H$30/200,0)</f>
        <v>0</v>
      </c>
      <c r="DA33" s="249">
        <f>IF(C33="Skema 3",Stamoplysninger!$H$30/200,0)</f>
        <v>0</v>
      </c>
      <c r="DB33" s="249">
        <f>IF(C33="Skema 4",Stamoplysninger!$H$30/200,0)</f>
        <v>0</v>
      </c>
      <c r="DC33" s="249">
        <f>IF(C33="fagdag",Stamoplysninger!$H$30/200,0)</f>
        <v>0</v>
      </c>
      <c r="DD33" s="249">
        <f>IF(C33="emnedag",Stamoplysninger!$H$30/200,0)</f>
        <v>0</v>
      </c>
      <c r="DE33" s="249">
        <f>IF(C33="lejrskole",Stamoplysninger!$H$30/200,0)</f>
        <v>0</v>
      </c>
      <c r="DF33" s="249">
        <f>IF(C33="ekskursion",Stamoplysninger!$H$30/200,0)</f>
        <v>0</v>
      </c>
      <c r="DG33" s="249">
        <f t="shared" si="27"/>
        <v>0</v>
      </c>
      <c r="DH33" t="str">
        <f t="shared" si="28"/>
        <v/>
      </c>
      <c r="DI33">
        <f t="shared" si="29"/>
        <v>0</v>
      </c>
      <c r="DJ33">
        <f t="shared" si="30"/>
        <v>0</v>
      </c>
      <c r="DK33" t="str">
        <f t="shared" si="13"/>
        <v/>
      </c>
      <c r="DL33" t="str">
        <f t="shared" si="13"/>
        <v/>
      </c>
      <c r="DM33" t="str">
        <f t="shared" si="13"/>
        <v/>
      </c>
      <c r="DN33" t="str">
        <f t="shared" si="31"/>
        <v/>
      </c>
      <c r="DO33" s="652">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71">
        <f>IF(AND(Stamoplysninger!$B$22="Ulempetillæg udbetales med 25% af nettotimelønnen.",C33="ikke relevant"),(R33)/4,0)</f>
        <v>0</v>
      </c>
      <c r="DT33" s="671">
        <f>IF(AND(AND(Stamoplysninger!$B$22="Ulempetillæg udbetales med 25% af nettotimelønnen.",I33="X",C33="Ikke relevant")),K33/4,0)</f>
        <v>0</v>
      </c>
      <c r="DU33" s="671">
        <f>IF(AND(AND(Stamoplysninger!$B$22="Ulempetillæg udbetales med 25% af nettotimelønnen.",C33="ikke relevant",U33="X")),(X33/4),0)</f>
        <v>0</v>
      </c>
      <c r="DV33" s="672">
        <f>IF(AND(AND(AND(Stamoplysninger!$B$22="Ulempetillæg udbetales med 25% af nettotimelønnen.",I33="X",C33="Ikke relevant",S33="X"))),V33/4,0)</f>
        <v>0</v>
      </c>
      <c r="DW33" s="652"/>
      <c r="DZ33" s="671"/>
      <c r="EA33" s="671"/>
      <c r="EB33" s="672"/>
      <c r="EC33" s="652">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71">
        <f>IF(AND(Stamoplysninger!$B$22="Ulempetillæg afspadseres med 25%(Kræver en aftale imellem ledelsen og den ansatte)",C33="ikke relevant"),(R33)/4,0)</f>
        <v>0</v>
      </c>
      <c r="EH33" s="671">
        <f>IF(AND(AND(Stamoplysninger!$B$22="Ulempetillæg afspadseres med 25%(Kræver en aftale imellem ledelsen og den ansatte)",I33="X",C33="Ikke relevant")),K33/4,0)</f>
        <v>0</v>
      </c>
      <c r="EI33" s="671">
        <f>IF(AND(AND(Stamoplysninger!$B$22="Ulempetillæg afspadseres med 25%(Kræver en aftale imellem ledelsen og den ansatte)",U33="X",C33="Ikke relevant")),X33/4,0)</f>
        <v>0</v>
      </c>
      <c r="EJ33" s="671">
        <f>IF(AND(AND(AND(Stamoplysninger!$B$22="Ulempetillæg afspadseres med 25%(Kræver en aftale imellem ledelsen og den ansatte)",I33="X",C33="Ikke relevant",S33="X"))),V33/4,0)</f>
        <v>0</v>
      </c>
      <c r="EK33" s="283">
        <f>IF(AND(Stamoplysninger!$B$26="Weekendtimer og weekendtillæg afspadseres.",I33="X"),K33*1.5,0)</f>
        <v>0</v>
      </c>
      <c r="EL33" s="251">
        <f>IF(AND(AND(Stamoplysninger!$B$26="Weekendtimer og weekendtillæg afspadseres.",I33="X",S33="X")),V33*1.5,0)</f>
        <v>0</v>
      </c>
      <c r="EM33" s="674">
        <f>IF(AND(AND(Stamoplysninger!$B$26="Weekendtimer og weekendtillæg afspadseres.",I33="X",C33="ikke relevant")),K33*1.5,0)</f>
        <v>0</v>
      </c>
      <c r="EN33" s="675">
        <f>IF(AND(AND(AND(Stamoplysninger!$B$26="Weekendtimer og weekendtillæg afspadseres.",I33="X",C33="ikke relevant",S33="X"))),(V33*1.5),0)</f>
        <v>0</v>
      </c>
      <c r="EO33" s="283">
        <f>IF(AND(Stamoplysninger!$B$26="Weekendtimer og weekendtillæg udbetales.",I33="X"),K33*1.5,0)</f>
        <v>0</v>
      </c>
      <c r="EP33" s="251">
        <f>IF(AND(AND(Stamoplysninger!$B$26="Weekendtimer og weekendtillæg udbetales.",I33="X",S33="X")),V33*1.5,0)</f>
        <v>0</v>
      </c>
      <c r="EQ33" s="674">
        <f>IF(AND(AND(Stamoplysninger!$B$26="Weekendtimer og weekendtillæg udbetales.",I33="X",C33="ikke relevant")),K33*1.5,0)</f>
        <v>0</v>
      </c>
      <c r="ER33" s="675">
        <f>IF(AND(AND(AND(Stamoplysninger!$B$26="Weekendtimer og weekendtillæg udbetales.",I33="X",C33="ikke relevant",S33="X"))),(V33*1.5),0)</f>
        <v>0</v>
      </c>
      <c r="ES33" s="283">
        <f>IF(AND(Stamoplysninger!$B$26="Der er indgået lokalaftale omkring weekendtimer.(Kræver aftale med TR/FSL) Weekendtillæg afspadseres.",I33="X"),K33*0.5,0)</f>
        <v>0</v>
      </c>
      <c r="ET33" s="251">
        <f>IF(AND(AND(Stamoplysninger!$B$26="Der er indgået lokalaftale omkring weekendtimer.(Kræver aftale med TR/FSL) Weekendtillæg afspadseres.",I33="X",S33="X")),V33*0.5,0)</f>
        <v>0</v>
      </c>
      <c r="EU33" s="674">
        <f>IF(AND(AND(Stamoplysninger!$B$26="Der er indgået lokalaftale omkring weekendtimer.(Kræver aftale med TR/FSL) Weekendtillæg afspadseres.",I33="X",C33="ikke relevant")),K33*0.5,0)</f>
        <v>0</v>
      </c>
      <c r="EV33" s="675">
        <f>IF(AND(AND(AND(Stamoplysninger!$B$26="Der er indgået lokalaftale omkring weekendtimer.(Kræver aftale med TR/FSL) Weekendtillæg afspadseres.",I33="X",C33="ikke relevant",S33="X"))),(V33*0.5),0)</f>
        <v>0</v>
      </c>
      <c r="EW33" s="283">
        <f>IF(AND(Stamoplysninger!$B$26="Der er indgået lokalaftale omkring weekendtimer(Kræver aftale med TR/FSL). Weekendtillæg udbetales.",I33="X"),K33*0.5,0)</f>
        <v>0</v>
      </c>
      <c r="EX33" s="251">
        <f>IF(AND(AND(Stamoplysninger!$B$26="Der er indgået lokalaftale omkring weekendtimer(Kræver aftale med TR/FSL). Weekendtillæg udbetales.",I33="X",S33="X")),V33*0.5,0)</f>
        <v>0</v>
      </c>
      <c r="EY33" s="674">
        <f>IF(AND(AND(Stamoplysninger!$B$26="Der er indgået lokalaftale omkring weekendtimer(Kræver aftale med TR/FSL). Weekendtillæg udbetales.",I33="X",C33="ikke relevant")),K33*0.5,0)</f>
        <v>0</v>
      </c>
      <c r="EZ33" s="675">
        <f>IF(AND(AND(AND(Stamoplysninger!$B$26="Der er indgået lokalaftale omkring weekendtimer(Kræver aftale med TR/FSL). Weekendtillæg udbetales.",I33="X",C33="ikke relevant",S33="X"))),(V33*0.5),0)</f>
        <v>0</v>
      </c>
      <c r="FA33" s="283">
        <f>IF(AND(Stamoplysninger!$B$26="Der er indgået lokalaftale omkring weekendtillæg(Kræver aftale med TR/FSL). Weekendtimerne afspadseres.",I33="X"),K33,0)</f>
        <v>0</v>
      </c>
      <c r="FB33" s="251">
        <f>IF(AND(AND(Stamoplysninger!$B$26="Der er indgået lokalaftale omkring weekendtillæg(Kræver aftale med TR/FSL). Weekendtimerne afspadseres.",I33="X",S33="X")),V33,0)</f>
        <v>0</v>
      </c>
      <c r="FC33" s="674">
        <f>IF(AND(AND(Stamoplysninger!$B$26="Der er indgået lokalaftale omkring weekendtillæg(Kræver aftale med TR/FSL). Weekendtimerne afspadseres..",I33="X",C33="ikke relevant")),K33,0)</f>
        <v>0</v>
      </c>
      <c r="FD33" s="675">
        <f>IF(AND(AND(AND(Stamoplysninger!$B$26="Der er indgået lokalaftale omkring weekendtillæg(Kræver aftale med TR/FSL). Weekendtimerne afspadseres.",I33="X",C33="ikke relevant",S33="X"))),(V33),0)</f>
        <v>0</v>
      </c>
      <c r="FE33" s="283">
        <f>IF(AND(Stamoplysninger!$B$26="Der er indgået lokalaftale omkring weekendtillæg(Kræver aftale med TR/FSL). Weekendtimerne udbetales.",I33="X"),K33,0)</f>
        <v>0</v>
      </c>
      <c r="FF33" s="251">
        <f>IF(AND(AND(Stamoplysninger!$B$26="Der er indgået lokalaftale omkring weekendtillæg(Kræver aftale med TR/FSL). Weekendtimerne udbetales.",I33="X",S33="X")),V33,0)</f>
        <v>0</v>
      </c>
      <c r="FG33" s="674">
        <f>IF(AND(AND(Stamoplysninger!$B$26="Der er indgået lokalaftale omkring weekendtillæg(Kræver aftale med TR/FSL). Weekendtimerne udbetales.",I33="X",C33="ikke relevant")),K33,0)</f>
        <v>0</v>
      </c>
      <c r="FH33" s="675">
        <f>IF(AND(AND(AND(Stamoplysninger!$B$26="Der er indgået lokalaftale omkring weekendtillæg(Kræver aftale med TR/FSL). Weekendtimerne udbetales.",I33="X",C33="ikke relevant",S33="X"))),(V33),0)</f>
        <v>0</v>
      </c>
      <c r="FI33" s="283">
        <f>IF(AND(Stamoplysninger!$B$26="Weekendtimer og weekendtillæg afspadseres.",I33="X"),K33,0)</f>
        <v>0</v>
      </c>
      <c r="FJ33" s="251">
        <f>IF(AND(Stamoplysninger!$B$26="Weekendtimer og weekendtillæg afspadseres.",Y33="X"),(AA33+AL33)/2,0)</f>
        <v>0</v>
      </c>
      <c r="FK33" s="674">
        <f>IF(AND(AND(Stamoplysninger!$B$26="Weekendtimer og weekendtillæg afspadseres.",I33="X",C33="ikke relevant")),K33,0)</f>
        <v>0</v>
      </c>
      <c r="FL33" s="675">
        <f>IF(AND(AND(Stamoplysninger!$B$26="Weekendtimer og weekendtillæg afspadseres.",Y33="X",S33="ikke relevant")),(AA33+AL33)/2,0)</f>
        <v>0</v>
      </c>
      <c r="FM33" s="283">
        <f>IF(AND(Stamoplysninger!$B$26="Der er indgået lokalaftale omkring weekendtillæg(Kræver aftale med TR/FSL). Weekendtimerne afspadseres.",I33="X"),K33,0)</f>
        <v>0</v>
      </c>
      <c r="FN33" s="674">
        <f>IF(AND(AND(Stamoplysninger!$B$26="Der er indgået lokalaftale omkring weekendtillæg(Kræver aftale med TR/FSL). Weekendtimerne afspadseres.",I33="X",C33="ikke relevant")),K33,0)</f>
        <v>0</v>
      </c>
      <c r="FO33" s="283">
        <f>IF(AND(Stamoplysninger!$B$26="Weekendtimer og weekendtillæg udbetales.",I33="X"),K33,0)</f>
        <v>0</v>
      </c>
      <c r="FP33" s="251">
        <f>IF(AND(Stamoplysninger!$B$26="Weekendtimer og weekendtillæg udbetales.",AA33="X"),(AC33+AN33)/2,0)</f>
        <v>0</v>
      </c>
      <c r="FQ33" s="674">
        <f>IF(AND(AND(Stamoplysninger!$B$26="Weekendtimer og weekendtillæg udbetales.",I33="X",C33="ikke relevant")),K33,0)</f>
        <v>0</v>
      </c>
      <c r="FR33" s="688">
        <f>IF(AND(AND(Stamoplysninger!$B$26="Weekendtimer og weekendtillæg udbetales.",AA33="X",U33="ikke relevant")),(AC33+AN33)/2,0)</f>
        <v>0</v>
      </c>
      <c r="FS33" s="283">
        <f t="shared" si="15"/>
        <v>0</v>
      </c>
      <c r="FT33" s="658">
        <f t="shared" si="16"/>
        <v>0</v>
      </c>
      <c r="FU33">
        <f t="shared" si="32"/>
        <v>0</v>
      </c>
      <c r="FV33" s="283">
        <f>IF(AND(Stamoplysninger!$B$26="Der er indgået lokalaftale omkring weekendtimer.(Kræver aftale med TR/FSL) Weekendtillæg afspadseres.",I33="X"),K33,0)</f>
        <v>0</v>
      </c>
      <c r="FW33" s="674">
        <f>IF(AND(AND(Stamoplysninger!$B$26="Der er indgået lokalaftale omkring weekendtimer.(Kræver aftale med TR/FSL) Weekendtillæg afspadseres.",I33="X",C33="ikke relevant")),K33,0)</f>
        <v>0</v>
      </c>
      <c r="FX33" s="283">
        <f>IF(AND(Stamoplysninger!$B$26="Der er indgået lokalaftale omkring weekendtimer(Kræver aftale med TR/FSL). Weekendtillæg udbetales.",I33="X"),K33,0)</f>
        <v>0</v>
      </c>
      <c r="FY33" s="674">
        <f>IF(AND(AND(Stamoplysninger!$B$26="Der er indgået lokalaftale omkring weekendtimer(Kræver aftale med TR/FSL). Weekendtillæg udbetales.",I33="X",C33="ikke relevant")),K33,0)</f>
        <v>0</v>
      </c>
      <c r="FZ33" s="283">
        <f>IF(AND(Stamoplysninger!$B$26="Der er indgået lokalaftale omkring weekendtillæg(Kræver aftale med TR/FSL). Weekendtimerne udbetales.",I33="X"),K33,0)</f>
        <v>0</v>
      </c>
      <c r="GA33" s="674">
        <f>IF(AND(AND(Stamoplysninger!$B$26="Der er indgået lokalaftale omkring weekendtillæg(Kræver aftale med TR/FSL). Weekendtimerne udbetales.",I33="X",C33="ikke relevant")),K33,0)</f>
        <v>0</v>
      </c>
      <c r="GB33" s="283">
        <f>IF(AND(Stamoplysninger!$B$26="Der er indgået lokalaftale omkring weekendtimer og weekendtillæg.(Kræver aftale med TR/FSL).",I33="X"),K33,0)</f>
        <v>0</v>
      </c>
      <c r="GC33" s="674">
        <f>IF(AND(AND(Stamoplysninger!$B$26="Der er indgået lokalaftale omkring weekendtimer og weekendtillæg.(Kræver aftale med TR/FSL).",I33="X",C33="ikke relevant")),K33,0)</f>
        <v>0</v>
      </c>
    </row>
    <row r="34" spans="1:185">
      <c r="A34" s="245">
        <f t="shared" si="18"/>
        <v>26</v>
      </c>
      <c r="B34" s="128" t="str">
        <f t="shared" si="0"/>
        <v>to</v>
      </c>
      <c r="C34" s="129" t="s">
        <v>206</v>
      </c>
      <c r="D34" s="130" t="str">
        <f t="shared" si="1"/>
        <v/>
      </c>
      <c r="E34" s="917"/>
      <c r="F34" s="918"/>
      <c r="G34" s="919"/>
      <c r="H34" s="298" t="s">
        <v>701</v>
      </c>
      <c r="I34" s="527"/>
      <c r="J34" s="413"/>
      <c r="K34" s="380"/>
      <c r="L34" s="380"/>
      <c r="M34" s="380"/>
      <c r="N34" s="318">
        <f t="shared" si="19"/>
        <v>8.5</v>
      </c>
      <c r="O34" s="318">
        <f t="shared" si="20"/>
        <v>3</v>
      </c>
      <c r="P34" s="318">
        <f>IF(Stamoplysninger!$H$29="JA",September!DG34,CX34)</f>
        <v>1.5</v>
      </c>
      <c r="Q34" s="318">
        <f t="shared" si="21"/>
        <v>4</v>
      </c>
      <c r="R34" s="319">
        <v>3</v>
      </c>
      <c r="S34" s="324"/>
      <c r="T34" s="325"/>
      <c r="U34" s="325"/>
      <c r="V34" s="435"/>
      <c r="W34" s="435"/>
      <c r="X34" s="644"/>
      <c r="Y34">
        <f t="shared" si="22"/>
        <v>0</v>
      </c>
      <c r="Z34" s="437">
        <f t="shared" si="23"/>
        <v>0</v>
      </c>
      <c r="AA34" s="1">
        <f t="shared" si="2"/>
        <v>0</v>
      </c>
      <c r="AB34" s="1">
        <f t="shared" si="3"/>
        <v>0</v>
      </c>
      <c r="AC34" s="1">
        <f t="shared" si="4"/>
        <v>0</v>
      </c>
      <c r="AD34" s="1">
        <f t="shared" si="5"/>
        <v>0</v>
      </c>
      <c r="AE34" s="1">
        <f t="shared" si="6"/>
        <v>0</v>
      </c>
      <c r="AF34" s="1">
        <f>IF(C34="Orlov",7.4*Stamoplysninger!$E$15,0)</f>
        <v>0</v>
      </c>
      <c r="AG34" t="str">
        <f>IF(AND(C34="Skema 1",B34="ma"),Arbejdstidsoversigt!$E$72,"")</f>
        <v/>
      </c>
      <c r="AH34" t="str">
        <f>IF(AND(C34="Skema 1",B34="ti"),Arbejdstidsoversigt!$E$73,"")</f>
        <v/>
      </c>
      <c r="AI34" t="str">
        <f>IF(AND(C34="Skema 1",B34="on"),Arbejdstidsoversigt!$E$74,"")</f>
        <v/>
      </c>
      <c r="AJ34">
        <f>IF(AND(C34="Skema 1",B34="to"),Arbejdstidsoversigt!$E$75,"")</f>
        <v>8.5</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4"/>
        <v>8.5</v>
      </c>
      <c r="BB34" s="229">
        <f t="shared" si="7"/>
        <v>204</v>
      </c>
      <c r="BC34" s="1">
        <f t="shared" si="25"/>
        <v>0</v>
      </c>
      <c r="BD34" s="1">
        <f t="shared" si="8"/>
        <v>0</v>
      </c>
      <c r="BE34" s="1">
        <f t="shared" si="9"/>
        <v>0</v>
      </c>
      <c r="BF34" s="1">
        <f t="shared" si="10"/>
        <v>0</v>
      </c>
      <c r="BG34" s="210" t="str">
        <f>IF(AND(C34="Skema 1",B34="ma"),Skemaoplysninger!$E$30,"")</f>
        <v/>
      </c>
      <c r="BH34" s="210" t="str">
        <f>IF(AND(C34="Skema 1",B34="ti"),Skemaoplysninger!$G$30,"")</f>
        <v/>
      </c>
      <c r="BI34" s="210" t="str">
        <f>IF(AND(C34="Skema 1",B34="on"),Skemaoplysninger!$I$30,"")</f>
        <v/>
      </c>
      <c r="BJ34" s="210">
        <f>IF(AND(C34="Skema 1",B34="to"),Skemaoplysninger!$K$30,"")</f>
        <v>0.125</v>
      </c>
      <c r="BK34" s="210" t="str">
        <f>IF(AND(C34="Skema 1",B34="fr"),Skemaoplysninger!$M$30,"")</f>
        <v/>
      </c>
      <c r="BL34" s="210" t="str">
        <f>IF(AND(C34="Skema 2",B34="ma"),Skemaoplysninger!$S$30,"")</f>
        <v/>
      </c>
      <c r="BM34" s="210" t="str">
        <f>IF(AND(C34="Skema 2",B34="ti"),Skemaoplysninger!$U$30,"")</f>
        <v/>
      </c>
      <c r="BN34" s="210" t="str">
        <f>IF(AND(C34="Skema 2",B34="on"),Skemaoplysninger!$W$30,"")</f>
        <v/>
      </c>
      <c r="BO34" s="210" t="str">
        <f>IF(AND(C34="Skema 2",B34="to"),Skemaoplysninger!$Y$30,"")</f>
        <v/>
      </c>
      <c r="BP34" s="210" t="str">
        <f>IF(AND(C34="Skema 2",B34="fr"),Skemaoplysninger!$AA$30,"")</f>
        <v/>
      </c>
      <c r="BQ34" s="210" t="str">
        <f>IF(AND(C34="Skema 3",B34="ma"),Skemaoplysninger!$AG$30,"")</f>
        <v/>
      </c>
      <c r="BR34" s="210" t="str">
        <f>IF(AND(C34="Skema 3",B34="ti"),Skemaoplysninger!$AI$30,"")</f>
        <v/>
      </c>
      <c r="BS34" s="210" t="str">
        <f>IF(AND(C34="Skema 3",B34="on"),Skemaoplysninger!$AK$30,"")</f>
        <v/>
      </c>
      <c r="BT34" s="210" t="str">
        <f>IF(AND(C34="Skema 3",B34="to"),Skemaoplysninger!$AM$30,"")</f>
        <v/>
      </c>
      <c r="BU34" s="210" t="str">
        <f>IF(AND(C34="Skema 3",B34="fr"),Skemaoplysninger!$AO$30,"")</f>
        <v/>
      </c>
      <c r="BV34" s="210" t="str">
        <f>IF(AND(C34="Skema 4",B34="ma"),Skemaoplysninger!$AU$30,"")</f>
        <v/>
      </c>
      <c r="BW34" s="210" t="str">
        <f>IF(AND(C34="Skema 4",B34="ti"),Skemaoplysninger!$AW$30,"")</f>
        <v/>
      </c>
      <c r="BX34" s="210" t="str">
        <f>IF(AND(C34="Skema 4",B34="on"),Skemaoplysninger!$AY$30,"")</f>
        <v/>
      </c>
      <c r="BY34" s="210" t="str">
        <f>IF(AND(C34="Skema 4",B34="to"),Skemaoplysninger!$BA$30,"")</f>
        <v/>
      </c>
      <c r="BZ34" s="210" t="str">
        <f>IF(AND(C34="Skema 4",B34="fr"),Skemaoplysninger!$BC$30,"")</f>
        <v/>
      </c>
      <c r="CA34" s="1">
        <f t="shared" si="26"/>
        <v>3</v>
      </c>
      <c r="CB34" s="1">
        <f t="shared" si="11"/>
        <v>0</v>
      </c>
      <c r="CC34" s="1">
        <f t="shared" si="12"/>
        <v>0</v>
      </c>
      <c r="CD34" s="210" t="str">
        <f>IF(AND(C34="Skema 1",B34="ma"),Skemaoplysninger!$E$31,"")</f>
        <v/>
      </c>
      <c r="CE34" s="210" t="str">
        <f>IF(AND(C34="Skema 1",B34="ti"),Skemaoplysninger!$G$31,"")</f>
        <v/>
      </c>
      <c r="CF34" s="210" t="str">
        <f>IF(AND(C34="Skema 1",B34="on"),Skemaoplysninger!$I$31,"")</f>
        <v/>
      </c>
      <c r="CG34" s="210">
        <f>IF(AND(C34="Skema 1",B34="to"),Skemaoplysninger!$K$31,"")</f>
        <v>6.25E-2</v>
      </c>
      <c r="CH34" s="210" t="str">
        <f>IF(AND(C34="Skema 1",B34="fr"),Skemaoplysninger!$M$31,"")</f>
        <v/>
      </c>
      <c r="CI34" s="210" t="str">
        <f>IF(AND(C34="Skema 2",B34="ma"),Skemaoplysninger!$S$31,"")</f>
        <v/>
      </c>
      <c r="CJ34" s="210" t="str">
        <f>IF(AND(C34="Skema 2",B34="ti"),Skemaoplysninger!$U$31,"")</f>
        <v/>
      </c>
      <c r="CK34" s="210" t="str">
        <f>IF(AND(C34="Skema 2",B34="on"),Skemaoplysninger!$W$31,"")</f>
        <v/>
      </c>
      <c r="CL34" s="210" t="str">
        <f>IF(AND(C34="Skema 2",B34="to"),Skemaoplysninger!$Y$31,"")</f>
        <v/>
      </c>
      <c r="CM34" s="210" t="str">
        <f>IF(AND(C34="Skema 2",B34="fr"),Skemaoplysninger!$AA$31,"")</f>
        <v/>
      </c>
      <c r="CN34" s="210" t="str">
        <f>IF(AND(C34="Skema 3",B34="ma"),Skemaoplysninger!$AG$31,"")</f>
        <v/>
      </c>
      <c r="CO34" s="210" t="str">
        <f>IF(AND(C34="Skema 3",B34="ti"),Skemaoplysninger!$AI$31,"")</f>
        <v/>
      </c>
      <c r="CP34" s="210" t="str">
        <f>IF(AND(C34="Skema 3",B34="on"),Skemaoplysninger!$AK$31,"")</f>
        <v/>
      </c>
      <c r="CQ34" s="210" t="str">
        <f>IF(AND(C34="Skema 3",B34="to"),Skemaoplysninger!$AM$31,"")</f>
        <v/>
      </c>
      <c r="CR34" s="210" t="str">
        <f>IF(AND(C34="Skema 3",B34="fr"),Skemaoplysninger!$AO$31,"")</f>
        <v/>
      </c>
      <c r="CS34" s="210" t="str">
        <f>IF(AND(C34="Skema 4",B34="ma"),Skemaoplysninger!$AU$31,"")</f>
        <v/>
      </c>
      <c r="CT34" s="210" t="str">
        <f>IF(AND(C34="Skema 4",B34="ti"),Skemaoplysninger!$AW$31,"")</f>
        <v/>
      </c>
      <c r="CU34" s="210" t="str">
        <f>IF(AND(C34="Skema 4",B34="on"),Skemaoplysninger!$AY$31,"")</f>
        <v/>
      </c>
      <c r="CV34" s="210" t="str">
        <f>IF(AND(C34="Skema 4",B34="to"),Skemaoplysninger!$BA$31,"")</f>
        <v/>
      </c>
      <c r="CW34" s="210" t="str">
        <f>IF(AND(C34="Skema 4",B34="fr"),Skemaoplysninger!$BC$31,"")</f>
        <v/>
      </c>
      <c r="CX34" s="249">
        <f>IF(Stamoplysninger!$H$29="NEJ",SUM(CD34:CW34)*24+CB34+CC34,0)</f>
        <v>1.5</v>
      </c>
      <c r="CY34" s="249">
        <f>IF(C34="Skema 1",Stamoplysninger!$H$30/200,0)</f>
        <v>0</v>
      </c>
      <c r="CZ34" s="249">
        <f>IF(C34="Skema 2",Stamoplysninger!$H$30/200,0)</f>
        <v>0</v>
      </c>
      <c r="DA34" s="249">
        <f>IF(C34="Skema 3",Stamoplysninger!$H$30/200,0)</f>
        <v>0</v>
      </c>
      <c r="DB34" s="249">
        <f>IF(C34="Skema 4",Stamoplysninger!$H$30/200,0)</f>
        <v>0</v>
      </c>
      <c r="DC34" s="249">
        <f>IF(C34="fagdag",Stamoplysninger!$H$30/200,0)</f>
        <v>0</v>
      </c>
      <c r="DD34" s="249">
        <f>IF(C34="emnedag",Stamoplysninger!$H$30/200,0)</f>
        <v>0</v>
      </c>
      <c r="DE34" s="249">
        <f>IF(C34="lejrskole",Stamoplysninger!$H$30/200,0)</f>
        <v>0</v>
      </c>
      <c r="DF34" s="249">
        <f>IF(C34="ekskursion",Stamoplysninger!$H$30/200,0)</f>
        <v>0</v>
      </c>
      <c r="DG34" s="249">
        <f t="shared" si="27"/>
        <v>0</v>
      </c>
      <c r="DH34" t="str">
        <f t="shared" si="28"/>
        <v/>
      </c>
      <c r="DI34" t="str">
        <f t="shared" si="29"/>
        <v/>
      </c>
      <c r="DJ34" t="str">
        <f t="shared" si="30"/>
        <v>Skolehjemsamtaler</v>
      </c>
      <c r="DK34" t="str">
        <f t="shared" si="13"/>
        <v/>
      </c>
      <c r="DL34" t="str">
        <f t="shared" si="13"/>
        <v/>
      </c>
      <c r="DM34" t="str">
        <f t="shared" si="13"/>
        <v>Skolehjemsamtaler</v>
      </c>
      <c r="DN34" t="str">
        <f t="shared" si="31"/>
        <v>Skolehjemsamtaler</v>
      </c>
      <c r="DO34" s="652">
        <f>IF(AND(Stamoplysninger!$B$22="Ulempetillæg udbetales med 25% af nettotimelønnen.",H34&gt;0),(R34/4),0)</f>
        <v>0.75</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71">
        <f>IF(AND(Stamoplysninger!$B$22="Ulempetillæg udbetales med 25% af nettotimelønnen.",C34="ikke relevant"),(R34)/4,0)</f>
        <v>0</v>
      </c>
      <c r="DT34" s="671">
        <f>IF(AND(AND(Stamoplysninger!$B$22="Ulempetillæg udbetales med 25% af nettotimelønnen.",I34="X",C34="Ikke relevant")),K34/4,0)</f>
        <v>0</v>
      </c>
      <c r="DU34" s="671">
        <f>IF(AND(AND(Stamoplysninger!$B$22="Ulempetillæg udbetales med 25% af nettotimelønnen.",C34="ikke relevant",U34="X")),(X34/4),0)</f>
        <v>0</v>
      </c>
      <c r="DV34" s="672">
        <f>IF(AND(AND(AND(Stamoplysninger!$B$22="Ulempetillæg udbetales med 25% af nettotimelønnen.",I34="X",C34="Ikke relevant",S34="X"))),V34/4,0)</f>
        <v>0</v>
      </c>
      <c r="DW34" s="652"/>
      <c r="DZ34" s="671"/>
      <c r="EA34" s="671"/>
      <c r="EB34" s="672"/>
      <c r="EC34" s="652">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71">
        <f>IF(AND(Stamoplysninger!$B$22="Ulempetillæg afspadseres med 25%(Kræver en aftale imellem ledelsen og den ansatte)",C34="ikke relevant"),(R34)/4,0)</f>
        <v>0</v>
      </c>
      <c r="EH34" s="671">
        <f>IF(AND(AND(Stamoplysninger!$B$22="Ulempetillæg afspadseres med 25%(Kræver en aftale imellem ledelsen og den ansatte)",I34="X",C34="Ikke relevant")),K34/4,0)</f>
        <v>0</v>
      </c>
      <c r="EI34" s="671">
        <f>IF(AND(AND(Stamoplysninger!$B$22="Ulempetillæg afspadseres med 25%(Kræver en aftale imellem ledelsen og den ansatte)",U34="X",C34="Ikke relevant")),X34/4,0)</f>
        <v>0</v>
      </c>
      <c r="EJ34" s="671">
        <f>IF(AND(AND(AND(Stamoplysninger!$B$22="Ulempetillæg afspadseres med 25%(Kræver en aftale imellem ledelsen og den ansatte)",I34="X",C34="Ikke relevant",S34="X"))),V34/4,0)</f>
        <v>0</v>
      </c>
      <c r="EK34" s="283">
        <f>IF(AND(Stamoplysninger!$B$26="Weekendtimer og weekendtillæg afspadseres.",I34="X"),K34*1.5,0)</f>
        <v>0</v>
      </c>
      <c r="EL34" s="251">
        <f>IF(AND(AND(Stamoplysninger!$B$26="Weekendtimer og weekendtillæg afspadseres.",I34="X",S34="X")),V34*1.5,0)</f>
        <v>0</v>
      </c>
      <c r="EM34" s="674">
        <f>IF(AND(AND(Stamoplysninger!$B$26="Weekendtimer og weekendtillæg afspadseres.",I34="X",C34="ikke relevant")),K34*1.5,0)</f>
        <v>0</v>
      </c>
      <c r="EN34" s="675">
        <f>IF(AND(AND(AND(Stamoplysninger!$B$26="Weekendtimer og weekendtillæg afspadseres.",I34="X",C34="ikke relevant",S34="X"))),(V34*1.5),0)</f>
        <v>0</v>
      </c>
      <c r="EO34" s="283">
        <f>IF(AND(Stamoplysninger!$B$26="Weekendtimer og weekendtillæg udbetales.",I34="X"),K34*1.5,0)</f>
        <v>0</v>
      </c>
      <c r="EP34" s="251">
        <f>IF(AND(AND(Stamoplysninger!$B$26="Weekendtimer og weekendtillæg udbetales.",I34="X",S34="X")),V34*1.5,0)</f>
        <v>0</v>
      </c>
      <c r="EQ34" s="674">
        <f>IF(AND(AND(Stamoplysninger!$B$26="Weekendtimer og weekendtillæg udbetales.",I34="X",C34="ikke relevant")),K34*1.5,0)</f>
        <v>0</v>
      </c>
      <c r="ER34" s="675">
        <f>IF(AND(AND(AND(Stamoplysninger!$B$26="Weekendtimer og weekendtillæg udbetales.",I34="X",C34="ikke relevant",S34="X"))),(V34*1.5),0)</f>
        <v>0</v>
      </c>
      <c r="ES34" s="283">
        <f>IF(AND(Stamoplysninger!$B$26="Der er indgået lokalaftale omkring weekendtimer.(Kræver aftale med TR/FSL) Weekendtillæg afspadseres.",I34="X"),K34*0.5,0)</f>
        <v>0</v>
      </c>
      <c r="ET34" s="251">
        <f>IF(AND(AND(Stamoplysninger!$B$26="Der er indgået lokalaftale omkring weekendtimer.(Kræver aftale med TR/FSL) Weekendtillæg afspadseres.",I34="X",S34="X")),V34*0.5,0)</f>
        <v>0</v>
      </c>
      <c r="EU34" s="674">
        <f>IF(AND(AND(Stamoplysninger!$B$26="Der er indgået lokalaftale omkring weekendtimer.(Kræver aftale med TR/FSL) Weekendtillæg afspadseres.",I34="X",C34="ikke relevant")),K34*0.5,0)</f>
        <v>0</v>
      </c>
      <c r="EV34" s="675">
        <f>IF(AND(AND(AND(Stamoplysninger!$B$26="Der er indgået lokalaftale omkring weekendtimer.(Kræver aftale med TR/FSL) Weekendtillæg afspadseres.",I34="X",C34="ikke relevant",S34="X"))),(V34*0.5),0)</f>
        <v>0</v>
      </c>
      <c r="EW34" s="283">
        <f>IF(AND(Stamoplysninger!$B$26="Der er indgået lokalaftale omkring weekendtimer(Kræver aftale med TR/FSL). Weekendtillæg udbetales.",I34="X"),K34*0.5,0)</f>
        <v>0</v>
      </c>
      <c r="EX34" s="251">
        <f>IF(AND(AND(Stamoplysninger!$B$26="Der er indgået lokalaftale omkring weekendtimer(Kræver aftale med TR/FSL). Weekendtillæg udbetales.",I34="X",S34="X")),V34*0.5,0)</f>
        <v>0</v>
      </c>
      <c r="EY34" s="674">
        <f>IF(AND(AND(Stamoplysninger!$B$26="Der er indgået lokalaftale omkring weekendtimer(Kræver aftale med TR/FSL). Weekendtillæg udbetales.",I34="X",C34="ikke relevant")),K34*0.5,0)</f>
        <v>0</v>
      </c>
      <c r="EZ34" s="675">
        <f>IF(AND(AND(AND(Stamoplysninger!$B$26="Der er indgået lokalaftale omkring weekendtimer(Kræver aftale med TR/FSL). Weekendtillæg udbetales.",I34="X",C34="ikke relevant",S34="X"))),(V34*0.5),0)</f>
        <v>0</v>
      </c>
      <c r="FA34" s="283">
        <f>IF(AND(Stamoplysninger!$B$26="Der er indgået lokalaftale omkring weekendtillæg(Kræver aftale med TR/FSL). Weekendtimerne afspadseres.",I34="X"),K34,0)</f>
        <v>0</v>
      </c>
      <c r="FB34" s="251">
        <f>IF(AND(AND(Stamoplysninger!$B$26="Der er indgået lokalaftale omkring weekendtillæg(Kræver aftale med TR/FSL). Weekendtimerne afspadseres.",I34="X",S34="X")),V34,0)</f>
        <v>0</v>
      </c>
      <c r="FC34" s="674">
        <f>IF(AND(AND(Stamoplysninger!$B$26="Der er indgået lokalaftale omkring weekendtillæg(Kræver aftale med TR/FSL). Weekendtimerne afspadseres..",I34="X",C34="ikke relevant")),K34,0)</f>
        <v>0</v>
      </c>
      <c r="FD34" s="675">
        <f>IF(AND(AND(AND(Stamoplysninger!$B$26="Der er indgået lokalaftale omkring weekendtillæg(Kræver aftale med TR/FSL). Weekendtimerne afspadseres.",I34="X",C34="ikke relevant",S34="X"))),(V34),0)</f>
        <v>0</v>
      </c>
      <c r="FE34" s="283">
        <f>IF(AND(Stamoplysninger!$B$26="Der er indgået lokalaftale omkring weekendtillæg(Kræver aftale med TR/FSL). Weekendtimerne udbetales.",I34="X"),K34,0)</f>
        <v>0</v>
      </c>
      <c r="FF34" s="251">
        <f>IF(AND(AND(Stamoplysninger!$B$26="Der er indgået lokalaftale omkring weekendtillæg(Kræver aftale med TR/FSL). Weekendtimerne udbetales.",I34="X",S34="X")),V34,0)</f>
        <v>0</v>
      </c>
      <c r="FG34" s="674">
        <f>IF(AND(AND(Stamoplysninger!$B$26="Der er indgået lokalaftale omkring weekendtillæg(Kræver aftale med TR/FSL). Weekendtimerne udbetales.",I34="X",C34="ikke relevant")),K34,0)</f>
        <v>0</v>
      </c>
      <c r="FH34" s="675">
        <f>IF(AND(AND(AND(Stamoplysninger!$B$26="Der er indgået lokalaftale omkring weekendtillæg(Kræver aftale med TR/FSL). Weekendtimerne udbetales.",I34="X",C34="ikke relevant",S34="X"))),(V34),0)</f>
        <v>0</v>
      </c>
      <c r="FI34" s="283">
        <f>IF(AND(Stamoplysninger!$B$26="Weekendtimer og weekendtillæg afspadseres.",I34="X"),K34,0)</f>
        <v>0</v>
      </c>
      <c r="FJ34" s="251">
        <f>IF(AND(Stamoplysninger!$B$26="Weekendtimer og weekendtillæg afspadseres.",Y34="X"),(AA34+AL34)/2,0)</f>
        <v>0</v>
      </c>
      <c r="FK34" s="674">
        <f>IF(AND(AND(Stamoplysninger!$B$26="Weekendtimer og weekendtillæg afspadseres.",I34="X",C34="ikke relevant")),K34,0)</f>
        <v>0</v>
      </c>
      <c r="FL34" s="675">
        <f>IF(AND(AND(Stamoplysninger!$B$26="Weekendtimer og weekendtillæg afspadseres.",Y34="X",S34="ikke relevant")),(AA34+AL34)/2,0)</f>
        <v>0</v>
      </c>
      <c r="FM34" s="283">
        <f>IF(AND(Stamoplysninger!$B$26="Der er indgået lokalaftale omkring weekendtillæg(Kræver aftale med TR/FSL). Weekendtimerne afspadseres.",I34="X"),K34,0)</f>
        <v>0</v>
      </c>
      <c r="FN34" s="674">
        <f>IF(AND(AND(Stamoplysninger!$B$26="Der er indgået lokalaftale omkring weekendtillæg(Kræver aftale med TR/FSL). Weekendtimerne afspadseres.",I34="X",C34="ikke relevant")),K34,0)</f>
        <v>0</v>
      </c>
      <c r="FO34" s="283">
        <f>IF(AND(Stamoplysninger!$B$26="Weekendtimer og weekendtillæg udbetales.",I34="X"),K34,0)</f>
        <v>0</v>
      </c>
      <c r="FP34" s="251">
        <f>IF(AND(Stamoplysninger!$B$26="Weekendtimer og weekendtillæg udbetales.",AA34="X"),(AC34+AN34)/2,0)</f>
        <v>0</v>
      </c>
      <c r="FQ34" s="674">
        <f>IF(AND(AND(Stamoplysninger!$B$26="Weekendtimer og weekendtillæg udbetales.",I34="X",C34="ikke relevant")),K34,0)</f>
        <v>0</v>
      </c>
      <c r="FR34" s="688">
        <f>IF(AND(AND(Stamoplysninger!$B$26="Weekendtimer og weekendtillæg udbetales.",AA34="X",U34="ikke relevant")),(AC34+AN34)/2,0)</f>
        <v>0</v>
      </c>
      <c r="FS34" s="283">
        <f t="shared" si="15"/>
        <v>0</v>
      </c>
      <c r="FT34" s="658">
        <f t="shared" si="16"/>
        <v>0</v>
      </c>
      <c r="FU34">
        <f>IF(AND(C34="weekend",I34="X"),K34,0)</f>
        <v>0</v>
      </c>
      <c r="FV34" s="283">
        <f>IF(AND(Stamoplysninger!$B$26="Der er indgået lokalaftale omkring weekendtimer.(Kræver aftale med TR/FSL) Weekendtillæg afspadseres.",I34="X"),K34,0)</f>
        <v>0</v>
      </c>
      <c r="FW34" s="674">
        <f>IF(AND(AND(Stamoplysninger!$B$26="Der er indgået lokalaftale omkring weekendtimer.(Kræver aftale med TR/FSL) Weekendtillæg afspadseres.",I34="X",C34="ikke relevant")),K34,0)</f>
        <v>0</v>
      </c>
      <c r="FX34" s="283">
        <f>IF(AND(Stamoplysninger!$B$26="Der er indgået lokalaftale omkring weekendtimer(Kræver aftale med TR/FSL). Weekendtillæg udbetales.",I34="X"),K34,0)</f>
        <v>0</v>
      </c>
      <c r="FY34" s="674">
        <f>IF(AND(AND(Stamoplysninger!$B$26="Der er indgået lokalaftale omkring weekendtimer(Kræver aftale med TR/FSL). Weekendtillæg udbetales.",I34="X",C34="ikke relevant")),K34,0)</f>
        <v>0</v>
      </c>
      <c r="FZ34" s="283">
        <f>IF(AND(Stamoplysninger!$B$26="Der er indgået lokalaftale omkring weekendtillæg(Kræver aftale med TR/FSL). Weekendtimerne udbetales.",I34="X"),K34,0)</f>
        <v>0</v>
      </c>
      <c r="GA34" s="674">
        <f>IF(AND(AND(Stamoplysninger!$B$26="Der er indgået lokalaftale omkring weekendtillæg(Kræver aftale med TR/FSL). Weekendtimerne udbetales.",I34="X",C34="ikke relevant")),K34,0)</f>
        <v>0</v>
      </c>
      <c r="GB34" s="283">
        <f>IF(AND(Stamoplysninger!$B$26="Der er indgået lokalaftale omkring weekendtimer og weekendtillæg.(Kræver aftale med TR/FSL).",I34="X"),K34,0)</f>
        <v>0</v>
      </c>
      <c r="GC34" s="674">
        <f>IF(AND(AND(Stamoplysninger!$B$26="Der er indgået lokalaftale omkring weekendtimer og weekendtillæg.(Kræver aftale med TR/FSL).",I34="X",C34="ikke relevant")),K34,0)</f>
        <v>0</v>
      </c>
    </row>
    <row r="35" spans="1:185">
      <c r="A35" s="245">
        <f t="shared" si="18"/>
        <v>27</v>
      </c>
      <c r="B35" s="128" t="str">
        <f t="shared" si="0"/>
        <v>fr</v>
      </c>
      <c r="C35" s="129" t="s">
        <v>206</v>
      </c>
      <c r="D35" s="130" t="str">
        <f t="shared" si="1"/>
        <v/>
      </c>
      <c r="E35" s="917"/>
      <c r="F35" s="918"/>
      <c r="G35" s="919"/>
      <c r="H35" s="298" t="s">
        <v>701</v>
      </c>
      <c r="I35" s="527"/>
      <c r="J35" s="413"/>
      <c r="K35" s="380"/>
      <c r="L35" s="380"/>
      <c r="M35" s="380"/>
      <c r="N35" s="318">
        <f t="shared" si="19"/>
        <v>6.75</v>
      </c>
      <c r="O35" s="318">
        <f t="shared" si="20"/>
        <v>3</v>
      </c>
      <c r="P35" s="318">
        <f>IF(Stamoplysninger!$H$29="JA",September!DG35,CX35)</f>
        <v>1.5</v>
      </c>
      <c r="Q35" s="318">
        <f t="shared" si="21"/>
        <v>2.25</v>
      </c>
      <c r="R35" s="319">
        <v>3</v>
      </c>
      <c r="S35" s="324"/>
      <c r="T35" s="325"/>
      <c r="U35" s="325"/>
      <c r="V35" s="435"/>
      <c r="W35" s="435"/>
      <c r="X35" s="644"/>
      <c r="Y35">
        <f t="shared" si="22"/>
        <v>0</v>
      </c>
      <c r="Z35" s="437">
        <f t="shared" si="23"/>
        <v>0</v>
      </c>
      <c r="AA35" s="1">
        <f t="shared" si="2"/>
        <v>0</v>
      </c>
      <c r="AB35" s="1">
        <f t="shared" si="3"/>
        <v>0</v>
      </c>
      <c r="AC35" s="1">
        <f t="shared" si="4"/>
        <v>0</v>
      </c>
      <c r="AD35" s="1">
        <f t="shared" si="5"/>
        <v>0</v>
      </c>
      <c r="AE35" s="1">
        <f t="shared" si="6"/>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f>IF(AND(C35="Skema 1",B35="fr"),Arbejdstidsoversigt!$E$76,"")</f>
        <v>6.75</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4"/>
        <v>6.75</v>
      </c>
      <c r="BB35" s="229">
        <f t="shared" si="7"/>
        <v>162</v>
      </c>
      <c r="BC35" s="1">
        <f t="shared" si="25"/>
        <v>0</v>
      </c>
      <c r="BD35" s="1">
        <f t="shared" si="8"/>
        <v>0</v>
      </c>
      <c r="BE35" s="1">
        <f t="shared" si="9"/>
        <v>0</v>
      </c>
      <c r="BF35" s="1">
        <f t="shared" si="10"/>
        <v>0</v>
      </c>
      <c r="BG35" s="210" t="str">
        <f>IF(AND(C35="Skema 1",B35="ma"),Skemaoplysninger!$E$30,"")</f>
        <v/>
      </c>
      <c r="BH35" s="210" t="str">
        <f>IF(AND(C35="Skema 1",B35="ti"),Skemaoplysninger!$G$30,"")</f>
        <v/>
      </c>
      <c r="BI35" s="210" t="str">
        <f>IF(AND(C35="Skema 1",B35="on"),Skemaoplysninger!$I$30,"")</f>
        <v/>
      </c>
      <c r="BJ35" s="210" t="str">
        <f>IF(AND(C35="Skema 1",B35="to"),Skemaoplysninger!$K$30,"")</f>
        <v/>
      </c>
      <c r="BK35" s="210">
        <f>IF(AND(C35="Skema 1",B35="fr"),Skemaoplysninger!$M$30,"")</f>
        <v>0.125</v>
      </c>
      <c r="BL35" s="210" t="str">
        <f>IF(AND(C35="Skema 2",B35="ma"),Skemaoplysninger!$S$30,"")</f>
        <v/>
      </c>
      <c r="BM35" s="210" t="str">
        <f>IF(AND(C35="Skema 2",B35="ti"),Skemaoplysninger!$U$30,"")</f>
        <v/>
      </c>
      <c r="BN35" s="210" t="str">
        <f>IF(AND(C35="Skema 2",B35="on"),Skemaoplysninger!$W$30,"")</f>
        <v/>
      </c>
      <c r="BO35" s="210" t="str">
        <f>IF(AND(C35="Skema 2",B35="to"),Skemaoplysninger!$Y$30,"")</f>
        <v/>
      </c>
      <c r="BP35" s="210" t="str">
        <f>IF(AND(C35="Skema 2",B35="fr"),Skemaoplysninger!$AA$30,"")</f>
        <v/>
      </c>
      <c r="BQ35" s="210" t="str">
        <f>IF(AND(C35="Skema 3",B35="ma"),Skemaoplysninger!$AG$30,"")</f>
        <v/>
      </c>
      <c r="BR35" s="210" t="str">
        <f>IF(AND(C35="Skema 3",B35="ti"),Skemaoplysninger!$AI$30,"")</f>
        <v/>
      </c>
      <c r="BS35" s="210" t="str">
        <f>IF(AND(C35="Skema 3",B35="on"),Skemaoplysninger!$AK$30,"")</f>
        <v/>
      </c>
      <c r="BT35" s="210" t="str">
        <f>IF(AND(C35="Skema 3",B35="to"),Skemaoplysninger!$AM$30,"")</f>
        <v/>
      </c>
      <c r="BU35" s="210" t="str">
        <f>IF(AND(C35="Skema 3",B35="fr"),Skemaoplysninger!$AO$30,"")</f>
        <v/>
      </c>
      <c r="BV35" s="210" t="str">
        <f>IF(AND(C35="Skema 4",B35="ma"),Skemaoplysninger!$AU$30,"")</f>
        <v/>
      </c>
      <c r="BW35" s="210" t="str">
        <f>IF(AND(C35="Skema 4",B35="ti"),Skemaoplysninger!$AW$30,"")</f>
        <v/>
      </c>
      <c r="BX35" s="210" t="str">
        <f>IF(AND(C35="Skema 4",B35="on"),Skemaoplysninger!$AY$30,"")</f>
        <v/>
      </c>
      <c r="BY35" s="210" t="str">
        <f>IF(AND(C35="Skema 4",B35="to"),Skemaoplysninger!$BA$30,"")</f>
        <v/>
      </c>
      <c r="BZ35" s="210" t="str">
        <f>IF(AND(C35="Skema 4",B35="fr"),Skemaoplysninger!$BC$30,"")</f>
        <v/>
      </c>
      <c r="CA35" s="1">
        <f t="shared" si="26"/>
        <v>3</v>
      </c>
      <c r="CB35" s="1">
        <f t="shared" si="11"/>
        <v>0</v>
      </c>
      <c r="CC35" s="1">
        <f t="shared" si="12"/>
        <v>0</v>
      </c>
      <c r="CD35" s="210" t="str">
        <f>IF(AND(C35="Skema 1",B35="ma"),Skemaoplysninger!$E$31,"")</f>
        <v/>
      </c>
      <c r="CE35" s="210" t="str">
        <f>IF(AND(C35="Skema 1",B35="ti"),Skemaoplysninger!$G$31,"")</f>
        <v/>
      </c>
      <c r="CF35" s="210" t="str">
        <f>IF(AND(C35="Skema 1",B35="on"),Skemaoplysninger!$I$31,"")</f>
        <v/>
      </c>
      <c r="CG35" s="210" t="str">
        <f>IF(AND(C35="Skema 1",B35="to"),Skemaoplysninger!$K$31,"")</f>
        <v/>
      </c>
      <c r="CH35" s="210">
        <f>IF(AND(C35="Skema 1",B35="fr"),Skemaoplysninger!$M$31,"")</f>
        <v>6.25E-2</v>
      </c>
      <c r="CI35" s="210" t="str">
        <f>IF(AND(C35="Skema 2",B35="ma"),Skemaoplysninger!$S$31,"")</f>
        <v/>
      </c>
      <c r="CJ35" s="210" t="str">
        <f>IF(AND(C35="Skema 2",B35="ti"),Skemaoplysninger!$U$31,"")</f>
        <v/>
      </c>
      <c r="CK35" s="210" t="str">
        <f>IF(AND(C35="Skema 2",B35="on"),Skemaoplysninger!$W$31,"")</f>
        <v/>
      </c>
      <c r="CL35" s="210" t="str">
        <f>IF(AND(C35="Skema 2",B35="to"),Skemaoplysninger!$Y$31,"")</f>
        <v/>
      </c>
      <c r="CM35" s="210" t="str">
        <f>IF(AND(C35="Skema 2",B35="fr"),Skemaoplysninger!$AA$31,"")</f>
        <v/>
      </c>
      <c r="CN35" s="210" t="str">
        <f>IF(AND(C35="Skema 3",B35="ma"),Skemaoplysninger!$AG$31,"")</f>
        <v/>
      </c>
      <c r="CO35" s="210" t="str">
        <f>IF(AND(C35="Skema 3",B35="ti"),Skemaoplysninger!$AI$31,"")</f>
        <v/>
      </c>
      <c r="CP35" s="210" t="str">
        <f>IF(AND(C35="Skema 3",B35="on"),Skemaoplysninger!$AK$31,"")</f>
        <v/>
      </c>
      <c r="CQ35" s="210" t="str">
        <f>IF(AND(C35="Skema 3",B35="to"),Skemaoplysninger!$AM$31,"")</f>
        <v/>
      </c>
      <c r="CR35" s="210" t="str">
        <f>IF(AND(C35="Skema 3",B35="fr"),Skemaoplysninger!$AO$31,"")</f>
        <v/>
      </c>
      <c r="CS35" s="210" t="str">
        <f>IF(AND(C35="Skema 4",B35="ma"),Skemaoplysninger!$AU$31,"")</f>
        <v/>
      </c>
      <c r="CT35" s="210" t="str">
        <f>IF(AND(C35="Skema 4",B35="ti"),Skemaoplysninger!$AW$31,"")</f>
        <v/>
      </c>
      <c r="CU35" s="210" t="str">
        <f>IF(AND(C35="Skema 4",B35="on"),Skemaoplysninger!$AY$31,"")</f>
        <v/>
      </c>
      <c r="CV35" s="210" t="str">
        <f>IF(AND(C35="Skema 4",B35="to"),Skemaoplysninger!$BA$31,"")</f>
        <v/>
      </c>
      <c r="CW35" s="210" t="str">
        <f>IF(AND(C35="Skema 4",B35="fr"),Skemaoplysninger!$BC$31,"")</f>
        <v/>
      </c>
      <c r="CX35" s="249">
        <f>IF(Stamoplysninger!$H$29="NEJ",SUM(CD35:CW35)*24+CB35+CC35,0)</f>
        <v>1.5</v>
      </c>
      <c r="CY35" s="249">
        <f>IF(C35="Skema 1",Stamoplysninger!$H$30/200,0)</f>
        <v>0</v>
      </c>
      <c r="CZ35" s="249">
        <f>IF(C35="Skema 2",Stamoplysninger!$H$30/200,0)</f>
        <v>0</v>
      </c>
      <c r="DA35" s="249">
        <f>IF(C35="Skema 3",Stamoplysninger!$H$30/200,0)</f>
        <v>0</v>
      </c>
      <c r="DB35" s="249">
        <f>IF(C35="Skema 4",Stamoplysninger!$H$30/200,0)</f>
        <v>0</v>
      </c>
      <c r="DC35" s="249">
        <f>IF(C35="fagdag",Stamoplysninger!$H$30/200,0)</f>
        <v>0</v>
      </c>
      <c r="DD35" s="249">
        <f>IF(C35="emnedag",Stamoplysninger!$H$30/200,0)</f>
        <v>0</v>
      </c>
      <c r="DE35" s="249">
        <f>IF(C35="lejrskole",Stamoplysninger!$H$30/200,0)</f>
        <v>0</v>
      </c>
      <c r="DF35" s="249">
        <f>IF(C35="ekskursion",Stamoplysninger!$H$30/200,0)</f>
        <v>0</v>
      </c>
      <c r="DG35" s="249">
        <f t="shared" si="27"/>
        <v>0</v>
      </c>
      <c r="DH35" t="str">
        <f t="shared" si="28"/>
        <v/>
      </c>
      <c r="DI35" t="str">
        <f t="shared" si="29"/>
        <v/>
      </c>
      <c r="DJ35" t="str">
        <f t="shared" si="30"/>
        <v>Skolehjemsamtaler</v>
      </c>
      <c r="DK35" t="str">
        <f t="shared" si="13"/>
        <v/>
      </c>
      <c r="DL35" t="str">
        <f t="shared" si="13"/>
        <v/>
      </c>
      <c r="DM35" t="str">
        <f t="shared" si="13"/>
        <v>Skolehjemsamtaler</v>
      </c>
      <c r="DN35" t="str">
        <f t="shared" si="31"/>
        <v>Skolehjemsamtaler</v>
      </c>
      <c r="DO35" s="652">
        <f>IF(AND(Stamoplysninger!$B$22="Ulempetillæg udbetales med 25% af nettotimelønnen.",H35&gt;0),(R35/4),0)</f>
        <v>0.75</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71">
        <f>IF(AND(Stamoplysninger!$B$22="Ulempetillæg udbetales med 25% af nettotimelønnen.",C35="ikke relevant"),(R35)/4,0)</f>
        <v>0</v>
      </c>
      <c r="DT35" s="671">
        <f>IF(AND(AND(Stamoplysninger!$B$22="Ulempetillæg udbetales med 25% af nettotimelønnen.",I35="X",C35="Ikke relevant")),K35/4,0)</f>
        <v>0</v>
      </c>
      <c r="DU35" s="671">
        <f>IF(AND(AND(Stamoplysninger!$B$22="Ulempetillæg udbetales med 25% af nettotimelønnen.",C35="ikke relevant",U35="X")),(X35/4),0)</f>
        <v>0</v>
      </c>
      <c r="DV35" s="672">
        <f>IF(AND(AND(AND(Stamoplysninger!$B$22="Ulempetillæg udbetales med 25% af nettotimelønnen.",I35="X",C35="Ikke relevant",S35="X"))),V35/4,0)</f>
        <v>0</v>
      </c>
      <c r="DW35" s="652"/>
      <c r="DZ35" s="671"/>
      <c r="EA35" s="671"/>
      <c r="EB35" s="672"/>
      <c r="EC35" s="652">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71">
        <f>IF(AND(Stamoplysninger!$B$22="Ulempetillæg afspadseres med 25%(Kræver en aftale imellem ledelsen og den ansatte)",C35="ikke relevant"),(R35)/4,0)</f>
        <v>0</v>
      </c>
      <c r="EH35" s="671">
        <f>IF(AND(AND(Stamoplysninger!$B$22="Ulempetillæg afspadseres med 25%(Kræver en aftale imellem ledelsen og den ansatte)",I35="X",C35="Ikke relevant")),K35/4,0)</f>
        <v>0</v>
      </c>
      <c r="EI35" s="671">
        <f>IF(AND(AND(Stamoplysninger!$B$22="Ulempetillæg afspadseres med 25%(Kræver en aftale imellem ledelsen og den ansatte)",U35="X",C35="Ikke relevant")),X35/4,0)</f>
        <v>0</v>
      </c>
      <c r="EJ35" s="671">
        <f>IF(AND(AND(AND(Stamoplysninger!$B$22="Ulempetillæg afspadseres med 25%(Kræver en aftale imellem ledelsen og den ansatte)",I35="X",C35="Ikke relevant",S35="X"))),V35/4,0)</f>
        <v>0</v>
      </c>
      <c r="EK35" s="283">
        <f>IF(AND(Stamoplysninger!$B$26="Weekendtimer og weekendtillæg afspadseres.",I35="X"),K35*1.5,0)</f>
        <v>0</v>
      </c>
      <c r="EL35" s="251">
        <f>IF(AND(AND(Stamoplysninger!$B$26="Weekendtimer og weekendtillæg afspadseres.",I35="X",S35="X")),V35*1.5,0)</f>
        <v>0</v>
      </c>
      <c r="EM35" s="674">
        <f>IF(AND(AND(Stamoplysninger!$B$26="Weekendtimer og weekendtillæg afspadseres.",I35="X",C35="ikke relevant")),K35*1.5,0)</f>
        <v>0</v>
      </c>
      <c r="EN35" s="675">
        <f>IF(AND(AND(AND(Stamoplysninger!$B$26="Weekendtimer og weekendtillæg afspadseres.",I35="X",C35="ikke relevant",S35="X"))),(V35*1.5),0)</f>
        <v>0</v>
      </c>
      <c r="EO35" s="283">
        <f>IF(AND(Stamoplysninger!$B$26="Weekendtimer og weekendtillæg udbetales.",I35="X"),K35*1.5,0)</f>
        <v>0</v>
      </c>
      <c r="EP35" s="251">
        <f>IF(AND(AND(Stamoplysninger!$B$26="Weekendtimer og weekendtillæg udbetales.",I35="X",S35="X")),V35*1.5,0)</f>
        <v>0</v>
      </c>
      <c r="EQ35" s="674">
        <f>IF(AND(AND(Stamoplysninger!$B$26="Weekendtimer og weekendtillæg udbetales.",I35="X",C35="ikke relevant")),K35*1.5,0)</f>
        <v>0</v>
      </c>
      <c r="ER35" s="675">
        <f>IF(AND(AND(AND(Stamoplysninger!$B$26="Weekendtimer og weekendtillæg udbetales.",I35="X",C35="ikke relevant",S35="X"))),(V35*1.5),0)</f>
        <v>0</v>
      </c>
      <c r="ES35" s="283">
        <f>IF(AND(Stamoplysninger!$B$26="Der er indgået lokalaftale omkring weekendtimer.(Kræver aftale med TR/FSL) Weekendtillæg afspadseres.",I35="X"),K35*0.5,0)</f>
        <v>0</v>
      </c>
      <c r="ET35" s="251">
        <f>IF(AND(AND(Stamoplysninger!$B$26="Der er indgået lokalaftale omkring weekendtimer.(Kræver aftale med TR/FSL) Weekendtillæg afspadseres.",I35="X",S35="X")),V35*0.5,0)</f>
        <v>0</v>
      </c>
      <c r="EU35" s="674">
        <f>IF(AND(AND(Stamoplysninger!$B$26="Der er indgået lokalaftale omkring weekendtimer.(Kræver aftale med TR/FSL) Weekendtillæg afspadseres.",I35="X",C35="ikke relevant")),K35*0.5,0)</f>
        <v>0</v>
      </c>
      <c r="EV35" s="675">
        <f>IF(AND(AND(AND(Stamoplysninger!$B$26="Der er indgået lokalaftale omkring weekendtimer.(Kræver aftale med TR/FSL) Weekendtillæg afspadseres.",I35="X",C35="ikke relevant",S35="X"))),(V35*0.5),0)</f>
        <v>0</v>
      </c>
      <c r="EW35" s="283">
        <f>IF(AND(Stamoplysninger!$B$26="Der er indgået lokalaftale omkring weekendtimer(Kræver aftale med TR/FSL). Weekendtillæg udbetales.",I35="X"),K35*0.5,0)</f>
        <v>0</v>
      </c>
      <c r="EX35" s="251">
        <f>IF(AND(AND(Stamoplysninger!$B$26="Der er indgået lokalaftale omkring weekendtimer(Kræver aftale med TR/FSL). Weekendtillæg udbetales.",I35="X",S35="X")),V35*0.5,0)</f>
        <v>0</v>
      </c>
      <c r="EY35" s="674">
        <f>IF(AND(AND(Stamoplysninger!$B$26="Der er indgået lokalaftale omkring weekendtimer(Kræver aftale med TR/FSL). Weekendtillæg udbetales.",I35="X",C35="ikke relevant")),K35*0.5,0)</f>
        <v>0</v>
      </c>
      <c r="EZ35" s="675">
        <f>IF(AND(AND(AND(Stamoplysninger!$B$26="Der er indgået lokalaftale omkring weekendtimer(Kræver aftale med TR/FSL). Weekendtillæg udbetales.",I35="X",C35="ikke relevant",S35="X"))),(V35*0.5),0)</f>
        <v>0</v>
      </c>
      <c r="FA35" s="283">
        <f>IF(AND(Stamoplysninger!$B$26="Der er indgået lokalaftale omkring weekendtillæg(Kræver aftale med TR/FSL). Weekendtimerne afspadseres.",I35="X"),K35,0)</f>
        <v>0</v>
      </c>
      <c r="FB35" s="251">
        <f>IF(AND(AND(Stamoplysninger!$B$26="Der er indgået lokalaftale omkring weekendtillæg(Kræver aftale med TR/FSL). Weekendtimerne afspadseres.",I35="X",S35="X")),V35,0)</f>
        <v>0</v>
      </c>
      <c r="FC35" s="674">
        <f>IF(AND(AND(Stamoplysninger!$B$26="Der er indgået lokalaftale omkring weekendtillæg(Kræver aftale med TR/FSL). Weekendtimerne afspadseres..",I35="X",C35="ikke relevant")),K35,0)</f>
        <v>0</v>
      </c>
      <c r="FD35" s="675">
        <f>IF(AND(AND(AND(Stamoplysninger!$B$26="Der er indgået lokalaftale omkring weekendtillæg(Kræver aftale med TR/FSL). Weekendtimerne afspadseres.",I35="X",C35="ikke relevant",S35="X"))),(V35),0)</f>
        <v>0</v>
      </c>
      <c r="FE35" s="283">
        <f>IF(AND(Stamoplysninger!$B$26="Der er indgået lokalaftale omkring weekendtillæg(Kræver aftale med TR/FSL). Weekendtimerne udbetales.",I35="X"),K35,0)</f>
        <v>0</v>
      </c>
      <c r="FF35" s="251">
        <f>IF(AND(AND(Stamoplysninger!$B$26="Der er indgået lokalaftale omkring weekendtillæg(Kræver aftale med TR/FSL). Weekendtimerne udbetales.",I35="X",S35="X")),V35,0)</f>
        <v>0</v>
      </c>
      <c r="FG35" s="674">
        <f>IF(AND(AND(Stamoplysninger!$B$26="Der er indgået lokalaftale omkring weekendtillæg(Kræver aftale med TR/FSL). Weekendtimerne udbetales.",I35="X",C35="ikke relevant")),K35,0)</f>
        <v>0</v>
      </c>
      <c r="FH35" s="675">
        <f>IF(AND(AND(AND(Stamoplysninger!$B$26="Der er indgået lokalaftale omkring weekendtillæg(Kræver aftale med TR/FSL). Weekendtimerne udbetales.",I35="X",C35="ikke relevant",S35="X"))),(V35),0)</f>
        <v>0</v>
      </c>
      <c r="FI35" s="283">
        <f>IF(AND(Stamoplysninger!$B$26="Weekendtimer og weekendtillæg afspadseres.",I35="X"),K35,0)</f>
        <v>0</v>
      </c>
      <c r="FJ35" s="251">
        <f>IF(AND(Stamoplysninger!$B$26="Weekendtimer og weekendtillæg afspadseres.",Y35="X"),(AA35+AL35)/2,0)</f>
        <v>0</v>
      </c>
      <c r="FK35" s="674">
        <f>IF(AND(AND(Stamoplysninger!$B$26="Weekendtimer og weekendtillæg afspadseres.",I35="X",C35="ikke relevant")),K35,0)</f>
        <v>0</v>
      </c>
      <c r="FL35" s="675">
        <f>IF(AND(AND(Stamoplysninger!$B$26="Weekendtimer og weekendtillæg afspadseres.",Y35="X",S35="ikke relevant")),(AA35+AL35)/2,0)</f>
        <v>0</v>
      </c>
      <c r="FM35" s="283">
        <f>IF(AND(Stamoplysninger!$B$26="Der er indgået lokalaftale omkring weekendtillæg(Kræver aftale med TR/FSL). Weekendtimerne afspadseres.",I35="X"),K35,0)</f>
        <v>0</v>
      </c>
      <c r="FN35" s="674">
        <f>IF(AND(AND(Stamoplysninger!$B$26="Der er indgået lokalaftale omkring weekendtillæg(Kræver aftale med TR/FSL). Weekendtimerne afspadseres.",I35="X",C35="ikke relevant")),K35,0)</f>
        <v>0</v>
      </c>
      <c r="FO35" s="283">
        <f>IF(AND(Stamoplysninger!$B$26="Weekendtimer og weekendtillæg udbetales.",I35="X"),K35,0)</f>
        <v>0</v>
      </c>
      <c r="FP35" s="251">
        <f>IF(AND(Stamoplysninger!$B$26="Weekendtimer og weekendtillæg udbetales.",AA35="X"),(AC35+AN35)/2,0)</f>
        <v>0</v>
      </c>
      <c r="FQ35" s="674">
        <f>IF(AND(AND(Stamoplysninger!$B$26="Weekendtimer og weekendtillæg udbetales.",I35="X",C35="ikke relevant")),K35,0)</f>
        <v>0</v>
      </c>
      <c r="FR35" s="688">
        <f>IF(AND(AND(Stamoplysninger!$B$26="Weekendtimer og weekendtillæg udbetales.",AA35="X",U35="ikke relevant")),(AC35+AN35)/2,0)</f>
        <v>0</v>
      </c>
      <c r="FS35" s="283">
        <f t="shared" si="15"/>
        <v>0</v>
      </c>
      <c r="FT35" s="658">
        <f t="shared" si="16"/>
        <v>0</v>
      </c>
      <c r="FU35">
        <f t="shared" si="32"/>
        <v>0</v>
      </c>
      <c r="FV35" s="283">
        <f>IF(AND(Stamoplysninger!$B$26="Der er indgået lokalaftale omkring weekendtimer.(Kræver aftale med TR/FSL) Weekendtillæg afspadseres.",I35="X"),K35,0)</f>
        <v>0</v>
      </c>
      <c r="FW35" s="674">
        <f>IF(AND(AND(Stamoplysninger!$B$26="Der er indgået lokalaftale omkring weekendtimer.(Kræver aftale med TR/FSL) Weekendtillæg afspadseres.",I35="X",C35="ikke relevant")),K35,0)</f>
        <v>0</v>
      </c>
      <c r="FX35" s="283">
        <f>IF(AND(Stamoplysninger!$B$26="Der er indgået lokalaftale omkring weekendtimer(Kræver aftale med TR/FSL). Weekendtillæg udbetales.",I35="X"),K35,0)</f>
        <v>0</v>
      </c>
      <c r="FY35" s="674">
        <f>IF(AND(AND(Stamoplysninger!$B$26="Der er indgået lokalaftale omkring weekendtimer(Kræver aftale med TR/FSL). Weekendtillæg udbetales.",I35="X",C35="ikke relevant")),K35,0)</f>
        <v>0</v>
      </c>
      <c r="FZ35" s="283">
        <f>IF(AND(Stamoplysninger!$B$26="Der er indgået lokalaftale omkring weekendtillæg(Kræver aftale med TR/FSL). Weekendtimerne udbetales.",I35="X"),K35,0)</f>
        <v>0</v>
      </c>
      <c r="GA35" s="674">
        <f>IF(AND(AND(Stamoplysninger!$B$26="Der er indgået lokalaftale omkring weekendtillæg(Kræver aftale med TR/FSL). Weekendtimerne udbetales.",I35="X",C35="ikke relevant")),K35,0)</f>
        <v>0</v>
      </c>
      <c r="GB35" s="283">
        <f>IF(AND(Stamoplysninger!$B$26="Der er indgået lokalaftale omkring weekendtimer og weekendtillæg.(Kræver aftale med TR/FSL).",I35="X"),K35,0)</f>
        <v>0</v>
      </c>
      <c r="GC35" s="674">
        <f>IF(AND(AND(Stamoplysninger!$B$26="Der er indgået lokalaftale omkring weekendtimer og weekendtillæg.(Kræver aftale med TR/FSL).",I35="X",C35="ikke relevant")),K35,0)</f>
        <v>0</v>
      </c>
    </row>
    <row r="36" spans="1:185">
      <c r="A36" s="245">
        <f t="shared" si="18"/>
        <v>28</v>
      </c>
      <c r="B36" s="128" t="str">
        <f t="shared" si="0"/>
        <v>lø</v>
      </c>
      <c r="C36" s="129" t="s">
        <v>120</v>
      </c>
      <c r="D36" s="130" t="str">
        <f t="shared" si="1"/>
        <v/>
      </c>
      <c r="E36" s="917"/>
      <c r="F36" s="918"/>
      <c r="G36" s="919"/>
      <c r="H36" s="298"/>
      <c r="I36" s="413"/>
      <c r="J36" s="413"/>
      <c r="K36" s="380"/>
      <c r="L36" s="380"/>
      <c r="M36" s="380"/>
      <c r="N36" s="318">
        <f t="shared" si="19"/>
        <v>0</v>
      </c>
      <c r="O36" s="318">
        <f t="shared" si="20"/>
        <v>0</v>
      </c>
      <c r="P36" s="318">
        <f>IF(Stamoplysninger!$H$29="JA",September!DG36,CX36)</f>
        <v>0</v>
      </c>
      <c r="Q36" s="318">
        <f t="shared" si="21"/>
        <v>0</v>
      </c>
      <c r="R36" s="319"/>
      <c r="S36" s="324"/>
      <c r="T36" s="325"/>
      <c r="U36" s="325"/>
      <c r="V36" s="435"/>
      <c r="W36" s="435"/>
      <c r="X36" s="644"/>
      <c r="Y36">
        <f t="shared" si="22"/>
        <v>0</v>
      </c>
      <c r="Z36" s="437">
        <f t="shared" si="23"/>
        <v>0</v>
      </c>
      <c r="AA36" s="1">
        <f t="shared" si="2"/>
        <v>0</v>
      </c>
      <c r="AB36" s="1">
        <f t="shared" si="3"/>
        <v>0</v>
      </c>
      <c r="AC36" s="1">
        <f t="shared" si="4"/>
        <v>0</v>
      </c>
      <c r="AD36" s="1">
        <f t="shared" si="5"/>
        <v>0</v>
      </c>
      <c r="AE36" s="1">
        <f t="shared" si="6"/>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4"/>
        <v>0</v>
      </c>
      <c r="BB36" s="229">
        <f t="shared" si="7"/>
        <v>0</v>
      </c>
      <c r="BC36" s="1">
        <f t="shared" si="25"/>
        <v>0</v>
      </c>
      <c r="BD36" s="1">
        <f t="shared" si="8"/>
        <v>0</v>
      </c>
      <c r="BE36" s="1">
        <f t="shared" si="9"/>
        <v>0</v>
      </c>
      <c r="BF36" s="1">
        <f t="shared" si="10"/>
        <v>0</v>
      </c>
      <c r="BG36" s="210" t="str">
        <f>IF(AND(C36="Skema 1",B36="ma"),Skemaoplysninger!$E$30,"")</f>
        <v/>
      </c>
      <c r="BH36" s="210" t="str">
        <f>IF(AND(C36="Skema 1",B36="ti"),Skemaoplysninger!$G$30,"")</f>
        <v/>
      </c>
      <c r="BI36" s="210" t="str">
        <f>IF(AND(C36="Skema 1",B36="on"),Skemaoplysninger!$I$30,"")</f>
        <v/>
      </c>
      <c r="BJ36" s="210" t="str">
        <f>IF(AND(C36="Skema 1",B36="to"),Skemaoplysninger!$K$30,"")</f>
        <v/>
      </c>
      <c r="BK36" s="210" t="str">
        <f>IF(AND(C36="Skema 1",B36="fr"),Skemaoplysninger!$M$30,"")</f>
        <v/>
      </c>
      <c r="BL36" s="210" t="str">
        <f>IF(AND(C36="Skema 2",B36="ma"),Skemaoplysninger!$S$30,"")</f>
        <v/>
      </c>
      <c r="BM36" s="210" t="str">
        <f>IF(AND(C36="Skema 2",B36="ti"),Skemaoplysninger!$U$30,"")</f>
        <v/>
      </c>
      <c r="BN36" s="210" t="str">
        <f>IF(AND(C36="Skema 2",B36="on"),Skemaoplysninger!$W$30,"")</f>
        <v/>
      </c>
      <c r="BO36" s="210" t="str">
        <f>IF(AND(C36="Skema 2",B36="to"),Skemaoplysninger!$Y$30,"")</f>
        <v/>
      </c>
      <c r="BP36" s="210" t="str">
        <f>IF(AND(C36="Skema 2",B36="fr"),Skemaoplysninger!$AA$30,"")</f>
        <v/>
      </c>
      <c r="BQ36" s="210" t="str">
        <f>IF(AND(C36="Skema 3",B36="ma"),Skemaoplysninger!$AG$30,"")</f>
        <v/>
      </c>
      <c r="BR36" s="210" t="str">
        <f>IF(AND(C36="Skema 3",B36="ti"),Skemaoplysninger!$AI$30,"")</f>
        <v/>
      </c>
      <c r="BS36" s="210" t="str">
        <f>IF(AND(C36="Skema 3",B36="on"),Skemaoplysninger!$AK$30,"")</f>
        <v/>
      </c>
      <c r="BT36" s="210" t="str">
        <f>IF(AND(C36="Skema 3",B36="to"),Skemaoplysninger!$AM$30,"")</f>
        <v/>
      </c>
      <c r="BU36" s="210" t="str">
        <f>IF(AND(C36="Skema 3",B36="fr"),Skemaoplysninger!$AO$30,"")</f>
        <v/>
      </c>
      <c r="BV36" s="210" t="str">
        <f>IF(AND(C36="Skema 4",B36="ma"),Skemaoplysninger!$AU$30,"")</f>
        <v/>
      </c>
      <c r="BW36" s="210" t="str">
        <f>IF(AND(C36="Skema 4",B36="ti"),Skemaoplysninger!$AW$30,"")</f>
        <v/>
      </c>
      <c r="BX36" s="210" t="str">
        <f>IF(AND(C36="Skema 4",B36="on"),Skemaoplysninger!$AY$30,"")</f>
        <v/>
      </c>
      <c r="BY36" s="210" t="str">
        <f>IF(AND(C36="Skema 4",B36="to"),Skemaoplysninger!$BA$30,"")</f>
        <v/>
      </c>
      <c r="BZ36" s="210" t="str">
        <f>IF(AND(C36="Skema 4",B36="fr"),Skemaoplysninger!$BC$30,"")</f>
        <v/>
      </c>
      <c r="CA36" s="1">
        <f t="shared" si="26"/>
        <v>0</v>
      </c>
      <c r="CB36" s="1">
        <f t="shared" si="11"/>
        <v>0</v>
      </c>
      <c r="CC36" s="1">
        <f t="shared" si="12"/>
        <v>0</v>
      </c>
      <c r="CD36" s="210" t="str">
        <f>IF(AND(C36="Skema 1",B36="ma"),Skemaoplysninger!$E$31,"")</f>
        <v/>
      </c>
      <c r="CE36" s="210" t="str">
        <f>IF(AND(C36="Skema 1",B36="ti"),Skemaoplysninger!$G$31,"")</f>
        <v/>
      </c>
      <c r="CF36" s="210" t="str">
        <f>IF(AND(C36="Skema 1",B36="on"),Skemaoplysninger!$I$31,"")</f>
        <v/>
      </c>
      <c r="CG36" s="210" t="str">
        <f>IF(AND(C36="Skema 1",B36="to"),Skemaoplysninger!$K$31,"")</f>
        <v/>
      </c>
      <c r="CH36" s="210" t="str">
        <f>IF(AND(C36="Skema 1",B36="fr"),Skemaoplysninger!$M$31,"")</f>
        <v/>
      </c>
      <c r="CI36" s="210" t="str">
        <f>IF(AND(C36="Skema 2",B36="ma"),Skemaoplysninger!$S$31,"")</f>
        <v/>
      </c>
      <c r="CJ36" s="210" t="str">
        <f>IF(AND(C36="Skema 2",B36="ti"),Skemaoplysninger!$U$31,"")</f>
        <v/>
      </c>
      <c r="CK36" s="210" t="str">
        <f>IF(AND(C36="Skema 2",B36="on"),Skemaoplysninger!$W$31,"")</f>
        <v/>
      </c>
      <c r="CL36" s="210" t="str">
        <f>IF(AND(C36="Skema 2",B36="to"),Skemaoplysninger!$Y$31,"")</f>
        <v/>
      </c>
      <c r="CM36" s="210" t="str">
        <f>IF(AND(C36="Skema 2",B36="fr"),Skemaoplysninger!$AA$31,"")</f>
        <v/>
      </c>
      <c r="CN36" s="210" t="str">
        <f>IF(AND(C36="Skema 3",B36="ma"),Skemaoplysninger!$AG$31,"")</f>
        <v/>
      </c>
      <c r="CO36" s="210" t="str">
        <f>IF(AND(C36="Skema 3",B36="ti"),Skemaoplysninger!$AI$31,"")</f>
        <v/>
      </c>
      <c r="CP36" s="210" t="str">
        <f>IF(AND(C36="Skema 3",B36="on"),Skemaoplysninger!$AK$31,"")</f>
        <v/>
      </c>
      <c r="CQ36" s="210" t="str">
        <f>IF(AND(C36="Skema 3",B36="to"),Skemaoplysninger!$AM$31,"")</f>
        <v/>
      </c>
      <c r="CR36" s="210" t="str">
        <f>IF(AND(C36="Skema 3",B36="fr"),Skemaoplysninger!$AO$31,"")</f>
        <v/>
      </c>
      <c r="CS36" s="210" t="str">
        <f>IF(AND(C36="Skema 4",B36="ma"),Skemaoplysninger!$AU$31,"")</f>
        <v/>
      </c>
      <c r="CT36" s="210" t="str">
        <f>IF(AND(C36="Skema 4",B36="ti"),Skemaoplysninger!$AW$31,"")</f>
        <v/>
      </c>
      <c r="CU36" s="210" t="str">
        <f>IF(AND(C36="Skema 4",B36="on"),Skemaoplysninger!$AY$31,"")</f>
        <v/>
      </c>
      <c r="CV36" s="210" t="str">
        <f>IF(AND(C36="Skema 4",B36="to"),Skemaoplysninger!$BA$31,"")</f>
        <v/>
      </c>
      <c r="CW36" s="210" t="str">
        <f>IF(AND(C36="Skema 4",B36="fr"),Skemaoplysninger!$BC$31,"")</f>
        <v/>
      </c>
      <c r="CX36" s="249">
        <f>IF(Stamoplysninger!$H$29="NEJ",SUM(CD36:CW36)*24+CB36+CC36,0)</f>
        <v>0</v>
      </c>
      <c r="CY36" s="249">
        <f>IF(C36="Skema 1",Stamoplysninger!$H$30/200,0)</f>
        <v>0</v>
      </c>
      <c r="CZ36" s="249">
        <f>IF(C36="Skema 2",Stamoplysninger!$H$30/200,0)</f>
        <v>0</v>
      </c>
      <c r="DA36" s="249">
        <f>IF(C36="Skema 3",Stamoplysninger!$H$30/200,0)</f>
        <v>0</v>
      </c>
      <c r="DB36" s="249">
        <f>IF(C36="Skema 4",Stamoplysninger!$H$30/200,0)</f>
        <v>0</v>
      </c>
      <c r="DC36" s="249">
        <f>IF(C36="fagdag",Stamoplysninger!$H$30/200,0)</f>
        <v>0</v>
      </c>
      <c r="DD36" s="249">
        <f>IF(C36="emnedag",Stamoplysninger!$H$30/200,0)</f>
        <v>0</v>
      </c>
      <c r="DE36" s="249">
        <f>IF(C36="lejrskole",Stamoplysninger!$H$30/200,0)</f>
        <v>0</v>
      </c>
      <c r="DF36" s="249">
        <f>IF(C36="ekskursion",Stamoplysninger!$H$30/200,0)</f>
        <v>0</v>
      </c>
      <c r="DG36" s="249">
        <f t="shared" si="27"/>
        <v>0</v>
      </c>
      <c r="DH36" t="str">
        <f t="shared" si="28"/>
        <v/>
      </c>
      <c r="DI36">
        <f t="shared" si="29"/>
        <v>0</v>
      </c>
      <c r="DJ36">
        <f t="shared" si="30"/>
        <v>0</v>
      </c>
      <c r="DK36" t="str">
        <f t="shared" si="13"/>
        <v/>
      </c>
      <c r="DL36" t="str">
        <f t="shared" si="13"/>
        <v/>
      </c>
      <c r="DM36" t="str">
        <f t="shared" si="13"/>
        <v/>
      </c>
      <c r="DN36" t="str">
        <f t="shared" si="31"/>
        <v/>
      </c>
      <c r="DO36" s="652">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71">
        <f>IF(AND(Stamoplysninger!$B$22="Ulempetillæg udbetales med 25% af nettotimelønnen.",C36="ikke relevant"),(R36)/4,0)</f>
        <v>0</v>
      </c>
      <c r="DT36" s="671">
        <f>IF(AND(AND(Stamoplysninger!$B$22="Ulempetillæg udbetales med 25% af nettotimelønnen.",I36="X",C36="Ikke relevant")),K36/4,0)</f>
        <v>0</v>
      </c>
      <c r="DU36" s="671">
        <f>IF(AND(AND(Stamoplysninger!$B$22="Ulempetillæg udbetales med 25% af nettotimelønnen.",C36="ikke relevant",U36="X")),(X36/4),0)</f>
        <v>0</v>
      </c>
      <c r="DV36" s="672">
        <f>IF(AND(AND(AND(Stamoplysninger!$B$22="Ulempetillæg udbetales med 25% af nettotimelønnen.",I36="X",C36="Ikke relevant",S36="X"))),V36/4,0)</f>
        <v>0</v>
      </c>
      <c r="DW36" s="652"/>
      <c r="DZ36" s="671"/>
      <c r="EA36" s="671"/>
      <c r="EB36" s="672"/>
      <c r="EC36" s="652">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71">
        <f>IF(AND(Stamoplysninger!$B$22="Ulempetillæg afspadseres med 25%(Kræver en aftale imellem ledelsen og den ansatte)",C36="ikke relevant"),(R36)/4,0)</f>
        <v>0</v>
      </c>
      <c r="EH36" s="671">
        <f>IF(AND(AND(Stamoplysninger!$B$22="Ulempetillæg afspadseres med 25%(Kræver en aftale imellem ledelsen og den ansatte)",I36="X",C36="Ikke relevant")),K36/4,0)</f>
        <v>0</v>
      </c>
      <c r="EI36" s="671">
        <f>IF(AND(AND(Stamoplysninger!$B$22="Ulempetillæg afspadseres med 25%(Kræver en aftale imellem ledelsen og den ansatte)",U36="X",C36="Ikke relevant")),X36/4,0)</f>
        <v>0</v>
      </c>
      <c r="EJ36" s="671">
        <f>IF(AND(AND(AND(Stamoplysninger!$B$22="Ulempetillæg afspadseres med 25%(Kræver en aftale imellem ledelsen og den ansatte)",I36="X",C36="Ikke relevant",S36="X"))),V36/4,0)</f>
        <v>0</v>
      </c>
      <c r="EK36" s="283">
        <f>IF(AND(Stamoplysninger!$B$26="Weekendtimer og weekendtillæg afspadseres.",I36="X"),K36*1.5,0)</f>
        <v>0</v>
      </c>
      <c r="EL36" s="251">
        <f>IF(AND(AND(Stamoplysninger!$B$26="Weekendtimer og weekendtillæg afspadseres.",I36="X",S36="X")),V36*1.5,0)</f>
        <v>0</v>
      </c>
      <c r="EM36" s="674">
        <f>IF(AND(AND(Stamoplysninger!$B$26="Weekendtimer og weekendtillæg afspadseres.",I36="X",C36="ikke relevant")),K36*1.5,0)</f>
        <v>0</v>
      </c>
      <c r="EN36" s="675">
        <f>IF(AND(AND(AND(Stamoplysninger!$B$26="Weekendtimer og weekendtillæg afspadseres.",I36="X",C36="ikke relevant",S36="X"))),(V36*1.5),0)</f>
        <v>0</v>
      </c>
      <c r="EO36" s="283">
        <f>IF(AND(Stamoplysninger!$B$26="Weekendtimer og weekendtillæg udbetales.",I36="X"),K36*1.5,0)</f>
        <v>0</v>
      </c>
      <c r="EP36" s="251">
        <f>IF(AND(AND(Stamoplysninger!$B$26="Weekendtimer og weekendtillæg udbetales.",I36="X",S36="X")),V36*1.5,0)</f>
        <v>0</v>
      </c>
      <c r="EQ36" s="674">
        <f>IF(AND(AND(Stamoplysninger!$B$26="Weekendtimer og weekendtillæg udbetales.",I36="X",C36="ikke relevant")),K36*1.5,0)</f>
        <v>0</v>
      </c>
      <c r="ER36" s="675">
        <f>IF(AND(AND(AND(Stamoplysninger!$B$26="Weekendtimer og weekendtillæg udbetales.",I36="X",C36="ikke relevant",S36="X"))),(V36*1.5),0)</f>
        <v>0</v>
      </c>
      <c r="ES36" s="283">
        <f>IF(AND(Stamoplysninger!$B$26="Der er indgået lokalaftale omkring weekendtimer.(Kræver aftale med TR/FSL) Weekendtillæg afspadseres.",I36="X"),K36*0.5,0)</f>
        <v>0</v>
      </c>
      <c r="ET36" s="251">
        <f>IF(AND(AND(Stamoplysninger!$B$26="Der er indgået lokalaftale omkring weekendtimer.(Kræver aftale med TR/FSL) Weekendtillæg afspadseres.",I36="X",S36="X")),V36*0.5,0)</f>
        <v>0</v>
      </c>
      <c r="EU36" s="674">
        <f>IF(AND(AND(Stamoplysninger!$B$26="Der er indgået lokalaftale omkring weekendtimer.(Kræver aftale med TR/FSL) Weekendtillæg afspadseres.",I36="X",C36="ikke relevant")),K36*0.5,0)</f>
        <v>0</v>
      </c>
      <c r="EV36" s="675">
        <f>IF(AND(AND(AND(Stamoplysninger!$B$26="Der er indgået lokalaftale omkring weekendtimer.(Kræver aftale med TR/FSL) Weekendtillæg afspadseres.",I36="X",C36="ikke relevant",S36="X"))),(V36*0.5),0)</f>
        <v>0</v>
      </c>
      <c r="EW36" s="283">
        <f>IF(AND(Stamoplysninger!$B$26="Der er indgået lokalaftale omkring weekendtimer(Kræver aftale med TR/FSL). Weekendtillæg udbetales.",I36="X"),K36*0.5,0)</f>
        <v>0</v>
      </c>
      <c r="EX36" s="251">
        <f>IF(AND(AND(Stamoplysninger!$B$26="Der er indgået lokalaftale omkring weekendtimer(Kræver aftale med TR/FSL). Weekendtillæg udbetales.",I36="X",S36="X")),V36*0.5,0)</f>
        <v>0</v>
      </c>
      <c r="EY36" s="674">
        <f>IF(AND(AND(Stamoplysninger!$B$26="Der er indgået lokalaftale omkring weekendtimer(Kræver aftale med TR/FSL). Weekendtillæg udbetales.",I36="X",C36="ikke relevant")),K36*0.5,0)</f>
        <v>0</v>
      </c>
      <c r="EZ36" s="675">
        <f>IF(AND(AND(AND(Stamoplysninger!$B$26="Der er indgået lokalaftale omkring weekendtimer(Kræver aftale med TR/FSL). Weekendtillæg udbetales.",I36="X",C36="ikke relevant",S36="X"))),(V36*0.5),0)</f>
        <v>0</v>
      </c>
      <c r="FA36" s="283">
        <f>IF(AND(Stamoplysninger!$B$26="Der er indgået lokalaftale omkring weekendtillæg(Kræver aftale med TR/FSL). Weekendtimerne afspadseres.",I36="X"),K36,0)</f>
        <v>0</v>
      </c>
      <c r="FB36" s="251">
        <f>IF(AND(AND(Stamoplysninger!$B$26="Der er indgået lokalaftale omkring weekendtillæg(Kræver aftale med TR/FSL). Weekendtimerne afspadseres.",I36="X",S36="X")),V36,0)</f>
        <v>0</v>
      </c>
      <c r="FC36" s="674">
        <f>IF(AND(AND(Stamoplysninger!$B$26="Der er indgået lokalaftale omkring weekendtillæg(Kræver aftale med TR/FSL). Weekendtimerne afspadseres..",I36="X",C36="ikke relevant")),K36,0)</f>
        <v>0</v>
      </c>
      <c r="FD36" s="675">
        <f>IF(AND(AND(AND(Stamoplysninger!$B$26="Der er indgået lokalaftale omkring weekendtillæg(Kræver aftale med TR/FSL). Weekendtimerne afspadseres.",I36="X",C36="ikke relevant",S36="X"))),(V36),0)</f>
        <v>0</v>
      </c>
      <c r="FE36" s="283">
        <f>IF(AND(Stamoplysninger!$B$26="Der er indgået lokalaftale omkring weekendtillæg(Kræver aftale med TR/FSL). Weekendtimerne udbetales.",I36="X"),K36,0)</f>
        <v>0</v>
      </c>
      <c r="FF36" s="251">
        <f>IF(AND(AND(Stamoplysninger!$B$26="Der er indgået lokalaftale omkring weekendtillæg(Kræver aftale med TR/FSL). Weekendtimerne udbetales.",I36="X",S36="X")),V36,0)</f>
        <v>0</v>
      </c>
      <c r="FG36" s="674">
        <f>IF(AND(AND(Stamoplysninger!$B$26="Der er indgået lokalaftale omkring weekendtillæg(Kræver aftale med TR/FSL). Weekendtimerne udbetales.",I36="X",C36="ikke relevant")),K36,0)</f>
        <v>0</v>
      </c>
      <c r="FH36" s="675">
        <f>IF(AND(AND(AND(Stamoplysninger!$B$26="Der er indgået lokalaftale omkring weekendtillæg(Kræver aftale med TR/FSL). Weekendtimerne udbetales.",I36="X",C36="ikke relevant",S36="X"))),(V36),0)</f>
        <v>0</v>
      </c>
      <c r="FI36" s="283">
        <f>IF(AND(Stamoplysninger!$B$26="Weekendtimer og weekendtillæg afspadseres.",I36="X"),K36,0)</f>
        <v>0</v>
      </c>
      <c r="FJ36" s="251">
        <f>IF(AND(Stamoplysninger!$B$26="Weekendtimer og weekendtillæg afspadseres.",Y36="X"),(AA36+AL36)/2,0)</f>
        <v>0</v>
      </c>
      <c r="FK36" s="674">
        <f>IF(AND(AND(Stamoplysninger!$B$26="Weekendtimer og weekendtillæg afspadseres.",I36="X",C36="ikke relevant")),K36,0)</f>
        <v>0</v>
      </c>
      <c r="FL36" s="675">
        <f>IF(AND(AND(Stamoplysninger!$B$26="Weekendtimer og weekendtillæg afspadseres.",Y36="X",S36="ikke relevant")),(AA36+AL36)/2,0)</f>
        <v>0</v>
      </c>
      <c r="FM36" s="283">
        <f>IF(AND(Stamoplysninger!$B$26="Der er indgået lokalaftale omkring weekendtillæg(Kræver aftale med TR/FSL). Weekendtimerne afspadseres.",I36="X"),K36,0)</f>
        <v>0</v>
      </c>
      <c r="FN36" s="674">
        <f>IF(AND(AND(Stamoplysninger!$B$26="Der er indgået lokalaftale omkring weekendtillæg(Kræver aftale med TR/FSL). Weekendtimerne afspadseres.",I36="X",C36="ikke relevant")),K36,0)</f>
        <v>0</v>
      </c>
      <c r="FO36" s="283">
        <f>IF(AND(Stamoplysninger!$B$26="Weekendtimer og weekendtillæg udbetales.",I36="X"),K36,0)</f>
        <v>0</v>
      </c>
      <c r="FP36" s="251">
        <f>IF(AND(Stamoplysninger!$B$26="Weekendtimer og weekendtillæg udbetales.",AA36="X"),(AC36+AN36)/2,0)</f>
        <v>0</v>
      </c>
      <c r="FQ36" s="674">
        <f>IF(AND(AND(Stamoplysninger!$B$26="Weekendtimer og weekendtillæg udbetales.",I36="X",C36="ikke relevant")),K36,0)</f>
        <v>0</v>
      </c>
      <c r="FR36" s="688">
        <f>IF(AND(AND(Stamoplysninger!$B$26="Weekendtimer og weekendtillæg udbetales.",AA36="X",U36="ikke relevant")),(AC36+AN36)/2,0)</f>
        <v>0</v>
      </c>
      <c r="FS36" s="283">
        <f t="shared" si="15"/>
        <v>0</v>
      </c>
      <c r="FT36" s="658">
        <f t="shared" si="16"/>
        <v>0</v>
      </c>
      <c r="FU36">
        <f t="shared" si="32"/>
        <v>0</v>
      </c>
      <c r="FV36" s="283">
        <f>IF(AND(Stamoplysninger!$B$26="Der er indgået lokalaftale omkring weekendtimer.(Kræver aftale med TR/FSL) Weekendtillæg afspadseres.",I36="X"),K36,0)</f>
        <v>0</v>
      </c>
      <c r="FW36" s="674">
        <f>IF(AND(AND(Stamoplysninger!$B$26="Der er indgået lokalaftale omkring weekendtimer.(Kræver aftale med TR/FSL) Weekendtillæg afspadseres.",I36="X",C36="ikke relevant")),K36,0)</f>
        <v>0</v>
      </c>
      <c r="FX36" s="283">
        <f>IF(AND(Stamoplysninger!$B$26="Der er indgået lokalaftale omkring weekendtimer(Kræver aftale med TR/FSL). Weekendtillæg udbetales.",I36="X"),K36,0)</f>
        <v>0</v>
      </c>
      <c r="FY36" s="674">
        <f>IF(AND(AND(Stamoplysninger!$B$26="Der er indgået lokalaftale omkring weekendtimer(Kræver aftale med TR/FSL). Weekendtillæg udbetales.",I36="X",C36="ikke relevant")),K36,0)</f>
        <v>0</v>
      </c>
      <c r="FZ36" s="283">
        <f>IF(AND(Stamoplysninger!$B$26="Der er indgået lokalaftale omkring weekendtillæg(Kræver aftale med TR/FSL). Weekendtimerne udbetales.",I36="X"),K36,0)</f>
        <v>0</v>
      </c>
      <c r="GA36" s="674">
        <f>IF(AND(AND(Stamoplysninger!$B$26="Der er indgået lokalaftale omkring weekendtillæg(Kræver aftale med TR/FSL). Weekendtimerne udbetales.",I36="X",C36="ikke relevant")),K36,0)</f>
        <v>0</v>
      </c>
      <c r="GB36" s="283">
        <f>IF(AND(Stamoplysninger!$B$26="Der er indgået lokalaftale omkring weekendtimer og weekendtillæg.(Kræver aftale med TR/FSL).",I36="X"),K36,0)</f>
        <v>0</v>
      </c>
      <c r="GC36" s="674">
        <f>IF(AND(AND(Stamoplysninger!$B$26="Der er indgået lokalaftale omkring weekendtimer og weekendtillæg.(Kræver aftale med TR/FSL).",I36="X",C36="ikke relevant")),K36,0)</f>
        <v>0</v>
      </c>
    </row>
    <row r="37" spans="1:185">
      <c r="A37" s="245">
        <f>IF(ISNUMBER(A36),A36+1,1)</f>
        <v>29</v>
      </c>
      <c r="B37" s="128" t="str">
        <f t="shared" si="0"/>
        <v>sø</v>
      </c>
      <c r="C37" s="129" t="s">
        <v>120</v>
      </c>
      <c r="D37" s="130" t="str">
        <f t="shared" si="1"/>
        <v/>
      </c>
      <c r="E37" s="917"/>
      <c r="F37" s="918"/>
      <c r="G37" s="919"/>
      <c r="H37" s="298"/>
      <c r="I37" s="413"/>
      <c r="J37" s="413"/>
      <c r="K37" s="380"/>
      <c r="L37" s="380"/>
      <c r="M37" s="380"/>
      <c r="N37" s="318">
        <f t="shared" si="19"/>
        <v>0</v>
      </c>
      <c r="O37" s="318">
        <f t="shared" si="20"/>
        <v>0</v>
      </c>
      <c r="P37" s="318">
        <f>IF(Stamoplysninger!$H$29="JA",September!DG37,CX37)</f>
        <v>0</v>
      </c>
      <c r="Q37" s="318">
        <f t="shared" si="21"/>
        <v>0</v>
      </c>
      <c r="R37" s="319"/>
      <c r="S37" s="324"/>
      <c r="T37" s="325"/>
      <c r="U37" s="325"/>
      <c r="V37" s="435"/>
      <c r="W37" s="435"/>
      <c r="X37" s="644"/>
      <c r="Y37">
        <f t="shared" si="22"/>
        <v>0</v>
      </c>
      <c r="Z37" s="437">
        <f t="shared" si="23"/>
        <v>0</v>
      </c>
      <c r="AA37" s="1">
        <f t="shared" si="2"/>
        <v>0</v>
      </c>
      <c r="AB37" s="1">
        <f t="shared" si="3"/>
        <v>0</v>
      </c>
      <c r="AC37" s="1">
        <f t="shared" si="4"/>
        <v>0</v>
      </c>
      <c r="AD37" s="1">
        <f t="shared" si="5"/>
        <v>0</v>
      </c>
      <c r="AE37" s="1">
        <f t="shared" si="6"/>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4"/>
        <v>0</v>
      </c>
      <c r="BB37" s="229">
        <f t="shared" si="7"/>
        <v>0</v>
      </c>
      <c r="BC37" s="1">
        <f t="shared" si="25"/>
        <v>0</v>
      </c>
      <c r="BD37" s="1">
        <f t="shared" si="8"/>
        <v>0</v>
      </c>
      <c r="BE37" s="1">
        <f t="shared" si="9"/>
        <v>0</v>
      </c>
      <c r="BF37" s="1">
        <f t="shared" si="10"/>
        <v>0</v>
      </c>
      <c r="BG37" s="210" t="str">
        <f>IF(AND(C37="Skema 1",B37="ma"),Skemaoplysninger!$E$30,"")</f>
        <v/>
      </c>
      <c r="BH37" s="210" t="str">
        <f>IF(AND(C37="Skema 1",B37="ti"),Skemaoplysninger!$G$30,"")</f>
        <v/>
      </c>
      <c r="BI37" s="210" t="str">
        <f>IF(AND(C37="Skema 1",B37="on"),Skemaoplysninger!$I$30,"")</f>
        <v/>
      </c>
      <c r="BJ37" s="210" t="str">
        <f>IF(AND(C37="Skema 1",B37="to"),Skemaoplysninger!$K$30,"")</f>
        <v/>
      </c>
      <c r="BK37" s="210" t="str">
        <f>IF(AND(C37="Skema 1",B37="fr"),Skemaoplysninger!$M$30,"")</f>
        <v/>
      </c>
      <c r="BL37" s="210" t="str">
        <f>IF(AND(C37="Skema 2",B37="ma"),Skemaoplysninger!$S$30,"")</f>
        <v/>
      </c>
      <c r="BM37" s="210" t="str">
        <f>IF(AND(C37="Skema 2",B37="ti"),Skemaoplysninger!$U$30,"")</f>
        <v/>
      </c>
      <c r="BN37" s="210" t="str">
        <f>IF(AND(C37="Skema 2",B37="on"),Skemaoplysninger!$W$30,"")</f>
        <v/>
      </c>
      <c r="BO37" s="210" t="str">
        <f>IF(AND(C37="Skema 2",B37="to"),Skemaoplysninger!$Y$30,"")</f>
        <v/>
      </c>
      <c r="BP37" s="210" t="str">
        <f>IF(AND(C37="Skema 2",B37="fr"),Skemaoplysninger!$AA$30,"")</f>
        <v/>
      </c>
      <c r="BQ37" s="210" t="str">
        <f>IF(AND(C37="Skema 3",B37="ma"),Skemaoplysninger!$AG$30,"")</f>
        <v/>
      </c>
      <c r="BR37" s="210" t="str">
        <f>IF(AND(C37="Skema 3",B37="ti"),Skemaoplysninger!$AI$30,"")</f>
        <v/>
      </c>
      <c r="BS37" s="210" t="str">
        <f>IF(AND(C37="Skema 3",B37="on"),Skemaoplysninger!$AK$30,"")</f>
        <v/>
      </c>
      <c r="BT37" s="210" t="str">
        <f>IF(AND(C37="Skema 3",B37="to"),Skemaoplysninger!$AM$30,"")</f>
        <v/>
      </c>
      <c r="BU37" s="210" t="str">
        <f>IF(AND(C37="Skema 3",B37="fr"),Skemaoplysninger!$AO$30,"")</f>
        <v/>
      </c>
      <c r="BV37" s="210" t="str">
        <f>IF(AND(C37="Skema 4",B37="ma"),Skemaoplysninger!$AU$30,"")</f>
        <v/>
      </c>
      <c r="BW37" s="210" t="str">
        <f>IF(AND(C37="Skema 4",B37="ti"),Skemaoplysninger!$AW$30,"")</f>
        <v/>
      </c>
      <c r="BX37" s="210" t="str">
        <f>IF(AND(C37="Skema 4",B37="on"),Skemaoplysninger!$AY$30,"")</f>
        <v/>
      </c>
      <c r="BY37" s="210" t="str">
        <f>IF(AND(C37="Skema 4",B37="to"),Skemaoplysninger!$BA$30,"")</f>
        <v/>
      </c>
      <c r="BZ37" s="210" t="str">
        <f>IF(AND(C37="Skema 4",B37="fr"),Skemaoplysninger!$BC$30,"")</f>
        <v/>
      </c>
      <c r="CA37" s="1">
        <f t="shared" si="26"/>
        <v>0</v>
      </c>
      <c r="CB37" s="1">
        <f t="shared" si="11"/>
        <v>0</v>
      </c>
      <c r="CC37" s="1">
        <f t="shared" si="12"/>
        <v>0</v>
      </c>
      <c r="CD37" s="210" t="str">
        <f>IF(AND(C37="Skema 1",B37="ma"),Skemaoplysninger!$E$31,"")</f>
        <v/>
      </c>
      <c r="CE37" s="210" t="str">
        <f>IF(AND(C37="Skema 1",B37="ti"),Skemaoplysninger!$G$31,"")</f>
        <v/>
      </c>
      <c r="CF37" s="210" t="str">
        <f>IF(AND(C37="Skema 1",B37="on"),Skemaoplysninger!$I$31,"")</f>
        <v/>
      </c>
      <c r="CG37" s="210" t="str">
        <f>IF(AND(C37="Skema 1",B37="to"),Skemaoplysninger!$K$31,"")</f>
        <v/>
      </c>
      <c r="CH37" s="210" t="str">
        <f>IF(AND(C37="Skema 1",B37="fr"),Skemaoplysninger!$M$31,"")</f>
        <v/>
      </c>
      <c r="CI37" s="210" t="str">
        <f>IF(AND(C37="Skema 2",B37="ma"),Skemaoplysninger!$S$31,"")</f>
        <v/>
      </c>
      <c r="CJ37" s="210" t="str">
        <f>IF(AND(C37="Skema 2",B37="ti"),Skemaoplysninger!$U$31,"")</f>
        <v/>
      </c>
      <c r="CK37" s="210" t="str">
        <f>IF(AND(C37="Skema 2",B37="on"),Skemaoplysninger!$W$31,"")</f>
        <v/>
      </c>
      <c r="CL37" s="210" t="str">
        <f>IF(AND(C37="Skema 2",B37="to"),Skemaoplysninger!$Y$31,"")</f>
        <v/>
      </c>
      <c r="CM37" s="210" t="str">
        <f>IF(AND(C37="Skema 2",B37="fr"),Skemaoplysninger!$AA$31,"")</f>
        <v/>
      </c>
      <c r="CN37" s="210" t="str">
        <f>IF(AND(C37="Skema 3",B37="ma"),Skemaoplysninger!$AG$31,"")</f>
        <v/>
      </c>
      <c r="CO37" s="210" t="str">
        <f>IF(AND(C37="Skema 3",B37="ti"),Skemaoplysninger!$AI$31,"")</f>
        <v/>
      </c>
      <c r="CP37" s="210" t="str">
        <f>IF(AND(C37="Skema 3",B37="on"),Skemaoplysninger!$AK$31,"")</f>
        <v/>
      </c>
      <c r="CQ37" s="210" t="str">
        <f>IF(AND(C37="Skema 3",B37="to"),Skemaoplysninger!$AM$31,"")</f>
        <v/>
      </c>
      <c r="CR37" s="210" t="str">
        <f>IF(AND(C37="Skema 3",B37="fr"),Skemaoplysninger!$AO$31,"")</f>
        <v/>
      </c>
      <c r="CS37" s="210" t="str">
        <f>IF(AND(C37="Skema 4",B37="ma"),Skemaoplysninger!$AU$31,"")</f>
        <v/>
      </c>
      <c r="CT37" s="210" t="str">
        <f>IF(AND(C37="Skema 4",B37="ti"),Skemaoplysninger!$AW$31,"")</f>
        <v/>
      </c>
      <c r="CU37" s="210" t="str">
        <f>IF(AND(C37="Skema 4",B37="on"),Skemaoplysninger!$AY$31,"")</f>
        <v/>
      </c>
      <c r="CV37" s="210" t="str">
        <f>IF(AND(C37="Skema 4",B37="to"),Skemaoplysninger!$BA$31,"")</f>
        <v/>
      </c>
      <c r="CW37" s="210" t="str">
        <f>IF(AND(C37="Skema 4",B37="fr"),Skemaoplysninger!$BC$31,"")</f>
        <v/>
      </c>
      <c r="CX37" s="249">
        <f>IF(Stamoplysninger!$H$29="NEJ",SUM(CD37:CW37)*24+CB37+CC37,0)</f>
        <v>0</v>
      </c>
      <c r="CY37" s="249">
        <f>IF(C37="Skema 1",Stamoplysninger!$H$30/200,0)</f>
        <v>0</v>
      </c>
      <c r="CZ37" s="249">
        <f>IF(C37="Skema 2",Stamoplysninger!$H$30/200,0)</f>
        <v>0</v>
      </c>
      <c r="DA37" s="249">
        <f>IF(C37="Skema 3",Stamoplysninger!$H$30/200,0)</f>
        <v>0</v>
      </c>
      <c r="DB37" s="249">
        <f>IF(C37="Skema 4",Stamoplysninger!$H$30/200,0)</f>
        <v>0</v>
      </c>
      <c r="DC37" s="249">
        <f>IF(C37="fagdag",Stamoplysninger!$H$30/200,0)</f>
        <v>0</v>
      </c>
      <c r="DD37" s="249">
        <f>IF(C37="emnedag",Stamoplysninger!$H$30/200,0)</f>
        <v>0</v>
      </c>
      <c r="DE37" s="249">
        <f>IF(C37="lejrskole",Stamoplysninger!$H$30/200,0)</f>
        <v>0</v>
      </c>
      <c r="DF37" s="249">
        <f>IF(C37="ekskursion",Stamoplysninger!$H$30/200,0)</f>
        <v>0</v>
      </c>
      <c r="DG37" s="249">
        <f t="shared" si="27"/>
        <v>0</v>
      </c>
      <c r="DH37" t="str">
        <f t="shared" si="28"/>
        <v/>
      </c>
      <c r="DI37">
        <f t="shared" si="29"/>
        <v>0</v>
      </c>
      <c r="DJ37">
        <f t="shared" si="30"/>
        <v>0</v>
      </c>
      <c r="DK37" t="str">
        <f t="shared" si="13"/>
        <v/>
      </c>
      <c r="DL37" t="str">
        <f t="shared" si="13"/>
        <v/>
      </c>
      <c r="DM37" t="str">
        <f t="shared" si="13"/>
        <v/>
      </c>
      <c r="DN37" t="str">
        <f t="shared" si="31"/>
        <v/>
      </c>
      <c r="DO37" s="652">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71">
        <f>IF(AND(Stamoplysninger!$B$22="Ulempetillæg udbetales med 25% af nettotimelønnen.",C37="ikke relevant"),(R37)/4,0)</f>
        <v>0</v>
      </c>
      <c r="DT37" s="671">
        <f>IF(AND(AND(Stamoplysninger!$B$22="Ulempetillæg udbetales med 25% af nettotimelønnen.",I37="X",C37="Ikke relevant")),K37/4,0)</f>
        <v>0</v>
      </c>
      <c r="DU37" s="671">
        <f>IF(AND(AND(Stamoplysninger!$B$22="Ulempetillæg udbetales med 25% af nettotimelønnen.",C37="ikke relevant",U37="X")),(X37/4),0)</f>
        <v>0</v>
      </c>
      <c r="DV37" s="672">
        <f>IF(AND(AND(AND(Stamoplysninger!$B$22="Ulempetillæg udbetales med 25% af nettotimelønnen.",I37="X",C37="Ikke relevant",U37="X"))),X37/4,0)</f>
        <v>0</v>
      </c>
      <c r="DW37" s="652"/>
      <c r="DZ37" s="671"/>
      <c r="EA37" s="671"/>
      <c r="EB37" s="672"/>
      <c r="EC37" s="652">
        <f>IF(Stamoplysninger!$B$22="Ulempetillæg afspadseres med 25%(Kræver en aftale imellem ledelsen og den ansatte)",(R37+X37)/4,0)</f>
        <v>0</v>
      </c>
      <c r="ED37">
        <f>IF(AND(Stamoplysninger!$B$22="Ulempetillæg afspadseres med 25%(Kræver en aftale imellem ledelsen og den ansatte)",I37="X"),K37/4,0)</f>
        <v>0</v>
      </c>
      <c r="EE37">
        <f>IF(AND(Stamoplysninger!$B$22="Ulempetillæg afspadseres med 25%(Kræver en aftale imellem ledelsen og den ansatte)",I37="X"),V37/4,0)</f>
        <v>0</v>
      </c>
      <c r="EF37">
        <f>IF(AND(AND(Stamoplysninger!$B$22="Ulempetillæg udbetales med 25% af nettotimelønnen.",AG37="X",W37="X")),AJ37/4,0)</f>
        <v>0</v>
      </c>
      <c r="EG37" s="671">
        <f>IF(AND(Stamoplysninger!$B$22="Ulempetillæg afspadseres med 25%(Kræver en aftale imellem ledelsen og den ansatte)",C37="ikke relevant"),(R37+X37)/4,0)</f>
        <v>0</v>
      </c>
      <c r="EH37" s="671">
        <f>IF(AND(AND(Stamoplysninger!$B$22="Ulempetillæg afspadseres med 25%(Kræver en aftale imellem ledelsen og den ansatte)",I37="X",C37="Ikke relevant")),K37/4,0)</f>
        <v>0</v>
      </c>
      <c r="EI37" s="671">
        <f>IF(AND(AND(Stamoplysninger!$B$22="Ulempetillæg afspadseres med 25%(Kræver en aftale imellem ledelsen og den ansatte)",I37="X",C37="Ikke relevant")),V37/4,0)</f>
        <v>0</v>
      </c>
      <c r="EJ37" s="671">
        <f>IF(AND(AND(Stamoplysninger!$B$22="Ulempetillæg afspadseres med 25%(Kræver en aftale imellem ledelsen og den ansatte)",J37="X",D37="Ikke relevant")),W37/4,0)</f>
        <v>0</v>
      </c>
      <c r="EK37" s="283">
        <f>IF(AND(Stamoplysninger!$B$26="Weekendtimer og weekendtillæg afspadseres.",I37="X"),K37+V37,0)</f>
        <v>0</v>
      </c>
      <c r="EL37" s="251">
        <f>IF(AND(Stamoplysninger!$B$26="Weekendtimer og weekendtillæg afspadseres.",J37="X"),(L37+W37)/2,0)</f>
        <v>0</v>
      </c>
      <c r="EM37" s="674">
        <f>IF(AND(AND(Stamoplysninger!$B$26="Weekendtimer og weekendtillæg afspadseres.",I37="X",C37="ikke relevant")),K37+V37,0)</f>
        <v>0</v>
      </c>
      <c r="EN37" s="675">
        <f>IF(AND(AND(Stamoplysninger!$B$26="Weekendtimer og weekendtillæg afspadseres.",I37="X",C37="ikke relevant")),(K37+V37)/2,0)</f>
        <v>0</v>
      </c>
      <c r="EO37" s="283">
        <f>IF(AND(Stamoplysninger!$B$26="Weekendtimer og weekendtillæg udbetales.",I37="X"),K37+V37,0)</f>
        <v>0</v>
      </c>
      <c r="EP37" s="251">
        <f>IF(AND(Stamoplysninger!$B$26="Weekendtimer og weekendtillæg udbetales.",I37="X"),(K37+V37)/2,0)</f>
        <v>0</v>
      </c>
      <c r="EQ37" s="674">
        <f>IF(AND(AND(Stamoplysninger!$B$26="Weekendtimer og weekendtillæg udbetales.",I37="X",C37="ikke relevant")),K37+V37,0)</f>
        <v>0</v>
      </c>
      <c r="ER37" s="675">
        <f>IF(AND(AND(Stamoplysninger!$B$26="Weekendtimer og weekendtillæg udbetales.",I37="X",C37="ikke relevant")),(K37+V37)/2,0)</f>
        <v>0</v>
      </c>
      <c r="ES37" s="283">
        <f>IF(AND(Stamoplysninger!$B$26="Weekendtimer og weekendtillæg udbetales.",M37="X"),O37+Z37,0)</f>
        <v>0</v>
      </c>
      <c r="ET37" s="251">
        <f>IF(AND(Stamoplysninger!$B$26="Weekendtimer og weekendtillæg udbetales.",M37="X"),(O37+Z37)/2,0)</f>
        <v>0</v>
      </c>
      <c r="EU37" s="674">
        <f>IF(AND(AND(Stamoplysninger!$B$26="Weekendtimer og weekendtillæg udbetales.",M37="X",G37="ikke relevant")),O37+Z37,0)</f>
        <v>0</v>
      </c>
      <c r="EV37" s="675">
        <f>IF(AND(AND(Stamoplysninger!$B$26="Weekendtimer og weekendtillæg udbetales.",M37="X",G37="ikke relevant")),(O37+Z37)/2,0)</f>
        <v>0</v>
      </c>
      <c r="EW37" s="283">
        <f>IF(AND(Stamoplysninger!$B$26="Der er indgået lokalaftale omkring weekendtimer(Kræver aftale med TR/FSL). Weekendtillæg udbetales.",I37="X"),K37*0.5,0)</f>
        <v>0</v>
      </c>
      <c r="EX37" s="251">
        <f>IF(AND(AND(Stamoplysninger!$B$26="Der er indgået lokalaftale omkring weekendtimer(Kræver aftale med TR/FSL). Weekendtillæg udbetales.",I37="X",S37="X")),V37*0.5,0)</f>
        <v>0</v>
      </c>
      <c r="EY37" s="674">
        <f>IF(AND(AND(Stamoplysninger!$B$26="Der er indgået lokalaftale omkring weekendtimer(Kræver aftale med TR/FSL). Weekendtillæg udbetales.",I37="X",C37="ikke relevant")),K37*0.5,0)</f>
        <v>0</v>
      </c>
      <c r="EZ37" s="675">
        <f>IF(AND(AND(AND(Stamoplysninger!$B$26="Der er indgået lokalaftale omkring weekendtimer(Kræver aftale med TR/FSL). Weekendtillæg udbetales.",I37="X",C37="ikke relevant",S37="X"))),(V37*0.5),0)</f>
        <v>0</v>
      </c>
      <c r="FA37" s="283">
        <f>IF(AND(Stamoplysninger!$B$26="Der er indgået lokalaftale omkring weekendtimer(Kræver aftale med TR/FSL). Weekendtillæg udbetales.",M37="X"),O37*0.5,0)</f>
        <v>0</v>
      </c>
      <c r="FB37" s="251">
        <f>IF(AND(AND(Stamoplysninger!$B$26="Der er indgået lokalaftale omkring weekendtimer(Kræver aftale med TR/FSL). Weekendtillæg udbetales.",M37="X",W37="X")),Z37*0.5,0)</f>
        <v>0</v>
      </c>
      <c r="FC37" s="674">
        <f>IF(AND(AND(Stamoplysninger!$B$26="Der er indgået lokalaftale omkring weekendtimer(Kræver aftale med TR/FSL). Weekendtillæg udbetales.",M37="X",G37="ikke relevant")),O37*0.5,0)</f>
        <v>0</v>
      </c>
      <c r="FD37" s="675">
        <f>IF(AND(AND(AND(Stamoplysninger!$B$26="Der er indgået lokalaftale omkring weekendtimer(Kræver aftale med TR/FSL). Weekendtillæg udbetales.",M37="X",G37="ikke relevant",W37="X"))),(Z37*0.5),0)</f>
        <v>0</v>
      </c>
      <c r="FE37" s="283">
        <f>IF(AND(Stamoplysninger!$B$26="Der er indgået lokalaftale omkring weekendtimer(Kræver aftale med TR/FSL). Weekendtillæg udbetales.",Q37="X"),S37*0.5,0)</f>
        <v>0</v>
      </c>
      <c r="FF37" s="251">
        <f>IF(AND(AND(Stamoplysninger!$B$26="Der er indgået lokalaftale omkring weekendtimer(Kræver aftale med TR/FSL). Weekendtillæg udbetales.",Q37="X",AA37="X")),AD37*0.5,0)</f>
        <v>0</v>
      </c>
      <c r="FG37" s="674">
        <f>IF(AND(AND(Stamoplysninger!$B$26="Der er indgået lokalaftale omkring weekendtimer(Kræver aftale med TR/FSL). Weekendtillæg udbetales.",Q37="X",K37="ikke relevant")),S37*0.5,0)</f>
        <v>0</v>
      </c>
      <c r="FH37" s="675">
        <f>IF(AND(AND(AND(Stamoplysninger!$B$26="Der er indgået lokalaftale omkring weekendtimer(Kræver aftale med TR/FSL). Weekendtillæg udbetales.",Q37="X",K37="ikke relevant",AA37="X"))),(AD37*0.5),0)</f>
        <v>0</v>
      </c>
      <c r="FI37" s="283">
        <f>IF(AND(Stamoplysninger!$B$26="Weekendtimer og weekendtillæg afspadseres.",I37="X"),K37,0)</f>
        <v>0</v>
      </c>
      <c r="FJ37" s="251">
        <f>IF(AND(Stamoplysninger!$B$26="Weekendtimer og weekendtillæg afspadseres.",Y37="X"),(AA37+AL37)/2,0)</f>
        <v>0</v>
      </c>
      <c r="FK37" s="674">
        <f>IF(AND(AND(Stamoplysninger!$B$26="Weekendtimer og weekendtillæg afspadseres.",I37="X",C37="ikke relevant")),K37,0)</f>
        <v>0</v>
      </c>
      <c r="FL37" s="675">
        <f>IF(AND(AND(Stamoplysninger!$B$26="Weekendtimer og weekendtillæg afspadseres.",Y37="X",S37="ikke relevant")),(AA37+AL37)/2,0)</f>
        <v>0</v>
      </c>
      <c r="FM37" s="283">
        <f>IF(AND(Stamoplysninger!$B$26="Der er indgået lokalaftale omkring weekendtillæg(Kræver aftale med TR/FSL). Weekendtimerne afspadseres.",I37="X"),K37,0)</f>
        <v>0</v>
      </c>
      <c r="FN37" s="674">
        <f>IF(AND(AND(Stamoplysninger!$B$26="Der er indgået lokalaftale omkring weekendtillæg(Kræver aftale med TR/FSL). Weekendtimerne afspadseres.",I37="X",C37="ikke relevant")),K37,0)</f>
        <v>0</v>
      </c>
      <c r="FO37" s="283">
        <f>IF(AND(Stamoplysninger!$B$26="Weekendtimer og weekendtillæg udbetales.",I37="X"),K37,0)</f>
        <v>0</v>
      </c>
      <c r="FP37" s="251">
        <f>IF(AND(Stamoplysninger!$B$26="Weekendtimer og weekendtillæg udbetales.",AA37="X"),(AC37+AN37)/2,0)</f>
        <v>0</v>
      </c>
      <c r="FQ37" s="674">
        <f>IF(AND(AND(Stamoplysninger!$B$26="Weekendtimer og weekendtillæg udbetales.",I37="X",C37="ikke relevant")),K37,0)</f>
        <v>0</v>
      </c>
      <c r="FR37" s="688">
        <f>IF(AND(AND(Stamoplysninger!$B$26="Weekendtimer og weekendtillæg udbetales.",AA37="X",U37="ikke relevant")),(AC37+AN37)/2,0)</f>
        <v>0</v>
      </c>
      <c r="FS37" s="283">
        <f t="shared" si="15"/>
        <v>0</v>
      </c>
      <c r="FT37" s="658">
        <f t="shared" si="16"/>
        <v>0</v>
      </c>
      <c r="FU37">
        <f t="shared" si="32"/>
        <v>0</v>
      </c>
      <c r="FV37" s="283">
        <f>IF(AND(Stamoplysninger!$B$26="Der er indgået lokalaftale omkring weekendtimer.(Kræver aftale med TR/FSL) Weekendtillæg afspadseres.",I37="X"),K37,0)</f>
        <v>0</v>
      </c>
      <c r="FW37" s="674">
        <f>IF(AND(AND(Stamoplysninger!$B$26="Der er indgået lokalaftale omkring weekendtimer.(Kræver aftale med TR/FSL) Weekendtillæg afspadseres.",I37="X",C37="ikke relevant")),K37,0)</f>
        <v>0</v>
      </c>
      <c r="FX37" s="283">
        <f>IF(AND(Stamoplysninger!$B$26="Der er indgået lokalaftale omkring weekendtimer(Kræver aftale med TR/FSL). Weekendtillæg udbetales.",I37="X"),K37,0)</f>
        <v>0</v>
      </c>
      <c r="FY37" s="674">
        <f>IF(AND(AND(Stamoplysninger!$B$26="Der er indgået lokalaftale omkring weekendtimer(Kræver aftale med TR/FSL). Weekendtillæg udbetales.",I37="X",C37="ikke relevant")),K37,0)</f>
        <v>0</v>
      </c>
      <c r="FZ37" s="283">
        <f>IF(AND(Stamoplysninger!$B$26="Der er indgået lokalaftale omkring weekendtillæg(Kræver aftale med TR/FSL). Weekendtimerne udbetales.",I37="X"),K37,0)</f>
        <v>0</v>
      </c>
      <c r="GA37" s="674">
        <f>IF(AND(AND(Stamoplysninger!$B$26="Der er indgået lokalaftale omkring weekendtillæg(Kræver aftale med TR/FSL). Weekendtimerne udbetales.",I37="X",C37="ikke relevant")),K37,0)</f>
        <v>0</v>
      </c>
      <c r="GB37" s="283">
        <f>IF(AND(Stamoplysninger!$B$26="Der er indgået lokalaftale omkring weekendtimer og weekendtillæg.(Kræver aftale med TR/FSL).",I37="X"),K37,0)</f>
        <v>0</v>
      </c>
      <c r="GC37" s="674">
        <f>IF(AND(AND(Stamoplysninger!$B$26="Der er indgået lokalaftale omkring weekendtimer og weekendtillæg.(Kræver aftale med TR/FSL).",I37="X",C37="ikke relevant")),K37,0)</f>
        <v>0</v>
      </c>
    </row>
    <row r="38" spans="1:185">
      <c r="A38" s="245">
        <f t="shared" si="18"/>
        <v>30</v>
      </c>
      <c r="B38" s="128" t="str">
        <f t="shared" si="0"/>
        <v>ma</v>
      </c>
      <c r="C38" s="129" t="s">
        <v>206</v>
      </c>
      <c r="D38" s="130">
        <f t="shared" si="1"/>
        <v>40</v>
      </c>
      <c r="E38" s="917"/>
      <c r="F38" s="918"/>
      <c r="G38" s="919"/>
      <c r="H38" s="298"/>
      <c r="I38" s="527"/>
      <c r="J38" s="413"/>
      <c r="K38" s="380"/>
      <c r="L38" s="380"/>
      <c r="M38" s="380"/>
      <c r="N38" s="318">
        <f t="shared" si="19"/>
        <v>7.75</v>
      </c>
      <c r="O38" s="318">
        <f t="shared" si="20"/>
        <v>3.916666666666667</v>
      </c>
      <c r="P38" s="318">
        <f>IF(Stamoplysninger!$H$29="JA",September!DG38,CX38)</f>
        <v>0.83333333333333337</v>
      </c>
      <c r="Q38" s="318">
        <f t="shared" si="21"/>
        <v>2.9999999999999996</v>
      </c>
      <c r="R38" s="319"/>
      <c r="S38" s="324"/>
      <c r="T38" s="325"/>
      <c r="U38" s="325"/>
      <c r="V38" s="435"/>
      <c r="W38" s="435"/>
      <c r="X38" s="644"/>
      <c r="Y38">
        <f t="shared" si="22"/>
        <v>0</v>
      </c>
      <c r="Z38" s="437">
        <f t="shared" si="23"/>
        <v>0</v>
      </c>
      <c r="AA38" s="1">
        <f t="shared" si="2"/>
        <v>0</v>
      </c>
      <c r="AB38" s="1">
        <f t="shared" si="3"/>
        <v>0</v>
      </c>
      <c r="AC38" s="1">
        <f t="shared" si="4"/>
        <v>0</v>
      </c>
      <c r="AD38" s="1">
        <f t="shared" si="5"/>
        <v>0</v>
      </c>
      <c r="AE38" s="1">
        <f t="shared" si="6"/>
        <v>0</v>
      </c>
      <c r="AF38" s="1">
        <f>IF(C38="Orlov",7.4*Stamoplysninger!$E$15,0)</f>
        <v>0</v>
      </c>
      <c r="AG38">
        <f>IF(AND(C38="Skema 1",B38="ma"),Arbejdstidsoversigt!$E$72,"")</f>
        <v>7.75</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SUM(AA38:AZ38)</f>
        <v>7.75</v>
      </c>
      <c r="BB38" s="229">
        <f t="shared" si="7"/>
        <v>186</v>
      </c>
      <c r="BC38" s="1">
        <f t="shared" si="25"/>
        <v>0</v>
      </c>
      <c r="BD38" s="1">
        <f t="shared" si="8"/>
        <v>0</v>
      </c>
      <c r="BE38" s="1">
        <f t="shared" si="9"/>
        <v>0</v>
      </c>
      <c r="BF38" s="1">
        <f t="shared" si="10"/>
        <v>0</v>
      </c>
      <c r="BG38" s="210">
        <f>IF(AND(C38="Skema 1",B38="ma"),Skemaoplysninger!$E$30,"")</f>
        <v>0.16319444444444445</v>
      </c>
      <c r="BH38" s="210" t="str">
        <f>IF(AND(C38="Skema 1",B38="ti"),Skemaoplysninger!$G$30,"")</f>
        <v/>
      </c>
      <c r="BI38" s="210" t="str">
        <f>IF(AND(C38="Skema 1",B38="on"),Skemaoplysninger!$I$30,"")</f>
        <v/>
      </c>
      <c r="BJ38" s="210" t="str">
        <f>IF(AND(C38="Skema 1",B38="to"),Skemaoplysninger!$K$30,"")</f>
        <v/>
      </c>
      <c r="BK38" s="210" t="str">
        <f>IF(AND(C38="Skema 1",B38="fr"),Skemaoplysninger!$M$30,"")</f>
        <v/>
      </c>
      <c r="BL38" s="210" t="str">
        <f>IF(AND(C38="Skema 2",B38="ma"),Skemaoplysninger!$S$30,"")</f>
        <v/>
      </c>
      <c r="BM38" s="210" t="str">
        <f>IF(AND(C38="Skema 2",B38="ti"),Skemaoplysninger!$U$30,"")</f>
        <v/>
      </c>
      <c r="BN38" s="210" t="str">
        <f>IF(AND(C38="Skema 2",B38="on"),Skemaoplysninger!$W$30,"")</f>
        <v/>
      </c>
      <c r="BO38" s="210" t="str">
        <f>IF(AND(C38="Skema 2",B38="to"),Skemaoplysninger!$Y$30,"")</f>
        <v/>
      </c>
      <c r="BP38" s="210" t="str">
        <f>IF(AND(C38="Skema 2",B38="fr"),Skemaoplysninger!$AA$30,"")</f>
        <v/>
      </c>
      <c r="BQ38" s="210" t="str">
        <f>IF(AND(C38="Skema 3",B38="ma"),Skemaoplysninger!$AG$30,"")</f>
        <v/>
      </c>
      <c r="BR38" s="210" t="str">
        <f>IF(AND(C38="Skema 3",B38="ti"),Skemaoplysninger!$AI$30,"")</f>
        <v/>
      </c>
      <c r="BS38" s="210" t="str">
        <f>IF(AND(C38="Skema 3",B38="on"),Skemaoplysninger!$AK$30,"")</f>
        <v/>
      </c>
      <c r="BT38" s="210" t="str">
        <f>IF(AND(C38="Skema 3",B38="to"),Skemaoplysninger!$AM$30,"")</f>
        <v/>
      </c>
      <c r="BU38" s="210" t="str">
        <f>IF(AND(C38="Skema 3",B38="fr"),Skemaoplysninger!$AO$30,"")</f>
        <v/>
      </c>
      <c r="BV38" s="210" t="str">
        <f>IF(AND(C38="Skema 4",B38="ma"),Skemaoplysninger!$AU$30,"")</f>
        <v/>
      </c>
      <c r="BW38" s="210" t="str">
        <f>IF(AND(C38="Skema 4",B38="ti"),Skemaoplysninger!$AW$30,"")</f>
        <v/>
      </c>
      <c r="BX38" s="210" t="str">
        <f>IF(AND(C38="Skema 4",B38="on"),Skemaoplysninger!$AY$30,"")</f>
        <v/>
      </c>
      <c r="BY38" s="210" t="str">
        <f>IF(AND(C38="Skema 4",B38="to"),Skemaoplysninger!$BA$30,"")</f>
        <v/>
      </c>
      <c r="BZ38" s="210" t="str">
        <f>IF(AND(C38="Skema 4",B38="fr"),Skemaoplysninger!$BC$30,"")</f>
        <v/>
      </c>
      <c r="CA38" s="1">
        <f t="shared" si="26"/>
        <v>3.916666666666667</v>
      </c>
      <c r="CB38" s="1">
        <f t="shared" si="11"/>
        <v>0</v>
      </c>
      <c r="CC38" s="1">
        <f t="shared" si="12"/>
        <v>0</v>
      </c>
      <c r="CD38" s="210">
        <f>IF(AND(C38="Skema 1",B38="ma"),Skemaoplysninger!$E$31,"")</f>
        <v>3.4722222222222224E-2</v>
      </c>
      <c r="CE38" s="210" t="str">
        <f>IF(AND(C38="Skema 1",B38="ti"),Skemaoplysninger!$G$31,"")</f>
        <v/>
      </c>
      <c r="CF38" s="210" t="str">
        <f>IF(AND(C38="Skema 1",B38="on"),Skemaoplysninger!$I$31,"")</f>
        <v/>
      </c>
      <c r="CG38" s="210" t="str">
        <f>IF(AND(C38="Skema 1",B38="to"),Skemaoplysninger!$K$31,"")</f>
        <v/>
      </c>
      <c r="CH38" s="210" t="str">
        <f>IF(AND(C38="Skema 1",B38="fr"),Skemaoplysninger!$M$31,"")</f>
        <v/>
      </c>
      <c r="CI38" s="210" t="str">
        <f>IF(AND(C38="Skema 2",B38="ma"),Skemaoplysninger!$S$31,"")</f>
        <v/>
      </c>
      <c r="CJ38" s="210" t="str">
        <f>IF(AND(C38="Skema 2",B38="ti"),Skemaoplysninger!$U$31,"")</f>
        <v/>
      </c>
      <c r="CK38" s="210" t="str">
        <f>IF(AND(C38="Skema 2",B38="on"),Skemaoplysninger!$W$31,"")</f>
        <v/>
      </c>
      <c r="CL38" s="210" t="str">
        <f>IF(AND(C38="Skema 2",B38="to"),Skemaoplysninger!$Y$31,"")</f>
        <v/>
      </c>
      <c r="CM38" s="210" t="str">
        <f>IF(AND(C38="Skema 2",B38="fr"),Skemaoplysninger!$AA$31,"")</f>
        <v/>
      </c>
      <c r="CN38" s="210" t="str">
        <f>IF(AND(C38="Skema 3",B38="ma"),Skemaoplysninger!$AG$31,"")</f>
        <v/>
      </c>
      <c r="CO38" s="210" t="str">
        <f>IF(AND(C38="Skema 3",B38="ti"),Skemaoplysninger!$AI$31,"")</f>
        <v/>
      </c>
      <c r="CP38" s="210" t="str">
        <f>IF(AND(C38="Skema 3",B38="on"),Skemaoplysninger!$AK$31,"")</f>
        <v/>
      </c>
      <c r="CQ38" s="210" t="str">
        <f>IF(AND(C38="Skema 3",B38="to"),Skemaoplysninger!$AM$31,"")</f>
        <v/>
      </c>
      <c r="CR38" s="210" t="str">
        <f>IF(AND(C38="Skema 3",B38="fr"),Skemaoplysninger!$AO$31,"")</f>
        <v/>
      </c>
      <c r="CS38" s="210" t="str">
        <f>IF(AND(C38="Skema 4",B38="ma"),Skemaoplysninger!$AU$31,"")</f>
        <v/>
      </c>
      <c r="CT38" s="210" t="str">
        <f>IF(AND(C38="Skema 4",B38="ti"),Skemaoplysninger!$AW$31,"")</f>
        <v/>
      </c>
      <c r="CU38" s="210" t="str">
        <f>IF(AND(C38="Skema 4",B38="on"),Skemaoplysninger!$AY$31,"")</f>
        <v/>
      </c>
      <c r="CV38" s="210" t="str">
        <f>IF(AND(C38="Skema 4",B38="to"),Skemaoplysninger!$BA$31,"")</f>
        <v/>
      </c>
      <c r="CW38" s="210" t="str">
        <f>IF(AND(C38="Skema 4",B38="fr"),Skemaoplysninger!$BC$31,"")</f>
        <v/>
      </c>
      <c r="CX38" s="249">
        <f>IF(Stamoplysninger!$H$29="NEJ",SUM(CD38:CW38)*24+CB38+CC38,0)</f>
        <v>0.83333333333333337</v>
      </c>
      <c r="CY38" s="249">
        <f>IF(C38="Skema 1",Stamoplysninger!$H$30/200,0)</f>
        <v>0</v>
      </c>
      <c r="CZ38" s="249">
        <f>IF(C38="Skema 2",Stamoplysninger!$H$30/200,0)</f>
        <v>0</v>
      </c>
      <c r="DA38" s="249">
        <f>IF(C38="Skema 3",Stamoplysninger!$H$30/200,0)</f>
        <v>0</v>
      </c>
      <c r="DB38" s="249">
        <f>IF(C38="Skema 4",Stamoplysninger!$H$30/200,0)</f>
        <v>0</v>
      </c>
      <c r="DC38" s="249">
        <f>IF(C38="fagdag",Stamoplysninger!$H$30/200,0)</f>
        <v>0</v>
      </c>
      <c r="DD38" s="249">
        <f>IF(C38="emnedag",Stamoplysninger!$H$30/200,0)</f>
        <v>0</v>
      </c>
      <c r="DE38" s="249">
        <f>IF(C38="lejrskole",Stamoplysninger!$H$30/200,0)</f>
        <v>0</v>
      </c>
      <c r="DF38" s="249">
        <f>IF(C38="ekskursion",Stamoplysninger!$H$30/200,0)</f>
        <v>0</v>
      </c>
      <c r="DG38" s="249">
        <f t="shared" si="27"/>
        <v>0</v>
      </c>
      <c r="DH38" t="str">
        <f t="shared" si="28"/>
        <v/>
      </c>
      <c r="DI38">
        <f t="shared" si="29"/>
        <v>0</v>
      </c>
      <c r="DJ38">
        <f t="shared" si="30"/>
        <v>0</v>
      </c>
      <c r="DK38" t="str">
        <f t="shared" si="13"/>
        <v/>
      </c>
      <c r="DL38" t="str">
        <f t="shared" si="13"/>
        <v/>
      </c>
      <c r="DM38" t="str">
        <f t="shared" si="13"/>
        <v/>
      </c>
      <c r="DN38" t="str">
        <f t="shared" si="31"/>
        <v/>
      </c>
      <c r="DO38" s="652">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71">
        <f>IF(AND(Stamoplysninger!$B$22="Ulempetillæg udbetales med 25% af nettotimelønnen.",C38="ikke relevant"),(R38)/4,0)</f>
        <v>0</v>
      </c>
      <c r="DT38" s="671">
        <f>IF(AND(AND(Stamoplysninger!$B$22="Ulempetillæg udbetales med 25% af nettotimelønnen.",I38="X",C38="Ikke relevant")),K38/4,0)</f>
        <v>0</v>
      </c>
      <c r="DU38" s="671">
        <f>IF(AND(AND(Stamoplysninger!$B$22="Ulempetillæg udbetales med 25% af nettotimelønnen.",C38="ikke relevant",U38="X")),(X38/4),0)</f>
        <v>0</v>
      </c>
      <c r="DV38" s="672">
        <f>IF(AND(AND(AND(Stamoplysninger!$B$22="Ulempetillæg udbetales med 25% af nettotimelønnen.",I38="X",C38="Ikke relevant",U38="X"))),X38/4,0)</f>
        <v>0</v>
      </c>
      <c r="DW38" s="652"/>
      <c r="DZ38" s="671"/>
      <c r="EA38" s="671"/>
      <c r="EB38" s="672"/>
      <c r="EC38" s="652">
        <f>IF(Stamoplysninger!$B$22="Ulempetillæg afspadseres med 25%(Kræver en aftale imellem ledelsen og den ansatte)",(R38+X38)/4,0)</f>
        <v>0</v>
      </c>
      <c r="ED38">
        <f>IF(AND(Stamoplysninger!$B$22="Ulempetillæg afspadseres med 25%(Kræver en aftale imellem ledelsen og den ansatte)",I38="X"),K38/4,0)</f>
        <v>0</v>
      </c>
      <c r="EE38">
        <f>IF(AND(Stamoplysninger!$B$22="Ulempetillæg afspadseres med 25%(Kræver en aftale imellem ledelsen og den ansatte)",I38="X"),V38/4,0)</f>
        <v>0</v>
      </c>
      <c r="EF38">
        <f>IF(AND(AND(Stamoplysninger!$B$22="Ulempetillæg udbetales med 25% af nettotimelønnen.",AG38="X",W38="X")),AJ38/4,0)</f>
        <v>0</v>
      </c>
      <c r="EG38" s="671">
        <f>IF(AND(Stamoplysninger!$B$22="Ulempetillæg afspadseres med 25%(Kræver en aftale imellem ledelsen og den ansatte)",C38="ikke relevant"),(R38+X38)/4,0)</f>
        <v>0</v>
      </c>
      <c r="EH38" s="671">
        <f>IF(AND(AND(Stamoplysninger!$B$22="Ulempetillæg afspadseres med 25%(Kræver en aftale imellem ledelsen og den ansatte)",I38="X",C38="Ikke relevant")),K38/4,0)</f>
        <v>0</v>
      </c>
      <c r="EI38" s="671">
        <f>IF(AND(AND(Stamoplysninger!$B$22="Ulempetillæg afspadseres med 25%(Kræver en aftale imellem ledelsen og den ansatte)",I38="X",C38="Ikke relevant")),V38/4,0)</f>
        <v>0</v>
      </c>
      <c r="EJ38" s="671">
        <f>IF(AND(AND(Stamoplysninger!$B$22="Ulempetillæg afspadseres med 25%(Kræver en aftale imellem ledelsen og den ansatte)",J38="X",D38="Ikke relevant")),W38/4,0)</f>
        <v>0</v>
      </c>
      <c r="EK38" s="283">
        <f>IF(AND(Stamoplysninger!$B$26="Weekendtimer og weekendtillæg afspadseres.",I38="X"),K38+V38,0)</f>
        <v>0</v>
      </c>
      <c r="EL38" s="251">
        <f>IF(AND(Stamoplysninger!$B$26="Weekendtimer og weekendtillæg afspadseres.",J38="X"),(L38+W38)/2,0)</f>
        <v>0</v>
      </c>
      <c r="EM38" s="674">
        <f>IF(AND(AND(Stamoplysninger!$B$26="Weekendtimer og weekendtillæg afspadseres.",I38="X",C38="ikke relevant")),K38+V38,0)</f>
        <v>0</v>
      </c>
      <c r="EN38" s="675">
        <f>IF(AND(AND(Stamoplysninger!$B$26="Weekendtimer og weekendtillæg afspadseres.",I38="X",C38="ikke relevant")),(K38+V38)/2,0)</f>
        <v>0</v>
      </c>
      <c r="EO38" s="283">
        <f>IF(AND(Stamoplysninger!$B$26="Weekendtimer og weekendtillæg udbetales.",I38="X"),K38+V38,0)</f>
        <v>0</v>
      </c>
      <c r="EP38" s="251">
        <f>IF(AND(Stamoplysninger!$B$26="Weekendtimer og weekendtillæg udbetales.",I38="X"),(K38+V38)/2,0)</f>
        <v>0</v>
      </c>
      <c r="EQ38" s="674">
        <f>IF(AND(AND(Stamoplysninger!$B$26="Weekendtimer og weekendtillæg udbetales.",I38="X",C38="ikke relevant")),K38+V38,0)</f>
        <v>0</v>
      </c>
      <c r="ER38" s="675">
        <f>IF(AND(AND(Stamoplysninger!$B$26="Weekendtimer og weekendtillæg udbetales.",I38="X",C38="ikke relevant")),(K38+V38)/2,0)</f>
        <v>0</v>
      </c>
      <c r="ES38" s="283">
        <f>IF(AND(Stamoplysninger!$B$26="Weekendtimer og weekendtillæg udbetales.",M38="X"),O38+Z38,0)</f>
        <v>0</v>
      </c>
      <c r="ET38" s="251">
        <f>IF(AND(Stamoplysninger!$B$26="Weekendtimer og weekendtillæg udbetales.",M38="X"),(O38+Z38)/2,0)</f>
        <v>0</v>
      </c>
      <c r="EU38" s="674">
        <f>IF(AND(AND(Stamoplysninger!$B$26="Weekendtimer og weekendtillæg udbetales.",M38="X",G38="ikke relevant")),O38+Z38,0)</f>
        <v>0</v>
      </c>
      <c r="EV38" s="675">
        <f>IF(AND(AND(Stamoplysninger!$B$26="Weekendtimer og weekendtillæg udbetales.",M38="X",G38="ikke relevant")),(O38+Z38)/2,0)</f>
        <v>0</v>
      </c>
      <c r="EW38" s="283">
        <f>IF(AND(Stamoplysninger!$B$26="Der er indgået lokalaftale omkring weekendtimer(Kræver aftale med TR/FSL). Weekendtillæg udbetales.",I38="X"),K38*0.5,0)</f>
        <v>0</v>
      </c>
      <c r="EX38" s="251">
        <f>IF(AND(AND(Stamoplysninger!$B$26="Der er indgået lokalaftale omkring weekendtimer(Kræver aftale med TR/FSL). Weekendtillæg udbetales.",I38="X",S38="X")),V38*0.5,0)</f>
        <v>0</v>
      </c>
      <c r="EY38" s="674">
        <f>IF(AND(AND(Stamoplysninger!$B$26="Der er indgået lokalaftale omkring weekendtimer(Kræver aftale med TR/FSL). Weekendtillæg udbetales.",I38="X",C38="ikke relevant")),K38*0.5,0)</f>
        <v>0</v>
      </c>
      <c r="EZ38" s="675">
        <f>IF(AND(AND(AND(Stamoplysninger!$B$26="Der er indgået lokalaftale omkring weekendtimer(Kræver aftale med TR/FSL). Weekendtillæg udbetales.",I38="X",C38="ikke relevant",S38="X"))),(V38*0.5),0)</f>
        <v>0</v>
      </c>
      <c r="FA38" s="283">
        <f>IF(AND(Stamoplysninger!$B$26="Der er indgået lokalaftale omkring weekendtimer(Kræver aftale med TR/FSL). Weekendtillæg udbetales.",M38="X"),O38*0.5,0)</f>
        <v>0</v>
      </c>
      <c r="FB38" s="251">
        <f>IF(AND(AND(Stamoplysninger!$B$26="Der er indgået lokalaftale omkring weekendtimer(Kræver aftale med TR/FSL). Weekendtillæg udbetales.",M38="X",W38="X")),Z38*0.5,0)</f>
        <v>0</v>
      </c>
      <c r="FC38" s="674">
        <f>IF(AND(AND(Stamoplysninger!$B$26="Der er indgået lokalaftale omkring weekendtimer(Kræver aftale med TR/FSL). Weekendtillæg udbetales.",M38="X",G38="ikke relevant")),O38*0.5,0)</f>
        <v>0</v>
      </c>
      <c r="FD38" s="675">
        <f>IF(AND(AND(AND(Stamoplysninger!$B$26="Der er indgået lokalaftale omkring weekendtimer(Kræver aftale med TR/FSL). Weekendtillæg udbetales.",M38="X",G38="ikke relevant",W38="X"))),(Z38*0.5),0)</f>
        <v>0</v>
      </c>
      <c r="FE38" s="283">
        <f>IF(AND(Stamoplysninger!$B$26="Der er indgået lokalaftale omkring weekendtimer(Kræver aftale med TR/FSL). Weekendtillæg udbetales.",Q38="X"),S38*0.5,0)</f>
        <v>0</v>
      </c>
      <c r="FF38" s="251">
        <f>IF(AND(AND(Stamoplysninger!$B$26="Der er indgået lokalaftale omkring weekendtimer(Kræver aftale med TR/FSL). Weekendtillæg udbetales.",Q38="X",AA38="X")),AD38*0.5,0)</f>
        <v>0</v>
      </c>
      <c r="FG38" s="674">
        <f>IF(AND(AND(Stamoplysninger!$B$26="Der er indgået lokalaftale omkring weekendtimer(Kræver aftale med TR/FSL). Weekendtillæg udbetales.",Q38="X",K38="ikke relevant")),S38*0.5,0)</f>
        <v>0</v>
      </c>
      <c r="FH38" s="675">
        <f>IF(AND(AND(AND(Stamoplysninger!$B$26="Der er indgået lokalaftale omkring weekendtimer(Kræver aftale med TR/FSL). Weekendtillæg udbetales.",Q38="X",K38="ikke relevant",AA38="X"))),(AD38*0.5),0)</f>
        <v>0</v>
      </c>
      <c r="FI38" s="283">
        <f>IF(AND(Stamoplysninger!$B$26="Weekendtimer og weekendtillæg afspadseres.",I38="X"),K38,0)</f>
        <v>0</v>
      </c>
      <c r="FJ38" s="251">
        <f>IF(AND(Stamoplysninger!$B$26="Weekendtimer og weekendtillæg afspadseres.",Y38="X"),(AA38+AL38)/2,0)</f>
        <v>0</v>
      </c>
      <c r="FK38" s="674">
        <f>IF(AND(AND(Stamoplysninger!$B$26="Weekendtimer og weekendtillæg afspadseres.",I38="X",C38="ikke relevant")),K38,0)</f>
        <v>0</v>
      </c>
      <c r="FL38" s="675">
        <f>IF(AND(AND(Stamoplysninger!$B$26="Weekendtimer og weekendtillæg afspadseres.",Y38="X",S38="ikke relevant")),(AA38+AL38)/2,0)</f>
        <v>0</v>
      </c>
      <c r="FM38" s="283">
        <f>IF(AND(Stamoplysninger!$B$26="Der er indgået lokalaftale omkring weekendtillæg(Kræver aftale med TR/FSL). Weekendtimerne afspadseres.",I38="X"),K38,0)</f>
        <v>0</v>
      </c>
      <c r="FN38" s="674">
        <f>IF(AND(AND(Stamoplysninger!$B$26="Der er indgået lokalaftale omkring weekendtillæg(Kræver aftale med TR/FSL). Weekendtimerne afspadseres.",I38="X",C38="ikke relevant")),K38,0)</f>
        <v>0</v>
      </c>
      <c r="FO38" s="283">
        <f>IF(AND(Stamoplysninger!$B$26="Weekendtimer og weekendtillæg udbetales.",I38="X"),K38,0)</f>
        <v>0</v>
      </c>
      <c r="FP38" s="251">
        <f>IF(AND(Stamoplysninger!$B$26="Weekendtimer og weekendtillæg udbetales.",AA38="X"),(AC38+AN38)/2,0)</f>
        <v>0</v>
      </c>
      <c r="FQ38" s="674">
        <f>IF(AND(AND(Stamoplysninger!$B$26="Weekendtimer og weekendtillæg udbetales.",I38="X",C38="ikke relevant")),K38,0)</f>
        <v>0</v>
      </c>
      <c r="FR38" s="688">
        <f>IF(AND(AND(Stamoplysninger!$B$26="Weekendtimer og weekendtillæg udbetales.",AA38="X",U38="ikke relevant")),(AC38+AN38)/2,0)</f>
        <v>0</v>
      </c>
      <c r="FS38" s="283">
        <f>IF(AND(I38="X",S38="X"),V38,0)</f>
        <v>0</v>
      </c>
      <c r="FT38" s="658">
        <f>IF(AND(AND(C38="ikke relevant",I38="X",S38="X")),V38,0)</f>
        <v>0</v>
      </c>
      <c r="FU38">
        <f t="shared" si="32"/>
        <v>0</v>
      </c>
      <c r="FV38" s="283">
        <f>IF(AND(Stamoplysninger!$B$26="Der er indgået lokalaftale omkring weekendtimer.(Kræver aftale med TR/FSL) Weekendtillæg afspadseres.",I38="X"),K38,0)</f>
        <v>0</v>
      </c>
      <c r="FW38" s="674">
        <f>IF(AND(AND(Stamoplysninger!$B$26="Der er indgået lokalaftale omkring weekendtimer.(Kræver aftale med TR/FSL) Weekendtillæg afspadseres.",I38="X",C38="ikke relevant")),K38,0)</f>
        <v>0</v>
      </c>
      <c r="FX38" s="283">
        <f>IF(AND(Stamoplysninger!$B$26="Der er indgået lokalaftale omkring weekendtimer(Kræver aftale med TR/FSL). Weekendtillæg udbetales.",I38="X"),K38,0)</f>
        <v>0</v>
      </c>
      <c r="FY38" s="674">
        <f>IF(AND(AND(Stamoplysninger!$B$26="Der er indgået lokalaftale omkring weekendtimer(Kræver aftale med TR/FSL). Weekendtillæg udbetales.",I38="X",C38="ikke relevant")),K38,0)</f>
        <v>0</v>
      </c>
      <c r="FZ38" s="283">
        <f>IF(AND(Stamoplysninger!$B$26="Der er indgået lokalaftale omkring weekendtillæg(Kræver aftale med TR/FSL). Weekendtimerne udbetales.",I38="X"),K38,0)</f>
        <v>0</v>
      </c>
      <c r="GA38" s="674">
        <f>IF(AND(AND(Stamoplysninger!$B$26="Der er indgået lokalaftale omkring weekendtillæg(Kræver aftale med TR/FSL). Weekendtimerne udbetales.",I38="X",C38="ikke relevant")),K38,0)</f>
        <v>0</v>
      </c>
      <c r="GB38" s="283">
        <f>IF(AND(Stamoplysninger!$B$26="Der er indgået lokalaftale omkring weekendtimer og weekendtillæg.(Kræver aftale med TR/FSL).",I38="X"),K38,0)</f>
        <v>0</v>
      </c>
      <c r="GC38" s="674">
        <f>IF(AND(AND(Stamoplysninger!$B$26="Der er indgået lokalaftale omkring weekendtimer og weekendtillæg.(Kræver aftale med TR/FSL).",I38="X",C38="ikke relevant")),K38,0)</f>
        <v>0</v>
      </c>
    </row>
    <row r="39" spans="1:185" ht="17" thickBot="1">
      <c r="A39" s="972" t="s">
        <v>260</v>
      </c>
      <c r="B39" s="973"/>
      <c r="C39" s="973"/>
      <c r="D39" s="973"/>
      <c r="E39" s="973"/>
      <c r="F39" s="973"/>
      <c r="G39" s="973"/>
      <c r="H39" s="973"/>
      <c r="I39" s="974"/>
      <c r="J39" s="313"/>
      <c r="K39" s="322"/>
      <c r="L39" s="322"/>
      <c r="M39" s="322"/>
      <c r="N39" s="322">
        <f>SUM(N9:N38)</f>
        <v>195.74</v>
      </c>
      <c r="O39" s="322">
        <f>SUM(O9:O38)</f>
        <v>90.666666666666671</v>
      </c>
      <c r="P39" s="322">
        <f>SUM(P9:P38)</f>
        <v>19.833333333333332</v>
      </c>
      <c r="Q39" s="322">
        <f>SUM(Q9:Q38)</f>
        <v>43.25</v>
      </c>
      <c r="R39" s="336">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6</v>
      </c>
      <c r="S39" s="432"/>
      <c r="T39" s="433"/>
      <c r="U39" s="433"/>
      <c r="V39" s="43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3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3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1">
        <f>SUM(Y9:Y38)</f>
        <v>0</v>
      </c>
      <c r="Z39" s="398">
        <f>Z9+Z10+Z11+Z12+Z13+Z14+Z15+Z16+Z17+Z18+Z19+Z20+Z21+Z22+Z23+Z24+Z25+Z26+Z27+Z28+Z29+Z30+Z31+Z32+Z33+Z34+Z35+Z36+Z37+Z38</f>
        <v>0</v>
      </c>
      <c r="AA39" s="235">
        <f t="shared" ref="AA39:AF39" si="33">SUM(AA9:AA38)</f>
        <v>0</v>
      </c>
      <c r="AB39" s="235">
        <f t="shared" si="33"/>
        <v>6.5</v>
      </c>
      <c r="AC39" s="235">
        <f t="shared" si="33"/>
        <v>0</v>
      </c>
      <c r="AD39" s="235">
        <f t="shared" si="33"/>
        <v>0</v>
      </c>
      <c r="AE39" s="235">
        <f t="shared" si="33"/>
        <v>65.989999999999995</v>
      </c>
      <c r="AF39" s="235">
        <f t="shared" si="33"/>
        <v>0</v>
      </c>
      <c r="BA39" s="1">
        <f>SUM(BA9:BA38)</f>
        <v>195.74</v>
      </c>
      <c r="BB39" s="112"/>
      <c r="BC39" s="235">
        <f>SUM(BC9:BC38)</f>
        <v>24</v>
      </c>
      <c r="BD39" s="235">
        <f>SUM(BD9:BD38)</f>
        <v>0</v>
      </c>
      <c r="BE39" s="235">
        <f>SUM(BE9:BE38)</f>
        <v>4.5</v>
      </c>
      <c r="BF39" s="235">
        <f>SUM(BF9:BF38)</f>
        <v>0</v>
      </c>
      <c r="CA39" s="235">
        <f>SUM(CA9:CA38)</f>
        <v>90.666666666666671</v>
      </c>
      <c r="CB39" s="235">
        <f>SUM(CB9:CB38)</f>
        <v>1</v>
      </c>
      <c r="CC39" s="235">
        <f>SUM(CC9:CC38)</f>
        <v>0</v>
      </c>
      <c r="CX39" s="249"/>
      <c r="CY39" s="249">
        <f t="shared" ref="CY39:DG39" si="34">SUM(CY9:CY38)</f>
        <v>0</v>
      </c>
      <c r="CZ39" s="249">
        <f t="shared" si="34"/>
        <v>0</v>
      </c>
      <c r="DA39" s="249">
        <f t="shared" si="34"/>
        <v>0</v>
      </c>
      <c r="DB39" s="249">
        <f t="shared" si="34"/>
        <v>0</v>
      </c>
      <c r="DC39" s="249">
        <f t="shared" si="34"/>
        <v>0</v>
      </c>
      <c r="DD39" s="249">
        <f t="shared" si="34"/>
        <v>0</v>
      </c>
      <c r="DE39" s="249">
        <f t="shared" si="34"/>
        <v>0</v>
      </c>
      <c r="DF39" s="249">
        <f t="shared" si="34"/>
        <v>0</v>
      </c>
      <c r="DG39" s="249">
        <f t="shared" si="34"/>
        <v>0</v>
      </c>
      <c r="DH39" t="str">
        <f t="shared" si="28"/>
        <v/>
      </c>
      <c r="DK39" t="str">
        <f t="shared" si="13"/>
        <v/>
      </c>
      <c r="DL39" t="str">
        <f t="shared" si="13"/>
        <v/>
      </c>
      <c r="DM39" t="str">
        <f t="shared" si="13"/>
        <v/>
      </c>
      <c r="DN39" t="str">
        <f>DK39&amp;" "&amp;DL39&amp;" "&amp;DM39</f>
        <v xml:space="preserve">  </v>
      </c>
      <c r="DO39" s="652"/>
      <c r="DS39" s="671"/>
      <c r="DT39" s="671"/>
      <c r="DU39" s="671"/>
      <c r="DV39" s="672"/>
      <c r="DW39" s="652"/>
      <c r="DZ39" s="671"/>
      <c r="EA39" s="671"/>
      <c r="EB39" s="672"/>
      <c r="EC39" s="652"/>
      <c r="EG39" s="671"/>
      <c r="EH39" s="671"/>
      <c r="EI39" s="671"/>
      <c r="EJ39" s="671"/>
      <c r="EK39" s="283"/>
      <c r="EL39" s="251"/>
      <c r="EM39" s="674"/>
      <c r="EN39" s="675"/>
      <c r="EO39" s="283"/>
      <c r="EP39" s="251"/>
      <c r="EQ39" s="674"/>
      <c r="ER39" s="675"/>
      <c r="ES39" s="283"/>
      <c r="ET39" s="251"/>
      <c r="EU39" s="674"/>
      <c r="EV39" s="675"/>
      <c r="EW39" s="283"/>
      <c r="EX39" s="251"/>
      <c r="EY39" s="674"/>
      <c r="EZ39" s="675"/>
      <c r="FA39" s="283"/>
      <c r="FB39" s="251"/>
      <c r="FC39" s="674"/>
      <c r="FD39" s="675"/>
      <c r="FE39" s="283"/>
      <c r="FF39" s="251"/>
      <c r="FG39" s="674"/>
      <c r="FH39" s="675"/>
      <c r="FI39" s="283"/>
      <c r="FJ39" s="251"/>
      <c r="FK39" s="674"/>
      <c r="FL39" s="675"/>
      <c r="FM39" s="283"/>
      <c r="FN39" s="674"/>
      <c r="FO39" s="283"/>
      <c r="FP39" s="251"/>
      <c r="FQ39" s="674"/>
      <c r="FR39" s="688"/>
      <c r="FS39" s="283"/>
      <c r="FT39" s="658"/>
      <c r="FV39" s="283"/>
      <c r="FW39" s="674"/>
      <c r="FX39" s="283"/>
      <c r="FY39" s="674"/>
      <c r="FZ39" s="283"/>
      <c r="GA39" s="674"/>
      <c r="GB39" s="283"/>
      <c r="GC39" s="674"/>
    </row>
    <row r="40" spans="1:185" ht="17" thickBot="1">
      <c r="A40" s="232"/>
      <c r="B40" s="232"/>
      <c r="C40" s="232"/>
      <c r="D40" s="232"/>
      <c r="E40" s="232"/>
      <c r="F40" s="232"/>
      <c r="G40" s="232"/>
      <c r="H40" s="232"/>
      <c r="I40" s="232"/>
      <c r="J40" s="232"/>
      <c r="K40" s="239"/>
      <c r="L40" s="239"/>
      <c r="M40" s="239"/>
      <c r="N40" s="239"/>
      <c r="O40" s="239"/>
      <c r="P40" s="239"/>
      <c r="Q40" s="239"/>
      <c r="R40" s="239"/>
      <c r="S40" s="239"/>
      <c r="T40" s="239"/>
      <c r="U40" s="239"/>
      <c r="V40" s="239"/>
      <c r="W40" s="239"/>
      <c r="X40" s="239"/>
      <c r="Y40" s="247"/>
      <c r="Z40" s="211"/>
      <c r="AA40" s="235"/>
      <c r="AB40" s="211"/>
      <c r="AC40" s="211"/>
      <c r="AD40" s="235"/>
      <c r="AE40" s="235"/>
      <c r="AF40" s="235"/>
      <c r="AG40" s="235"/>
      <c r="BC40" s="235"/>
      <c r="BD40" s="235"/>
      <c r="BE40" s="235"/>
      <c r="BF40" s="235"/>
      <c r="BG40" s="112"/>
      <c r="CB40" s="235"/>
      <c r="CC40" s="235"/>
      <c r="CD40" s="112"/>
      <c r="CX40" s="248"/>
      <c r="CZ40"/>
      <c r="DO40" s="669">
        <f>SUM(DO9:DO39)</f>
        <v>1.5</v>
      </c>
      <c r="DP40" s="670">
        <f t="shared" ref="DP40:GC40" si="35">SUM(DP9:DP39)</f>
        <v>0</v>
      </c>
      <c r="DQ40" s="670">
        <f t="shared" si="35"/>
        <v>0</v>
      </c>
      <c r="DR40" s="670">
        <f t="shared" si="35"/>
        <v>0</v>
      </c>
      <c r="DS40" s="673">
        <f t="shared" si="35"/>
        <v>0</v>
      </c>
      <c r="DT40" s="673">
        <f t="shared" si="35"/>
        <v>0</v>
      </c>
      <c r="DU40" s="670">
        <f t="shared" si="35"/>
        <v>0</v>
      </c>
      <c r="DV40" s="673">
        <f t="shared" si="35"/>
        <v>0</v>
      </c>
      <c r="DW40" s="669">
        <f t="shared" ref="DW40:EB40" si="36">SUM(DW9:DW39)</f>
        <v>0</v>
      </c>
      <c r="DX40" s="670">
        <f t="shared" si="36"/>
        <v>0</v>
      </c>
      <c r="DY40" s="670">
        <f t="shared" si="36"/>
        <v>0</v>
      </c>
      <c r="DZ40" s="673">
        <f t="shared" si="36"/>
        <v>0</v>
      </c>
      <c r="EA40" s="673">
        <f t="shared" si="36"/>
        <v>0</v>
      </c>
      <c r="EB40" s="673">
        <f t="shared" si="36"/>
        <v>0</v>
      </c>
      <c r="EC40" s="670">
        <f t="shared" si="35"/>
        <v>0</v>
      </c>
      <c r="ED40" s="670">
        <f t="shared" si="35"/>
        <v>0</v>
      </c>
      <c r="EE40" s="670">
        <f t="shared" si="35"/>
        <v>0</v>
      </c>
      <c r="EF40" s="670">
        <f t="shared" si="35"/>
        <v>0</v>
      </c>
      <c r="EG40" s="673">
        <f t="shared" si="35"/>
        <v>0</v>
      </c>
      <c r="EH40" s="673">
        <f t="shared" si="35"/>
        <v>0</v>
      </c>
      <c r="EI40" s="673">
        <f t="shared" si="35"/>
        <v>0</v>
      </c>
      <c r="EJ40" s="673">
        <f t="shared" si="35"/>
        <v>0</v>
      </c>
      <c r="EK40" s="670">
        <f t="shared" si="35"/>
        <v>0</v>
      </c>
      <c r="EL40" s="670">
        <f t="shared" si="35"/>
        <v>0</v>
      </c>
      <c r="EM40" s="673">
        <f t="shared" si="35"/>
        <v>0</v>
      </c>
      <c r="EN40" s="673">
        <f t="shared" si="35"/>
        <v>0</v>
      </c>
      <c r="EO40" s="670">
        <f t="shared" si="35"/>
        <v>0</v>
      </c>
      <c r="EP40" s="670">
        <f t="shared" si="35"/>
        <v>0</v>
      </c>
      <c r="EQ40" s="673">
        <f t="shared" si="35"/>
        <v>0</v>
      </c>
      <c r="ER40" s="676">
        <f t="shared" si="35"/>
        <v>0</v>
      </c>
      <c r="ES40" s="670">
        <f t="shared" si="35"/>
        <v>0</v>
      </c>
      <c r="ET40" s="670">
        <f t="shared" si="35"/>
        <v>0</v>
      </c>
      <c r="EU40" s="673">
        <f t="shared" si="35"/>
        <v>0</v>
      </c>
      <c r="EV40" s="676">
        <f t="shared" si="35"/>
        <v>0</v>
      </c>
      <c r="EW40" s="670">
        <f t="shared" si="35"/>
        <v>0</v>
      </c>
      <c r="EX40" s="670">
        <f t="shared" si="35"/>
        <v>0</v>
      </c>
      <c r="EY40" s="673">
        <f t="shared" si="35"/>
        <v>0</v>
      </c>
      <c r="EZ40" s="676">
        <f t="shared" si="35"/>
        <v>0</v>
      </c>
      <c r="FA40" s="670">
        <f t="shared" si="35"/>
        <v>0</v>
      </c>
      <c r="FB40" s="670">
        <f t="shared" si="35"/>
        <v>0</v>
      </c>
      <c r="FC40" s="673">
        <f t="shared" si="35"/>
        <v>0</v>
      </c>
      <c r="FD40" s="676">
        <f t="shared" si="35"/>
        <v>0</v>
      </c>
      <c r="FE40" s="670">
        <f t="shared" si="35"/>
        <v>0</v>
      </c>
      <c r="FF40" s="670">
        <f t="shared" si="35"/>
        <v>0</v>
      </c>
      <c r="FG40" s="673">
        <f t="shared" si="35"/>
        <v>0</v>
      </c>
      <c r="FH40" s="676">
        <f t="shared" si="35"/>
        <v>0</v>
      </c>
      <c r="FI40" s="685">
        <f t="shared" si="35"/>
        <v>0</v>
      </c>
      <c r="FJ40" s="670">
        <f t="shared" si="35"/>
        <v>0</v>
      </c>
      <c r="FK40" s="685">
        <f t="shared" si="35"/>
        <v>0</v>
      </c>
      <c r="FL40" s="673">
        <f t="shared" si="35"/>
        <v>0</v>
      </c>
      <c r="FM40" s="685">
        <f t="shared" si="35"/>
        <v>0</v>
      </c>
      <c r="FN40" s="685">
        <f t="shared" si="35"/>
        <v>0</v>
      </c>
      <c r="FO40" s="685">
        <f t="shared" si="35"/>
        <v>0</v>
      </c>
      <c r="FP40" s="670">
        <f t="shared" si="35"/>
        <v>0</v>
      </c>
      <c r="FQ40" s="685">
        <f t="shared" si="35"/>
        <v>0</v>
      </c>
      <c r="FR40" s="676">
        <f t="shared" si="35"/>
        <v>0</v>
      </c>
      <c r="FS40" s="689">
        <f t="shared" si="35"/>
        <v>0</v>
      </c>
      <c r="FT40" s="690">
        <f t="shared" si="35"/>
        <v>0</v>
      </c>
      <c r="FU40" s="690">
        <f t="shared" si="35"/>
        <v>0</v>
      </c>
      <c r="FV40" s="689">
        <f>SUM(FV9:FV39)</f>
        <v>0</v>
      </c>
      <c r="FW40" s="690">
        <f t="shared" si="35"/>
        <v>0</v>
      </c>
      <c r="FX40" s="689">
        <f t="shared" si="35"/>
        <v>0</v>
      </c>
      <c r="FY40" s="690">
        <f t="shared" si="35"/>
        <v>0</v>
      </c>
      <c r="FZ40" s="685">
        <f t="shared" si="35"/>
        <v>0</v>
      </c>
      <c r="GA40" s="685">
        <f t="shared" si="35"/>
        <v>0</v>
      </c>
      <c r="GB40" s="685">
        <f t="shared" si="35"/>
        <v>0</v>
      </c>
      <c r="GC40" s="685">
        <f t="shared" si="35"/>
        <v>0</v>
      </c>
    </row>
    <row r="41" spans="1:185" ht="70" customHeight="1">
      <c r="A41" s="958" t="str">
        <f>"Arbejdstid for "&amp;A7&amp;" måned:"</f>
        <v>Arbejdstid for September måned:</v>
      </c>
      <c r="B41" s="959"/>
      <c r="C41" s="959"/>
      <c r="D41" s="959"/>
      <c r="E41" s="959"/>
      <c r="F41" s="959"/>
      <c r="G41" s="959"/>
      <c r="H41" s="330" t="s">
        <v>255</v>
      </c>
      <c r="I41" s="959" t="s">
        <v>221</v>
      </c>
      <c r="J41" s="960"/>
      <c r="K41" s="961"/>
      <c r="L41" s="262"/>
      <c r="M41" s="1011" t="str">
        <f>"Ulempetimer og weekendtimer i "&amp;A5&amp;""</f>
        <v>Ulempetimer og weekendtimer i September måneds kalender for: Beate Simonsen. Måneden vedr. normperioden: 01.08.2024 - 31.07.2025.</v>
      </c>
      <c r="N41" s="989"/>
      <c r="O41" s="989"/>
      <c r="P41" s="989"/>
      <c r="Q41" s="989"/>
      <c r="R41" s="989"/>
      <c r="S41" s="989"/>
      <c r="T41" s="989"/>
      <c r="U41" s="989"/>
      <c r="V41" s="989"/>
      <c r="W41" s="989"/>
      <c r="X41" s="990"/>
      <c r="Y41" s="213"/>
      <c r="Z41" s="239"/>
      <c r="AA41" s="239"/>
      <c r="AB41" s="239"/>
      <c r="AG41" s="90"/>
      <c r="AH41" s="90"/>
      <c r="BO41" s="1"/>
      <c r="CL41" s="1"/>
      <c r="CW41" s="248"/>
      <c r="CX41" s="248"/>
      <c r="CY41"/>
      <c r="CZ41"/>
    </row>
    <row r="42" spans="1:185">
      <c r="A42" s="962" t="s">
        <v>534</v>
      </c>
      <c r="B42" s="963"/>
      <c r="C42" s="963"/>
      <c r="D42" s="963"/>
      <c r="E42" s="963"/>
      <c r="F42" s="963"/>
      <c r="G42" s="963"/>
      <c r="H42" s="256">
        <f>D77</f>
        <v>21</v>
      </c>
      <c r="I42" s="975">
        <f>IF(Stamoplysninger!$E$12="Ja",1924/Arbejdstidsoversigt!$K$9*Stamoplysninger!$E$15*$H$42,H42*7.4*Stamoplysninger!$E$15)</f>
        <v>154.80459770114942</v>
      </c>
      <c r="J42" s="976"/>
      <c r="K42" s="977"/>
      <c r="L42" s="258"/>
      <c r="M42" s="1012" t="s">
        <v>497</v>
      </c>
      <c r="N42" s="1013"/>
      <c r="O42" s="1013"/>
      <c r="P42" s="1013"/>
      <c r="Q42" s="1013"/>
      <c r="R42" s="1013"/>
      <c r="S42" s="1013"/>
      <c r="T42" s="1013"/>
      <c r="U42" s="1014"/>
      <c r="V42" s="1093">
        <f>P64+P68+P71+P73</f>
        <v>1.5</v>
      </c>
      <c r="W42" s="1093"/>
      <c r="X42" s="1094"/>
      <c r="Y42" s="239"/>
      <c r="Z42" s="239"/>
      <c r="AA42" s="239"/>
      <c r="AB42" s="239"/>
      <c r="AG42" s="90"/>
      <c r="AH42" s="90"/>
      <c r="BO42" s="1"/>
      <c r="CL42" s="1"/>
      <c r="CW42" s="248"/>
      <c r="CX42" s="248"/>
      <c r="CY42"/>
      <c r="CZ42"/>
    </row>
    <row r="43" spans="1:185">
      <c r="A43" s="962" t="str">
        <f>"Ferie "&amp;A7&amp;" måned"</f>
        <v>Ferie September måned</v>
      </c>
      <c r="B43" s="963"/>
      <c r="C43" s="963"/>
      <c r="D43" s="963"/>
      <c r="E43" s="963"/>
      <c r="F43" s="963"/>
      <c r="G43" s="963"/>
      <c r="H43" s="257" t="str">
        <f>IF(D72&gt;0,$D$72,"0")</f>
        <v>0</v>
      </c>
      <c r="I43" s="964">
        <f>H43*7.4*Stamoplysninger!$E$15</f>
        <v>0</v>
      </c>
      <c r="J43" s="965"/>
      <c r="K43" s="966"/>
      <c r="L43" s="258"/>
      <c r="M43" s="1099" t="s">
        <v>259</v>
      </c>
      <c r="N43" s="1100"/>
      <c r="O43" s="1100"/>
      <c r="P43" s="1100"/>
      <c r="Q43" s="1100"/>
      <c r="R43" s="1100"/>
      <c r="S43" s="1100"/>
      <c r="T43" s="1100"/>
      <c r="U43" s="1100"/>
      <c r="V43" s="1095">
        <f>Q65+Q67+Q70+Q72</f>
        <v>0</v>
      </c>
      <c r="W43" s="1095"/>
      <c r="X43" s="1096"/>
      <c r="Y43" s="239"/>
      <c r="Z43" s="239"/>
      <c r="AA43" s="239"/>
      <c r="AB43" s="239"/>
      <c r="AG43" s="90"/>
      <c r="AH43" s="90"/>
      <c r="BO43" s="1"/>
      <c r="CL43" s="1"/>
      <c r="CW43" s="248"/>
      <c r="CX43" s="248"/>
      <c r="CY43"/>
      <c r="CZ43"/>
    </row>
    <row r="44" spans="1:185">
      <c r="A44" s="962" t="str">
        <f>"Søgnehelligdage i "&amp;A7&amp;" måned"</f>
        <v>Søgnehelligdage i September måned</v>
      </c>
      <c r="B44" s="963"/>
      <c r="C44" s="963"/>
      <c r="D44" s="963"/>
      <c r="E44" s="963"/>
      <c r="F44" s="963"/>
      <c r="G44" s="963"/>
      <c r="H44" s="257">
        <f>IF(D71&gt;0,D71,0)</f>
        <v>0</v>
      </c>
      <c r="I44" s="964">
        <f>H44*7.4*Stamoplysninger!$E$15</f>
        <v>0</v>
      </c>
      <c r="J44" s="965"/>
      <c r="K44" s="966"/>
      <c r="L44" s="259"/>
      <c r="M44" s="1024" t="s">
        <v>295</v>
      </c>
      <c r="N44" s="1025"/>
      <c r="O44" s="1025"/>
      <c r="P44" s="1025"/>
      <c r="Q44" s="1025"/>
      <c r="R44" s="1025"/>
      <c r="S44" s="1025"/>
      <c r="T44" s="1025"/>
      <c r="U44" s="1025"/>
      <c r="V44" s="1097">
        <f>August!V54</f>
        <v>0</v>
      </c>
      <c r="W44" s="1097"/>
      <c r="X44" s="1098"/>
      <c r="Y44" s="239"/>
      <c r="Z44" s="239"/>
      <c r="AA44" s="239"/>
      <c r="AB44" s="239"/>
      <c r="AG44" s="90"/>
      <c r="AH44" s="90"/>
      <c r="BO44" s="1"/>
      <c r="CL44" s="1"/>
      <c r="CW44" s="248"/>
      <c r="CX44" s="248"/>
      <c r="CY44"/>
      <c r="CZ44"/>
    </row>
    <row r="45" spans="1:185">
      <c r="A45" s="962" t="str">
        <f>"Nettoarbejdstid ialt i "&amp;A7&amp;" måned"</f>
        <v>Nettoarbejdstid ialt i September måned</v>
      </c>
      <c r="B45" s="963"/>
      <c r="C45" s="963"/>
      <c r="D45" s="963"/>
      <c r="E45" s="963"/>
      <c r="F45" s="963"/>
      <c r="G45" s="963"/>
      <c r="H45" s="260">
        <f>H42-H43-H44</f>
        <v>21</v>
      </c>
      <c r="I45" s="964">
        <f>I42-I43-I44</f>
        <v>154.80459770114942</v>
      </c>
      <c r="J45" s="965"/>
      <c r="K45" s="966"/>
      <c r="L45" s="259"/>
      <c r="M45" s="1106" t="s">
        <v>302</v>
      </c>
      <c r="N45" s="1107"/>
      <c r="O45" s="1107"/>
      <c r="P45" s="1107"/>
      <c r="Q45" s="1107"/>
      <c r="R45" s="1107"/>
      <c r="S45" s="1107"/>
      <c r="T45" s="1107"/>
      <c r="U45" s="1107"/>
      <c r="V45" s="1101">
        <f>V43+V44</f>
        <v>0</v>
      </c>
      <c r="W45" s="1101"/>
      <c r="X45" s="1102"/>
      <c r="Y45" s="239"/>
      <c r="Z45" s="239"/>
      <c r="AA45" s="239"/>
      <c r="AB45" s="239"/>
      <c r="AG45" s="90"/>
      <c r="AH45" s="90"/>
      <c r="BO45" s="1"/>
      <c r="CL45" s="1"/>
      <c r="CW45" s="248"/>
      <c r="CX45" s="248"/>
      <c r="CY45"/>
      <c r="CZ45"/>
    </row>
    <row r="46" spans="1:185">
      <c r="A46" s="978" t="str">
        <f>"Planlagt arbejdstid efter ovennstående "&amp;A7&amp;" måned kalender"</f>
        <v>Planlagt arbejdstid efter ovennstående September måned kalender</v>
      </c>
      <c r="B46" s="979"/>
      <c r="C46" s="979"/>
      <c r="D46" s="979"/>
      <c r="E46" s="979"/>
      <c r="F46" s="979"/>
      <c r="G46" s="979"/>
      <c r="H46" s="475">
        <f>D63+D64+D65+D66+D67+D68+D69</f>
        <v>21</v>
      </c>
      <c r="I46" s="980">
        <f>N39+R39+V105</f>
        <v>201.74</v>
      </c>
      <c r="J46" s="981"/>
      <c r="K46" s="982"/>
      <c r="L46" s="259"/>
      <c r="M46" s="1103" t="s">
        <v>293</v>
      </c>
      <c r="N46" s="1104"/>
      <c r="O46" s="1104"/>
      <c r="P46" s="1104"/>
      <c r="Q46" s="1104"/>
      <c r="R46" s="1104"/>
      <c r="S46" s="1104"/>
      <c r="T46" s="1104"/>
      <c r="U46" s="1104"/>
      <c r="V46" s="1104"/>
      <c r="W46" s="1104"/>
      <c r="X46" s="1105"/>
      <c r="Y46" s="239"/>
      <c r="Z46" s="239"/>
      <c r="AA46" s="239"/>
      <c r="AB46" s="239"/>
      <c r="AG46" s="90"/>
      <c r="AH46" s="90"/>
      <c r="BO46" s="1"/>
      <c r="CL46" s="1"/>
      <c r="CW46" s="248"/>
      <c r="CX46" s="248"/>
      <c r="CY46"/>
      <c r="CZ46"/>
    </row>
    <row r="47" spans="1:185">
      <c r="A47" s="986" t="str">
        <f>August!A49</f>
        <v>Heraf planlagte weekendtimer til afspadsering, udbetaling eller hvor der er indgået lokalaftale</v>
      </c>
      <c r="B47" s="987"/>
      <c r="C47" s="987"/>
      <c r="D47" s="987"/>
      <c r="E47" s="987"/>
      <c r="F47" s="987"/>
      <c r="G47" s="987"/>
      <c r="H47" s="988"/>
      <c r="I47" s="983">
        <f>(FI40+FM40+FO40+FV40+FX40+FZ40+GB40)*-1+FK40+FN40+FQ40+FW40+FY40+GA40+GC40+FU40</f>
        <v>0</v>
      </c>
      <c r="J47" s="984"/>
      <c r="K47" s="985"/>
      <c r="L47" s="255"/>
      <c r="M47" s="1108" t="s">
        <v>463</v>
      </c>
      <c r="N47" s="1109"/>
      <c r="O47" s="1109"/>
      <c r="P47" s="1109"/>
      <c r="Q47" s="1109"/>
      <c r="R47" s="1109"/>
      <c r="S47" s="1109"/>
      <c r="T47" s="1109"/>
      <c r="U47" s="1109"/>
      <c r="V47" s="1084" t="s">
        <v>221</v>
      </c>
      <c r="W47" s="1084"/>
      <c r="X47" s="1085"/>
      <c r="Y47" s="239"/>
      <c r="Z47" s="239"/>
      <c r="AA47" s="239"/>
      <c r="AB47" s="239"/>
      <c r="AG47" s="90"/>
      <c r="AH47" s="90"/>
      <c r="BO47" s="1"/>
      <c r="CL47" s="1"/>
      <c r="CW47" s="248"/>
      <c r="CX47" s="248"/>
      <c r="CY47"/>
      <c r="CZ47"/>
    </row>
    <row r="48" spans="1:185">
      <c r="A48" s="1005" t="str">
        <f>"Arbejde særligt planlagt for "&amp;A7&amp;" måned efter fanen skemaoplysninger"</f>
        <v>Arbejde særligt planlagt for September måned efter fanen skemaoplysninger</v>
      </c>
      <c r="B48" s="1006"/>
      <c r="C48" s="1006"/>
      <c r="D48" s="1006"/>
      <c r="E48" s="1006"/>
      <c r="F48" s="1006"/>
      <c r="G48" s="1006"/>
      <c r="H48" s="1007"/>
      <c r="I48" s="981">
        <f>Skemaoplysninger!L91</f>
        <v>12</v>
      </c>
      <c r="J48" s="1003"/>
      <c r="K48" s="1004"/>
      <c r="L48" s="241"/>
      <c r="M48" s="1110"/>
      <c r="N48" s="1111"/>
      <c r="O48" s="1111"/>
      <c r="P48" s="1111"/>
      <c r="Q48" s="1111"/>
      <c r="R48" s="1111"/>
      <c r="S48" s="1111"/>
      <c r="T48" s="1111"/>
      <c r="U48" s="1112"/>
      <c r="V48" s="1047"/>
      <c r="W48" s="1047"/>
      <c r="X48" s="1048"/>
      <c r="Y48" s="247"/>
      <c r="Z48" s="239"/>
      <c r="AB48" s="239"/>
      <c r="AC48" s="239"/>
      <c r="AI48" s="90"/>
      <c r="AJ48" s="90"/>
      <c r="BC48" s="239"/>
      <c r="BQ48" s="1"/>
      <c r="CN48" s="1"/>
      <c r="CX48" s="248"/>
      <c r="CZ48"/>
    </row>
    <row r="49" spans="1:110">
      <c r="A49" s="967" t="s">
        <v>291</v>
      </c>
      <c r="B49" s="968"/>
      <c r="C49" s="968"/>
      <c r="D49" s="968"/>
      <c r="E49" s="968"/>
      <c r="F49" s="968"/>
      <c r="G49" s="968"/>
      <c r="H49" s="968"/>
      <c r="I49" s="969">
        <f>V39+X39-FA40+R105</f>
        <v>0</v>
      </c>
      <c r="J49" s="970"/>
      <c r="K49" s="971"/>
      <c r="L49" s="241"/>
      <c r="M49" s="1067"/>
      <c r="N49" s="1068"/>
      <c r="O49" s="1068"/>
      <c r="P49" s="1068"/>
      <c r="Q49" s="1068"/>
      <c r="R49" s="1068"/>
      <c r="S49" s="1068"/>
      <c r="T49" s="1068"/>
      <c r="U49" s="1068"/>
      <c r="V49" s="870"/>
      <c r="W49" s="871"/>
      <c r="X49" s="872"/>
      <c r="Y49" s="247"/>
      <c r="Z49" s="239"/>
      <c r="AB49" s="239"/>
      <c r="AC49" s="239"/>
      <c r="AH49" s="90"/>
      <c r="AI49" s="90"/>
      <c r="BP49" s="1"/>
      <c r="CM49" s="1"/>
      <c r="CX49" s="248"/>
      <c r="CZ49"/>
    </row>
    <row r="50" spans="1:110" ht="17" thickBot="1">
      <c r="A50" s="261" t="str">
        <f>"Faktisk arbejdstid ialt i "&amp;A7&amp;" måned"</f>
        <v>Faktisk arbejdstid ialt i September måned</v>
      </c>
      <c r="B50" s="314"/>
      <c r="C50" s="315"/>
      <c r="D50" s="315"/>
      <c r="E50" s="315"/>
      <c r="F50" s="315"/>
      <c r="G50" s="315"/>
      <c r="H50" s="316"/>
      <c r="I50" s="1008">
        <f>I46+I49+I48+I47</f>
        <v>213.74</v>
      </c>
      <c r="J50" s="1009"/>
      <c r="K50" s="1010"/>
      <c r="L50" s="241"/>
      <c r="M50" s="1067"/>
      <c r="N50" s="1068"/>
      <c r="O50" s="1068"/>
      <c r="P50" s="1068"/>
      <c r="Q50" s="1068"/>
      <c r="R50" s="1068"/>
      <c r="S50" s="1068"/>
      <c r="T50" s="1068"/>
      <c r="U50" s="1068"/>
      <c r="V50" s="870"/>
      <c r="W50" s="871"/>
      <c r="X50" s="872"/>
      <c r="Y50" s="239"/>
      <c r="Z50" s="239"/>
      <c r="AA50" s="239"/>
      <c r="AB50" s="239"/>
      <c r="AC50" s="214"/>
      <c r="AD50" s="247"/>
      <c r="AE50" s="247"/>
      <c r="AF50" s="247"/>
      <c r="AG50" s="247"/>
      <c r="AH50" s="239"/>
      <c r="AJ50" s="239"/>
      <c r="AK50" s="239"/>
      <c r="AO50" s="90"/>
      <c r="AP50" s="90"/>
      <c r="BW50" s="1"/>
      <c r="CT50" s="1"/>
      <c r="CY50"/>
      <c r="CZ50"/>
      <c r="DE50" s="248"/>
      <c r="DF50" s="248"/>
    </row>
    <row r="51" spans="1:110" ht="17" thickBot="1">
      <c r="A51" s="255"/>
      <c r="B51" s="255"/>
      <c r="C51" s="255"/>
      <c r="D51" s="255"/>
      <c r="E51" s="255"/>
      <c r="F51" s="255"/>
      <c r="G51" s="255"/>
      <c r="H51" s="255"/>
      <c r="I51" s="522"/>
      <c r="J51" s="522"/>
      <c r="K51" s="522"/>
      <c r="L51" s="500"/>
      <c r="M51" s="1067"/>
      <c r="N51" s="1068"/>
      <c r="O51" s="1068"/>
      <c r="P51" s="1068"/>
      <c r="Q51" s="1068"/>
      <c r="R51" s="1068"/>
      <c r="S51" s="1068"/>
      <c r="T51" s="1068"/>
      <c r="U51" s="1068"/>
      <c r="V51" s="870"/>
      <c r="W51" s="871"/>
      <c r="X51" s="872"/>
      <c r="Y51" s="239"/>
      <c r="Z51" s="239"/>
      <c r="AA51" s="239"/>
      <c r="AB51" s="239"/>
      <c r="AC51" s="214"/>
      <c r="AD51" s="247"/>
      <c r="AE51" s="247"/>
      <c r="AF51" s="247"/>
      <c r="AG51" s="247"/>
      <c r="AH51" s="239"/>
      <c r="AJ51" s="239"/>
      <c r="AK51" s="239"/>
      <c r="AO51" s="90"/>
      <c r="AP51" s="90"/>
      <c r="BW51" s="1"/>
      <c r="CT51" s="1"/>
      <c r="CY51"/>
      <c r="CZ51"/>
      <c r="DE51" s="248"/>
      <c r="DF51" s="248"/>
    </row>
    <row r="52" spans="1:110" ht="39" customHeight="1" thickBot="1">
      <c r="A52" s="958" t="s">
        <v>479</v>
      </c>
      <c r="B52" s="959"/>
      <c r="C52" s="959"/>
      <c r="D52" s="959"/>
      <c r="E52" s="959"/>
      <c r="F52" s="959"/>
      <c r="G52" s="959"/>
      <c r="H52" s="707" t="s">
        <v>740</v>
      </c>
      <c r="I52" s="1075" t="s">
        <v>478</v>
      </c>
      <c r="J52" s="1076"/>
      <c r="K52" s="1077"/>
      <c r="L52" s="500"/>
      <c r="M52" s="1078" t="s">
        <v>294</v>
      </c>
      <c r="N52" s="1079"/>
      <c r="O52" s="1079"/>
      <c r="P52" s="1079"/>
      <c r="Q52" s="1079"/>
      <c r="R52" s="1079"/>
      <c r="S52" s="1079"/>
      <c r="T52" s="1079"/>
      <c r="U52" s="1080"/>
      <c r="V52" s="1081">
        <f>V45-SUM(V48:X51)</f>
        <v>0</v>
      </c>
      <c r="W52" s="1082"/>
      <c r="X52" s="1083"/>
      <c r="Y52" s="239"/>
      <c r="Z52" s="239"/>
      <c r="AA52" s="239"/>
      <c r="AB52" s="239"/>
      <c r="AC52" s="214"/>
      <c r="AD52" s="247"/>
      <c r="AE52" s="247"/>
      <c r="AF52" s="247"/>
      <c r="AG52" s="247"/>
      <c r="AH52" s="239"/>
      <c r="AJ52" s="239"/>
      <c r="AK52" s="239"/>
      <c r="AO52" s="90"/>
      <c r="AP52" s="90"/>
      <c r="BW52" s="1"/>
      <c r="CT52" s="1"/>
      <c r="CY52"/>
      <c r="CZ52"/>
      <c r="DE52" s="248"/>
      <c r="DF52" s="248"/>
    </row>
    <row r="53" spans="1:110" ht="16" customHeight="1">
      <c r="A53" s="993"/>
      <c r="B53" s="994"/>
      <c r="C53" s="994"/>
      <c r="D53" s="994"/>
      <c r="E53" s="994"/>
      <c r="F53" s="994"/>
      <c r="G53" s="994"/>
      <c r="H53" s="605">
        <f>August!H62</f>
        <v>0</v>
      </c>
      <c r="I53" s="1084">
        <f>August!I62</f>
        <v>0</v>
      </c>
      <c r="J53" s="1084"/>
      <c r="K53" s="1085"/>
      <c r="L53" s="500"/>
      <c r="M53" s="239"/>
      <c r="N53" s="239"/>
      <c r="O53" s="239"/>
      <c r="P53" s="239"/>
      <c r="Q53" s="214"/>
      <c r="R53" s="247"/>
      <c r="S53" s="247"/>
      <c r="T53" s="247"/>
      <c r="U53" s="247"/>
      <c r="V53" s="239"/>
      <c r="X53" s="239"/>
      <c r="Y53" s="239"/>
      <c r="Z53" s="239"/>
      <c r="AA53" s="239"/>
      <c r="AB53" s="239"/>
      <c r="AC53" s="214"/>
      <c r="AD53" s="247"/>
      <c r="AE53" s="247"/>
      <c r="AF53" s="247"/>
      <c r="AG53" s="247"/>
      <c r="AH53" s="239"/>
      <c r="AJ53" s="239"/>
      <c r="AK53" s="239"/>
      <c r="AO53" s="90"/>
      <c r="AP53" s="90"/>
      <c r="BW53" s="1"/>
      <c r="CT53" s="1"/>
      <c r="CY53"/>
      <c r="CZ53"/>
      <c r="DE53" s="248"/>
      <c r="DF53" s="248"/>
    </row>
    <row r="54" spans="1:110" ht="16" customHeight="1">
      <c r="A54" s="1069" t="s">
        <v>483</v>
      </c>
      <c r="B54" s="1070"/>
      <c r="C54" s="1070"/>
      <c r="D54" s="1070"/>
      <c r="E54" s="1070"/>
      <c r="F54" s="1070"/>
      <c r="G54" s="1071"/>
      <c r="H54" s="603"/>
      <c r="I54" s="1072"/>
      <c r="J54" s="1073"/>
      <c r="K54" s="1074"/>
      <c r="L54" s="500"/>
      <c r="M54" s="239"/>
      <c r="N54" s="239"/>
      <c r="O54" s="239"/>
      <c r="P54" s="239"/>
      <c r="Q54" s="214"/>
      <c r="R54" s="247"/>
      <c r="S54" s="247"/>
      <c r="T54" s="247"/>
      <c r="U54" s="247"/>
      <c r="V54" s="239"/>
      <c r="X54" s="239"/>
      <c r="Y54" s="239"/>
      <c r="Z54" s="239"/>
      <c r="AA54" s="239"/>
      <c r="AB54" s="239"/>
      <c r="AC54" s="214"/>
      <c r="AD54" s="247"/>
      <c r="AE54" s="247"/>
      <c r="AF54" s="247"/>
      <c r="AG54" s="247"/>
      <c r="AH54" s="239"/>
      <c r="AJ54" s="239"/>
      <c r="AK54" s="239"/>
      <c r="AO54" s="90"/>
      <c r="AP54" s="90"/>
      <c r="BW54" s="1"/>
      <c r="CT54" s="1"/>
      <c r="CY54"/>
      <c r="CZ54"/>
      <c r="DE54" s="248"/>
      <c r="DF54" s="248"/>
    </row>
    <row r="55" spans="1:110" ht="37" customHeight="1">
      <c r="A55" s="864" t="s">
        <v>741</v>
      </c>
      <c r="B55" s="865"/>
      <c r="C55" s="865"/>
      <c r="D55" s="865"/>
      <c r="E55" s="865"/>
      <c r="F55" s="865"/>
      <c r="G55" s="865"/>
      <c r="H55" s="865"/>
      <c r="I55" s="865"/>
      <c r="J55" s="865"/>
      <c r="K55" s="866"/>
      <c r="L55" s="500"/>
      <c r="M55" s="523"/>
      <c r="N55" s="523"/>
      <c r="O55" s="523"/>
      <c r="P55" s="523"/>
      <c r="Q55" s="524"/>
      <c r="R55" s="525"/>
      <c r="S55" s="525"/>
      <c r="T55" s="525"/>
      <c r="U55" s="525"/>
      <c r="V55" s="523"/>
      <c r="W55" s="526"/>
      <c r="X55" s="523"/>
      <c r="Y55" s="239"/>
      <c r="Z55" s="239"/>
      <c r="AA55" s="239"/>
      <c r="AB55" s="239"/>
      <c r="AC55" s="214"/>
      <c r="AD55" s="247"/>
      <c r="AE55" s="247"/>
      <c r="AF55" s="247"/>
      <c r="AG55" s="247"/>
      <c r="AH55" s="239"/>
      <c r="AJ55" s="239"/>
      <c r="AK55" s="239"/>
      <c r="AO55" s="90"/>
      <c r="AP55" s="90"/>
      <c r="BW55" s="1"/>
      <c r="CT55" s="1"/>
      <c r="CY55"/>
      <c r="CZ55"/>
      <c r="DE55" s="248"/>
      <c r="DF55" s="248"/>
    </row>
    <row r="56" spans="1:110" ht="35" customHeight="1">
      <c r="A56" s="995" t="s">
        <v>742</v>
      </c>
      <c r="B56" s="996"/>
      <c r="C56" s="898" t="s">
        <v>510</v>
      </c>
      <c r="D56" s="899"/>
      <c r="E56" s="900" t="s">
        <v>511</v>
      </c>
      <c r="F56" s="865"/>
      <c r="G56" s="901"/>
      <c r="H56" s="910" t="s">
        <v>480</v>
      </c>
      <c r="I56" s="910"/>
      <c r="J56" s="910"/>
      <c r="K56" s="911"/>
      <c r="L56" s="500"/>
      <c r="M56" s="523"/>
      <c r="N56" s="523"/>
      <c r="O56" s="523"/>
      <c r="P56" s="523"/>
      <c r="Q56" s="524"/>
      <c r="R56" s="525"/>
      <c r="S56" s="525"/>
      <c r="T56" s="525"/>
      <c r="U56" s="525"/>
      <c r="V56" s="523"/>
      <c r="W56" s="526"/>
      <c r="X56" s="523"/>
      <c r="Y56" s="239"/>
      <c r="Z56" s="239"/>
      <c r="AA56" s="239"/>
      <c r="AB56" s="239"/>
      <c r="AC56" s="214"/>
      <c r="AD56" s="247"/>
      <c r="AE56" s="247"/>
      <c r="AF56" s="247"/>
      <c r="AG56" s="247"/>
      <c r="AH56" s="239"/>
      <c r="AJ56" s="239"/>
      <c r="AK56" s="239"/>
      <c r="AO56" s="90"/>
      <c r="AP56" s="90"/>
      <c r="BW56" s="1"/>
      <c r="CT56" s="1"/>
      <c r="CY56"/>
      <c r="CZ56"/>
      <c r="DE56" s="248"/>
      <c r="DF56" s="248"/>
    </row>
    <row r="57" spans="1:110">
      <c r="A57" s="902"/>
      <c r="B57" s="903"/>
      <c r="C57" s="906"/>
      <c r="D57" s="905"/>
      <c r="E57" s="907"/>
      <c r="F57" s="908"/>
      <c r="G57" s="909"/>
      <c r="H57" s="604"/>
      <c r="I57" s="896"/>
      <c r="J57" s="896"/>
      <c r="K57" s="897"/>
      <c r="L57" s="500"/>
      <c r="M57" s="523"/>
      <c r="N57" s="523"/>
      <c r="O57" s="523"/>
      <c r="P57" s="523"/>
      <c r="Q57" s="524"/>
      <c r="R57" s="525"/>
      <c r="S57" s="525"/>
      <c r="T57" s="525"/>
      <c r="U57" s="525"/>
      <c r="V57" s="523"/>
      <c r="W57" s="526"/>
      <c r="X57" s="523"/>
      <c r="Y57" s="239"/>
      <c r="Z57" s="239"/>
      <c r="AA57" s="239"/>
      <c r="AB57" s="239"/>
      <c r="AC57" s="214"/>
      <c r="AD57" s="247"/>
      <c r="AE57" s="247"/>
      <c r="AF57" s="247"/>
      <c r="AG57" s="247"/>
      <c r="AH57" s="239"/>
      <c r="AJ57" s="239"/>
      <c r="AK57" s="239"/>
      <c r="AO57" s="90"/>
      <c r="AP57" s="90"/>
      <c r="BW57" s="1"/>
      <c r="CT57" s="1"/>
      <c r="CY57"/>
      <c r="CZ57"/>
      <c r="DE57" s="248"/>
      <c r="DF57" s="248"/>
    </row>
    <row r="58" spans="1:110">
      <c r="A58" s="904"/>
      <c r="B58" s="905"/>
      <c r="C58" s="906"/>
      <c r="D58" s="905"/>
      <c r="E58" s="907"/>
      <c r="F58" s="908"/>
      <c r="G58" s="909"/>
      <c r="H58" s="604"/>
      <c r="I58" s="896"/>
      <c r="J58" s="896"/>
      <c r="K58" s="897"/>
      <c r="L58" s="500"/>
      <c r="M58" s="523"/>
      <c r="N58" s="523"/>
      <c r="O58" s="523"/>
      <c r="P58" s="523"/>
      <c r="Q58" s="524"/>
      <c r="R58" s="525"/>
      <c r="S58" s="525"/>
      <c r="T58" s="525"/>
      <c r="U58" s="525"/>
      <c r="V58" s="523"/>
      <c r="W58" s="526"/>
      <c r="X58" s="523"/>
      <c r="Y58" s="239"/>
      <c r="Z58" s="239"/>
      <c r="AA58" s="239"/>
      <c r="AB58" s="239"/>
      <c r="AC58" s="214"/>
      <c r="AD58" s="247"/>
      <c r="AE58" s="247"/>
      <c r="AF58" s="247"/>
      <c r="AG58" s="247"/>
      <c r="AH58" s="239"/>
      <c r="AJ58" s="239"/>
      <c r="AK58" s="239"/>
      <c r="AO58" s="90"/>
      <c r="AP58" s="90"/>
      <c r="BW58" s="1"/>
      <c r="CT58" s="1"/>
      <c r="CY58"/>
      <c r="CZ58"/>
      <c r="DE58" s="248"/>
      <c r="DF58" s="248"/>
    </row>
    <row r="59" spans="1:110">
      <c r="A59" s="904"/>
      <c r="B59" s="905"/>
      <c r="C59" s="906"/>
      <c r="D59" s="905"/>
      <c r="E59" s="907"/>
      <c r="F59" s="908"/>
      <c r="G59" s="909"/>
      <c r="H59" s="604"/>
      <c r="I59" s="896"/>
      <c r="J59" s="896"/>
      <c r="K59" s="897"/>
      <c r="L59" s="500"/>
      <c r="M59" s="523"/>
      <c r="N59" s="523"/>
      <c r="O59" s="523"/>
      <c r="P59" s="523"/>
      <c r="Q59" s="524"/>
      <c r="R59" s="525"/>
      <c r="S59" s="525"/>
      <c r="T59" s="525"/>
      <c r="U59" s="525"/>
      <c r="V59" s="523"/>
      <c r="W59" s="526"/>
      <c r="X59" s="523"/>
      <c r="Y59" s="239"/>
      <c r="Z59" s="239"/>
      <c r="AA59" s="239"/>
      <c r="AB59" s="239"/>
      <c r="AC59" s="214"/>
      <c r="AD59" s="247"/>
      <c r="AE59" s="247"/>
      <c r="AF59" s="247"/>
      <c r="AG59" s="247"/>
      <c r="AH59" s="239"/>
      <c r="AJ59" s="239"/>
      <c r="AK59" s="239"/>
      <c r="AO59" s="90"/>
      <c r="AP59" s="90"/>
      <c r="BW59" s="1"/>
      <c r="CT59" s="1"/>
      <c r="CY59"/>
      <c r="CZ59"/>
      <c r="DE59" s="248"/>
      <c r="DF59" s="248"/>
    </row>
    <row r="60" spans="1:110">
      <c r="A60" s="904"/>
      <c r="B60" s="905"/>
      <c r="C60" s="906"/>
      <c r="D60" s="905"/>
      <c r="E60" s="907"/>
      <c r="F60" s="908"/>
      <c r="G60" s="909"/>
      <c r="H60" s="604"/>
      <c r="I60" s="896"/>
      <c r="J60" s="896"/>
      <c r="K60" s="897"/>
      <c r="L60" s="500"/>
      <c r="M60" s="523"/>
      <c r="N60" s="523"/>
      <c r="O60" s="523"/>
      <c r="P60" s="523"/>
      <c r="Q60" s="524"/>
      <c r="R60" s="525"/>
      <c r="S60" s="525"/>
      <c r="T60" s="525"/>
      <c r="U60" s="525"/>
      <c r="V60" s="523"/>
      <c r="W60" s="526"/>
      <c r="X60" s="523"/>
      <c r="Y60" s="239"/>
      <c r="Z60" s="239"/>
      <c r="AA60" s="239"/>
      <c r="AB60" s="239"/>
      <c r="AC60" s="214"/>
      <c r="AD60" s="247"/>
      <c r="AE60" s="247"/>
      <c r="AF60" s="247"/>
      <c r="AG60" s="247"/>
      <c r="AH60" s="239"/>
      <c r="AJ60" s="239"/>
      <c r="AK60" s="239"/>
      <c r="AO60" s="90"/>
      <c r="AP60" s="90"/>
      <c r="BW60" s="1"/>
      <c r="CT60" s="1"/>
      <c r="CY60"/>
      <c r="CZ60"/>
      <c r="DE60" s="248"/>
      <c r="DF60" s="248"/>
    </row>
    <row r="61" spans="1:110" ht="17" thickBot="1">
      <c r="A61" s="893" t="s">
        <v>481</v>
      </c>
      <c r="B61" s="894"/>
      <c r="C61" s="895"/>
      <c r="D61" s="895"/>
      <c r="E61" s="895"/>
      <c r="F61" s="895"/>
      <c r="G61" s="895"/>
      <c r="H61" s="606">
        <f>H54+H53-SUM(H57:H60)</f>
        <v>0</v>
      </c>
      <c r="I61" s="912">
        <f>I53+I54-SUM(I57:K60)</f>
        <v>0</v>
      </c>
      <c r="J61" s="913"/>
      <c r="K61" s="914"/>
      <c r="L61" s="500"/>
      <c r="M61" s="523"/>
      <c r="N61" s="523"/>
      <c r="O61" s="523"/>
      <c r="P61" s="523"/>
      <c r="Q61" s="524"/>
      <c r="R61" s="525"/>
      <c r="S61" s="525"/>
      <c r="T61" s="525"/>
      <c r="U61" s="525"/>
      <c r="V61" s="523"/>
      <c r="W61" s="526"/>
      <c r="X61" s="523"/>
      <c r="Y61" s="239"/>
      <c r="Z61" s="239"/>
      <c r="AA61" s="239"/>
      <c r="AB61" s="239"/>
      <c r="AC61" s="214"/>
      <c r="AD61" s="247"/>
      <c r="AE61" s="247"/>
      <c r="AF61" s="247"/>
      <c r="AG61" s="247"/>
      <c r="AH61" s="239"/>
      <c r="AJ61" s="239"/>
      <c r="AK61" s="239"/>
      <c r="AO61" s="90"/>
      <c r="AP61" s="90"/>
      <c r="BW61" s="1"/>
      <c r="CT61" s="1"/>
      <c r="CY61"/>
      <c r="CZ61"/>
      <c r="DE61" s="248"/>
      <c r="DF61" s="248"/>
    </row>
    <row r="62" spans="1:110" ht="24" hidden="1" customHeight="1">
      <c r="A62" s="440"/>
      <c r="B62" s="440"/>
      <c r="C62" s="440"/>
      <c r="D62" s="440"/>
      <c r="E62" s="440"/>
      <c r="F62" s="440"/>
      <c r="G62" s="440"/>
      <c r="H62" s="450"/>
      <c r="I62" s="506"/>
      <c r="J62" s="506"/>
      <c r="K62" s="496"/>
      <c r="L62" s="659"/>
      <c r="M62" s="659"/>
      <c r="N62" s="659"/>
      <c r="O62" s="659"/>
      <c r="P62" s="659"/>
      <c r="Q62" s="524"/>
      <c r="R62" s="525"/>
      <c r="S62" s="525"/>
      <c r="T62" s="525"/>
      <c r="U62" s="525"/>
      <c r="V62" s="523" t="s">
        <v>583</v>
      </c>
      <c r="W62" s="526"/>
      <c r="X62" s="523"/>
      <c r="Y62" s="239"/>
      <c r="Z62"/>
      <c r="AC62" s="90"/>
      <c r="AD62" s="90"/>
      <c r="BK62" s="1"/>
      <c r="CH62" s="1"/>
      <c r="CS62" s="248"/>
      <c r="CT62" s="248"/>
      <c r="CY62"/>
      <c r="CZ62"/>
    </row>
    <row r="63" spans="1:110" hidden="1">
      <c r="A63" s="123" t="s">
        <v>206</v>
      </c>
      <c r="B63" s="123"/>
      <c r="C63" s="123"/>
      <c r="D63" s="123">
        <f>COUNTIF([0]!SEPTEMBER,"Skema 1")</f>
        <v>16</v>
      </c>
      <c r="E63" s="395"/>
      <c r="F63" s="123" t="s">
        <v>186</v>
      </c>
      <c r="G63" s="123">
        <f>COUNTIFS($B$9:$B$38,"ma",[0]!SEPTEMBER,"Skema 1")</f>
        <v>4</v>
      </c>
      <c r="H63" s="123"/>
      <c r="I63" s="511"/>
      <c r="J63" s="659"/>
      <c r="K63" s="659"/>
      <c r="L63" s="511"/>
      <c r="M63" s="660"/>
      <c r="N63" s="659"/>
      <c r="O63" s="660"/>
      <c r="P63" s="678" t="s">
        <v>601</v>
      </c>
      <c r="Q63" s="680" t="s">
        <v>612</v>
      </c>
      <c r="R63" s="230"/>
      <c r="S63" s="230"/>
      <c r="T63" s="230"/>
      <c r="U63" s="230"/>
      <c r="V63" s="230"/>
      <c r="W63" s="118"/>
      <c r="X63" s="118"/>
      <c r="Y63" s="239"/>
      <c r="Z63"/>
      <c r="AC63" s="90"/>
      <c r="AD63" s="90"/>
      <c r="BK63" s="1"/>
      <c r="CH63" s="1"/>
      <c r="CS63" s="248"/>
      <c r="CT63" s="248"/>
      <c r="CY63"/>
      <c r="CZ63"/>
    </row>
    <row r="64" spans="1:110" ht="15" hidden="1" customHeight="1">
      <c r="A64" s="1114" t="s">
        <v>207</v>
      </c>
      <c r="B64" s="1114"/>
      <c r="C64" s="1114"/>
      <c r="D64" s="123">
        <f>COUNTIF([0]!SEPTEMBER,"Skema 2")</f>
        <v>0</v>
      </c>
      <c r="E64" s="395"/>
      <c r="F64" s="123" t="s">
        <v>187</v>
      </c>
      <c r="G64" s="123">
        <f>COUNTIFS($B$9:$B$38,"ti",[0]!SEPTEMBER,"Skema 1")</f>
        <v>3</v>
      </c>
      <c r="H64" s="123"/>
      <c r="I64" s="511" t="s">
        <v>602</v>
      </c>
      <c r="J64" s="659"/>
      <c r="K64" s="511"/>
      <c r="L64" s="662"/>
      <c r="M64" s="660"/>
      <c r="N64" s="660"/>
      <c r="O64" s="663"/>
      <c r="P64" s="678">
        <f>IF(Stamoplysninger!$B$22="Ulempetillæg udbetales med 25% af nettotimelønnen.",SUM(DO40:DR40)-SUM(DS40:DV40),0)</f>
        <v>1.5</v>
      </c>
      <c r="Q64" s="680"/>
      <c r="R64" s="230"/>
      <c r="S64" s="230"/>
      <c r="T64" s="230"/>
      <c r="U64" s="230"/>
      <c r="V64" s="230"/>
      <c r="W64" s="118"/>
      <c r="X64" s="118"/>
      <c r="Y64" s="239"/>
      <c r="Z64"/>
      <c r="AC64" s="90"/>
      <c r="AD64" s="90"/>
      <c r="BK64" s="1"/>
      <c r="CH64" s="1"/>
      <c r="CS64" s="248"/>
      <c r="CT64" s="248"/>
      <c r="CY64"/>
      <c r="CZ64"/>
    </row>
    <row r="65" spans="1:185" s="501" customFormat="1" hidden="1">
      <c r="A65" s="1113" t="s">
        <v>208</v>
      </c>
      <c r="B65" s="1113"/>
      <c r="C65" s="1113"/>
      <c r="D65" s="498">
        <f>COUNTIF([0]!SEPTEMBER,"Skema 3")</f>
        <v>0</v>
      </c>
      <c r="E65" s="499"/>
      <c r="F65" s="498" t="s">
        <v>188</v>
      </c>
      <c r="G65" s="498">
        <f>COUNTIFS($B$9:$B$38,"on",[0]!SEPTEMBER,"Skema 1")</f>
        <v>3</v>
      </c>
      <c r="H65" s="498"/>
      <c r="I65" s="677" t="s">
        <v>603</v>
      </c>
      <c r="J65" s="659"/>
      <c r="K65" s="511"/>
      <c r="L65" s="662"/>
      <c r="M65" s="660"/>
      <c r="N65" s="660"/>
      <c r="O65" s="660"/>
      <c r="P65" s="678"/>
      <c r="Q65" s="680">
        <f>IF(Stamoplysninger!$B$22="Ulempetillæg afspadseres med 25%(Kræver en aftale imellem ledelsen og den ansatte)",EC40+ED40+EE40+EF40-EG40-EH40-EI40-EJ40,0)</f>
        <v>0</v>
      </c>
      <c r="R65" s="230"/>
      <c r="S65" s="230"/>
      <c r="T65" s="230"/>
      <c r="U65" s="230"/>
      <c r="V65" s="230"/>
      <c r="W65" s="118"/>
      <c r="X65" s="118"/>
      <c r="Y65" s="515"/>
      <c r="AC65" s="498"/>
      <c r="AD65" s="498"/>
      <c r="BK65" s="517"/>
      <c r="CH65" s="517"/>
      <c r="CS65" s="518"/>
      <c r="CT65" s="518"/>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row>
    <row r="66" spans="1:185" s="501" customFormat="1" hidden="1">
      <c r="A66" s="1113" t="s">
        <v>209</v>
      </c>
      <c r="B66" s="1113"/>
      <c r="C66" s="1113"/>
      <c r="D66" s="498">
        <f>COUNTIF([0]!SEPTEMBER,"Skema 4")</f>
        <v>0</v>
      </c>
      <c r="E66" s="499"/>
      <c r="F66" s="498" t="s">
        <v>190</v>
      </c>
      <c r="G66" s="498">
        <f>COUNTIFS($B$9:$B$38,"to",[0]!SEPTEMBER,"Skema 1")</f>
        <v>3</v>
      </c>
      <c r="H66" s="498"/>
      <c r="I66" s="677" t="s">
        <v>604</v>
      </c>
      <c r="J66" s="659"/>
      <c r="K66" s="511"/>
      <c r="L66" s="662"/>
      <c r="M66" s="665"/>
      <c r="N66" s="665"/>
      <c r="O66" s="4"/>
      <c r="P66" s="678"/>
      <c r="Q66" s="680"/>
      <c r="R66" s="230"/>
      <c r="S66" s="230"/>
      <c r="T66" s="230"/>
      <c r="U66" s="230"/>
      <c r="V66" s="230"/>
      <c r="W66" s="118"/>
      <c r="X66" s="118"/>
      <c r="Y66" s="515"/>
      <c r="Z66" s="515"/>
      <c r="AA66" s="515"/>
      <c r="AB66" s="515"/>
      <c r="AC66" s="515"/>
      <c r="AD66" s="516"/>
      <c r="AE66" s="516"/>
      <c r="AF66" s="516"/>
      <c r="AG66" s="516"/>
      <c r="AH66" s="516"/>
      <c r="AI66" s="515"/>
      <c r="AK66" s="515"/>
      <c r="AL66" s="515"/>
      <c r="AP66" s="498"/>
      <c r="AQ66" s="498"/>
      <c r="BX66" s="517"/>
      <c r="CU66" s="517"/>
      <c r="DF66" s="518"/>
      <c r="DG66" s="518"/>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row>
    <row r="67" spans="1:185" s="501" customFormat="1" hidden="1">
      <c r="A67" s="498" t="s">
        <v>112</v>
      </c>
      <c r="B67" s="498"/>
      <c r="C67" s="498"/>
      <c r="D67" s="498">
        <f>COUNTIF([0]!SEPTEMBER,"Fagdag")+COUNTIF([0]!SEPTEMBER,"emnedag")</f>
        <v>1</v>
      </c>
      <c r="E67" s="499"/>
      <c r="F67" s="498" t="s">
        <v>189</v>
      </c>
      <c r="G67" s="498">
        <f>COUNTIFS($B$9:$B$38,"fr",[0]!SEPTEMBER,"Skema 1")</f>
        <v>3</v>
      </c>
      <c r="H67" s="498"/>
      <c r="I67" s="662" t="s">
        <v>605</v>
      </c>
      <c r="J67" s="659"/>
      <c r="K67" s="511"/>
      <c r="L67" s="662"/>
      <c r="M67" s="665"/>
      <c r="N67" s="665"/>
      <c r="O67" s="4"/>
      <c r="P67" s="678"/>
      <c r="Q67" s="680">
        <f>IF(Stamoplysninger!$B$26="Weekendtimer og weekendtillæg afspadseres.",EK40+EL40-EM40-EN40,0)</f>
        <v>0</v>
      </c>
      <c r="R67" s="230"/>
      <c r="S67" s="230"/>
      <c r="T67" s="230"/>
      <c r="U67" s="230"/>
      <c r="V67" s="230"/>
      <c r="W67" s="118"/>
      <c r="X67" s="118"/>
      <c r="Y67" s="498"/>
      <c r="Z67" s="515"/>
      <c r="AA67" s="515"/>
      <c r="AB67" s="515"/>
      <c r="AC67" s="515"/>
      <c r="AD67" s="515"/>
      <c r="AE67" s="516"/>
      <c r="AF67" s="516"/>
      <c r="AG67" s="516"/>
      <c r="AH67" s="516"/>
      <c r="AI67" s="516"/>
      <c r="AJ67" s="515"/>
      <c r="AL67" s="515"/>
      <c r="AM67" s="515"/>
      <c r="AQ67" s="498"/>
      <c r="AR67" s="498"/>
      <c r="BY67" s="517"/>
      <c r="CV67" s="517"/>
      <c r="DG67" s="518"/>
      <c r="DH67" s="518"/>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row>
    <row r="68" spans="1:185" s="501" customFormat="1" hidden="1">
      <c r="A68" s="502" t="s">
        <v>111</v>
      </c>
      <c r="B68" s="498"/>
      <c r="C68" s="498"/>
      <c r="D68" s="498">
        <f>COUNTIF([0]!SEPTEMBER,"Lejrskole")+COUNTIF([0]!SEPTEMBER,"Ekskursion")</f>
        <v>4</v>
      </c>
      <c r="E68" s="499"/>
      <c r="F68" s="498"/>
      <c r="G68" s="498"/>
      <c r="H68" s="498"/>
      <c r="I68" s="662" t="s">
        <v>606</v>
      </c>
      <c r="J68" s="662"/>
      <c r="K68" s="662"/>
      <c r="L68" s="662"/>
      <c r="M68" s="666"/>
      <c r="N68" s="666"/>
      <c r="O68" s="4"/>
      <c r="P68" s="679">
        <f>IF(Stamoplysninger!$B$26="Weekendtimer og weekendtillæg udbetales.",EO40+EP40-EQ40-ER40,0)</f>
        <v>0</v>
      </c>
      <c r="Q68" s="680"/>
      <c r="R68" s="230"/>
      <c r="S68" s="230"/>
      <c r="T68" s="230"/>
      <c r="U68" s="230"/>
      <c r="V68" s="230"/>
      <c r="W68" s="118"/>
      <c r="X68" s="118"/>
      <c r="Y68" s="498"/>
      <c r="Z68" s="515"/>
      <c r="AA68" s="515"/>
      <c r="AB68" s="515"/>
      <c r="AC68" s="515"/>
      <c r="AD68" s="515"/>
      <c r="AE68" s="516"/>
      <c r="AF68" s="516"/>
      <c r="AG68" s="516"/>
      <c r="AH68" s="516"/>
      <c r="AI68" s="516"/>
      <c r="AJ68" s="515"/>
      <c r="AL68" s="515"/>
      <c r="AM68" s="515"/>
      <c r="AQ68" s="498"/>
      <c r="AR68" s="498"/>
      <c r="BY68" s="517"/>
      <c r="CV68" s="517"/>
      <c r="DG68" s="518"/>
      <c r="DH68" s="51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row>
    <row r="69" spans="1:185" s="501" customFormat="1" hidden="1">
      <c r="A69" s="498" t="s">
        <v>110</v>
      </c>
      <c r="B69" s="498"/>
      <c r="C69" s="498"/>
      <c r="D69" s="498">
        <f>COUNTIF([0]!SEPTEMBER,"Pæd.dag")</f>
        <v>0</v>
      </c>
      <c r="E69" s="499"/>
      <c r="F69" s="498" t="s">
        <v>191</v>
      </c>
      <c r="G69" s="498">
        <f>COUNTIFS($B$9:$B$38,"ma",[0]!SEPTEMBER,"Skema 2")</f>
        <v>0</v>
      </c>
      <c r="H69" s="498"/>
      <c r="I69" s="662" t="s">
        <v>607</v>
      </c>
      <c r="J69" s="662"/>
      <c r="K69" s="662"/>
      <c r="L69" s="662"/>
      <c r="M69" s="666"/>
      <c r="N69" s="666"/>
      <c r="O69" s="4"/>
      <c r="P69" s="678"/>
      <c r="Q69" s="680"/>
      <c r="R69" s="230"/>
      <c r="S69" s="230"/>
      <c r="T69" s="230"/>
      <c r="U69" s="230"/>
      <c r="V69" s="230"/>
      <c r="W69" s="118"/>
      <c r="X69" s="118"/>
      <c r="Y69" s="498"/>
      <c r="Z69" s="515"/>
      <c r="AA69" s="515"/>
      <c r="AB69" s="515"/>
      <c r="AC69" s="515"/>
      <c r="AD69" s="515"/>
      <c r="AE69" s="516"/>
      <c r="AF69" s="516"/>
      <c r="AG69" s="516"/>
      <c r="AH69" s="516"/>
      <c r="AI69" s="516"/>
      <c r="AJ69" s="515"/>
      <c r="AL69" s="515"/>
      <c r="AM69" s="515"/>
      <c r="AQ69" s="498"/>
      <c r="AR69" s="498"/>
      <c r="BY69" s="517"/>
      <c r="CV69" s="517"/>
      <c r="DG69" s="518"/>
      <c r="DH69" s="518"/>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row>
    <row r="70" spans="1:185" s="501" customFormat="1" ht="16" hidden="1" customHeight="1">
      <c r="A70" s="498" t="s">
        <v>120</v>
      </c>
      <c r="B70" s="498"/>
      <c r="C70" s="498"/>
      <c r="D70" s="498">
        <f>COUNTIF([0]!SEPTEMBER,"Weekend")</f>
        <v>9</v>
      </c>
      <c r="E70" s="499"/>
      <c r="F70" s="498" t="s">
        <v>192</v>
      </c>
      <c r="G70" s="498">
        <f>COUNTIFS($B$9:$B$38,"ti",[0]!SEPTEMBER,"Skema 2")</f>
        <v>0</v>
      </c>
      <c r="H70" s="498"/>
      <c r="I70" s="662" t="s">
        <v>608</v>
      </c>
      <c r="J70" s="662"/>
      <c r="K70" s="662"/>
      <c r="L70" s="662"/>
      <c r="M70" s="667"/>
      <c r="N70" s="667"/>
      <c r="O70" s="4"/>
      <c r="P70" s="678"/>
      <c r="Q70" s="681">
        <f>IF(Stamoplysninger!$B$26="Der er indgået lokalaftale omkring weekendtimer.(Kræver aftale med TR/FSL) Weekendtillæg afspadseres.",ES40+ET40-EU40-EV40,0)</f>
        <v>0</v>
      </c>
      <c r="R70" s="230"/>
      <c r="S70" s="230"/>
      <c r="T70" s="230"/>
      <c r="U70" s="230"/>
      <c r="V70" s="230"/>
      <c r="W70" s="118"/>
      <c r="X70" s="118"/>
      <c r="Y70" s="498"/>
      <c r="AP70" s="517"/>
      <c r="BM70" s="517"/>
      <c r="BX70" s="518"/>
      <c r="BY70" s="518"/>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row>
    <row r="71" spans="1:185" s="501" customFormat="1" ht="16" hidden="1" customHeight="1">
      <c r="A71" s="498" t="s">
        <v>127</v>
      </c>
      <c r="B71" s="498"/>
      <c r="C71" s="498"/>
      <c r="D71" s="498">
        <f>COUNTIF([0]!SEPTEMBER,"SH-dag")</f>
        <v>0</v>
      </c>
      <c r="E71" s="499"/>
      <c r="F71" s="498" t="s">
        <v>193</v>
      </c>
      <c r="G71" s="498">
        <f>COUNTIFS($B$9:$B$38,"on",[0]!SEPTEMBER,"Skema 2")</f>
        <v>0</v>
      </c>
      <c r="H71" s="498"/>
      <c r="I71" s="662" t="s">
        <v>609</v>
      </c>
      <c r="J71" s="662"/>
      <c r="K71" s="662"/>
      <c r="L71" s="662"/>
      <c r="M71" s="667"/>
      <c r="N71" s="667"/>
      <c r="O71" s="4"/>
      <c r="P71" s="678">
        <f>IF(Stamoplysninger!$B$26="Der er indgået lokalaftale omkring weekendtimer(Kræver aftale med TR/FSL). Weekendtillæg udbetales.",EW40+EX40-EY40-EZ40,0)</f>
        <v>0</v>
      </c>
      <c r="Q71" s="680"/>
      <c r="R71" s="230"/>
      <c r="S71" s="230"/>
      <c r="T71" s="230"/>
      <c r="U71" s="230"/>
      <c r="V71" s="230"/>
      <c r="W71" s="118"/>
      <c r="X71" s="118"/>
      <c r="Y71" s="498"/>
      <c r="AP71" s="517"/>
      <c r="BM71" s="517"/>
      <c r="BX71" s="518"/>
      <c r="BY71" s="518"/>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85" s="501" customFormat="1" ht="16" hidden="1" customHeight="1">
      <c r="A72" s="498" t="s">
        <v>109</v>
      </c>
      <c r="B72" s="498"/>
      <c r="C72" s="498"/>
      <c r="D72" s="498">
        <f>COUNTIF([0]!SEPTEMBER,"Feriedag")</f>
        <v>0</v>
      </c>
      <c r="E72" s="499"/>
      <c r="F72" s="498" t="s">
        <v>194</v>
      </c>
      <c r="G72" s="498">
        <f>COUNTIFS($B$9:$B$38,"to",[0]!SEPTEMBER,"Skema 2")</f>
        <v>0</v>
      </c>
      <c r="H72" s="498"/>
      <c r="I72" s="662" t="s">
        <v>610</v>
      </c>
      <c r="J72" s="662"/>
      <c r="K72" s="662"/>
      <c r="L72" s="662"/>
      <c r="M72" s="667"/>
      <c r="N72" s="667"/>
      <c r="O72" s="4"/>
      <c r="P72" s="678"/>
      <c r="Q72" s="629">
        <f>IF(Stamoplysninger!$B$26="Der er indgået lokalaftale omkring weekendtillæg(Kræver aftale med TR/FSL). Weekendtimerne afspadseres.",FA40+FB40-FC40-FD40,0)</f>
        <v>0</v>
      </c>
      <c r="R72" s="41"/>
      <c r="S72" s="41"/>
      <c r="T72" s="41"/>
      <c r="U72"/>
      <c r="V72"/>
      <c r="W72"/>
      <c r="X72"/>
      <c r="Y72" s="498"/>
      <c r="AP72" s="517"/>
      <c r="BM72" s="517"/>
      <c r="BX72" s="518"/>
      <c r="BY72" s="518"/>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85" s="501" customFormat="1" ht="16" hidden="1" customHeight="1">
      <c r="A73" s="498" t="s">
        <v>178</v>
      </c>
      <c r="B73" s="498"/>
      <c r="C73" s="498"/>
      <c r="D73" s="498">
        <f>COUNTIF([0]!SEPTEMBER,"Nul-dag")</f>
        <v>0</v>
      </c>
      <c r="E73" s="499"/>
      <c r="F73" s="498" t="s">
        <v>195</v>
      </c>
      <c r="G73" s="498">
        <f>COUNTIFS($B$9:$B$38,"fr",[0]!SEPTEMBER,"Skema 2")</f>
        <v>0</v>
      </c>
      <c r="H73" s="498"/>
      <c r="I73" s="662" t="s">
        <v>611</v>
      </c>
      <c r="J73" s="662"/>
      <c r="K73" s="662"/>
      <c r="L73" s="662"/>
      <c r="M73" s="667"/>
      <c r="N73" s="667"/>
      <c r="O73" s="4"/>
      <c r="P73" s="678">
        <f>IF(Stamoplysninger!$B$26="Der er indgået lokalaftale omkring weekendtillæg(Kræver aftale med TR/FSL). Weekendtimerne udbetales.",FE40+FF40-FG40-FH40,0)</f>
        <v>0</v>
      </c>
      <c r="Q73" s="629"/>
      <c r="R73"/>
      <c r="S73"/>
      <c r="T73"/>
      <c r="U73"/>
      <c r="V73" t="s">
        <v>618</v>
      </c>
      <c r="W73"/>
      <c r="X73"/>
      <c r="Y73" s="498"/>
      <c r="AP73" s="517"/>
      <c r="BM73" s="517"/>
      <c r="BX73" s="518"/>
      <c r="BY73" s="518"/>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85" s="501" customFormat="1" ht="16" hidden="1" customHeight="1">
      <c r="A74" s="503" t="s">
        <v>416</v>
      </c>
      <c r="B74" s="498"/>
      <c r="C74" s="498"/>
      <c r="D74" s="498">
        <f>COUNTIF([0]!SEPTEMBER,"Orlov")</f>
        <v>0</v>
      </c>
      <c r="E74" s="499"/>
      <c r="F74" s="504"/>
      <c r="G74" s="504"/>
      <c r="H74" s="504"/>
      <c r="I74" s="662" t="s">
        <v>617</v>
      </c>
      <c r="J74" s="662"/>
      <c r="K74" s="662"/>
      <c r="L74" s="662"/>
      <c r="M74" s="668"/>
      <c r="N74" s="668"/>
      <c r="O74" s="4"/>
      <c r="P74" s="661"/>
      <c r="Q74"/>
      <c r="R74">
        <f>IF(C9="ikke relevant",V9*-1+X9*-1,0)</f>
        <v>0</v>
      </c>
      <c r="S74" t="s">
        <v>623</v>
      </c>
      <c r="T74"/>
      <c r="U74"/>
      <c r="V74">
        <f>IF(C9="ikke relevant",R9*-1,0)</f>
        <v>0</v>
      </c>
      <c r="W74"/>
      <c r="X74"/>
      <c r="Y74" s="498"/>
      <c r="AP74" s="517"/>
      <c r="BM74" s="517"/>
      <c r="BX74" s="518"/>
      <c r="BY74" s="518"/>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85" s="501" customFormat="1" ht="16" hidden="1" customHeight="1">
      <c r="A75" s="498" t="s">
        <v>160</v>
      </c>
      <c r="B75" s="498"/>
      <c r="C75" s="498"/>
      <c r="D75" s="498">
        <f>COUNTIF([0]!SEPTEMBER,"Ikke relevant")</f>
        <v>0</v>
      </c>
      <c r="E75" s="499"/>
      <c r="F75" s="498" t="s">
        <v>196</v>
      </c>
      <c r="G75" s="498">
        <f>COUNTIFS($B$9:$B$38,"ma",[0]!SEPTEMBER,"Skema 3")</f>
        <v>0</v>
      </c>
      <c r="H75" s="498"/>
      <c r="I75" s="662"/>
      <c r="J75" s="662"/>
      <c r="K75" s="662"/>
      <c r="L75" s="511"/>
      <c r="M75" s="668"/>
      <c r="N75" s="668"/>
      <c r="O75" s="4"/>
      <c r="P75" s="661"/>
      <c r="Q75"/>
      <c r="R75">
        <f>IF(C10="ikke relevant",V10*-1+X10*-1,0)</f>
        <v>0</v>
      </c>
      <c r="S75"/>
      <c r="T75"/>
      <c r="U75"/>
      <c r="V75">
        <f>IF(C10="ikke relevant",R10*-1,0)</f>
        <v>0</v>
      </c>
      <c r="W75"/>
      <c r="X75"/>
      <c r="Y75" s="498"/>
      <c r="AP75" s="517"/>
      <c r="BM75" s="517"/>
      <c r="BX75" s="518"/>
      <c r="BY75" s="518"/>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85" s="501" customFormat="1" hidden="1">
      <c r="A76" s="498" t="s">
        <v>108</v>
      </c>
      <c r="B76" s="498"/>
      <c r="C76" s="498"/>
      <c r="D76" s="498">
        <f>SUM(D63:D75)</f>
        <v>30</v>
      </c>
      <c r="E76" s="498"/>
      <c r="F76" s="498" t="s">
        <v>197</v>
      </c>
      <c r="G76" s="498">
        <f>COUNTIFS($B$9:$B$38,"ti",[0]!SEPTEMBER,"Skema 3")</f>
        <v>0</v>
      </c>
      <c r="H76" s="498"/>
      <c r="I76" s="662"/>
      <c r="J76" s="662"/>
      <c r="K76" s="662"/>
      <c r="L76" s="511"/>
      <c r="M76" s="668"/>
      <c r="N76" s="668"/>
      <c r="O76" s="4"/>
      <c r="P76" s="661"/>
      <c r="Q76"/>
      <c r="R76">
        <f t="shared" ref="R76:R104" si="37">IF(C11="ikke relevant",V11*-1+X11*-1,0)</f>
        <v>0</v>
      </c>
      <c r="S76"/>
      <c r="T76"/>
      <c r="U76"/>
      <c r="V76">
        <f t="shared" ref="V76:V104" si="38">IF(C11="ikke relevant",R11*-1,0)</f>
        <v>0</v>
      </c>
      <c r="W76"/>
      <c r="X76"/>
      <c r="AO76" s="517"/>
      <c r="BL76" s="517"/>
      <c r="BW76" s="518"/>
      <c r="BX76" s="518"/>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85" s="501" customFormat="1" hidden="1">
      <c r="A77" s="498" t="s">
        <v>239</v>
      </c>
      <c r="B77" s="498"/>
      <c r="C77" s="498"/>
      <c r="D77" s="498">
        <f>D76-D70-A86-D75</f>
        <v>21</v>
      </c>
      <c r="E77" s="505"/>
      <c r="F77" s="498" t="s">
        <v>198</v>
      </c>
      <c r="G77" s="498">
        <f>COUNTIFS($B$9:$B$38,"on",[0]!SEPTEMBER,"Skema 3")</f>
        <v>0</v>
      </c>
      <c r="H77" s="498"/>
      <c r="I77" s="662"/>
      <c r="J77" s="662"/>
      <c r="K77" s="662"/>
      <c r="L77" s="511"/>
      <c r="M77" s="668"/>
      <c r="N77" s="668"/>
      <c r="O77" s="4"/>
      <c r="P77" s="661"/>
      <c r="Q77"/>
      <c r="R77">
        <f t="shared" si="37"/>
        <v>0</v>
      </c>
      <c r="S77"/>
      <c r="T77"/>
      <c r="U77"/>
      <c r="V77">
        <f t="shared" si="38"/>
        <v>0</v>
      </c>
      <c r="W77"/>
      <c r="X77"/>
      <c r="AO77" s="517"/>
      <c r="BL77" s="517"/>
      <c r="BW77" s="518"/>
      <c r="BX77" s="518"/>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85" s="501" customFormat="1" hidden="1">
      <c r="A78" s="498"/>
      <c r="B78" s="498"/>
      <c r="C78" s="498"/>
      <c r="D78" s="498"/>
      <c r="E78" s="498"/>
      <c r="F78" s="498" t="s">
        <v>199</v>
      </c>
      <c r="G78" s="498">
        <f>COUNTIFS($B$9:$B$38,"to",[0]!SEPTEMBER,"Skema 3")</f>
        <v>0</v>
      </c>
      <c r="H78" s="498"/>
      <c r="I78" s="664"/>
      <c r="J78" s="662"/>
      <c r="K78" s="662"/>
      <c r="L78" s="511"/>
      <c r="M78" s="660"/>
      <c r="N78" s="660"/>
      <c r="O78" s="4"/>
      <c r="P78" s="661"/>
      <c r="Q78"/>
      <c r="R78">
        <f t="shared" si="37"/>
        <v>0</v>
      </c>
      <c r="S78"/>
      <c r="T78"/>
      <c r="U78"/>
      <c r="V78">
        <f t="shared" si="38"/>
        <v>0</v>
      </c>
      <c r="W78"/>
      <c r="X78"/>
      <c r="AO78" s="517"/>
      <c r="BL78" s="517"/>
      <c r="BW78" s="518"/>
      <c r="BX78" s="51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85" s="501" customFormat="1" hidden="1">
      <c r="A79" s="498"/>
      <c r="B79" s="498"/>
      <c r="C79" s="498"/>
      <c r="D79" s="498"/>
      <c r="E79" s="498"/>
      <c r="F79" s="498" t="s">
        <v>200</v>
      </c>
      <c r="G79" s="498">
        <f>COUNTIFS($B$9:$B$38,"fr",[0]!SEPTEMBER,"Skema 3")</f>
        <v>0</v>
      </c>
      <c r="H79" s="498"/>
      <c r="I79" s="506"/>
      <c r="J79" s="511"/>
      <c r="K79" s="511"/>
      <c r="L79" s="511"/>
      <c r="M79" s="4"/>
      <c r="N79" s="4"/>
      <c r="O79" s="4"/>
      <c r="P79" s="4"/>
      <c r="Q79"/>
      <c r="R79">
        <f t="shared" si="37"/>
        <v>0</v>
      </c>
      <c r="S79"/>
      <c r="T79"/>
      <c r="U79"/>
      <c r="V79">
        <f t="shared" si="38"/>
        <v>0</v>
      </c>
      <c r="W79"/>
      <c r="X79"/>
      <c r="AO79" s="517"/>
      <c r="BL79" s="517"/>
      <c r="BW79" s="518"/>
      <c r="BX79" s="518"/>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85" s="501" customFormat="1" hidden="1">
      <c r="A80" s="498" t="s">
        <v>292</v>
      </c>
      <c r="B80" s="498"/>
      <c r="C80" s="498"/>
      <c r="D80" s="498"/>
      <c r="E80" s="498"/>
      <c r="F80" s="498"/>
      <c r="G80" s="498"/>
      <c r="H80" s="498"/>
      <c r="I80" s="506"/>
      <c r="J80" s="511"/>
      <c r="K80" s="511"/>
      <c r="L80" s="511"/>
      <c r="M80" s="4"/>
      <c r="N80" s="4"/>
      <c r="O80" s="4"/>
      <c r="P80" s="4"/>
      <c r="Q80"/>
      <c r="R80">
        <f t="shared" si="37"/>
        <v>0</v>
      </c>
      <c r="S80"/>
      <c r="T80"/>
      <c r="U80"/>
      <c r="V80">
        <f t="shared" si="38"/>
        <v>0</v>
      </c>
      <c r="W80"/>
      <c r="X80"/>
      <c r="AO80" s="517"/>
      <c r="BL80" s="517"/>
      <c r="BW80" s="518"/>
      <c r="BX80" s="518"/>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85" s="501" customFormat="1" hidden="1">
      <c r="A81" s="498">
        <f>COUNTIF($C$9,"Skema 1")+COUNTIF($C$9,"Skema 2")+COUNTIF($C$9,"Skema 3")+COUNTIF($C$9,"Skema 4")+COUNTIF($C$9,"Fagdag")+COUNTIF($C$9,"Emnedag")+COUNTIF($C$9,"Lejrskole")+COUNTIF($C$9,"Ekskursion")+COUNTIF($C$9,"Pæd.dag")</f>
        <v>0</v>
      </c>
      <c r="B81" s="498"/>
      <c r="C81" s="498"/>
      <c r="D81" s="498"/>
      <c r="E81" s="498"/>
      <c r="F81" s="498" t="s">
        <v>201</v>
      </c>
      <c r="G81" s="498">
        <f>COUNTIFS($B$9:$B$38,"ma",[0]!SEPTEMBER,"Skema 4")</f>
        <v>0</v>
      </c>
      <c r="H81" s="498"/>
      <c r="I81" s="506"/>
      <c r="J81" s="511"/>
      <c r="K81" s="511"/>
      <c r="L81" s="511"/>
      <c r="M81" s="4"/>
      <c r="N81" s="4"/>
      <c r="O81" s="4"/>
      <c r="P81" s="4"/>
      <c r="Q81"/>
      <c r="R81">
        <f t="shared" si="37"/>
        <v>0</v>
      </c>
      <c r="S81"/>
      <c r="T81"/>
      <c r="U81"/>
      <c r="V81">
        <f t="shared" si="38"/>
        <v>0</v>
      </c>
      <c r="W81"/>
      <c r="X81"/>
      <c r="AO81" s="517"/>
      <c r="BL81" s="517"/>
      <c r="BW81" s="518"/>
      <c r="BX81" s="518"/>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85" s="501" customFormat="1" hidden="1">
      <c r="A82" s="498">
        <f>COUNTIF($C$15:$C$16,"Skema 1")+COUNTIF($C$15:$C$16,"Skema 2")+COUNTIF($C$15:$C$16,"Skema 3")+COUNTIF($C$15:$C$16,"Skema 4")+COUNTIF($C$15:$C$16,"Fagdag")+COUNTIF($C$15:$C$16,"Emnedag")+COUNTIF($C$15:$C$16,"Lejrskole")+COUNTIF($C$15:$C$16,"Ekskursion")+COUNTIF($C$15:$C$16,"Pæd.dag")</f>
        <v>0</v>
      </c>
      <c r="B82" s="498"/>
      <c r="C82" s="498"/>
      <c r="D82" s="498"/>
      <c r="E82" s="498"/>
      <c r="F82" s="498" t="s">
        <v>202</v>
      </c>
      <c r="G82" s="498">
        <f>COUNTIFS($B$9:$B$38,"ti",[0]!SEPTEMBER,"Skema 4")</f>
        <v>0</v>
      </c>
      <c r="H82" s="498"/>
      <c r="I82" s="506"/>
      <c r="J82" s="511"/>
      <c r="K82" s="511"/>
      <c r="L82" s="511"/>
      <c r="M82" s="4"/>
      <c r="N82" s="4"/>
      <c r="O82" s="4"/>
      <c r="P82" s="4"/>
      <c r="Q82"/>
      <c r="R82">
        <f t="shared" si="37"/>
        <v>0</v>
      </c>
      <c r="S82"/>
      <c r="T82"/>
      <c r="U82"/>
      <c r="V82">
        <f t="shared" si="38"/>
        <v>0</v>
      </c>
      <c r="W82"/>
      <c r="X82"/>
      <c r="AO82" s="517"/>
      <c r="BL82" s="517"/>
      <c r="BW82" s="518"/>
      <c r="BX82" s="518"/>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85" s="501" customFormat="1" hidden="1">
      <c r="A83" s="498">
        <f>COUNTIF($C$22:$C$23,"Skema 1")+COUNTIF($C$22:$C$23,"Skema 2")+COUNTIF($C$22:$C$23,"Skema 3")+COUNTIF($C$22:$C$23,"Skema 4")+COUNTIF($C$22:$C$23,"Fagdag")+COUNTIF($C$22:$C$23,"Emnedag")+COUNTIF($C$22:$C$23,"Lejrskole")+COUNTIF($C$22:$C$23,"Ekskursion")+COUNTIF($C$22:$C$23,"Pæd.dag")</f>
        <v>0</v>
      </c>
      <c r="B83" s="498"/>
      <c r="C83" s="498"/>
      <c r="D83" s="498"/>
      <c r="E83" s="498"/>
      <c r="F83" s="498" t="s">
        <v>203</v>
      </c>
      <c r="G83" s="498">
        <f>COUNTIFS($B$9:$B$38,"on",[0]!SEPTEMBER,"Skema 4")</f>
        <v>0</v>
      </c>
      <c r="H83" s="498"/>
      <c r="I83" s="506"/>
      <c r="J83" s="511"/>
      <c r="K83" s="511"/>
      <c r="L83" s="511"/>
      <c r="M83" s="4"/>
      <c r="N83" s="4"/>
      <c r="O83" s="4"/>
      <c r="P83" s="4"/>
      <c r="Q83"/>
      <c r="R83">
        <f t="shared" si="37"/>
        <v>0</v>
      </c>
      <c r="S83"/>
      <c r="T83"/>
      <c r="U83"/>
      <c r="V83">
        <f t="shared" si="38"/>
        <v>0</v>
      </c>
      <c r="W83"/>
      <c r="X83"/>
      <c r="AO83" s="517"/>
      <c r="BL83" s="517"/>
      <c r="BW83" s="518"/>
      <c r="BX83" s="518"/>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85" hidden="1">
      <c r="A84" s="498">
        <f>COUNTIF($C$29:$C$30,"Skema 1")+COUNTIF($C$29:$C$30,"Skema 2")+COUNTIF($C$29:$C$30,"Skema 3")+COUNTIF($C$29:$C$30,"Skema 4")+COUNTIF($C$29:$C$30,"Fagdag")+COUNTIF($C$29:$C$30,"Emnedag")+COUNTIF($C$29:$C$30,"Lejrskole")+COUNTIF($C$29:$C$30,"Ekskursion")+COUNTIF($C$29:$C$30,"Pæd.dag")</f>
        <v>0</v>
      </c>
      <c r="B84" s="498"/>
      <c r="C84" s="498"/>
      <c r="D84" s="498"/>
      <c r="E84" s="498"/>
      <c r="F84" s="498" t="s">
        <v>204</v>
      </c>
      <c r="G84" s="498">
        <f>COUNTIFS($B$9:$B$38,"to",[0]!SEPTEMBER,"Skema 4")</f>
        <v>0</v>
      </c>
      <c r="H84" s="498"/>
      <c r="I84" s="506"/>
      <c r="J84" s="511"/>
      <c r="K84" s="511"/>
      <c r="L84" s="511"/>
      <c r="M84" s="4"/>
      <c r="N84" s="4"/>
      <c r="O84" s="4"/>
      <c r="P84" s="4"/>
      <c r="R84">
        <f t="shared" si="37"/>
        <v>0</v>
      </c>
      <c r="V84">
        <f t="shared" si="38"/>
        <v>0</v>
      </c>
      <c r="Y84"/>
      <c r="Z84"/>
      <c r="AO84" s="1">
        <f>SUM(N84:AN84)</f>
        <v>0</v>
      </c>
      <c r="BL84" s="1">
        <f>SUM(AI84:BK84)</f>
        <v>0</v>
      </c>
      <c r="BW84" s="248"/>
      <c r="BX84" s="248"/>
      <c r="CY84"/>
      <c r="CZ84"/>
    </row>
    <row r="85" spans="1:185" hidden="1">
      <c r="A85" s="498">
        <f>COUNTIF($C$36:$C$37,"Skema 1")+COUNTIF($C$36:$C$37,"Skema 2")+COUNTIF($C$36:$C$37,"Skema 3")+COUNTIF($C$36:$C$37,"Skema 4")+COUNTIF($C$36:$C$37,"Fagdag")+COUNTIF($C$36:$C$37,"Emnedag")+COUNTIF($C$36:$C$37,"Lejrskole")+COUNTIF($C$36:$C$37,"Ekskursion")+COUNTIF($C$36:$C$37,"Pæd.dag")</f>
        <v>0</v>
      </c>
      <c r="B85" s="498"/>
      <c r="C85" s="498"/>
      <c r="D85" s="498"/>
      <c r="E85" s="498"/>
      <c r="F85" s="498" t="s">
        <v>205</v>
      </c>
      <c r="G85" s="498">
        <f>COUNTIFS($B$9:$B$38,"fr",[0]!SEPTEMBER,"Skema 4")</f>
        <v>0</v>
      </c>
      <c r="H85" s="498"/>
      <c r="I85" s="498"/>
      <c r="J85" s="501"/>
      <c r="K85" s="501"/>
      <c r="L85" s="41"/>
      <c r="R85">
        <f t="shared" si="37"/>
        <v>0</v>
      </c>
      <c r="V85">
        <f t="shared" si="38"/>
        <v>0</v>
      </c>
      <c r="Y85"/>
      <c r="Z85"/>
      <c r="AO85" s="1">
        <f>SUM(N85:AN85)</f>
        <v>0</v>
      </c>
      <c r="BL85" s="1">
        <f>SUM(AI85:BK85)</f>
        <v>0</v>
      </c>
      <c r="BW85" s="248"/>
      <c r="BX85" s="248"/>
      <c r="CY85"/>
      <c r="CZ85"/>
    </row>
    <row r="86" spans="1:185" hidden="1">
      <c r="A86" s="498">
        <f>SUM(A81:A85)</f>
        <v>0</v>
      </c>
      <c r="B86" s="498"/>
      <c r="C86" s="498"/>
      <c r="D86" s="498"/>
      <c r="E86" s="498"/>
      <c r="F86" s="498"/>
      <c r="G86" s="498">
        <f>SUM(G63:G85)</f>
        <v>16</v>
      </c>
      <c r="H86" s="501"/>
      <c r="I86" s="498"/>
      <c r="J86" s="501"/>
      <c r="K86" s="501"/>
      <c r="L86" s="41"/>
      <c r="R86">
        <f t="shared" si="37"/>
        <v>0</v>
      </c>
      <c r="V86">
        <f t="shared" si="38"/>
        <v>0</v>
      </c>
      <c r="Y86"/>
      <c r="Z86"/>
      <c r="AO86" s="1">
        <f>SUM(N86:AN86)</f>
        <v>0</v>
      </c>
      <c r="BL86" s="1">
        <f>SUM(AI86:BK86)</f>
        <v>0</v>
      </c>
      <c r="BW86" s="248"/>
      <c r="BX86" s="248"/>
      <c r="CY86"/>
      <c r="CZ86"/>
    </row>
    <row r="87" spans="1:185" hidden="1">
      <c r="A87" s="41"/>
      <c r="B87" s="41"/>
      <c r="C87" s="41"/>
      <c r="D87" s="41"/>
      <c r="E87" s="123"/>
      <c r="F87" s="123"/>
      <c r="G87" s="123"/>
      <c r="H87" s="41"/>
      <c r="I87" s="501"/>
      <c r="J87" s="501"/>
      <c r="K87" s="501"/>
      <c r="L87" s="41"/>
      <c r="R87">
        <f t="shared" si="37"/>
        <v>0</v>
      </c>
      <c r="V87">
        <f t="shared" si="38"/>
        <v>0</v>
      </c>
      <c r="Y87"/>
      <c r="Z87"/>
      <c r="AO87" s="1">
        <f>SUM(N87:AN87)</f>
        <v>0</v>
      </c>
      <c r="BL87" s="1">
        <f>SUM(AI87:BK87)</f>
        <v>0</v>
      </c>
      <c r="BW87" s="248"/>
      <c r="BX87" s="248"/>
      <c r="CY87"/>
      <c r="CZ87"/>
    </row>
    <row r="88" spans="1:185" hidden="1">
      <c r="A88" s="41"/>
      <c r="B88" s="41"/>
      <c r="C88" s="41"/>
      <c r="D88" s="41"/>
      <c r="E88" s="123"/>
      <c r="F88" s="123"/>
      <c r="G88" s="123"/>
      <c r="H88" s="41"/>
      <c r="I88" s="41"/>
      <c r="J88" s="501"/>
      <c r="K88" s="501"/>
      <c r="L88" s="41"/>
      <c r="R88">
        <f t="shared" si="37"/>
        <v>0</v>
      </c>
      <c r="V88">
        <f t="shared" si="38"/>
        <v>0</v>
      </c>
      <c r="Y88"/>
      <c r="Z88"/>
      <c r="BW88" s="248"/>
      <c r="BX88" s="248"/>
      <c r="CY88"/>
      <c r="CZ88"/>
    </row>
    <row r="89" spans="1:185" hidden="1">
      <c r="A89" s="41"/>
      <c r="B89" s="41"/>
      <c r="C89" s="41"/>
      <c r="D89" s="41"/>
      <c r="E89" s="123"/>
      <c r="F89" s="123"/>
      <c r="G89" s="123"/>
      <c r="H89" s="41"/>
      <c r="I89" s="41"/>
      <c r="J89" s="41"/>
      <c r="K89" s="41"/>
      <c r="L89" s="41"/>
      <c r="R89">
        <f t="shared" si="37"/>
        <v>0</v>
      </c>
      <c r="V89">
        <f t="shared" si="38"/>
        <v>0</v>
      </c>
      <c r="Y89"/>
      <c r="Z89"/>
      <c r="BW89" s="248"/>
      <c r="BX89" s="248"/>
      <c r="CY89"/>
      <c r="CZ89"/>
    </row>
    <row r="90" spans="1:185" hidden="1">
      <c r="A90" s="41"/>
      <c r="B90" s="41"/>
      <c r="C90" s="41"/>
      <c r="D90" s="41"/>
      <c r="E90" s="123"/>
      <c r="F90" s="123"/>
      <c r="G90" s="123"/>
      <c r="H90" s="41"/>
      <c r="I90" s="41"/>
      <c r="J90" s="41"/>
      <c r="K90" s="41"/>
      <c r="L90" s="41"/>
      <c r="R90">
        <f t="shared" si="37"/>
        <v>0</v>
      </c>
      <c r="V90">
        <f t="shared" si="38"/>
        <v>0</v>
      </c>
      <c r="Y90"/>
      <c r="Z90"/>
      <c r="BW90" s="248"/>
      <c r="BX90" s="248"/>
      <c r="CY90"/>
      <c r="CZ90"/>
    </row>
    <row r="91" spans="1:185" hidden="1">
      <c r="A91" s="445"/>
      <c r="B91" s="445"/>
      <c r="C91" s="445"/>
      <c r="D91" s="445"/>
      <c r="E91" s="90"/>
      <c r="F91" s="90"/>
      <c r="G91" s="90"/>
      <c r="I91" s="41"/>
      <c r="J91" s="41"/>
      <c r="K91" s="41"/>
      <c r="L91" s="41"/>
      <c r="R91">
        <f t="shared" si="37"/>
        <v>0</v>
      </c>
      <c r="V91">
        <f t="shared" si="38"/>
        <v>0</v>
      </c>
      <c r="Y91"/>
      <c r="Z91"/>
      <c r="BW91" s="248"/>
      <c r="BX91" s="248"/>
      <c r="CY91"/>
      <c r="CZ91"/>
    </row>
    <row r="92" spans="1:185" hidden="1">
      <c r="E92" s="90"/>
      <c r="F92" s="90"/>
      <c r="G92" s="90"/>
      <c r="I92" s="41"/>
      <c r="J92" s="41"/>
      <c r="K92" s="41"/>
      <c r="L92" s="41"/>
      <c r="R92">
        <f t="shared" si="37"/>
        <v>0</v>
      </c>
      <c r="V92">
        <f t="shared" si="38"/>
        <v>0</v>
      </c>
      <c r="Y92"/>
      <c r="Z92"/>
      <c r="BW92" s="248"/>
      <c r="BX92" s="248"/>
      <c r="CY92"/>
      <c r="CZ92"/>
    </row>
    <row r="93" spans="1:185" hidden="1">
      <c r="E93" s="90"/>
      <c r="F93" s="90"/>
      <c r="G93" s="90"/>
      <c r="I93" s="41"/>
      <c r="J93" s="41"/>
      <c r="K93" s="41"/>
      <c r="L93" s="41"/>
      <c r="R93">
        <f t="shared" si="37"/>
        <v>0</v>
      </c>
      <c r="V93">
        <f t="shared" si="38"/>
        <v>0</v>
      </c>
      <c r="Y93"/>
      <c r="Z93"/>
      <c r="AD93" s="4"/>
      <c r="AE93" s="231"/>
      <c r="AF93" s="231"/>
      <c r="AG93" s="231"/>
      <c r="AH93" s="231"/>
      <c r="CY93"/>
      <c r="CZ93"/>
      <c r="DF93" s="248"/>
      <c r="DG93" s="248"/>
    </row>
    <row r="94" spans="1:185" hidden="1">
      <c r="E94" s="90"/>
      <c r="F94" s="90"/>
      <c r="G94" s="90"/>
      <c r="I94" s="41"/>
      <c r="J94" s="41"/>
      <c r="K94" s="41"/>
      <c r="L94" s="41"/>
      <c r="R94">
        <f t="shared" si="37"/>
        <v>0</v>
      </c>
      <c r="V94">
        <f t="shared" si="38"/>
        <v>0</v>
      </c>
      <c r="Y94"/>
      <c r="Z94"/>
      <c r="AD94" s="4"/>
      <c r="AE94" s="231"/>
      <c r="AF94" s="231"/>
      <c r="AG94" s="231"/>
      <c r="AH94" s="231"/>
      <c r="CY94"/>
      <c r="CZ94"/>
      <c r="DF94" s="248"/>
      <c r="DG94" s="248"/>
    </row>
    <row r="95" spans="1:185" hidden="1">
      <c r="E95" s="90"/>
      <c r="F95" s="90"/>
      <c r="G95" s="90"/>
      <c r="I95" s="41"/>
      <c r="J95" s="41"/>
      <c r="K95" s="41"/>
      <c r="L95" s="41"/>
      <c r="R95">
        <f t="shared" si="37"/>
        <v>0</v>
      </c>
      <c r="V95">
        <f t="shared" si="38"/>
        <v>0</v>
      </c>
    </row>
    <row r="96" spans="1:185" hidden="1">
      <c r="E96" s="90"/>
      <c r="F96" s="90"/>
      <c r="G96" s="90"/>
      <c r="I96" s="41"/>
      <c r="J96" s="41"/>
      <c r="K96" s="41"/>
      <c r="L96" s="41"/>
      <c r="R96">
        <f t="shared" si="37"/>
        <v>0</v>
      </c>
      <c r="V96">
        <f t="shared" si="38"/>
        <v>0</v>
      </c>
    </row>
    <row r="97" spans="9:22" hidden="1">
      <c r="I97" s="41"/>
      <c r="J97" s="41"/>
      <c r="K97" s="41"/>
      <c r="L97" s="41"/>
      <c r="R97">
        <f t="shared" si="37"/>
        <v>0</v>
      </c>
      <c r="V97">
        <f t="shared" si="38"/>
        <v>0</v>
      </c>
    </row>
    <row r="98" spans="9:22" hidden="1">
      <c r="I98" s="41"/>
      <c r="J98" s="41"/>
      <c r="K98" s="41"/>
      <c r="L98" s="41"/>
      <c r="R98">
        <f t="shared" si="37"/>
        <v>0</v>
      </c>
      <c r="V98">
        <f t="shared" si="38"/>
        <v>0</v>
      </c>
    </row>
    <row r="99" spans="9:22" hidden="1">
      <c r="I99" s="41"/>
      <c r="J99" s="41"/>
      <c r="K99" s="41"/>
      <c r="L99" s="445"/>
      <c r="R99">
        <f t="shared" si="37"/>
        <v>0</v>
      </c>
      <c r="V99">
        <f t="shared" si="38"/>
        <v>0</v>
      </c>
    </row>
    <row r="100" spans="9:22" hidden="1">
      <c r="I100" s="41"/>
      <c r="J100" s="41"/>
      <c r="K100" s="41"/>
      <c r="L100" s="445"/>
      <c r="R100">
        <f t="shared" si="37"/>
        <v>0</v>
      </c>
      <c r="V100">
        <f t="shared" si="38"/>
        <v>0</v>
      </c>
    </row>
    <row r="101" spans="9:22" hidden="1">
      <c r="I101" s="41"/>
      <c r="J101" s="41"/>
      <c r="K101" s="41"/>
      <c r="L101" s="445"/>
      <c r="R101">
        <f t="shared" si="37"/>
        <v>0</v>
      </c>
      <c r="V101">
        <f t="shared" si="38"/>
        <v>0</v>
      </c>
    </row>
    <row r="102" spans="9:22" hidden="1">
      <c r="I102" s="445"/>
      <c r="J102" s="41"/>
      <c r="K102" s="41"/>
      <c r="L102" s="445"/>
      <c r="R102">
        <f t="shared" si="37"/>
        <v>0</v>
      </c>
      <c r="V102">
        <f t="shared" si="38"/>
        <v>0</v>
      </c>
    </row>
    <row r="103" spans="9:22" hidden="1">
      <c r="I103" s="445"/>
      <c r="J103" s="445"/>
      <c r="K103" s="445"/>
      <c r="L103" s="445"/>
      <c r="R103">
        <f t="shared" si="37"/>
        <v>0</v>
      </c>
      <c r="V103">
        <f t="shared" si="38"/>
        <v>0</v>
      </c>
    </row>
    <row r="104" spans="9:22" ht="17" hidden="1" thickBot="1">
      <c r="I104" s="445"/>
      <c r="J104" s="445"/>
      <c r="K104" s="445"/>
      <c r="L104" s="445"/>
      <c r="R104">
        <f t="shared" si="37"/>
        <v>0</v>
      </c>
      <c r="V104">
        <f t="shared" si="38"/>
        <v>0</v>
      </c>
    </row>
    <row r="105" spans="9:22" ht="17" hidden="1" thickBot="1">
      <c r="I105" s="445"/>
      <c r="J105" s="445"/>
      <c r="K105" s="445"/>
      <c r="L105" s="445"/>
      <c r="R105" s="693">
        <f>SUM(R74:R104)+FB40</f>
        <v>0</v>
      </c>
      <c r="V105" s="693">
        <f>SUM(V74:V104)</f>
        <v>0</v>
      </c>
    </row>
    <row r="106" spans="9:22" hidden="1">
      <c r="I106" s="445"/>
      <c r="J106" s="445"/>
      <c r="K106" s="445"/>
      <c r="L106" s="445"/>
    </row>
  </sheetData>
  <sheetProtection sheet="1" objects="1" scenarios="1"/>
  <mergeCells count="173">
    <mergeCell ref="FQ8:FR8"/>
    <mergeCell ref="DS8:DV8"/>
    <mergeCell ref="DZ8:EB8"/>
    <mergeCell ref="EG8:EI8"/>
    <mergeCell ref="EM8:EN8"/>
    <mergeCell ref="EQ8:ER8"/>
    <mergeCell ref="EU8:EV8"/>
    <mergeCell ref="FC8:FD8"/>
    <mergeCell ref="FG8:FH8"/>
    <mergeCell ref="FK8:FL8"/>
    <mergeCell ref="EY8:EZ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EW6:EZ6"/>
    <mergeCell ref="A61:G61"/>
    <mergeCell ref="I61:K61"/>
    <mergeCell ref="I57:K57"/>
    <mergeCell ref="I58:K58"/>
    <mergeCell ref="I59:K59"/>
    <mergeCell ref="I60:K60"/>
    <mergeCell ref="A66:C66"/>
    <mergeCell ref="E32:G32"/>
    <mergeCell ref="A64:C64"/>
    <mergeCell ref="A65:C65"/>
    <mergeCell ref="I50:K50"/>
    <mergeCell ref="A55:K55"/>
    <mergeCell ref="A56:B56"/>
    <mergeCell ref="C56:D56"/>
    <mergeCell ref="E56:G56"/>
    <mergeCell ref="H56:K56"/>
    <mergeCell ref="A57:B57"/>
    <mergeCell ref="C57:D57"/>
    <mergeCell ref="E57:G57"/>
    <mergeCell ref="A43:G43"/>
    <mergeCell ref="I43:K43"/>
    <mergeCell ref="A44:G44"/>
    <mergeCell ref="I44:K44"/>
    <mergeCell ref="A41:G41"/>
    <mergeCell ref="A48:H48"/>
    <mergeCell ref="I48:K48"/>
    <mergeCell ref="A49:H49"/>
    <mergeCell ref="I49:K49"/>
    <mergeCell ref="A45:G45"/>
    <mergeCell ref="I45:K45"/>
    <mergeCell ref="A46:G46"/>
    <mergeCell ref="I46:K46"/>
    <mergeCell ref="V45:X45"/>
    <mergeCell ref="V47:X47"/>
    <mergeCell ref="V48:X48"/>
    <mergeCell ref="M46:X46"/>
    <mergeCell ref="M45:U45"/>
    <mergeCell ref="M47:U47"/>
    <mergeCell ref="M48:U48"/>
    <mergeCell ref="A47:H47"/>
    <mergeCell ref="I47:K47"/>
    <mergeCell ref="V42:X42"/>
    <mergeCell ref="V43:X43"/>
    <mergeCell ref="V44:X44"/>
    <mergeCell ref="M41:X41"/>
    <mergeCell ref="M42:U42"/>
    <mergeCell ref="M43:U43"/>
    <mergeCell ref="M44:U44"/>
    <mergeCell ref="V49:X49"/>
    <mergeCell ref="V50:X50"/>
    <mergeCell ref="M49:U49"/>
    <mergeCell ref="M50:U50"/>
    <mergeCell ref="K6:L6"/>
    <mergeCell ref="N6:N7"/>
    <mergeCell ref="O6:O7"/>
    <mergeCell ref="E25:G25"/>
    <mergeCell ref="E26:G26"/>
    <mergeCell ref="I8:J8"/>
    <mergeCell ref="K8:R8"/>
    <mergeCell ref="V8:X8"/>
    <mergeCell ref="S6:X6"/>
    <mergeCell ref="S8:U8"/>
    <mergeCell ref="E11:G11"/>
    <mergeCell ref="E17:G17"/>
    <mergeCell ref="E18:G18"/>
    <mergeCell ref="E19:G19"/>
    <mergeCell ref="E20:G20"/>
    <mergeCell ref="E21:G21"/>
    <mergeCell ref="E22:G22"/>
    <mergeCell ref="A60:B60"/>
    <mergeCell ref="C60:D60"/>
    <mergeCell ref="E60:G60"/>
    <mergeCell ref="A52:G53"/>
    <mergeCell ref="I52:K52"/>
    <mergeCell ref="M52:U52"/>
    <mergeCell ref="V52:X52"/>
    <mergeCell ref="I53:K53"/>
    <mergeCell ref="B2:E2"/>
    <mergeCell ref="E4:G4"/>
    <mergeCell ref="K4:L4"/>
    <mergeCell ref="A5:R5"/>
    <mergeCell ref="P6:P7"/>
    <mergeCell ref="Q6:Q7"/>
    <mergeCell ref="R6:R7"/>
    <mergeCell ref="A4:D4"/>
    <mergeCell ref="A3:X3"/>
    <mergeCell ref="S5:X5"/>
    <mergeCell ref="E12:G12"/>
    <mergeCell ref="E13:G13"/>
    <mergeCell ref="E14:G14"/>
    <mergeCell ref="E15:G15"/>
    <mergeCell ref="E16:G16"/>
    <mergeCell ref="E23:G23"/>
    <mergeCell ref="A54:G54"/>
    <mergeCell ref="I54:K54"/>
    <mergeCell ref="A58:B58"/>
    <mergeCell ref="C58:D58"/>
    <mergeCell ref="E58:G58"/>
    <mergeCell ref="A59:B59"/>
    <mergeCell ref="C59:D59"/>
    <mergeCell ref="E59:G59"/>
    <mergeCell ref="E24:G24"/>
    <mergeCell ref="E27:G27"/>
    <mergeCell ref="E28:G28"/>
    <mergeCell ref="E36:G36"/>
    <mergeCell ref="E37:G37"/>
    <mergeCell ref="E38:G38"/>
    <mergeCell ref="A39:I39"/>
    <mergeCell ref="E29:G29"/>
    <mergeCell ref="E30:G30"/>
    <mergeCell ref="E31:G31"/>
    <mergeCell ref="E33:G33"/>
    <mergeCell ref="E34:G34"/>
    <mergeCell ref="E35:G35"/>
    <mergeCell ref="I41:K41"/>
    <mergeCell ref="A42:G42"/>
    <mergeCell ref="I42:K42"/>
    <mergeCell ref="M51:U51"/>
    <mergeCell ref="V51:X51"/>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6:I7"/>
    <mergeCell ref="AA6:AE6"/>
    <mergeCell ref="AG6:AK6"/>
    <mergeCell ref="J6:J7"/>
    <mergeCell ref="E6:G8"/>
  </mergeCells>
  <phoneticPr fontId="5" type="noConversion"/>
  <conditionalFormatting sqref="A9:H38">
    <cfRule type="expression" dxfId="887" priority="137">
      <formula>OR($C9="Orlov")</formula>
    </cfRule>
    <cfRule type="expression" dxfId="886" priority="190" stopIfTrue="1">
      <formula>OR($C9="skoledag")</formula>
    </cfRule>
    <cfRule type="expression" dxfId="885" priority="189">
      <formula>OR($C9="weekend")</formula>
    </cfRule>
    <cfRule type="expression" dxfId="884" priority="188">
      <formula>OR($C9="feriedag")</formula>
    </cfRule>
    <cfRule type="expression" dxfId="883" priority="187">
      <formula>OR($C9="fagdag")</formula>
    </cfRule>
    <cfRule type="expression" dxfId="882" priority="186">
      <formula>OR($C9="emnedag")</formula>
    </cfRule>
    <cfRule type="expression" dxfId="881" priority="185">
      <formula>OR($C9="lejrskole")</formula>
    </cfRule>
    <cfRule type="expression" dxfId="880" priority="184">
      <formula>OR($C9="ekskursion")</formula>
    </cfRule>
    <cfRule type="expression" dxfId="879" priority="183">
      <formula>OR($C9="SH-dag")</formula>
    </cfRule>
    <cfRule type="expression" dxfId="878" priority="182">
      <formula>OR($C9="nul-dag")</formula>
    </cfRule>
    <cfRule type="expression" dxfId="877" priority="181">
      <formula>OR($C9="pæd.dag")</formula>
    </cfRule>
    <cfRule type="expression" dxfId="876" priority="180">
      <formula>OR($C9="Ikke relevant")</formula>
    </cfRule>
    <cfRule type="expression" dxfId="875" priority="179">
      <formula>OR($C9="Skema 4")</formula>
    </cfRule>
    <cfRule type="expression" dxfId="874" priority="178">
      <formula>OR($C9="Skema 3")</formula>
    </cfRule>
    <cfRule type="expression" dxfId="873" priority="177">
      <formula>OR($C9="skema 2")</formula>
    </cfRule>
    <cfRule type="expression" dxfId="872" priority="176">
      <formula>OR($C9="Skema 1")</formula>
    </cfRule>
  </conditionalFormatting>
  <conditionalFormatting sqref="C10:C14">
    <cfRule type="expression" dxfId="871" priority="64" stopIfTrue="1">
      <formula>OR($C10="skoledag")</formula>
    </cfRule>
    <cfRule type="expression" dxfId="870" priority="63">
      <formula>OR($C10="weekend")</formula>
    </cfRule>
    <cfRule type="expression" dxfId="869" priority="62">
      <formula>OR($C10="feriedag")</formula>
    </cfRule>
    <cfRule type="expression" dxfId="868" priority="61">
      <formula>OR($C10="fagdag")</formula>
    </cfRule>
    <cfRule type="expression" dxfId="867" priority="60">
      <formula>OR($C10="emnedag")</formula>
    </cfRule>
    <cfRule type="expression" dxfId="866" priority="59">
      <formula>OR($C10="lejrskole")</formula>
    </cfRule>
    <cfRule type="expression" dxfId="865" priority="58">
      <formula>OR($C10="ekskursion")</formula>
    </cfRule>
    <cfRule type="expression" dxfId="864" priority="57">
      <formula>OR($C10="SH-dag")</formula>
    </cfRule>
    <cfRule type="expression" dxfId="863" priority="56">
      <formula>OR($C10="nul-dag")</formula>
    </cfRule>
    <cfRule type="expression" dxfId="862" priority="55">
      <formula>OR($C10="pæd.dag")</formula>
    </cfRule>
    <cfRule type="expression" dxfId="861" priority="54">
      <formula>OR($C10="Ikke relevant")</formula>
    </cfRule>
    <cfRule type="expression" dxfId="860" priority="53">
      <formula>OR($C10="Skema 4")</formula>
    </cfRule>
    <cfRule type="expression" dxfId="859" priority="52">
      <formula>OR($C10="Skema 3")</formula>
    </cfRule>
    <cfRule type="expression" dxfId="858" priority="51">
      <formula>OR($C10="skema 2")</formula>
    </cfRule>
    <cfRule type="expression" dxfId="857" priority="50">
      <formula>OR($C10="Orlov")</formula>
    </cfRule>
    <cfRule type="expression" dxfId="856" priority="49">
      <formula>OR($C10="Skema 1")</formula>
    </cfRule>
  </conditionalFormatting>
  <conditionalFormatting sqref="C17:C21">
    <cfRule type="expression" dxfId="855" priority="33">
      <formula>OR($C17="Skema 1")</formula>
    </cfRule>
    <cfRule type="expression" dxfId="854" priority="34">
      <formula>OR($C17="Orlov")</formula>
    </cfRule>
    <cfRule type="expression" dxfId="853" priority="35">
      <formula>OR($C17="skema 2")</formula>
    </cfRule>
    <cfRule type="expression" dxfId="852" priority="36">
      <formula>OR($C17="Skema 3")</formula>
    </cfRule>
    <cfRule type="expression" dxfId="851" priority="37">
      <formula>OR($C17="Skema 4")</formula>
    </cfRule>
    <cfRule type="expression" dxfId="850" priority="38">
      <formula>OR($C17="Ikke relevant")</formula>
    </cfRule>
    <cfRule type="expression" dxfId="849" priority="39">
      <formula>OR($C17="pæd.dag")</formula>
    </cfRule>
    <cfRule type="expression" dxfId="848" priority="40">
      <formula>OR($C17="nul-dag")</formula>
    </cfRule>
    <cfRule type="expression" dxfId="847" priority="41">
      <formula>OR($C17="SH-dag")</formula>
    </cfRule>
    <cfRule type="expression" dxfId="846" priority="42">
      <formula>OR($C17="ekskursion")</formula>
    </cfRule>
    <cfRule type="expression" dxfId="845" priority="43">
      <formula>OR($C17="lejrskole")</formula>
    </cfRule>
    <cfRule type="expression" dxfId="844" priority="44">
      <formula>OR($C17="emnedag")</formula>
    </cfRule>
    <cfRule type="expression" dxfId="843" priority="45">
      <formula>OR($C17="fagdag")</formula>
    </cfRule>
    <cfRule type="expression" dxfId="842" priority="46">
      <formula>OR($C17="feriedag")</formula>
    </cfRule>
    <cfRule type="expression" dxfId="841" priority="47">
      <formula>OR($C17="weekend")</formula>
    </cfRule>
    <cfRule type="expression" dxfId="840" priority="48" stopIfTrue="1">
      <formula>OR($C17="skoledag")</formula>
    </cfRule>
  </conditionalFormatting>
  <conditionalFormatting sqref="C24:C28">
    <cfRule type="expression" dxfId="839" priority="32" stopIfTrue="1">
      <formula>OR($C24="skoledag")</formula>
    </cfRule>
    <cfRule type="expression" dxfId="838" priority="31">
      <formula>OR($C24="weekend")</formula>
    </cfRule>
    <cfRule type="expression" dxfId="837" priority="30">
      <formula>OR($C24="feriedag")</formula>
    </cfRule>
    <cfRule type="expression" dxfId="836" priority="29">
      <formula>OR($C24="fagdag")</formula>
    </cfRule>
    <cfRule type="expression" dxfId="835" priority="28">
      <formula>OR($C24="emnedag")</formula>
    </cfRule>
    <cfRule type="expression" dxfId="834" priority="27">
      <formula>OR($C24="lejrskole")</formula>
    </cfRule>
    <cfRule type="expression" dxfId="833" priority="26">
      <formula>OR($C24="ekskursion")</formula>
    </cfRule>
    <cfRule type="expression" dxfId="832" priority="25">
      <formula>OR($C24="SH-dag")</formula>
    </cfRule>
    <cfRule type="expression" dxfId="831" priority="24">
      <formula>OR($C24="nul-dag")</formula>
    </cfRule>
    <cfRule type="expression" dxfId="830" priority="23">
      <formula>OR($C24="pæd.dag")</formula>
    </cfRule>
    <cfRule type="expression" dxfId="829" priority="22">
      <formula>OR($C24="Ikke relevant")</formula>
    </cfRule>
    <cfRule type="expression" dxfId="828" priority="21">
      <formula>OR($C24="Skema 4")</formula>
    </cfRule>
    <cfRule type="expression" dxfId="827" priority="20">
      <formula>OR($C24="Skema 3")</formula>
    </cfRule>
    <cfRule type="expression" dxfId="826" priority="19">
      <formula>OR($C24="skema 2")</formula>
    </cfRule>
    <cfRule type="expression" dxfId="825" priority="17">
      <formula>OR($C24="Skema 1")</formula>
    </cfRule>
    <cfRule type="expression" dxfId="824" priority="18">
      <formula>OR($C24="Orlov")</formula>
    </cfRule>
  </conditionalFormatting>
  <conditionalFormatting sqref="C31:C35">
    <cfRule type="expression" dxfId="823" priority="1">
      <formula>OR($C31="Skema 1")</formula>
    </cfRule>
    <cfRule type="expression" dxfId="822" priority="8">
      <formula>OR($C31="nul-dag")</formula>
    </cfRule>
    <cfRule type="expression" dxfId="821" priority="2">
      <formula>OR($C31="Orlov")</formula>
    </cfRule>
    <cfRule type="expression" dxfId="820" priority="3">
      <formula>OR($C31="skema 2")</formula>
    </cfRule>
    <cfRule type="expression" dxfId="819" priority="4">
      <formula>OR($C31="Skema 3")</formula>
    </cfRule>
    <cfRule type="expression" dxfId="818" priority="5">
      <formula>OR($C31="Skema 4")</formula>
    </cfRule>
    <cfRule type="expression" dxfId="817" priority="6">
      <formula>OR($C31="Ikke relevant")</formula>
    </cfRule>
    <cfRule type="expression" dxfId="816" priority="7">
      <formula>OR($C31="pæd.dag")</formula>
    </cfRule>
    <cfRule type="expression" dxfId="815" priority="9">
      <formula>OR($C31="SH-dag")</formula>
    </cfRule>
    <cfRule type="expression" dxfId="814" priority="10">
      <formula>OR($C31="ekskursion")</formula>
    </cfRule>
    <cfRule type="expression" dxfId="813" priority="11">
      <formula>OR($C31="lejrskole")</formula>
    </cfRule>
    <cfRule type="expression" dxfId="812" priority="12">
      <formula>OR($C31="emnedag")</formula>
    </cfRule>
    <cfRule type="expression" dxfId="811" priority="16" stopIfTrue="1">
      <formula>OR($C31="skoledag")</formula>
    </cfRule>
    <cfRule type="expression" dxfId="810" priority="15">
      <formula>OR($C31="weekend")</formula>
    </cfRule>
    <cfRule type="expression" dxfId="809" priority="14">
      <formula>OR($C31="feriedag")</formula>
    </cfRule>
    <cfRule type="expression" dxfId="808" priority="13">
      <formula>OR($C31="fagdag")</formula>
    </cfRule>
  </conditionalFormatting>
  <conditionalFormatting sqref="E20">
    <cfRule type="expression" dxfId="807" priority="193">
      <formula>OR($D19="SH-dag")</formula>
    </cfRule>
    <cfRule type="expression" dxfId="806" priority="194">
      <formula>OR($D19="ekskursion")</formula>
    </cfRule>
    <cfRule type="expression" dxfId="805" priority="195">
      <formula>OR($D19="lejrskole")</formula>
    </cfRule>
    <cfRule type="expression" dxfId="804" priority="196">
      <formula>OR($D19="emnedag")</formula>
    </cfRule>
    <cfRule type="expression" dxfId="803" priority="192">
      <formula>OR($D19="nul-dag")</formula>
    </cfRule>
    <cfRule type="expression" dxfId="802" priority="197">
      <formula>OR($D19="fagdag")</formula>
    </cfRule>
    <cfRule type="expression" dxfId="801" priority="198">
      <formula>OR($D19="feriedag")</formula>
    </cfRule>
    <cfRule type="expression" dxfId="800" priority="199">
      <formula>OR($D19="weekend")</formula>
    </cfRule>
    <cfRule type="expression" dxfId="799" priority="200" stopIfTrue="1">
      <formula>OR($D19="skoledag")</formula>
    </cfRule>
    <cfRule type="expression" dxfId="798" priority="191">
      <formula>OR($D19="pæd.dag")</formula>
    </cfRule>
    <cfRule type="expression" dxfId="797" priority="201">
      <formula>OR($D19="Ikke relevant")</formula>
    </cfRule>
  </conditionalFormatting>
  <conditionalFormatting sqref="H57:H60">
    <cfRule type="expression" dxfId="796" priority="129">
      <formula>OR($A57&gt;0,)</formula>
    </cfRule>
  </conditionalFormatting>
  <conditionalFormatting sqref="I57:I60">
    <cfRule type="expression" dxfId="795" priority="130">
      <formula>OR($C57&gt;0,)</formula>
    </cfRule>
  </conditionalFormatting>
  <conditionalFormatting sqref="K9:K38">
    <cfRule type="expression" dxfId="794" priority="173">
      <formula>OR($C9="Pæd.dag",)</formula>
    </cfRule>
  </conditionalFormatting>
  <conditionalFormatting sqref="K9:L38">
    <cfRule type="expression" dxfId="793" priority="175">
      <formula>OR($C9="Ekskursion",)</formula>
    </cfRule>
    <cfRule type="expression" dxfId="792" priority="174">
      <formula>OR($C9="Lejrskole",)</formula>
    </cfRule>
  </conditionalFormatting>
  <conditionalFormatting sqref="K9:M38">
    <cfRule type="expression" dxfId="791" priority="172">
      <formula>OR($C9="emnedag",)</formula>
    </cfRule>
    <cfRule type="expression" dxfId="790" priority="171">
      <formula>OR($C9="fagdag",)</formula>
    </cfRule>
  </conditionalFormatting>
  <conditionalFormatting sqref="R9:R38">
    <cfRule type="expression" dxfId="789" priority="202">
      <formula>OR($H9&gt;"0",)</formula>
    </cfRule>
  </conditionalFormatting>
  <conditionalFormatting sqref="V9:V38">
    <cfRule type="expression" dxfId="788" priority="170">
      <formula>OR($S9="X",)</formula>
    </cfRule>
  </conditionalFormatting>
  <conditionalFormatting sqref="V48:X51">
    <cfRule type="expression" dxfId="787" priority="131">
      <formula>OR($M48&gt;0,)</formula>
    </cfRule>
  </conditionalFormatting>
  <conditionalFormatting sqref="W9:W38">
    <cfRule type="expression" dxfId="786" priority="138">
      <formula>OR($T9="X",)</formula>
    </cfRule>
  </conditionalFormatting>
  <conditionalFormatting sqref="X9:X38">
    <cfRule type="expression" dxfId="785" priority="169">
      <formula>OR($U9="X",)</formula>
    </cfRule>
  </conditionalFormatting>
  <dataValidations count="3">
    <dataValidation type="list" allowBlank="1" showInputMessage="1" showErrorMessage="1" sqref="S9:U38 A57:D60" xr:uid="{3AD7A720-4573-A241-A118-77292E8C1E64}">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5:I16 I29:I30 I9 I22:I23 I36:I37" xr:uid="{635FF951-77D8-6A42-942C-77FE506D0DE4}">
      <formula1>$W$1:$W$2</formula1>
    </dataValidation>
    <dataValidation type="list" allowBlank="1" showInputMessage="1" showErrorMessage="1" promptTitle="OBS:" prompt="Ved arrangementer med overnatning ydes istedet for ulempe- og weekendgodtgørelse på hhv. 25% og 50% faste tillæg pr. påbegyndt dag. " sqref="J9:J38" xr:uid="{3CEB2FBA-FF57-6544-A101-F08D9DBD0975}">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184128BC-3E70-D54C-BB88-F1DAE60D68DB}">
          <x14:formula1>
            <xm:f>August!$A$89:$A$103</xm:f>
          </x14:formula1>
          <xm:sqref>C9:C38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12109-97B4-644B-B498-50EB87F49447}">
  <sheetPr>
    <tabColor theme="4" tint="-0.249977111117893"/>
    <pageSetUpPr fitToPage="1"/>
  </sheetPr>
  <dimension ref="A1:GC108"/>
  <sheetViews>
    <sheetView topLeftCell="A7" zoomScale="90" workbookViewId="0">
      <selection activeCell="J26" sqref="J2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1" hidden="1" customWidth="1"/>
    <col min="26" max="26" width="7" style="231"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8" hidden="1" customWidth="1"/>
    <col min="105" max="111" width="10.83203125" hidden="1" customWidth="1"/>
    <col min="112" max="112" width="21.33203125" hidden="1" customWidth="1"/>
    <col min="113" max="118" width="10.83203125" hidden="1" customWidth="1"/>
    <col min="119" max="188" width="0" hidden="1" customWidth="1"/>
  </cols>
  <sheetData>
    <row r="1" spans="1:185" ht="16" customHeight="1">
      <c r="A1" s="93"/>
      <c r="B1" s="90"/>
      <c r="C1" s="90"/>
      <c r="D1" s="90"/>
      <c r="E1" s="90"/>
      <c r="F1" s="90"/>
      <c r="G1" s="90"/>
      <c r="H1" s="279"/>
      <c r="I1" s="278"/>
      <c r="J1" s="90"/>
      <c r="K1" s="230"/>
      <c r="L1" s="230"/>
      <c r="M1" s="230"/>
      <c r="N1" s="230"/>
      <c r="O1" s="230"/>
      <c r="P1" s="90"/>
      <c r="Q1" s="90"/>
      <c r="R1" s="90"/>
      <c r="S1" s="90"/>
      <c r="T1" s="90"/>
      <c r="U1" s="90"/>
      <c r="V1" s="90"/>
      <c r="W1" s="90"/>
      <c r="X1" s="41"/>
      <c r="Y1" s="246"/>
      <c r="Z1" s="90"/>
      <c r="AB1" s="90"/>
      <c r="AC1" s="90"/>
      <c r="AH1" s="90"/>
      <c r="AI1" s="90"/>
      <c r="CX1" s="248"/>
      <c r="CZ1"/>
    </row>
    <row r="2" spans="1:185" ht="21" thickBot="1">
      <c r="A2" s="92">
        <v>10</v>
      </c>
      <c r="B2" s="1086"/>
      <c r="C2" s="1086"/>
      <c r="D2" s="1086"/>
      <c r="E2" s="1086"/>
      <c r="F2" s="90"/>
      <c r="G2" s="90"/>
      <c r="H2" s="279"/>
      <c r="I2" s="278"/>
      <c r="J2" s="230"/>
      <c r="K2" s="230"/>
      <c r="L2" s="230"/>
      <c r="M2" s="230"/>
      <c r="N2" s="230"/>
      <c r="O2" s="230"/>
      <c r="P2" s="90"/>
      <c r="Q2" s="90"/>
      <c r="R2" s="90"/>
      <c r="S2" s="90"/>
      <c r="T2" s="90"/>
      <c r="U2" s="90"/>
      <c r="V2" s="90"/>
      <c r="W2" s="123" t="s">
        <v>31</v>
      </c>
      <c r="X2" s="123" t="s">
        <v>31</v>
      </c>
      <c r="Y2" s="246"/>
      <c r="Z2" s="90"/>
      <c r="AB2" s="90"/>
      <c r="AC2" s="90"/>
      <c r="AH2" s="90"/>
      <c r="AI2" s="90"/>
      <c r="CX2" s="248"/>
      <c r="CZ2"/>
    </row>
    <row r="3" spans="1:185" ht="17" thickBot="1">
      <c r="A3" s="1115" t="s">
        <v>310</v>
      </c>
      <c r="B3" s="1116"/>
      <c r="C3" s="1116"/>
      <c r="D3" s="1116"/>
      <c r="E3" s="1116"/>
      <c r="F3" s="1116"/>
      <c r="G3" s="1116"/>
      <c r="H3" s="1116"/>
      <c r="I3" s="1116"/>
      <c r="J3" s="1116"/>
      <c r="K3" s="1116"/>
      <c r="L3" s="1116"/>
      <c r="M3" s="1116"/>
      <c r="N3" s="1116"/>
      <c r="O3" s="1116"/>
      <c r="P3" s="1116"/>
      <c r="Q3" s="1116"/>
      <c r="R3" s="1116"/>
      <c r="S3" s="1116"/>
      <c r="T3" s="1116"/>
      <c r="U3" s="1116"/>
      <c r="V3" s="1116"/>
      <c r="W3" s="1116"/>
      <c r="X3" s="1117"/>
      <c r="Y3" s="90"/>
      <c r="Z3"/>
      <c r="AC3" s="90"/>
      <c r="AD3" s="90"/>
      <c r="AF3" s="90"/>
      <c r="CT3" s="248"/>
      <c r="CU3" s="248"/>
      <c r="CY3"/>
      <c r="CZ3"/>
      <c r="FI3" s="878" t="s">
        <v>636</v>
      </c>
      <c r="FJ3" s="879"/>
      <c r="FK3" s="879"/>
      <c r="FL3" s="879"/>
      <c r="FM3" s="879"/>
      <c r="FN3" s="879"/>
      <c r="FO3" s="879"/>
      <c r="FP3" s="879"/>
      <c r="FQ3" s="879"/>
      <c r="FR3" s="879"/>
      <c r="FS3" s="879"/>
      <c r="FT3" s="879"/>
      <c r="FU3" s="879"/>
      <c r="FV3" s="879"/>
      <c r="FW3" s="879"/>
      <c r="FX3" s="879"/>
      <c r="FY3" s="879"/>
      <c r="FZ3" s="879"/>
      <c r="GA3" s="879"/>
      <c r="GB3" s="879"/>
      <c r="GC3" s="880"/>
    </row>
    <row r="4" spans="1:185" ht="254" customHeight="1" thickBot="1">
      <c r="A4" s="915" t="s">
        <v>432</v>
      </c>
      <c r="B4" s="916"/>
      <c r="C4" s="916"/>
      <c r="D4" s="916"/>
      <c r="E4" s="920" t="s">
        <v>311</v>
      </c>
      <c r="F4" s="920"/>
      <c r="G4" s="920"/>
      <c r="H4" s="280" t="s">
        <v>414</v>
      </c>
      <c r="I4" s="438" t="s">
        <v>467</v>
      </c>
      <c r="J4" s="438" t="s">
        <v>468</v>
      </c>
      <c r="K4" s="931" t="s">
        <v>515</v>
      </c>
      <c r="L4" s="931"/>
      <c r="M4" s="486" t="s">
        <v>457</v>
      </c>
      <c r="N4" s="486" t="s">
        <v>433</v>
      </c>
      <c r="O4" s="486" t="s">
        <v>434</v>
      </c>
      <c r="P4" s="487" t="s">
        <v>458</v>
      </c>
      <c r="Q4" s="487" t="s">
        <v>309</v>
      </c>
      <c r="R4" s="487" t="s">
        <v>435</v>
      </c>
      <c r="S4" s="488" t="s">
        <v>465</v>
      </c>
      <c r="T4" s="488" t="s">
        <v>436</v>
      </c>
      <c r="U4" s="488" t="s">
        <v>437</v>
      </c>
      <c r="V4" s="489" t="s">
        <v>459</v>
      </c>
      <c r="W4" s="489" t="s">
        <v>400</v>
      </c>
      <c r="X4" s="490" t="s">
        <v>399</v>
      </c>
      <c r="Y4" s="246"/>
      <c r="Z4" s="90"/>
      <c r="AB4" s="90"/>
      <c r="AC4" s="90"/>
      <c r="AH4" s="90"/>
      <c r="AI4" s="90"/>
      <c r="CX4" s="248"/>
      <c r="CZ4"/>
      <c r="FI4" s="730" t="s">
        <v>634</v>
      </c>
      <c r="FJ4" s="730"/>
      <c r="FK4" s="730"/>
      <c r="FL4" s="730"/>
      <c r="FM4" t="s">
        <v>627</v>
      </c>
      <c r="FO4" s="730" t="s">
        <v>633</v>
      </c>
      <c r="FP4" s="730"/>
      <c r="FQ4" s="730"/>
      <c r="FR4" s="730"/>
    </row>
    <row r="5" spans="1:185" ht="26" customHeight="1" thickBot="1">
      <c r="A5" s="932" t="str">
        <f>""&amp;A7&amp;" måneds kalender for: "&amp;Stamoplysninger!E8&amp;". Måneden vedr. normperioden: "&amp;Stamoplysninger!E11&amp;" - "&amp;Stamoplysninger!G11&amp;"."</f>
        <v>Oktober måneds kalender for: Beate Simonsen. Måneden vedr. normperioden: 01.08.2024 - 31.07.2025.</v>
      </c>
      <c r="B5" s="933"/>
      <c r="C5" s="933"/>
      <c r="D5" s="933"/>
      <c r="E5" s="933"/>
      <c r="F5" s="933"/>
      <c r="G5" s="933"/>
      <c r="H5" s="933"/>
      <c r="I5" s="933"/>
      <c r="J5" s="933"/>
      <c r="K5" s="933"/>
      <c r="L5" s="933"/>
      <c r="M5" s="933"/>
      <c r="N5" s="933"/>
      <c r="O5" s="933"/>
      <c r="P5" s="933"/>
      <c r="Q5" s="933"/>
      <c r="R5" s="933"/>
      <c r="S5" s="925" t="s">
        <v>306</v>
      </c>
      <c r="T5" s="926"/>
      <c r="U5" s="926"/>
      <c r="V5" s="926"/>
      <c r="W5" s="926"/>
      <c r="X5" s="927"/>
      <c r="Y5" s="246"/>
      <c r="Z5" s="90"/>
      <c r="AB5" s="90"/>
      <c r="AC5" s="90"/>
      <c r="AH5" s="90"/>
      <c r="AI5" s="90"/>
      <c r="CX5" s="248"/>
      <c r="CZ5"/>
      <c r="FI5" s="881" t="s">
        <v>620</v>
      </c>
      <c r="FJ5" s="881"/>
      <c r="FK5" s="881"/>
      <c r="FL5" s="881"/>
      <c r="FM5" s="881"/>
      <c r="FN5" s="881"/>
      <c r="FO5" s="881"/>
      <c r="FP5" s="881"/>
      <c r="FQ5" s="881"/>
      <c r="FR5" s="881"/>
      <c r="FU5" t="s">
        <v>635</v>
      </c>
      <c r="FV5" t="s">
        <v>628</v>
      </c>
      <c r="FX5" t="s">
        <v>629</v>
      </c>
      <c r="FZ5" t="s">
        <v>630</v>
      </c>
      <c r="GB5" s="526" t="s">
        <v>631</v>
      </c>
    </row>
    <row r="6" spans="1:185" ht="47" customHeight="1">
      <c r="A6" s="329">
        <f>August!A7</f>
        <v>2024</v>
      </c>
      <c r="B6" s="242"/>
      <c r="C6" s="243"/>
      <c r="D6" s="244"/>
      <c r="E6" s="940" t="s">
        <v>471</v>
      </c>
      <c r="F6" s="941"/>
      <c r="G6" s="942"/>
      <c r="H6" s="326" t="s">
        <v>324</v>
      </c>
      <c r="I6" s="888" t="s">
        <v>466</v>
      </c>
      <c r="J6" s="938" t="s">
        <v>487</v>
      </c>
      <c r="K6" s="934" t="s">
        <v>303</v>
      </c>
      <c r="L6" s="935"/>
      <c r="M6" s="327" t="s">
        <v>304</v>
      </c>
      <c r="N6" s="888" t="s">
        <v>447</v>
      </c>
      <c r="O6" s="888" t="s">
        <v>308</v>
      </c>
      <c r="P6" s="888" t="s">
        <v>456</v>
      </c>
      <c r="Q6" s="888" t="s">
        <v>387</v>
      </c>
      <c r="R6" s="891" t="s">
        <v>516</v>
      </c>
      <c r="S6" s="953" t="s">
        <v>305</v>
      </c>
      <c r="T6" s="954"/>
      <c r="U6" s="954"/>
      <c r="V6" s="954"/>
      <c r="W6" s="954"/>
      <c r="X6" s="955"/>
      <c r="Y6" s="212"/>
      <c r="Z6" s="212"/>
      <c r="AA6" s="890" t="s">
        <v>261</v>
      </c>
      <c r="AB6" s="890"/>
      <c r="AC6" s="890"/>
      <c r="AD6" s="890"/>
      <c r="AE6" s="890"/>
      <c r="AF6" s="209"/>
      <c r="AG6" s="890" t="s">
        <v>222</v>
      </c>
      <c r="AH6" s="890"/>
      <c r="AI6" s="890"/>
      <c r="AJ6" s="890"/>
      <c r="AK6" s="890"/>
      <c r="AL6" s="890" t="s">
        <v>223</v>
      </c>
      <c r="AM6" s="890"/>
      <c r="AN6" s="890"/>
      <c r="AO6" s="890"/>
      <c r="AP6" s="890"/>
      <c r="AQ6" s="890" t="s">
        <v>224</v>
      </c>
      <c r="AR6" s="890"/>
      <c r="AS6" s="890"/>
      <c r="AT6" s="890"/>
      <c r="AU6" s="890"/>
      <c r="AV6" s="890" t="s">
        <v>225</v>
      </c>
      <c r="AW6" s="890"/>
      <c r="AX6" s="890"/>
      <c r="AY6" s="890"/>
      <c r="AZ6" s="890"/>
      <c r="BA6" s="299"/>
      <c r="BB6" s="209"/>
      <c r="BC6" s="890" t="s">
        <v>264</v>
      </c>
      <c r="BD6" s="890"/>
      <c r="BE6" s="890"/>
      <c r="BF6" s="890"/>
      <c r="BG6" s="890" t="s">
        <v>227</v>
      </c>
      <c r="BH6" s="890"/>
      <c r="BI6" s="890"/>
      <c r="BJ6" s="890"/>
      <c r="BK6" s="890"/>
      <c r="BL6" s="890" t="s">
        <v>228</v>
      </c>
      <c r="BM6" s="890"/>
      <c r="BN6" s="890"/>
      <c r="BO6" s="890"/>
      <c r="BP6" s="890"/>
      <c r="BQ6" s="890" t="s">
        <v>229</v>
      </c>
      <c r="BR6" s="890"/>
      <c r="BS6" s="890"/>
      <c r="BT6" s="890"/>
      <c r="BU6" s="890"/>
      <c r="BV6" s="890" t="s">
        <v>230</v>
      </c>
      <c r="BW6" s="890"/>
      <c r="BX6" s="890"/>
      <c r="BY6" s="890"/>
      <c r="BZ6" s="890"/>
      <c r="CD6" s="890" t="s">
        <v>265</v>
      </c>
      <c r="CE6" s="890"/>
      <c r="CF6" s="890"/>
      <c r="CG6" s="890"/>
      <c r="CH6" s="890"/>
      <c r="CI6" s="890" t="s">
        <v>267</v>
      </c>
      <c r="CJ6" s="890"/>
      <c r="CK6" s="890"/>
      <c r="CL6" s="890"/>
      <c r="CM6" s="890"/>
      <c r="CN6" s="890" t="s">
        <v>266</v>
      </c>
      <c r="CO6" s="890"/>
      <c r="CP6" s="890"/>
      <c r="CQ6" s="890"/>
      <c r="CR6" s="890"/>
      <c r="CS6" s="890" t="s">
        <v>268</v>
      </c>
      <c r="CT6" s="890"/>
      <c r="CU6" s="890"/>
      <c r="CV6" s="890"/>
      <c r="CW6" s="890"/>
      <c r="CX6" s="248"/>
      <c r="CZ6"/>
      <c r="DA6" s="730" t="s">
        <v>212</v>
      </c>
      <c r="DB6" s="730"/>
      <c r="DC6" s="730"/>
      <c r="DD6" s="730"/>
      <c r="DE6" s="730"/>
      <c r="DO6" s="1049" t="s">
        <v>320</v>
      </c>
      <c r="DP6" s="1050"/>
      <c r="DQ6" s="1050"/>
      <c r="DR6" s="1050"/>
      <c r="DS6" s="1050"/>
      <c r="DT6" s="1050"/>
      <c r="DU6" s="1050"/>
      <c r="DV6" s="1051"/>
      <c r="DW6" s="1052" t="s">
        <v>320</v>
      </c>
      <c r="DX6" s="1053"/>
      <c r="DY6" s="1053"/>
      <c r="DZ6" s="1053"/>
      <c r="EA6" s="1053"/>
      <c r="EB6" s="1054"/>
      <c r="EC6" s="1055" t="s">
        <v>376</v>
      </c>
      <c r="ED6" s="1056"/>
      <c r="EE6" s="1056"/>
      <c r="EF6" s="1056"/>
      <c r="EG6" s="1056"/>
      <c r="EH6" s="1056"/>
      <c r="EI6" s="1056"/>
      <c r="EJ6" s="1057"/>
      <c r="EK6" s="1058" t="s">
        <v>321</v>
      </c>
      <c r="EL6" s="1059"/>
      <c r="EM6" s="1059"/>
      <c r="EN6" s="1060"/>
      <c r="EO6" s="1058" t="s">
        <v>325</v>
      </c>
      <c r="EP6" s="1059"/>
      <c r="EQ6" s="1059"/>
      <c r="ER6" s="1060"/>
      <c r="ES6" s="873" t="s">
        <v>379</v>
      </c>
      <c r="ET6" s="874"/>
      <c r="EU6" s="874"/>
      <c r="EV6" s="875"/>
      <c r="EW6" s="873" t="s">
        <v>380</v>
      </c>
      <c r="EX6" s="874"/>
      <c r="EY6" s="874"/>
      <c r="EZ6" s="875"/>
      <c r="FA6" s="873" t="s">
        <v>381</v>
      </c>
      <c r="FB6" s="874"/>
      <c r="FC6" s="874"/>
      <c r="FD6" s="875"/>
      <c r="FE6" s="873" t="s">
        <v>382</v>
      </c>
      <c r="FF6" s="874"/>
      <c r="FG6" s="874"/>
      <c r="FH6" s="875"/>
      <c r="FI6" s="883" t="s">
        <v>605</v>
      </c>
      <c r="FJ6" s="884"/>
      <c r="FK6" s="884"/>
      <c r="FL6" s="1061"/>
      <c r="FM6" s="882" t="s">
        <v>381</v>
      </c>
      <c r="FN6" s="882"/>
      <c r="FO6" s="883" t="s">
        <v>632</v>
      </c>
      <c r="FP6" s="884"/>
      <c r="FQ6" s="884"/>
      <c r="FR6" s="885"/>
      <c r="FS6" s="886" t="s">
        <v>622</v>
      </c>
      <c r="FT6" s="887"/>
      <c r="FU6" t="s">
        <v>625</v>
      </c>
      <c r="FV6" s="882" t="s">
        <v>379</v>
      </c>
      <c r="FW6" s="882"/>
      <c r="FX6" s="882" t="s">
        <v>380</v>
      </c>
      <c r="FY6" s="882"/>
      <c r="FZ6" s="882" t="s">
        <v>382</v>
      </c>
      <c r="GA6" s="882"/>
      <c r="GB6" s="882" t="s">
        <v>378</v>
      </c>
      <c r="GC6" s="882"/>
    </row>
    <row r="7" spans="1:185" ht="187" customHeight="1">
      <c r="A7" s="997" t="s">
        <v>237</v>
      </c>
      <c r="B7" s="998"/>
      <c r="C7" s="998"/>
      <c r="D7" s="999"/>
      <c r="E7" s="943"/>
      <c r="F7" s="944"/>
      <c r="G7" s="945"/>
      <c r="H7" s="952" t="s">
        <v>486</v>
      </c>
      <c r="I7" s="937"/>
      <c r="J7" s="939"/>
      <c r="K7" s="328" t="s">
        <v>517</v>
      </c>
      <c r="L7" s="328" t="s">
        <v>518</v>
      </c>
      <c r="M7" s="328" t="s">
        <v>519</v>
      </c>
      <c r="N7" s="889"/>
      <c r="O7" s="889"/>
      <c r="P7" s="889"/>
      <c r="Q7" s="889"/>
      <c r="R7" s="892"/>
      <c r="S7" s="492" t="s">
        <v>738</v>
      </c>
      <c r="T7" s="327" t="s">
        <v>307</v>
      </c>
      <c r="U7" s="327" t="s">
        <v>401</v>
      </c>
      <c r="V7" s="443" t="s">
        <v>439</v>
      </c>
      <c r="W7" s="443" t="s">
        <v>438</v>
      </c>
      <c r="X7" s="444" t="s">
        <v>398</v>
      </c>
      <c r="Y7" s="212" t="s">
        <v>279</v>
      </c>
      <c r="Z7" s="212" t="s">
        <v>280</v>
      </c>
      <c r="AA7" s="300" t="s">
        <v>211</v>
      </c>
      <c r="AB7" t="s">
        <v>136</v>
      </c>
      <c r="AC7" t="s">
        <v>139</v>
      </c>
      <c r="AD7" t="s">
        <v>138</v>
      </c>
      <c r="AE7" t="s">
        <v>137</v>
      </c>
      <c r="AF7" t="s">
        <v>416</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8"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2" t="s">
        <v>231</v>
      </c>
      <c r="CB7" s="234" t="s">
        <v>251</v>
      </c>
      <c r="CC7" s="300"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8" t="s">
        <v>277</v>
      </c>
      <c r="CY7" s="248" t="s">
        <v>269</v>
      </c>
      <c r="CZ7" s="248" t="s">
        <v>270</v>
      </c>
      <c r="DA7" s="248" t="s">
        <v>271</v>
      </c>
      <c r="DB7" s="248" t="s">
        <v>272</v>
      </c>
      <c r="DC7" s="248" t="s">
        <v>273</v>
      </c>
      <c r="DD7" s="248" t="s">
        <v>274</v>
      </c>
      <c r="DE7" s="248" t="s">
        <v>275</v>
      </c>
      <c r="DF7" s="248" t="s">
        <v>276</v>
      </c>
      <c r="DG7" s="248"/>
      <c r="DO7" s="649" t="s">
        <v>720</v>
      </c>
      <c r="DP7" s="300" t="s">
        <v>721</v>
      </c>
      <c r="DQ7" s="703" t="s">
        <v>725</v>
      </c>
      <c r="DR7" s="703" t="s">
        <v>722</v>
      </c>
      <c r="DS7" s="650" t="s">
        <v>727</v>
      </c>
      <c r="DT7" s="650" t="str">
        <f>DP7</f>
        <v>Ulempetillæg på weekenddage - kræver der er sat kryds i weekendarbejde. KOLONNE I</v>
      </c>
      <c r="DU7" s="705" t="s">
        <v>728</v>
      </c>
      <c r="DV7" s="704" t="str">
        <f>DR7</f>
        <v>Ulempetillæg ændringer på weekenddage. Kræver der er sat kryds i ændring i timetal og at det er en weekeend. KOLONNE I OG S</v>
      </c>
      <c r="DW7" s="649" t="s">
        <v>598</v>
      </c>
      <c r="DX7" s="300" t="s">
        <v>596</v>
      </c>
      <c r="DY7" s="300" t="s">
        <v>597</v>
      </c>
      <c r="DZ7" s="650" t="str">
        <f>DW7</f>
        <v>17-06 timer til udbetaling inkl. ændringer 17-06</v>
      </c>
      <c r="EA7" s="650" t="str">
        <f>DX7</f>
        <v>Ulempetillæg på weekenddage</v>
      </c>
      <c r="EB7" s="651" t="str">
        <f>DY7</f>
        <v>Ulempetillæg ændringer på weekenddage</v>
      </c>
      <c r="EC7" s="706" t="s">
        <v>723</v>
      </c>
      <c r="ED7" s="703" t="s">
        <v>724</v>
      </c>
      <c r="EE7" s="703" t="s">
        <v>726</v>
      </c>
      <c r="EF7" s="703" t="s">
        <v>722</v>
      </c>
      <c r="EG7" s="650" t="s">
        <v>727</v>
      </c>
      <c r="EH7" s="705" t="str">
        <f>ED7</f>
        <v>Ulempetillæg på weekenddage til afspadsering. Kræver der er sat kryds i weekendarb. KOLONNE I</v>
      </c>
      <c r="EI7" s="705" t="s">
        <v>728</v>
      </c>
      <c r="EJ7" s="704" t="str">
        <f>EF7</f>
        <v>Ulempetillæg ændringer på weekenddage. Kræver der er sat kryds i ændring i timetal og at det er en weekeend. KOLONNE I OG S</v>
      </c>
      <c r="EK7" s="656" t="s">
        <v>730</v>
      </c>
      <c r="EL7" s="654" t="s">
        <v>729</v>
      </c>
      <c r="EM7" s="655" t="s">
        <v>733</v>
      </c>
      <c r="EN7" s="657" t="s">
        <v>732</v>
      </c>
      <c r="EO7" s="656" t="s">
        <v>730</v>
      </c>
      <c r="EP7" s="654" t="s">
        <v>729</v>
      </c>
      <c r="EQ7" s="655" t="s">
        <v>733</v>
      </c>
      <c r="ER7" s="657" t="s">
        <v>732</v>
      </c>
      <c r="ES7" s="656" t="s">
        <v>734</v>
      </c>
      <c r="ET7" s="654" t="s">
        <v>735</v>
      </c>
      <c r="EU7" s="655" t="s">
        <v>731</v>
      </c>
      <c r="EV7" s="657" t="s">
        <v>736</v>
      </c>
      <c r="EW7" s="656" t="s">
        <v>734</v>
      </c>
      <c r="EX7" s="654" t="s">
        <v>735</v>
      </c>
      <c r="EY7" s="655" t="s">
        <v>731</v>
      </c>
      <c r="EZ7" s="657" t="s">
        <v>736</v>
      </c>
      <c r="FA7" s="656" t="s">
        <v>737</v>
      </c>
      <c r="FB7" s="654" t="s">
        <v>735</v>
      </c>
      <c r="FC7" s="655" t="s">
        <v>731</v>
      </c>
      <c r="FD7" s="657" t="s">
        <v>736</v>
      </c>
      <c r="FE7" s="656" t="str">
        <f>FA7</f>
        <v>Weekendtimer på weekenddage</v>
      </c>
      <c r="FF7" s="654" t="s">
        <v>735</v>
      </c>
      <c r="FG7" s="655" t="s">
        <v>731</v>
      </c>
      <c r="FH7" s="657" t="s">
        <v>736</v>
      </c>
      <c r="FI7" s="682" t="s">
        <v>619</v>
      </c>
      <c r="FJ7" s="654" t="s">
        <v>600</v>
      </c>
      <c r="FK7" s="682" t="s">
        <v>619</v>
      </c>
      <c r="FL7" s="657" t="s">
        <v>600</v>
      </c>
      <c r="FM7" s="683" t="s">
        <v>613</v>
      </c>
      <c r="FN7" s="684" t="s">
        <v>614</v>
      </c>
      <c r="FO7" s="682" t="s">
        <v>599</v>
      </c>
      <c r="FP7" s="654" t="s">
        <v>600</v>
      </c>
      <c r="FQ7" s="686" t="s">
        <v>599</v>
      </c>
      <c r="FR7" s="687" t="s">
        <v>600</v>
      </c>
      <c r="FS7" s="691" t="s">
        <v>621</v>
      </c>
      <c r="FT7" s="684" t="s">
        <v>621</v>
      </c>
      <c r="FU7" s="300" t="s">
        <v>624</v>
      </c>
      <c r="FV7" s="683" t="s">
        <v>626</v>
      </c>
      <c r="FW7" s="683" t="s">
        <v>626</v>
      </c>
      <c r="FX7" s="683" t="s">
        <v>626</v>
      </c>
      <c r="FY7" s="683" t="s">
        <v>626</v>
      </c>
      <c r="FZ7" s="683" t="s">
        <v>615</v>
      </c>
      <c r="GA7" s="684" t="s">
        <v>616</v>
      </c>
      <c r="GB7" s="683" t="s">
        <v>615</v>
      </c>
      <c r="GC7" s="684" t="s">
        <v>616</v>
      </c>
    </row>
    <row r="8" spans="1:185" ht="20" customHeight="1">
      <c r="A8" s="1000"/>
      <c r="B8" s="1001"/>
      <c r="C8" s="1001"/>
      <c r="D8" s="1002"/>
      <c r="E8" s="946"/>
      <c r="F8" s="947"/>
      <c r="G8" s="948"/>
      <c r="H8" s="889"/>
      <c r="I8" s="928" t="s">
        <v>383</v>
      </c>
      <c r="J8" s="936"/>
      <c r="K8" s="928" t="s">
        <v>326</v>
      </c>
      <c r="L8" s="929"/>
      <c r="M8" s="929"/>
      <c r="N8" s="929"/>
      <c r="O8" s="929"/>
      <c r="P8" s="929"/>
      <c r="Q8" s="929"/>
      <c r="R8" s="929"/>
      <c r="S8" s="956" t="s">
        <v>383</v>
      </c>
      <c r="T8" s="929"/>
      <c r="U8" s="936"/>
      <c r="V8" s="928" t="s">
        <v>384</v>
      </c>
      <c r="W8" s="929"/>
      <c r="X8" s="930"/>
      <c r="Y8" s="212"/>
      <c r="Z8" s="212"/>
      <c r="AA8" s="300"/>
      <c r="BB8" s="228"/>
      <c r="CA8" s="112"/>
      <c r="CB8" s="234"/>
      <c r="CC8" s="300"/>
      <c r="CX8" s="248"/>
      <c r="DA8" s="248"/>
      <c r="DB8" s="248"/>
      <c r="DC8" s="248"/>
      <c r="DD8" s="248"/>
      <c r="DE8" s="248"/>
      <c r="DF8" s="248"/>
      <c r="DG8" s="248"/>
      <c r="DH8" t="s">
        <v>493</v>
      </c>
      <c r="DI8" t="s">
        <v>494</v>
      </c>
      <c r="DJ8" t="s">
        <v>495</v>
      </c>
      <c r="DO8" s="652"/>
      <c r="DS8" s="1063" t="s">
        <v>162</v>
      </c>
      <c r="DT8" s="1063"/>
      <c r="DU8" s="1063"/>
      <c r="DV8" s="1064"/>
      <c r="DW8" s="652"/>
      <c r="DZ8" s="1065" t="s">
        <v>162</v>
      </c>
      <c r="EA8" s="1065"/>
      <c r="EB8" s="1066"/>
      <c r="EG8" s="1065" t="s">
        <v>162</v>
      </c>
      <c r="EH8" s="1065"/>
      <c r="EI8" s="1065"/>
      <c r="EJ8" s="653"/>
      <c r="EK8" s="283"/>
      <c r="EL8" s="251"/>
      <c r="EM8" s="876" t="s">
        <v>162</v>
      </c>
      <c r="EN8" s="877"/>
      <c r="EO8" s="283"/>
      <c r="EP8" s="251"/>
      <c r="EQ8" s="876" t="s">
        <v>162</v>
      </c>
      <c r="ER8" s="877"/>
      <c r="ES8" s="283"/>
      <c r="ET8" s="251"/>
      <c r="EU8" s="876" t="s">
        <v>162</v>
      </c>
      <c r="EV8" s="877"/>
      <c r="EW8" s="283"/>
      <c r="EX8" s="251"/>
      <c r="EY8" s="876" t="s">
        <v>162</v>
      </c>
      <c r="EZ8" s="877"/>
      <c r="FA8" s="283"/>
      <c r="FB8" s="251"/>
      <c r="FC8" s="876" t="s">
        <v>162</v>
      </c>
      <c r="FD8" s="877"/>
      <c r="FE8" s="283"/>
      <c r="FF8" s="251"/>
      <c r="FG8" s="876" t="s">
        <v>162</v>
      </c>
      <c r="FH8" s="877"/>
      <c r="FI8" s="283"/>
      <c r="FJ8" s="251"/>
      <c r="FK8" s="876" t="s">
        <v>162</v>
      </c>
      <c r="FL8" s="877"/>
      <c r="FN8" s="645" t="s">
        <v>160</v>
      </c>
      <c r="FO8" s="283"/>
      <c r="FP8" s="251"/>
      <c r="FQ8" s="876" t="s">
        <v>162</v>
      </c>
      <c r="FR8" s="1062"/>
      <c r="FS8" s="283"/>
      <c r="FT8" s="692" t="s">
        <v>160</v>
      </c>
      <c r="FW8" s="645" t="s">
        <v>160</v>
      </c>
      <c r="FY8" s="645" t="s">
        <v>160</v>
      </c>
      <c r="GA8" s="645" t="s">
        <v>160</v>
      </c>
      <c r="GC8" s="645" t="s">
        <v>160</v>
      </c>
    </row>
    <row r="9" spans="1:185">
      <c r="A9" s="245">
        <f>IF(ISNUMBER(A7),A7+1,1)</f>
        <v>1</v>
      </c>
      <c r="B9" s="128" t="str">
        <f t="shared" ref="B9:B39" si="0">CHOOSE(MOD(WEEKDAY(DATE(A$6,A$2,A9)),7)+1,"lø","sø","ma","ti","on","to","fr",)</f>
        <v>ti</v>
      </c>
      <c r="C9" s="129" t="s">
        <v>206</v>
      </c>
      <c r="D9" s="130" t="str">
        <f t="shared" ref="D9:D39" si="1">IF(B9="ma",(DATE(A$6,A$2,A9)-DATE(A$6,1,1)+7)/7,"")</f>
        <v/>
      </c>
      <c r="E9" s="917"/>
      <c r="F9" s="918"/>
      <c r="G9" s="919"/>
      <c r="H9" s="298"/>
      <c r="I9" s="527"/>
      <c r="J9" s="413"/>
      <c r="K9" s="380"/>
      <c r="L9" s="380"/>
      <c r="M9" s="380"/>
      <c r="N9" s="318">
        <f>BA9</f>
        <v>7.75</v>
      </c>
      <c r="O9" s="318">
        <f>CA9</f>
        <v>4.5</v>
      </c>
      <c r="P9" s="318">
        <f>IF(Stamoplysninger!$H$29="JA",Oktober!DG9,CX9)</f>
        <v>1</v>
      </c>
      <c r="Q9" s="318">
        <f>IF(OR(C9="Lejrskole",C9="Ekskursion"),0,N9-O9-P9)</f>
        <v>2.25</v>
      </c>
      <c r="R9" s="319"/>
      <c r="S9" s="324"/>
      <c r="T9" s="325"/>
      <c r="U9" s="325"/>
      <c r="V9" s="435"/>
      <c r="W9" s="412"/>
      <c r="X9" s="642"/>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1",B9="ma"),Arbejdstidsoversigt!$E$72,"")</f>
        <v/>
      </c>
      <c r="AH9">
        <f>IF(AND(C9="Skema 1",B9="ti"),Arbejdstidsoversigt!$E$73,"")</f>
        <v>7.75</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7.75</v>
      </c>
      <c r="BB9" s="229">
        <f t="shared" ref="BB9:BB39" si="8">SUM(AG9:AK9)*24</f>
        <v>186</v>
      </c>
      <c r="BC9" s="1">
        <f>IF($C$9="Lejrskole",$L$9,0)</f>
        <v>0</v>
      </c>
      <c r="BD9" s="1">
        <f t="shared" ref="BD9:BD39" si="9">IF(C9="Ekskursion",L9,0)</f>
        <v>0</v>
      </c>
      <c r="BE9" s="1">
        <f t="shared" ref="BE9:BE39" si="10">IF(C9="fagdag",L9,0)</f>
        <v>0</v>
      </c>
      <c r="BF9" s="1">
        <f t="shared" ref="BF9:BF39" si="11">IF(C9="emnedag",L9,0)</f>
        <v>0</v>
      </c>
      <c r="BG9" s="210" t="str">
        <f>IF(AND(C9="Skema 1",B9="ma"),Skemaoplysninger!$E$30,"")</f>
        <v/>
      </c>
      <c r="BH9" s="210">
        <f>IF(AND(C9="Skema 1",B9="ti"),Skemaoplysninger!$G$30,"")</f>
        <v>0.1875</v>
      </c>
      <c r="BI9" s="210" t="str">
        <f>IF(AND(C9="Skema 1",B9="on"),Skemaoplysninger!$I$30,"")</f>
        <v/>
      </c>
      <c r="BJ9" s="210" t="str">
        <f>IF(AND(C9="Skema 1",B9="to"),Skemaoplysninger!$K$30,"")</f>
        <v/>
      </c>
      <c r="BK9" s="210" t="str">
        <f>IF(AND(C9="Skema 1",B9="fr"),Skemaoplysninger!$M$30,"")</f>
        <v/>
      </c>
      <c r="BL9" s="210" t="str">
        <f>IF(AND(C9="Skema 2",B9="ma"),Skemaoplysninger!$S$30,"")</f>
        <v/>
      </c>
      <c r="BM9" s="210" t="str">
        <f>IF(AND(C9="Skema 2",B9="ti"),Skemaoplysninger!$U$30,"")</f>
        <v/>
      </c>
      <c r="BN9" s="210" t="str">
        <f>IF(AND(C9="Skema 2",B9="on"),Skemaoplysninger!$W$30,"")</f>
        <v/>
      </c>
      <c r="BO9" s="210" t="str">
        <f>IF(AND(C9="Skema 2",B9="to"),Skemaoplysninger!$Y$30,"")</f>
        <v/>
      </c>
      <c r="BP9" s="210" t="str">
        <f>IF(AND(C9="Skema 2",B9="fr"),Skemaoplysninger!$AA$30,"")</f>
        <v/>
      </c>
      <c r="BQ9" s="210" t="str">
        <f>IF(AND(C9="Skema 3",B9="ma"),Skemaoplysninger!$AG$30,"")</f>
        <v/>
      </c>
      <c r="BR9" s="210" t="str">
        <f>IF(AND(C9="Skema 3",B9="ti"),Skemaoplysninger!$AI$30,"")</f>
        <v/>
      </c>
      <c r="BS9" s="210" t="str">
        <f>IF(AND(C9="Skema 3",B9="on"),Skemaoplysninger!$AK$30,"")</f>
        <v/>
      </c>
      <c r="BT9" s="210" t="str">
        <f>IF(AND(C9="Skema 3",B9="to"),Skemaoplysninger!$AM$30,"")</f>
        <v/>
      </c>
      <c r="BU9" s="210" t="str">
        <f>IF(AND(C9="Skema 3",B9="fr"),Skemaoplysninger!$AO$30,"")</f>
        <v/>
      </c>
      <c r="BV9" s="210" t="str">
        <f>IF(AND(C9="Skema 4",B9="ma"),Skemaoplysninger!$AU$30,"")</f>
        <v/>
      </c>
      <c r="BW9" s="210" t="str">
        <f>IF(AND(C9="Skema 4",B9="ti"),Skemaoplysninger!$AW$30,"")</f>
        <v/>
      </c>
      <c r="BX9" s="210" t="str">
        <f>IF(AND(C9="Skema 4",B9="on"),Skemaoplysninger!$AY$30,"")</f>
        <v/>
      </c>
      <c r="BY9" s="210" t="str">
        <f>IF(AND(C9="Skema 4",B9="to"),Skemaoplysninger!$BA$30,"")</f>
        <v/>
      </c>
      <c r="BZ9" s="210" t="str">
        <f>IF(AND(C9="Skema 4",B9="fr"),Skemaoplysninger!$BC$30,"")</f>
        <v/>
      </c>
      <c r="CA9" s="1">
        <f>SUM(BG9:BZ9)*24+SUM(BC9:BF9)</f>
        <v>4.5</v>
      </c>
      <c r="CB9" s="1">
        <f t="shared" ref="CB9:CB39" si="12">IF(C9="fagdag",M9,0)</f>
        <v>0</v>
      </c>
      <c r="CC9" s="1">
        <f t="shared" ref="CC9:CC39" si="13">IF(C9="emnedag",M9,0)</f>
        <v>0</v>
      </c>
      <c r="CD9" s="210" t="str">
        <f>IF(AND(C9="Skema 1",B9="ma"),Skemaoplysninger!$E$31,"")</f>
        <v/>
      </c>
      <c r="CE9" s="210">
        <f>IF(AND(C9="Skema 1",B9="ti"),Skemaoplysninger!$G$31,"")</f>
        <v>4.1666666666666671E-2</v>
      </c>
      <c r="CF9" s="210" t="str">
        <f>IF(AND(C9="Skema 1",B9="on"),Skemaoplysninger!$I$31,"")</f>
        <v/>
      </c>
      <c r="CG9" s="210" t="str">
        <f>IF(AND(C9="Skema 1",B9="to"),Skemaoplysninger!$K$31,"")</f>
        <v/>
      </c>
      <c r="CH9" s="210" t="str">
        <f>IF(AND(C9="Skema 1",B9="fr"),Skemaoplysninger!$M$31,"")</f>
        <v/>
      </c>
      <c r="CI9" s="210" t="str">
        <f>IF(AND(C9="Skema 2",B9="ma"),Skemaoplysninger!$S$31,"")</f>
        <v/>
      </c>
      <c r="CJ9" s="210" t="str">
        <f>IF(AND(C9="Skema 2",B9="ti"),Skemaoplysninger!$U$31,"")</f>
        <v/>
      </c>
      <c r="CK9" s="210" t="str">
        <f>IF(AND(C9="Skema 2",B9="on"),Skemaoplysninger!$W$31,"")</f>
        <v/>
      </c>
      <c r="CL9" s="210" t="str">
        <f>IF(AND(C9="Skema 2",B9="to"),Skemaoplysninger!$Y$31,"")</f>
        <v/>
      </c>
      <c r="CM9" s="210" t="str">
        <f>IF(AND(C9="Skema 2",B9="fr"),Skemaoplysninger!$AA$31,"")</f>
        <v/>
      </c>
      <c r="CN9" s="210" t="str">
        <f>IF(AND(C9="Skema 3",B9="ma"),Skemaoplysninger!$AG$31,"")</f>
        <v/>
      </c>
      <c r="CO9" s="210" t="str">
        <f>IF(AND(C9="Skema 3",B9="ti"),Skemaoplysninger!$AI$31,"")</f>
        <v/>
      </c>
      <c r="CP9" s="210" t="str">
        <f>IF(AND(C9="Skema 3",B9="on"),Skemaoplysninger!$AK$31,"")</f>
        <v/>
      </c>
      <c r="CQ9" s="210" t="str">
        <f>IF(AND(C9="Skema 3",B9="to"),Skemaoplysninger!$AM$31,"")</f>
        <v/>
      </c>
      <c r="CR9" s="210" t="str">
        <f>IF(AND(C9="Skema 3",B9="fr"),Skemaoplysninger!$AO$31,"")</f>
        <v/>
      </c>
      <c r="CS9" s="210" t="str">
        <f>IF(AND(C9="Skema 4",B9="ma"),Skemaoplysninger!$AU$31,"")</f>
        <v/>
      </c>
      <c r="CT9" s="210" t="str">
        <f>IF(AND(C9="Skema 4",B9="ti"),Skemaoplysninger!$AW$31,"")</f>
        <v/>
      </c>
      <c r="CU9" s="210" t="str">
        <f>IF(AND(C9="Skema 4",B9="on"),Skemaoplysninger!$AY$31,"")</f>
        <v/>
      </c>
      <c r="CV9" s="210" t="str">
        <f>IF(AND(C9="Skema 4",B9="to"),Skemaoplysninger!$BA$31,"")</f>
        <v/>
      </c>
      <c r="CW9" s="210" t="str">
        <f>IF(AND(C9="Skema 4",B9="fr"),Skemaoplysninger!$BC$31,"")</f>
        <v/>
      </c>
      <c r="CX9" s="249">
        <f>IF(Stamoplysninger!$H$29="NEJ",SUM(CD9:CW9)*24+CB9+CC9,0)</f>
        <v>1</v>
      </c>
      <c r="CY9" s="249">
        <f>IF(C9="Skema 1",Stamoplysninger!$H$30/200,0)</f>
        <v>0</v>
      </c>
      <c r="CZ9" s="249">
        <f>IF(C9="Skema 2",Stamoplysninger!$H$30/200,0)</f>
        <v>0</v>
      </c>
      <c r="DA9" s="249">
        <f>IF(C9="Skema 3",Stamoplysninger!$H$30/200,0)</f>
        <v>0</v>
      </c>
      <c r="DB9" s="249">
        <f>IF(C9="Skema 4",Stamoplysninger!$H$30/200,0)</f>
        <v>0</v>
      </c>
      <c r="DC9" s="249">
        <f>IF(C9="fagdag",Stamoplysninger!$H$30/200,0)</f>
        <v>0</v>
      </c>
      <c r="DD9" s="249">
        <f>IF(C9="emnedag",Stamoplysninger!$H$30/200,0)</f>
        <v>0</v>
      </c>
      <c r="DE9" s="249">
        <f>IF(C9="lejrskole",Stamoplysninger!$H$30/200,0)</f>
        <v>0</v>
      </c>
      <c r="DF9" s="249">
        <f>IF(C9="ekskursion",Stamoplysninger!$H$30/200,0)</f>
        <v>0</v>
      </c>
      <c r="DG9" s="249">
        <f>SUM(CY9:DF9)</f>
        <v>0</v>
      </c>
      <c r="DH9" t="str">
        <f>IF(AND(E9&gt;0,H9&gt;0),""&amp;E9&amp;" og "&amp;H9&amp;"","")</f>
        <v/>
      </c>
      <c r="DI9">
        <f>IF(H9="",E9,"")</f>
        <v>0</v>
      </c>
      <c r="DJ9">
        <f>IF(E9="",H9,"")</f>
        <v>0</v>
      </c>
      <c r="DK9" t="str">
        <f t="shared" ref="DK9:DM39" si="14">IF(DH9=0,"",DH9)</f>
        <v/>
      </c>
      <c r="DL9" t="str">
        <f>IF(DI9=0,"",DI9)</f>
        <v/>
      </c>
      <c r="DM9" t="str">
        <f>IF(DJ9=0,"",DJ9)</f>
        <v/>
      </c>
      <c r="DN9" t="str">
        <f>DK9&amp;""&amp;DL9&amp;""&amp;DM9</f>
        <v/>
      </c>
      <c r="DO9" s="652">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71">
        <f>IF(AND(Stamoplysninger!$B$22="Ulempetillæg udbetales med 25% af nettotimelønnen.",C9="ikke relevant"),(R9)/4,0)</f>
        <v>0</v>
      </c>
      <c r="DT9" s="671">
        <f>IF(AND(AND(Stamoplysninger!$B$22="Ulempetillæg udbetales med 25% af nettotimelønnen.",I9="X",C9="Ikke relevant")),K9/4,0)</f>
        <v>0</v>
      </c>
      <c r="DU9" s="671">
        <f>IF(AND(AND(Stamoplysninger!$B$22="Ulempetillæg udbetales med 25% af nettotimelønnen.",C9="ikke relevant",U9="X")),(X9/4),0)</f>
        <v>0</v>
      </c>
      <c r="DV9" s="672">
        <f>IF(AND(AND(AND(Stamoplysninger!$B$22="Ulempetillæg udbetales med 25% af nettotimelønnen.",I9="X",C9="Ikke relevant",S9="X"))),V9/4,0)</f>
        <v>0</v>
      </c>
      <c r="DW9" s="652"/>
      <c r="DZ9" s="671"/>
      <c r="EA9" s="671"/>
      <c r="EB9" s="672"/>
      <c r="EC9" s="652">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71">
        <f>IF(AND(Stamoplysninger!$B$22="Ulempetillæg afspadseres med 25%(Kræver en aftale imellem ledelsen og den ansatte)",C9="ikke relevant"),(R9)/4,0)</f>
        <v>0</v>
      </c>
      <c r="EH9" s="671">
        <f>IF(AND(AND(Stamoplysninger!$B$22="Ulempetillæg afspadseres med 25%(Kræver en aftale imellem ledelsen og den ansatte)",I9="X",C9="Ikke relevant")),K9/4,0)</f>
        <v>0</v>
      </c>
      <c r="EI9" s="671">
        <f>IF(AND(AND(Stamoplysninger!$B$22="Ulempetillæg afspadseres med 25%(Kræver en aftale imellem ledelsen og den ansatte)",U9="X",C9="Ikke relevant")),X9/4,0)</f>
        <v>0</v>
      </c>
      <c r="EJ9" s="671">
        <f>IF(AND(AND(AND(Stamoplysninger!$B$22="Ulempetillæg afspadseres med 25%(Kræver en aftale imellem ledelsen og den ansatte)",I9="X",C9="Ikke relevant",S9="X"))),V9/4,0)</f>
        <v>0</v>
      </c>
      <c r="EK9" s="283">
        <f>IF(AND(Stamoplysninger!$B$26="Weekendtimer og weekendtillæg afspadseres.",$I$9="X"),$K$9*1.5,0)</f>
        <v>0</v>
      </c>
      <c r="EL9" s="251">
        <f>IF(AND(AND(Stamoplysninger!$B$26="Weekendtimer og weekendtillæg afspadseres.",$I$9="X",$S$9="X")),$V$9*1.5,0)</f>
        <v>0</v>
      </c>
      <c r="EM9" s="674">
        <f>IF(AND(AND(Stamoplysninger!$B$26="Weekendtimer og weekendtillæg afspadseres.",$I$9="X",$C$9="ikke relevant")),$K$9*1.5,0)</f>
        <v>0</v>
      </c>
      <c r="EN9" s="675">
        <f>IF(AND(AND(AND(Stamoplysninger!$B$26="Weekendtimer og weekendtillæg afspadseres.",$I$9="X",$C$9="ikke relevant",$S$9="X"))),($V$9*1.5),0)</f>
        <v>0</v>
      </c>
      <c r="EO9" s="283">
        <f>IF(AND(Stamoplysninger!$B$26="Weekendtimer og weekendtillæg udbetales.",$I$9="X"),$K$9*1.5,0)</f>
        <v>0</v>
      </c>
      <c r="EP9" s="251">
        <f>IF(AND(AND(Stamoplysninger!$B$26="Weekendtimer og weekendtillæg udbetales.",$I$9="X",$S$9="X")),$V$9*1.5,0)</f>
        <v>0</v>
      </c>
      <c r="EQ9" s="674">
        <f>IF(AND(AND(Stamoplysninger!$B$26="Weekendtimer og weekendtillæg udbetales.",$I$9="X",$C$9="ikke relevant")),$K$9*1.5,0)</f>
        <v>0</v>
      </c>
      <c r="ER9" s="675">
        <f>IF(AND(AND(AND(Stamoplysninger!$B$26="Weekendtimer og weekendtillæg udbetales.",$I$9="X",$C$9="ikke relevant",$S$9="X"))),($V$9*1.5),0)</f>
        <v>0</v>
      </c>
      <c r="ES9" s="283">
        <f>IF(AND(Stamoplysninger!$B$26="Der er indgået lokalaftale omkring weekendtimer.(Kræver aftale med TR/FSL) Weekendtillæg afspadseres.",$I$9="X"),$K$9*0.5,0)</f>
        <v>0</v>
      </c>
      <c r="ET9" s="251">
        <f>IF(AND(AND(Stamoplysninger!$B$26="Der er indgået lokalaftale omkring weekendtimer.(Kræver aftale med TR/FSL) Weekendtillæg afspadseres.",$I$9="X",$S$9="X")),$V$9*0.5,0)</f>
        <v>0</v>
      </c>
      <c r="EU9" s="674">
        <f>IF(AND(AND(Stamoplysninger!$B$26="Der er indgået lokalaftale omkring weekendtimer.(Kræver aftale med TR/FSL) Weekendtillæg afspadseres.",$I$9="X",$C$9="ikke relevant")),$K$9*0.5,0)</f>
        <v>0</v>
      </c>
      <c r="EV9" s="675">
        <f>IF(AND(AND(AND(Stamoplysninger!$B$26="Der er indgået lokalaftale omkring weekendtimer.(Kræver aftale med TR/FSL) Weekendtillæg afspadseres.",$I$9="X",$C$9="ikke relevant",$S$9="X"))),($V$9*0.5),0)</f>
        <v>0</v>
      </c>
      <c r="EW9" s="283">
        <f>IF(AND(Stamoplysninger!$B$26="Der er indgået lokalaftale omkring weekendtimer(Kræver aftale med TR/FSL). Weekendtillæg udbetales.",$I$9="X"),$K$9*0.5,0)</f>
        <v>0</v>
      </c>
      <c r="EX9" s="251">
        <f>IF(AND(AND(Stamoplysninger!$B$26="Der er indgået lokalaftale omkring weekendtimer(Kræver aftale med TR/FSL). Weekendtillæg udbetales.",$I$9="X",$S$9="X")),$V$9*0.5,0)</f>
        <v>0</v>
      </c>
      <c r="EY9" s="674">
        <f>IF(AND(AND(Stamoplysninger!$B$26="Der er indgået lokalaftale omkring weekendtimer(Kræver aftale med TR/FSL). Weekendtillæg udbetales.",$I$9="X",$C$9="ikke relevant")),$K$9*0.5,0)</f>
        <v>0</v>
      </c>
      <c r="EZ9" s="675">
        <f>IF(AND(AND(AND(Stamoplysninger!$B$26="Der er indgået lokalaftale omkring weekendtimer(Kræver aftale med TR/FSL). Weekendtillæg udbetales.",$I$9="X",$C$9="ikke relevant",$S$9="X"))),($V$9*0.5),0)</f>
        <v>0</v>
      </c>
      <c r="FA9" s="283">
        <f>IF(AND(Stamoplysninger!$B$26="Der er indgået lokalaftale omkring weekendtillæg(Kræver aftale med TR/FSL). Weekendtimerne afspadseres.",I9="X"),K9,0)</f>
        <v>0</v>
      </c>
      <c r="FB9" s="251">
        <f>IF(AND(AND(Stamoplysninger!$B$26="Der er indgået lokalaftale omkring weekendtillæg(Kræver aftale med TR/FSL). Weekendtimerne afspadseres.",I9="X",S9="X")),V9,0)</f>
        <v>0</v>
      </c>
      <c r="FC9" s="674">
        <f>IF(AND(AND(Stamoplysninger!$B$26="Der er indgået lokalaftale omkring weekendtillæg(Kræver aftale med TR/FSL). Weekendtimerne afspadseres..",I9="X",C9="ikke relevant")),K9,0)</f>
        <v>0</v>
      </c>
      <c r="FD9" s="675">
        <f>IF(AND(AND(AND(Stamoplysninger!$B$26="Der er indgået lokalaftale omkring weekendtillæg(Kræver aftale med TR/FSL). Weekendtimerne afspadseres.",I9="X",C9="ikke relevant",S9="X"))),(V9),0)</f>
        <v>0</v>
      </c>
      <c r="FE9" s="283">
        <f>IF(AND(Stamoplysninger!$B$26="Der er indgået lokalaftale omkring weekendtillæg(Kræver aftale med TR/FSL). Weekendtimerne udbetales.",I9="X"),K9,0)</f>
        <v>0</v>
      </c>
      <c r="FF9" s="251">
        <f>IF(AND(AND(Stamoplysninger!$B$26="Der er indgået lokalaftale omkring weekendtillæg(Kræver aftale med TR/FSL). Weekendtimerne udbetales.",I9="X",S9="X")),V9,0)</f>
        <v>0</v>
      </c>
      <c r="FG9" s="674">
        <f>IF(AND(AND(Stamoplysninger!$B$26="Der er indgået lokalaftale omkring weekendtillæg(Kræver aftale med TR/FSL). Weekendtimerne udbetales.",I9="X",C9="ikke relevant")),K9,0)</f>
        <v>0</v>
      </c>
      <c r="FH9" s="675">
        <f>IF(AND(AND(AND(Stamoplysninger!$B$26="Der er indgået lokalaftale omkring weekendtillæg(Kræver aftale med TR/FSL). Weekendtimerne udbetales.",I9="X",C9="ikke relevant",S9="X"))),(V9),0)</f>
        <v>0</v>
      </c>
      <c r="FI9" s="283">
        <f>IF(AND(Stamoplysninger!$B$26="Weekendtimer og weekendtillæg afspadseres.",I9="X"),K9,0)</f>
        <v>0</v>
      </c>
      <c r="FJ9" s="251">
        <f>IF(AND(Stamoplysninger!$B$26="Weekendtimer og weekendtillæg afspadseres.",I9="X"),(K9+V9)/2,0)</f>
        <v>0</v>
      </c>
      <c r="FK9" s="674">
        <f>IF(AND(AND(Stamoplysninger!$B$26="Weekendtimer og weekendtillæg afspadseres.",I9="X",C9="ikke relevant")),K9,0)</f>
        <v>0</v>
      </c>
      <c r="FL9" s="675">
        <f>IF(AND(AND(Stamoplysninger!$B$26="Weekendtimer og weekendtillæg afspadseres.",I9="X",C9="ikke relevant")),(K9+V9)/2,0)</f>
        <v>0</v>
      </c>
      <c r="FM9" s="283">
        <f>IF(AND(Stamoplysninger!$B$26="Der er indgået lokalaftale omkring weekendtillæg(Kræver aftale med TR/FSL). Weekendtimerne afspadseres.",I9="X"),K9,0)</f>
        <v>0</v>
      </c>
      <c r="FN9" s="674">
        <f>IF(AND(AND(Stamoplysninger!$B$26="Der er indgået lokalaftale omkring weekendtillæg(Kræver aftale med TR/FSL). Weekendtimerne afspadseres.",I9="X",C9="ikke relevant")),K9,0)</f>
        <v>0</v>
      </c>
      <c r="FO9" s="283">
        <f>IF(AND(Stamoplysninger!$B$26="Weekendtimer og weekendtillæg udbetales.",I9="X"),K9,0)</f>
        <v>0</v>
      </c>
      <c r="FP9" s="251">
        <f>IF(AND(Stamoplysninger!$B$26="Weekendtimer og weekendtillæg udbetales.",AA9="X"),(AC9+AN9)/2,0)</f>
        <v>0</v>
      </c>
      <c r="FQ9" s="674">
        <f>IF(AND(AND(Stamoplysninger!$B$26="Weekendtimer og weekendtillæg udbetales.",I9="X",C9="ikke relevant")),K9,0)</f>
        <v>0</v>
      </c>
      <c r="FR9" s="688">
        <f>IF(AND(AND(Stamoplysninger!$B$26="Weekendtimer og weekendtillæg udbetales.",AA9="X",U9="ikke relevant")),(AC9+AN9)/2,0)</f>
        <v>0</v>
      </c>
      <c r="FS9" s="283">
        <f t="shared" ref="FS9:FS37" si="15">IF(AND(I9="X",S9="X"),V9,0)</f>
        <v>0</v>
      </c>
      <c r="FT9" s="658">
        <f t="shared" ref="FT9:FT37" si="16">IF(AND(AND(C9="ikke relevant",I9="X",S9="X")),V9,0)</f>
        <v>0</v>
      </c>
      <c r="FU9">
        <f t="shared" ref="FU9:FU28" si="17">IF(AND(C9="weekend",I9="X"),K9,0)</f>
        <v>0</v>
      </c>
      <c r="FV9" s="283">
        <f>IF(AND(Stamoplysninger!$B$26="Der er indgået lokalaftale omkring weekendtimer.(Kræver aftale med TR/FSL) Weekendtillæg afspadseres.",I9="X"),K9,0)</f>
        <v>0</v>
      </c>
      <c r="FW9" s="674">
        <f>IF(AND(AND(Stamoplysninger!$B$26="Der er indgået lokalaftale omkring weekendtimer.(Kræver aftale med TR/FSL) Weekendtillæg afspadseres.",I9="X",C9="ikke relevant")),K9,0)</f>
        <v>0</v>
      </c>
      <c r="FX9" s="283">
        <f>IF(AND(Stamoplysninger!$B$26="Der er indgået lokalaftale omkring weekendtimer(Kræver aftale med TR/FSL). Weekendtillæg udbetales.",I9="X"),K9,0)</f>
        <v>0</v>
      </c>
      <c r="FY9" s="674">
        <f>IF(AND(AND(Stamoplysninger!$B$26="Der er indgået lokalaftale omkring weekendtimer(Kræver aftale med TR/FSL). Weekendtillæg udbetales.",I9="X",C9="ikke relevant")),K9,0)</f>
        <v>0</v>
      </c>
      <c r="FZ9" s="283">
        <f>IF(AND(Stamoplysninger!$B$26="Der er indgået lokalaftale omkring weekendtillæg(Kræver aftale med TR/FSL). Weekendtimerne udbetales.",I9="X"),K9,0)</f>
        <v>0</v>
      </c>
      <c r="GA9" s="674">
        <f>IF(AND(AND(Stamoplysninger!$B$26="Der er indgået lokalaftale omkring weekendtillæg(Kræver aftale med TR/FSL). Weekendtimerne udbetales.",I9="X",C9="ikke relevant")),K9,0)</f>
        <v>0</v>
      </c>
      <c r="GB9" s="283">
        <f>IF(AND(Stamoplysninger!$B$26="Der er indgået lokalaftale omkring weekendtimer og weekendtillæg.(Kræver aftale med TR/FSL).",I9="X"),K9,0)</f>
        <v>0</v>
      </c>
      <c r="GC9" s="674">
        <f>IF(AND(AND(Stamoplysninger!$B$26="Der er indgået lokalaftale omkring weekendtimer og weekendtillæg.(Kræver aftale med TR/FSL).",I9="X",C9="ikke relevant")),K9,0)</f>
        <v>0</v>
      </c>
    </row>
    <row r="10" spans="1:185">
      <c r="A10" s="245">
        <f t="shared" ref="A10:A38" si="18">IF(ISNUMBER(A9),A9+1,1)</f>
        <v>2</v>
      </c>
      <c r="B10" s="128" t="str">
        <f t="shared" si="0"/>
        <v>on</v>
      </c>
      <c r="C10" s="129" t="s">
        <v>206</v>
      </c>
      <c r="D10" s="130" t="str">
        <f t="shared" si="1"/>
        <v/>
      </c>
      <c r="E10" s="917"/>
      <c r="F10" s="918"/>
      <c r="G10" s="919"/>
      <c r="H10" s="298"/>
      <c r="I10" s="527"/>
      <c r="J10" s="413"/>
      <c r="K10" s="380"/>
      <c r="L10" s="380"/>
      <c r="M10" s="380"/>
      <c r="N10" s="318">
        <f t="shared" ref="N10:N39" si="19">BA10</f>
        <v>7.75</v>
      </c>
      <c r="O10" s="318">
        <f t="shared" ref="O10:O39" si="20">CA10</f>
        <v>5</v>
      </c>
      <c r="P10" s="318">
        <f>IF(Stamoplysninger!$H$29="JA",Oktober!DG10,CX10)</f>
        <v>1.1666666666666665</v>
      </c>
      <c r="Q10" s="318">
        <f t="shared" ref="Q10:Q39" si="21">IF(OR(C10="Lejrskole",C10="Ekskursion"),0,N10-O10-P10)</f>
        <v>1.5833333333333335</v>
      </c>
      <c r="R10" s="319"/>
      <c r="S10" s="324"/>
      <c r="T10" s="325"/>
      <c r="U10" s="325"/>
      <c r="V10" s="435"/>
      <c r="W10" s="412"/>
      <c r="X10" s="642"/>
      <c r="Y10">
        <f t="shared" ref="Y10:Y39" si="22">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1",B10="ma"),Arbejdstidsoversigt!$E$72,"")</f>
        <v/>
      </c>
      <c r="AH10" t="str">
        <f>IF(AND(C10="Skema 1",B10="ti"),Arbejdstidsoversigt!$E$73,"")</f>
        <v/>
      </c>
      <c r="AI10">
        <f>IF(AND(C10="Skema 1",B10="on"),Arbejdstidsoversigt!$E$74,"")</f>
        <v>7.75</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7.75</v>
      </c>
      <c r="BB10" s="229">
        <f t="shared" si="8"/>
        <v>186</v>
      </c>
      <c r="BC10" s="1">
        <f t="shared" ref="BC10:BC39" si="24">IF(C10="Lejrskole",L10,0)</f>
        <v>0</v>
      </c>
      <c r="BD10" s="1">
        <f t="shared" si="9"/>
        <v>0</v>
      </c>
      <c r="BE10" s="1">
        <f t="shared" si="10"/>
        <v>0</v>
      </c>
      <c r="BF10" s="1">
        <f t="shared" si="11"/>
        <v>0</v>
      </c>
      <c r="BG10" s="210" t="str">
        <f>IF(AND(C10="Skema 1",B10="ma"),Skemaoplysninger!$E$30,"")</f>
        <v/>
      </c>
      <c r="BH10" s="210" t="str">
        <f>IF(AND(C10="Skema 1",B10="ti"),Skemaoplysninger!$G$30,"")</f>
        <v/>
      </c>
      <c r="BI10" s="210">
        <f>IF(AND(C10="Skema 1",B10="on"),Skemaoplysninger!$I$30,"")</f>
        <v>0.20833333333333331</v>
      </c>
      <c r="BJ10" s="210" t="str">
        <f>IF(AND(C10="Skema 1",B10="to"),Skemaoplysninger!$K$30,"")</f>
        <v/>
      </c>
      <c r="BK10" s="210" t="str">
        <f>IF(AND(C10="Skema 1",B10="fr"),Skemaoplysninger!$M$30,"")</f>
        <v/>
      </c>
      <c r="BL10" s="210" t="str">
        <f>IF(AND(C10="Skema 2",B10="ma"),Skemaoplysninger!$S$30,"")</f>
        <v/>
      </c>
      <c r="BM10" s="210" t="str">
        <f>IF(AND(C10="Skema 2",B10="ti"),Skemaoplysninger!$U$30,"")</f>
        <v/>
      </c>
      <c r="BN10" s="210" t="str">
        <f>IF(AND(C10="Skema 2",B10="on"),Skemaoplysninger!$W$30,"")</f>
        <v/>
      </c>
      <c r="BO10" s="210" t="str">
        <f>IF(AND(C10="Skema 2",B10="to"),Skemaoplysninger!$Y$30,"")</f>
        <v/>
      </c>
      <c r="BP10" s="210" t="str">
        <f>IF(AND(C10="Skema 2",B10="fr"),Skemaoplysninger!$AA$30,"")</f>
        <v/>
      </c>
      <c r="BQ10" s="210" t="str">
        <f>IF(AND(C10="Skema 3",B10="ma"),Skemaoplysninger!$AG$30,"")</f>
        <v/>
      </c>
      <c r="BR10" s="210" t="str">
        <f>IF(AND(C10="Skema 3",B10="ti"),Skemaoplysninger!$AI$30,"")</f>
        <v/>
      </c>
      <c r="BS10" s="210" t="str">
        <f>IF(AND(C10="Skema 3",B10="on"),Skemaoplysninger!$AK$30,"")</f>
        <v/>
      </c>
      <c r="BT10" s="210" t="str">
        <f>IF(AND(C10="Skema 3",B10="to"),Skemaoplysninger!$AM$30,"")</f>
        <v/>
      </c>
      <c r="BU10" s="210" t="str">
        <f>IF(AND(C10="Skema 3",B10="fr"),Skemaoplysninger!$AO$30,"")</f>
        <v/>
      </c>
      <c r="BV10" s="210" t="str">
        <f>IF(AND(C10="Skema 4",B10="ma"),Skemaoplysninger!$AU$30,"")</f>
        <v/>
      </c>
      <c r="BW10" s="210" t="str">
        <f>IF(AND(C10="Skema 4",B10="ti"),Skemaoplysninger!$AW$30,"")</f>
        <v/>
      </c>
      <c r="BX10" s="210" t="str">
        <f>IF(AND(C10="Skema 4",B10="on"),Skemaoplysninger!$AY$30,"")</f>
        <v/>
      </c>
      <c r="BY10" s="210" t="str">
        <f>IF(AND(C10="Skema 4",B10="to"),Skemaoplysninger!$BA$30,"")</f>
        <v/>
      </c>
      <c r="BZ10" s="210" t="str">
        <f>IF(AND(C10="Skema 4",B10="fr"),Skemaoplysninger!$BC$30,"")</f>
        <v/>
      </c>
      <c r="CA10" s="1">
        <f t="shared" ref="CA10:CA39" si="25">SUM(BG10:BZ10)*24+SUM(BC10:BF10)</f>
        <v>5</v>
      </c>
      <c r="CB10" s="1">
        <f t="shared" si="12"/>
        <v>0</v>
      </c>
      <c r="CC10" s="1">
        <f t="shared" si="13"/>
        <v>0</v>
      </c>
      <c r="CD10" s="210" t="str">
        <f>IF(AND(C10="Skema 1",B10="ma"),Skemaoplysninger!$E$31,"")</f>
        <v/>
      </c>
      <c r="CE10" s="210" t="str">
        <f>IF(AND(C10="Skema 1",B10="ti"),Skemaoplysninger!$G$31,"")</f>
        <v/>
      </c>
      <c r="CF10" s="210">
        <f>IF(AND(C10="Skema 1",B10="on"),Skemaoplysninger!$I$31,"")</f>
        <v>4.8611111111111105E-2</v>
      </c>
      <c r="CG10" s="210" t="str">
        <f>IF(AND(C10="Skema 1",B10="to"),Skemaoplysninger!$K$31,"")</f>
        <v/>
      </c>
      <c r="CH10" s="210" t="str">
        <f>IF(AND(C10="Skema 1",B10="fr"),Skemaoplysninger!$M$31,"")</f>
        <v/>
      </c>
      <c r="CI10" s="210" t="str">
        <f>IF(AND(C10="Skema 2",B10="ma"),Skemaoplysninger!$S$31,"")</f>
        <v/>
      </c>
      <c r="CJ10" s="210" t="str">
        <f>IF(AND(C10="Skema 2",B10="ti"),Skemaoplysninger!$U$31,"")</f>
        <v/>
      </c>
      <c r="CK10" s="210" t="str">
        <f>IF(AND(C10="Skema 2",B10="on"),Skemaoplysninger!$W$31,"")</f>
        <v/>
      </c>
      <c r="CL10" s="210" t="str">
        <f>IF(AND(C10="Skema 2",B10="to"),Skemaoplysninger!$Y$31,"")</f>
        <v/>
      </c>
      <c r="CM10" s="210" t="str">
        <f>IF(AND(C10="Skema 2",B10="fr"),Skemaoplysninger!$AA$31,"")</f>
        <v/>
      </c>
      <c r="CN10" s="210" t="str">
        <f>IF(AND(C10="Skema 3",B10="ma"),Skemaoplysninger!$AG$31,"")</f>
        <v/>
      </c>
      <c r="CO10" s="210" t="str">
        <f>IF(AND(C10="Skema 3",B10="ti"),Skemaoplysninger!$AI$31,"")</f>
        <v/>
      </c>
      <c r="CP10" s="210" t="str">
        <f>IF(AND(C10="Skema 3",B10="on"),Skemaoplysninger!$AK$31,"")</f>
        <v/>
      </c>
      <c r="CQ10" s="210" t="str">
        <f>IF(AND(C10="Skema 3",B10="to"),Skemaoplysninger!$AM$31,"")</f>
        <v/>
      </c>
      <c r="CR10" s="210" t="str">
        <f>IF(AND(C10="Skema 3",B10="fr"),Skemaoplysninger!$AO$31,"")</f>
        <v/>
      </c>
      <c r="CS10" s="210" t="str">
        <f>IF(AND(C10="Skema 4",B10="ma"),Skemaoplysninger!$AU$31,"")</f>
        <v/>
      </c>
      <c r="CT10" s="210" t="str">
        <f>IF(AND(C10="Skema 4",B10="ti"),Skemaoplysninger!$AW$31,"")</f>
        <v/>
      </c>
      <c r="CU10" s="210" t="str">
        <f>IF(AND(C10="Skema 4",B10="on"),Skemaoplysninger!$AY$31,"")</f>
        <v/>
      </c>
      <c r="CV10" s="210" t="str">
        <f>IF(AND(C10="Skema 4",B10="to"),Skemaoplysninger!$BA$31,"")</f>
        <v/>
      </c>
      <c r="CW10" s="210" t="str">
        <f>IF(AND(C10="Skema 4",B10="fr"),Skemaoplysninger!$BC$31,"")</f>
        <v/>
      </c>
      <c r="CX10" s="249">
        <f>IF(Stamoplysninger!$H$29="NEJ",SUM(CD10:CW10)*24+CB10+CC10,0)</f>
        <v>1.1666666666666665</v>
      </c>
      <c r="CY10" s="249">
        <f>IF(C10="Skema 1",Stamoplysninger!$H$30/200,0)</f>
        <v>0</v>
      </c>
      <c r="CZ10" s="249">
        <f>IF(C10="Skema 2",Stamoplysninger!$H$30/200,0)</f>
        <v>0</v>
      </c>
      <c r="DA10" s="249">
        <f>IF(C10="Skema 3",Stamoplysninger!$H$30/200,0)</f>
        <v>0</v>
      </c>
      <c r="DB10" s="249">
        <f>IF(C10="Skema 4",Stamoplysninger!$H$30/200,0)</f>
        <v>0</v>
      </c>
      <c r="DC10" s="249">
        <f>IF(C10="fagdag",Stamoplysninger!$H$30/200,0)</f>
        <v>0</v>
      </c>
      <c r="DD10" s="249">
        <f>IF(C10="emnedag",Stamoplysninger!$H$30/200,0)</f>
        <v>0</v>
      </c>
      <c r="DE10" s="249">
        <f>IF(C10="lejrskole",Stamoplysninger!$H$30/200,0)</f>
        <v>0</v>
      </c>
      <c r="DF10" s="249">
        <f>IF(C10="ekskursion",Stamoplysninger!$H$30/200,0)</f>
        <v>0</v>
      </c>
      <c r="DG10" s="249">
        <f t="shared" ref="DG10:DG39" si="26">SUM(CY10:DF10)</f>
        <v>0</v>
      </c>
      <c r="DH10" t="str">
        <f t="shared" ref="DH10:DH39" si="27">IF(AND(E10&gt;0,H10&gt;0),""&amp;E10&amp;" og "&amp;H10&amp;"","")</f>
        <v/>
      </c>
      <c r="DI10">
        <f t="shared" ref="DI10:DI39" si="28">IF(H10="",E10,"")</f>
        <v>0</v>
      </c>
      <c r="DJ10">
        <f t="shared" ref="DJ10:DJ39" si="29">IF(E10="",H10,"")</f>
        <v>0</v>
      </c>
      <c r="DK10" t="str">
        <f t="shared" si="14"/>
        <v/>
      </c>
      <c r="DL10" t="str">
        <f t="shared" si="14"/>
        <v/>
      </c>
      <c r="DM10" t="str">
        <f t="shared" si="14"/>
        <v/>
      </c>
      <c r="DN10" t="str">
        <f t="shared" ref="DN10:DN39" si="30">DK10&amp;""&amp;DL10&amp;""&amp;DM10</f>
        <v/>
      </c>
      <c r="DO10" s="652">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71">
        <f>IF(AND(Stamoplysninger!$B$22="Ulempetillæg udbetales med 25% af nettotimelønnen.",C10="ikke relevant"),(R10)/4,0)</f>
        <v>0</v>
      </c>
      <c r="DT10" s="671">
        <f>IF(AND(AND(Stamoplysninger!$B$22="Ulempetillæg udbetales med 25% af nettotimelønnen.",I10="X",C10="Ikke relevant")),K10/4,0)</f>
        <v>0</v>
      </c>
      <c r="DU10" s="671">
        <f>IF(AND(AND(Stamoplysninger!$B$22="Ulempetillæg udbetales med 25% af nettotimelønnen.",C10="ikke relevant",U10="X")),(X10/4),0)</f>
        <v>0</v>
      </c>
      <c r="DV10" s="672">
        <f>IF(AND(AND(AND(Stamoplysninger!$B$22="Ulempetillæg udbetales med 25% af nettotimelønnen.",I10="X",C10="Ikke relevant",S10="X"))),V10/4,0)</f>
        <v>0</v>
      </c>
      <c r="DW10" s="652"/>
      <c r="DZ10" s="671"/>
      <c r="EA10" s="671"/>
      <c r="EB10" s="672"/>
      <c r="EC10" s="652">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71">
        <f>IF(AND(Stamoplysninger!$B$22="Ulempetillæg afspadseres med 25%(Kræver en aftale imellem ledelsen og den ansatte)",C10="ikke relevant"),(R10)/4,0)</f>
        <v>0</v>
      </c>
      <c r="EH10" s="671">
        <f>IF(AND(AND(Stamoplysninger!$B$22="Ulempetillæg afspadseres med 25%(Kræver en aftale imellem ledelsen og den ansatte)",I10="X",C10="Ikke relevant")),K10/4,0)</f>
        <v>0</v>
      </c>
      <c r="EI10" s="671">
        <f>IF(AND(AND(Stamoplysninger!$B$22="Ulempetillæg afspadseres med 25%(Kræver en aftale imellem ledelsen og den ansatte)",U10="X",C10="Ikke relevant")),X10/4,0)</f>
        <v>0</v>
      </c>
      <c r="EJ10" s="671">
        <f>IF(AND(AND(AND(Stamoplysninger!$B$22="Ulempetillæg afspadseres med 25%(Kræver en aftale imellem ledelsen og den ansatte)",I10="X",C10="Ikke relevant",S10="X"))),V10/4,0)</f>
        <v>0</v>
      </c>
      <c r="EK10" s="283">
        <f>IF(AND(Stamoplysninger!$B$26="Weekendtimer og weekendtillæg afspadseres.",I10="X"),K10*1.5,0)</f>
        <v>0</v>
      </c>
      <c r="EL10" s="251">
        <f>IF(AND(AND(Stamoplysninger!$B$26="Weekendtimer og weekendtillæg afspadseres.",I10="X",S10="X")),V10*1.5,0)</f>
        <v>0</v>
      </c>
      <c r="EM10" s="674">
        <f>IF(AND(AND(Stamoplysninger!$B$26="Weekendtimer og weekendtillæg afspadseres.",I10="X",C10="ikke relevant")),K10*1.5,0)</f>
        <v>0</v>
      </c>
      <c r="EN10" s="675">
        <f>IF(AND(AND(AND(Stamoplysninger!$B$26="Weekendtimer og weekendtillæg afspadseres.",I10="X",C10="ikke relevant",S10="X"))),(V10*1.5),0)</f>
        <v>0</v>
      </c>
      <c r="EO10" s="283">
        <f>IF(AND(Stamoplysninger!$B$26="Weekendtimer og weekendtillæg udbetales.",I10="X"),K10*1.5,0)</f>
        <v>0</v>
      </c>
      <c r="EP10" s="251">
        <f>IF(AND(AND(Stamoplysninger!$B$26="Weekendtimer og weekendtillæg udbetales.",I10="X",S10="X")),V10*1.5,0)</f>
        <v>0</v>
      </c>
      <c r="EQ10" s="674">
        <f>IF(AND(AND(Stamoplysninger!$B$26="Weekendtimer og weekendtillæg udbetales.",I10="X",C10="ikke relevant")),K10*1.5,0)</f>
        <v>0</v>
      </c>
      <c r="ER10" s="675">
        <f>IF(AND(AND(AND(Stamoplysninger!$B$26="Weekendtimer og weekendtillæg udbetales.",I10="X",C10="ikke relevant",S10="X"))),(V10*1.5),0)</f>
        <v>0</v>
      </c>
      <c r="ES10" s="283">
        <f>IF(AND(Stamoplysninger!$B$26="Der er indgået lokalaftale omkring weekendtimer.(Kræver aftale med TR/FSL) Weekendtillæg afspadseres.",I10="X"),K10*0.5,0)</f>
        <v>0</v>
      </c>
      <c r="ET10" s="251">
        <f>IF(AND(AND(Stamoplysninger!$B$26="Der er indgået lokalaftale omkring weekendtimer.(Kræver aftale med TR/FSL) Weekendtillæg afspadseres.",I10="X",S10="X")),V10*0.5,0)</f>
        <v>0</v>
      </c>
      <c r="EU10" s="674">
        <f>IF(AND(AND(Stamoplysninger!$B$26="Der er indgået lokalaftale omkring weekendtimer.(Kræver aftale med TR/FSL) Weekendtillæg afspadseres.",I10="X",C10="ikke relevant")),K10*0.5,0)</f>
        <v>0</v>
      </c>
      <c r="EV10" s="675">
        <f>IF(AND(AND(AND(Stamoplysninger!$B$26="Der er indgået lokalaftale omkring weekendtimer.(Kræver aftale med TR/FSL) Weekendtillæg afspadseres.",I10="X",C10="ikke relevant",S10="X"))),(V10*0.5),0)</f>
        <v>0</v>
      </c>
      <c r="EW10" s="283">
        <f>IF(AND(Stamoplysninger!$B$26="Der er indgået lokalaftale omkring weekendtimer(Kræver aftale med TR/FSL). Weekendtillæg udbetales.",I10="X"),K10*0.5,0)</f>
        <v>0</v>
      </c>
      <c r="EX10" s="251">
        <f>IF(AND(AND(Stamoplysninger!$B$26="Der er indgået lokalaftale omkring weekendtimer(Kræver aftale med TR/FSL). Weekendtillæg udbetales.",I10="X",S10="X")),V10*0.5,0)</f>
        <v>0</v>
      </c>
      <c r="EY10" s="674">
        <f>IF(AND(AND(Stamoplysninger!$B$26="Der er indgået lokalaftale omkring weekendtimer(Kræver aftale med TR/FSL). Weekendtillæg udbetales.",I10="X",C10="ikke relevant")),K10*0.5,0)</f>
        <v>0</v>
      </c>
      <c r="EZ10" s="675">
        <f>IF(AND(AND(AND(Stamoplysninger!$B$26="Der er indgået lokalaftale omkring weekendtimer(Kræver aftale med TR/FSL). Weekendtillæg udbetales.",I10="X",C10="ikke relevant",S10="X"))),(V10*0.5),0)</f>
        <v>0</v>
      </c>
      <c r="FA10" s="283">
        <f>IF(AND(Stamoplysninger!$B$26="Der er indgået lokalaftale omkring weekendtillæg(Kræver aftale med TR/FSL). Weekendtimerne afspadseres.",I10="X"),K10,0)</f>
        <v>0</v>
      </c>
      <c r="FB10" s="251">
        <f>IF(AND(AND(Stamoplysninger!$B$26="Der er indgået lokalaftale omkring weekendtillæg(Kræver aftale med TR/FSL). Weekendtimerne afspadseres.",I10="X",S10="X")),V10,0)</f>
        <v>0</v>
      </c>
      <c r="FC10" s="674">
        <f>IF(AND(AND(Stamoplysninger!$B$26="Der er indgået lokalaftale omkring weekendtillæg(Kræver aftale med TR/FSL). Weekendtimerne afspadseres..",I10="X",C10="ikke relevant")),K10,0)</f>
        <v>0</v>
      </c>
      <c r="FD10" s="675">
        <f>IF(AND(AND(AND(Stamoplysninger!$B$26="Der er indgået lokalaftale omkring weekendtillæg(Kræver aftale med TR/FSL). Weekendtimerne afspadseres.",I10="X",C10="ikke relevant",S10="X"))),(V10),0)</f>
        <v>0</v>
      </c>
      <c r="FE10" s="283">
        <f>IF(AND(Stamoplysninger!$B$26="Der er indgået lokalaftale omkring weekendtillæg(Kræver aftale med TR/FSL). Weekendtimerne udbetales.",I10="X"),K10,0)</f>
        <v>0</v>
      </c>
      <c r="FF10" s="251">
        <f>IF(AND(AND(Stamoplysninger!$B$26="Der er indgået lokalaftale omkring weekendtillæg(Kræver aftale med TR/FSL). Weekendtimerne udbetales.",I10="X",S10="X")),V10,0)</f>
        <v>0</v>
      </c>
      <c r="FG10" s="674">
        <f>IF(AND(AND(Stamoplysninger!$B$26="Der er indgået lokalaftale omkring weekendtillæg(Kræver aftale med TR/FSL). Weekendtimerne udbetales.",I10="X",C10="ikke relevant")),K10,0)</f>
        <v>0</v>
      </c>
      <c r="FH10" s="675">
        <f>IF(AND(AND(AND(Stamoplysninger!$B$26="Der er indgået lokalaftale omkring weekendtillæg(Kræver aftale med TR/FSL). Weekendtimerne udbetales.",I10="X",C10="ikke relevant",S10="X"))),(V10),0)</f>
        <v>0</v>
      </c>
      <c r="FI10" s="283">
        <f>IF(AND(Stamoplysninger!$B$26="Weekendtimer og weekendtillæg afspadseres.",I10="X"),K10,0)</f>
        <v>0</v>
      </c>
      <c r="FJ10" s="251">
        <f>IF(AND(Stamoplysninger!$B$26="Weekendtimer og weekendtillæg afspadseres.",Y10="X"),(AA10+AL10)/2,0)</f>
        <v>0</v>
      </c>
      <c r="FK10" s="674">
        <f>IF(AND(AND(Stamoplysninger!$B$26="Weekendtimer og weekendtillæg afspadseres.",I10="X",C10="ikke relevant")),K10,0)</f>
        <v>0</v>
      </c>
      <c r="FL10" s="675">
        <f>IF(AND(AND(Stamoplysninger!$B$26="Weekendtimer og weekendtillæg afspadseres.",Y10="X",S10="ikke relevant")),(AA10+AL10)/2,0)</f>
        <v>0</v>
      </c>
      <c r="FM10" s="283">
        <f>IF(AND(Stamoplysninger!$B$26="Der er indgået lokalaftale omkring weekendtillæg(Kræver aftale med TR/FSL). Weekendtimerne afspadseres.",I10="X"),K10,0)</f>
        <v>0</v>
      </c>
      <c r="FN10" s="674">
        <f>IF(AND(AND(Stamoplysninger!$B$26="Der er indgået lokalaftale omkring weekendtillæg(Kræver aftale med TR/FSL). Weekendtimerne afspadseres.",I10="X",C10="ikke relevant")),K10,0)</f>
        <v>0</v>
      </c>
      <c r="FO10" s="283">
        <f>IF(AND(Stamoplysninger!$B$26="Weekendtimer og weekendtillæg udbetales.",I10="X"),K10,0)</f>
        <v>0</v>
      </c>
      <c r="FP10" s="251">
        <f>IF(AND(Stamoplysninger!$B$26="Weekendtimer og weekendtillæg udbetales.",AA10="X"),(AC10+AN10)/2,0)</f>
        <v>0</v>
      </c>
      <c r="FQ10" s="674">
        <f>IF(AND(AND(Stamoplysninger!$B$26="Weekendtimer og weekendtillæg udbetales.",I10="X",C10="ikke relevant")),K10,0)</f>
        <v>0</v>
      </c>
      <c r="FR10" s="688">
        <f>IF(AND(AND(Stamoplysninger!$B$26="Weekendtimer og weekendtillæg udbetales.",AA10="X",U10="ikke relevant")),(AC10+AN10)/2,0)</f>
        <v>0</v>
      </c>
      <c r="FS10" s="283">
        <f t="shared" si="15"/>
        <v>0</v>
      </c>
      <c r="FT10" s="658">
        <f t="shared" si="16"/>
        <v>0</v>
      </c>
      <c r="FU10">
        <f t="shared" si="17"/>
        <v>0</v>
      </c>
      <c r="FV10" s="283">
        <f>IF(AND(Stamoplysninger!$B$26="Der er indgået lokalaftale omkring weekendtimer.(Kræver aftale med TR/FSL) Weekendtillæg afspadseres.",I10="X"),K10,0)</f>
        <v>0</v>
      </c>
      <c r="FW10" s="674">
        <f>IF(AND(AND(Stamoplysninger!$B$26="Der er indgået lokalaftale omkring weekendtimer.(Kræver aftale med TR/FSL) Weekendtillæg afspadseres.",I10="X",C10="ikke relevant")),K10,0)</f>
        <v>0</v>
      </c>
      <c r="FX10" s="283">
        <f>IF(AND(Stamoplysninger!$B$26="Der er indgået lokalaftale omkring weekendtimer(Kræver aftale med TR/FSL). Weekendtillæg udbetales.",I10="X"),K10,0)</f>
        <v>0</v>
      </c>
      <c r="FY10" s="674">
        <f>IF(AND(AND(Stamoplysninger!$B$26="Der er indgået lokalaftale omkring weekendtimer(Kræver aftale med TR/FSL). Weekendtillæg udbetales.",I10="X",C10="ikke relevant")),K10,0)</f>
        <v>0</v>
      </c>
      <c r="FZ10" s="283">
        <f>IF(AND(Stamoplysninger!$B$26="Der er indgået lokalaftale omkring weekendtillæg(Kræver aftale med TR/FSL). Weekendtimerne udbetales.",I10="X"),K10,0)</f>
        <v>0</v>
      </c>
      <c r="GA10" s="674">
        <f>IF(AND(AND(Stamoplysninger!$B$26="Der er indgået lokalaftale omkring weekendtillæg(Kræver aftale med TR/FSL). Weekendtimerne udbetales.",I10="X",C10="ikke relevant")),K10,0)</f>
        <v>0</v>
      </c>
      <c r="GB10" s="283">
        <f>IF(AND(Stamoplysninger!$B$26="Der er indgået lokalaftale omkring weekendtimer og weekendtillæg.(Kræver aftale med TR/FSL).",I10="X"),K10,0)</f>
        <v>0</v>
      </c>
      <c r="GC10" s="674">
        <f>IF(AND(AND(Stamoplysninger!$B$26="Der er indgået lokalaftale omkring weekendtimer og weekendtillæg.(Kræver aftale med TR/FSL).",I10="X",C10="ikke relevant")),K10,0)</f>
        <v>0</v>
      </c>
    </row>
    <row r="11" spans="1:185">
      <c r="A11" s="245">
        <f t="shared" si="18"/>
        <v>3</v>
      </c>
      <c r="B11" s="128" t="str">
        <f t="shared" si="0"/>
        <v>to</v>
      </c>
      <c r="C11" s="129" t="s">
        <v>206</v>
      </c>
      <c r="D11" s="130" t="str">
        <f t="shared" si="1"/>
        <v/>
      </c>
      <c r="E11" s="917"/>
      <c r="F11" s="918"/>
      <c r="G11" s="919"/>
      <c r="H11" s="298"/>
      <c r="I11" s="527"/>
      <c r="J11" s="413"/>
      <c r="K11" s="380"/>
      <c r="L11" s="380"/>
      <c r="M11" s="380"/>
      <c r="N11" s="318">
        <f t="shared" si="19"/>
        <v>8.5</v>
      </c>
      <c r="O11" s="318">
        <f t="shared" si="20"/>
        <v>3</v>
      </c>
      <c r="P11" s="318">
        <f>IF(Stamoplysninger!$H$29="JA",Oktober!DG11,CX11)</f>
        <v>1.5</v>
      </c>
      <c r="Q11" s="318">
        <f t="shared" si="21"/>
        <v>4</v>
      </c>
      <c r="R11" s="319"/>
      <c r="S11" s="324"/>
      <c r="T11" s="325"/>
      <c r="U11" s="325"/>
      <c r="V11" s="435"/>
      <c r="W11" s="412"/>
      <c r="X11" s="642"/>
      <c r="Y11">
        <f t="shared" si="22"/>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1",B11="ma"),Arbejdstidsoversigt!$E$72,"")</f>
        <v/>
      </c>
      <c r="AH11" t="str">
        <f>IF(AND(C11="Skema 1",B11="ti"),Arbejdstidsoversigt!$E$73,"")</f>
        <v/>
      </c>
      <c r="AI11" t="str">
        <f>IF(AND(C11="Skema 1",B11="on"),Arbejdstidsoversigt!$E$74,"")</f>
        <v/>
      </c>
      <c r="AJ11">
        <f>IF(AND(C11="Skema 1",B11="to"),Arbejdstidsoversigt!$E$75,"")</f>
        <v>8.5</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8.5</v>
      </c>
      <c r="BB11" s="229">
        <f t="shared" si="8"/>
        <v>204</v>
      </c>
      <c r="BC11" s="1">
        <f t="shared" si="24"/>
        <v>0</v>
      </c>
      <c r="BD11" s="1">
        <f t="shared" si="9"/>
        <v>0</v>
      </c>
      <c r="BE11" s="1">
        <f t="shared" si="10"/>
        <v>0</v>
      </c>
      <c r="BF11" s="1">
        <f t="shared" si="11"/>
        <v>0</v>
      </c>
      <c r="BG11" s="210" t="str">
        <f>IF(AND(C11="Skema 1",B11="ma"),Skemaoplysninger!$E$30,"")</f>
        <v/>
      </c>
      <c r="BH11" s="210" t="str">
        <f>IF(AND(C11="Skema 1",B11="ti"),Skemaoplysninger!$G$30,"")</f>
        <v/>
      </c>
      <c r="BI11" s="210" t="str">
        <f>IF(AND(C11="Skema 1",B11="on"),Skemaoplysninger!$I$30,"")</f>
        <v/>
      </c>
      <c r="BJ11" s="210">
        <f>IF(AND(C11="Skema 1",B11="to"),Skemaoplysninger!$K$30,"")</f>
        <v>0.125</v>
      </c>
      <c r="BK11" s="210" t="str">
        <f>IF(AND(C11="Skema 1",B11="fr"),Skemaoplysninger!$M$30,"")</f>
        <v/>
      </c>
      <c r="BL11" s="210" t="str">
        <f>IF(AND(C11="Skema 2",B11="ma"),Skemaoplysninger!$S$30,"")</f>
        <v/>
      </c>
      <c r="BM11" s="210" t="str">
        <f>IF(AND(C11="Skema 2",B11="ti"),Skemaoplysninger!$U$30,"")</f>
        <v/>
      </c>
      <c r="BN11" s="210" t="str">
        <f>IF(AND(C11="Skema 2",B11="on"),Skemaoplysninger!$W$30,"")</f>
        <v/>
      </c>
      <c r="BO11" s="210" t="str">
        <f>IF(AND(C11="Skema 2",B11="to"),Skemaoplysninger!$Y$30,"")</f>
        <v/>
      </c>
      <c r="BP11" s="210" t="str">
        <f>IF(AND(C11="Skema 2",B11="fr"),Skemaoplysninger!$AA$30,"")</f>
        <v/>
      </c>
      <c r="BQ11" s="210" t="str">
        <f>IF(AND(C11="Skema 3",B11="ma"),Skemaoplysninger!$AG$30,"")</f>
        <v/>
      </c>
      <c r="BR11" s="210" t="str">
        <f>IF(AND(C11="Skema 3",B11="ti"),Skemaoplysninger!$AI$30,"")</f>
        <v/>
      </c>
      <c r="BS11" s="210" t="str">
        <f>IF(AND(C11="Skema 3",B11="on"),Skemaoplysninger!$AK$30,"")</f>
        <v/>
      </c>
      <c r="BT11" s="210" t="str">
        <f>IF(AND(C11="Skema 3",B11="to"),Skemaoplysninger!$AM$30,"")</f>
        <v/>
      </c>
      <c r="BU11" s="210" t="str">
        <f>IF(AND(C11="Skema 3",B11="fr"),Skemaoplysninger!$AO$30,"")</f>
        <v/>
      </c>
      <c r="BV11" s="210" t="str">
        <f>IF(AND(C11="Skema 4",B11="ma"),Skemaoplysninger!$AU$30,"")</f>
        <v/>
      </c>
      <c r="BW11" s="210" t="str">
        <f>IF(AND(C11="Skema 4",B11="ti"),Skemaoplysninger!$AW$30,"")</f>
        <v/>
      </c>
      <c r="BX11" s="210" t="str">
        <f>IF(AND(C11="Skema 4",B11="on"),Skemaoplysninger!$AY$30,"")</f>
        <v/>
      </c>
      <c r="BY11" s="210" t="str">
        <f>IF(AND(C11="Skema 4",B11="to"),Skemaoplysninger!$BA$30,"")</f>
        <v/>
      </c>
      <c r="BZ11" s="210" t="str">
        <f>IF(AND(C11="Skema 4",B11="fr"),Skemaoplysninger!$BC$30,"")</f>
        <v/>
      </c>
      <c r="CA11" s="1">
        <f t="shared" si="25"/>
        <v>3</v>
      </c>
      <c r="CB11" s="1">
        <f t="shared" si="12"/>
        <v>0</v>
      </c>
      <c r="CC11" s="1">
        <f t="shared" si="13"/>
        <v>0</v>
      </c>
      <c r="CD11" s="210" t="str">
        <f>IF(AND(C11="Skema 1",B11="ma"),Skemaoplysninger!$E$31,"")</f>
        <v/>
      </c>
      <c r="CE11" s="210" t="str">
        <f>IF(AND(C11="Skema 1",B11="ti"),Skemaoplysninger!$G$31,"")</f>
        <v/>
      </c>
      <c r="CF11" s="210" t="str">
        <f>IF(AND(C11="Skema 1",B11="on"),Skemaoplysninger!$I$31,"")</f>
        <v/>
      </c>
      <c r="CG11" s="210">
        <f>IF(AND(C11="Skema 1",B11="to"),Skemaoplysninger!$K$31,"")</f>
        <v>6.25E-2</v>
      </c>
      <c r="CH11" s="210" t="str">
        <f>IF(AND(C11="Skema 1",B11="fr"),Skemaoplysninger!$M$31,"")</f>
        <v/>
      </c>
      <c r="CI11" s="210" t="str">
        <f>IF(AND(C11="Skema 2",B11="ma"),Skemaoplysninger!$S$31,"")</f>
        <v/>
      </c>
      <c r="CJ11" s="210" t="str">
        <f>IF(AND(C11="Skema 2",B11="ti"),Skemaoplysninger!$U$31,"")</f>
        <v/>
      </c>
      <c r="CK11" s="210" t="str">
        <f>IF(AND(C11="Skema 2",B11="on"),Skemaoplysninger!$W$31,"")</f>
        <v/>
      </c>
      <c r="CL11" s="210" t="str">
        <f>IF(AND(C11="Skema 2",B11="to"),Skemaoplysninger!$Y$31,"")</f>
        <v/>
      </c>
      <c r="CM11" s="210" t="str">
        <f>IF(AND(C11="Skema 2",B11="fr"),Skemaoplysninger!$AA$31,"")</f>
        <v/>
      </c>
      <c r="CN11" s="210" t="str">
        <f>IF(AND(C11="Skema 3",B11="ma"),Skemaoplysninger!$AG$31,"")</f>
        <v/>
      </c>
      <c r="CO11" s="210" t="str">
        <f>IF(AND(C11="Skema 3",B11="ti"),Skemaoplysninger!$AI$31,"")</f>
        <v/>
      </c>
      <c r="CP11" s="210" t="str">
        <f>IF(AND(C11="Skema 3",B11="on"),Skemaoplysninger!$AK$31,"")</f>
        <v/>
      </c>
      <c r="CQ11" s="210" t="str">
        <f>IF(AND(C11="Skema 3",B11="to"),Skemaoplysninger!$AM$31,"")</f>
        <v/>
      </c>
      <c r="CR11" s="210" t="str">
        <f>IF(AND(C11="Skema 3",B11="fr"),Skemaoplysninger!$AO$31,"")</f>
        <v/>
      </c>
      <c r="CS11" s="210" t="str">
        <f>IF(AND(C11="Skema 4",B11="ma"),Skemaoplysninger!$AU$31,"")</f>
        <v/>
      </c>
      <c r="CT11" s="210" t="str">
        <f>IF(AND(C11="Skema 4",B11="ti"),Skemaoplysninger!$AW$31,"")</f>
        <v/>
      </c>
      <c r="CU11" s="210" t="str">
        <f>IF(AND(C11="Skema 4",B11="on"),Skemaoplysninger!$AY$31,"")</f>
        <v/>
      </c>
      <c r="CV11" s="210" t="str">
        <f>IF(AND(C11="Skema 4",B11="to"),Skemaoplysninger!$BA$31,"")</f>
        <v/>
      </c>
      <c r="CW11" s="210" t="str">
        <f>IF(AND(C11="Skema 4",B11="fr"),Skemaoplysninger!$BC$31,"")</f>
        <v/>
      </c>
      <c r="CX11" s="249">
        <f>IF(Stamoplysninger!$H$29="NEJ",SUM(CD11:CW11)*24+CB11+CC11,0)</f>
        <v>1.5</v>
      </c>
      <c r="CY11" s="249">
        <f>IF(C11="Skema 1",Stamoplysninger!$H$30/200,0)</f>
        <v>0</v>
      </c>
      <c r="CZ11" s="249">
        <f>IF(C11="Skema 2",Stamoplysninger!$H$30/200,0)</f>
        <v>0</v>
      </c>
      <c r="DA11" s="249">
        <f>IF(C11="Skema 3",Stamoplysninger!$H$30/200,0)</f>
        <v>0</v>
      </c>
      <c r="DB11" s="249">
        <f>IF(C11="Skema 4",Stamoplysninger!$H$30/200,0)</f>
        <v>0</v>
      </c>
      <c r="DC11" s="249">
        <f>IF(C11="fagdag",Stamoplysninger!$H$30/200,0)</f>
        <v>0</v>
      </c>
      <c r="DD11" s="249">
        <f>IF(C11="emnedag",Stamoplysninger!$H$30/200,0)</f>
        <v>0</v>
      </c>
      <c r="DE11" s="249">
        <f>IF(C11="lejrskole",Stamoplysninger!$H$30/200,0)</f>
        <v>0</v>
      </c>
      <c r="DF11" s="249">
        <f>IF(C11="ekskursion",Stamoplysninger!$H$30/200,0)</f>
        <v>0</v>
      </c>
      <c r="DG11" s="249">
        <f t="shared" si="26"/>
        <v>0</v>
      </c>
      <c r="DH11" t="str">
        <f t="shared" si="27"/>
        <v/>
      </c>
      <c r="DI11">
        <f t="shared" si="28"/>
        <v>0</v>
      </c>
      <c r="DJ11">
        <f t="shared" si="29"/>
        <v>0</v>
      </c>
      <c r="DK11" t="str">
        <f t="shared" si="14"/>
        <v/>
      </c>
      <c r="DL11" t="str">
        <f t="shared" si="14"/>
        <v/>
      </c>
      <c r="DM11" t="str">
        <f t="shared" si="14"/>
        <v/>
      </c>
      <c r="DN11" t="str">
        <f t="shared" si="30"/>
        <v/>
      </c>
      <c r="DO11" s="652">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71">
        <f>IF(AND(Stamoplysninger!$B$22="Ulempetillæg udbetales med 25% af nettotimelønnen.",C11="ikke relevant"),(R11)/4,0)</f>
        <v>0</v>
      </c>
      <c r="DT11" s="671">
        <f>IF(AND(AND(Stamoplysninger!$B$22="Ulempetillæg udbetales med 25% af nettotimelønnen.",I11="X",C11="Ikke relevant")),K11/4,0)</f>
        <v>0</v>
      </c>
      <c r="DU11" s="671">
        <f>IF(AND(AND(Stamoplysninger!$B$22="Ulempetillæg udbetales med 25% af nettotimelønnen.",C11="ikke relevant",U11="X")),(X11/4),0)</f>
        <v>0</v>
      </c>
      <c r="DV11" s="672">
        <f>IF(AND(AND(AND(Stamoplysninger!$B$22="Ulempetillæg udbetales med 25% af nettotimelønnen.",I11="X",C11="Ikke relevant",S11="X"))),V11/4,0)</f>
        <v>0</v>
      </c>
      <c r="DW11" s="652"/>
      <c r="DZ11" s="671"/>
      <c r="EA11" s="671"/>
      <c r="EB11" s="672"/>
      <c r="EC11" s="652">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71">
        <f>IF(AND(Stamoplysninger!$B$22="Ulempetillæg afspadseres med 25%(Kræver en aftale imellem ledelsen og den ansatte)",C11="ikke relevant"),(R11)/4,0)</f>
        <v>0</v>
      </c>
      <c r="EH11" s="671">
        <f>IF(AND(AND(Stamoplysninger!$B$22="Ulempetillæg afspadseres med 25%(Kræver en aftale imellem ledelsen og den ansatte)",I11="X",C11="Ikke relevant")),K11/4,0)</f>
        <v>0</v>
      </c>
      <c r="EI11" s="671">
        <f>IF(AND(AND(Stamoplysninger!$B$22="Ulempetillæg afspadseres med 25%(Kræver en aftale imellem ledelsen og den ansatte)",U11="X",C11="Ikke relevant")),X11/4,0)</f>
        <v>0</v>
      </c>
      <c r="EJ11" s="671">
        <f>IF(AND(AND(AND(Stamoplysninger!$B$22="Ulempetillæg afspadseres med 25%(Kræver en aftale imellem ledelsen og den ansatte)",I11="X",C11="Ikke relevant",S11="X"))),V11/4,0)</f>
        <v>0</v>
      </c>
      <c r="EK11" s="283">
        <f>IF(AND(Stamoplysninger!$B$26="Weekendtimer og weekendtillæg afspadseres.",I11="X"),K11*1.5,0)</f>
        <v>0</v>
      </c>
      <c r="EL11" s="251">
        <f>IF(AND(AND(Stamoplysninger!$B$26="Weekendtimer og weekendtillæg afspadseres.",I11="X",S11="X")),V11*1.5,0)</f>
        <v>0</v>
      </c>
      <c r="EM11" s="674">
        <f>IF(AND(AND(Stamoplysninger!$B$26="Weekendtimer og weekendtillæg afspadseres.",I11="X",C11="ikke relevant")),K11*1.5,0)</f>
        <v>0</v>
      </c>
      <c r="EN11" s="675">
        <f>IF(AND(AND(AND(Stamoplysninger!$B$26="Weekendtimer og weekendtillæg afspadseres.",I11="X",C11="ikke relevant",S11="X"))),(V11*1.5),0)</f>
        <v>0</v>
      </c>
      <c r="EO11" s="283">
        <f>IF(AND(Stamoplysninger!$B$26="Weekendtimer og weekendtillæg udbetales.",I11="X"),K11*1.5,0)</f>
        <v>0</v>
      </c>
      <c r="EP11" s="251">
        <f>IF(AND(AND(Stamoplysninger!$B$26="Weekendtimer og weekendtillæg udbetales.",I11="X",S11="X")),V11*1.5,0)</f>
        <v>0</v>
      </c>
      <c r="EQ11" s="674">
        <f>IF(AND(AND(Stamoplysninger!$B$26="Weekendtimer og weekendtillæg udbetales.",I11="X",C11="ikke relevant")),K11*1.5,0)</f>
        <v>0</v>
      </c>
      <c r="ER11" s="675">
        <f>IF(AND(AND(AND(Stamoplysninger!$B$26="Weekendtimer og weekendtillæg udbetales.",I11="X",C11="ikke relevant",S11="X"))),(V11*1.5),0)</f>
        <v>0</v>
      </c>
      <c r="ES11" s="283">
        <f>IF(AND(Stamoplysninger!$B$26="Der er indgået lokalaftale omkring weekendtimer.(Kræver aftale med TR/FSL) Weekendtillæg afspadseres.",I11="X"),K11*0.5,0)</f>
        <v>0</v>
      </c>
      <c r="ET11" s="251">
        <f>IF(AND(AND(Stamoplysninger!$B$26="Der er indgået lokalaftale omkring weekendtimer.(Kræver aftale med TR/FSL) Weekendtillæg afspadseres.",I11="X",S11="X")),V11*0.5,0)</f>
        <v>0</v>
      </c>
      <c r="EU11" s="674">
        <f>IF(AND(AND(Stamoplysninger!$B$26="Der er indgået lokalaftale omkring weekendtimer.(Kræver aftale med TR/FSL) Weekendtillæg afspadseres.",I11="X",C11="ikke relevant")),K11*0.5,0)</f>
        <v>0</v>
      </c>
      <c r="EV11" s="675">
        <f>IF(AND(AND(AND(Stamoplysninger!$B$26="Der er indgået lokalaftale omkring weekendtimer.(Kræver aftale med TR/FSL) Weekendtillæg afspadseres.",I11="X",C11="ikke relevant",S11="X"))),(V11*0.5),0)</f>
        <v>0</v>
      </c>
      <c r="EW11" s="283">
        <f>IF(AND(Stamoplysninger!$B$26="Der er indgået lokalaftale omkring weekendtimer(Kræver aftale med TR/FSL). Weekendtillæg udbetales.",I11="X"),K11*0.5,0)</f>
        <v>0</v>
      </c>
      <c r="EX11" s="251">
        <f>IF(AND(AND(Stamoplysninger!$B$26="Der er indgået lokalaftale omkring weekendtimer(Kræver aftale med TR/FSL). Weekendtillæg udbetales.",I11="X",S11="X")),V11*0.5,0)</f>
        <v>0</v>
      </c>
      <c r="EY11" s="674">
        <f>IF(AND(AND(Stamoplysninger!$B$26="Der er indgået lokalaftale omkring weekendtimer(Kræver aftale med TR/FSL). Weekendtillæg udbetales.",I11="X",C11="ikke relevant")),K11*0.5,0)</f>
        <v>0</v>
      </c>
      <c r="EZ11" s="675">
        <f>IF(AND(AND(AND(Stamoplysninger!$B$26="Der er indgået lokalaftale omkring weekendtimer(Kræver aftale med TR/FSL). Weekendtillæg udbetales.",I11="X",C11="ikke relevant",S11="X"))),(V11*0.5),0)</f>
        <v>0</v>
      </c>
      <c r="FA11" s="283">
        <f>IF(AND(Stamoplysninger!$B$26="Der er indgået lokalaftale omkring weekendtillæg(Kræver aftale med TR/FSL). Weekendtimerne afspadseres.",I11="X"),K11,0)</f>
        <v>0</v>
      </c>
      <c r="FB11" s="251">
        <f>IF(AND(AND(Stamoplysninger!$B$26="Der er indgået lokalaftale omkring weekendtillæg(Kræver aftale med TR/FSL). Weekendtimerne afspadseres.",I11="X",S11="X")),V11,0)</f>
        <v>0</v>
      </c>
      <c r="FC11" s="674">
        <f>IF(AND(AND(Stamoplysninger!$B$26="Der er indgået lokalaftale omkring weekendtillæg(Kræver aftale med TR/FSL). Weekendtimerne afspadseres..",I11="X",C11="ikke relevant")),K11,0)</f>
        <v>0</v>
      </c>
      <c r="FD11" s="675">
        <f>IF(AND(AND(AND(Stamoplysninger!$B$26="Der er indgået lokalaftale omkring weekendtillæg(Kræver aftale med TR/FSL). Weekendtimerne afspadseres.",I11="X",C11="ikke relevant",S11="X"))),(V11),0)</f>
        <v>0</v>
      </c>
      <c r="FE11" s="283">
        <f>IF(AND(Stamoplysninger!$B$26="Der er indgået lokalaftale omkring weekendtillæg(Kræver aftale med TR/FSL). Weekendtimerne udbetales.",I11="X"),K11,0)</f>
        <v>0</v>
      </c>
      <c r="FF11" s="251">
        <f>IF(AND(AND(Stamoplysninger!$B$26="Der er indgået lokalaftale omkring weekendtillæg(Kræver aftale med TR/FSL). Weekendtimerne udbetales.",I11="X",S11="X")),V11,0)</f>
        <v>0</v>
      </c>
      <c r="FG11" s="674">
        <f>IF(AND(AND(Stamoplysninger!$B$26="Der er indgået lokalaftale omkring weekendtillæg(Kræver aftale med TR/FSL). Weekendtimerne udbetales.",I11="X",C11="ikke relevant")),K11,0)</f>
        <v>0</v>
      </c>
      <c r="FH11" s="675">
        <f>IF(AND(AND(AND(Stamoplysninger!$B$26="Der er indgået lokalaftale omkring weekendtillæg(Kræver aftale med TR/FSL). Weekendtimerne udbetales.",I11="X",C11="ikke relevant",S11="X"))),(V11),0)</f>
        <v>0</v>
      </c>
      <c r="FI11" s="283">
        <f>IF(AND(Stamoplysninger!$B$26="Weekendtimer og weekendtillæg afspadseres.",I11="X"),K11,0)</f>
        <v>0</v>
      </c>
      <c r="FJ11" s="251">
        <f>IF(AND(Stamoplysninger!$B$26="Weekendtimer og weekendtillæg afspadseres.",Y11="X"),(AA11+AL11)/2,0)</f>
        <v>0</v>
      </c>
      <c r="FK11" s="674">
        <f>IF(AND(AND(Stamoplysninger!$B$26="Weekendtimer og weekendtillæg afspadseres.",I11="X",C11="ikke relevant")),K11,0)</f>
        <v>0</v>
      </c>
      <c r="FL11" s="675">
        <f>IF(AND(AND(Stamoplysninger!$B$26="Weekendtimer og weekendtillæg afspadseres.",Y11="X",S11="ikke relevant")),(AA11+AL11)/2,0)</f>
        <v>0</v>
      </c>
      <c r="FM11" s="283">
        <f>IF(AND(Stamoplysninger!$B$26="Der er indgået lokalaftale omkring weekendtillæg(Kræver aftale med TR/FSL). Weekendtimerne afspadseres.",I11="X"),K11,0)</f>
        <v>0</v>
      </c>
      <c r="FN11" s="674">
        <f>IF(AND(AND(Stamoplysninger!$B$26="Der er indgået lokalaftale omkring weekendtillæg(Kræver aftale med TR/FSL). Weekendtimerne afspadseres.",I11="X",C11="ikke relevant")),K11,0)</f>
        <v>0</v>
      </c>
      <c r="FO11" s="283">
        <f>IF(AND(Stamoplysninger!$B$26="Weekendtimer og weekendtillæg udbetales.",I11="X"),K11,0)</f>
        <v>0</v>
      </c>
      <c r="FP11" s="251">
        <f>IF(AND(Stamoplysninger!$B$26="Weekendtimer og weekendtillæg udbetales.",AA11="X"),(AC11+AN11)/2,0)</f>
        <v>0</v>
      </c>
      <c r="FQ11" s="674">
        <f>IF(AND(AND(Stamoplysninger!$B$26="Weekendtimer og weekendtillæg udbetales.",I11="X",C11="ikke relevant")),K11,0)</f>
        <v>0</v>
      </c>
      <c r="FR11" s="688">
        <f>IF(AND(AND(Stamoplysninger!$B$26="Weekendtimer og weekendtillæg udbetales.",AA11="X",U11="ikke relevant")),(AC11+AN11)/2,0)</f>
        <v>0</v>
      </c>
      <c r="FS11" s="283">
        <f t="shared" si="15"/>
        <v>0</v>
      </c>
      <c r="FT11" s="658">
        <f t="shared" si="16"/>
        <v>0</v>
      </c>
      <c r="FU11">
        <f t="shared" si="17"/>
        <v>0</v>
      </c>
      <c r="FV11" s="283">
        <f>IF(AND(Stamoplysninger!$B$26="Der er indgået lokalaftale omkring weekendtimer.(Kræver aftale med TR/FSL) Weekendtillæg afspadseres.",I11="X"),K11,0)</f>
        <v>0</v>
      </c>
      <c r="FW11" s="674">
        <f>IF(AND(AND(Stamoplysninger!$B$26="Der er indgået lokalaftale omkring weekendtimer.(Kræver aftale med TR/FSL) Weekendtillæg afspadseres.",I11="X",C11="ikke relevant")),K11,0)</f>
        <v>0</v>
      </c>
      <c r="FX11" s="283">
        <f>IF(AND(Stamoplysninger!$B$26="Der er indgået lokalaftale omkring weekendtimer(Kræver aftale med TR/FSL). Weekendtillæg udbetales.",I11="X"),K11,0)</f>
        <v>0</v>
      </c>
      <c r="FY11" s="674">
        <f>IF(AND(AND(Stamoplysninger!$B$26="Der er indgået lokalaftale omkring weekendtimer(Kræver aftale med TR/FSL). Weekendtillæg udbetales.",I11="X",C11="ikke relevant")),K11,0)</f>
        <v>0</v>
      </c>
      <c r="FZ11" s="283">
        <f>IF(AND(Stamoplysninger!$B$26="Der er indgået lokalaftale omkring weekendtillæg(Kræver aftale med TR/FSL). Weekendtimerne udbetales.",I11="X"),K11,0)</f>
        <v>0</v>
      </c>
      <c r="GA11" s="674">
        <f>IF(AND(AND(Stamoplysninger!$B$26="Der er indgået lokalaftale omkring weekendtillæg(Kræver aftale med TR/FSL). Weekendtimerne udbetales.",I11="X",C11="ikke relevant")),K11,0)</f>
        <v>0</v>
      </c>
      <c r="GB11" s="283">
        <f>IF(AND(Stamoplysninger!$B$26="Der er indgået lokalaftale omkring weekendtimer og weekendtillæg.(Kræver aftale med TR/FSL).",I11="X"),K11,0)</f>
        <v>0</v>
      </c>
      <c r="GC11" s="674">
        <f>IF(AND(AND(Stamoplysninger!$B$26="Der er indgået lokalaftale omkring weekendtimer og weekendtillæg.(Kræver aftale med TR/FSL).",I11="X",C11="ikke relevant")),K11,0)</f>
        <v>0</v>
      </c>
    </row>
    <row r="12" spans="1:185">
      <c r="A12" s="245">
        <f t="shared" si="18"/>
        <v>4</v>
      </c>
      <c r="B12" s="128" t="str">
        <f t="shared" si="0"/>
        <v>fr</v>
      </c>
      <c r="C12" s="129" t="s">
        <v>206</v>
      </c>
      <c r="D12" s="130" t="str">
        <f t="shared" si="1"/>
        <v/>
      </c>
      <c r="E12" s="917"/>
      <c r="F12" s="918"/>
      <c r="G12" s="919"/>
      <c r="H12" s="298"/>
      <c r="I12" s="527"/>
      <c r="J12" s="413"/>
      <c r="K12" s="380"/>
      <c r="L12" s="380"/>
      <c r="M12" s="380"/>
      <c r="N12" s="318">
        <f t="shared" si="19"/>
        <v>6.75</v>
      </c>
      <c r="O12" s="318">
        <f t="shared" si="20"/>
        <v>3</v>
      </c>
      <c r="P12" s="318">
        <f>IF(Stamoplysninger!$H$29="JA",Oktober!DG12,CX12)</f>
        <v>1.5</v>
      </c>
      <c r="Q12" s="318">
        <f t="shared" si="21"/>
        <v>2.25</v>
      </c>
      <c r="R12" s="319"/>
      <c r="S12" s="324"/>
      <c r="T12" s="325"/>
      <c r="U12" s="325"/>
      <c r="V12" s="435"/>
      <c r="W12" s="412"/>
      <c r="X12" s="642"/>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f>IF(AND(C12="Skema 1",B12="fr"),Arbejdstidsoversigt!$E$76,"")</f>
        <v>6.75</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6.75</v>
      </c>
      <c r="BB12" s="229">
        <f t="shared" si="8"/>
        <v>162</v>
      </c>
      <c r="BC12" s="1">
        <f t="shared" si="24"/>
        <v>0</v>
      </c>
      <c r="BD12" s="1">
        <f t="shared" si="9"/>
        <v>0</v>
      </c>
      <c r="BE12" s="1">
        <f t="shared" si="10"/>
        <v>0</v>
      </c>
      <c r="BF12" s="1">
        <f t="shared" si="11"/>
        <v>0</v>
      </c>
      <c r="BG12" s="210" t="str">
        <f>IF(AND(C12="Skema 1",B12="ma"),Skemaoplysninger!$E$30,"")</f>
        <v/>
      </c>
      <c r="BH12" s="210" t="str">
        <f>IF(AND(C12="Skema 1",B12="ti"),Skemaoplysninger!$G$30,"")</f>
        <v/>
      </c>
      <c r="BI12" s="210" t="str">
        <f>IF(AND(C12="Skema 1",B12="on"),Skemaoplysninger!$I$30,"")</f>
        <v/>
      </c>
      <c r="BJ12" s="210" t="str">
        <f>IF(AND(C12="Skema 1",B12="to"),Skemaoplysninger!$K$30,"")</f>
        <v/>
      </c>
      <c r="BK12" s="210">
        <f>IF(AND(C12="Skema 1",B12="fr"),Skemaoplysninger!$M$30,"")</f>
        <v>0.125</v>
      </c>
      <c r="BL12" s="210" t="str">
        <f>IF(AND(C12="Skema 2",B12="ma"),Skemaoplysninger!$S$30,"")</f>
        <v/>
      </c>
      <c r="BM12" s="210" t="str">
        <f>IF(AND(C12="Skema 2",B12="ti"),Skemaoplysninger!$U$30,"")</f>
        <v/>
      </c>
      <c r="BN12" s="210" t="str">
        <f>IF(AND(C12="Skema 2",B12="on"),Skemaoplysninger!$W$30,"")</f>
        <v/>
      </c>
      <c r="BO12" s="210" t="str">
        <f>IF(AND(C12="Skema 2",B12="to"),Skemaoplysninger!$Y$30,"")</f>
        <v/>
      </c>
      <c r="BP12" s="210" t="str">
        <f>IF(AND(C12="Skema 2",B12="fr"),Skemaoplysninger!$AA$30,"")</f>
        <v/>
      </c>
      <c r="BQ12" s="210" t="str">
        <f>IF(AND(C12="Skema 3",B12="ma"),Skemaoplysninger!$AG$30,"")</f>
        <v/>
      </c>
      <c r="BR12" s="210" t="str">
        <f>IF(AND(C12="Skema 3",B12="ti"),Skemaoplysninger!$AI$30,"")</f>
        <v/>
      </c>
      <c r="BS12" s="210" t="str">
        <f>IF(AND(C12="Skema 3",B12="on"),Skemaoplysninger!$AK$30,"")</f>
        <v/>
      </c>
      <c r="BT12" s="210" t="str">
        <f>IF(AND(C12="Skema 3",B12="to"),Skemaoplysninger!$AM$30,"")</f>
        <v/>
      </c>
      <c r="BU12" s="210" t="str">
        <f>IF(AND(C12="Skema 3",B12="fr"),Skemaoplysninger!$AO$30,"")</f>
        <v/>
      </c>
      <c r="BV12" s="210" t="str">
        <f>IF(AND(C12="Skema 4",B12="ma"),Skemaoplysninger!$AU$30,"")</f>
        <v/>
      </c>
      <c r="BW12" s="210" t="str">
        <f>IF(AND(C12="Skema 4",B12="ti"),Skemaoplysninger!$AW$30,"")</f>
        <v/>
      </c>
      <c r="BX12" s="210" t="str">
        <f>IF(AND(C12="Skema 4",B12="on"),Skemaoplysninger!$AY$30,"")</f>
        <v/>
      </c>
      <c r="BY12" s="210" t="str">
        <f>IF(AND(C12="Skema 4",B12="to"),Skemaoplysninger!$BA$30,"")</f>
        <v/>
      </c>
      <c r="BZ12" s="210" t="str">
        <f>IF(AND(C12="Skema 4",B12="fr"),Skemaoplysninger!$BC$30,"")</f>
        <v/>
      </c>
      <c r="CA12" s="1">
        <f t="shared" si="25"/>
        <v>3</v>
      </c>
      <c r="CB12" s="1">
        <f t="shared" si="12"/>
        <v>0</v>
      </c>
      <c r="CC12" s="1">
        <f t="shared" si="13"/>
        <v>0</v>
      </c>
      <c r="CD12" s="210" t="str">
        <f>IF(AND(C12="Skema 1",B12="ma"),Skemaoplysninger!$E$31,"")</f>
        <v/>
      </c>
      <c r="CE12" s="210" t="str">
        <f>IF(AND(C12="Skema 1",B12="ti"),Skemaoplysninger!$G$31,"")</f>
        <v/>
      </c>
      <c r="CF12" s="210" t="str">
        <f>IF(AND(C12="Skema 1",B12="on"),Skemaoplysninger!$I$31,"")</f>
        <v/>
      </c>
      <c r="CG12" s="210" t="str">
        <f>IF(AND(C12="Skema 1",B12="to"),Skemaoplysninger!$K$31,"")</f>
        <v/>
      </c>
      <c r="CH12" s="210">
        <f>IF(AND(C12="Skema 1",B12="fr"),Skemaoplysninger!$M$31,"")</f>
        <v>6.25E-2</v>
      </c>
      <c r="CI12" s="210" t="str">
        <f>IF(AND(C12="Skema 2",B12="ma"),Skemaoplysninger!$S$31,"")</f>
        <v/>
      </c>
      <c r="CJ12" s="210" t="str">
        <f>IF(AND(C12="Skema 2",B12="ti"),Skemaoplysninger!$U$31,"")</f>
        <v/>
      </c>
      <c r="CK12" s="210" t="str">
        <f>IF(AND(C12="Skema 2",B12="on"),Skemaoplysninger!$W$31,"")</f>
        <v/>
      </c>
      <c r="CL12" s="210" t="str">
        <f>IF(AND(C12="Skema 2",B12="to"),Skemaoplysninger!$Y$31,"")</f>
        <v/>
      </c>
      <c r="CM12" s="210" t="str">
        <f>IF(AND(C12="Skema 2",B12="fr"),Skemaoplysninger!$AA$31,"")</f>
        <v/>
      </c>
      <c r="CN12" s="210" t="str">
        <f>IF(AND(C12="Skema 3",B12="ma"),Skemaoplysninger!$AG$31,"")</f>
        <v/>
      </c>
      <c r="CO12" s="210" t="str">
        <f>IF(AND(C12="Skema 3",B12="ti"),Skemaoplysninger!$AI$31,"")</f>
        <v/>
      </c>
      <c r="CP12" s="210" t="str">
        <f>IF(AND(C12="Skema 3",B12="on"),Skemaoplysninger!$AK$31,"")</f>
        <v/>
      </c>
      <c r="CQ12" s="210" t="str">
        <f>IF(AND(C12="Skema 3",B12="to"),Skemaoplysninger!$AM$31,"")</f>
        <v/>
      </c>
      <c r="CR12" s="210" t="str">
        <f>IF(AND(C12="Skema 3",B12="fr"),Skemaoplysninger!$AO$31,"")</f>
        <v/>
      </c>
      <c r="CS12" s="210" t="str">
        <f>IF(AND(C12="Skema 4",B12="ma"),Skemaoplysninger!$AU$31,"")</f>
        <v/>
      </c>
      <c r="CT12" s="210" t="str">
        <f>IF(AND(C12="Skema 4",B12="ti"),Skemaoplysninger!$AW$31,"")</f>
        <v/>
      </c>
      <c r="CU12" s="210" t="str">
        <f>IF(AND(C12="Skema 4",B12="on"),Skemaoplysninger!$AY$31,"")</f>
        <v/>
      </c>
      <c r="CV12" s="210" t="str">
        <f>IF(AND(C12="Skema 4",B12="to"),Skemaoplysninger!$BA$31,"")</f>
        <v/>
      </c>
      <c r="CW12" s="210" t="str">
        <f>IF(AND(C12="Skema 4",B12="fr"),Skemaoplysninger!$BC$31,"")</f>
        <v/>
      </c>
      <c r="CX12" s="249">
        <f>IF(Stamoplysninger!$H$29="NEJ",SUM(CD12:CW12)*24+CB12+CC12,0)</f>
        <v>1.5</v>
      </c>
      <c r="CY12" s="249">
        <f>IF(C12="Skema 1",Stamoplysninger!$H$30/200,0)</f>
        <v>0</v>
      </c>
      <c r="CZ12" s="249">
        <f>IF(C12="Skema 2",Stamoplysninger!$H$30/200,0)</f>
        <v>0</v>
      </c>
      <c r="DA12" s="249">
        <f>IF(C12="Skema 3",Stamoplysninger!$H$30/200,0)</f>
        <v>0</v>
      </c>
      <c r="DB12" s="249">
        <f>IF(C12="Skema 4",Stamoplysninger!$H$30/200,0)</f>
        <v>0</v>
      </c>
      <c r="DC12" s="249">
        <f>IF(C12="fagdag",Stamoplysninger!$H$30/200,0)</f>
        <v>0</v>
      </c>
      <c r="DD12" s="249">
        <f>IF(C12="emnedag",Stamoplysninger!$H$30/200,0)</f>
        <v>0</v>
      </c>
      <c r="DE12" s="249">
        <f>IF(C12="lejrskole",Stamoplysninger!$H$30/200,0)</f>
        <v>0</v>
      </c>
      <c r="DF12" s="249">
        <f>IF(C12="ekskursion",Stamoplysninger!$H$30/200,0)</f>
        <v>0</v>
      </c>
      <c r="DG12" s="249">
        <f t="shared" si="26"/>
        <v>0</v>
      </c>
      <c r="DH12" t="str">
        <f t="shared" si="27"/>
        <v/>
      </c>
      <c r="DI12">
        <f t="shared" si="28"/>
        <v>0</v>
      </c>
      <c r="DJ12">
        <f>IF(E12="",H12,"")</f>
        <v>0</v>
      </c>
      <c r="DK12" t="str">
        <f t="shared" si="14"/>
        <v/>
      </c>
      <c r="DL12" t="str">
        <f t="shared" si="14"/>
        <v/>
      </c>
      <c r="DM12" t="str">
        <f t="shared" si="14"/>
        <v/>
      </c>
      <c r="DN12" t="str">
        <f t="shared" si="30"/>
        <v/>
      </c>
      <c r="DO12" s="652">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71">
        <f>IF(AND(Stamoplysninger!$B$22="Ulempetillæg udbetales med 25% af nettotimelønnen.",C12="ikke relevant"),(R12)/4,0)</f>
        <v>0</v>
      </c>
      <c r="DT12" s="671">
        <f>IF(AND(AND(Stamoplysninger!$B$22="Ulempetillæg udbetales med 25% af nettotimelønnen.",I12="X",C12="Ikke relevant")),K12/4,0)</f>
        <v>0</v>
      </c>
      <c r="DU12" s="671">
        <f>IF(AND(AND(Stamoplysninger!$B$22="Ulempetillæg udbetales med 25% af nettotimelønnen.",C12="ikke relevant",U12="X")),(X12/4),0)</f>
        <v>0</v>
      </c>
      <c r="DV12" s="672">
        <f>IF(AND(AND(AND(Stamoplysninger!$B$22="Ulempetillæg udbetales med 25% af nettotimelønnen.",I12="X",C12="Ikke relevant",S12="X"))),V12/4,0)</f>
        <v>0</v>
      </c>
      <c r="DW12" s="652"/>
      <c r="DZ12" s="671"/>
      <c r="EA12" s="671"/>
      <c r="EB12" s="672"/>
      <c r="EC12" s="652">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71">
        <f>IF(AND(Stamoplysninger!$B$22="Ulempetillæg afspadseres med 25%(Kræver en aftale imellem ledelsen og den ansatte)",C12="ikke relevant"),(R12)/4,0)</f>
        <v>0</v>
      </c>
      <c r="EH12" s="671">
        <f>IF(AND(AND(Stamoplysninger!$B$22="Ulempetillæg afspadseres med 25%(Kræver en aftale imellem ledelsen og den ansatte)",I12="X",C12="Ikke relevant")),K12/4,0)</f>
        <v>0</v>
      </c>
      <c r="EI12" s="671">
        <f>IF(AND(AND(Stamoplysninger!$B$22="Ulempetillæg afspadseres med 25%(Kræver en aftale imellem ledelsen og den ansatte)",U12="X",C12="Ikke relevant")),X12/4,0)</f>
        <v>0</v>
      </c>
      <c r="EJ12" s="671">
        <f>IF(AND(AND(AND(Stamoplysninger!$B$22="Ulempetillæg afspadseres med 25%(Kræver en aftale imellem ledelsen og den ansatte)",I12="X",C12="Ikke relevant",S12="X"))),V12/4,0)</f>
        <v>0</v>
      </c>
      <c r="EK12" s="283">
        <f>IF(AND(Stamoplysninger!$B$26="Weekendtimer og weekendtillæg afspadseres.",I12="X"),K12*1.5,0)</f>
        <v>0</v>
      </c>
      <c r="EL12" s="251">
        <f>IF(AND(AND(Stamoplysninger!$B$26="Weekendtimer og weekendtillæg afspadseres.",I12="X",S12="X")),V12*1.5,0)</f>
        <v>0</v>
      </c>
      <c r="EM12" s="674">
        <f>IF(AND(AND(Stamoplysninger!$B$26="Weekendtimer og weekendtillæg afspadseres.",I12="X",C12="ikke relevant")),K12*1.5,0)</f>
        <v>0</v>
      </c>
      <c r="EN12" s="675">
        <f>IF(AND(AND(AND(Stamoplysninger!$B$26="Weekendtimer og weekendtillæg afspadseres.",I12="X",C12="ikke relevant",S12="X"))),(V12*1.5),0)</f>
        <v>0</v>
      </c>
      <c r="EO12" s="283">
        <f>IF(AND(Stamoplysninger!$B$26="Weekendtimer og weekendtillæg udbetales.",I12="X"),K12*1.5,0)</f>
        <v>0</v>
      </c>
      <c r="EP12" s="251">
        <f>IF(AND(AND(Stamoplysninger!$B$26="Weekendtimer og weekendtillæg udbetales.",I12="X",S12="X")),V12*1.5,0)</f>
        <v>0</v>
      </c>
      <c r="EQ12" s="674">
        <f>IF(AND(AND(Stamoplysninger!$B$26="Weekendtimer og weekendtillæg udbetales.",I12="X",C12="ikke relevant")),K12*1.5,0)</f>
        <v>0</v>
      </c>
      <c r="ER12" s="675">
        <f>IF(AND(AND(AND(Stamoplysninger!$B$26="Weekendtimer og weekendtillæg udbetales.",I12="X",C12="ikke relevant",S12="X"))),(V12*1.5),0)</f>
        <v>0</v>
      </c>
      <c r="ES12" s="283">
        <f>IF(AND(Stamoplysninger!$B$26="Der er indgået lokalaftale omkring weekendtimer.(Kræver aftale med TR/FSL) Weekendtillæg afspadseres.",I12="X"),K12*0.5,0)</f>
        <v>0</v>
      </c>
      <c r="ET12" s="251">
        <f>IF(AND(AND(Stamoplysninger!$B$26="Der er indgået lokalaftale omkring weekendtimer.(Kræver aftale med TR/FSL) Weekendtillæg afspadseres.",I12="X",S12="X")),V12*0.5,0)</f>
        <v>0</v>
      </c>
      <c r="EU12" s="674">
        <f>IF(AND(AND(Stamoplysninger!$B$26="Der er indgået lokalaftale omkring weekendtimer.(Kræver aftale med TR/FSL) Weekendtillæg afspadseres.",I12="X",C12="ikke relevant")),K12*0.5,0)</f>
        <v>0</v>
      </c>
      <c r="EV12" s="675">
        <f>IF(AND(AND(AND(Stamoplysninger!$B$26="Der er indgået lokalaftale omkring weekendtimer.(Kræver aftale med TR/FSL) Weekendtillæg afspadseres.",I12="X",C12="ikke relevant",S12="X"))),(V12*0.5),0)</f>
        <v>0</v>
      </c>
      <c r="EW12" s="283">
        <f>IF(AND(Stamoplysninger!$B$26="Der er indgået lokalaftale omkring weekendtimer(Kræver aftale med TR/FSL). Weekendtillæg udbetales.",I12="X"),K12*0.5,0)</f>
        <v>0</v>
      </c>
      <c r="EX12" s="251">
        <f>IF(AND(AND(Stamoplysninger!$B$26="Der er indgået lokalaftale omkring weekendtimer(Kræver aftale med TR/FSL). Weekendtillæg udbetales.",I12="X",S12="X")),V12*0.5,0)</f>
        <v>0</v>
      </c>
      <c r="EY12" s="674">
        <f>IF(AND(AND(Stamoplysninger!$B$26="Der er indgået lokalaftale omkring weekendtimer(Kræver aftale med TR/FSL). Weekendtillæg udbetales.",I12="X",C12="ikke relevant")),K12*0.5,0)</f>
        <v>0</v>
      </c>
      <c r="EZ12" s="675">
        <f>IF(AND(AND(AND(Stamoplysninger!$B$26="Der er indgået lokalaftale omkring weekendtimer(Kræver aftale med TR/FSL). Weekendtillæg udbetales.",I12="X",C12="ikke relevant",S12="X"))),(V12*0.5),0)</f>
        <v>0</v>
      </c>
      <c r="FA12" s="283">
        <f>IF(AND(Stamoplysninger!$B$26="Der er indgået lokalaftale omkring weekendtillæg(Kræver aftale med TR/FSL). Weekendtimerne afspadseres.",I12="X"),K12,0)</f>
        <v>0</v>
      </c>
      <c r="FB12" s="251">
        <f>IF(AND(AND(Stamoplysninger!$B$26="Der er indgået lokalaftale omkring weekendtillæg(Kræver aftale med TR/FSL). Weekendtimerne afspadseres.",I12="X",S12="X")),V12,0)</f>
        <v>0</v>
      </c>
      <c r="FC12" s="674">
        <f>IF(AND(AND(Stamoplysninger!$B$26="Der er indgået lokalaftale omkring weekendtillæg(Kræver aftale med TR/FSL). Weekendtimerne afspadseres..",I12="X",C12="ikke relevant")),K12,0)</f>
        <v>0</v>
      </c>
      <c r="FD12" s="675">
        <f>IF(AND(AND(AND(Stamoplysninger!$B$26="Der er indgået lokalaftale omkring weekendtillæg(Kræver aftale med TR/FSL). Weekendtimerne afspadseres.",I12="X",C12="ikke relevant",S12="X"))),(V12),0)</f>
        <v>0</v>
      </c>
      <c r="FE12" s="283">
        <f>IF(AND(Stamoplysninger!$B$26="Der er indgået lokalaftale omkring weekendtillæg(Kræver aftale med TR/FSL). Weekendtimerne udbetales.",I12="X"),K12,0)</f>
        <v>0</v>
      </c>
      <c r="FF12" s="251">
        <f>IF(AND(AND(Stamoplysninger!$B$26="Der er indgået lokalaftale omkring weekendtillæg(Kræver aftale med TR/FSL). Weekendtimerne udbetales.",I12="X",S12="X")),V12,0)</f>
        <v>0</v>
      </c>
      <c r="FG12" s="674">
        <f>IF(AND(AND(Stamoplysninger!$B$26="Der er indgået lokalaftale omkring weekendtillæg(Kræver aftale med TR/FSL). Weekendtimerne udbetales.",I12="X",C12="ikke relevant")),K12,0)</f>
        <v>0</v>
      </c>
      <c r="FH12" s="675">
        <f>IF(AND(AND(AND(Stamoplysninger!$B$26="Der er indgået lokalaftale omkring weekendtillæg(Kræver aftale med TR/FSL). Weekendtimerne udbetales.",I12="X",C12="ikke relevant",S12="X"))),(V12),0)</f>
        <v>0</v>
      </c>
      <c r="FI12" s="283">
        <f>IF(AND(Stamoplysninger!$B$26="Weekendtimer og weekendtillæg afspadseres.",I12="X"),K12,0)</f>
        <v>0</v>
      </c>
      <c r="FJ12" s="251">
        <f>IF(AND(Stamoplysninger!$B$26="Weekendtimer og weekendtillæg afspadseres.",Y12="X"),(AA12+AL12)/2,0)</f>
        <v>0</v>
      </c>
      <c r="FK12" s="674">
        <f>IF(AND(AND(Stamoplysninger!$B$26="Weekendtimer og weekendtillæg afspadseres.",I12="X",C12="ikke relevant")),K12,0)</f>
        <v>0</v>
      </c>
      <c r="FL12" s="675">
        <f>IF(AND(AND(Stamoplysninger!$B$26="Weekendtimer og weekendtillæg afspadseres.",Y12="X",S12="ikke relevant")),(AA12+AL12)/2,0)</f>
        <v>0</v>
      </c>
      <c r="FM12" s="283">
        <f>IF(AND(Stamoplysninger!$B$26="Der er indgået lokalaftale omkring weekendtillæg(Kræver aftale med TR/FSL). Weekendtimerne afspadseres.",I12="X"),K12,0)</f>
        <v>0</v>
      </c>
      <c r="FN12" s="674">
        <f>IF(AND(AND(Stamoplysninger!$B$26="Der er indgået lokalaftale omkring weekendtillæg(Kræver aftale med TR/FSL). Weekendtimerne afspadseres.",I12="X",C12="ikke relevant")),K12,0)</f>
        <v>0</v>
      </c>
      <c r="FO12" s="283">
        <f>IF(AND(Stamoplysninger!$B$26="Weekendtimer og weekendtillæg udbetales.",I12="X"),K12,0)</f>
        <v>0</v>
      </c>
      <c r="FP12" s="251">
        <f>IF(AND(Stamoplysninger!$B$26="Weekendtimer og weekendtillæg udbetales.",AA12="X"),(AC12+AN12)/2,0)</f>
        <v>0</v>
      </c>
      <c r="FQ12" s="674">
        <f>IF(AND(AND(Stamoplysninger!$B$26="Weekendtimer og weekendtillæg udbetales.",I12="X",C12="ikke relevant")),K12,0)</f>
        <v>0</v>
      </c>
      <c r="FR12" s="688">
        <f>IF(AND(AND(Stamoplysninger!$B$26="Weekendtimer og weekendtillæg udbetales.",AA12="X",U12="ikke relevant")),(AC12+AN12)/2,0)</f>
        <v>0</v>
      </c>
      <c r="FS12" s="283">
        <f t="shared" si="15"/>
        <v>0</v>
      </c>
      <c r="FT12" s="658">
        <f t="shared" si="16"/>
        <v>0</v>
      </c>
      <c r="FU12">
        <f t="shared" si="17"/>
        <v>0</v>
      </c>
      <c r="FV12" s="283">
        <f>IF(AND(Stamoplysninger!$B$26="Der er indgået lokalaftale omkring weekendtimer.(Kræver aftale med TR/FSL) Weekendtillæg afspadseres.",I12="X"),K12,0)</f>
        <v>0</v>
      </c>
      <c r="FW12" s="674">
        <f>IF(AND(AND(Stamoplysninger!$B$26="Der er indgået lokalaftale omkring weekendtimer.(Kræver aftale med TR/FSL) Weekendtillæg afspadseres.",I12="X",C12="ikke relevant")),K12,0)</f>
        <v>0</v>
      </c>
      <c r="FX12" s="283">
        <f>IF(AND(Stamoplysninger!$B$26="Der er indgået lokalaftale omkring weekendtimer(Kræver aftale med TR/FSL). Weekendtillæg udbetales.",I12="X"),K12,0)</f>
        <v>0</v>
      </c>
      <c r="FY12" s="674">
        <f>IF(AND(AND(Stamoplysninger!$B$26="Der er indgået lokalaftale omkring weekendtimer(Kræver aftale med TR/FSL). Weekendtillæg udbetales.",I12="X",C12="ikke relevant")),K12,0)</f>
        <v>0</v>
      </c>
      <c r="FZ12" s="283">
        <f>IF(AND(Stamoplysninger!$B$26="Der er indgået lokalaftale omkring weekendtillæg(Kræver aftale med TR/FSL). Weekendtimerne udbetales.",I12="X"),K12,0)</f>
        <v>0</v>
      </c>
      <c r="GA12" s="674">
        <f>IF(AND(AND(Stamoplysninger!$B$26="Der er indgået lokalaftale omkring weekendtillæg(Kræver aftale med TR/FSL). Weekendtimerne udbetales.",I12="X",C12="ikke relevant")),K12,0)</f>
        <v>0</v>
      </c>
      <c r="GB12" s="283">
        <f>IF(AND(Stamoplysninger!$B$26="Der er indgået lokalaftale omkring weekendtimer og weekendtillæg.(Kræver aftale med TR/FSL).",I12="X"),K12,0)</f>
        <v>0</v>
      </c>
      <c r="GC12" s="674">
        <f>IF(AND(AND(Stamoplysninger!$B$26="Der er indgået lokalaftale omkring weekendtimer og weekendtillæg.(Kræver aftale med TR/FSL).",I12="X",C12="ikke relevant")),K12,0)</f>
        <v>0</v>
      </c>
    </row>
    <row r="13" spans="1:185">
      <c r="A13" s="245">
        <f t="shared" si="18"/>
        <v>5</v>
      </c>
      <c r="B13" s="128" t="str">
        <f t="shared" si="0"/>
        <v>lø</v>
      </c>
      <c r="C13" s="129" t="s">
        <v>120</v>
      </c>
      <c r="D13" s="130" t="str">
        <f t="shared" si="1"/>
        <v/>
      </c>
      <c r="E13" s="917"/>
      <c r="F13" s="918"/>
      <c r="G13" s="919"/>
      <c r="H13" s="298"/>
      <c r="I13" s="413"/>
      <c r="J13" s="413"/>
      <c r="K13" s="380"/>
      <c r="L13" s="380"/>
      <c r="M13" s="380"/>
      <c r="N13" s="318">
        <f t="shared" si="19"/>
        <v>0</v>
      </c>
      <c r="O13" s="318">
        <f t="shared" si="20"/>
        <v>0</v>
      </c>
      <c r="P13" s="318">
        <f>IF(Stamoplysninger!$H$29="JA",Oktober!DG13,CX13)</f>
        <v>0</v>
      </c>
      <c r="Q13" s="318">
        <f t="shared" si="21"/>
        <v>0</v>
      </c>
      <c r="R13" s="319"/>
      <c r="S13" s="324"/>
      <c r="T13" s="325"/>
      <c r="U13" s="325"/>
      <c r="V13" s="435"/>
      <c r="W13" s="412"/>
      <c r="X13" s="642"/>
      <c r="Y13">
        <f t="shared" si="22"/>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9">
        <f t="shared" si="8"/>
        <v>0</v>
      </c>
      <c r="BC13" s="1">
        <f t="shared" si="24"/>
        <v>0</v>
      </c>
      <c r="BD13" s="1">
        <f t="shared" si="9"/>
        <v>0</v>
      </c>
      <c r="BE13" s="1">
        <f t="shared" si="10"/>
        <v>0</v>
      </c>
      <c r="BF13" s="1">
        <f t="shared" si="11"/>
        <v>0</v>
      </c>
      <c r="BG13" s="210" t="str">
        <f>IF(AND(C13="Skema 1",B13="ma"),Skemaoplysninger!$E$30,"")</f>
        <v/>
      </c>
      <c r="BH13" s="210" t="str">
        <f>IF(AND(C13="Skema 1",B13="ti"),Skemaoplysninger!$G$30,"")</f>
        <v/>
      </c>
      <c r="BI13" s="210" t="str">
        <f>IF(AND(C13="Skema 1",B13="on"),Skemaoplysninger!$I$30,"")</f>
        <v/>
      </c>
      <c r="BJ13" s="210" t="str">
        <f>IF(AND(C13="Skema 1",B13="to"),Skemaoplysninger!$K$30,"")</f>
        <v/>
      </c>
      <c r="BK13" s="210" t="str">
        <f>IF(AND(C13="Skema 1",B13="fr"),Skemaoplysninger!$M$30,"")</f>
        <v/>
      </c>
      <c r="BL13" s="210" t="str">
        <f>IF(AND(C13="Skema 2",B13="ma"),Skemaoplysninger!$S$30,"")</f>
        <v/>
      </c>
      <c r="BM13" s="210" t="str">
        <f>IF(AND(C13="Skema 2",B13="ti"),Skemaoplysninger!$U$30,"")</f>
        <v/>
      </c>
      <c r="BN13" s="210" t="str">
        <f>IF(AND(C13="Skema 2",B13="on"),Skemaoplysninger!$W$30,"")</f>
        <v/>
      </c>
      <c r="BO13" s="210" t="str">
        <f>IF(AND(C13="Skema 2",B13="to"),Skemaoplysninger!$Y$30,"")</f>
        <v/>
      </c>
      <c r="BP13" s="210" t="str">
        <f>IF(AND(C13="Skema 2",B13="fr"),Skemaoplysninger!$AA$30,"")</f>
        <v/>
      </c>
      <c r="BQ13" s="210" t="str">
        <f>IF(AND(C13="Skema 3",B13="ma"),Skemaoplysninger!$AG$30,"")</f>
        <v/>
      </c>
      <c r="BR13" s="210" t="str">
        <f>IF(AND(C13="Skema 3",B13="ti"),Skemaoplysninger!$AI$30,"")</f>
        <v/>
      </c>
      <c r="BS13" s="210" t="str">
        <f>IF(AND(C13="Skema 3",B13="on"),Skemaoplysninger!$AK$30,"")</f>
        <v/>
      </c>
      <c r="BT13" s="210" t="str">
        <f>IF(AND(C13="Skema 3",B13="to"),Skemaoplysninger!$AM$30,"")</f>
        <v/>
      </c>
      <c r="BU13" s="210" t="str">
        <f>IF(AND(C13="Skema 3",B13="fr"),Skemaoplysninger!$AO$30,"")</f>
        <v/>
      </c>
      <c r="BV13" s="210" t="str">
        <f>IF(AND(C13="Skema 4",B13="ma"),Skemaoplysninger!$AU$30,"")</f>
        <v/>
      </c>
      <c r="BW13" s="210" t="str">
        <f>IF(AND(C13="Skema 4",B13="ti"),Skemaoplysninger!$AW$30,"")</f>
        <v/>
      </c>
      <c r="BX13" s="210" t="str">
        <f>IF(AND(C13="Skema 4",B13="on"),Skemaoplysninger!$AY$30,"")</f>
        <v/>
      </c>
      <c r="BY13" s="210" t="str">
        <f>IF(AND(C13="Skema 4",B13="to"),Skemaoplysninger!$BA$30,"")</f>
        <v/>
      </c>
      <c r="BZ13" s="210" t="str">
        <f>IF(AND(C13="Skema 4",B13="fr"),Skemaoplysninger!$BC$30,"")</f>
        <v/>
      </c>
      <c r="CA13" s="1">
        <f t="shared" si="25"/>
        <v>0</v>
      </c>
      <c r="CB13" s="1">
        <f t="shared" si="12"/>
        <v>0</v>
      </c>
      <c r="CC13" s="1">
        <f t="shared" si="13"/>
        <v>0</v>
      </c>
      <c r="CD13" s="210" t="str">
        <f>IF(AND(C13="Skema 1",B13="ma"),Skemaoplysninger!$E$31,"")</f>
        <v/>
      </c>
      <c r="CE13" s="210" t="str">
        <f>IF(AND(C13="Skema 1",B13="ti"),Skemaoplysninger!$G$31,"")</f>
        <v/>
      </c>
      <c r="CF13" s="210" t="str">
        <f>IF(AND(C13="Skema 1",B13="on"),Skemaoplysninger!$I$31,"")</f>
        <v/>
      </c>
      <c r="CG13" s="210" t="str">
        <f>IF(AND(C13="Skema 1",B13="to"),Skemaoplysninger!$K$31,"")</f>
        <v/>
      </c>
      <c r="CH13" s="210" t="str">
        <f>IF(AND(C13="Skema 1",B13="fr"),Skemaoplysninger!$M$31,"")</f>
        <v/>
      </c>
      <c r="CI13" s="210" t="str">
        <f>IF(AND(C13="Skema 2",B13="ma"),Skemaoplysninger!$S$31,"")</f>
        <v/>
      </c>
      <c r="CJ13" s="210" t="str">
        <f>IF(AND(C13="Skema 2",B13="ti"),Skemaoplysninger!$U$31,"")</f>
        <v/>
      </c>
      <c r="CK13" s="210" t="str">
        <f>IF(AND(C13="Skema 2",B13="on"),Skemaoplysninger!$W$31,"")</f>
        <v/>
      </c>
      <c r="CL13" s="210" t="str">
        <f>IF(AND(C13="Skema 2",B13="to"),Skemaoplysninger!$Y$31,"")</f>
        <v/>
      </c>
      <c r="CM13" s="210" t="str">
        <f>IF(AND(C13="Skema 2",B13="fr"),Skemaoplysninger!$AA$31,"")</f>
        <v/>
      </c>
      <c r="CN13" s="210" t="str">
        <f>IF(AND(C13="Skema 3",B13="ma"),Skemaoplysninger!$AG$31,"")</f>
        <v/>
      </c>
      <c r="CO13" s="210" t="str">
        <f>IF(AND(C13="Skema 3",B13="ti"),Skemaoplysninger!$AI$31,"")</f>
        <v/>
      </c>
      <c r="CP13" s="210" t="str">
        <f>IF(AND(C13="Skema 3",B13="on"),Skemaoplysninger!$AK$31,"")</f>
        <v/>
      </c>
      <c r="CQ13" s="210" t="str">
        <f>IF(AND(C13="Skema 3",B13="to"),Skemaoplysninger!$AM$31,"")</f>
        <v/>
      </c>
      <c r="CR13" s="210" t="str">
        <f>IF(AND(C13="Skema 3",B13="fr"),Skemaoplysninger!$AO$31,"")</f>
        <v/>
      </c>
      <c r="CS13" s="210" t="str">
        <f>IF(AND(C13="Skema 4",B13="ma"),Skemaoplysninger!$AU$31,"")</f>
        <v/>
      </c>
      <c r="CT13" s="210" t="str">
        <f>IF(AND(C13="Skema 4",B13="ti"),Skemaoplysninger!$AW$31,"")</f>
        <v/>
      </c>
      <c r="CU13" s="210" t="str">
        <f>IF(AND(C13="Skema 4",B13="on"),Skemaoplysninger!$AY$31,"")</f>
        <v/>
      </c>
      <c r="CV13" s="210" t="str">
        <f>IF(AND(C13="Skema 4",B13="to"),Skemaoplysninger!$BA$31,"")</f>
        <v/>
      </c>
      <c r="CW13" s="210" t="str">
        <f>IF(AND(C13="Skema 4",B13="fr"),Skemaoplysninger!$BC$31,"")</f>
        <v/>
      </c>
      <c r="CX13" s="249">
        <f>IF(Stamoplysninger!$H$29="NEJ",SUM(CD13:CW13)*24+CB13+CC13,0)</f>
        <v>0</v>
      </c>
      <c r="CY13" s="249">
        <f>IF(C13="Skema 1",Stamoplysninger!$H$30/200,0)</f>
        <v>0</v>
      </c>
      <c r="CZ13" s="249">
        <f>IF(C13="Skema 2",Stamoplysninger!$H$30/200,0)</f>
        <v>0</v>
      </c>
      <c r="DA13" s="249">
        <f>IF(C13="Skema 3",Stamoplysninger!$H$30/200,0)</f>
        <v>0</v>
      </c>
      <c r="DB13" s="249">
        <f>IF(C13="Skema 4",Stamoplysninger!$H$30/200,0)</f>
        <v>0</v>
      </c>
      <c r="DC13" s="249">
        <f>IF(C13="fagdag",Stamoplysninger!$H$30/200,0)</f>
        <v>0</v>
      </c>
      <c r="DD13" s="249">
        <f>IF(C13="emnedag",Stamoplysninger!$H$30/200,0)</f>
        <v>0</v>
      </c>
      <c r="DE13" s="249">
        <f>IF(C13="lejrskole",Stamoplysninger!$H$30/200,0)</f>
        <v>0</v>
      </c>
      <c r="DF13" s="249">
        <f>IF(C13="ekskursion",Stamoplysninger!$H$30/200,0)</f>
        <v>0</v>
      </c>
      <c r="DG13" s="249">
        <f t="shared" si="26"/>
        <v>0</v>
      </c>
      <c r="DH13" t="str">
        <f t="shared" si="27"/>
        <v/>
      </c>
      <c r="DI13">
        <f t="shared" si="28"/>
        <v>0</v>
      </c>
      <c r="DJ13">
        <f t="shared" si="29"/>
        <v>0</v>
      </c>
      <c r="DK13" t="str">
        <f t="shared" si="14"/>
        <v/>
      </c>
      <c r="DL13" t="str">
        <f t="shared" si="14"/>
        <v/>
      </c>
      <c r="DM13" t="str">
        <f t="shared" si="14"/>
        <v/>
      </c>
      <c r="DN13" t="str">
        <f t="shared" si="30"/>
        <v/>
      </c>
      <c r="DO13" s="652">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71">
        <f>IF(AND(Stamoplysninger!$B$22="Ulempetillæg udbetales med 25% af nettotimelønnen.",C13="ikke relevant"),(R13)/4,0)</f>
        <v>0</v>
      </c>
      <c r="DT13" s="671">
        <f>IF(AND(AND(Stamoplysninger!$B$22="Ulempetillæg udbetales med 25% af nettotimelønnen.",I13="X",C13="Ikke relevant")),K13/4,0)</f>
        <v>0</v>
      </c>
      <c r="DU13" s="671">
        <f>IF(AND(AND(Stamoplysninger!$B$22="Ulempetillæg udbetales med 25% af nettotimelønnen.",C13="ikke relevant",U13="X")),(X13/4),0)</f>
        <v>0</v>
      </c>
      <c r="DV13" s="672">
        <f>IF(AND(AND(AND(Stamoplysninger!$B$22="Ulempetillæg udbetales med 25% af nettotimelønnen.",I13="X",C13="Ikke relevant",S13="X"))),V13/4,0)</f>
        <v>0</v>
      </c>
      <c r="DW13" s="652"/>
      <c r="DZ13" s="671"/>
      <c r="EA13" s="671"/>
      <c r="EB13" s="672"/>
      <c r="EC13" s="652">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71">
        <f>IF(AND(Stamoplysninger!$B$22="Ulempetillæg afspadseres med 25%(Kræver en aftale imellem ledelsen og den ansatte)",C13="ikke relevant"),(R13)/4,0)</f>
        <v>0</v>
      </c>
      <c r="EH13" s="671">
        <f>IF(AND(AND(Stamoplysninger!$B$22="Ulempetillæg afspadseres med 25%(Kræver en aftale imellem ledelsen og den ansatte)",I13="X",C13="Ikke relevant")),K13/4,0)</f>
        <v>0</v>
      </c>
      <c r="EI13" s="671">
        <f>IF(AND(AND(Stamoplysninger!$B$22="Ulempetillæg afspadseres med 25%(Kræver en aftale imellem ledelsen og den ansatte)",U13="X",C13="Ikke relevant")),X13/4,0)</f>
        <v>0</v>
      </c>
      <c r="EJ13" s="671">
        <f>IF(AND(AND(AND(Stamoplysninger!$B$22="Ulempetillæg afspadseres med 25%(Kræver en aftale imellem ledelsen og den ansatte)",I13="X",C13="Ikke relevant",S13="X"))),V13/4,0)</f>
        <v>0</v>
      </c>
      <c r="EK13" s="283">
        <f>IF(AND(Stamoplysninger!$B$26="Weekendtimer og weekendtillæg afspadseres.",I13="X"),K13*1.5,0)</f>
        <v>0</v>
      </c>
      <c r="EL13" s="251">
        <f>IF(AND(AND(Stamoplysninger!$B$26="Weekendtimer og weekendtillæg afspadseres.",I13="X",S13="X")),V13*1.5,0)</f>
        <v>0</v>
      </c>
      <c r="EM13" s="674">
        <f>IF(AND(AND(Stamoplysninger!$B$26="Weekendtimer og weekendtillæg afspadseres.",I13="X",C13="ikke relevant")),K13*1.5,0)</f>
        <v>0</v>
      </c>
      <c r="EN13" s="675">
        <f>IF(AND(AND(AND(Stamoplysninger!$B$26="Weekendtimer og weekendtillæg afspadseres.",I13="X",C13="ikke relevant",S13="X"))),(V13*1.5),0)</f>
        <v>0</v>
      </c>
      <c r="EO13" s="283">
        <f>IF(AND(Stamoplysninger!$B$26="Weekendtimer og weekendtillæg udbetales.",I13="X"),K13*1.5,0)</f>
        <v>0</v>
      </c>
      <c r="EP13" s="251">
        <f>IF(AND(AND(Stamoplysninger!$B$26="Weekendtimer og weekendtillæg udbetales.",I13="X",S13="X")),V13*1.5,0)</f>
        <v>0</v>
      </c>
      <c r="EQ13" s="674">
        <f>IF(AND(AND(Stamoplysninger!$B$26="Weekendtimer og weekendtillæg udbetales.",I13="X",C13="ikke relevant")),K13*1.5,0)</f>
        <v>0</v>
      </c>
      <c r="ER13" s="675">
        <f>IF(AND(AND(AND(Stamoplysninger!$B$26="Weekendtimer og weekendtillæg udbetales.",I13="X",C13="ikke relevant",S13="X"))),(V13*1.5),0)</f>
        <v>0</v>
      </c>
      <c r="ES13" s="283">
        <f>IF(AND(Stamoplysninger!$B$26="Der er indgået lokalaftale omkring weekendtimer.(Kræver aftale med TR/FSL) Weekendtillæg afspadseres.",I13="X"),K13*0.5,0)</f>
        <v>0</v>
      </c>
      <c r="ET13" s="251">
        <f>IF(AND(AND(Stamoplysninger!$B$26="Der er indgået lokalaftale omkring weekendtimer.(Kræver aftale med TR/FSL) Weekendtillæg afspadseres.",I13="X",S13="X")),V13*0.5,0)</f>
        <v>0</v>
      </c>
      <c r="EU13" s="674">
        <f>IF(AND(AND(Stamoplysninger!$B$26="Der er indgået lokalaftale omkring weekendtimer.(Kræver aftale med TR/FSL) Weekendtillæg afspadseres.",I13="X",C13="ikke relevant")),K13*0.5,0)</f>
        <v>0</v>
      </c>
      <c r="EV13" s="675">
        <f>IF(AND(AND(AND(Stamoplysninger!$B$26="Der er indgået lokalaftale omkring weekendtimer.(Kræver aftale med TR/FSL) Weekendtillæg afspadseres.",I13="X",C13="ikke relevant",S13="X"))),(V13*0.5),0)</f>
        <v>0</v>
      </c>
      <c r="EW13" s="283">
        <f>IF(AND(Stamoplysninger!$B$26="Der er indgået lokalaftale omkring weekendtimer(Kræver aftale med TR/FSL). Weekendtillæg udbetales.",I13="X"),K13*0.5,0)</f>
        <v>0</v>
      </c>
      <c r="EX13" s="251">
        <f>IF(AND(AND(Stamoplysninger!$B$26="Der er indgået lokalaftale omkring weekendtimer(Kræver aftale med TR/FSL). Weekendtillæg udbetales.",I13="X",S13="X")),V13*0.5,0)</f>
        <v>0</v>
      </c>
      <c r="EY13" s="674">
        <f>IF(AND(AND(Stamoplysninger!$B$26="Der er indgået lokalaftale omkring weekendtimer(Kræver aftale med TR/FSL). Weekendtillæg udbetales.",I13="X",C13="ikke relevant")),K13*0.5,0)</f>
        <v>0</v>
      </c>
      <c r="EZ13" s="675">
        <f>IF(AND(AND(AND(Stamoplysninger!$B$26="Der er indgået lokalaftale omkring weekendtimer(Kræver aftale med TR/FSL). Weekendtillæg udbetales.",I13="X",C13="ikke relevant",S13="X"))),(V13*0.5),0)</f>
        <v>0</v>
      </c>
      <c r="FA13" s="283">
        <f>IF(AND(Stamoplysninger!$B$26="Der er indgået lokalaftale omkring weekendtillæg(Kræver aftale med TR/FSL). Weekendtimerne afspadseres.",I13="X"),K13,0)</f>
        <v>0</v>
      </c>
      <c r="FB13" s="251">
        <f>IF(AND(AND(Stamoplysninger!$B$26="Der er indgået lokalaftale omkring weekendtillæg(Kræver aftale med TR/FSL). Weekendtimerne afspadseres.",I13="X",S13="X")),V13,0)</f>
        <v>0</v>
      </c>
      <c r="FC13" s="674">
        <f>IF(AND(AND(Stamoplysninger!$B$26="Der er indgået lokalaftale omkring weekendtillæg(Kræver aftale med TR/FSL). Weekendtimerne afspadseres..",I13="X",C13="ikke relevant")),K13,0)</f>
        <v>0</v>
      </c>
      <c r="FD13" s="675">
        <f>IF(AND(AND(AND(Stamoplysninger!$B$26="Der er indgået lokalaftale omkring weekendtillæg(Kræver aftale med TR/FSL). Weekendtimerne afspadseres.",I13="X",C13="ikke relevant",S13="X"))),(V13),0)</f>
        <v>0</v>
      </c>
      <c r="FE13" s="283">
        <f>IF(AND(Stamoplysninger!$B$26="Der er indgået lokalaftale omkring weekendtillæg(Kræver aftale med TR/FSL). Weekendtimerne udbetales.",I13="X"),K13,0)</f>
        <v>0</v>
      </c>
      <c r="FF13" s="251">
        <f>IF(AND(AND(Stamoplysninger!$B$26="Der er indgået lokalaftale omkring weekendtillæg(Kræver aftale med TR/FSL). Weekendtimerne udbetales.",I13="X",S13="X")),V13,0)</f>
        <v>0</v>
      </c>
      <c r="FG13" s="674">
        <f>IF(AND(AND(Stamoplysninger!$B$26="Der er indgået lokalaftale omkring weekendtillæg(Kræver aftale med TR/FSL). Weekendtimerne udbetales.",I13="X",C13="ikke relevant")),K13,0)</f>
        <v>0</v>
      </c>
      <c r="FH13" s="675">
        <f>IF(AND(AND(AND(Stamoplysninger!$B$26="Der er indgået lokalaftale omkring weekendtillæg(Kræver aftale med TR/FSL). Weekendtimerne udbetales.",I13="X",C13="ikke relevant",S13="X"))),(V13),0)</f>
        <v>0</v>
      </c>
      <c r="FI13" s="283">
        <f>IF(AND(Stamoplysninger!$B$26="Weekendtimer og weekendtillæg afspadseres.",I13="X"),K13,0)</f>
        <v>0</v>
      </c>
      <c r="FJ13" s="251">
        <f>IF(AND(Stamoplysninger!$B$26="Weekendtimer og weekendtillæg afspadseres.",Y13="X"),(AA13+AL13)/2,0)</f>
        <v>0</v>
      </c>
      <c r="FK13" s="674">
        <f>IF(AND(AND(Stamoplysninger!$B$26="Weekendtimer og weekendtillæg afspadseres.",I13="X",C13="ikke relevant")),K13,0)</f>
        <v>0</v>
      </c>
      <c r="FL13" s="675">
        <f>IF(AND(AND(Stamoplysninger!$B$26="Weekendtimer og weekendtillæg afspadseres.",Y13="X",S13="ikke relevant")),(AA13+AL13)/2,0)</f>
        <v>0</v>
      </c>
      <c r="FM13" s="283">
        <f>IF(AND(Stamoplysninger!$B$26="Der er indgået lokalaftale omkring weekendtillæg(Kræver aftale med TR/FSL). Weekendtimerne afspadseres.",I13="X"),K13,0)</f>
        <v>0</v>
      </c>
      <c r="FN13" s="674">
        <f>IF(AND(AND(Stamoplysninger!$B$26="Der er indgået lokalaftale omkring weekendtillæg(Kræver aftale med TR/FSL). Weekendtimerne afspadseres.",I13="X",C13="ikke relevant")),K13,0)</f>
        <v>0</v>
      </c>
      <c r="FO13" s="283">
        <f>IF(AND(Stamoplysninger!$B$26="Weekendtimer og weekendtillæg udbetales.",I13="X"),K13,0)</f>
        <v>0</v>
      </c>
      <c r="FP13" s="251">
        <f>IF(AND(Stamoplysninger!$B$26="Weekendtimer og weekendtillæg udbetales.",AA13="X"),(AC13+AN13)/2,0)</f>
        <v>0</v>
      </c>
      <c r="FQ13" s="674">
        <f>IF(AND(AND(Stamoplysninger!$B$26="Weekendtimer og weekendtillæg udbetales.",I13="X",C13="ikke relevant")),K13,0)</f>
        <v>0</v>
      </c>
      <c r="FR13" s="688">
        <f>IF(AND(AND(Stamoplysninger!$B$26="Weekendtimer og weekendtillæg udbetales.",AA13="X",U13="ikke relevant")),(AC13+AN13)/2,0)</f>
        <v>0</v>
      </c>
      <c r="FS13" s="283">
        <f t="shared" si="15"/>
        <v>0</v>
      </c>
      <c r="FT13" s="658">
        <f t="shared" si="16"/>
        <v>0</v>
      </c>
      <c r="FU13">
        <f t="shared" si="17"/>
        <v>0</v>
      </c>
      <c r="FV13" s="283">
        <f>IF(AND(Stamoplysninger!$B$26="Der er indgået lokalaftale omkring weekendtimer.(Kræver aftale med TR/FSL) Weekendtillæg afspadseres.",I13="X"),K13,0)</f>
        <v>0</v>
      </c>
      <c r="FW13" s="674">
        <f>IF(AND(AND(Stamoplysninger!$B$26="Der er indgået lokalaftale omkring weekendtimer.(Kræver aftale med TR/FSL) Weekendtillæg afspadseres.",I13="X",C13="ikke relevant")),K13,0)</f>
        <v>0</v>
      </c>
      <c r="FX13" s="283">
        <f>IF(AND(Stamoplysninger!$B$26="Der er indgået lokalaftale omkring weekendtimer(Kræver aftale med TR/FSL). Weekendtillæg udbetales.",I13="X"),K13,0)</f>
        <v>0</v>
      </c>
      <c r="FY13" s="674">
        <f>IF(AND(AND(Stamoplysninger!$B$26="Der er indgået lokalaftale omkring weekendtimer(Kræver aftale med TR/FSL). Weekendtillæg udbetales.",I13="X",C13="ikke relevant")),K13,0)</f>
        <v>0</v>
      </c>
      <c r="FZ13" s="283">
        <f>IF(AND(Stamoplysninger!$B$26="Der er indgået lokalaftale omkring weekendtillæg(Kræver aftale med TR/FSL). Weekendtimerne udbetales.",I13="X"),K13,0)</f>
        <v>0</v>
      </c>
      <c r="GA13" s="674">
        <f>IF(AND(AND(Stamoplysninger!$B$26="Der er indgået lokalaftale omkring weekendtillæg(Kræver aftale med TR/FSL). Weekendtimerne udbetales.",I13="X",C13="ikke relevant")),K13,0)</f>
        <v>0</v>
      </c>
      <c r="GB13" s="283">
        <f>IF(AND(Stamoplysninger!$B$26="Der er indgået lokalaftale omkring weekendtimer og weekendtillæg.(Kræver aftale med TR/FSL).",I13="X"),K13,0)</f>
        <v>0</v>
      </c>
      <c r="GC13" s="674">
        <f>IF(AND(AND(Stamoplysninger!$B$26="Der er indgået lokalaftale omkring weekendtimer og weekendtillæg.(Kræver aftale med TR/FSL).",I13="X",C13="ikke relevant")),K13,0)</f>
        <v>0</v>
      </c>
    </row>
    <row r="14" spans="1:185" ht="16" customHeight="1">
      <c r="A14" s="245">
        <f t="shared" si="18"/>
        <v>6</v>
      </c>
      <c r="B14" s="128" t="str">
        <f t="shared" si="0"/>
        <v>sø</v>
      </c>
      <c r="C14" s="129" t="s">
        <v>120</v>
      </c>
      <c r="D14" s="130" t="str">
        <f t="shared" si="1"/>
        <v/>
      </c>
      <c r="E14" s="917"/>
      <c r="F14" s="918"/>
      <c r="G14" s="919"/>
      <c r="H14" s="298"/>
      <c r="I14" s="413"/>
      <c r="J14" s="413"/>
      <c r="K14" s="380"/>
      <c r="L14" s="380"/>
      <c r="M14" s="380"/>
      <c r="N14" s="318">
        <f t="shared" si="19"/>
        <v>0</v>
      </c>
      <c r="O14" s="318">
        <f t="shared" si="20"/>
        <v>0</v>
      </c>
      <c r="P14" s="318">
        <f>IF(Stamoplysninger!$H$29="JA",Oktober!DG14,CX14)</f>
        <v>0</v>
      </c>
      <c r="Q14" s="318">
        <f t="shared" si="21"/>
        <v>0</v>
      </c>
      <c r="R14" s="319"/>
      <c r="S14" s="324"/>
      <c r="T14" s="325"/>
      <c r="U14" s="325"/>
      <c r="V14" s="435"/>
      <c r="W14" s="412"/>
      <c r="X14" s="642"/>
      <c r="Y14">
        <f t="shared" si="22"/>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9">
        <f t="shared" si="8"/>
        <v>0</v>
      </c>
      <c r="BC14" s="1">
        <f t="shared" si="24"/>
        <v>0</v>
      </c>
      <c r="BD14" s="1">
        <f t="shared" si="9"/>
        <v>0</v>
      </c>
      <c r="BE14" s="1">
        <f t="shared" si="10"/>
        <v>0</v>
      </c>
      <c r="BF14" s="1">
        <f t="shared" si="11"/>
        <v>0</v>
      </c>
      <c r="BG14" s="210" t="str">
        <f>IF(AND(C14="Skema 1",B14="ma"),Skemaoplysninger!$E$30,"")</f>
        <v/>
      </c>
      <c r="BH14" s="210" t="str">
        <f>IF(AND(C14="Skema 1",B14="ti"),Skemaoplysninger!$G$30,"")</f>
        <v/>
      </c>
      <c r="BI14" s="210" t="str">
        <f>IF(AND(C14="Skema 1",B14="on"),Skemaoplysninger!$I$30,"")</f>
        <v/>
      </c>
      <c r="BJ14" s="210" t="str">
        <f>IF(AND(C14="Skema 1",B14="to"),Skemaoplysninger!$K$30,"")</f>
        <v/>
      </c>
      <c r="BK14" s="210" t="str">
        <f>IF(AND(C14="Skema 1",B14="fr"),Skemaoplysninger!$M$30,"")</f>
        <v/>
      </c>
      <c r="BL14" s="210" t="str">
        <f>IF(AND(C14="Skema 2",B14="ma"),Skemaoplysninger!$S$30,"")</f>
        <v/>
      </c>
      <c r="BM14" s="210" t="str">
        <f>IF(AND(C14="Skema 2",B14="ti"),Skemaoplysninger!$U$30,"")</f>
        <v/>
      </c>
      <c r="BN14" s="210" t="str">
        <f>IF(AND(C14="Skema 2",B14="on"),Skemaoplysninger!$W$30,"")</f>
        <v/>
      </c>
      <c r="BO14" s="210" t="str">
        <f>IF(AND(C14="Skema 2",B14="to"),Skemaoplysninger!$Y$30,"")</f>
        <v/>
      </c>
      <c r="BP14" s="210" t="str">
        <f>IF(AND(C14="Skema 2",B14="fr"),Skemaoplysninger!$AA$30,"")</f>
        <v/>
      </c>
      <c r="BQ14" s="210" t="str">
        <f>IF(AND(C14="Skema 3",B14="ma"),Skemaoplysninger!$AG$30,"")</f>
        <v/>
      </c>
      <c r="BR14" s="210" t="str">
        <f>IF(AND(C14="Skema 3",B14="ti"),Skemaoplysninger!$AI$30,"")</f>
        <v/>
      </c>
      <c r="BS14" s="210" t="str">
        <f>IF(AND(C14="Skema 3",B14="on"),Skemaoplysninger!$AK$30,"")</f>
        <v/>
      </c>
      <c r="BT14" s="210" t="str">
        <f>IF(AND(C14="Skema 3",B14="to"),Skemaoplysninger!$AM$30,"")</f>
        <v/>
      </c>
      <c r="BU14" s="210" t="str">
        <f>IF(AND(C14="Skema 3",B14="fr"),Skemaoplysninger!$AO$30,"")</f>
        <v/>
      </c>
      <c r="BV14" s="210" t="str">
        <f>IF(AND(C14="Skema 4",B14="ma"),Skemaoplysninger!$AU$30,"")</f>
        <v/>
      </c>
      <c r="BW14" s="210" t="str">
        <f>IF(AND(C14="Skema 4",B14="ti"),Skemaoplysninger!$AW$30,"")</f>
        <v/>
      </c>
      <c r="BX14" s="210" t="str">
        <f>IF(AND(C14="Skema 4",B14="on"),Skemaoplysninger!$AY$30,"")</f>
        <v/>
      </c>
      <c r="BY14" s="210" t="str">
        <f>IF(AND(C14="Skema 4",B14="to"),Skemaoplysninger!$BA$30,"")</f>
        <v/>
      </c>
      <c r="BZ14" s="210" t="str">
        <f>IF(AND(C14="Skema 4",B14="fr"),Skemaoplysninger!$BC$30,"")</f>
        <v/>
      </c>
      <c r="CA14" s="1">
        <f t="shared" si="25"/>
        <v>0</v>
      </c>
      <c r="CB14" s="1">
        <f t="shared" si="12"/>
        <v>0</v>
      </c>
      <c r="CC14" s="1">
        <f t="shared" si="13"/>
        <v>0</v>
      </c>
      <c r="CD14" s="210" t="str">
        <f>IF(AND(C14="Skema 1",B14="ma"),Skemaoplysninger!$E$31,"")</f>
        <v/>
      </c>
      <c r="CE14" s="210" t="str">
        <f>IF(AND(C14="Skema 1",B14="ti"),Skemaoplysninger!$G$31,"")</f>
        <v/>
      </c>
      <c r="CF14" s="210" t="str">
        <f>IF(AND(C14="Skema 1",B14="on"),Skemaoplysninger!$I$31,"")</f>
        <v/>
      </c>
      <c r="CG14" s="210" t="str">
        <f>IF(AND(C14="Skema 1",B14="to"),Skemaoplysninger!$K$31,"")</f>
        <v/>
      </c>
      <c r="CH14" s="210" t="str">
        <f>IF(AND(C14="Skema 1",B14="fr"),Skemaoplysninger!$M$31,"")</f>
        <v/>
      </c>
      <c r="CI14" s="210" t="str">
        <f>IF(AND(C14="Skema 2",B14="ma"),Skemaoplysninger!$S$31,"")</f>
        <v/>
      </c>
      <c r="CJ14" s="210" t="str">
        <f>IF(AND(C14="Skema 2",B14="ti"),Skemaoplysninger!$U$31,"")</f>
        <v/>
      </c>
      <c r="CK14" s="210" t="str">
        <f>IF(AND(C14="Skema 2",B14="on"),Skemaoplysninger!$W$31,"")</f>
        <v/>
      </c>
      <c r="CL14" s="210" t="str">
        <f>IF(AND(C14="Skema 2",B14="to"),Skemaoplysninger!$Y$31,"")</f>
        <v/>
      </c>
      <c r="CM14" s="210" t="str">
        <f>IF(AND(C14="Skema 2",B14="fr"),Skemaoplysninger!$AA$31,"")</f>
        <v/>
      </c>
      <c r="CN14" s="210" t="str">
        <f>IF(AND(C14="Skema 3",B14="ma"),Skemaoplysninger!$AG$31,"")</f>
        <v/>
      </c>
      <c r="CO14" s="210" t="str">
        <f>IF(AND(C14="Skema 3",B14="ti"),Skemaoplysninger!$AI$31,"")</f>
        <v/>
      </c>
      <c r="CP14" s="210" t="str">
        <f>IF(AND(C14="Skema 3",B14="on"),Skemaoplysninger!$AK$31,"")</f>
        <v/>
      </c>
      <c r="CQ14" s="210" t="str">
        <f>IF(AND(C14="Skema 3",B14="to"),Skemaoplysninger!$AM$31,"")</f>
        <v/>
      </c>
      <c r="CR14" s="210" t="str">
        <f>IF(AND(C14="Skema 3",B14="fr"),Skemaoplysninger!$AO$31,"")</f>
        <v/>
      </c>
      <c r="CS14" s="210" t="str">
        <f>IF(AND(C14="Skema 4",B14="ma"),Skemaoplysninger!$AU$31,"")</f>
        <v/>
      </c>
      <c r="CT14" s="210" t="str">
        <f>IF(AND(C14="Skema 4",B14="ti"),Skemaoplysninger!$AW$31,"")</f>
        <v/>
      </c>
      <c r="CU14" s="210" t="str">
        <f>IF(AND(C14="Skema 4",B14="on"),Skemaoplysninger!$AY$31,"")</f>
        <v/>
      </c>
      <c r="CV14" s="210" t="str">
        <f>IF(AND(C14="Skema 4",B14="to"),Skemaoplysninger!$BA$31,"")</f>
        <v/>
      </c>
      <c r="CW14" s="210" t="str">
        <f>IF(AND(C14="Skema 4",B14="fr"),Skemaoplysninger!$BC$31,"")</f>
        <v/>
      </c>
      <c r="CX14" s="249">
        <f>IF(Stamoplysninger!$H$29="NEJ",SUM(CD14:CW14)*24+CB14+CC14,0)</f>
        <v>0</v>
      </c>
      <c r="CY14" s="249">
        <f>IF(C14="Skema 1",Stamoplysninger!$H$30/200,0)</f>
        <v>0</v>
      </c>
      <c r="CZ14" s="249">
        <f>IF(C14="Skema 2",Stamoplysninger!$H$30/200,0)</f>
        <v>0</v>
      </c>
      <c r="DA14" s="249">
        <f>IF(C14="Skema 3",Stamoplysninger!$H$30/200,0)</f>
        <v>0</v>
      </c>
      <c r="DB14" s="249">
        <f>IF(C14="Skema 4",Stamoplysninger!$H$30/200,0)</f>
        <v>0</v>
      </c>
      <c r="DC14" s="249">
        <f>IF(C14="fagdag",Stamoplysninger!$H$30/200,0)</f>
        <v>0</v>
      </c>
      <c r="DD14" s="249">
        <f>IF(C14="emnedag",Stamoplysninger!$H$30/200,0)</f>
        <v>0</v>
      </c>
      <c r="DE14" s="249">
        <f>IF(C14="lejrskole",Stamoplysninger!$H$30/200,0)</f>
        <v>0</v>
      </c>
      <c r="DF14" s="249">
        <f>IF(C14="ekskursion",Stamoplysninger!$H$30/200,0)</f>
        <v>0</v>
      </c>
      <c r="DG14" s="249">
        <f t="shared" si="26"/>
        <v>0</v>
      </c>
      <c r="DH14" t="str">
        <f t="shared" si="27"/>
        <v/>
      </c>
      <c r="DI14">
        <f t="shared" si="28"/>
        <v>0</v>
      </c>
      <c r="DJ14">
        <f t="shared" si="29"/>
        <v>0</v>
      </c>
      <c r="DK14" t="str">
        <f t="shared" si="14"/>
        <v/>
      </c>
      <c r="DL14" t="str">
        <f t="shared" si="14"/>
        <v/>
      </c>
      <c r="DM14" t="str">
        <f t="shared" si="14"/>
        <v/>
      </c>
      <c r="DN14" t="str">
        <f t="shared" si="30"/>
        <v/>
      </c>
      <c r="DO14" s="652">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71">
        <f>IF(AND(Stamoplysninger!$B$22="Ulempetillæg udbetales med 25% af nettotimelønnen.",C14="ikke relevant"),(R14)/4,0)</f>
        <v>0</v>
      </c>
      <c r="DT14" s="671">
        <f>IF(AND(AND(Stamoplysninger!$B$22="Ulempetillæg udbetales med 25% af nettotimelønnen.",I14="X",C14="Ikke relevant")),K14/4,0)</f>
        <v>0</v>
      </c>
      <c r="DU14" s="671">
        <f>IF(AND(AND(Stamoplysninger!$B$22="Ulempetillæg udbetales med 25% af nettotimelønnen.",C14="ikke relevant",U14="X")),(X14/4),0)</f>
        <v>0</v>
      </c>
      <c r="DV14" s="672">
        <f>IF(AND(AND(AND(Stamoplysninger!$B$22="Ulempetillæg udbetales med 25% af nettotimelønnen.",I14="X",C14="Ikke relevant",S14="X"))),V14/4,0)</f>
        <v>0</v>
      </c>
      <c r="DW14" s="652"/>
      <c r="DZ14" s="671"/>
      <c r="EA14" s="671"/>
      <c r="EB14" s="672"/>
      <c r="EC14" s="652">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71">
        <f>IF(AND(Stamoplysninger!$B$22="Ulempetillæg afspadseres med 25%(Kræver en aftale imellem ledelsen og den ansatte)",C14="ikke relevant"),(R14)/4,0)</f>
        <v>0</v>
      </c>
      <c r="EH14" s="671">
        <f>IF(AND(AND(Stamoplysninger!$B$22="Ulempetillæg afspadseres med 25%(Kræver en aftale imellem ledelsen og den ansatte)",I14="X",C14="Ikke relevant")),K14/4,0)</f>
        <v>0</v>
      </c>
      <c r="EI14" s="671">
        <f>IF(AND(AND(Stamoplysninger!$B$22="Ulempetillæg afspadseres med 25%(Kræver en aftale imellem ledelsen og den ansatte)",U14="X",C14="Ikke relevant")),X14/4,0)</f>
        <v>0</v>
      </c>
      <c r="EJ14" s="671">
        <f>IF(AND(AND(AND(Stamoplysninger!$B$22="Ulempetillæg afspadseres med 25%(Kræver en aftale imellem ledelsen og den ansatte)",I14="X",C14="Ikke relevant",S14="X"))),V14/4,0)</f>
        <v>0</v>
      </c>
      <c r="EK14" s="283">
        <f>IF(AND(Stamoplysninger!$B$26="Weekendtimer og weekendtillæg afspadseres.",I14="X"),K14*1.5,0)</f>
        <v>0</v>
      </c>
      <c r="EL14" s="251">
        <f>IF(AND(AND(Stamoplysninger!$B$26="Weekendtimer og weekendtillæg afspadseres.",I14="X",S14="X")),V14*1.5,0)</f>
        <v>0</v>
      </c>
      <c r="EM14" s="674">
        <f>IF(AND(AND(Stamoplysninger!$B$26="Weekendtimer og weekendtillæg afspadseres.",I14="X",C14="ikke relevant")),K14*1.5,0)</f>
        <v>0</v>
      </c>
      <c r="EN14" s="675">
        <f>IF(AND(AND(AND(Stamoplysninger!$B$26="Weekendtimer og weekendtillæg afspadseres.",I14="X",C14="ikke relevant",S14="X"))),(V14*1.5),0)</f>
        <v>0</v>
      </c>
      <c r="EO14" s="283">
        <f>IF(AND(Stamoplysninger!$B$26="Weekendtimer og weekendtillæg udbetales.",I14="X"),K14*1.5,0)</f>
        <v>0</v>
      </c>
      <c r="EP14" s="251">
        <f>IF(AND(AND(Stamoplysninger!$B$26="Weekendtimer og weekendtillæg udbetales.",I14="X",S14="X")),V14*1.5,0)</f>
        <v>0</v>
      </c>
      <c r="EQ14" s="674">
        <f>IF(AND(AND(Stamoplysninger!$B$26="Weekendtimer og weekendtillæg udbetales.",I14="X",C14="ikke relevant")),K14*1.5,0)</f>
        <v>0</v>
      </c>
      <c r="ER14" s="675">
        <f>IF(AND(AND(AND(Stamoplysninger!$B$26="Weekendtimer og weekendtillæg udbetales.",I14="X",C14="ikke relevant",S14="X"))),(V14*1.5),0)</f>
        <v>0</v>
      </c>
      <c r="ES14" s="283">
        <f>IF(AND(Stamoplysninger!$B$26="Der er indgået lokalaftale omkring weekendtimer.(Kræver aftale med TR/FSL) Weekendtillæg afspadseres.",I14="X"),K14*0.5,0)</f>
        <v>0</v>
      </c>
      <c r="ET14" s="251">
        <f>IF(AND(AND(Stamoplysninger!$B$26="Der er indgået lokalaftale omkring weekendtimer.(Kræver aftale med TR/FSL) Weekendtillæg afspadseres.",I14="X",S14="X")),V14*0.5,0)</f>
        <v>0</v>
      </c>
      <c r="EU14" s="674">
        <f>IF(AND(AND(Stamoplysninger!$B$26="Der er indgået lokalaftale omkring weekendtimer.(Kræver aftale med TR/FSL) Weekendtillæg afspadseres.",I14="X",C14="ikke relevant")),K14*0.5,0)</f>
        <v>0</v>
      </c>
      <c r="EV14" s="675">
        <f>IF(AND(AND(AND(Stamoplysninger!$B$26="Der er indgået lokalaftale omkring weekendtimer.(Kræver aftale med TR/FSL) Weekendtillæg afspadseres.",I14="X",C14="ikke relevant",S14="X"))),(V14*0.5),0)</f>
        <v>0</v>
      </c>
      <c r="EW14" s="283">
        <f>IF(AND(Stamoplysninger!$B$26="Der er indgået lokalaftale omkring weekendtimer(Kræver aftale med TR/FSL). Weekendtillæg udbetales.",I14="X"),K14*0.5,0)</f>
        <v>0</v>
      </c>
      <c r="EX14" s="251">
        <f>IF(AND(AND(Stamoplysninger!$B$26="Der er indgået lokalaftale omkring weekendtimer(Kræver aftale med TR/FSL). Weekendtillæg udbetales.",I14="X",S14="X")),V14*0.5,0)</f>
        <v>0</v>
      </c>
      <c r="EY14" s="674">
        <f>IF(AND(AND(Stamoplysninger!$B$26="Der er indgået lokalaftale omkring weekendtimer(Kræver aftale med TR/FSL). Weekendtillæg udbetales.",I14="X",C14="ikke relevant")),K14*0.5,0)</f>
        <v>0</v>
      </c>
      <c r="EZ14" s="675">
        <f>IF(AND(AND(AND(Stamoplysninger!$B$26="Der er indgået lokalaftale omkring weekendtimer(Kræver aftale med TR/FSL). Weekendtillæg udbetales.",I14="X",C14="ikke relevant",S14="X"))),(V14*0.5),0)</f>
        <v>0</v>
      </c>
      <c r="FA14" s="283">
        <f>IF(AND(Stamoplysninger!$B$26="Der er indgået lokalaftale omkring weekendtillæg(Kræver aftale med TR/FSL). Weekendtimerne afspadseres.",I14="X"),K14,0)</f>
        <v>0</v>
      </c>
      <c r="FB14" s="251">
        <f>IF(AND(AND(Stamoplysninger!$B$26="Der er indgået lokalaftale omkring weekendtillæg(Kræver aftale med TR/FSL). Weekendtimerne afspadseres.",I14="X",S14="X")),V14,0)</f>
        <v>0</v>
      </c>
      <c r="FC14" s="674">
        <f>IF(AND(AND(Stamoplysninger!$B$26="Der er indgået lokalaftale omkring weekendtillæg(Kræver aftale med TR/FSL). Weekendtimerne afspadseres..",I14="X",C14="ikke relevant")),K14,0)</f>
        <v>0</v>
      </c>
      <c r="FD14" s="675">
        <f>IF(AND(AND(AND(Stamoplysninger!$B$26="Der er indgået lokalaftale omkring weekendtillæg(Kræver aftale med TR/FSL). Weekendtimerne afspadseres.",I14="X",C14="ikke relevant",S14="X"))),(V14),0)</f>
        <v>0</v>
      </c>
      <c r="FE14" s="283">
        <f>IF(AND(Stamoplysninger!$B$26="Der er indgået lokalaftale omkring weekendtillæg(Kræver aftale med TR/FSL). Weekendtimerne udbetales.",I14="X"),K14,0)</f>
        <v>0</v>
      </c>
      <c r="FF14" s="251">
        <f>IF(AND(AND(Stamoplysninger!$B$26="Der er indgået lokalaftale omkring weekendtillæg(Kræver aftale med TR/FSL). Weekendtimerne udbetales.",I14="X",S14="X")),V14,0)</f>
        <v>0</v>
      </c>
      <c r="FG14" s="674">
        <f>IF(AND(AND(Stamoplysninger!$B$26="Der er indgået lokalaftale omkring weekendtillæg(Kræver aftale med TR/FSL). Weekendtimerne udbetales.",I14="X",C14="ikke relevant")),K14,0)</f>
        <v>0</v>
      </c>
      <c r="FH14" s="675">
        <f>IF(AND(AND(AND(Stamoplysninger!$B$26="Der er indgået lokalaftale omkring weekendtillæg(Kræver aftale med TR/FSL). Weekendtimerne udbetales.",I14="X",C14="ikke relevant",S14="X"))),(V14),0)</f>
        <v>0</v>
      </c>
      <c r="FI14" s="283">
        <f>IF(AND(Stamoplysninger!$B$26="Weekendtimer og weekendtillæg afspadseres.",I14="X"),K14,0)</f>
        <v>0</v>
      </c>
      <c r="FJ14" s="251">
        <f>IF(AND(Stamoplysninger!$B$26="Weekendtimer og weekendtillæg afspadseres.",Y14="X"),(AA14+AL14)/2,0)</f>
        <v>0</v>
      </c>
      <c r="FK14" s="674">
        <f>IF(AND(AND(Stamoplysninger!$B$26="Weekendtimer og weekendtillæg afspadseres.",I14="X",C14="ikke relevant")),K14,0)</f>
        <v>0</v>
      </c>
      <c r="FL14" s="675">
        <f>IF(AND(AND(Stamoplysninger!$B$26="Weekendtimer og weekendtillæg afspadseres.",Y14="X",S14="ikke relevant")),(AA14+AL14)/2,0)</f>
        <v>0</v>
      </c>
      <c r="FM14" s="283">
        <f>IF(AND(Stamoplysninger!$B$26="Der er indgået lokalaftale omkring weekendtillæg(Kræver aftale med TR/FSL). Weekendtimerne afspadseres.",I14="X"),K14,0)</f>
        <v>0</v>
      </c>
      <c r="FN14" s="674">
        <f>IF(AND(AND(Stamoplysninger!$B$26="Der er indgået lokalaftale omkring weekendtillæg(Kræver aftale med TR/FSL). Weekendtimerne afspadseres.",I14="X",C14="ikke relevant")),K14,0)</f>
        <v>0</v>
      </c>
      <c r="FO14" s="283">
        <f>IF(AND(Stamoplysninger!$B$26="Weekendtimer og weekendtillæg udbetales.",I14="X"),K14,0)</f>
        <v>0</v>
      </c>
      <c r="FP14" s="251">
        <f>IF(AND(Stamoplysninger!$B$26="Weekendtimer og weekendtillæg udbetales.",AA14="X"),(AC14+AN14)/2,0)</f>
        <v>0</v>
      </c>
      <c r="FQ14" s="674">
        <f>IF(AND(AND(Stamoplysninger!$B$26="Weekendtimer og weekendtillæg udbetales.",I14="X",C14="ikke relevant")),K14,0)</f>
        <v>0</v>
      </c>
      <c r="FR14" s="688">
        <f>IF(AND(AND(Stamoplysninger!$B$26="Weekendtimer og weekendtillæg udbetales.",AA14="X",U14="ikke relevant")),(AC14+AN14)/2,0)</f>
        <v>0</v>
      </c>
      <c r="FS14" s="283">
        <f t="shared" si="15"/>
        <v>0</v>
      </c>
      <c r="FT14" s="658">
        <f t="shared" si="16"/>
        <v>0</v>
      </c>
      <c r="FU14">
        <f t="shared" si="17"/>
        <v>0</v>
      </c>
      <c r="FV14" s="283">
        <f>IF(AND(Stamoplysninger!$B$26="Der er indgået lokalaftale omkring weekendtimer.(Kræver aftale med TR/FSL) Weekendtillæg afspadseres.",I14="X"),K14,0)</f>
        <v>0</v>
      </c>
      <c r="FW14" s="674">
        <f>IF(AND(AND(Stamoplysninger!$B$26="Der er indgået lokalaftale omkring weekendtimer.(Kræver aftale med TR/FSL) Weekendtillæg afspadseres.",I14="X",C14="ikke relevant")),K14,0)</f>
        <v>0</v>
      </c>
      <c r="FX14" s="283">
        <f>IF(AND(Stamoplysninger!$B$26="Der er indgået lokalaftale omkring weekendtimer(Kræver aftale med TR/FSL). Weekendtillæg udbetales.",I14="X"),K14,0)</f>
        <v>0</v>
      </c>
      <c r="FY14" s="674">
        <f>IF(AND(AND(Stamoplysninger!$B$26="Der er indgået lokalaftale omkring weekendtimer(Kræver aftale med TR/FSL). Weekendtillæg udbetales.",I14="X",C14="ikke relevant")),K14,0)</f>
        <v>0</v>
      </c>
      <c r="FZ14" s="283">
        <f>IF(AND(Stamoplysninger!$B$26="Der er indgået lokalaftale omkring weekendtillæg(Kræver aftale med TR/FSL). Weekendtimerne udbetales.",I14="X"),K14,0)</f>
        <v>0</v>
      </c>
      <c r="GA14" s="674">
        <f>IF(AND(AND(Stamoplysninger!$B$26="Der er indgået lokalaftale omkring weekendtillæg(Kræver aftale med TR/FSL). Weekendtimerne udbetales.",I14="X",C14="ikke relevant")),K14,0)</f>
        <v>0</v>
      </c>
      <c r="GB14" s="283">
        <f>IF(AND(Stamoplysninger!$B$26="Der er indgået lokalaftale omkring weekendtimer og weekendtillæg.(Kræver aftale med TR/FSL).",I14="X"),K14,0)</f>
        <v>0</v>
      </c>
      <c r="GC14" s="674">
        <f>IF(AND(AND(Stamoplysninger!$B$26="Der er indgået lokalaftale omkring weekendtimer og weekendtillæg.(Kræver aftale med TR/FSL).",I14="X",C14="ikke relevant")),K14,0)</f>
        <v>0</v>
      </c>
    </row>
    <row r="15" spans="1:185" ht="16" customHeight="1">
      <c r="A15" s="245">
        <f t="shared" si="18"/>
        <v>7</v>
      </c>
      <c r="B15" s="128" t="str">
        <f t="shared" si="0"/>
        <v>ma</v>
      </c>
      <c r="C15" s="129" t="s">
        <v>136</v>
      </c>
      <c r="D15" s="130">
        <f t="shared" si="1"/>
        <v>41</v>
      </c>
      <c r="E15" s="917" t="s">
        <v>702</v>
      </c>
      <c r="F15" s="918"/>
      <c r="G15" s="919"/>
      <c r="H15" s="298"/>
      <c r="I15" s="527"/>
      <c r="J15" s="413"/>
      <c r="K15" s="380">
        <v>6.5</v>
      </c>
      <c r="L15" s="380">
        <v>4.5</v>
      </c>
      <c r="M15" s="380">
        <v>1</v>
      </c>
      <c r="N15" s="318">
        <f t="shared" si="19"/>
        <v>6.5</v>
      </c>
      <c r="O15" s="318">
        <f t="shared" si="20"/>
        <v>4.5</v>
      </c>
      <c r="P15" s="318">
        <f>IF(Stamoplysninger!$H$29="JA",Oktober!DG15,CX15)</f>
        <v>1</v>
      </c>
      <c r="Q15" s="318">
        <f t="shared" si="21"/>
        <v>1</v>
      </c>
      <c r="R15" s="319"/>
      <c r="S15" s="324"/>
      <c r="T15" s="325"/>
      <c r="U15" s="325"/>
      <c r="V15" s="435"/>
      <c r="W15" s="412"/>
      <c r="X15" s="642"/>
      <c r="Y15">
        <f t="shared" si="22"/>
        <v>0</v>
      </c>
      <c r="Z15">
        <f t="shared" si="2"/>
        <v>0</v>
      </c>
      <c r="AA15" s="1">
        <f t="shared" si="3"/>
        <v>0</v>
      </c>
      <c r="AB15" s="1">
        <f t="shared" si="4"/>
        <v>6.5</v>
      </c>
      <c r="AC15" s="1">
        <f t="shared" si="5"/>
        <v>0</v>
      </c>
      <c r="AD15" s="1">
        <f t="shared" si="6"/>
        <v>0</v>
      </c>
      <c r="AE15" s="1">
        <f t="shared" si="7"/>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6.5</v>
      </c>
      <c r="BB15" s="229">
        <f t="shared" si="8"/>
        <v>0</v>
      </c>
      <c r="BC15" s="1">
        <f t="shared" si="24"/>
        <v>0</v>
      </c>
      <c r="BD15" s="1">
        <f t="shared" si="9"/>
        <v>0</v>
      </c>
      <c r="BE15" s="1">
        <f t="shared" si="10"/>
        <v>4.5</v>
      </c>
      <c r="BF15" s="1">
        <f t="shared" si="11"/>
        <v>0</v>
      </c>
      <c r="BG15" s="210" t="str">
        <f>IF(AND(C15="Skema 1",B15="ma"),Skemaoplysninger!$E$30,"")</f>
        <v/>
      </c>
      <c r="BH15" s="210" t="str">
        <f>IF(AND(C15="Skema 1",B15="ti"),Skemaoplysninger!$G$30,"")</f>
        <v/>
      </c>
      <c r="BI15" s="210" t="str">
        <f>IF(AND(C15="Skema 1",B15="on"),Skemaoplysninger!$I$30,"")</f>
        <v/>
      </c>
      <c r="BJ15" s="210" t="str">
        <f>IF(AND(C15="Skema 1",B15="to"),Skemaoplysninger!$K$30,"")</f>
        <v/>
      </c>
      <c r="BK15" s="210" t="str">
        <f>IF(AND(C15="Skema 1",B15="fr"),Skemaoplysninger!$M$30,"")</f>
        <v/>
      </c>
      <c r="BL15" s="210" t="str">
        <f>IF(AND(C15="Skema 2",B15="ma"),Skemaoplysninger!$S$30,"")</f>
        <v/>
      </c>
      <c r="BM15" s="210" t="str">
        <f>IF(AND(C15="Skema 2",B15="ti"),Skemaoplysninger!$U$30,"")</f>
        <v/>
      </c>
      <c r="BN15" s="210" t="str">
        <f>IF(AND(C15="Skema 2",B15="on"),Skemaoplysninger!$W$30,"")</f>
        <v/>
      </c>
      <c r="BO15" s="210" t="str">
        <f>IF(AND(C15="Skema 2",B15="to"),Skemaoplysninger!$Y$30,"")</f>
        <v/>
      </c>
      <c r="BP15" s="210" t="str">
        <f>IF(AND(C15="Skema 2",B15="fr"),Skemaoplysninger!$AA$30,"")</f>
        <v/>
      </c>
      <c r="BQ15" s="210" t="str">
        <f>IF(AND(C15="Skema 3",B15="ma"),Skemaoplysninger!$AG$30,"")</f>
        <v/>
      </c>
      <c r="BR15" s="210" t="str">
        <f>IF(AND(C15="Skema 3",B15="ti"),Skemaoplysninger!$AI$30,"")</f>
        <v/>
      </c>
      <c r="BS15" s="210" t="str">
        <f>IF(AND(C15="Skema 3",B15="on"),Skemaoplysninger!$AK$30,"")</f>
        <v/>
      </c>
      <c r="BT15" s="210" t="str">
        <f>IF(AND(C15="Skema 3",B15="to"),Skemaoplysninger!$AM$30,"")</f>
        <v/>
      </c>
      <c r="BU15" s="210" t="str">
        <f>IF(AND(C15="Skema 3",B15="fr"),Skemaoplysninger!$AO$30,"")</f>
        <v/>
      </c>
      <c r="BV15" s="210" t="str">
        <f>IF(AND(C15="Skema 4",B15="ma"),Skemaoplysninger!$AU$30,"")</f>
        <v/>
      </c>
      <c r="BW15" s="210" t="str">
        <f>IF(AND(C15="Skema 4",B15="ti"),Skemaoplysninger!$AW$30,"")</f>
        <v/>
      </c>
      <c r="BX15" s="210" t="str">
        <f>IF(AND(C15="Skema 4",B15="on"),Skemaoplysninger!$AY$30,"")</f>
        <v/>
      </c>
      <c r="BY15" s="210" t="str">
        <f>IF(AND(C15="Skema 4",B15="to"),Skemaoplysninger!$BA$30,"")</f>
        <v/>
      </c>
      <c r="BZ15" s="210" t="str">
        <f>IF(AND(C15="Skema 4",B15="fr"),Skemaoplysninger!$BC$30,"")</f>
        <v/>
      </c>
      <c r="CA15" s="1">
        <f t="shared" si="25"/>
        <v>4.5</v>
      </c>
      <c r="CB15" s="1">
        <f t="shared" si="12"/>
        <v>1</v>
      </c>
      <c r="CC15" s="1">
        <f t="shared" si="13"/>
        <v>0</v>
      </c>
      <c r="CD15" s="210" t="str">
        <f>IF(AND(C15="Skema 1",B15="ma"),Skemaoplysninger!$E$31,"")</f>
        <v/>
      </c>
      <c r="CE15" s="210" t="str">
        <f>IF(AND(C15="Skema 1",B15="ti"),Skemaoplysninger!$G$31,"")</f>
        <v/>
      </c>
      <c r="CF15" s="210" t="str">
        <f>IF(AND(C15="Skema 1",B15="on"),Skemaoplysninger!$I$31,"")</f>
        <v/>
      </c>
      <c r="CG15" s="210" t="str">
        <f>IF(AND(C15="Skema 1",B15="to"),Skemaoplysninger!$K$31,"")</f>
        <v/>
      </c>
      <c r="CH15" s="210" t="str">
        <f>IF(AND(C15="Skema 1",B15="fr"),Skemaoplysninger!$M$31,"")</f>
        <v/>
      </c>
      <c r="CI15" s="210" t="str">
        <f>IF(AND(C15="Skema 2",B15="ma"),Skemaoplysninger!$S$31,"")</f>
        <v/>
      </c>
      <c r="CJ15" s="210" t="str">
        <f>IF(AND(C15="Skema 2",B15="ti"),Skemaoplysninger!$U$31,"")</f>
        <v/>
      </c>
      <c r="CK15" s="210" t="str">
        <f>IF(AND(C15="Skema 2",B15="on"),Skemaoplysninger!$W$31,"")</f>
        <v/>
      </c>
      <c r="CL15" s="210" t="str">
        <f>IF(AND(C15="Skema 2",B15="to"),Skemaoplysninger!$Y$31,"")</f>
        <v/>
      </c>
      <c r="CM15" s="210" t="str">
        <f>IF(AND(C15="Skema 2",B15="fr"),Skemaoplysninger!$AA$31,"")</f>
        <v/>
      </c>
      <c r="CN15" s="210" t="str">
        <f>IF(AND(C15="Skema 3",B15="ma"),Skemaoplysninger!$AG$31,"")</f>
        <v/>
      </c>
      <c r="CO15" s="210" t="str">
        <f>IF(AND(C15="Skema 3",B15="ti"),Skemaoplysninger!$AI$31,"")</f>
        <v/>
      </c>
      <c r="CP15" s="210" t="str">
        <f>IF(AND(C15="Skema 3",B15="on"),Skemaoplysninger!$AK$31,"")</f>
        <v/>
      </c>
      <c r="CQ15" s="210" t="str">
        <f>IF(AND(C15="Skema 3",B15="to"),Skemaoplysninger!$AM$31,"")</f>
        <v/>
      </c>
      <c r="CR15" s="210" t="str">
        <f>IF(AND(C15="Skema 3",B15="fr"),Skemaoplysninger!$AO$31,"")</f>
        <v/>
      </c>
      <c r="CS15" s="210" t="str">
        <f>IF(AND(C15="Skema 4",B15="ma"),Skemaoplysninger!$AU$31,"")</f>
        <v/>
      </c>
      <c r="CT15" s="210" t="str">
        <f>IF(AND(C15="Skema 4",B15="ti"),Skemaoplysninger!$AW$31,"")</f>
        <v/>
      </c>
      <c r="CU15" s="210" t="str">
        <f>IF(AND(C15="Skema 4",B15="on"),Skemaoplysninger!$AY$31,"")</f>
        <v/>
      </c>
      <c r="CV15" s="210" t="str">
        <f>IF(AND(C15="Skema 4",B15="to"),Skemaoplysninger!$BA$31,"")</f>
        <v/>
      </c>
      <c r="CW15" s="210" t="str">
        <f>IF(AND(C15="Skema 4",B15="fr"),Skemaoplysninger!$BC$31,"")</f>
        <v/>
      </c>
      <c r="CX15" s="249">
        <f>IF(Stamoplysninger!$H$29="NEJ",SUM(CD15:CW15)*24+CB15+CC15,0)</f>
        <v>1</v>
      </c>
      <c r="CY15" s="249">
        <f>IF(C15="Skema 1",Stamoplysninger!$H$30/200,0)</f>
        <v>0</v>
      </c>
      <c r="CZ15" s="249">
        <f>IF(C15="Skema 2",Stamoplysninger!$H$30/200,0)</f>
        <v>0</v>
      </c>
      <c r="DA15" s="249">
        <f>IF(C15="Skema 3",Stamoplysninger!$H$30/200,0)</f>
        <v>0</v>
      </c>
      <c r="DB15" s="249">
        <f>IF(C15="Skema 4",Stamoplysninger!$H$30/200,0)</f>
        <v>0</v>
      </c>
      <c r="DC15" s="249">
        <f>IF(C15="fagdag",Stamoplysninger!$H$30/200,0)</f>
        <v>0</v>
      </c>
      <c r="DD15" s="249">
        <f>IF(C15="emnedag",Stamoplysninger!$H$30/200,0)</f>
        <v>0</v>
      </c>
      <c r="DE15" s="249">
        <f>IF(C15="lejrskole",Stamoplysninger!$H$30/200,0)</f>
        <v>0</v>
      </c>
      <c r="DF15" s="249">
        <f>IF(C15="ekskursion",Stamoplysninger!$H$30/200,0)</f>
        <v>0</v>
      </c>
      <c r="DG15" s="249">
        <f t="shared" si="26"/>
        <v>0</v>
      </c>
      <c r="DH15" t="str">
        <f t="shared" si="27"/>
        <v/>
      </c>
      <c r="DI15" t="str">
        <f t="shared" si="28"/>
        <v>Naturvidenskabsfestival</v>
      </c>
      <c r="DJ15" t="str">
        <f t="shared" si="29"/>
        <v/>
      </c>
      <c r="DK15" t="str">
        <f t="shared" si="14"/>
        <v/>
      </c>
      <c r="DL15" t="str">
        <f t="shared" si="14"/>
        <v>Naturvidenskabsfestival</v>
      </c>
      <c r="DM15" t="str">
        <f t="shared" si="14"/>
        <v/>
      </c>
      <c r="DN15" t="str">
        <f t="shared" si="30"/>
        <v>Naturvidenskabsfestival</v>
      </c>
      <c r="DO15" s="652">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71">
        <f>IF(AND(Stamoplysninger!$B$22="Ulempetillæg udbetales med 25% af nettotimelønnen.",C15="ikke relevant"),(R15)/4,0)</f>
        <v>0</v>
      </c>
      <c r="DT15" s="671">
        <f>IF(AND(AND(Stamoplysninger!$B$22="Ulempetillæg udbetales med 25% af nettotimelønnen.",I15="X",C15="Ikke relevant")),K15/4,0)</f>
        <v>0</v>
      </c>
      <c r="DU15" s="671">
        <f>IF(AND(AND(Stamoplysninger!$B$22="Ulempetillæg udbetales med 25% af nettotimelønnen.",C15="ikke relevant",U15="X")),(X15/4),0)</f>
        <v>0</v>
      </c>
      <c r="DV15" s="672">
        <f>IF(AND(AND(AND(Stamoplysninger!$B$22="Ulempetillæg udbetales med 25% af nettotimelønnen.",I15="X",C15="Ikke relevant",S15="X"))),V15/4,0)</f>
        <v>0</v>
      </c>
      <c r="DW15" s="652"/>
      <c r="DZ15" s="671"/>
      <c r="EA15" s="671"/>
      <c r="EB15" s="672"/>
      <c r="EC15" s="652">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71">
        <f>IF(AND(Stamoplysninger!$B$22="Ulempetillæg afspadseres med 25%(Kræver en aftale imellem ledelsen og den ansatte)",C15="ikke relevant"),(R15)/4,0)</f>
        <v>0</v>
      </c>
      <c r="EH15" s="671">
        <f>IF(AND(AND(Stamoplysninger!$B$22="Ulempetillæg afspadseres med 25%(Kræver en aftale imellem ledelsen og den ansatte)",I15="X",C15="Ikke relevant")),K15/4,0)</f>
        <v>0</v>
      </c>
      <c r="EI15" s="671">
        <f>IF(AND(AND(Stamoplysninger!$B$22="Ulempetillæg afspadseres med 25%(Kræver en aftale imellem ledelsen og den ansatte)",U15="X",C15="Ikke relevant")),X15/4,0)</f>
        <v>0</v>
      </c>
      <c r="EJ15" s="671">
        <f>IF(AND(AND(AND(Stamoplysninger!$B$22="Ulempetillæg afspadseres med 25%(Kræver en aftale imellem ledelsen og den ansatte)",I15="X",C15="Ikke relevant",S15="X"))),V15/4,0)</f>
        <v>0</v>
      </c>
      <c r="EK15" s="283">
        <f>IF(AND(Stamoplysninger!$B$26="Weekendtimer og weekendtillæg afspadseres.",I15="X"),K15*1.5,0)</f>
        <v>0</v>
      </c>
      <c r="EL15" s="251">
        <f>IF(AND(AND(Stamoplysninger!$B$26="Weekendtimer og weekendtillæg afspadseres.",I15="X",S15="X")),V15*1.5,0)</f>
        <v>0</v>
      </c>
      <c r="EM15" s="674">
        <f>IF(AND(AND(Stamoplysninger!$B$26="Weekendtimer og weekendtillæg afspadseres.",I15="X",C15="ikke relevant")),K15*1.5,0)</f>
        <v>0</v>
      </c>
      <c r="EN15" s="675">
        <f>IF(AND(AND(AND(Stamoplysninger!$B$26="Weekendtimer og weekendtillæg afspadseres.",I15="X",C15="ikke relevant",S15="X"))),(V15*1.5),0)</f>
        <v>0</v>
      </c>
      <c r="EO15" s="283">
        <f>IF(AND(Stamoplysninger!$B$26="Weekendtimer og weekendtillæg udbetales.",I15="X"),K15*1.5,0)</f>
        <v>0</v>
      </c>
      <c r="EP15" s="251">
        <f>IF(AND(AND(Stamoplysninger!$B$26="Weekendtimer og weekendtillæg udbetales.",I15="X",S15="X")),V15*1.5,0)</f>
        <v>0</v>
      </c>
      <c r="EQ15" s="674">
        <f>IF(AND(AND(Stamoplysninger!$B$26="Weekendtimer og weekendtillæg udbetales.",I15="X",C15="ikke relevant")),K15*1.5,0)</f>
        <v>0</v>
      </c>
      <c r="ER15" s="675">
        <f>IF(AND(AND(AND(Stamoplysninger!$B$26="Weekendtimer og weekendtillæg udbetales.",I15="X",C15="ikke relevant",S15="X"))),(V15*1.5),0)</f>
        <v>0</v>
      </c>
      <c r="ES15" s="283">
        <f>IF(AND(Stamoplysninger!$B$26="Der er indgået lokalaftale omkring weekendtimer.(Kræver aftale med TR/FSL) Weekendtillæg afspadseres.",I15="X"),K15*0.5,0)</f>
        <v>0</v>
      </c>
      <c r="ET15" s="251">
        <f>IF(AND(AND(Stamoplysninger!$B$26="Der er indgået lokalaftale omkring weekendtimer.(Kræver aftale med TR/FSL) Weekendtillæg afspadseres.",I15="X",S15="X")),V15*0.5,0)</f>
        <v>0</v>
      </c>
      <c r="EU15" s="674">
        <f>IF(AND(AND(Stamoplysninger!$B$26="Der er indgået lokalaftale omkring weekendtimer.(Kræver aftale med TR/FSL) Weekendtillæg afspadseres.",I15="X",C15="ikke relevant")),K15*0.5,0)</f>
        <v>0</v>
      </c>
      <c r="EV15" s="675">
        <f>IF(AND(AND(AND(Stamoplysninger!$B$26="Der er indgået lokalaftale omkring weekendtimer.(Kræver aftale med TR/FSL) Weekendtillæg afspadseres.",I15="X",C15="ikke relevant",S15="X"))),(V15*0.5),0)</f>
        <v>0</v>
      </c>
      <c r="EW15" s="283">
        <f>IF(AND(Stamoplysninger!$B$26="Der er indgået lokalaftale omkring weekendtimer(Kræver aftale med TR/FSL). Weekendtillæg udbetales.",I15="X"),K15*0.5,0)</f>
        <v>0</v>
      </c>
      <c r="EX15" s="251">
        <f>IF(AND(AND(Stamoplysninger!$B$26="Der er indgået lokalaftale omkring weekendtimer(Kræver aftale med TR/FSL). Weekendtillæg udbetales.",I15="X",S15="X")),V15*0.5,0)</f>
        <v>0</v>
      </c>
      <c r="EY15" s="674">
        <f>IF(AND(AND(Stamoplysninger!$B$26="Der er indgået lokalaftale omkring weekendtimer(Kræver aftale med TR/FSL). Weekendtillæg udbetales.",I15="X",C15="ikke relevant")),K15*0.5,0)</f>
        <v>0</v>
      </c>
      <c r="EZ15" s="675">
        <f>IF(AND(AND(AND(Stamoplysninger!$B$26="Der er indgået lokalaftale omkring weekendtimer(Kræver aftale med TR/FSL). Weekendtillæg udbetales.",I15="X",C15="ikke relevant",S15="X"))),(V15*0.5),0)</f>
        <v>0</v>
      </c>
      <c r="FA15" s="283">
        <f>IF(AND(Stamoplysninger!$B$26="Der er indgået lokalaftale omkring weekendtillæg(Kræver aftale med TR/FSL). Weekendtimerne afspadseres.",I15="X"),K15,0)</f>
        <v>0</v>
      </c>
      <c r="FB15" s="251">
        <f>IF(AND(AND(Stamoplysninger!$B$26="Der er indgået lokalaftale omkring weekendtillæg(Kræver aftale med TR/FSL). Weekendtimerne afspadseres.",I15="X",S15="X")),V15,0)</f>
        <v>0</v>
      </c>
      <c r="FC15" s="674">
        <f>IF(AND(AND(Stamoplysninger!$B$26="Der er indgået lokalaftale omkring weekendtillæg(Kræver aftale med TR/FSL). Weekendtimerne afspadseres..",I15="X",C15="ikke relevant")),K15,0)</f>
        <v>0</v>
      </c>
      <c r="FD15" s="675">
        <f>IF(AND(AND(AND(Stamoplysninger!$B$26="Der er indgået lokalaftale omkring weekendtillæg(Kræver aftale med TR/FSL). Weekendtimerne afspadseres.",I15="X",C15="ikke relevant",S15="X"))),(V15),0)</f>
        <v>0</v>
      </c>
      <c r="FE15" s="283">
        <f>IF(AND(Stamoplysninger!$B$26="Der er indgået lokalaftale omkring weekendtillæg(Kræver aftale med TR/FSL). Weekendtimerne udbetales.",I15="X"),K15,0)</f>
        <v>0</v>
      </c>
      <c r="FF15" s="251">
        <f>IF(AND(AND(Stamoplysninger!$B$26="Der er indgået lokalaftale omkring weekendtillæg(Kræver aftale med TR/FSL). Weekendtimerne udbetales.",I15="X",S15="X")),V15,0)</f>
        <v>0</v>
      </c>
      <c r="FG15" s="674">
        <f>IF(AND(AND(Stamoplysninger!$B$26="Der er indgået lokalaftale omkring weekendtillæg(Kræver aftale med TR/FSL). Weekendtimerne udbetales.",I15="X",C15="ikke relevant")),K15,0)</f>
        <v>0</v>
      </c>
      <c r="FH15" s="675">
        <f>IF(AND(AND(AND(Stamoplysninger!$B$26="Der er indgået lokalaftale omkring weekendtillæg(Kræver aftale med TR/FSL). Weekendtimerne udbetales.",I15="X",C15="ikke relevant",S15="X"))),(V15),0)</f>
        <v>0</v>
      </c>
      <c r="FI15" s="283">
        <f>IF(AND(Stamoplysninger!$B$26="Weekendtimer og weekendtillæg afspadseres.",I15="X"),K15,0)</f>
        <v>0</v>
      </c>
      <c r="FJ15" s="251">
        <f>IF(AND(Stamoplysninger!$B$26="Weekendtimer og weekendtillæg afspadseres.",Y15="X"),(AA15+AL15)/2,0)</f>
        <v>0</v>
      </c>
      <c r="FK15" s="674">
        <f>IF(AND(AND(Stamoplysninger!$B$26="Weekendtimer og weekendtillæg afspadseres.",I15="X",C15="ikke relevant")),K15,0)</f>
        <v>0</v>
      </c>
      <c r="FL15" s="675">
        <f>IF(AND(AND(Stamoplysninger!$B$26="Weekendtimer og weekendtillæg afspadseres.",Y15="X",S15="ikke relevant")),(AA15+AL15)/2,0)</f>
        <v>0</v>
      </c>
      <c r="FM15" s="283">
        <f>IF(AND(Stamoplysninger!$B$26="Der er indgået lokalaftale omkring weekendtillæg(Kræver aftale med TR/FSL). Weekendtimerne afspadseres.",I15="X"),K15,0)</f>
        <v>0</v>
      </c>
      <c r="FN15" s="674">
        <f>IF(AND(AND(Stamoplysninger!$B$26="Der er indgået lokalaftale omkring weekendtillæg(Kræver aftale med TR/FSL). Weekendtimerne afspadseres.",I15="X",C15="ikke relevant")),K15,0)</f>
        <v>0</v>
      </c>
      <c r="FO15" s="283">
        <f>IF(AND(Stamoplysninger!$B$26="Weekendtimer og weekendtillæg udbetales.",I15="X"),K15,0)</f>
        <v>0</v>
      </c>
      <c r="FP15" s="251">
        <f>IF(AND(Stamoplysninger!$B$26="Weekendtimer og weekendtillæg udbetales.",AA15="X"),(AC15+AN15)/2,0)</f>
        <v>0</v>
      </c>
      <c r="FQ15" s="674">
        <f>IF(AND(AND(Stamoplysninger!$B$26="Weekendtimer og weekendtillæg udbetales.",I15="X",C15="ikke relevant")),K15,0)</f>
        <v>0</v>
      </c>
      <c r="FR15" s="688">
        <f>IF(AND(AND(Stamoplysninger!$B$26="Weekendtimer og weekendtillæg udbetales.",AA15="X",U15="ikke relevant")),(AC15+AN15)/2,0)</f>
        <v>0</v>
      </c>
      <c r="FS15" s="283">
        <f t="shared" si="15"/>
        <v>0</v>
      </c>
      <c r="FT15" s="658">
        <f t="shared" si="16"/>
        <v>0</v>
      </c>
      <c r="FU15">
        <f t="shared" si="17"/>
        <v>0</v>
      </c>
      <c r="FV15" s="283">
        <f>IF(AND(Stamoplysninger!$B$26="Der er indgået lokalaftale omkring weekendtimer.(Kræver aftale med TR/FSL) Weekendtillæg afspadseres.",I15="X"),K15,0)</f>
        <v>0</v>
      </c>
      <c r="FW15" s="674">
        <f>IF(AND(AND(Stamoplysninger!$B$26="Der er indgået lokalaftale omkring weekendtimer.(Kræver aftale med TR/FSL) Weekendtillæg afspadseres.",I15="X",C15="ikke relevant")),K15,0)</f>
        <v>0</v>
      </c>
      <c r="FX15" s="283">
        <f>IF(AND(Stamoplysninger!$B$26="Der er indgået lokalaftale omkring weekendtimer(Kræver aftale med TR/FSL). Weekendtillæg udbetales.",I15="X"),K15,0)</f>
        <v>0</v>
      </c>
      <c r="FY15" s="674">
        <f>IF(AND(AND(Stamoplysninger!$B$26="Der er indgået lokalaftale omkring weekendtimer(Kræver aftale med TR/FSL). Weekendtillæg udbetales.",I15="X",C15="ikke relevant")),K15,0)</f>
        <v>0</v>
      </c>
      <c r="FZ15" s="283">
        <f>IF(AND(Stamoplysninger!$B$26="Der er indgået lokalaftale omkring weekendtillæg(Kræver aftale med TR/FSL). Weekendtimerne udbetales.",I15="X"),K15,0)</f>
        <v>0</v>
      </c>
      <c r="GA15" s="674">
        <f>IF(AND(AND(Stamoplysninger!$B$26="Der er indgået lokalaftale omkring weekendtillæg(Kræver aftale med TR/FSL). Weekendtimerne udbetales.",I15="X",C15="ikke relevant")),K15,0)</f>
        <v>0</v>
      </c>
      <c r="GB15" s="283">
        <f>IF(AND(Stamoplysninger!$B$26="Der er indgået lokalaftale omkring weekendtimer og weekendtillæg.(Kræver aftale med TR/FSL).",I15="X"),K15,0)</f>
        <v>0</v>
      </c>
      <c r="GC15" s="674">
        <f>IF(AND(AND(Stamoplysninger!$B$26="Der er indgået lokalaftale omkring weekendtimer og weekendtillæg.(Kræver aftale med TR/FSL).",I15="X",C15="ikke relevant")),K15,0)</f>
        <v>0</v>
      </c>
    </row>
    <row r="16" spans="1:185">
      <c r="A16" s="245">
        <f t="shared" si="18"/>
        <v>8</v>
      </c>
      <c r="B16" s="128" t="str">
        <f t="shared" si="0"/>
        <v>ti</v>
      </c>
      <c r="C16" s="129" t="s">
        <v>136</v>
      </c>
      <c r="D16" s="130" t="str">
        <f t="shared" si="1"/>
        <v/>
      </c>
      <c r="E16" s="917" t="s">
        <v>702</v>
      </c>
      <c r="F16" s="918"/>
      <c r="G16" s="919"/>
      <c r="H16" s="298"/>
      <c r="I16" s="527"/>
      <c r="J16" s="413"/>
      <c r="K16" s="380">
        <v>6.5</v>
      </c>
      <c r="L16" s="380">
        <v>4.5</v>
      </c>
      <c r="M16" s="380">
        <v>1</v>
      </c>
      <c r="N16" s="318">
        <f t="shared" si="19"/>
        <v>6.5</v>
      </c>
      <c r="O16" s="318">
        <f t="shared" si="20"/>
        <v>4.5</v>
      </c>
      <c r="P16" s="318">
        <f>IF(Stamoplysninger!$H$29="JA",Oktober!DG16,CX16)</f>
        <v>1</v>
      </c>
      <c r="Q16" s="318">
        <f t="shared" si="21"/>
        <v>1</v>
      </c>
      <c r="R16" s="319"/>
      <c r="S16" s="324"/>
      <c r="T16" s="325"/>
      <c r="U16" s="325"/>
      <c r="V16" s="435"/>
      <c r="W16" s="412"/>
      <c r="X16" s="642"/>
      <c r="Y16">
        <f t="shared" si="22"/>
        <v>0</v>
      </c>
      <c r="Z16">
        <f t="shared" si="2"/>
        <v>0</v>
      </c>
      <c r="AA16" s="1">
        <f t="shared" si="3"/>
        <v>0</v>
      </c>
      <c r="AB16" s="1">
        <f t="shared" si="4"/>
        <v>6.5</v>
      </c>
      <c r="AC16" s="1">
        <f t="shared" si="5"/>
        <v>0</v>
      </c>
      <c r="AD16" s="1">
        <f t="shared" si="6"/>
        <v>0</v>
      </c>
      <c r="AE16" s="1">
        <f t="shared" si="7"/>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6.5</v>
      </c>
      <c r="BB16" s="229">
        <f t="shared" si="8"/>
        <v>0</v>
      </c>
      <c r="BC16" s="1">
        <f t="shared" si="24"/>
        <v>0</v>
      </c>
      <c r="BD16" s="1">
        <f t="shared" si="9"/>
        <v>0</v>
      </c>
      <c r="BE16" s="1">
        <f t="shared" si="10"/>
        <v>4.5</v>
      </c>
      <c r="BF16" s="1">
        <f t="shared" si="11"/>
        <v>0</v>
      </c>
      <c r="BG16" s="210" t="str">
        <f>IF(AND(C16="Skema 1",B16="ma"),Skemaoplysninger!$E$30,"")</f>
        <v/>
      </c>
      <c r="BH16" s="210" t="str">
        <f>IF(AND(C16="Skema 1",B16="ti"),Skemaoplysninger!$G$30,"")</f>
        <v/>
      </c>
      <c r="BI16" s="210" t="str">
        <f>IF(AND(C16="Skema 1",B16="on"),Skemaoplysninger!$I$30,"")</f>
        <v/>
      </c>
      <c r="BJ16" s="210" t="str">
        <f>IF(AND(C16="Skema 1",B16="to"),Skemaoplysninger!$K$30,"")</f>
        <v/>
      </c>
      <c r="BK16" s="210" t="str">
        <f>IF(AND(C16="Skema 1",B16="fr"),Skemaoplysninger!$M$30,"")</f>
        <v/>
      </c>
      <c r="BL16" s="210" t="str">
        <f>IF(AND(C16="Skema 2",B16="ma"),Skemaoplysninger!$S$30,"")</f>
        <v/>
      </c>
      <c r="BM16" s="210" t="str">
        <f>IF(AND(C16="Skema 2",B16="ti"),Skemaoplysninger!$U$30,"")</f>
        <v/>
      </c>
      <c r="BN16" s="210" t="str">
        <f>IF(AND(C16="Skema 2",B16="on"),Skemaoplysninger!$W$30,"")</f>
        <v/>
      </c>
      <c r="BO16" s="210" t="str">
        <f>IF(AND(C16="Skema 2",B16="to"),Skemaoplysninger!$Y$30,"")</f>
        <v/>
      </c>
      <c r="BP16" s="210" t="str">
        <f>IF(AND(C16="Skema 2",B16="fr"),Skemaoplysninger!$AA$30,"")</f>
        <v/>
      </c>
      <c r="BQ16" s="210" t="str">
        <f>IF(AND(C16="Skema 3",B16="ma"),Skemaoplysninger!$AG$30,"")</f>
        <v/>
      </c>
      <c r="BR16" s="210" t="str">
        <f>IF(AND(C16="Skema 3",B16="ti"),Skemaoplysninger!$AI$30,"")</f>
        <v/>
      </c>
      <c r="BS16" s="210" t="str">
        <f>IF(AND(C16="Skema 3",B16="on"),Skemaoplysninger!$AK$30,"")</f>
        <v/>
      </c>
      <c r="BT16" s="210" t="str">
        <f>IF(AND(C16="Skema 3",B16="to"),Skemaoplysninger!$AM$30,"")</f>
        <v/>
      </c>
      <c r="BU16" s="210" t="str">
        <f>IF(AND(C16="Skema 3",B16="fr"),Skemaoplysninger!$AO$30,"")</f>
        <v/>
      </c>
      <c r="BV16" s="210" t="str">
        <f>IF(AND(C16="Skema 4",B16="ma"),Skemaoplysninger!$AU$30,"")</f>
        <v/>
      </c>
      <c r="BW16" s="210" t="str">
        <f>IF(AND(C16="Skema 4",B16="ti"),Skemaoplysninger!$AW$30,"")</f>
        <v/>
      </c>
      <c r="BX16" s="210" t="str">
        <f>IF(AND(C16="Skema 4",B16="on"),Skemaoplysninger!$AY$30,"")</f>
        <v/>
      </c>
      <c r="BY16" s="210" t="str">
        <f>IF(AND(C16="Skema 4",B16="to"),Skemaoplysninger!$BA$30,"")</f>
        <v/>
      </c>
      <c r="BZ16" s="210" t="str">
        <f>IF(AND(C16="Skema 4",B16="fr"),Skemaoplysninger!$BC$30,"")</f>
        <v/>
      </c>
      <c r="CA16" s="1">
        <f t="shared" si="25"/>
        <v>4.5</v>
      </c>
      <c r="CB16" s="1">
        <f t="shared" si="12"/>
        <v>1</v>
      </c>
      <c r="CC16" s="1">
        <f t="shared" si="13"/>
        <v>0</v>
      </c>
      <c r="CD16" s="210" t="str">
        <f>IF(AND(C16="Skema 1",B16="ma"),Skemaoplysninger!$E$31,"")</f>
        <v/>
      </c>
      <c r="CE16" s="210" t="str">
        <f>IF(AND(C16="Skema 1",B16="ti"),Skemaoplysninger!$G$31,"")</f>
        <v/>
      </c>
      <c r="CF16" s="210" t="str">
        <f>IF(AND(C16="Skema 1",B16="on"),Skemaoplysninger!$I$31,"")</f>
        <v/>
      </c>
      <c r="CG16" s="210" t="str">
        <f>IF(AND(C16="Skema 1",B16="to"),Skemaoplysninger!$K$31,"")</f>
        <v/>
      </c>
      <c r="CH16" s="210" t="str">
        <f>IF(AND(C16="Skema 1",B16="fr"),Skemaoplysninger!$M$31,"")</f>
        <v/>
      </c>
      <c r="CI16" s="210" t="str">
        <f>IF(AND(C16="Skema 2",B16="ma"),Skemaoplysninger!$S$31,"")</f>
        <v/>
      </c>
      <c r="CJ16" s="210" t="str">
        <f>IF(AND(C16="Skema 2",B16="ti"),Skemaoplysninger!$U$31,"")</f>
        <v/>
      </c>
      <c r="CK16" s="210" t="str">
        <f>IF(AND(C16="Skema 2",B16="on"),Skemaoplysninger!$W$31,"")</f>
        <v/>
      </c>
      <c r="CL16" s="210" t="str">
        <f>IF(AND(C16="Skema 2",B16="to"),Skemaoplysninger!$Y$31,"")</f>
        <v/>
      </c>
      <c r="CM16" s="210" t="str">
        <f>IF(AND(C16="Skema 2",B16="fr"),Skemaoplysninger!$AA$31,"")</f>
        <v/>
      </c>
      <c r="CN16" s="210" t="str">
        <f>IF(AND(C16="Skema 3",B16="ma"),Skemaoplysninger!$AG$31,"")</f>
        <v/>
      </c>
      <c r="CO16" s="210" t="str">
        <f>IF(AND(C16="Skema 3",B16="ti"),Skemaoplysninger!$AI$31,"")</f>
        <v/>
      </c>
      <c r="CP16" s="210" t="str">
        <f>IF(AND(C16="Skema 3",B16="on"),Skemaoplysninger!$AK$31,"")</f>
        <v/>
      </c>
      <c r="CQ16" s="210" t="str">
        <f>IF(AND(C16="Skema 3",B16="to"),Skemaoplysninger!$AM$31,"")</f>
        <v/>
      </c>
      <c r="CR16" s="210" t="str">
        <f>IF(AND(C16="Skema 3",B16="fr"),Skemaoplysninger!$AO$31,"")</f>
        <v/>
      </c>
      <c r="CS16" s="210" t="str">
        <f>IF(AND(C16="Skema 4",B16="ma"),Skemaoplysninger!$AU$31,"")</f>
        <v/>
      </c>
      <c r="CT16" s="210" t="str">
        <f>IF(AND(C16="Skema 4",B16="ti"),Skemaoplysninger!$AW$31,"")</f>
        <v/>
      </c>
      <c r="CU16" s="210" t="str">
        <f>IF(AND(C16="Skema 4",B16="on"),Skemaoplysninger!$AY$31,"")</f>
        <v/>
      </c>
      <c r="CV16" s="210" t="str">
        <f>IF(AND(C16="Skema 4",B16="to"),Skemaoplysninger!$BA$31,"")</f>
        <v/>
      </c>
      <c r="CW16" s="210" t="str">
        <f>IF(AND(C16="Skema 4",B16="fr"),Skemaoplysninger!$BC$31,"")</f>
        <v/>
      </c>
      <c r="CX16" s="249">
        <f>IF(Stamoplysninger!$H$29="NEJ",SUM(CD16:CW16)*24+CB16+CC16,0)</f>
        <v>1</v>
      </c>
      <c r="CY16" s="249">
        <f>IF(C16="Skema 1",Stamoplysninger!$H$30/200,0)</f>
        <v>0</v>
      </c>
      <c r="CZ16" s="249">
        <f>IF(C16="Skema 2",Stamoplysninger!$H$30/200,0)</f>
        <v>0</v>
      </c>
      <c r="DA16" s="249">
        <f>IF(C16="Skema 3",Stamoplysninger!$H$30/200,0)</f>
        <v>0</v>
      </c>
      <c r="DB16" s="249">
        <f>IF(C16="Skema 4",Stamoplysninger!$H$30/200,0)</f>
        <v>0</v>
      </c>
      <c r="DC16" s="249">
        <f>IF(C16="fagdag",Stamoplysninger!$H$30/200,0)</f>
        <v>0</v>
      </c>
      <c r="DD16" s="249">
        <f>IF(C16="emnedag",Stamoplysninger!$H$30/200,0)</f>
        <v>0</v>
      </c>
      <c r="DE16" s="249">
        <f>IF(C16="lejrskole",Stamoplysninger!$H$30/200,0)</f>
        <v>0</v>
      </c>
      <c r="DF16" s="249">
        <f>IF(C16="ekskursion",Stamoplysninger!$H$30/200,0)</f>
        <v>0</v>
      </c>
      <c r="DG16" s="249">
        <f t="shared" si="26"/>
        <v>0</v>
      </c>
      <c r="DH16" t="str">
        <f t="shared" si="27"/>
        <v/>
      </c>
      <c r="DI16" t="str">
        <f t="shared" si="28"/>
        <v>Naturvidenskabsfestival</v>
      </c>
      <c r="DJ16" t="str">
        <f t="shared" si="29"/>
        <v/>
      </c>
      <c r="DK16" t="str">
        <f t="shared" si="14"/>
        <v/>
      </c>
      <c r="DL16" t="str">
        <f t="shared" si="14"/>
        <v>Naturvidenskabsfestival</v>
      </c>
      <c r="DM16" t="str">
        <f t="shared" si="14"/>
        <v/>
      </c>
      <c r="DN16" t="str">
        <f t="shared" si="30"/>
        <v>Naturvidenskabsfestival</v>
      </c>
      <c r="DO16" s="652">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71">
        <f>IF(AND(Stamoplysninger!$B$22="Ulempetillæg udbetales med 25% af nettotimelønnen.",C16="ikke relevant"),(R16)/4,0)</f>
        <v>0</v>
      </c>
      <c r="DT16" s="671">
        <f>IF(AND(AND(Stamoplysninger!$B$22="Ulempetillæg udbetales med 25% af nettotimelønnen.",I16="X",C16="Ikke relevant")),K16/4,0)</f>
        <v>0</v>
      </c>
      <c r="DU16" s="671">
        <f>IF(AND(AND(Stamoplysninger!$B$22="Ulempetillæg udbetales med 25% af nettotimelønnen.",C16="ikke relevant",U16="X")),(X16/4),0)</f>
        <v>0</v>
      </c>
      <c r="DV16" s="672">
        <f>IF(AND(AND(AND(Stamoplysninger!$B$22="Ulempetillæg udbetales med 25% af nettotimelønnen.",I16="X",C16="Ikke relevant",S16="X"))),V16/4,0)</f>
        <v>0</v>
      </c>
      <c r="DW16" s="652"/>
      <c r="DZ16" s="671"/>
      <c r="EA16" s="671"/>
      <c r="EB16" s="672"/>
      <c r="EC16" s="652">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71">
        <f>IF(AND(Stamoplysninger!$B$22="Ulempetillæg afspadseres med 25%(Kræver en aftale imellem ledelsen og den ansatte)",C16="ikke relevant"),(R16)/4,0)</f>
        <v>0</v>
      </c>
      <c r="EH16" s="671">
        <f>IF(AND(AND(Stamoplysninger!$B$22="Ulempetillæg afspadseres med 25%(Kræver en aftale imellem ledelsen og den ansatte)",I16="X",C16="Ikke relevant")),K16/4,0)</f>
        <v>0</v>
      </c>
      <c r="EI16" s="671">
        <f>IF(AND(AND(Stamoplysninger!$B$22="Ulempetillæg afspadseres med 25%(Kræver en aftale imellem ledelsen og den ansatte)",U16="X",C16="Ikke relevant")),X16/4,0)</f>
        <v>0</v>
      </c>
      <c r="EJ16" s="671">
        <f>IF(AND(AND(AND(Stamoplysninger!$B$22="Ulempetillæg afspadseres med 25%(Kræver en aftale imellem ledelsen og den ansatte)",I16="X",C16="Ikke relevant",S16="X"))),V16/4,0)</f>
        <v>0</v>
      </c>
      <c r="EK16" s="283">
        <f>IF(AND(Stamoplysninger!$B$26="Weekendtimer og weekendtillæg afspadseres.",I16="X"),K16*1.5,0)</f>
        <v>0</v>
      </c>
      <c r="EL16" s="251">
        <f>IF(AND(AND(Stamoplysninger!$B$26="Weekendtimer og weekendtillæg afspadseres.",I16="X",S16="X")),V16*1.5,0)</f>
        <v>0</v>
      </c>
      <c r="EM16" s="674">
        <f>IF(AND(AND(Stamoplysninger!$B$26="Weekendtimer og weekendtillæg afspadseres.",I16="X",C16="ikke relevant")),K16*1.5,0)</f>
        <v>0</v>
      </c>
      <c r="EN16" s="675">
        <f>IF(AND(AND(AND(Stamoplysninger!$B$26="Weekendtimer og weekendtillæg afspadseres.",I16="X",C16="ikke relevant",S16="X"))),(V16*1.5),0)</f>
        <v>0</v>
      </c>
      <c r="EO16" s="283">
        <f>IF(AND(Stamoplysninger!$B$26="Weekendtimer og weekendtillæg udbetales.",I16="X"),K16*1.5,0)</f>
        <v>0</v>
      </c>
      <c r="EP16" s="251">
        <f>IF(AND(AND(Stamoplysninger!$B$26="Weekendtimer og weekendtillæg udbetales.",I16="X",S16="X")),V16*1.5,0)</f>
        <v>0</v>
      </c>
      <c r="EQ16" s="674">
        <f>IF(AND(AND(Stamoplysninger!$B$26="Weekendtimer og weekendtillæg udbetales.",I16="X",C16="ikke relevant")),K16*1.5,0)</f>
        <v>0</v>
      </c>
      <c r="ER16" s="675">
        <f>IF(AND(AND(AND(Stamoplysninger!$B$26="Weekendtimer og weekendtillæg udbetales.",I16="X",C16="ikke relevant",S16="X"))),(V16*1.5),0)</f>
        <v>0</v>
      </c>
      <c r="ES16" s="283">
        <f>IF(AND(Stamoplysninger!$B$26="Der er indgået lokalaftale omkring weekendtimer.(Kræver aftale med TR/FSL) Weekendtillæg afspadseres.",I16="X"),K16*0.5,0)</f>
        <v>0</v>
      </c>
      <c r="ET16" s="251">
        <f>IF(AND(AND(Stamoplysninger!$B$26="Der er indgået lokalaftale omkring weekendtimer.(Kræver aftale med TR/FSL) Weekendtillæg afspadseres.",I16="X",S16="X")),V16*0.5,0)</f>
        <v>0</v>
      </c>
      <c r="EU16" s="674">
        <f>IF(AND(AND(Stamoplysninger!$B$26="Der er indgået lokalaftale omkring weekendtimer.(Kræver aftale med TR/FSL) Weekendtillæg afspadseres.",I16="X",C16="ikke relevant")),K16*0.5,0)</f>
        <v>0</v>
      </c>
      <c r="EV16" s="675">
        <f>IF(AND(AND(AND(Stamoplysninger!$B$26="Der er indgået lokalaftale omkring weekendtimer.(Kræver aftale med TR/FSL) Weekendtillæg afspadseres.",I16="X",C16="ikke relevant",S16="X"))),(V16*0.5),0)</f>
        <v>0</v>
      </c>
      <c r="EW16" s="283">
        <f>IF(AND(Stamoplysninger!$B$26="Der er indgået lokalaftale omkring weekendtimer(Kræver aftale med TR/FSL). Weekendtillæg udbetales.",I16="X"),K16*0.5,0)</f>
        <v>0</v>
      </c>
      <c r="EX16" s="251">
        <f>IF(AND(AND(Stamoplysninger!$B$26="Der er indgået lokalaftale omkring weekendtimer(Kræver aftale med TR/FSL). Weekendtillæg udbetales.",I16="X",S16="X")),V16*0.5,0)</f>
        <v>0</v>
      </c>
      <c r="EY16" s="674">
        <f>IF(AND(AND(Stamoplysninger!$B$26="Der er indgået lokalaftale omkring weekendtimer(Kræver aftale med TR/FSL). Weekendtillæg udbetales.",I16="X",C16="ikke relevant")),K16*0.5,0)</f>
        <v>0</v>
      </c>
      <c r="EZ16" s="675">
        <f>IF(AND(AND(AND(Stamoplysninger!$B$26="Der er indgået lokalaftale omkring weekendtimer(Kræver aftale med TR/FSL). Weekendtillæg udbetales.",I16="X",C16="ikke relevant",S16="X"))),(V16*0.5),0)</f>
        <v>0</v>
      </c>
      <c r="FA16" s="283">
        <f>IF(AND(Stamoplysninger!$B$26="Der er indgået lokalaftale omkring weekendtillæg(Kræver aftale med TR/FSL). Weekendtimerne afspadseres.",I16="X"),K16,0)</f>
        <v>0</v>
      </c>
      <c r="FB16" s="251">
        <f>IF(AND(AND(Stamoplysninger!$B$26="Der er indgået lokalaftale omkring weekendtillæg(Kræver aftale med TR/FSL). Weekendtimerne afspadseres.",I16="X",S16="X")),V16,0)</f>
        <v>0</v>
      </c>
      <c r="FC16" s="674">
        <f>IF(AND(AND(Stamoplysninger!$B$26="Der er indgået lokalaftale omkring weekendtillæg(Kræver aftale med TR/FSL). Weekendtimerne afspadseres..",I16="X",C16="ikke relevant")),K16,0)</f>
        <v>0</v>
      </c>
      <c r="FD16" s="675">
        <f>IF(AND(AND(AND(Stamoplysninger!$B$26="Der er indgået lokalaftale omkring weekendtillæg(Kræver aftale med TR/FSL). Weekendtimerne afspadseres.",I16="X",C16="ikke relevant",S16="X"))),(V16),0)</f>
        <v>0</v>
      </c>
      <c r="FE16" s="283">
        <f>IF(AND(Stamoplysninger!$B$26="Der er indgået lokalaftale omkring weekendtillæg(Kræver aftale med TR/FSL). Weekendtimerne udbetales.",I16="X"),K16,0)</f>
        <v>0</v>
      </c>
      <c r="FF16" s="251">
        <f>IF(AND(AND(Stamoplysninger!$B$26="Der er indgået lokalaftale omkring weekendtillæg(Kræver aftale med TR/FSL). Weekendtimerne udbetales.",I16="X",S16="X")),V16,0)</f>
        <v>0</v>
      </c>
      <c r="FG16" s="674">
        <f>IF(AND(AND(Stamoplysninger!$B$26="Der er indgået lokalaftale omkring weekendtillæg(Kræver aftale med TR/FSL). Weekendtimerne udbetales.",I16="X",C16="ikke relevant")),K16,0)</f>
        <v>0</v>
      </c>
      <c r="FH16" s="675">
        <f>IF(AND(AND(AND(Stamoplysninger!$B$26="Der er indgået lokalaftale omkring weekendtillæg(Kræver aftale med TR/FSL). Weekendtimerne udbetales.",I16="X",C16="ikke relevant",S16="X"))),(V16),0)</f>
        <v>0</v>
      </c>
      <c r="FI16" s="283">
        <f>IF(AND(Stamoplysninger!$B$26="Weekendtimer og weekendtillæg afspadseres.",I16="X"),K16,0)</f>
        <v>0</v>
      </c>
      <c r="FJ16" s="251">
        <f>IF(AND(Stamoplysninger!$B$26="Weekendtimer og weekendtillæg afspadseres.",Y16="X"),(AA16+AL16)/2,0)</f>
        <v>0</v>
      </c>
      <c r="FK16" s="674">
        <f>IF(AND(AND(Stamoplysninger!$B$26="Weekendtimer og weekendtillæg afspadseres.",I16="X",C16="ikke relevant")),K16,0)</f>
        <v>0</v>
      </c>
      <c r="FL16" s="675">
        <f>IF(AND(AND(Stamoplysninger!$B$26="Weekendtimer og weekendtillæg afspadseres.",Y16="X",S16="ikke relevant")),(AA16+AL16)/2,0)</f>
        <v>0</v>
      </c>
      <c r="FM16" s="283">
        <f>IF(AND(Stamoplysninger!$B$26="Der er indgået lokalaftale omkring weekendtillæg(Kræver aftale med TR/FSL). Weekendtimerne afspadseres.",I16="X"),K16,0)</f>
        <v>0</v>
      </c>
      <c r="FN16" s="674">
        <f>IF(AND(AND(Stamoplysninger!$B$26="Der er indgået lokalaftale omkring weekendtillæg(Kræver aftale med TR/FSL). Weekendtimerne afspadseres.",I16="X",C16="ikke relevant")),K16,0)</f>
        <v>0</v>
      </c>
      <c r="FO16" s="283">
        <f>IF(AND(Stamoplysninger!$B$26="Weekendtimer og weekendtillæg udbetales.",I16="X"),K16,0)</f>
        <v>0</v>
      </c>
      <c r="FP16" s="251">
        <f>IF(AND(Stamoplysninger!$B$26="Weekendtimer og weekendtillæg udbetales.",AA16="X"),(AC16+AN16)/2,0)</f>
        <v>0</v>
      </c>
      <c r="FQ16" s="674">
        <f>IF(AND(AND(Stamoplysninger!$B$26="Weekendtimer og weekendtillæg udbetales.",I16="X",C16="ikke relevant")),K16,0)</f>
        <v>0</v>
      </c>
      <c r="FR16" s="688">
        <f>IF(AND(AND(Stamoplysninger!$B$26="Weekendtimer og weekendtillæg udbetales.",AA16="X",U16="ikke relevant")),(AC16+AN16)/2,0)</f>
        <v>0</v>
      </c>
      <c r="FS16" s="283">
        <f t="shared" si="15"/>
        <v>0</v>
      </c>
      <c r="FT16" s="658">
        <f t="shared" si="16"/>
        <v>0</v>
      </c>
      <c r="FU16">
        <f t="shared" si="17"/>
        <v>0</v>
      </c>
      <c r="FV16" s="283">
        <f>IF(AND(Stamoplysninger!$B$26="Der er indgået lokalaftale omkring weekendtimer.(Kræver aftale med TR/FSL) Weekendtillæg afspadseres.",I16="X"),K16,0)</f>
        <v>0</v>
      </c>
      <c r="FW16" s="674">
        <f>IF(AND(AND(Stamoplysninger!$B$26="Der er indgået lokalaftale omkring weekendtimer.(Kræver aftale med TR/FSL) Weekendtillæg afspadseres.",I16="X",C16="ikke relevant")),K16,0)</f>
        <v>0</v>
      </c>
      <c r="FX16" s="283">
        <f>IF(AND(Stamoplysninger!$B$26="Der er indgået lokalaftale omkring weekendtimer(Kræver aftale med TR/FSL). Weekendtillæg udbetales.",I16="X"),K16,0)</f>
        <v>0</v>
      </c>
      <c r="FY16" s="674">
        <f>IF(AND(AND(Stamoplysninger!$B$26="Der er indgået lokalaftale omkring weekendtimer(Kræver aftale med TR/FSL). Weekendtillæg udbetales.",I16="X",C16="ikke relevant")),K16,0)</f>
        <v>0</v>
      </c>
      <c r="FZ16" s="283">
        <f>IF(AND(Stamoplysninger!$B$26="Der er indgået lokalaftale omkring weekendtillæg(Kræver aftale med TR/FSL). Weekendtimerne udbetales.",I16="X"),K16,0)</f>
        <v>0</v>
      </c>
      <c r="GA16" s="674">
        <f>IF(AND(AND(Stamoplysninger!$B$26="Der er indgået lokalaftale omkring weekendtillæg(Kræver aftale med TR/FSL). Weekendtimerne udbetales.",I16="X",C16="ikke relevant")),K16,0)</f>
        <v>0</v>
      </c>
      <c r="GB16" s="283">
        <f>IF(AND(Stamoplysninger!$B$26="Der er indgået lokalaftale omkring weekendtimer og weekendtillæg.(Kræver aftale med TR/FSL).",I16="X"),K16,0)</f>
        <v>0</v>
      </c>
      <c r="GC16" s="674">
        <f>IF(AND(AND(Stamoplysninger!$B$26="Der er indgået lokalaftale omkring weekendtimer og weekendtillæg.(Kræver aftale med TR/FSL).",I16="X",C16="ikke relevant")),K16,0)</f>
        <v>0</v>
      </c>
    </row>
    <row r="17" spans="1:185">
      <c r="A17" s="245">
        <f t="shared" si="18"/>
        <v>9</v>
      </c>
      <c r="B17" s="128" t="str">
        <f t="shared" si="0"/>
        <v>on</v>
      </c>
      <c r="C17" s="129" t="s">
        <v>136</v>
      </c>
      <c r="D17" s="130" t="str">
        <f t="shared" si="1"/>
        <v/>
      </c>
      <c r="E17" s="917" t="s">
        <v>702</v>
      </c>
      <c r="F17" s="918"/>
      <c r="G17" s="919"/>
      <c r="H17" s="298"/>
      <c r="I17" s="527"/>
      <c r="J17" s="413"/>
      <c r="K17" s="380">
        <v>6.5</v>
      </c>
      <c r="L17" s="380">
        <v>4.5</v>
      </c>
      <c r="M17" s="380">
        <v>1</v>
      </c>
      <c r="N17" s="318">
        <f t="shared" si="19"/>
        <v>6.5</v>
      </c>
      <c r="O17" s="318">
        <f t="shared" si="20"/>
        <v>4.5</v>
      </c>
      <c r="P17" s="318">
        <f>IF(Stamoplysninger!$H$29="JA",Oktober!DG17,CX17)</f>
        <v>1</v>
      </c>
      <c r="Q17" s="318">
        <f t="shared" si="21"/>
        <v>1</v>
      </c>
      <c r="R17" s="319"/>
      <c r="S17" s="324"/>
      <c r="T17" s="325"/>
      <c r="U17" s="325"/>
      <c r="V17" s="435"/>
      <c r="W17" s="412"/>
      <c r="X17" s="642"/>
      <c r="Y17">
        <f t="shared" si="22"/>
        <v>0</v>
      </c>
      <c r="Z17">
        <f t="shared" si="2"/>
        <v>0</v>
      </c>
      <c r="AA17" s="1">
        <f t="shared" si="3"/>
        <v>0</v>
      </c>
      <c r="AB17" s="1">
        <f t="shared" si="4"/>
        <v>6.5</v>
      </c>
      <c r="AC17" s="1">
        <f t="shared" si="5"/>
        <v>0</v>
      </c>
      <c r="AD17" s="1">
        <f t="shared" si="6"/>
        <v>0</v>
      </c>
      <c r="AE17" s="1">
        <f t="shared" si="7"/>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6.5</v>
      </c>
      <c r="BB17" s="229">
        <f t="shared" si="8"/>
        <v>0</v>
      </c>
      <c r="BC17" s="1">
        <f t="shared" si="24"/>
        <v>0</v>
      </c>
      <c r="BD17" s="1">
        <f t="shared" si="9"/>
        <v>0</v>
      </c>
      <c r="BE17" s="1">
        <f t="shared" si="10"/>
        <v>4.5</v>
      </c>
      <c r="BF17" s="1">
        <f t="shared" si="11"/>
        <v>0</v>
      </c>
      <c r="BG17" s="210" t="str">
        <f>IF(AND(C17="Skema 1",B17="ma"),Skemaoplysninger!$E$30,"")</f>
        <v/>
      </c>
      <c r="BH17" s="210" t="str">
        <f>IF(AND(C17="Skema 1",B17="ti"),Skemaoplysninger!$G$30,"")</f>
        <v/>
      </c>
      <c r="BI17" s="210" t="str">
        <f>IF(AND(C17="Skema 1",B17="on"),Skemaoplysninger!$I$30,"")</f>
        <v/>
      </c>
      <c r="BJ17" s="210" t="str">
        <f>IF(AND(C17="Skema 1",B17="to"),Skemaoplysninger!$K$30,"")</f>
        <v/>
      </c>
      <c r="BK17" s="210" t="str">
        <f>IF(AND(C17="Skema 1",B17="fr"),Skemaoplysninger!$M$30,"")</f>
        <v/>
      </c>
      <c r="BL17" s="210" t="str">
        <f>IF(AND(C17="Skema 2",B17="ma"),Skemaoplysninger!$S$30,"")</f>
        <v/>
      </c>
      <c r="BM17" s="210" t="str">
        <f>IF(AND(C17="Skema 2",B17="ti"),Skemaoplysninger!$U$30,"")</f>
        <v/>
      </c>
      <c r="BN17" s="210" t="str">
        <f>IF(AND(C17="Skema 2",B17="on"),Skemaoplysninger!$W$30,"")</f>
        <v/>
      </c>
      <c r="BO17" s="210" t="str">
        <f>IF(AND(C17="Skema 2",B17="to"),Skemaoplysninger!$Y$30,"")</f>
        <v/>
      </c>
      <c r="BP17" s="210" t="str">
        <f>IF(AND(C17="Skema 2",B17="fr"),Skemaoplysninger!$AA$30,"")</f>
        <v/>
      </c>
      <c r="BQ17" s="210" t="str">
        <f>IF(AND(C17="Skema 3",B17="ma"),Skemaoplysninger!$AG$30,"")</f>
        <v/>
      </c>
      <c r="BR17" s="210" t="str">
        <f>IF(AND(C17="Skema 3",B17="ti"),Skemaoplysninger!$AI$30,"")</f>
        <v/>
      </c>
      <c r="BS17" s="210" t="str">
        <f>IF(AND(C17="Skema 3",B17="on"),Skemaoplysninger!$AK$30,"")</f>
        <v/>
      </c>
      <c r="BT17" s="210" t="str">
        <f>IF(AND(C17="Skema 3",B17="to"),Skemaoplysninger!$AM$30,"")</f>
        <v/>
      </c>
      <c r="BU17" s="210" t="str">
        <f>IF(AND(C17="Skema 3",B17="fr"),Skemaoplysninger!$AO$30,"")</f>
        <v/>
      </c>
      <c r="BV17" s="210" t="str">
        <f>IF(AND(C17="Skema 4",B17="ma"),Skemaoplysninger!$AU$30,"")</f>
        <v/>
      </c>
      <c r="BW17" s="210" t="str">
        <f>IF(AND(C17="Skema 4",B17="ti"),Skemaoplysninger!$AW$30,"")</f>
        <v/>
      </c>
      <c r="BX17" s="210" t="str">
        <f>IF(AND(C17="Skema 4",B17="on"),Skemaoplysninger!$AY$30,"")</f>
        <v/>
      </c>
      <c r="BY17" s="210" t="str">
        <f>IF(AND(C17="Skema 4",B17="to"),Skemaoplysninger!$BA$30,"")</f>
        <v/>
      </c>
      <c r="BZ17" s="210" t="str">
        <f>IF(AND(C17="Skema 4",B17="fr"),Skemaoplysninger!$BC$30,"")</f>
        <v/>
      </c>
      <c r="CA17" s="1">
        <f t="shared" si="25"/>
        <v>4.5</v>
      </c>
      <c r="CB17" s="1">
        <f t="shared" si="12"/>
        <v>1</v>
      </c>
      <c r="CC17" s="1">
        <f t="shared" si="13"/>
        <v>0</v>
      </c>
      <c r="CD17" s="210" t="str">
        <f>IF(AND(C17="Skema 1",B17="ma"),Skemaoplysninger!$E$31,"")</f>
        <v/>
      </c>
      <c r="CE17" s="210" t="str">
        <f>IF(AND(C17="Skema 1",B17="ti"),Skemaoplysninger!$G$31,"")</f>
        <v/>
      </c>
      <c r="CF17" s="210" t="str">
        <f>IF(AND(C17="Skema 1",B17="on"),Skemaoplysninger!$I$31,"")</f>
        <v/>
      </c>
      <c r="CG17" s="210" t="str">
        <f>IF(AND(C17="Skema 1",B17="to"),Skemaoplysninger!$K$31,"")</f>
        <v/>
      </c>
      <c r="CH17" s="210" t="str">
        <f>IF(AND(C17="Skema 1",B17="fr"),Skemaoplysninger!$M$31,"")</f>
        <v/>
      </c>
      <c r="CI17" s="210" t="str">
        <f>IF(AND(C17="Skema 2",B17="ma"),Skemaoplysninger!$S$31,"")</f>
        <v/>
      </c>
      <c r="CJ17" s="210" t="str">
        <f>IF(AND(C17="Skema 2",B17="ti"),Skemaoplysninger!$U$31,"")</f>
        <v/>
      </c>
      <c r="CK17" s="210" t="str">
        <f>IF(AND(C17="Skema 2",B17="on"),Skemaoplysninger!$W$31,"")</f>
        <v/>
      </c>
      <c r="CL17" s="210" t="str">
        <f>IF(AND(C17="Skema 2",B17="to"),Skemaoplysninger!$Y$31,"")</f>
        <v/>
      </c>
      <c r="CM17" s="210" t="str">
        <f>IF(AND(C17="Skema 2",B17="fr"),Skemaoplysninger!$AA$31,"")</f>
        <v/>
      </c>
      <c r="CN17" s="210" t="str">
        <f>IF(AND(C17="Skema 3",B17="ma"),Skemaoplysninger!$AG$31,"")</f>
        <v/>
      </c>
      <c r="CO17" s="210" t="str">
        <f>IF(AND(C17="Skema 3",B17="ti"),Skemaoplysninger!$AI$31,"")</f>
        <v/>
      </c>
      <c r="CP17" s="210" t="str">
        <f>IF(AND(C17="Skema 3",B17="on"),Skemaoplysninger!$AK$31,"")</f>
        <v/>
      </c>
      <c r="CQ17" s="210" t="str">
        <f>IF(AND(C17="Skema 3",B17="to"),Skemaoplysninger!$AM$31,"")</f>
        <v/>
      </c>
      <c r="CR17" s="210" t="str">
        <f>IF(AND(C17="Skema 3",B17="fr"),Skemaoplysninger!$AO$31,"")</f>
        <v/>
      </c>
      <c r="CS17" s="210" t="str">
        <f>IF(AND(C17="Skema 4",B17="ma"),Skemaoplysninger!$AU$31,"")</f>
        <v/>
      </c>
      <c r="CT17" s="210" t="str">
        <f>IF(AND(C17="Skema 4",B17="ti"),Skemaoplysninger!$AW$31,"")</f>
        <v/>
      </c>
      <c r="CU17" s="210" t="str">
        <f>IF(AND(C17="Skema 4",B17="on"),Skemaoplysninger!$AY$31,"")</f>
        <v/>
      </c>
      <c r="CV17" s="210" t="str">
        <f>IF(AND(C17="Skema 4",B17="to"),Skemaoplysninger!$BA$31,"")</f>
        <v/>
      </c>
      <c r="CW17" s="210" t="str">
        <f>IF(AND(C17="Skema 4",B17="fr"),Skemaoplysninger!$BC$31,"")</f>
        <v/>
      </c>
      <c r="CX17" s="249">
        <f>IF(Stamoplysninger!$H$29="NEJ",SUM(CD17:CW17)*24+CB17+CC17,0)</f>
        <v>1</v>
      </c>
      <c r="CY17" s="249">
        <f>IF(C17="Skema 1",Stamoplysninger!$H$30/200,0)</f>
        <v>0</v>
      </c>
      <c r="CZ17" s="249">
        <f>IF(C17="Skema 2",Stamoplysninger!$H$30/200,0)</f>
        <v>0</v>
      </c>
      <c r="DA17" s="249">
        <f>IF(C17="Skema 3",Stamoplysninger!$H$30/200,0)</f>
        <v>0</v>
      </c>
      <c r="DB17" s="249">
        <f>IF(C17="Skema 4",Stamoplysninger!$H$30/200,0)</f>
        <v>0</v>
      </c>
      <c r="DC17" s="249">
        <f>IF(C17="fagdag",Stamoplysninger!$H$30/200,0)</f>
        <v>0</v>
      </c>
      <c r="DD17" s="249">
        <f>IF(C17="emnedag",Stamoplysninger!$H$30/200,0)</f>
        <v>0</v>
      </c>
      <c r="DE17" s="249">
        <f>IF(C17="lejrskole",Stamoplysninger!$H$30/200,0)</f>
        <v>0</v>
      </c>
      <c r="DF17" s="249">
        <f>IF(C17="ekskursion",Stamoplysninger!$H$30/200,0)</f>
        <v>0</v>
      </c>
      <c r="DG17" s="249">
        <f t="shared" si="26"/>
        <v>0</v>
      </c>
      <c r="DH17" t="str">
        <f t="shared" si="27"/>
        <v/>
      </c>
      <c r="DI17" t="str">
        <f t="shared" si="28"/>
        <v>Naturvidenskabsfestival</v>
      </c>
      <c r="DJ17" t="str">
        <f t="shared" si="29"/>
        <v/>
      </c>
      <c r="DK17" t="str">
        <f t="shared" si="14"/>
        <v/>
      </c>
      <c r="DL17" t="str">
        <f t="shared" si="14"/>
        <v>Naturvidenskabsfestival</v>
      </c>
      <c r="DM17" t="str">
        <f t="shared" si="14"/>
        <v/>
      </c>
      <c r="DN17" t="str">
        <f t="shared" si="30"/>
        <v>Naturvidenskabsfestival</v>
      </c>
      <c r="DO17" s="652">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71">
        <f>IF(AND(Stamoplysninger!$B$22="Ulempetillæg udbetales med 25% af nettotimelønnen.",C17="ikke relevant"),(R17)/4,0)</f>
        <v>0</v>
      </c>
      <c r="DT17" s="671">
        <f>IF(AND(AND(Stamoplysninger!$B$22="Ulempetillæg udbetales med 25% af nettotimelønnen.",I17="X",C17="Ikke relevant")),K17/4,0)</f>
        <v>0</v>
      </c>
      <c r="DU17" s="671">
        <f>IF(AND(AND(Stamoplysninger!$B$22="Ulempetillæg udbetales med 25% af nettotimelønnen.",C17="ikke relevant",U17="X")),(X17/4),0)</f>
        <v>0</v>
      </c>
      <c r="DV17" s="672">
        <f>IF(AND(AND(AND(Stamoplysninger!$B$22="Ulempetillæg udbetales med 25% af nettotimelønnen.",I17="X",C17="Ikke relevant",S17="X"))),V17/4,0)</f>
        <v>0</v>
      </c>
      <c r="DW17" s="652"/>
      <c r="DZ17" s="671"/>
      <c r="EA17" s="671"/>
      <c r="EB17" s="672"/>
      <c r="EC17" s="652">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71">
        <f>IF(AND(Stamoplysninger!$B$22="Ulempetillæg afspadseres med 25%(Kræver en aftale imellem ledelsen og den ansatte)",C17="ikke relevant"),(R17)/4,0)</f>
        <v>0</v>
      </c>
      <c r="EH17" s="671">
        <f>IF(AND(AND(Stamoplysninger!$B$22="Ulempetillæg afspadseres med 25%(Kræver en aftale imellem ledelsen og den ansatte)",I17="X",C17="Ikke relevant")),K17/4,0)</f>
        <v>0</v>
      </c>
      <c r="EI17" s="671">
        <f>IF(AND(AND(Stamoplysninger!$B$22="Ulempetillæg afspadseres med 25%(Kræver en aftale imellem ledelsen og den ansatte)",U17="X",C17="Ikke relevant")),X17/4,0)</f>
        <v>0</v>
      </c>
      <c r="EJ17" s="671">
        <f>IF(AND(AND(AND(Stamoplysninger!$B$22="Ulempetillæg afspadseres med 25%(Kræver en aftale imellem ledelsen og den ansatte)",I17="X",C17="Ikke relevant",S17="X"))),V17/4,0)</f>
        <v>0</v>
      </c>
      <c r="EK17" s="283">
        <f>IF(AND(Stamoplysninger!$B$26="Weekendtimer og weekendtillæg afspadseres.",I17="X"),K17*1.5,0)</f>
        <v>0</v>
      </c>
      <c r="EL17" s="251">
        <f>IF(AND(AND(Stamoplysninger!$B$26="Weekendtimer og weekendtillæg afspadseres.",I17="X",S17="X")),V17*1.5,0)</f>
        <v>0</v>
      </c>
      <c r="EM17" s="674">
        <f>IF(AND(AND(Stamoplysninger!$B$26="Weekendtimer og weekendtillæg afspadseres.",I17="X",C17="ikke relevant")),K17*1.5,0)</f>
        <v>0</v>
      </c>
      <c r="EN17" s="675">
        <f>IF(AND(AND(AND(Stamoplysninger!$B$26="Weekendtimer og weekendtillæg afspadseres.",I17="X",C17="ikke relevant",S17="X"))),(V17*1.5),0)</f>
        <v>0</v>
      </c>
      <c r="EO17" s="283">
        <f>IF(AND(Stamoplysninger!$B$26="Weekendtimer og weekendtillæg udbetales.",I17="X"),K17*1.5,0)</f>
        <v>0</v>
      </c>
      <c r="EP17" s="251">
        <f>IF(AND(AND(Stamoplysninger!$B$26="Weekendtimer og weekendtillæg udbetales.",I17="X",S17="X")),V17*1.5,0)</f>
        <v>0</v>
      </c>
      <c r="EQ17" s="674">
        <f>IF(AND(AND(Stamoplysninger!$B$26="Weekendtimer og weekendtillæg udbetales.",I17="X",C17="ikke relevant")),K17*1.5,0)</f>
        <v>0</v>
      </c>
      <c r="ER17" s="675">
        <f>IF(AND(AND(AND(Stamoplysninger!$B$26="Weekendtimer og weekendtillæg udbetales.",I17="X",C17="ikke relevant",S17="X"))),(V17*1.5),0)</f>
        <v>0</v>
      </c>
      <c r="ES17" s="283">
        <f>IF(AND(Stamoplysninger!$B$26="Der er indgået lokalaftale omkring weekendtimer.(Kræver aftale med TR/FSL) Weekendtillæg afspadseres.",I17="X"),K17*0.5,0)</f>
        <v>0</v>
      </c>
      <c r="ET17" s="251">
        <f>IF(AND(AND(Stamoplysninger!$B$26="Der er indgået lokalaftale omkring weekendtimer.(Kræver aftale med TR/FSL) Weekendtillæg afspadseres.",I17="X",S17="X")),V17*0.5,0)</f>
        <v>0</v>
      </c>
      <c r="EU17" s="674">
        <f>IF(AND(AND(Stamoplysninger!$B$26="Der er indgået lokalaftale omkring weekendtimer.(Kræver aftale med TR/FSL) Weekendtillæg afspadseres.",I17="X",C17="ikke relevant")),K17*0.5,0)</f>
        <v>0</v>
      </c>
      <c r="EV17" s="675">
        <f>IF(AND(AND(AND(Stamoplysninger!$B$26="Der er indgået lokalaftale omkring weekendtimer.(Kræver aftale med TR/FSL) Weekendtillæg afspadseres.",I17="X",C17="ikke relevant",S17="X"))),(V17*0.5),0)</f>
        <v>0</v>
      </c>
      <c r="EW17" s="283">
        <f>IF(AND(Stamoplysninger!$B$26="Der er indgået lokalaftale omkring weekendtimer(Kræver aftale med TR/FSL). Weekendtillæg udbetales.",I17="X"),K17*0.5,0)</f>
        <v>0</v>
      </c>
      <c r="EX17" s="251">
        <f>IF(AND(AND(Stamoplysninger!$B$26="Der er indgået lokalaftale omkring weekendtimer(Kræver aftale med TR/FSL). Weekendtillæg udbetales.",I17="X",S17="X")),V17*0.5,0)</f>
        <v>0</v>
      </c>
      <c r="EY17" s="674">
        <f>IF(AND(AND(Stamoplysninger!$B$26="Der er indgået lokalaftale omkring weekendtimer(Kræver aftale med TR/FSL). Weekendtillæg udbetales.",I17="X",C17="ikke relevant")),K17*0.5,0)</f>
        <v>0</v>
      </c>
      <c r="EZ17" s="675">
        <f>IF(AND(AND(AND(Stamoplysninger!$B$26="Der er indgået lokalaftale omkring weekendtimer(Kræver aftale med TR/FSL). Weekendtillæg udbetales.",I17="X",C17="ikke relevant",S17="X"))),(V17*0.5),0)</f>
        <v>0</v>
      </c>
      <c r="FA17" s="283">
        <f>IF(AND(Stamoplysninger!$B$26="Der er indgået lokalaftale omkring weekendtillæg(Kræver aftale med TR/FSL). Weekendtimerne afspadseres.",I17="X"),K17,0)</f>
        <v>0</v>
      </c>
      <c r="FB17" s="251">
        <f>IF(AND(AND(Stamoplysninger!$B$26="Der er indgået lokalaftale omkring weekendtillæg(Kræver aftale med TR/FSL). Weekendtimerne afspadseres.",I17="X",S17="X")),V17,0)</f>
        <v>0</v>
      </c>
      <c r="FC17" s="674">
        <f>IF(AND(AND(Stamoplysninger!$B$26="Der er indgået lokalaftale omkring weekendtillæg(Kræver aftale med TR/FSL). Weekendtimerne afspadseres..",I17="X",C17="ikke relevant")),K17,0)</f>
        <v>0</v>
      </c>
      <c r="FD17" s="675">
        <f>IF(AND(AND(AND(Stamoplysninger!$B$26="Der er indgået lokalaftale omkring weekendtillæg(Kræver aftale med TR/FSL). Weekendtimerne afspadseres.",I17="X",C17="ikke relevant",S17="X"))),(V17),0)</f>
        <v>0</v>
      </c>
      <c r="FE17" s="283">
        <f>IF(AND(Stamoplysninger!$B$26="Der er indgået lokalaftale omkring weekendtillæg(Kræver aftale med TR/FSL). Weekendtimerne udbetales.",I17="X"),K17,0)</f>
        <v>0</v>
      </c>
      <c r="FF17" s="251">
        <f>IF(AND(AND(Stamoplysninger!$B$26="Der er indgået lokalaftale omkring weekendtillæg(Kræver aftale med TR/FSL). Weekendtimerne udbetales.",I17="X",S17="X")),V17,0)</f>
        <v>0</v>
      </c>
      <c r="FG17" s="674">
        <f>IF(AND(AND(Stamoplysninger!$B$26="Der er indgået lokalaftale omkring weekendtillæg(Kræver aftale med TR/FSL). Weekendtimerne udbetales.",I17="X",C17="ikke relevant")),K17,0)</f>
        <v>0</v>
      </c>
      <c r="FH17" s="675">
        <f>IF(AND(AND(AND(Stamoplysninger!$B$26="Der er indgået lokalaftale omkring weekendtillæg(Kræver aftale med TR/FSL). Weekendtimerne udbetales.",I17="X",C17="ikke relevant",S17="X"))),(V17),0)</f>
        <v>0</v>
      </c>
      <c r="FI17" s="283">
        <f>IF(AND(Stamoplysninger!$B$26="Weekendtimer og weekendtillæg afspadseres.",I17="X"),K17,0)</f>
        <v>0</v>
      </c>
      <c r="FJ17" s="251">
        <f>IF(AND(Stamoplysninger!$B$26="Weekendtimer og weekendtillæg afspadseres.",Y17="X"),(AA17+AL17)/2,0)</f>
        <v>0</v>
      </c>
      <c r="FK17" s="674">
        <f>IF(AND(AND(Stamoplysninger!$B$26="Weekendtimer og weekendtillæg afspadseres.",I17="X",C17="ikke relevant")),K17,0)</f>
        <v>0</v>
      </c>
      <c r="FL17" s="675">
        <f>IF(AND(AND(Stamoplysninger!$B$26="Weekendtimer og weekendtillæg afspadseres.",Y17="X",S17="ikke relevant")),(AA17+AL17)/2,0)</f>
        <v>0</v>
      </c>
      <c r="FM17" s="283">
        <f>IF(AND(Stamoplysninger!$B$26="Der er indgået lokalaftale omkring weekendtillæg(Kræver aftale med TR/FSL). Weekendtimerne afspadseres.",I17="X"),K17,0)</f>
        <v>0</v>
      </c>
      <c r="FN17" s="674">
        <f>IF(AND(AND(Stamoplysninger!$B$26="Der er indgået lokalaftale omkring weekendtillæg(Kræver aftale med TR/FSL). Weekendtimerne afspadseres.",I17="X",C17="ikke relevant")),K17,0)</f>
        <v>0</v>
      </c>
      <c r="FO17" s="283">
        <f>IF(AND(Stamoplysninger!$B$26="Weekendtimer og weekendtillæg udbetales.",I17="X"),K17,0)</f>
        <v>0</v>
      </c>
      <c r="FP17" s="251">
        <f>IF(AND(Stamoplysninger!$B$26="Weekendtimer og weekendtillæg udbetales.",AA17="X"),(AC17+AN17)/2,0)</f>
        <v>0</v>
      </c>
      <c r="FQ17" s="674">
        <f>IF(AND(AND(Stamoplysninger!$B$26="Weekendtimer og weekendtillæg udbetales.",I17="X",C17="ikke relevant")),K17,0)</f>
        <v>0</v>
      </c>
      <c r="FR17" s="688">
        <f>IF(AND(AND(Stamoplysninger!$B$26="Weekendtimer og weekendtillæg udbetales.",AA17="X",U17="ikke relevant")),(AC17+AN17)/2,0)</f>
        <v>0</v>
      </c>
      <c r="FS17" s="283">
        <f t="shared" si="15"/>
        <v>0</v>
      </c>
      <c r="FT17" s="658">
        <f t="shared" si="16"/>
        <v>0</v>
      </c>
      <c r="FU17">
        <f t="shared" si="17"/>
        <v>0</v>
      </c>
      <c r="FV17" s="283">
        <f>IF(AND(Stamoplysninger!$B$26="Der er indgået lokalaftale omkring weekendtimer.(Kræver aftale med TR/FSL) Weekendtillæg afspadseres.",I17="X"),K17,0)</f>
        <v>0</v>
      </c>
      <c r="FW17" s="674">
        <f>IF(AND(AND(Stamoplysninger!$B$26="Der er indgået lokalaftale omkring weekendtimer.(Kræver aftale med TR/FSL) Weekendtillæg afspadseres.",I17="X",C17="ikke relevant")),K17,0)</f>
        <v>0</v>
      </c>
      <c r="FX17" s="283">
        <f>IF(AND(Stamoplysninger!$B$26="Der er indgået lokalaftale omkring weekendtimer(Kræver aftale med TR/FSL). Weekendtillæg udbetales.",I17="X"),K17,0)</f>
        <v>0</v>
      </c>
      <c r="FY17" s="674">
        <f>IF(AND(AND(Stamoplysninger!$B$26="Der er indgået lokalaftale omkring weekendtimer(Kræver aftale med TR/FSL). Weekendtillæg udbetales.",I17="X",C17="ikke relevant")),K17,0)</f>
        <v>0</v>
      </c>
      <c r="FZ17" s="283">
        <f>IF(AND(Stamoplysninger!$B$26="Der er indgået lokalaftale omkring weekendtillæg(Kræver aftale med TR/FSL). Weekendtimerne udbetales.",I17="X"),K17,0)</f>
        <v>0</v>
      </c>
      <c r="GA17" s="674">
        <f>IF(AND(AND(Stamoplysninger!$B$26="Der er indgået lokalaftale omkring weekendtillæg(Kræver aftale med TR/FSL). Weekendtimerne udbetales.",I17="X",C17="ikke relevant")),K17,0)</f>
        <v>0</v>
      </c>
      <c r="GB17" s="283">
        <f>IF(AND(Stamoplysninger!$B$26="Der er indgået lokalaftale omkring weekendtimer og weekendtillæg.(Kræver aftale med TR/FSL).",I17="X"),K17,0)</f>
        <v>0</v>
      </c>
      <c r="GC17" s="674">
        <f>IF(AND(AND(Stamoplysninger!$B$26="Der er indgået lokalaftale omkring weekendtimer og weekendtillæg.(Kræver aftale med TR/FSL).",I17="X",C17="ikke relevant")),K17,0)</f>
        <v>0</v>
      </c>
    </row>
    <row r="18" spans="1:185">
      <c r="A18" s="245">
        <f t="shared" si="18"/>
        <v>10</v>
      </c>
      <c r="B18" s="128" t="str">
        <f t="shared" si="0"/>
        <v>to</v>
      </c>
      <c r="C18" s="129" t="s">
        <v>136</v>
      </c>
      <c r="D18" s="130" t="str">
        <f t="shared" si="1"/>
        <v/>
      </c>
      <c r="E18" s="917" t="s">
        <v>702</v>
      </c>
      <c r="F18" s="918"/>
      <c r="G18" s="919"/>
      <c r="H18" s="298"/>
      <c r="I18" s="527"/>
      <c r="J18" s="413"/>
      <c r="K18" s="380">
        <v>6.5</v>
      </c>
      <c r="L18" s="380">
        <v>4.5</v>
      </c>
      <c r="M18" s="380">
        <v>1</v>
      </c>
      <c r="N18" s="318">
        <f t="shared" si="19"/>
        <v>6.5</v>
      </c>
      <c r="O18" s="318">
        <f t="shared" si="20"/>
        <v>4.5</v>
      </c>
      <c r="P18" s="318">
        <f>IF(Stamoplysninger!$H$29="JA",Oktober!DG18,CX18)</f>
        <v>1</v>
      </c>
      <c r="Q18" s="318">
        <f t="shared" si="21"/>
        <v>1</v>
      </c>
      <c r="R18" s="319"/>
      <c r="S18" s="324"/>
      <c r="T18" s="325"/>
      <c r="U18" s="325"/>
      <c r="V18" s="435"/>
      <c r="W18" s="412"/>
      <c r="X18" s="642"/>
      <c r="Y18">
        <f t="shared" si="22"/>
        <v>0</v>
      </c>
      <c r="Z18">
        <f t="shared" si="2"/>
        <v>0</v>
      </c>
      <c r="AA18" s="1">
        <f t="shared" si="3"/>
        <v>0</v>
      </c>
      <c r="AB18" s="1">
        <f t="shared" si="4"/>
        <v>6.5</v>
      </c>
      <c r="AC18" s="1">
        <f t="shared" si="5"/>
        <v>0</v>
      </c>
      <c r="AD18" s="1">
        <f t="shared" si="6"/>
        <v>0</v>
      </c>
      <c r="AE18" s="1">
        <f t="shared" si="7"/>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6.5</v>
      </c>
      <c r="BB18" s="229">
        <f t="shared" si="8"/>
        <v>0</v>
      </c>
      <c r="BC18" s="1">
        <f t="shared" si="24"/>
        <v>0</v>
      </c>
      <c r="BD18" s="1">
        <f t="shared" si="9"/>
        <v>0</v>
      </c>
      <c r="BE18" s="1">
        <f t="shared" si="10"/>
        <v>4.5</v>
      </c>
      <c r="BF18" s="1">
        <f t="shared" si="11"/>
        <v>0</v>
      </c>
      <c r="BG18" s="210" t="str">
        <f>IF(AND(C18="Skema 1",B18="ma"),Skemaoplysninger!$E$30,"")</f>
        <v/>
      </c>
      <c r="BH18" s="210" t="str">
        <f>IF(AND(C18="Skema 1",B18="ti"),Skemaoplysninger!$G$30,"")</f>
        <v/>
      </c>
      <c r="BI18" s="210" t="str">
        <f>IF(AND(C18="Skema 1",B18="on"),Skemaoplysninger!$I$30,"")</f>
        <v/>
      </c>
      <c r="BJ18" s="210" t="str">
        <f>IF(AND(C18="Skema 1",B18="to"),Skemaoplysninger!$K$30,"")</f>
        <v/>
      </c>
      <c r="BK18" s="210" t="str">
        <f>IF(AND(C18="Skema 1",B18="fr"),Skemaoplysninger!$M$30,"")</f>
        <v/>
      </c>
      <c r="BL18" s="210" t="str">
        <f>IF(AND(C18="Skema 2",B18="ma"),Skemaoplysninger!$S$30,"")</f>
        <v/>
      </c>
      <c r="BM18" s="210" t="str">
        <f>IF(AND(C18="Skema 2",B18="ti"),Skemaoplysninger!$U$30,"")</f>
        <v/>
      </c>
      <c r="BN18" s="210" t="str">
        <f>IF(AND(C18="Skema 2",B18="on"),Skemaoplysninger!$W$30,"")</f>
        <v/>
      </c>
      <c r="BO18" s="210" t="str">
        <f>IF(AND(C18="Skema 2",B18="to"),Skemaoplysninger!$Y$30,"")</f>
        <v/>
      </c>
      <c r="BP18" s="210" t="str">
        <f>IF(AND(C18="Skema 2",B18="fr"),Skemaoplysninger!$AA$30,"")</f>
        <v/>
      </c>
      <c r="BQ18" s="210" t="str">
        <f>IF(AND(C18="Skema 3",B18="ma"),Skemaoplysninger!$AG$30,"")</f>
        <v/>
      </c>
      <c r="BR18" s="210" t="str">
        <f>IF(AND(C18="Skema 3",B18="ti"),Skemaoplysninger!$AI$30,"")</f>
        <v/>
      </c>
      <c r="BS18" s="210" t="str">
        <f>IF(AND(C18="Skema 3",B18="on"),Skemaoplysninger!$AK$30,"")</f>
        <v/>
      </c>
      <c r="BT18" s="210" t="str">
        <f>IF(AND(C18="Skema 3",B18="to"),Skemaoplysninger!$AM$30,"")</f>
        <v/>
      </c>
      <c r="BU18" s="210" t="str">
        <f>IF(AND(C18="Skema 3",B18="fr"),Skemaoplysninger!$AO$30,"")</f>
        <v/>
      </c>
      <c r="BV18" s="210" t="str">
        <f>IF(AND(C18="Skema 4",B18="ma"),Skemaoplysninger!$AU$30,"")</f>
        <v/>
      </c>
      <c r="BW18" s="210" t="str">
        <f>IF(AND(C18="Skema 4",B18="ti"),Skemaoplysninger!$AW$30,"")</f>
        <v/>
      </c>
      <c r="BX18" s="210" t="str">
        <f>IF(AND(C18="Skema 4",B18="on"),Skemaoplysninger!$AY$30,"")</f>
        <v/>
      </c>
      <c r="BY18" s="210" t="str">
        <f>IF(AND(C18="Skema 4",B18="to"),Skemaoplysninger!$BA$30,"")</f>
        <v/>
      </c>
      <c r="BZ18" s="210" t="str">
        <f>IF(AND(C18="Skema 4",B18="fr"),Skemaoplysninger!$BC$30,"")</f>
        <v/>
      </c>
      <c r="CA18" s="1">
        <f t="shared" si="25"/>
        <v>4.5</v>
      </c>
      <c r="CB18" s="1">
        <f t="shared" si="12"/>
        <v>1</v>
      </c>
      <c r="CC18" s="1">
        <f t="shared" si="13"/>
        <v>0</v>
      </c>
      <c r="CD18" s="210" t="str">
        <f>IF(AND(C18="Skema 1",B18="ma"),Skemaoplysninger!$E$31,"")</f>
        <v/>
      </c>
      <c r="CE18" s="210" t="str">
        <f>IF(AND(C18="Skema 1",B18="ti"),Skemaoplysninger!$G$31,"")</f>
        <v/>
      </c>
      <c r="CF18" s="210" t="str">
        <f>IF(AND(C18="Skema 1",B18="on"),Skemaoplysninger!$I$31,"")</f>
        <v/>
      </c>
      <c r="CG18" s="210" t="str">
        <f>IF(AND(C18="Skema 1",B18="to"),Skemaoplysninger!$K$31,"")</f>
        <v/>
      </c>
      <c r="CH18" s="210" t="str">
        <f>IF(AND(C18="Skema 1",B18="fr"),Skemaoplysninger!$M$31,"")</f>
        <v/>
      </c>
      <c r="CI18" s="210" t="str">
        <f>IF(AND(C18="Skema 2",B18="ma"),Skemaoplysninger!$S$31,"")</f>
        <v/>
      </c>
      <c r="CJ18" s="210" t="str">
        <f>IF(AND(C18="Skema 2",B18="ti"),Skemaoplysninger!$U$31,"")</f>
        <v/>
      </c>
      <c r="CK18" s="210" t="str">
        <f>IF(AND(C18="Skema 2",B18="on"),Skemaoplysninger!$W$31,"")</f>
        <v/>
      </c>
      <c r="CL18" s="210" t="str">
        <f>IF(AND(C18="Skema 2",B18="to"),Skemaoplysninger!$Y$31,"")</f>
        <v/>
      </c>
      <c r="CM18" s="210" t="str">
        <f>IF(AND(C18="Skema 2",B18="fr"),Skemaoplysninger!$AA$31,"")</f>
        <v/>
      </c>
      <c r="CN18" s="210" t="str">
        <f>IF(AND(C18="Skema 3",B18="ma"),Skemaoplysninger!$AG$31,"")</f>
        <v/>
      </c>
      <c r="CO18" s="210" t="str">
        <f>IF(AND(C18="Skema 3",B18="ti"),Skemaoplysninger!$AI$31,"")</f>
        <v/>
      </c>
      <c r="CP18" s="210" t="str">
        <f>IF(AND(C18="Skema 3",B18="on"),Skemaoplysninger!$AK$31,"")</f>
        <v/>
      </c>
      <c r="CQ18" s="210" t="str">
        <f>IF(AND(C18="Skema 3",B18="to"),Skemaoplysninger!$AM$31,"")</f>
        <v/>
      </c>
      <c r="CR18" s="210" t="str">
        <f>IF(AND(C18="Skema 3",B18="fr"),Skemaoplysninger!$AO$31,"")</f>
        <v/>
      </c>
      <c r="CS18" s="210" t="str">
        <f>IF(AND(C18="Skema 4",B18="ma"),Skemaoplysninger!$AU$31,"")</f>
        <v/>
      </c>
      <c r="CT18" s="210" t="str">
        <f>IF(AND(C18="Skema 4",B18="ti"),Skemaoplysninger!$AW$31,"")</f>
        <v/>
      </c>
      <c r="CU18" s="210" t="str">
        <f>IF(AND(C18="Skema 4",B18="on"),Skemaoplysninger!$AY$31,"")</f>
        <v/>
      </c>
      <c r="CV18" s="210" t="str">
        <f>IF(AND(C18="Skema 4",B18="to"),Skemaoplysninger!$BA$31,"")</f>
        <v/>
      </c>
      <c r="CW18" s="210" t="str">
        <f>IF(AND(C18="Skema 4",B18="fr"),Skemaoplysninger!$BC$31,"")</f>
        <v/>
      </c>
      <c r="CX18" s="249">
        <f>IF(Stamoplysninger!$H$29="NEJ",SUM(CD18:CW18)*24+CB18+CC18,0)</f>
        <v>1</v>
      </c>
      <c r="CY18" s="249">
        <f>IF(C18="Skema 1",Stamoplysninger!$H$30/200,0)</f>
        <v>0</v>
      </c>
      <c r="CZ18" s="249">
        <f>IF(C18="Skema 2",Stamoplysninger!$H$30/200,0)</f>
        <v>0</v>
      </c>
      <c r="DA18" s="249">
        <f>IF(C18="Skema 3",Stamoplysninger!$H$30/200,0)</f>
        <v>0</v>
      </c>
      <c r="DB18" s="249">
        <f>IF(C18="Skema 4",Stamoplysninger!$H$30/200,0)</f>
        <v>0</v>
      </c>
      <c r="DC18" s="249">
        <f>IF(C18="fagdag",Stamoplysninger!$H$30/200,0)</f>
        <v>0</v>
      </c>
      <c r="DD18" s="249">
        <f>IF(C18="emnedag",Stamoplysninger!$H$30/200,0)</f>
        <v>0</v>
      </c>
      <c r="DE18" s="249">
        <f>IF(C18="lejrskole",Stamoplysninger!$H$30/200,0)</f>
        <v>0</v>
      </c>
      <c r="DF18" s="249">
        <f>IF(C18="ekskursion",Stamoplysninger!$H$30/200,0)</f>
        <v>0</v>
      </c>
      <c r="DG18" s="249">
        <f t="shared" si="26"/>
        <v>0</v>
      </c>
      <c r="DH18" t="str">
        <f t="shared" si="27"/>
        <v/>
      </c>
      <c r="DI18" t="str">
        <f t="shared" si="28"/>
        <v>Naturvidenskabsfestival</v>
      </c>
      <c r="DJ18" t="str">
        <f t="shared" si="29"/>
        <v/>
      </c>
      <c r="DK18" t="str">
        <f t="shared" si="14"/>
        <v/>
      </c>
      <c r="DL18" t="str">
        <f t="shared" si="14"/>
        <v>Naturvidenskabsfestival</v>
      </c>
      <c r="DM18" t="str">
        <f t="shared" si="14"/>
        <v/>
      </c>
      <c r="DN18" t="str">
        <f t="shared" si="30"/>
        <v>Naturvidenskabsfestival</v>
      </c>
      <c r="DO18" s="652">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71">
        <f>IF(AND(Stamoplysninger!$B$22="Ulempetillæg udbetales med 25% af nettotimelønnen.",C18="ikke relevant"),(R18)/4,0)</f>
        <v>0</v>
      </c>
      <c r="DT18" s="671">
        <f>IF(AND(AND(Stamoplysninger!$B$22="Ulempetillæg udbetales med 25% af nettotimelønnen.",I18="X",C18="Ikke relevant")),K18/4,0)</f>
        <v>0</v>
      </c>
      <c r="DU18" s="671">
        <f>IF(AND(AND(Stamoplysninger!$B$22="Ulempetillæg udbetales med 25% af nettotimelønnen.",C18="ikke relevant",U18="X")),(X18/4),0)</f>
        <v>0</v>
      </c>
      <c r="DV18" s="672">
        <f>IF(AND(AND(AND(Stamoplysninger!$B$22="Ulempetillæg udbetales med 25% af nettotimelønnen.",I18="X",C18="Ikke relevant",S18="X"))),V18/4,0)</f>
        <v>0</v>
      </c>
      <c r="DW18" s="652"/>
      <c r="DZ18" s="671"/>
      <c r="EA18" s="671"/>
      <c r="EB18" s="672"/>
      <c r="EC18" s="652">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71">
        <f>IF(AND(Stamoplysninger!$B$22="Ulempetillæg afspadseres med 25%(Kræver en aftale imellem ledelsen og den ansatte)",C18="ikke relevant"),(R18)/4,0)</f>
        <v>0</v>
      </c>
      <c r="EH18" s="671">
        <f>IF(AND(AND(Stamoplysninger!$B$22="Ulempetillæg afspadseres med 25%(Kræver en aftale imellem ledelsen og den ansatte)",I18="X",C18="Ikke relevant")),K18/4,0)</f>
        <v>0</v>
      </c>
      <c r="EI18" s="671">
        <f>IF(AND(AND(Stamoplysninger!$B$22="Ulempetillæg afspadseres med 25%(Kræver en aftale imellem ledelsen og den ansatte)",U18="X",C18="Ikke relevant")),X18/4,0)</f>
        <v>0</v>
      </c>
      <c r="EJ18" s="671">
        <f>IF(AND(AND(AND(Stamoplysninger!$B$22="Ulempetillæg afspadseres med 25%(Kræver en aftale imellem ledelsen og den ansatte)",I18="X",C18="Ikke relevant",S18="X"))),V18/4,0)</f>
        <v>0</v>
      </c>
      <c r="EK18" s="283">
        <f>IF(AND(Stamoplysninger!$B$26="Weekendtimer og weekendtillæg afspadseres.",I18="X"),K18*1.5,0)</f>
        <v>0</v>
      </c>
      <c r="EL18" s="251">
        <f>IF(AND(AND(Stamoplysninger!$B$26="Weekendtimer og weekendtillæg afspadseres.",I18="X",S18="X")),V18*1.5,0)</f>
        <v>0</v>
      </c>
      <c r="EM18" s="674">
        <f>IF(AND(AND(Stamoplysninger!$B$26="Weekendtimer og weekendtillæg afspadseres.",I18="X",C18="ikke relevant")),K18*1.5,0)</f>
        <v>0</v>
      </c>
      <c r="EN18" s="675">
        <f>IF(AND(AND(AND(Stamoplysninger!$B$26="Weekendtimer og weekendtillæg afspadseres.",I18="X",C18="ikke relevant",S18="X"))),(V18*1.5),0)</f>
        <v>0</v>
      </c>
      <c r="EO18" s="283">
        <f>IF(AND(Stamoplysninger!$B$26="Weekendtimer og weekendtillæg udbetales.",I18="X"),K18*1.5,0)</f>
        <v>0</v>
      </c>
      <c r="EP18" s="251">
        <f>IF(AND(AND(Stamoplysninger!$B$26="Weekendtimer og weekendtillæg udbetales.",I18="X",S18="X")),V18*1.5,0)</f>
        <v>0</v>
      </c>
      <c r="EQ18" s="674">
        <f>IF(AND(AND(Stamoplysninger!$B$26="Weekendtimer og weekendtillæg udbetales.",I18="X",C18="ikke relevant")),K18*1.5,0)</f>
        <v>0</v>
      </c>
      <c r="ER18" s="675">
        <f>IF(AND(AND(AND(Stamoplysninger!$B$26="Weekendtimer og weekendtillæg udbetales.",I18="X",C18="ikke relevant",S18="X"))),(V18*1.5),0)</f>
        <v>0</v>
      </c>
      <c r="ES18" s="283">
        <f>IF(AND(Stamoplysninger!$B$26="Der er indgået lokalaftale omkring weekendtimer.(Kræver aftale med TR/FSL) Weekendtillæg afspadseres.",I18="X"),K18*0.5,0)</f>
        <v>0</v>
      </c>
      <c r="ET18" s="251">
        <f>IF(AND(AND(Stamoplysninger!$B$26="Der er indgået lokalaftale omkring weekendtimer.(Kræver aftale med TR/FSL) Weekendtillæg afspadseres.",I18="X",S18="X")),V18*0.5,0)</f>
        <v>0</v>
      </c>
      <c r="EU18" s="674">
        <f>IF(AND(AND(Stamoplysninger!$B$26="Der er indgået lokalaftale omkring weekendtimer.(Kræver aftale med TR/FSL) Weekendtillæg afspadseres.",I18="X",C18="ikke relevant")),K18*0.5,0)</f>
        <v>0</v>
      </c>
      <c r="EV18" s="675">
        <f>IF(AND(AND(AND(Stamoplysninger!$B$26="Der er indgået lokalaftale omkring weekendtimer.(Kræver aftale med TR/FSL) Weekendtillæg afspadseres.",I18="X",C18="ikke relevant",S18="X"))),(V18*0.5),0)</f>
        <v>0</v>
      </c>
      <c r="EW18" s="283">
        <f>IF(AND(Stamoplysninger!$B$26="Der er indgået lokalaftale omkring weekendtimer(Kræver aftale med TR/FSL). Weekendtillæg udbetales.",I18="X"),K18*0.5,0)</f>
        <v>0</v>
      </c>
      <c r="EX18" s="251">
        <f>IF(AND(AND(Stamoplysninger!$B$26="Der er indgået lokalaftale omkring weekendtimer(Kræver aftale med TR/FSL). Weekendtillæg udbetales.",I18="X",S18="X")),V18*0.5,0)</f>
        <v>0</v>
      </c>
      <c r="EY18" s="674">
        <f>IF(AND(AND(Stamoplysninger!$B$26="Der er indgået lokalaftale omkring weekendtimer(Kræver aftale med TR/FSL). Weekendtillæg udbetales.",I18="X",C18="ikke relevant")),K18*0.5,0)</f>
        <v>0</v>
      </c>
      <c r="EZ18" s="675">
        <f>IF(AND(AND(AND(Stamoplysninger!$B$26="Der er indgået lokalaftale omkring weekendtimer(Kræver aftale med TR/FSL). Weekendtillæg udbetales.",I18="X",C18="ikke relevant",S18="X"))),(V18*0.5),0)</f>
        <v>0</v>
      </c>
      <c r="FA18" s="283">
        <f>IF(AND(Stamoplysninger!$B$26="Der er indgået lokalaftale omkring weekendtillæg(Kræver aftale med TR/FSL). Weekendtimerne afspadseres.",I18="X"),K18,0)</f>
        <v>0</v>
      </c>
      <c r="FB18" s="251">
        <f>IF(AND(AND(Stamoplysninger!$B$26="Der er indgået lokalaftale omkring weekendtillæg(Kræver aftale med TR/FSL). Weekendtimerne afspadseres.",I18="X",S18="X")),V18,0)</f>
        <v>0</v>
      </c>
      <c r="FC18" s="674">
        <f>IF(AND(AND(Stamoplysninger!$B$26="Der er indgået lokalaftale omkring weekendtillæg(Kræver aftale med TR/FSL). Weekendtimerne afspadseres..",I18="X",C18="ikke relevant")),K18,0)</f>
        <v>0</v>
      </c>
      <c r="FD18" s="675">
        <f>IF(AND(AND(AND(Stamoplysninger!$B$26="Der er indgået lokalaftale omkring weekendtillæg(Kræver aftale med TR/FSL). Weekendtimerne afspadseres.",I18="X",C18="ikke relevant",S18="X"))),(V18),0)</f>
        <v>0</v>
      </c>
      <c r="FE18" s="283">
        <f>IF(AND(Stamoplysninger!$B$26="Der er indgået lokalaftale omkring weekendtillæg(Kræver aftale med TR/FSL). Weekendtimerne udbetales.",I18="X"),K18,0)</f>
        <v>0</v>
      </c>
      <c r="FF18" s="251">
        <f>IF(AND(AND(Stamoplysninger!$B$26="Der er indgået lokalaftale omkring weekendtillæg(Kræver aftale med TR/FSL). Weekendtimerne udbetales.",I18="X",S18="X")),V18,0)</f>
        <v>0</v>
      </c>
      <c r="FG18" s="674">
        <f>IF(AND(AND(Stamoplysninger!$B$26="Der er indgået lokalaftale omkring weekendtillæg(Kræver aftale med TR/FSL). Weekendtimerne udbetales.",I18="X",C18="ikke relevant")),K18,0)</f>
        <v>0</v>
      </c>
      <c r="FH18" s="675">
        <f>IF(AND(AND(AND(Stamoplysninger!$B$26="Der er indgået lokalaftale omkring weekendtillæg(Kræver aftale med TR/FSL). Weekendtimerne udbetales.",I18="X",C18="ikke relevant",S18="X"))),(V18),0)</f>
        <v>0</v>
      </c>
      <c r="FI18" s="283">
        <f>IF(AND(Stamoplysninger!$B$26="Weekendtimer og weekendtillæg afspadseres.",I18="X"),K18,0)</f>
        <v>0</v>
      </c>
      <c r="FJ18" s="251">
        <f>IF(AND(Stamoplysninger!$B$26="Weekendtimer og weekendtillæg afspadseres.",Y18="X"),(AA18+AL18)/2,0)</f>
        <v>0</v>
      </c>
      <c r="FK18" s="674">
        <f>IF(AND(AND(Stamoplysninger!$B$26="Weekendtimer og weekendtillæg afspadseres.",I18="X",C18="ikke relevant")),K18,0)</f>
        <v>0</v>
      </c>
      <c r="FL18" s="675">
        <f>IF(AND(AND(Stamoplysninger!$B$26="Weekendtimer og weekendtillæg afspadseres.",Y18="X",S18="ikke relevant")),(AA18+AL18)/2,0)</f>
        <v>0</v>
      </c>
      <c r="FM18" s="283">
        <f>IF(AND(Stamoplysninger!$B$26="Der er indgået lokalaftale omkring weekendtillæg(Kræver aftale med TR/FSL). Weekendtimerne afspadseres.",I18="X"),K18,0)</f>
        <v>0</v>
      </c>
      <c r="FN18" s="674">
        <f>IF(AND(AND(Stamoplysninger!$B$26="Der er indgået lokalaftale omkring weekendtillæg(Kræver aftale med TR/FSL). Weekendtimerne afspadseres.",I18="X",C18="ikke relevant")),K18,0)</f>
        <v>0</v>
      </c>
      <c r="FO18" s="283">
        <f>IF(AND(Stamoplysninger!$B$26="Weekendtimer og weekendtillæg udbetales.",I18="X"),K18,0)</f>
        <v>0</v>
      </c>
      <c r="FP18" s="251">
        <f>IF(AND(Stamoplysninger!$B$26="Weekendtimer og weekendtillæg udbetales.",AA18="X"),(AC18+AN18)/2,0)</f>
        <v>0</v>
      </c>
      <c r="FQ18" s="674">
        <f>IF(AND(AND(Stamoplysninger!$B$26="Weekendtimer og weekendtillæg udbetales.",I18="X",C18="ikke relevant")),K18,0)</f>
        <v>0</v>
      </c>
      <c r="FR18" s="688">
        <f>IF(AND(AND(Stamoplysninger!$B$26="Weekendtimer og weekendtillæg udbetales.",AA18="X",U18="ikke relevant")),(AC18+AN18)/2,0)</f>
        <v>0</v>
      </c>
      <c r="FS18" s="283">
        <f t="shared" si="15"/>
        <v>0</v>
      </c>
      <c r="FT18" s="658">
        <f t="shared" si="16"/>
        <v>0</v>
      </c>
      <c r="FU18">
        <f t="shared" si="17"/>
        <v>0</v>
      </c>
      <c r="FV18" s="283">
        <f>IF(AND(Stamoplysninger!$B$26="Der er indgået lokalaftale omkring weekendtimer.(Kræver aftale med TR/FSL) Weekendtillæg afspadseres.",I18="X"),K18,0)</f>
        <v>0</v>
      </c>
      <c r="FW18" s="674">
        <f>IF(AND(AND(Stamoplysninger!$B$26="Der er indgået lokalaftale omkring weekendtimer.(Kræver aftale med TR/FSL) Weekendtillæg afspadseres.",I18="X",C18="ikke relevant")),K18,0)</f>
        <v>0</v>
      </c>
      <c r="FX18" s="283">
        <f>IF(AND(Stamoplysninger!$B$26="Der er indgået lokalaftale omkring weekendtimer(Kræver aftale med TR/FSL). Weekendtillæg udbetales.",I18="X"),K18,0)</f>
        <v>0</v>
      </c>
      <c r="FY18" s="674">
        <f>IF(AND(AND(Stamoplysninger!$B$26="Der er indgået lokalaftale omkring weekendtimer(Kræver aftale med TR/FSL). Weekendtillæg udbetales.",I18="X",C18="ikke relevant")),K18,0)</f>
        <v>0</v>
      </c>
      <c r="FZ18" s="283">
        <f>IF(AND(Stamoplysninger!$B$26="Der er indgået lokalaftale omkring weekendtillæg(Kræver aftale med TR/FSL). Weekendtimerne udbetales.",I18="X"),K18,0)</f>
        <v>0</v>
      </c>
      <c r="GA18" s="674">
        <f>IF(AND(AND(Stamoplysninger!$B$26="Der er indgået lokalaftale omkring weekendtillæg(Kræver aftale med TR/FSL). Weekendtimerne udbetales.",I18="X",C18="ikke relevant")),K18,0)</f>
        <v>0</v>
      </c>
      <c r="GB18" s="283">
        <f>IF(AND(Stamoplysninger!$B$26="Der er indgået lokalaftale omkring weekendtimer og weekendtillæg.(Kræver aftale med TR/FSL).",I18="X"),K18,0)</f>
        <v>0</v>
      </c>
      <c r="GC18" s="674">
        <f>IF(AND(AND(Stamoplysninger!$B$26="Der er indgået lokalaftale omkring weekendtimer og weekendtillæg.(Kræver aftale med TR/FSL).",I18="X",C18="ikke relevant")),K18,0)</f>
        <v>0</v>
      </c>
    </row>
    <row r="19" spans="1:185">
      <c r="A19" s="245">
        <f t="shared" si="18"/>
        <v>11</v>
      </c>
      <c r="B19" s="128" t="str">
        <f t="shared" si="0"/>
        <v>fr</v>
      </c>
      <c r="C19" s="129" t="s">
        <v>136</v>
      </c>
      <c r="D19" s="130" t="str">
        <f t="shared" si="1"/>
        <v/>
      </c>
      <c r="E19" s="917" t="s">
        <v>702</v>
      </c>
      <c r="F19" s="918"/>
      <c r="G19" s="919"/>
      <c r="H19" s="298"/>
      <c r="I19" s="527"/>
      <c r="J19" s="413"/>
      <c r="K19" s="380">
        <v>6</v>
      </c>
      <c r="L19" s="380">
        <v>4</v>
      </c>
      <c r="M19" s="380">
        <v>1</v>
      </c>
      <c r="N19" s="318">
        <f t="shared" si="19"/>
        <v>6</v>
      </c>
      <c r="O19" s="318">
        <f t="shared" si="20"/>
        <v>4</v>
      </c>
      <c r="P19" s="318">
        <f>IF(Stamoplysninger!$H$29="JA",Oktober!DG19,CX19)</f>
        <v>1</v>
      </c>
      <c r="Q19" s="318">
        <f t="shared" si="21"/>
        <v>1</v>
      </c>
      <c r="R19" s="319"/>
      <c r="S19" s="324"/>
      <c r="T19" s="325"/>
      <c r="U19" s="325"/>
      <c r="V19" s="435"/>
      <c r="W19" s="412"/>
      <c r="X19" s="642"/>
      <c r="Y19">
        <f t="shared" si="22"/>
        <v>0</v>
      </c>
      <c r="Z19">
        <f t="shared" si="2"/>
        <v>0</v>
      </c>
      <c r="AA19" s="1">
        <f t="shared" si="3"/>
        <v>0</v>
      </c>
      <c r="AB19" s="1">
        <f t="shared" si="4"/>
        <v>6</v>
      </c>
      <c r="AC19" s="1">
        <f t="shared" si="5"/>
        <v>0</v>
      </c>
      <c r="AD19" s="1">
        <f t="shared" si="6"/>
        <v>0</v>
      </c>
      <c r="AE19" s="1">
        <f t="shared" si="7"/>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6</v>
      </c>
      <c r="BB19" s="229">
        <f t="shared" si="8"/>
        <v>0</v>
      </c>
      <c r="BC19" s="1">
        <f t="shared" si="24"/>
        <v>0</v>
      </c>
      <c r="BD19" s="1">
        <f t="shared" si="9"/>
        <v>0</v>
      </c>
      <c r="BE19" s="1">
        <f t="shared" si="10"/>
        <v>4</v>
      </c>
      <c r="BF19" s="1">
        <f t="shared" si="11"/>
        <v>0</v>
      </c>
      <c r="BG19" s="210" t="str">
        <f>IF(AND(C19="Skema 1",B19="ma"),Skemaoplysninger!$E$30,"")</f>
        <v/>
      </c>
      <c r="BH19" s="210" t="str">
        <f>IF(AND(C19="Skema 1",B19="ti"),Skemaoplysninger!$G$30,"")</f>
        <v/>
      </c>
      <c r="BI19" s="210" t="str">
        <f>IF(AND(C19="Skema 1",B19="on"),Skemaoplysninger!$I$30,"")</f>
        <v/>
      </c>
      <c r="BJ19" s="210" t="str">
        <f>IF(AND(C19="Skema 1",B19="to"),Skemaoplysninger!$K$30,"")</f>
        <v/>
      </c>
      <c r="BK19" s="210" t="str">
        <f>IF(AND(C19="Skema 1",B19="fr"),Skemaoplysninger!$M$30,"")</f>
        <v/>
      </c>
      <c r="BL19" s="210" t="str">
        <f>IF(AND(C19="Skema 2",B19="ma"),Skemaoplysninger!$S$30,"")</f>
        <v/>
      </c>
      <c r="BM19" s="210" t="str">
        <f>IF(AND(C19="Skema 2",B19="ti"),Skemaoplysninger!$U$30,"")</f>
        <v/>
      </c>
      <c r="BN19" s="210" t="str">
        <f>IF(AND(C19="Skema 2",B19="on"),Skemaoplysninger!$W$30,"")</f>
        <v/>
      </c>
      <c r="BO19" s="210" t="str">
        <f>IF(AND(C19="Skema 2",B19="to"),Skemaoplysninger!$Y$30,"")</f>
        <v/>
      </c>
      <c r="BP19" s="210" t="str">
        <f>IF(AND(C19="Skema 2",B19="fr"),Skemaoplysninger!$AA$30,"")</f>
        <v/>
      </c>
      <c r="BQ19" s="210" t="str">
        <f>IF(AND(C19="Skema 3",B19="ma"),Skemaoplysninger!$AG$30,"")</f>
        <v/>
      </c>
      <c r="BR19" s="210" t="str">
        <f>IF(AND(C19="Skema 3",B19="ti"),Skemaoplysninger!$AI$30,"")</f>
        <v/>
      </c>
      <c r="BS19" s="210" t="str">
        <f>IF(AND(C19="Skema 3",B19="on"),Skemaoplysninger!$AK$30,"")</f>
        <v/>
      </c>
      <c r="BT19" s="210" t="str">
        <f>IF(AND(C19="Skema 3",B19="to"),Skemaoplysninger!$AM$30,"")</f>
        <v/>
      </c>
      <c r="BU19" s="210" t="str">
        <f>IF(AND(C19="Skema 3",B19="fr"),Skemaoplysninger!$AO$30,"")</f>
        <v/>
      </c>
      <c r="BV19" s="210" t="str">
        <f>IF(AND(C19="Skema 4",B19="ma"),Skemaoplysninger!$AU$30,"")</f>
        <v/>
      </c>
      <c r="BW19" s="210" t="str">
        <f>IF(AND(C19="Skema 4",B19="ti"),Skemaoplysninger!$AW$30,"")</f>
        <v/>
      </c>
      <c r="BX19" s="210" t="str">
        <f>IF(AND(C19="Skema 4",B19="on"),Skemaoplysninger!$AY$30,"")</f>
        <v/>
      </c>
      <c r="BY19" s="210" t="str">
        <f>IF(AND(C19="Skema 4",B19="to"),Skemaoplysninger!$BA$30,"")</f>
        <v/>
      </c>
      <c r="BZ19" s="210" t="str">
        <f>IF(AND(C19="Skema 4",B19="fr"),Skemaoplysninger!$BC$30,"")</f>
        <v/>
      </c>
      <c r="CA19" s="1">
        <f t="shared" si="25"/>
        <v>4</v>
      </c>
      <c r="CB19" s="1">
        <f t="shared" si="12"/>
        <v>1</v>
      </c>
      <c r="CC19" s="1">
        <f t="shared" si="13"/>
        <v>0</v>
      </c>
      <c r="CD19" s="210" t="str">
        <f>IF(AND(C19="Skema 1",B19="ma"),Skemaoplysninger!$E$31,"")</f>
        <v/>
      </c>
      <c r="CE19" s="210" t="str">
        <f>IF(AND(C19="Skema 1",B19="ti"),Skemaoplysninger!$G$31,"")</f>
        <v/>
      </c>
      <c r="CF19" s="210" t="str">
        <f>IF(AND(C19="Skema 1",B19="on"),Skemaoplysninger!$I$31,"")</f>
        <v/>
      </c>
      <c r="CG19" s="210" t="str">
        <f>IF(AND(C19="Skema 1",B19="to"),Skemaoplysninger!$K$31,"")</f>
        <v/>
      </c>
      <c r="CH19" s="210" t="str">
        <f>IF(AND(C19="Skema 1",B19="fr"),Skemaoplysninger!$M$31,"")</f>
        <v/>
      </c>
      <c r="CI19" s="210" t="str">
        <f>IF(AND(C19="Skema 2",B19="ma"),Skemaoplysninger!$S$31,"")</f>
        <v/>
      </c>
      <c r="CJ19" s="210" t="str">
        <f>IF(AND(C19="Skema 2",B19="ti"),Skemaoplysninger!$U$31,"")</f>
        <v/>
      </c>
      <c r="CK19" s="210" t="str">
        <f>IF(AND(C19="Skema 2",B19="on"),Skemaoplysninger!$W$31,"")</f>
        <v/>
      </c>
      <c r="CL19" s="210" t="str">
        <f>IF(AND(C19="Skema 2",B19="to"),Skemaoplysninger!$Y$31,"")</f>
        <v/>
      </c>
      <c r="CM19" s="210" t="str">
        <f>IF(AND(C19="Skema 2",B19="fr"),Skemaoplysninger!$AA$31,"")</f>
        <v/>
      </c>
      <c r="CN19" s="210" t="str">
        <f>IF(AND(C19="Skema 3",B19="ma"),Skemaoplysninger!$AG$31,"")</f>
        <v/>
      </c>
      <c r="CO19" s="210" t="str">
        <f>IF(AND(C19="Skema 3",B19="ti"),Skemaoplysninger!$AI$31,"")</f>
        <v/>
      </c>
      <c r="CP19" s="210" t="str">
        <f>IF(AND(C19="Skema 3",B19="on"),Skemaoplysninger!$AK$31,"")</f>
        <v/>
      </c>
      <c r="CQ19" s="210" t="str">
        <f>IF(AND(C19="Skema 3",B19="to"),Skemaoplysninger!$AM$31,"")</f>
        <v/>
      </c>
      <c r="CR19" s="210" t="str">
        <f>IF(AND(C19="Skema 3",B19="fr"),Skemaoplysninger!$AO$31,"")</f>
        <v/>
      </c>
      <c r="CS19" s="210" t="str">
        <f>IF(AND(C19="Skema 4",B19="ma"),Skemaoplysninger!$AU$31,"")</f>
        <v/>
      </c>
      <c r="CT19" s="210" t="str">
        <f>IF(AND(C19="Skema 4",B19="ti"),Skemaoplysninger!$AW$31,"")</f>
        <v/>
      </c>
      <c r="CU19" s="210" t="str">
        <f>IF(AND(C19="Skema 4",B19="on"),Skemaoplysninger!$AY$31,"")</f>
        <v/>
      </c>
      <c r="CV19" s="210" t="str">
        <f>IF(AND(C19="Skema 4",B19="to"),Skemaoplysninger!$BA$31,"")</f>
        <v/>
      </c>
      <c r="CW19" s="210" t="str">
        <f>IF(AND(C19="Skema 4",B19="fr"),Skemaoplysninger!$BC$31,"")</f>
        <v/>
      </c>
      <c r="CX19" s="249">
        <f>IF(Stamoplysninger!$H$29="NEJ",SUM(CD19:CW19)*24+CB19+CC19,0)</f>
        <v>1</v>
      </c>
      <c r="CY19" s="249">
        <f>IF(C19="Skema 1",Stamoplysninger!$H$30/200,0)</f>
        <v>0</v>
      </c>
      <c r="CZ19" s="249">
        <f>IF(C19="Skema 2",Stamoplysninger!$H$30/200,0)</f>
        <v>0</v>
      </c>
      <c r="DA19" s="249">
        <f>IF(C19="Skema 3",Stamoplysninger!$H$30/200,0)</f>
        <v>0</v>
      </c>
      <c r="DB19" s="249">
        <f>IF(C19="Skema 4",Stamoplysninger!$H$30/200,0)</f>
        <v>0</v>
      </c>
      <c r="DC19" s="249">
        <f>IF(C19="fagdag",Stamoplysninger!$H$30/200,0)</f>
        <v>0</v>
      </c>
      <c r="DD19" s="249">
        <f>IF(C19="emnedag",Stamoplysninger!$H$30/200,0)</f>
        <v>0</v>
      </c>
      <c r="DE19" s="249">
        <f>IF(C19="lejrskole",Stamoplysninger!$H$30/200,0)</f>
        <v>0</v>
      </c>
      <c r="DF19" s="249">
        <f>IF(C19="ekskursion",Stamoplysninger!$H$30/200,0)</f>
        <v>0</v>
      </c>
      <c r="DG19" s="249">
        <f t="shared" si="26"/>
        <v>0</v>
      </c>
      <c r="DH19" t="str">
        <f t="shared" si="27"/>
        <v/>
      </c>
      <c r="DI19" t="str">
        <f t="shared" si="28"/>
        <v>Naturvidenskabsfestival</v>
      </c>
      <c r="DJ19" t="str">
        <f t="shared" si="29"/>
        <v/>
      </c>
      <c r="DK19" t="str">
        <f t="shared" si="14"/>
        <v/>
      </c>
      <c r="DL19" t="str">
        <f t="shared" si="14"/>
        <v>Naturvidenskabsfestival</v>
      </c>
      <c r="DM19" t="str">
        <f t="shared" si="14"/>
        <v/>
      </c>
      <c r="DN19" t="str">
        <f t="shared" si="30"/>
        <v>Naturvidenskabsfestival</v>
      </c>
      <c r="DO19" s="652">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71">
        <f>IF(AND(Stamoplysninger!$B$22="Ulempetillæg udbetales med 25% af nettotimelønnen.",C19="ikke relevant"),(R19)/4,0)</f>
        <v>0</v>
      </c>
      <c r="DT19" s="671">
        <f>IF(AND(AND(Stamoplysninger!$B$22="Ulempetillæg udbetales med 25% af nettotimelønnen.",I19="X",C19="Ikke relevant")),K19/4,0)</f>
        <v>0</v>
      </c>
      <c r="DU19" s="671">
        <f>IF(AND(AND(Stamoplysninger!$B$22="Ulempetillæg udbetales med 25% af nettotimelønnen.",C19="ikke relevant",U19="X")),(X19/4),0)</f>
        <v>0</v>
      </c>
      <c r="DV19" s="672">
        <f>IF(AND(AND(AND(Stamoplysninger!$B$22="Ulempetillæg udbetales med 25% af nettotimelønnen.",I19="X",C19="Ikke relevant",S19="X"))),V19/4,0)</f>
        <v>0</v>
      </c>
      <c r="DW19" s="652"/>
      <c r="DZ19" s="671"/>
      <c r="EA19" s="671"/>
      <c r="EB19" s="672"/>
      <c r="EC19" s="652">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71">
        <f>IF(AND(Stamoplysninger!$B$22="Ulempetillæg afspadseres med 25%(Kræver en aftale imellem ledelsen og den ansatte)",C19="ikke relevant"),(R19)/4,0)</f>
        <v>0</v>
      </c>
      <c r="EH19" s="671">
        <f>IF(AND(AND(Stamoplysninger!$B$22="Ulempetillæg afspadseres med 25%(Kræver en aftale imellem ledelsen og den ansatte)",I19="X",C19="Ikke relevant")),K19/4,0)</f>
        <v>0</v>
      </c>
      <c r="EI19" s="671">
        <f>IF(AND(AND(Stamoplysninger!$B$22="Ulempetillæg afspadseres med 25%(Kræver en aftale imellem ledelsen og den ansatte)",U19="X",C19="Ikke relevant")),X19/4,0)</f>
        <v>0</v>
      </c>
      <c r="EJ19" s="671">
        <f>IF(AND(AND(AND(Stamoplysninger!$B$22="Ulempetillæg afspadseres med 25%(Kræver en aftale imellem ledelsen og den ansatte)",I19="X",C19="Ikke relevant",S19="X"))),V19/4,0)</f>
        <v>0</v>
      </c>
      <c r="EK19" s="283">
        <f>IF(AND(Stamoplysninger!$B$26="Weekendtimer og weekendtillæg afspadseres.",I19="X"),K19*1.5,0)</f>
        <v>0</v>
      </c>
      <c r="EL19" s="251">
        <f>IF(AND(AND(Stamoplysninger!$B$26="Weekendtimer og weekendtillæg afspadseres.",I19="X",S19="X")),V19*1.5,0)</f>
        <v>0</v>
      </c>
      <c r="EM19" s="674">
        <f>IF(AND(AND(Stamoplysninger!$B$26="Weekendtimer og weekendtillæg afspadseres.",I19="X",C19="ikke relevant")),K19*1.5,0)</f>
        <v>0</v>
      </c>
      <c r="EN19" s="675">
        <f>IF(AND(AND(AND(Stamoplysninger!$B$26="Weekendtimer og weekendtillæg afspadseres.",I19="X",C19="ikke relevant",S19="X"))),(V19*1.5),0)</f>
        <v>0</v>
      </c>
      <c r="EO19" s="283">
        <f>IF(AND(Stamoplysninger!$B$26="Weekendtimer og weekendtillæg udbetales.",I19="X"),K19*1.5,0)</f>
        <v>0</v>
      </c>
      <c r="EP19" s="251">
        <f>IF(AND(AND(Stamoplysninger!$B$26="Weekendtimer og weekendtillæg udbetales.",I19="X",S19="X")),V19*1.5,0)</f>
        <v>0</v>
      </c>
      <c r="EQ19" s="674">
        <f>IF(AND(AND(Stamoplysninger!$B$26="Weekendtimer og weekendtillæg udbetales.",I19="X",C19="ikke relevant")),K19*1.5,0)</f>
        <v>0</v>
      </c>
      <c r="ER19" s="675">
        <f>IF(AND(AND(AND(Stamoplysninger!$B$26="Weekendtimer og weekendtillæg udbetales.",I19="X",C19="ikke relevant",S19="X"))),(V19*1.5),0)</f>
        <v>0</v>
      </c>
      <c r="ES19" s="283">
        <f>IF(AND(Stamoplysninger!$B$26="Der er indgået lokalaftale omkring weekendtimer.(Kræver aftale med TR/FSL) Weekendtillæg afspadseres.",I19="X"),K19*0.5,0)</f>
        <v>0</v>
      </c>
      <c r="ET19" s="251">
        <f>IF(AND(AND(Stamoplysninger!$B$26="Der er indgået lokalaftale omkring weekendtimer.(Kræver aftale med TR/FSL) Weekendtillæg afspadseres.",I19="X",S19="X")),V19*0.5,0)</f>
        <v>0</v>
      </c>
      <c r="EU19" s="674">
        <f>IF(AND(AND(Stamoplysninger!$B$26="Der er indgået lokalaftale omkring weekendtimer.(Kræver aftale med TR/FSL) Weekendtillæg afspadseres.",I19="X",C19="ikke relevant")),K19*0.5,0)</f>
        <v>0</v>
      </c>
      <c r="EV19" s="675">
        <f>IF(AND(AND(AND(Stamoplysninger!$B$26="Der er indgået lokalaftale omkring weekendtimer.(Kræver aftale med TR/FSL) Weekendtillæg afspadseres.",I19="X",C19="ikke relevant",S19="X"))),(V19*0.5),0)</f>
        <v>0</v>
      </c>
      <c r="EW19" s="283">
        <f>IF(AND(Stamoplysninger!$B$26="Der er indgået lokalaftale omkring weekendtimer(Kræver aftale med TR/FSL). Weekendtillæg udbetales.",I19="X"),K19*0.5,0)</f>
        <v>0</v>
      </c>
      <c r="EX19" s="251">
        <f>IF(AND(AND(Stamoplysninger!$B$26="Der er indgået lokalaftale omkring weekendtimer(Kræver aftale med TR/FSL). Weekendtillæg udbetales.",I19="X",S19="X")),V19*0.5,0)</f>
        <v>0</v>
      </c>
      <c r="EY19" s="674">
        <f>IF(AND(AND(Stamoplysninger!$B$26="Der er indgået lokalaftale omkring weekendtimer(Kræver aftale med TR/FSL). Weekendtillæg udbetales.",I19="X",C19="ikke relevant")),K19*0.5,0)</f>
        <v>0</v>
      </c>
      <c r="EZ19" s="675">
        <f>IF(AND(AND(AND(Stamoplysninger!$B$26="Der er indgået lokalaftale omkring weekendtimer(Kræver aftale med TR/FSL). Weekendtillæg udbetales.",I19="X",C19="ikke relevant",S19="X"))),(V19*0.5),0)</f>
        <v>0</v>
      </c>
      <c r="FA19" s="283">
        <f>IF(AND(Stamoplysninger!$B$26="Der er indgået lokalaftale omkring weekendtillæg(Kræver aftale med TR/FSL). Weekendtimerne afspadseres.",I19="X"),K19,0)</f>
        <v>0</v>
      </c>
      <c r="FB19" s="251">
        <f>IF(AND(AND(Stamoplysninger!$B$26="Der er indgået lokalaftale omkring weekendtillæg(Kræver aftale med TR/FSL). Weekendtimerne afspadseres.",I19="X",S19="X")),V19,0)</f>
        <v>0</v>
      </c>
      <c r="FC19" s="674">
        <f>IF(AND(AND(Stamoplysninger!$B$26="Der er indgået lokalaftale omkring weekendtillæg(Kræver aftale med TR/FSL). Weekendtimerne afspadseres..",I19="X",C19="ikke relevant")),K19,0)</f>
        <v>0</v>
      </c>
      <c r="FD19" s="675">
        <f>IF(AND(AND(AND(Stamoplysninger!$B$26="Der er indgået lokalaftale omkring weekendtillæg(Kræver aftale med TR/FSL). Weekendtimerne afspadseres.",I19="X",C19="ikke relevant",S19="X"))),(V19),0)</f>
        <v>0</v>
      </c>
      <c r="FE19" s="283">
        <f>IF(AND(Stamoplysninger!$B$26="Der er indgået lokalaftale omkring weekendtillæg(Kræver aftale med TR/FSL). Weekendtimerne udbetales.",I19="X"),K19,0)</f>
        <v>0</v>
      </c>
      <c r="FF19" s="251">
        <f>IF(AND(AND(Stamoplysninger!$B$26="Der er indgået lokalaftale omkring weekendtillæg(Kræver aftale med TR/FSL). Weekendtimerne udbetales.",I19="X",S19="X")),V19,0)</f>
        <v>0</v>
      </c>
      <c r="FG19" s="674">
        <f>IF(AND(AND(Stamoplysninger!$B$26="Der er indgået lokalaftale omkring weekendtillæg(Kræver aftale med TR/FSL). Weekendtimerne udbetales.",I19="X",C19="ikke relevant")),K19,0)</f>
        <v>0</v>
      </c>
      <c r="FH19" s="675">
        <f>IF(AND(AND(AND(Stamoplysninger!$B$26="Der er indgået lokalaftale omkring weekendtillæg(Kræver aftale med TR/FSL). Weekendtimerne udbetales.",I19="X",C19="ikke relevant",S19="X"))),(V19),0)</f>
        <v>0</v>
      </c>
      <c r="FI19" s="283">
        <f>IF(AND(Stamoplysninger!$B$26="Weekendtimer og weekendtillæg afspadseres.",I19="X"),K19,0)</f>
        <v>0</v>
      </c>
      <c r="FJ19" s="251">
        <f>IF(AND(Stamoplysninger!$B$26="Weekendtimer og weekendtillæg afspadseres.",Y19="X"),(AA19+AL19)/2,0)</f>
        <v>0</v>
      </c>
      <c r="FK19" s="674">
        <f>IF(AND(AND(Stamoplysninger!$B$26="Weekendtimer og weekendtillæg afspadseres.",I19="X",C19="ikke relevant")),K19,0)</f>
        <v>0</v>
      </c>
      <c r="FL19" s="675">
        <f>IF(AND(AND(Stamoplysninger!$B$26="Weekendtimer og weekendtillæg afspadseres.",Y19="X",S19="ikke relevant")),(AA19+AL19)/2,0)</f>
        <v>0</v>
      </c>
      <c r="FM19" s="283">
        <f>IF(AND(Stamoplysninger!$B$26="Der er indgået lokalaftale omkring weekendtillæg(Kræver aftale med TR/FSL). Weekendtimerne afspadseres.",I19="X"),K19,0)</f>
        <v>0</v>
      </c>
      <c r="FN19" s="674">
        <f>IF(AND(AND(Stamoplysninger!$B$26="Der er indgået lokalaftale omkring weekendtillæg(Kræver aftale med TR/FSL). Weekendtimerne afspadseres.",I19="X",C19="ikke relevant")),K19,0)</f>
        <v>0</v>
      </c>
      <c r="FO19" s="283">
        <f>IF(AND(Stamoplysninger!$B$26="Weekendtimer og weekendtillæg udbetales.",I19="X"),K19,0)</f>
        <v>0</v>
      </c>
      <c r="FP19" s="251">
        <f>IF(AND(Stamoplysninger!$B$26="Weekendtimer og weekendtillæg udbetales.",AA19="X"),(AC19+AN19)/2,0)</f>
        <v>0</v>
      </c>
      <c r="FQ19" s="674">
        <f>IF(AND(AND(Stamoplysninger!$B$26="Weekendtimer og weekendtillæg udbetales.",I19="X",C19="ikke relevant")),K19,0)</f>
        <v>0</v>
      </c>
      <c r="FR19" s="688">
        <f>IF(AND(AND(Stamoplysninger!$B$26="Weekendtimer og weekendtillæg udbetales.",AA19="X",U19="ikke relevant")),(AC19+AN19)/2,0)</f>
        <v>0</v>
      </c>
      <c r="FS19" s="283">
        <f t="shared" si="15"/>
        <v>0</v>
      </c>
      <c r="FT19" s="658">
        <f t="shared" si="16"/>
        <v>0</v>
      </c>
      <c r="FU19">
        <f t="shared" si="17"/>
        <v>0</v>
      </c>
      <c r="FV19" s="283">
        <f>IF(AND(Stamoplysninger!$B$26="Der er indgået lokalaftale omkring weekendtimer.(Kræver aftale med TR/FSL) Weekendtillæg afspadseres.",I19="X"),K19,0)</f>
        <v>0</v>
      </c>
      <c r="FW19" s="674">
        <f>IF(AND(AND(Stamoplysninger!$B$26="Der er indgået lokalaftale omkring weekendtimer.(Kræver aftale med TR/FSL) Weekendtillæg afspadseres.",I19="X",C19="ikke relevant")),K19,0)</f>
        <v>0</v>
      </c>
      <c r="FX19" s="283">
        <f>IF(AND(Stamoplysninger!$B$26="Der er indgået lokalaftale omkring weekendtimer(Kræver aftale med TR/FSL). Weekendtillæg udbetales.",I19="X"),K19,0)</f>
        <v>0</v>
      </c>
      <c r="FY19" s="674">
        <f>IF(AND(AND(Stamoplysninger!$B$26="Der er indgået lokalaftale omkring weekendtimer(Kræver aftale med TR/FSL). Weekendtillæg udbetales.",I19="X",C19="ikke relevant")),K19,0)</f>
        <v>0</v>
      </c>
      <c r="FZ19" s="283">
        <f>IF(AND(Stamoplysninger!$B$26="Der er indgået lokalaftale omkring weekendtillæg(Kræver aftale med TR/FSL). Weekendtimerne udbetales.",I19="X"),K19,0)</f>
        <v>0</v>
      </c>
      <c r="GA19" s="674">
        <f>IF(AND(AND(Stamoplysninger!$B$26="Der er indgået lokalaftale omkring weekendtillæg(Kræver aftale med TR/FSL). Weekendtimerne udbetales.",I19="X",C19="ikke relevant")),K19,0)</f>
        <v>0</v>
      </c>
      <c r="GB19" s="283">
        <f>IF(AND(Stamoplysninger!$B$26="Der er indgået lokalaftale omkring weekendtimer og weekendtillæg.(Kræver aftale med TR/FSL).",I19="X"),K19,0)</f>
        <v>0</v>
      </c>
      <c r="GC19" s="674">
        <f>IF(AND(AND(Stamoplysninger!$B$26="Der er indgået lokalaftale omkring weekendtimer og weekendtillæg.(Kræver aftale med TR/FSL).",I19="X",C19="ikke relevant")),K19,0)</f>
        <v>0</v>
      </c>
    </row>
    <row r="20" spans="1:185">
      <c r="A20" s="245">
        <f>IF(ISNUMBER(A19),A19+1,1)</f>
        <v>12</v>
      </c>
      <c r="B20" s="128" t="str">
        <f t="shared" si="0"/>
        <v>lø</v>
      </c>
      <c r="C20" s="129" t="s">
        <v>120</v>
      </c>
      <c r="D20" s="130" t="str">
        <f t="shared" si="1"/>
        <v/>
      </c>
      <c r="E20" s="917"/>
      <c r="F20" s="918"/>
      <c r="G20" s="919"/>
      <c r="H20" s="298"/>
      <c r="I20" s="413"/>
      <c r="J20" s="413"/>
      <c r="K20" s="380"/>
      <c r="L20" s="380"/>
      <c r="M20" s="380"/>
      <c r="N20" s="318">
        <f t="shared" si="19"/>
        <v>0</v>
      </c>
      <c r="O20" s="318">
        <f t="shared" si="20"/>
        <v>0</v>
      </c>
      <c r="P20" s="318">
        <f>IF(Stamoplysninger!$H$29="JA",Oktober!DG20,CX20)</f>
        <v>0</v>
      </c>
      <c r="Q20" s="318">
        <f t="shared" si="21"/>
        <v>0</v>
      </c>
      <c r="R20" s="319"/>
      <c r="S20" s="324"/>
      <c r="T20" s="325"/>
      <c r="U20" s="325"/>
      <c r="V20" s="435"/>
      <c r="W20" s="412"/>
      <c r="X20" s="642"/>
      <c r="Y20">
        <f t="shared" si="22"/>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9">
        <f t="shared" si="8"/>
        <v>0</v>
      </c>
      <c r="BC20" s="1">
        <f t="shared" si="24"/>
        <v>0</v>
      </c>
      <c r="BD20" s="1">
        <f t="shared" si="9"/>
        <v>0</v>
      </c>
      <c r="BE20" s="1">
        <f t="shared" si="10"/>
        <v>0</v>
      </c>
      <c r="BF20" s="1">
        <f t="shared" si="11"/>
        <v>0</v>
      </c>
      <c r="BG20" s="210" t="str">
        <f>IF(AND(C20="Skema 1",B20="ma"),Skemaoplysninger!$E$30,"")</f>
        <v/>
      </c>
      <c r="BH20" s="210" t="str">
        <f>IF(AND(C20="Skema 1",B20="ti"),Skemaoplysninger!$G$30,"")</f>
        <v/>
      </c>
      <c r="BI20" s="210" t="str">
        <f>IF(AND(C20="Skema 1",B20="on"),Skemaoplysninger!$I$30,"")</f>
        <v/>
      </c>
      <c r="BJ20" s="210" t="str">
        <f>IF(AND(C20="Skema 1",B20="to"),Skemaoplysninger!$K$30,"")</f>
        <v/>
      </c>
      <c r="BK20" s="210" t="str">
        <f>IF(AND(C20="Skema 1",B20="fr"),Skemaoplysninger!$M$30,"")</f>
        <v/>
      </c>
      <c r="BL20" s="210" t="str">
        <f>IF(AND(C20="Skema 2",B20="ma"),Skemaoplysninger!$S$30,"")</f>
        <v/>
      </c>
      <c r="BM20" s="210" t="str">
        <f>IF(AND(C20="Skema 2",B20="ti"),Skemaoplysninger!$U$30,"")</f>
        <v/>
      </c>
      <c r="BN20" s="210" t="str">
        <f>IF(AND(C20="Skema 2",B20="on"),Skemaoplysninger!$W$30,"")</f>
        <v/>
      </c>
      <c r="BO20" s="210" t="str">
        <f>IF(AND(C20="Skema 2",B20="to"),Skemaoplysninger!$Y$30,"")</f>
        <v/>
      </c>
      <c r="BP20" s="210" t="str">
        <f>IF(AND(C20="Skema 2",B20="fr"),Skemaoplysninger!$AA$30,"")</f>
        <v/>
      </c>
      <c r="BQ20" s="210" t="str">
        <f>IF(AND(C20="Skema 3",B20="ma"),Skemaoplysninger!$AG$30,"")</f>
        <v/>
      </c>
      <c r="BR20" s="210" t="str">
        <f>IF(AND(C20="Skema 3",B20="ti"),Skemaoplysninger!$AI$30,"")</f>
        <v/>
      </c>
      <c r="BS20" s="210" t="str">
        <f>IF(AND(C20="Skema 3",B20="on"),Skemaoplysninger!$AK$30,"")</f>
        <v/>
      </c>
      <c r="BT20" s="210" t="str">
        <f>IF(AND(C20="Skema 3",B20="to"),Skemaoplysninger!$AM$30,"")</f>
        <v/>
      </c>
      <c r="BU20" s="210" t="str">
        <f>IF(AND(C20="Skema 3",B20="fr"),Skemaoplysninger!$AO$30,"")</f>
        <v/>
      </c>
      <c r="BV20" s="210" t="str">
        <f>IF(AND(C20="Skema 4",B20="ma"),Skemaoplysninger!$AU$30,"")</f>
        <v/>
      </c>
      <c r="BW20" s="210" t="str">
        <f>IF(AND(C20="Skema 4",B20="ti"),Skemaoplysninger!$AW$30,"")</f>
        <v/>
      </c>
      <c r="BX20" s="210" t="str">
        <f>IF(AND(C20="Skema 4",B20="on"),Skemaoplysninger!$AY$30,"")</f>
        <v/>
      </c>
      <c r="BY20" s="210" t="str">
        <f>IF(AND(C20="Skema 4",B20="to"),Skemaoplysninger!$BA$30,"")</f>
        <v/>
      </c>
      <c r="BZ20" s="210" t="str">
        <f>IF(AND(C20="Skema 4",B20="fr"),Skemaoplysninger!$BC$30,"")</f>
        <v/>
      </c>
      <c r="CA20" s="1">
        <f t="shared" si="25"/>
        <v>0</v>
      </c>
      <c r="CB20" s="1">
        <f t="shared" si="12"/>
        <v>0</v>
      </c>
      <c r="CC20" s="1">
        <f t="shared" si="13"/>
        <v>0</v>
      </c>
      <c r="CD20" s="210" t="str">
        <f>IF(AND(C20="Skema 1",B20="ma"),Skemaoplysninger!$E$31,"")</f>
        <v/>
      </c>
      <c r="CE20" s="210" t="str">
        <f>IF(AND(C20="Skema 1",B20="ti"),Skemaoplysninger!$G$31,"")</f>
        <v/>
      </c>
      <c r="CF20" s="210" t="str">
        <f>IF(AND(C20="Skema 1",B20="on"),Skemaoplysninger!$I$31,"")</f>
        <v/>
      </c>
      <c r="CG20" s="210" t="str">
        <f>IF(AND(C20="Skema 1",B20="to"),Skemaoplysninger!$K$31,"")</f>
        <v/>
      </c>
      <c r="CH20" s="210" t="str">
        <f>IF(AND(C20="Skema 1",B20="fr"),Skemaoplysninger!$M$31,"")</f>
        <v/>
      </c>
      <c r="CI20" s="210" t="str">
        <f>IF(AND(C20="Skema 2",B20="ma"),Skemaoplysninger!$S$31,"")</f>
        <v/>
      </c>
      <c r="CJ20" s="210" t="str">
        <f>IF(AND(C20="Skema 2",B20="ti"),Skemaoplysninger!$U$31,"")</f>
        <v/>
      </c>
      <c r="CK20" s="210" t="str">
        <f>IF(AND(C20="Skema 2",B20="on"),Skemaoplysninger!$W$31,"")</f>
        <v/>
      </c>
      <c r="CL20" s="210" t="str">
        <f>IF(AND(C20="Skema 2",B20="to"),Skemaoplysninger!$Y$31,"")</f>
        <v/>
      </c>
      <c r="CM20" s="210" t="str">
        <f>IF(AND(C20="Skema 2",B20="fr"),Skemaoplysninger!$AA$31,"")</f>
        <v/>
      </c>
      <c r="CN20" s="210" t="str">
        <f>IF(AND(C20="Skema 3",B20="ma"),Skemaoplysninger!$AG$31,"")</f>
        <v/>
      </c>
      <c r="CO20" s="210" t="str">
        <f>IF(AND(C20="Skema 3",B20="ti"),Skemaoplysninger!$AI$31,"")</f>
        <v/>
      </c>
      <c r="CP20" s="210" t="str">
        <f>IF(AND(C20="Skema 3",B20="on"),Skemaoplysninger!$AK$31,"")</f>
        <v/>
      </c>
      <c r="CQ20" s="210" t="str">
        <f>IF(AND(C20="Skema 3",B20="to"),Skemaoplysninger!$AM$31,"")</f>
        <v/>
      </c>
      <c r="CR20" s="210" t="str">
        <f>IF(AND(C20="Skema 3",B20="fr"),Skemaoplysninger!$AO$31,"")</f>
        <v/>
      </c>
      <c r="CS20" s="210" t="str">
        <f>IF(AND(C20="Skema 4",B20="ma"),Skemaoplysninger!$AU$31,"")</f>
        <v/>
      </c>
      <c r="CT20" s="210" t="str">
        <f>IF(AND(C20="Skema 4",B20="ti"),Skemaoplysninger!$AW$31,"")</f>
        <v/>
      </c>
      <c r="CU20" s="210" t="str">
        <f>IF(AND(C20="Skema 4",B20="on"),Skemaoplysninger!$AY$31,"")</f>
        <v/>
      </c>
      <c r="CV20" s="210" t="str">
        <f>IF(AND(C20="Skema 4",B20="to"),Skemaoplysninger!$BA$31,"")</f>
        <v/>
      </c>
      <c r="CW20" s="210" t="str">
        <f>IF(AND(C20="Skema 4",B20="fr"),Skemaoplysninger!$BC$31,"")</f>
        <v/>
      </c>
      <c r="CX20" s="249">
        <f>IF(Stamoplysninger!$H$29="NEJ",SUM(CD20:CW20)*24+CB20+CC20,0)</f>
        <v>0</v>
      </c>
      <c r="CY20" s="249">
        <f>IF(C20="Skema 1",Stamoplysninger!$H$30/200,0)</f>
        <v>0</v>
      </c>
      <c r="CZ20" s="249">
        <f>IF(C20="Skema 2",Stamoplysninger!$H$30/200,0)</f>
        <v>0</v>
      </c>
      <c r="DA20" s="249">
        <f>IF(C20="Skema 3",Stamoplysninger!$H$30/200,0)</f>
        <v>0</v>
      </c>
      <c r="DB20" s="249">
        <f>IF(C20="Skema 4",Stamoplysninger!$H$30/200,0)</f>
        <v>0</v>
      </c>
      <c r="DC20" s="249">
        <f>IF(C20="fagdag",Stamoplysninger!$H$30/200,0)</f>
        <v>0</v>
      </c>
      <c r="DD20" s="249">
        <f>IF(C20="emnedag",Stamoplysninger!$H$30/200,0)</f>
        <v>0</v>
      </c>
      <c r="DE20" s="249">
        <f>IF(C20="lejrskole",Stamoplysninger!$H$30/200,0)</f>
        <v>0</v>
      </c>
      <c r="DF20" s="249">
        <f>IF(C20="ekskursion",Stamoplysninger!$H$30/200,0)</f>
        <v>0</v>
      </c>
      <c r="DG20" s="249">
        <f t="shared" si="26"/>
        <v>0</v>
      </c>
      <c r="DH20" t="str">
        <f t="shared" si="27"/>
        <v/>
      </c>
      <c r="DI20">
        <f t="shared" si="28"/>
        <v>0</v>
      </c>
      <c r="DJ20">
        <f t="shared" si="29"/>
        <v>0</v>
      </c>
      <c r="DK20" t="str">
        <f t="shared" si="14"/>
        <v/>
      </c>
      <c r="DL20" t="str">
        <f t="shared" si="14"/>
        <v/>
      </c>
      <c r="DM20" t="str">
        <f t="shared" si="14"/>
        <v/>
      </c>
      <c r="DN20" t="str">
        <f t="shared" si="30"/>
        <v/>
      </c>
      <c r="DO20" s="652">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71">
        <f>IF(AND(Stamoplysninger!$B$22="Ulempetillæg udbetales med 25% af nettotimelønnen.",C20="ikke relevant"),(R20)/4,0)</f>
        <v>0</v>
      </c>
      <c r="DT20" s="671">
        <f>IF(AND(AND(Stamoplysninger!$B$22="Ulempetillæg udbetales med 25% af nettotimelønnen.",I20="X",C20="Ikke relevant")),K20/4,0)</f>
        <v>0</v>
      </c>
      <c r="DU20" s="671">
        <f>IF(AND(AND(Stamoplysninger!$B$22="Ulempetillæg udbetales med 25% af nettotimelønnen.",C20="ikke relevant",U20="X")),(X20/4),0)</f>
        <v>0</v>
      </c>
      <c r="DV20" s="672">
        <f>IF(AND(AND(AND(Stamoplysninger!$B$22="Ulempetillæg udbetales med 25% af nettotimelønnen.",I20="X",C20="Ikke relevant",S20="X"))),V20/4,0)</f>
        <v>0</v>
      </c>
      <c r="DW20" s="652"/>
      <c r="DZ20" s="671"/>
      <c r="EA20" s="671"/>
      <c r="EB20" s="672"/>
      <c r="EC20" s="652">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71">
        <f>IF(AND(Stamoplysninger!$B$22="Ulempetillæg afspadseres med 25%(Kræver en aftale imellem ledelsen og den ansatte)",C20="ikke relevant"),(R20)/4,0)</f>
        <v>0</v>
      </c>
      <c r="EH20" s="671">
        <f>IF(AND(AND(Stamoplysninger!$B$22="Ulempetillæg afspadseres med 25%(Kræver en aftale imellem ledelsen og den ansatte)",I20="X",C20="Ikke relevant")),K20/4,0)</f>
        <v>0</v>
      </c>
      <c r="EI20" s="671">
        <f>IF(AND(AND(Stamoplysninger!$B$22="Ulempetillæg afspadseres med 25%(Kræver en aftale imellem ledelsen og den ansatte)",U20="X",C20="Ikke relevant")),X20/4,0)</f>
        <v>0</v>
      </c>
      <c r="EJ20" s="671">
        <f>IF(AND(AND(AND(Stamoplysninger!$B$22="Ulempetillæg afspadseres med 25%(Kræver en aftale imellem ledelsen og den ansatte)",I20="X",C20="Ikke relevant",S20="X"))),V20/4,0)</f>
        <v>0</v>
      </c>
      <c r="EK20" s="283">
        <f>IF(AND(Stamoplysninger!$B$26="Weekendtimer og weekendtillæg afspadseres.",I20="X"),K20*1.5,0)</f>
        <v>0</v>
      </c>
      <c r="EL20" s="251">
        <f>IF(AND(AND(Stamoplysninger!$B$26="Weekendtimer og weekendtillæg afspadseres.",I20="X",S20="X")),V20*1.5,0)</f>
        <v>0</v>
      </c>
      <c r="EM20" s="674">
        <f>IF(AND(AND(Stamoplysninger!$B$26="Weekendtimer og weekendtillæg afspadseres.",I20="X",C20="ikke relevant")),K20*1.5,0)</f>
        <v>0</v>
      </c>
      <c r="EN20" s="675">
        <f>IF(AND(AND(AND(Stamoplysninger!$B$26="Weekendtimer og weekendtillæg afspadseres.",I20="X",C20="ikke relevant",S20="X"))),(V20*1.5),0)</f>
        <v>0</v>
      </c>
      <c r="EO20" s="283">
        <f>IF(AND(Stamoplysninger!$B$26="Weekendtimer og weekendtillæg udbetales.",I20="X"),K20*1.5,0)</f>
        <v>0</v>
      </c>
      <c r="EP20" s="251">
        <f>IF(AND(AND(Stamoplysninger!$B$26="Weekendtimer og weekendtillæg udbetales.",I20="X",S20="X")),V20*1.5,0)</f>
        <v>0</v>
      </c>
      <c r="EQ20" s="674">
        <f>IF(AND(AND(Stamoplysninger!$B$26="Weekendtimer og weekendtillæg udbetales.",I20="X",C20="ikke relevant")),K20*1.5,0)</f>
        <v>0</v>
      </c>
      <c r="ER20" s="675">
        <f>IF(AND(AND(AND(Stamoplysninger!$B$26="Weekendtimer og weekendtillæg udbetales.",I20="X",C20="ikke relevant",S20="X"))),(V20*1.5),0)</f>
        <v>0</v>
      </c>
      <c r="ES20" s="283">
        <f>IF(AND(Stamoplysninger!$B$26="Der er indgået lokalaftale omkring weekendtimer.(Kræver aftale med TR/FSL) Weekendtillæg afspadseres.",I20="X"),K20*0.5,0)</f>
        <v>0</v>
      </c>
      <c r="ET20" s="251">
        <f>IF(AND(AND(Stamoplysninger!$B$26="Der er indgået lokalaftale omkring weekendtimer.(Kræver aftale med TR/FSL) Weekendtillæg afspadseres.",I20="X",S20="X")),V20*0.5,0)</f>
        <v>0</v>
      </c>
      <c r="EU20" s="674">
        <f>IF(AND(AND(Stamoplysninger!$B$26="Der er indgået lokalaftale omkring weekendtimer.(Kræver aftale med TR/FSL) Weekendtillæg afspadseres.",I20="X",C20="ikke relevant")),K20*0.5,0)</f>
        <v>0</v>
      </c>
      <c r="EV20" s="675">
        <f>IF(AND(AND(AND(Stamoplysninger!$B$26="Der er indgået lokalaftale omkring weekendtimer.(Kræver aftale med TR/FSL) Weekendtillæg afspadseres.",I20="X",C20="ikke relevant",S20="X"))),(V20*0.5),0)</f>
        <v>0</v>
      </c>
      <c r="EW20" s="283">
        <f>IF(AND(Stamoplysninger!$B$26="Der er indgået lokalaftale omkring weekendtimer(Kræver aftale med TR/FSL). Weekendtillæg udbetales.",I20="X"),K20*0.5,0)</f>
        <v>0</v>
      </c>
      <c r="EX20" s="251">
        <f>IF(AND(AND(Stamoplysninger!$B$26="Der er indgået lokalaftale omkring weekendtimer(Kræver aftale med TR/FSL). Weekendtillæg udbetales.",I20="X",S20="X")),V20*0.5,0)</f>
        <v>0</v>
      </c>
      <c r="EY20" s="674">
        <f>IF(AND(AND(Stamoplysninger!$B$26="Der er indgået lokalaftale omkring weekendtimer(Kræver aftale med TR/FSL). Weekendtillæg udbetales.",I20="X",C20="ikke relevant")),K20*0.5,0)</f>
        <v>0</v>
      </c>
      <c r="EZ20" s="675">
        <f>IF(AND(AND(AND(Stamoplysninger!$B$26="Der er indgået lokalaftale omkring weekendtimer(Kræver aftale med TR/FSL). Weekendtillæg udbetales.",I20="X",C20="ikke relevant",S20="X"))),(V20*0.5),0)</f>
        <v>0</v>
      </c>
      <c r="FA20" s="283">
        <f>IF(AND(Stamoplysninger!$B$26="Der er indgået lokalaftale omkring weekendtillæg(Kræver aftale med TR/FSL). Weekendtimerne afspadseres.",I20="X"),K20,0)</f>
        <v>0</v>
      </c>
      <c r="FB20" s="251">
        <f>IF(AND(AND(Stamoplysninger!$B$26="Der er indgået lokalaftale omkring weekendtillæg(Kræver aftale med TR/FSL). Weekendtimerne afspadseres.",I20="X",S20="X")),V20,0)</f>
        <v>0</v>
      </c>
      <c r="FC20" s="674">
        <f>IF(AND(AND(Stamoplysninger!$B$26="Der er indgået lokalaftale omkring weekendtillæg(Kræver aftale med TR/FSL). Weekendtimerne afspadseres..",I20="X",C20="ikke relevant")),K20,0)</f>
        <v>0</v>
      </c>
      <c r="FD20" s="675">
        <f>IF(AND(AND(AND(Stamoplysninger!$B$26="Der er indgået lokalaftale omkring weekendtillæg(Kræver aftale med TR/FSL). Weekendtimerne afspadseres.",I20="X",C20="ikke relevant",S20="X"))),(V20),0)</f>
        <v>0</v>
      </c>
      <c r="FE20" s="283">
        <f>IF(AND(Stamoplysninger!$B$26="Der er indgået lokalaftale omkring weekendtillæg(Kræver aftale med TR/FSL). Weekendtimerne udbetales.",I20="X"),K20,0)</f>
        <v>0</v>
      </c>
      <c r="FF20" s="251">
        <f>IF(AND(AND(Stamoplysninger!$B$26="Der er indgået lokalaftale omkring weekendtillæg(Kræver aftale med TR/FSL). Weekendtimerne udbetales.",I20="X",S20="X")),V20,0)</f>
        <v>0</v>
      </c>
      <c r="FG20" s="674">
        <f>IF(AND(AND(Stamoplysninger!$B$26="Der er indgået lokalaftale omkring weekendtillæg(Kræver aftale med TR/FSL). Weekendtimerne udbetales.",I20="X",C20="ikke relevant")),K20,0)</f>
        <v>0</v>
      </c>
      <c r="FH20" s="675">
        <f>IF(AND(AND(AND(Stamoplysninger!$B$26="Der er indgået lokalaftale omkring weekendtillæg(Kræver aftale med TR/FSL). Weekendtimerne udbetales.",I20="X",C20="ikke relevant",S20="X"))),(V20),0)</f>
        <v>0</v>
      </c>
      <c r="FI20" s="283">
        <f>IF(AND(Stamoplysninger!$B$26="Weekendtimer og weekendtillæg afspadseres.",I20="X"),K20,0)</f>
        <v>0</v>
      </c>
      <c r="FJ20" s="251">
        <f>IF(AND(Stamoplysninger!$B$26="Weekendtimer og weekendtillæg afspadseres.",Y20="X"),(AA20+AL20)/2,0)</f>
        <v>0</v>
      </c>
      <c r="FK20" s="674">
        <f>IF(AND(AND(Stamoplysninger!$B$26="Weekendtimer og weekendtillæg afspadseres.",I20="X",C20="ikke relevant")),K20,0)</f>
        <v>0</v>
      </c>
      <c r="FL20" s="675">
        <f>IF(AND(AND(Stamoplysninger!$B$26="Weekendtimer og weekendtillæg afspadseres.",Y20="X",S20="ikke relevant")),(AA20+AL20)/2,0)</f>
        <v>0</v>
      </c>
      <c r="FM20" s="283">
        <f>IF(AND(Stamoplysninger!$B$26="Der er indgået lokalaftale omkring weekendtillæg(Kræver aftale med TR/FSL). Weekendtimerne afspadseres.",I20="X"),K20,0)</f>
        <v>0</v>
      </c>
      <c r="FN20" s="674">
        <f>IF(AND(AND(Stamoplysninger!$B$26="Der er indgået lokalaftale omkring weekendtillæg(Kræver aftale med TR/FSL). Weekendtimerne afspadseres.",I20="X",C20="ikke relevant")),K20,0)</f>
        <v>0</v>
      </c>
      <c r="FO20" s="283">
        <f>IF(AND(Stamoplysninger!$B$26="Weekendtimer og weekendtillæg udbetales.",I20="X"),K20,0)</f>
        <v>0</v>
      </c>
      <c r="FP20" s="251">
        <f>IF(AND(Stamoplysninger!$B$26="Weekendtimer og weekendtillæg udbetales.",AA20="X"),(AC20+AN20)/2,0)</f>
        <v>0</v>
      </c>
      <c r="FQ20" s="674">
        <f>IF(AND(AND(Stamoplysninger!$B$26="Weekendtimer og weekendtillæg udbetales.",I20="X",C20="ikke relevant")),K20,0)</f>
        <v>0</v>
      </c>
      <c r="FR20" s="688">
        <f>IF(AND(AND(Stamoplysninger!$B$26="Weekendtimer og weekendtillæg udbetales.",AA20="X",U20="ikke relevant")),(AC20+AN20)/2,0)</f>
        <v>0</v>
      </c>
      <c r="FS20" s="283">
        <f t="shared" si="15"/>
        <v>0</v>
      </c>
      <c r="FT20" s="658">
        <f t="shared" si="16"/>
        <v>0</v>
      </c>
      <c r="FU20">
        <f t="shared" si="17"/>
        <v>0</v>
      </c>
      <c r="FV20" s="283">
        <f>IF(AND(Stamoplysninger!$B$26="Der er indgået lokalaftale omkring weekendtimer.(Kræver aftale med TR/FSL) Weekendtillæg afspadseres.",I20="X"),K20,0)</f>
        <v>0</v>
      </c>
      <c r="FW20" s="674">
        <f>IF(AND(AND(Stamoplysninger!$B$26="Der er indgået lokalaftale omkring weekendtimer.(Kræver aftale med TR/FSL) Weekendtillæg afspadseres.",I20="X",C20="ikke relevant")),K20,0)</f>
        <v>0</v>
      </c>
      <c r="FX20" s="283">
        <f>IF(AND(Stamoplysninger!$B$26="Der er indgået lokalaftale omkring weekendtimer(Kræver aftale med TR/FSL). Weekendtillæg udbetales.",I20="X"),K20,0)</f>
        <v>0</v>
      </c>
      <c r="FY20" s="674">
        <f>IF(AND(AND(Stamoplysninger!$B$26="Der er indgået lokalaftale omkring weekendtimer(Kræver aftale med TR/FSL). Weekendtillæg udbetales.",I20="X",C20="ikke relevant")),K20,0)</f>
        <v>0</v>
      </c>
      <c r="FZ20" s="283">
        <f>IF(AND(Stamoplysninger!$B$26="Der er indgået lokalaftale omkring weekendtillæg(Kræver aftale med TR/FSL). Weekendtimerne udbetales.",I20="X"),K20,0)</f>
        <v>0</v>
      </c>
      <c r="GA20" s="674">
        <f>IF(AND(AND(Stamoplysninger!$B$26="Der er indgået lokalaftale omkring weekendtillæg(Kræver aftale med TR/FSL). Weekendtimerne udbetales.",I20="X",C20="ikke relevant")),K20,0)</f>
        <v>0</v>
      </c>
      <c r="GB20" s="283">
        <f>IF(AND(Stamoplysninger!$B$26="Der er indgået lokalaftale omkring weekendtimer og weekendtillæg.(Kræver aftale med TR/FSL).",I20="X"),K20,0)</f>
        <v>0</v>
      </c>
      <c r="GC20" s="674">
        <f>IF(AND(AND(Stamoplysninger!$B$26="Der er indgået lokalaftale omkring weekendtimer og weekendtillæg.(Kræver aftale med TR/FSL).",I20="X",C20="ikke relevant")),K20,0)</f>
        <v>0</v>
      </c>
    </row>
    <row r="21" spans="1:185">
      <c r="A21" s="245">
        <f>IF(ISNUMBER(A20),A20+1,1)</f>
        <v>13</v>
      </c>
      <c r="B21" s="128" t="str">
        <f t="shared" si="0"/>
        <v>sø</v>
      </c>
      <c r="C21" s="129" t="s">
        <v>120</v>
      </c>
      <c r="D21" s="130" t="str">
        <f t="shared" si="1"/>
        <v/>
      </c>
      <c r="E21" s="949"/>
      <c r="F21" s="950"/>
      <c r="G21" s="951"/>
      <c r="H21" s="297"/>
      <c r="I21" s="413"/>
      <c r="J21" s="413"/>
      <c r="K21" s="380"/>
      <c r="L21" s="380"/>
      <c r="M21" s="380"/>
      <c r="N21" s="318">
        <f t="shared" si="19"/>
        <v>0</v>
      </c>
      <c r="O21" s="318">
        <f t="shared" si="20"/>
        <v>0</v>
      </c>
      <c r="P21" s="318">
        <f>IF(Stamoplysninger!$H$29="JA",Oktober!DG21,CX21)</f>
        <v>0</v>
      </c>
      <c r="Q21" s="318">
        <f t="shared" si="21"/>
        <v>0</v>
      </c>
      <c r="R21" s="319"/>
      <c r="S21" s="324"/>
      <c r="T21" s="325"/>
      <c r="U21" s="325"/>
      <c r="V21" s="435"/>
      <c r="W21" s="412"/>
      <c r="X21" s="642"/>
      <c r="Y21">
        <f t="shared" si="22"/>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9">
        <f t="shared" si="8"/>
        <v>0</v>
      </c>
      <c r="BC21" s="1">
        <f t="shared" si="24"/>
        <v>0</v>
      </c>
      <c r="BD21" s="1">
        <f t="shared" si="9"/>
        <v>0</v>
      </c>
      <c r="BE21" s="1">
        <f t="shared" si="10"/>
        <v>0</v>
      </c>
      <c r="BF21" s="1">
        <f t="shared" si="11"/>
        <v>0</v>
      </c>
      <c r="BG21" s="210" t="str">
        <f>IF(AND(C21="Skema 1",B21="ma"),Skemaoplysninger!$E$30,"")</f>
        <v/>
      </c>
      <c r="BH21" s="210" t="str">
        <f>IF(AND(C21="Skema 1",B21="ti"),Skemaoplysninger!$G$30,"")</f>
        <v/>
      </c>
      <c r="BI21" s="210" t="str">
        <f>IF(AND(C21="Skema 1",B21="on"),Skemaoplysninger!$I$30,"")</f>
        <v/>
      </c>
      <c r="BJ21" s="210" t="str">
        <f>IF(AND(C21="Skema 1",B21="to"),Skemaoplysninger!$K$30,"")</f>
        <v/>
      </c>
      <c r="BK21" s="210" t="str">
        <f>IF(AND(C21="Skema 1",B21="fr"),Skemaoplysninger!$M$30,"")</f>
        <v/>
      </c>
      <c r="BL21" s="210" t="str">
        <f>IF(AND(C21="Skema 2",B21="ma"),Skemaoplysninger!$S$30,"")</f>
        <v/>
      </c>
      <c r="BM21" s="210" t="str">
        <f>IF(AND(C21="Skema 2",B21="ti"),Skemaoplysninger!$U$30,"")</f>
        <v/>
      </c>
      <c r="BN21" s="210" t="str">
        <f>IF(AND(C21="Skema 2",B21="on"),Skemaoplysninger!$W$30,"")</f>
        <v/>
      </c>
      <c r="BO21" s="210" t="str">
        <f>IF(AND(C21="Skema 2",B21="to"),Skemaoplysninger!$Y$30,"")</f>
        <v/>
      </c>
      <c r="BP21" s="210" t="str">
        <f>IF(AND(C21="Skema 2",B21="fr"),Skemaoplysninger!$AA$30,"")</f>
        <v/>
      </c>
      <c r="BQ21" s="210" t="str">
        <f>IF(AND(C21="Skema 3",B21="ma"),Skemaoplysninger!$AG$30,"")</f>
        <v/>
      </c>
      <c r="BR21" s="210" t="str">
        <f>IF(AND(C21="Skema 3",B21="ti"),Skemaoplysninger!$AI$30,"")</f>
        <v/>
      </c>
      <c r="BS21" s="210" t="str">
        <f>IF(AND(C21="Skema 3",B21="on"),Skemaoplysninger!$AK$30,"")</f>
        <v/>
      </c>
      <c r="BT21" s="210" t="str">
        <f>IF(AND(C21="Skema 3",B21="to"),Skemaoplysninger!$AM$30,"")</f>
        <v/>
      </c>
      <c r="BU21" s="210" t="str">
        <f>IF(AND(C21="Skema 3",B21="fr"),Skemaoplysninger!$AO$30,"")</f>
        <v/>
      </c>
      <c r="BV21" s="210" t="str">
        <f>IF(AND(C21="Skema 4",B21="ma"),Skemaoplysninger!$AU$30,"")</f>
        <v/>
      </c>
      <c r="BW21" s="210" t="str">
        <f>IF(AND(C21="Skema 4",B21="ti"),Skemaoplysninger!$AW$30,"")</f>
        <v/>
      </c>
      <c r="BX21" s="210" t="str">
        <f>IF(AND(C21="Skema 4",B21="on"),Skemaoplysninger!$AY$30,"")</f>
        <v/>
      </c>
      <c r="BY21" s="210" t="str">
        <f>IF(AND(C21="Skema 4",B21="to"),Skemaoplysninger!$BA$30,"")</f>
        <v/>
      </c>
      <c r="BZ21" s="210" t="str">
        <f>IF(AND(C21="Skema 4",B21="fr"),Skemaoplysninger!$BC$30,"")</f>
        <v/>
      </c>
      <c r="CA21" s="1">
        <f t="shared" si="25"/>
        <v>0</v>
      </c>
      <c r="CB21" s="1">
        <f t="shared" si="12"/>
        <v>0</v>
      </c>
      <c r="CC21" s="1">
        <f t="shared" si="13"/>
        <v>0</v>
      </c>
      <c r="CD21" s="210" t="str">
        <f>IF(AND(C21="Skema 1",B21="ma"),Skemaoplysninger!$E$31,"")</f>
        <v/>
      </c>
      <c r="CE21" s="210" t="str">
        <f>IF(AND(C21="Skema 1",B21="ti"),Skemaoplysninger!$G$31,"")</f>
        <v/>
      </c>
      <c r="CF21" s="210" t="str">
        <f>IF(AND(C21="Skema 1",B21="on"),Skemaoplysninger!$I$31,"")</f>
        <v/>
      </c>
      <c r="CG21" s="210" t="str">
        <f>IF(AND(C21="Skema 1",B21="to"),Skemaoplysninger!$K$31,"")</f>
        <v/>
      </c>
      <c r="CH21" s="210" t="str">
        <f>IF(AND(C21="Skema 1",B21="fr"),Skemaoplysninger!$M$31,"")</f>
        <v/>
      </c>
      <c r="CI21" s="210" t="str">
        <f>IF(AND(C21="Skema 2",B21="ma"),Skemaoplysninger!$S$31,"")</f>
        <v/>
      </c>
      <c r="CJ21" s="210" t="str">
        <f>IF(AND(C21="Skema 2",B21="ti"),Skemaoplysninger!$U$31,"")</f>
        <v/>
      </c>
      <c r="CK21" s="210" t="str">
        <f>IF(AND(C21="Skema 2",B21="on"),Skemaoplysninger!$W$31,"")</f>
        <v/>
      </c>
      <c r="CL21" s="210" t="str">
        <f>IF(AND(C21="Skema 2",B21="to"),Skemaoplysninger!$Y$31,"")</f>
        <v/>
      </c>
      <c r="CM21" s="210" t="str">
        <f>IF(AND(C21="Skema 2",B21="fr"),Skemaoplysninger!$AA$31,"")</f>
        <v/>
      </c>
      <c r="CN21" s="210" t="str">
        <f>IF(AND(C21="Skema 3",B21="ma"),Skemaoplysninger!$AG$31,"")</f>
        <v/>
      </c>
      <c r="CO21" s="210" t="str">
        <f>IF(AND(C21="Skema 3",B21="ti"),Skemaoplysninger!$AI$31,"")</f>
        <v/>
      </c>
      <c r="CP21" s="210" t="str">
        <f>IF(AND(C21="Skema 3",B21="on"),Skemaoplysninger!$AK$31,"")</f>
        <v/>
      </c>
      <c r="CQ21" s="210" t="str">
        <f>IF(AND(C21="Skema 3",B21="to"),Skemaoplysninger!$AM$31,"")</f>
        <v/>
      </c>
      <c r="CR21" s="210" t="str">
        <f>IF(AND(C21="Skema 3",B21="fr"),Skemaoplysninger!$AO$31,"")</f>
        <v/>
      </c>
      <c r="CS21" s="210" t="str">
        <f>IF(AND(C21="Skema 4",B21="ma"),Skemaoplysninger!$AU$31,"")</f>
        <v/>
      </c>
      <c r="CT21" s="210" t="str">
        <f>IF(AND(C21="Skema 4",B21="ti"),Skemaoplysninger!$AW$31,"")</f>
        <v/>
      </c>
      <c r="CU21" s="210" t="str">
        <f>IF(AND(C21="Skema 4",B21="on"),Skemaoplysninger!$AY$31,"")</f>
        <v/>
      </c>
      <c r="CV21" s="210" t="str">
        <f>IF(AND(C21="Skema 4",B21="to"),Skemaoplysninger!$BA$31,"")</f>
        <v/>
      </c>
      <c r="CW21" s="210" t="str">
        <f>IF(AND(C21="Skema 4",B21="fr"),Skemaoplysninger!$BC$31,"")</f>
        <v/>
      </c>
      <c r="CX21" s="249">
        <f>IF(Stamoplysninger!$H$29="NEJ",SUM(CD21:CW21)*24+CB21+CC21,0)</f>
        <v>0</v>
      </c>
      <c r="CY21" s="249">
        <f>IF(C21="Skema 1",Stamoplysninger!$H$30/200,0)</f>
        <v>0</v>
      </c>
      <c r="CZ21" s="249">
        <f>IF(C21="Skema 2",Stamoplysninger!$H$30/200,0)</f>
        <v>0</v>
      </c>
      <c r="DA21" s="249">
        <f>IF(C21="Skema 3",Stamoplysninger!$H$30/200,0)</f>
        <v>0</v>
      </c>
      <c r="DB21" s="249">
        <f>IF(C21="Skema 4",Stamoplysninger!$H$30/200,0)</f>
        <v>0</v>
      </c>
      <c r="DC21" s="249">
        <f>IF(C21="fagdag",Stamoplysninger!$H$30/200,0)</f>
        <v>0</v>
      </c>
      <c r="DD21" s="249">
        <f>IF(C21="emnedag",Stamoplysninger!$H$30/200,0)</f>
        <v>0</v>
      </c>
      <c r="DE21" s="249">
        <f>IF(C21="lejrskole",Stamoplysninger!$H$30/200,0)</f>
        <v>0</v>
      </c>
      <c r="DF21" s="249">
        <f>IF(C21="ekskursion",Stamoplysninger!$H$30/200,0)</f>
        <v>0</v>
      </c>
      <c r="DG21" s="249">
        <f t="shared" si="26"/>
        <v>0</v>
      </c>
      <c r="DH21" t="str">
        <f t="shared" si="27"/>
        <v/>
      </c>
      <c r="DI21">
        <f t="shared" si="28"/>
        <v>0</v>
      </c>
      <c r="DJ21">
        <f t="shared" si="29"/>
        <v>0</v>
      </c>
      <c r="DK21" t="str">
        <f t="shared" si="14"/>
        <v/>
      </c>
      <c r="DL21" t="str">
        <f t="shared" si="14"/>
        <v/>
      </c>
      <c r="DM21" t="str">
        <f t="shared" si="14"/>
        <v/>
      </c>
      <c r="DN21" t="str">
        <f t="shared" si="30"/>
        <v/>
      </c>
      <c r="DO21" s="652">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71">
        <f>IF(AND(Stamoplysninger!$B$22="Ulempetillæg udbetales med 25% af nettotimelønnen.",C21="ikke relevant"),(R21)/4,0)</f>
        <v>0</v>
      </c>
      <c r="DT21" s="671">
        <f>IF(AND(AND(Stamoplysninger!$B$22="Ulempetillæg udbetales med 25% af nettotimelønnen.",I21="X",C21="Ikke relevant")),K21/4,0)</f>
        <v>0</v>
      </c>
      <c r="DU21" s="671">
        <f>IF(AND(AND(Stamoplysninger!$B$22="Ulempetillæg udbetales med 25% af nettotimelønnen.",C21="ikke relevant",U21="X")),(X21/4),0)</f>
        <v>0</v>
      </c>
      <c r="DV21" s="672">
        <f>IF(AND(AND(AND(Stamoplysninger!$B$22="Ulempetillæg udbetales med 25% af nettotimelønnen.",I21="X",C21="Ikke relevant",S21="X"))),V21/4,0)</f>
        <v>0</v>
      </c>
      <c r="DW21" s="652"/>
      <c r="DZ21" s="671"/>
      <c r="EA21" s="671"/>
      <c r="EB21" s="672"/>
      <c r="EC21" s="652">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71">
        <f>IF(AND(Stamoplysninger!$B$22="Ulempetillæg afspadseres med 25%(Kræver en aftale imellem ledelsen og den ansatte)",C21="ikke relevant"),(R21)/4,0)</f>
        <v>0</v>
      </c>
      <c r="EH21" s="671">
        <f>IF(AND(AND(Stamoplysninger!$B$22="Ulempetillæg afspadseres med 25%(Kræver en aftale imellem ledelsen og den ansatte)",I21="X",C21="Ikke relevant")),K21/4,0)</f>
        <v>0</v>
      </c>
      <c r="EI21" s="671">
        <f>IF(AND(AND(Stamoplysninger!$B$22="Ulempetillæg afspadseres med 25%(Kræver en aftale imellem ledelsen og den ansatte)",U21="X",C21="Ikke relevant")),X21/4,0)</f>
        <v>0</v>
      </c>
      <c r="EJ21" s="671">
        <f>IF(AND(AND(AND(Stamoplysninger!$B$22="Ulempetillæg afspadseres med 25%(Kræver en aftale imellem ledelsen og den ansatte)",I21="X",C21="Ikke relevant",S21="X"))),V21/4,0)</f>
        <v>0</v>
      </c>
      <c r="EK21" s="283">
        <f>IF(AND(Stamoplysninger!$B$26="Weekendtimer og weekendtillæg afspadseres.",I21="X"),K21*1.5,0)</f>
        <v>0</v>
      </c>
      <c r="EL21" s="251">
        <f>IF(AND(AND(Stamoplysninger!$B$26="Weekendtimer og weekendtillæg afspadseres.",I21="X",S21="X")),V21*1.5,0)</f>
        <v>0</v>
      </c>
      <c r="EM21" s="674">
        <f>IF(AND(AND(Stamoplysninger!$B$26="Weekendtimer og weekendtillæg afspadseres.",I21="X",C21="ikke relevant")),K21*1.5,0)</f>
        <v>0</v>
      </c>
      <c r="EN21" s="675">
        <f>IF(AND(AND(AND(Stamoplysninger!$B$26="Weekendtimer og weekendtillæg afspadseres.",I21="X",C21="ikke relevant",S21="X"))),(V21*1.5),0)</f>
        <v>0</v>
      </c>
      <c r="EO21" s="283">
        <f>IF(AND(Stamoplysninger!$B$26="Weekendtimer og weekendtillæg udbetales.",I21="X"),K21*1.5,0)</f>
        <v>0</v>
      </c>
      <c r="EP21" s="251">
        <f>IF(AND(AND(Stamoplysninger!$B$26="Weekendtimer og weekendtillæg udbetales.",I21="X",S21="X")),V21*1.5,0)</f>
        <v>0</v>
      </c>
      <c r="EQ21" s="674">
        <f>IF(AND(AND(Stamoplysninger!$B$26="Weekendtimer og weekendtillæg udbetales.",I21="X",C21="ikke relevant")),K21*1.5,0)</f>
        <v>0</v>
      </c>
      <c r="ER21" s="675">
        <f>IF(AND(AND(AND(Stamoplysninger!$B$26="Weekendtimer og weekendtillæg udbetales.",I21="X",C21="ikke relevant",S21="X"))),(V21*1.5),0)</f>
        <v>0</v>
      </c>
      <c r="ES21" s="283">
        <f>IF(AND(Stamoplysninger!$B$26="Der er indgået lokalaftale omkring weekendtimer.(Kræver aftale med TR/FSL) Weekendtillæg afspadseres.",I21="X"),K21*0.5,0)</f>
        <v>0</v>
      </c>
      <c r="ET21" s="251">
        <f>IF(AND(AND(Stamoplysninger!$B$26="Der er indgået lokalaftale omkring weekendtimer.(Kræver aftale med TR/FSL) Weekendtillæg afspadseres.",I21="X",S21="X")),V21*0.5,0)</f>
        <v>0</v>
      </c>
      <c r="EU21" s="674">
        <f>IF(AND(AND(Stamoplysninger!$B$26="Der er indgået lokalaftale omkring weekendtimer.(Kræver aftale med TR/FSL) Weekendtillæg afspadseres.",I21="X",C21="ikke relevant")),K21*0.5,0)</f>
        <v>0</v>
      </c>
      <c r="EV21" s="675">
        <f>IF(AND(AND(AND(Stamoplysninger!$B$26="Der er indgået lokalaftale omkring weekendtimer.(Kræver aftale med TR/FSL) Weekendtillæg afspadseres.",I21="X",C21="ikke relevant",S21="X"))),(V21*0.5),0)</f>
        <v>0</v>
      </c>
      <c r="EW21" s="283">
        <f>IF(AND(Stamoplysninger!$B$26="Der er indgået lokalaftale omkring weekendtimer(Kræver aftale med TR/FSL). Weekendtillæg udbetales.",I21="X"),K21*0.5,0)</f>
        <v>0</v>
      </c>
      <c r="EX21" s="251">
        <f>IF(AND(AND(Stamoplysninger!$B$26="Der er indgået lokalaftale omkring weekendtimer(Kræver aftale med TR/FSL). Weekendtillæg udbetales.",I21="X",S21="X")),V21*0.5,0)</f>
        <v>0</v>
      </c>
      <c r="EY21" s="674">
        <f>IF(AND(AND(Stamoplysninger!$B$26="Der er indgået lokalaftale omkring weekendtimer(Kræver aftale med TR/FSL). Weekendtillæg udbetales.",I21="X",C21="ikke relevant")),K21*0.5,0)</f>
        <v>0</v>
      </c>
      <c r="EZ21" s="675">
        <f>IF(AND(AND(AND(Stamoplysninger!$B$26="Der er indgået lokalaftale omkring weekendtimer(Kræver aftale med TR/FSL). Weekendtillæg udbetales.",I21="X",C21="ikke relevant",S21="X"))),(V21*0.5),0)</f>
        <v>0</v>
      </c>
      <c r="FA21" s="283">
        <f>IF(AND(Stamoplysninger!$B$26="Der er indgået lokalaftale omkring weekendtillæg(Kræver aftale med TR/FSL). Weekendtimerne afspadseres.",I21="X"),K21,0)</f>
        <v>0</v>
      </c>
      <c r="FB21" s="251">
        <f>IF(AND(AND(Stamoplysninger!$B$26="Der er indgået lokalaftale omkring weekendtillæg(Kræver aftale med TR/FSL). Weekendtimerne afspadseres.",I21="X",S21="X")),V21,0)</f>
        <v>0</v>
      </c>
      <c r="FC21" s="674">
        <f>IF(AND(AND(Stamoplysninger!$B$26="Der er indgået lokalaftale omkring weekendtillæg(Kræver aftale med TR/FSL). Weekendtimerne afspadseres..",I21="X",C21="ikke relevant")),K21,0)</f>
        <v>0</v>
      </c>
      <c r="FD21" s="675">
        <f>IF(AND(AND(AND(Stamoplysninger!$B$26="Der er indgået lokalaftale omkring weekendtillæg(Kræver aftale med TR/FSL). Weekendtimerne afspadseres.",I21="X",C21="ikke relevant",S21="X"))),(V21),0)</f>
        <v>0</v>
      </c>
      <c r="FE21" s="283">
        <f>IF(AND(Stamoplysninger!$B$26="Der er indgået lokalaftale omkring weekendtillæg(Kræver aftale med TR/FSL). Weekendtimerne udbetales.",I21="X"),K21,0)</f>
        <v>0</v>
      </c>
      <c r="FF21" s="251">
        <f>IF(AND(AND(Stamoplysninger!$B$26="Der er indgået lokalaftale omkring weekendtillæg(Kræver aftale med TR/FSL). Weekendtimerne udbetales.",I21="X",S21="X")),V21,0)</f>
        <v>0</v>
      </c>
      <c r="FG21" s="674">
        <f>IF(AND(AND(Stamoplysninger!$B$26="Der er indgået lokalaftale omkring weekendtillæg(Kræver aftale med TR/FSL). Weekendtimerne udbetales.",I21="X",C21="ikke relevant")),K21,0)</f>
        <v>0</v>
      </c>
      <c r="FH21" s="675">
        <f>IF(AND(AND(AND(Stamoplysninger!$B$26="Der er indgået lokalaftale omkring weekendtillæg(Kræver aftale med TR/FSL). Weekendtimerne udbetales.",I21="X",C21="ikke relevant",S21="X"))),(V21),0)</f>
        <v>0</v>
      </c>
      <c r="FI21" s="283">
        <f>IF(AND(Stamoplysninger!$B$26="Weekendtimer og weekendtillæg afspadseres.",I21="X"),K21,0)</f>
        <v>0</v>
      </c>
      <c r="FJ21" s="251">
        <f>IF(AND(Stamoplysninger!$B$26="Weekendtimer og weekendtillæg afspadseres.",Y21="X"),(AA21+AL21)/2,0)</f>
        <v>0</v>
      </c>
      <c r="FK21" s="674">
        <f>IF(AND(AND(Stamoplysninger!$B$26="Weekendtimer og weekendtillæg afspadseres.",I21="X",C21="ikke relevant")),K21,0)</f>
        <v>0</v>
      </c>
      <c r="FL21" s="675">
        <f>IF(AND(AND(Stamoplysninger!$B$26="Weekendtimer og weekendtillæg afspadseres.",Y21="X",S21="ikke relevant")),(AA21+AL21)/2,0)</f>
        <v>0</v>
      </c>
      <c r="FM21" s="283">
        <f>IF(AND(Stamoplysninger!$B$26="Der er indgået lokalaftale omkring weekendtillæg(Kræver aftale med TR/FSL). Weekendtimerne afspadseres.",I21="X"),K21,0)</f>
        <v>0</v>
      </c>
      <c r="FN21" s="674">
        <f>IF(AND(AND(Stamoplysninger!$B$26="Der er indgået lokalaftale omkring weekendtillæg(Kræver aftale med TR/FSL). Weekendtimerne afspadseres.",I21="X",C21="ikke relevant")),K21,0)</f>
        <v>0</v>
      </c>
      <c r="FO21" s="283">
        <f>IF(AND(Stamoplysninger!$B$26="Weekendtimer og weekendtillæg udbetales.",I21="X"),K21,0)</f>
        <v>0</v>
      </c>
      <c r="FP21" s="251">
        <f>IF(AND(Stamoplysninger!$B$26="Weekendtimer og weekendtillæg udbetales.",AA21="X"),(AC21+AN21)/2,0)</f>
        <v>0</v>
      </c>
      <c r="FQ21" s="674">
        <f>IF(AND(AND(Stamoplysninger!$B$26="Weekendtimer og weekendtillæg udbetales.",I21="X",C21="ikke relevant")),K21,0)</f>
        <v>0</v>
      </c>
      <c r="FR21" s="688">
        <f>IF(AND(AND(Stamoplysninger!$B$26="Weekendtimer og weekendtillæg udbetales.",AA21="X",U21="ikke relevant")),(AC21+AN21)/2,0)</f>
        <v>0</v>
      </c>
      <c r="FS21" s="283">
        <f t="shared" si="15"/>
        <v>0</v>
      </c>
      <c r="FT21" s="658">
        <f t="shared" si="16"/>
        <v>0</v>
      </c>
      <c r="FU21">
        <f t="shared" si="17"/>
        <v>0</v>
      </c>
      <c r="FV21" s="283">
        <f>IF(AND(Stamoplysninger!$B$26="Der er indgået lokalaftale omkring weekendtimer.(Kræver aftale med TR/FSL) Weekendtillæg afspadseres.",I21="X"),K21,0)</f>
        <v>0</v>
      </c>
      <c r="FW21" s="674">
        <f>IF(AND(AND(Stamoplysninger!$B$26="Der er indgået lokalaftale omkring weekendtimer.(Kræver aftale med TR/FSL) Weekendtillæg afspadseres.",I21="X",C21="ikke relevant")),K21,0)</f>
        <v>0</v>
      </c>
      <c r="FX21" s="283">
        <f>IF(AND(Stamoplysninger!$B$26="Der er indgået lokalaftale omkring weekendtimer(Kræver aftale med TR/FSL). Weekendtillæg udbetales.",I21="X"),K21,0)</f>
        <v>0</v>
      </c>
      <c r="FY21" s="674">
        <f>IF(AND(AND(Stamoplysninger!$B$26="Der er indgået lokalaftale omkring weekendtimer(Kræver aftale med TR/FSL). Weekendtillæg udbetales.",I21="X",C21="ikke relevant")),K21,0)</f>
        <v>0</v>
      </c>
      <c r="FZ21" s="283">
        <f>IF(AND(Stamoplysninger!$B$26="Der er indgået lokalaftale omkring weekendtillæg(Kræver aftale med TR/FSL). Weekendtimerne udbetales.",I21="X"),K21,0)</f>
        <v>0</v>
      </c>
      <c r="GA21" s="674">
        <f>IF(AND(AND(Stamoplysninger!$B$26="Der er indgået lokalaftale omkring weekendtillæg(Kræver aftale med TR/FSL). Weekendtimerne udbetales.",I21="X",C21="ikke relevant")),K21,0)</f>
        <v>0</v>
      </c>
      <c r="GB21" s="283">
        <f>IF(AND(Stamoplysninger!$B$26="Der er indgået lokalaftale omkring weekendtimer og weekendtillæg.(Kræver aftale med TR/FSL).",I21="X"),K21,0)</f>
        <v>0</v>
      </c>
      <c r="GC21" s="674">
        <f>IF(AND(AND(Stamoplysninger!$B$26="Der er indgået lokalaftale omkring weekendtimer og weekendtillæg.(Kræver aftale med TR/FSL).",I21="X",C21="ikke relevant")),K21,0)</f>
        <v>0</v>
      </c>
    </row>
    <row r="22" spans="1:185">
      <c r="A22" s="245">
        <f t="shared" si="18"/>
        <v>14</v>
      </c>
      <c r="B22" s="128" t="str">
        <f t="shared" si="0"/>
        <v>ma</v>
      </c>
      <c r="C22" s="129" t="s">
        <v>210</v>
      </c>
      <c r="D22" s="130">
        <f t="shared" si="1"/>
        <v>42</v>
      </c>
      <c r="E22" s="949" t="s">
        <v>140</v>
      </c>
      <c r="F22" s="950"/>
      <c r="G22" s="951"/>
      <c r="H22" s="297"/>
      <c r="I22" s="527"/>
      <c r="J22" s="413"/>
      <c r="K22" s="380"/>
      <c r="L22" s="380"/>
      <c r="M22" s="380"/>
      <c r="N22" s="318">
        <f t="shared" si="19"/>
        <v>0</v>
      </c>
      <c r="O22" s="318">
        <f t="shared" si="20"/>
        <v>0</v>
      </c>
      <c r="P22" s="318">
        <f>IF(Stamoplysninger!$H$29="JA",Oktober!DG22,CX22)</f>
        <v>0</v>
      </c>
      <c r="Q22" s="318">
        <f t="shared" si="21"/>
        <v>0</v>
      </c>
      <c r="R22" s="319"/>
      <c r="S22" s="324"/>
      <c r="T22" s="325"/>
      <c r="U22" s="325"/>
      <c r="V22" s="435"/>
      <c r="W22" s="412"/>
      <c r="X22" s="642"/>
      <c r="Y22">
        <f t="shared" si="22"/>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9">
        <f t="shared" si="8"/>
        <v>0</v>
      </c>
      <c r="BC22" s="1">
        <f t="shared" si="24"/>
        <v>0</v>
      </c>
      <c r="BD22" s="1">
        <f t="shared" si="9"/>
        <v>0</v>
      </c>
      <c r="BE22" s="1">
        <f t="shared" si="10"/>
        <v>0</v>
      </c>
      <c r="BF22" s="1">
        <f t="shared" si="11"/>
        <v>0</v>
      </c>
      <c r="BG22" s="210" t="str">
        <f>IF(AND(C22="Skema 1",B22="ma"),Skemaoplysninger!$E$30,"")</f>
        <v/>
      </c>
      <c r="BH22" s="210" t="str">
        <f>IF(AND(C22="Skema 1",B22="ti"),Skemaoplysninger!$G$30,"")</f>
        <v/>
      </c>
      <c r="BI22" s="210" t="str">
        <f>IF(AND(C22="Skema 1",B22="on"),Skemaoplysninger!$I$30,"")</f>
        <v/>
      </c>
      <c r="BJ22" s="210" t="str">
        <f>IF(AND(C22="Skema 1",B22="to"),Skemaoplysninger!$K$30,"")</f>
        <v/>
      </c>
      <c r="BK22" s="210" t="str">
        <f>IF(AND(C22="Skema 1",B22="fr"),Skemaoplysninger!$M$30,"")</f>
        <v/>
      </c>
      <c r="BL22" s="210" t="str">
        <f>IF(AND(C22="Skema 2",B22="ma"),Skemaoplysninger!$S$30,"")</f>
        <v/>
      </c>
      <c r="BM22" s="210" t="str">
        <f>IF(AND(C22="Skema 2",B22="ti"),Skemaoplysninger!$U$30,"")</f>
        <v/>
      </c>
      <c r="BN22" s="210" t="str">
        <f>IF(AND(C22="Skema 2",B22="on"),Skemaoplysninger!$W$30,"")</f>
        <v/>
      </c>
      <c r="BO22" s="210" t="str">
        <f>IF(AND(C22="Skema 2",B22="to"),Skemaoplysninger!$Y$30,"")</f>
        <v/>
      </c>
      <c r="BP22" s="210" t="str">
        <f>IF(AND(C22="Skema 2",B22="fr"),Skemaoplysninger!$AA$30,"")</f>
        <v/>
      </c>
      <c r="BQ22" s="210" t="str">
        <f>IF(AND(C22="Skema 3",B22="ma"),Skemaoplysninger!$AG$30,"")</f>
        <v/>
      </c>
      <c r="BR22" s="210" t="str">
        <f>IF(AND(C22="Skema 3",B22="ti"),Skemaoplysninger!$AI$30,"")</f>
        <v/>
      </c>
      <c r="BS22" s="210" t="str">
        <f>IF(AND(C22="Skema 3",B22="on"),Skemaoplysninger!$AK$30,"")</f>
        <v/>
      </c>
      <c r="BT22" s="210" t="str">
        <f>IF(AND(C22="Skema 3",B22="to"),Skemaoplysninger!$AM$30,"")</f>
        <v/>
      </c>
      <c r="BU22" s="210" t="str">
        <f>IF(AND(C22="Skema 3",B22="fr"),Skemaoplysninger!$AO$30,"")</f>
        <v/>
      </c>
      <c r="BV22" s="210" t="str">
        <f>IF(AND(C22="Skema 4",B22="ma"),Skemaoplysninger!$AU$30,"")</f>
        <v/>
      </c>
      <c r="BW22" s="210" t="str">
        <f>IF(AND(C22="Skema 4",B22="ti"),Skemaoplysninger!$AW$30,"")</f>
        <v/>
      </c>
      <c r="BX22" s="210" t="str">
        <f>IF(AND(C22="Skema 4",B22="on"),Skemaoplysninger!$AY$30,"")</f>
        <v/>
      </c>
      <c r="BY22" s="210" t="str">
        <f>IF(AND(C22="Skema 4",B22="to"),Skemaoplysninger!$BA$30,"")</f>
        <v/>
      </c>
      <c r="BZ22" s="210" t="str">
        <f>IF(AND(C22="Skema 4",B22="fr"),Skemaoplysninger!$BC$30,"")</f>
        <v/>
      </c>
      <c r="CA22" s="1">
        <f t="shared" si="25"/>
        <v>0</v>
      </c>
      <c r="CB22" s="1">
        <f t="shared" si="12"/>
        <v>0</v>
      </c>
      <c r="CC22" s="1">
        <f t="shared" si="13"/>
        <v>0</v>
      </c>
      <c r="CD22" s="210" t="str">
        <f>IF(AND(C22="Skema 1",B22="ma"),Skemaoplysninger!$E$31,"")</f>
        <v/>
      </c>
      <c r="CE22" s="210" t="str">
        <f>IF(AND(C22="Skema 1",B22="ti"),Skemaoplysninger!$G$31,"")</f>
        <v/>
      </c>
      <c r="CF22" s="210" t="str">
        <f>IF(AND(C22="Skema 1",B22="on"),Skemaoplysninger!$I$31,"")</f>
        <v/>
      </c>
      <c r="CG22" s="210" t="str">
        <f>IF(AND(C22="Skema 1",B22="to"),Skemaoplysninger!$K$31,"")</f>
        <v/>
      </c>
      <c r="CH22" s="210" t="str">
        <f>IF(AND(C22="Skema 1",B22="fr"),Skemaoplysninger!$M$31,"")</f>
        <v/>
      </c>
      <c r="CI22" s="210" t="str">
        <f>IF(AND(C22="Skema 2",B22="ma"),Skemaoplysninger!$S$31,"")</f>
        <v/>
      </c>
      <c r="CJ22" s="210" t="str">
        <f>IF(AND(C22="Skema 2",B22="ti"),Skemaoplysninger!$U$31,"")</f>
        <v/>
      </c>
      <c r="CK22" s="210" t="str">
        <f>IF(AND(C22="Skema 2",B22="on"),Skemaoplysninger!$W$31,"")</f>
        <v/>
      </c>
      <c r="CL22" s="210" t="str">
        <f>IF(AND(C22="Skema 2",B22="to"),Skemaoplysninger!$Y$31,"")</f>
        <v/>
      </c>
      <c r="CM22" s="210" t="str">
        <f>IF(AND(C22="Skema 2",B22="fr"),Skemaoplysninger!$AA$31,"")</f>
        <v/>
      </c>
      <c r="CN22" s="210" t="str">
        <f>IF(AND(C22="Skema 3",B22="ma"),Skemaoplysninger!$AG$31,"")</f>
        <v/>
      </c>
      <c r="CO22" s="210" t="str">
        <f>IF(AND(C22="Skema 3",B22="ti"),Skemaoplysninger!$AI$31,"")</f>
        <v/>
      </c>
      <c r="CP22" s="210" t="str">
        <f>IF(AND(C22="Skema 3",B22="on"),Skemaoplysninger!$AK$31,"")</f>
        <v/>
      </c>
      <c r="CQ22" s="210" t="str">
        <f>IF(AND(C22="Skema 3",B22="to"),Skemaoplysninger!$AM$31,"")</f>
        <v/>
      </c>
      <c r="CR22" s="210" t="str">
        <f>IF(AND(C22="Skema 3",B22="fr"),Skemaoplysninger!$AO$31,"")</f>
        <v/>
      </c>
      <c r="CS22" s="210" t="str">
        <f>IF(AND(C22="Skema 4",B22="ma"),Skemaoplysninger!$AU$31,"")</f>
        <v/>
      </c>
      <c r="CT22" s="210" t="str">
        <f>IF(AND(C22="Skema 4",B22="ti"),Skemaoplysninger!$AW$31,"")</f>
        <v/>
      </c>
      <c r="CU22" s="210" t="str">
        <f>IF(AND(C22="Skema 4",B22="on"),Skemaoplysninger!$AY$31,"")</f>
        <v/>
      </c>
      <c r="CV22" s="210" t="str">
        <f>IF(AND(C22="Skema 4",B22="to"),Skemaoplysninger!$BA$31,"")</f>
        <v/>
      </c>
      <c r="CW22" s="210" t="str">
        <f>IF(AND(C22="Skema 4",B22="fr"),Skemaoplysninger!$BC$31,"")</f>
        <v/>
      </c>
      <c r="CX22" s="249">
        <f>IF(Stamoplysninger!$H$29="NEJ",SUM(CD22:CW22)*24+CB22+CC22,0)</f>
        <v>0</v>
      </c>
      <c r="CY22" s="249">
        <f>IF(C22="Skema 1",Stamoplysninger!$H$30/200,0)</f>
        <v>0</v>
      </c>
      <c r="CZ22" s="249">
        <f>IF(C22="Skema 2",Stamoplysninger!$H$30/200,0)</f>
        <v>0</v>
      </c>
      <c r="DA22" s="249">
        <f>IF(C22="Skema 3",Stamoplysninger!$H$30/200,0)</f>
        <v>0</v>
      </c>
      <c r="DB22" s="249">
        <f>IF(C22="Skema 4",Stamoplysninger!$H$30/200,0)</f>
        <v>0</v>
      </c>
      <c r="DC22" s="249">
        <f>IF(C22="fagdag",Stamoplysninger!$H$30/200,0)</f>
        <v>0</v>
      </c>
      <c r="DD22" s="249">
        <f>IF(C22="emnedag",Stamoplysninger!$H$30/200,0)</f>
        <v>0</v>
      </c>
      <c r="DE22" s="249">
        <f>IF(C22="lejrskole",Stamoplysninger!$H$30/200,0)</f>
        <v>0</v>
      </c>
      <c r="DF22" s="249">
        <f>IF(C22="ekskursion",Stamoplysninger!$H$30/200,0)</f>
        <v>0</v>
      </c>
      <c r="DG22" s="249">
        <f t="shared" si="26"/>
        <v>0</v>
      </c>
      <c r="DH22" t="str">
        <f t="shared" si="27"/>
        <v/>
      </c>
      <c r="DI22" t="str">
        <f t="shared" si="28"/>
        <v>Efterårsferie</v>
      </c>
      <c r="DJ22" t="str">
        <f t="shared" si="29"/>
        <v/>
      </c>
      <c r="DK22" t="str">
        <f t="shared" si="14"/>
        <v/>
      </c>
      <c r="DL22" t="str">
        <f t="shared" si="14"/>
        <v>Efterårsferie</v>
      </c>
      <c r="DM22" t="str">
        <f t="shared" si="14"/>
        <v/>
      </c>
      <c r="DN22" t="str">
        <f t="shared" si="30"/>
        <v>Efterårsferie</v>
      </c>
      <c r="DO22" s="652">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71">
        <f>IF(AND(Stamoplysninger!$B$22="Ulempetillæg udbetales med 25% af nettotimelønnen.",C22="ikke relevant"),(R22)/4,0)</f>
        <v>0</v>
      </c>
      <c r="DT22" s="671">
        <f>IF(AND(AND(Stamoplysninger!$B$22="Ulempetillæg udbetales med 25% af nettotimelønnen.",I22="X",C22="Ikke relevant")),K22/4,0)</f>
        <v>0</v>
      </c>
      <c r="DU22" s="671">
        <f>IF(AND(AND(Stamoplysninger!$B$22="Ulempetillæg udbetales med 25% af nettotimelønnen.",C22="ikke relevant",U22="X")),(X22/4),0)</f>
        <v>0</v>
      </c>
      <c r="DV22" s="672">
        <f>IF(AND(AND(AND(Stamoplysninger!$B$22="Ulempetillæg udbetales med 25% af nettotimelønnen.",I22="X",C22="Ikke relevant",S22="X"))),V22/4,0)</f>
        <v>0</v>
      </c>
      <c r="DW22" s="652"/>
      <c r="DZ22" s="671"/>
      <c r="EA22" s="671"/>
      <c r="EB22" s="672"/>
      <c r="EC22" s="652">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71">
        <f>IF(AND(Stamoplysninger!$B$22="Ulempetillæg afspadseres med 25%(Kræver en aftale imellem ledelsen og den ansatte)",C22="ikke relevant"),(R22)/4,0)</f>
        <v>0</v>
      </c>
      <c r="EH22" s="671">
        <f>IF(AND(AND(Stamoplysninger!$B$22="Ulempetillæg afspadseres med 25%(Kræver en aftale imellem ledelsen og den ansatte)",I22="X",C22="Ikke relevant")),K22/4,0)</f>
        <v>0</v>
      </c>
      <c r="EI22" s="671">
        <f>IF(AND(AND(Stamoplysninger!$B$22="Ulempetillæg afspadseres med 25%(Kræver en aftale imellem ledelsen og den ansatte)",U22="X",C22="Ikke relevant")),X22/4,0)</f>
        <v>0</v>
      </c>
      <c r="EJ22" s="671">
        <f>IF(AND(AND(AND(Stamoplysninger!$B$22="Ulempetillæg afspadseres med 25%(Kræver en aftale imellem ledelsen og den ansatte)",I22="X",C22="Ikke relevant",S22="X"))),V22/4,0)</f>
        <v>0</v>
      </c>
      <c r="EK22" s="283">
        <f>IF(AND(Stamoplysninger!$B$26="Weekendtimer og weekendtillæg afspadseres.",I22="X"),K22*1.5,0)</f>
        <v>0</v>
      </c>
      <c r="EL22" s="251">
        <f>IF(AND(AND(Stamoplysninger!$B$26="Weekendtimer og weekendtillæg afspadseres.",I22="X",S22="X")),V22*1.5,0)</f>
        <v>0</v>
      </c>
      <c r="EM22" s="674">
        <f>IF(AND(AND(Stamoplysninger!$B$26="Weekendtimer og weekendtillæg afspadseres.",I22="X",C22="ikke relevant")),K22*1.5,0)</f>
        <v>0</v>
      </c>
      <c r="EN22" s="675">
        <f>IF(AND(AND(AND(Stamoplysninger!$B$26="Weekendtimer og weekendtillæg afspadseres.",I22="X",C22="ikke relevant",S22="X"))),(V22*1.5),0)</f>
        <v>0</v>
      </c>
      <c r="EO22" s="283">
        <f>IF(AND(Stamoplysninger!$B$26="Weekendtimer og weekendtillæg udbetales.",I22="X"),K22*1.5,0)</f>
        <v>0</v>
      </c>
      <c r="EP22" s="251">
        <f>IF(AND(AND(Stamoplysninger!$B$26="Weekendtimer og weekendtillæg udbetales.",I22="X",S22="X")),V22*1.5,0)</f>
        <v>0</v>
      </c>
      <c r="EQ22" s="674">
        <f>IF(AND(AND(Stamoplysninger!$B$26="Weekendtimer og weekendtillæg udbetales.",I22="X",C22="ikke relevant")),K22*1.5,0)</f>
        <v>0</v>
      </c>
      <c r="ER22" s="675">
        <f>IF(AND(AND(AND(Stamoplysninger!$B$26="Weekendtimer og weekendtillæg udbetales.",I22="X",C22="ikke relevant",S22="X"))),(V22*1.5),0)</f>
        <v>0</v>
      </c>
      <c r="ES22" s="283">
        <f>IF(AND(Stamoplysninger!$B$26="Der er indgået lokalaftale omkring weekendtimer.(Kræver aftale med TR/FSL) Weekendtillæg afspadseres.",I22="X"),K22*0.5,0)</f>
        <v>0</v>
      </c>
      <c r="ET22" s="251">
        <f>IF(AND(AND(Stamoplysninger!$B$26="Der er indgået lokalaftale omkring weekendtimer.(Kræver aftale med TR/FSL) Weekendtillæg afspadseres.",I22="X",S22="X")),V22*0.5,0)</f>
        <v>0</v>
      </c>
      <c r="EU22" s="674">
        <f>IF(AND(AND(Stamoplysninger!$B$26="Der er indgået lokalaftale omkring weekendtimer.(Kræver aftale med TR/FSL) Weekendtillæg afspadseres.",I22="X",C22="ikke relevant")),K22*0.5,0)</f>
        <v>0</v>
      </c>
      <c r="EV22" s="675">
        <f>IF(AND(AND(AND(Stamoplysninger!$B$26="Der er indgået lokalaftale omkring weekendtimer.(Kræver aftale med TR/FSL) Weekendtillæg afspadseres.",I22="X",C22="ikke relevant",S22="X"))),(V22*0.5),0)</f>
        <v>0</v>
      </c>
      <c r="EW22" s="283">
        <f>IF(AND(Stamoplysninger!$B$26="Der er indgået lokalaftale omkring weekendtimer(Kræver aftale med TR/FSL). Weekendtillæg udbetales.",I22="X"),K22*0.5,0)</f>
        <v>0</v>
      </c>
      <c r="EX22" s="251">
        <f>IF(AND(AND(Stamoplysninger!$B$26="Der er indgået lokalaftale omkring weekendtimer(Kræver aftale med TR/FSL). Weekendtillæg udbetales.",I22="X",S22="X")),V22*0.5,0)</f>
        <v>0</v>
      </c>
      <c r="EY22" s="674">
        <f>IF(AND(AND(Stamoplysninger!$B$26="Der er indgået lokalaftale omkring weekendtimer(Kræver aftale med TR/FSL). Weekendtillæg udbetales.",I22="X",C22="ikke relevant")),K22*0.5,0)</f>
        <v>0</v>
      </c>
      <c r="EZ22" s="675">
        <f>IF(AND(AND(AND(Stamoplysninger!$B$26="Der er indgået lokalaftale omkring weekendtimer(Kræver aftale med TR/FSL). Weekendtillæg udbetales.",I22="X",C22="ikke relevant",S22="X"))),(V22*0.5),0)</f>
        <v>0</v>
      </c>
      <c r="FA22" s="283">
        <f>IF(AND(Stamoplysninger!$B$26="Der er indgået lokalaftale omkring weekendtillæg(Kræver aftale med TR/FSL). Weekendtimerne afspadseres.",I22="X"),K22,0)</f>
        <v>0</v>
      </c>
      <c r="FB22" s="251">
        <f>IF(AND(AND(Stamoplysninger!$B$26="Der er indgået lokalaftale omkring weekendtillæg(Kræver aftale med TR/FSL). Weekendtimerne afspadseres.",I22="X",S22="X")),V22,0)</f>
        <v>0</v>
      </c>
      <c r="FC22" s="674">
        <f>IF(AND(AND(Stamoplysninger!$B$26="Der er indgået lokalaftale omkring weekendtillæg(Kræver aftale med TR/FSL). Weekendtimerne afspadseres..",I22="X",C22="ikke relevant")),K22,0)</f>
        <v>0</v>
      </c>
      <c r="FD22" s="675">
        <f>IF(AND(AND(AND(Stamoplysninger!$B$26="Der er indgået lokalaftale omkring weekendtillæg(Kræver aftale med TR/FSL). Weekendtimerne afspadseres.",I22="X",C22="ikke relevant",S22="X"))),(V22),0)</f>
        <v>0</v>
      </c>
      <c r="FE22" s="283">
        <f>IF(AND(Stamoplysninger!$B$26="Der er indgået lokalaftale omkring weekendtillæg(Kræver aftale med TR/FSL). Weekendtimerne udbetales.",I22="X"),K22,0)</f>
        <v>0</v>
      </c>
      <c r="FF22" s="251">
        <f>IF(AND(AND(Stamoplysninger!$B$26="Der er indgået lokalaftale omkring weekendtillæg(Kræver aftale med TR/FSL). Weekendtimerne udbetales.",I22="X",S22="X")),V22,0)</f>
        <v>0</v>
      </c>
      <c r="FG22" s="674">
        <f>IF(AND(AND(Stamoplysninger!$B$26="Der er indgået lokalaftale omkring weekendtillæg(Kræver aftale med TR/FSL). Weekendtimerne udbetales.",I22="X",C22="ikke relevant")),K22,0)</f>
        <v>0</v>
      </c>
      <c r="FH22" s="675">
        <f>IF(AND(AND(AND(Stamoplysninger!$B$26="Der er indgået lokalaftale omkring weekendtillæg(Kræver aftale med TR/FSL). Weekendtimerne udbetales.",I22="X",C22="ikke relevant",S22="X"))),(V22),0)</f>
        <v>0</v>
      </c>
      <c r="FI22" s="283">
        <f>IF(AND(Stamoplysninger!$B$26="Weekendtimer og weekendtillæg afspadseres.",I22="X"),K22,0)</f>
        <v>0</v>
      </c>
      <c r="FJ22" s="251">
        <f>IF(AND(Stamoplysninger!$B$26="Weekendtimer og weekendtillæg afspadseres.",Y22="X"),(AA22+AL22)/2,0)</f>
        <v>0</v>
      </c>
      <c r="FK22" s="674">
        <f>IF(AND(AND(Stamoplysninger!$B$26="Weekendtimer og weekendtillæg afspadseres.",I22="X",C22="ikke relevant")),K22,0)</f>
        <v>0</v>
      </c>
      <c r="FL22" s="675">
        <f>IF(AND(AND(Stamoplysninger!$B$26="Weekendtimer og weekendtillæg afspadseres.",Y22="X",S22="ikke relevant")),(AA22+AL22)/2,0)</f>
        <v>0</v>
      </c>
      <c r="FM22" s="283">
        <f>IF(AND(Stamoplysninger!$B$26="Der er indgået lokalaftale omkring weekendtillæg(Kræver aftale med TR/FSL). Weekendtimerne afspadseres.",I22="X"),K22,0)</f>
        <v>0</v>
      </c>
      <c r="FN22" s="674">
        <f>IF(AND(AND(Stamoplysninger!$B$26="Der er indgået lokalaftale omkring weekendtillæg(Kræver aftale med TR/FSL). Weekendtimerne afspadseres.",I22="X",C22="ikke relevant")),K22,0)</f>
        <v>0</v>
      </c>
      <c r="FO22" s="283">
        <f>IF(AND(Stamoplysninger!$B$26="Weekendtimer og weekendtillæg udbetales.",I22="X"),K22,0)</f>
        <v>0</v>
      </c>
      <c r="FP22" s="251">
        <f>IF(AND(Stamoplysninger!$B$26="Weekendtimer og weekendtillæg udbetales.",AA22="X"),(AC22+AN22)/2,0)</f>
        <v>0</v>
      </c>
      <c r="FQ22" s="674">
        <f>IF(AND(AND(Stamoplysninger!$B$26="Weekendtimer og weekendtillæg udbetales.",I22="X",C22="ikke relevant")),K22,0)</f>
        <v>0</v>
      </c>
      <c r="FR22" s="688">
        <f>IF(AND(AND(Stamoplysninger!$B$26="Weekendtimer og weekendtillæg udbetales.",AA22="X",U22="ikke relevant")),(AC22+AN22)/2,0)</f>
        <v>0</v>
      </c>
      <c r="FS22" s="283">
        <f t="shared" si="15"/>
        <v>0</v>
      </c>
      <c r="FT22" s="658">
        <f t="shared" si="16"/>
        <v>0</v>
      </c>
      <c r="FU22">
        <f t="shared" si="17"/>
        <v>0</v>
      </c>
      <c r="FV22" s="283">
        <f>IF(AND(Stamoplysninger!$B$26="Der er indgået lokalaftale omkring weekendtimer.(Kræver aftale med TR/FSL) Weekendtillæg afspadseres.",I22="X"),K22,0)</f>
        <v>0</v>
      </c>
      <c r="FW22" s="674">
        <f>IF(AND(AND(Stamoplysninger!$B$26="Der er indgået lokalaftale omkring weekendtimer.(Kræver aftale med TR/FSL) Weekendtillæg afspadseres.",I22="X",C22="ikke relevant")),K22,0)</f>
        <v>0</v>
      </c>
      <c r="FX22" s="283">
        <f>IF(AND(Stamoplysninger!$B$26="Der er indgået lokalaftale omkring weekendtimer(Kræver aftale med TR/FSL). Weekendtillæg udbetales.",I22="X"),K22,0)</f>
        <v>0</v>
      </c>
      <c r="FY22" s="674">
        <f>IF(AND(AND(Stamoplysninger!$B$26="Der er indgået lokalaftale omkring weekendtimer(Kræver aftale med TR/FSL). Weekendtillæg udbetales.",I22="X",C22="ikke relevant")),K22,0)</f>
        <v>0</v>
      </c>
      <c r="FZ22" s="283">
        <f>IF(AND(Stamoplysninger!$B$26="Der er indgået lokalaftale omkring weekendtillæg(Kræver aftale med TR/FSL). Weekendtimerne udbetales.",I22="X"),K22,0)</f>
        <v>0</v>
      </c>
      <c r="GA22" s="674">
        <f>IF(AND(AND(Stamoplysninger!$B$26="Der er indgået lokalaftale omkring weekendtillæg(Kræver aftale med TR/FSL). Weekendtimerne udbetales.",I22="X",C22="ikke relevant")),K22,0)</f>
        <v>0</v>
      </c>
      <c r="GB22" s="283">
        <f>IF(AND(Stamoplysninger!$B$26="Der er indgået lokalaftale omkring weekendtimer og weekendtillæg.(Kræver aftale med TR/FSL).",I22="X"),K22,0)</f>
        <v>0</v>
      </c>
      <c r="GC22" s="674">
        <f>IF(AND(AND(Stamoplysninger!$B$26="Der er indgået lokalaftale omkring weekendtimer og weekendtillæg.(Kræver aftale med TR/FSL).",I22="X",C22="ikke relevant")),K22,0)</f>
        <v>0</v>
      </c>
    </row>
    <row r="23" spans="1:185">
      <c r="A23" s="245">
        <f t="shared" si="18"/>
        <v>15</v>
      </c>
      <c r="B23" s="128" t="str">
        <f t="shared" si="0"/>
        <v>ti</v>
      </c>
      <c r="C23" s="129" t="s">
        <v>210</v>
      </c>
      <c r="D23" s="130" t="str">
        <f t="shared" si="1"/>
        <v/>
      </c>
      <c r="E23" s="949" t="s">
        <v>140</v>
      </c>
      <c r="F23" s="950"/>
      <c r="G23" s="951"/>
      <c r="H23" s="297"/>
      <c r="I23" s="527"/>
      <c r="J23" s="413"/>
      <c r="K23" s="380"/>
      <c r="L23" s="380"/>
      <c r="M23" s="380"/>
      <c r="N23" s="318">
        <f t="shared" si="19"/>
        <v>0</v>
      </c>
      <c r="O23" s="318">
        <f t="shared" si="20"/>
        <v>0</v>
      </c>
      <c r="P23" s="318">
        <f>IF(Stamoplysninger!$H$29="JA",Oktober!DG23,CX23)</f>
        <v>0</v>
      </c>
      <c r="Q23" s="318">
        <f t="shared" si="21"/>
        <v>0</v>
      </c>
      <c r="R23" s="319"/>
      <c r="S23" s="324"/>
      <c r="T23" s="325"/>
      <c r="U23" s="325"/>
      <c r="V23" s="435"/>
      <c r="W23" s="412"/>
      <c r="X23" s="642"/>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9">
        <f t="shared" si="8"/>
        <v>0</v>
      </c>
      <c r="BC23" s="1">
        <f t="shared" si="24"/>
        <v>0</v>
      </c>
      <c r="BD23" s="1">
        <f t="shared" si="9"/>
        <v>0</v>
      </c>
      <c r="BE23" s="1">
        <f t="shared" si="10"/>
        <v>0</v>
      </c>
      <c r="BF23" s="1">
        <f t="shared" si="11"/>
        <v>0</v>
      </c>
      <c r="BG23" s="210" t="str">
        <f>IF(AND(C23="Skema 1",B23="ma"),Skemaoplysninger!$E$30,"")</f>
        <v/>
      </c>
      <c r="BH23" s="210" t="str">
        <f>IF(AND(C23="Skema 1",B23="ti"),Skemaoplysninger!$G$30,"")</f>
        <v/>
      </c>
      <c r="BI23" s="210" t="str">
        <f>IF(AND(C23="Skema 1",B23="on"),Skemaoplysninger!$I$30,"")</f>
        <v/>
      </c>
      <c r="BJ23" s="210" t="str">
        <f>IF(AND(C23="Skema 1",B23="to"),Skemaoplysninger!$K$30,"")</f>
        <v/>
      </c>
      <c r="BK23" s="210" t="str">
        <f>IF(AND(C23="Skema 1",B23="fr"),Skemaoplysninger!$M$30,"")</f>
        <v/>
      </c>
      <c r="BL23" s="210" t="str">
        <f>IF(AND(C23="Skema 2",B23="ma"),Skemaoplysninger!$S$30,"")</f>
        <v/>
      </c>
      <c r="BM23" s="210" t="str">
        <f>IF(AND(C23="Skema 2",B23="ti"),Skemaoplysninger!$U$30,"")</f>
        <v/>
      </c>
      <c r="BN23" s="210" t="str">
        <f>IF(AND(C23="Skema 2",B23="on"),Skemaoplysninger!$W$30,"")</f>
        <v/>
      </c>
      <c r="BO23" s="210" t="str">
        <f>IF(AND(C23="Skema 2",B23="to"),Skemaoplysninger!$Y$30,"")</f>
        <v/>
      </c>
      <c r="BP23" s="210" t="str">
        <f>IF(AND(C23="Skema 2",B23="fr"),Skemaoplysninger!$AA$30,"")</f>
        <v/>
      </c>
      <c r="BQ23" s="210" t="str">
        <f>IF(AND(C23="Skema 3",B23="ma"),Skemaoplysninger!$AG$30,"")</f>
        <v/>
      </c>
      <c r="BR23" s="210" t="str">
        <f>IF(AND(C23="Skema 3",B23="ti"),Skemaoplysninger!$AI$30,"")</f>
        <v/>
      </c>
      <c r="BS23" s="210" t="str">
        <f>IF(AND(C23="Skema 3",B23="on"),Skemaoplysninger!$AK$30,"")</f>
        <v/>
      </c>
      <c r="BT23" s="210" t="str">
        <f>IF(AND(C23="Skema 3",B23="to"),Skemaoplysninger!$AM$30,"")</f>
        <v/>
      </c>
      <c r="BU23" s="210" t="str">
        <f>IF(AND(C23="Skema 3",B23="fr"),Skemaoplysninger!$AO$30,"")</f>
        <v/>
      </c>
      <c r="BV23" s="210" t="str">
        <f>IF(AND(C23="Skema 4",B23="ma"),Skemaoplysninger!$AU$30,"")</f>
        <v/>
      </c>
      <c r="BW23" s="210" t="str">
        <f>IF(AND(C23="Skema 4",B23="ti"),Skemaoplysninger!$AW$30,"")</f>
        <v/>
      </c>
      <c r="BX23" s="210" t="str">
        <f>IF(AND(C23="Skema 4",B23="on"),Skemaoplysninger!$AY$30,"")</f>
        <v/>
      </c>
      <c r="BY23" s="210" t="str">
        <f>IF(AND(C23="Skema 4",B23="to"),Skemaoplysninger!$BA$30,"")</f>
        <v/>
      </c>
      <c r="BZ23" s="210" t="str">
        <f>IF(AND(C23="Skema 4",B23="fr"),Skemaoplysninger!$BC$30,"")</f>
        <v/>
      </c>
      <c r="CA23" s="1">
        <f t="shared" si="25"/>
        <v>0</v>
      </c>
      <c r="CB23" s="1">
        <f t="shared" si="12"/>
        <v>0</v>
      </c>
      <c r="CC23" s="1">
        <f t="shared" si="13"/>
        <v>0</v>
      </c>
      <c r="CD23" s="210" t="str">
        <f>IF(AND(C23="Skema 1",B23="ma"),Skemaoplysninger!$E$31,"")</f>
        <v/>
      </c>
      <c r="CE23" s="210" t="str">
        <f>IF(AND(C23="Skema 1",B23="ti"),Skemaoplysninger!$G$31,"")</f>
        <v/>
      </c>
      <c r="CF23" s="210" t="str">
        <f>IF(AND(C23="Skema 1",B23="on"),Skemaoplysninger!$I$31,"")</f>
        <v/>
      </c>
      <c r="CG23" s="210" t="str">
        <f>IF(AND(C23="Skema 1",B23="to"),Skemaoplysninger!$K$31,"")</f>
        <v/>
      </c>
      <c r="CH23" s="210" t="str">
        <f>IF(AND(C23="Skema 1",B23="fr"),Skemaoplysninger!$M$31,"")</f>
        <v/>
      </c>
      <c r="CI23" s="210" t="str">
        <f>IF(AND(C23="Skema 2",B23="ma"),Skemaoplysninger!$S$31,"")</f>
        <v/>
      </c>
      <c r="CJ23" s="210" t="str">
        <f>IF(AND(C23="Skema 2",B23="ti"),Skemaoplysninger!$U$31,"")</f>
        <v/>
      </c>
      <c r="CK23" s="210" t="str">
        <f>IF(AND(C23="Skema 2",B23="on"),Skemaoplysninger!$W$31,"")</f>
        <v/>
      </c>
      <c r="CL23" s="210" t="str">
        <f>IF(AND(C23="Skema 2",B23="to"),Skemaoplysninger!$Y$31,"")</f>
        <v/>
      </c>
      <c r="CM23" s="210" t="str">
        <f>IF(AND(C23="Skema 2",B23="fr"),Skemaoplysninger!$AA$31,"")</f>
        <v/>
      </c>
      <c r="CN23" s="210" t="str">
        <f>IF(AND(C23="Skema 3",B23="ma"),Skemaoplysninger!$AG$31,"")</f>
        <v/>
      </c>
      <c r="CO23" s="210" t="str">
        <f>IF(AND(C23="Skema 3",B23="ti"),Skemaoplysninger!$AI$31,"")</f>
        <v/>
      </c>
      <c r="CP23" s="210" t="str">
        <f>IF(AND(C23="Skema 3",B23="on"),Skemaoplysninger!$AK$31,"")</f>
        <v/>
      </c>
      <c r="CQ23" s="210" t="str">
        <f>IF(AND(C23="Skema 3",B23="to"),Skemaoplysninger!$AM$31,"")</f>
        <v/>
      </c>
      <c r="CR23" s="210" t="str">
        <f>IF(AND(C23="Skema 3",B23="fr"),Skemaoplysninger!$AO$31,"")</f>
        <v/>
      </c>
      <c r="CS23" s="210" t="str">
        <f>IF(AND(C23="Skema 4",B23="ma"),Skemaoplysninger!$AU$31,"")</f>
        <v/>
      </c>
      <c r="CT23" s="210" t="str">
        <f>IF(AND(C23="Skema 4",B23="ti"),Skemaoplysninger!$AW$31,"")</f>
        <v/>
      </c>
      <c r="CU23" s="210" t="str">
        <f>IF(AND(C23="Skema 4",B23="on"),Skemaoplysninger!$AY$31,"")</f>
        <v/>
      </c>
      <c r="CV23" s="210" t="str">
        <f>IF(AND(C23="Skema 4",B23="to"),Skemaoplysninger!$BA$31,"")</f>
        <v/>
      </c>
      <c r="CW23" s="210" t="str">
        <f>IF(AND(C23="Skema 4",B23="fr"),Skemaoplysninger!$BC$31,"")</f>
        <v/>
      </c>
      <c r="CX23" s="249">
        <f>IF(Stamoplysninger!$H$29="NEJ",SUM(CD23:CW23)*24+CB23+CC23,0)</f>
        <v>0</v>
      </c>
      <c r="CY23" s="249">
        <f>IF(C23="Skema 1",Stamoplysninger!$H$30/200,0)</f>
        <v>0</v>
      </c>
      <c r="CZ23" s="249">
        <f>IF(C23="Skema 2",Stamoplysninger!$H$30/200,0)</f>
        <v>0</v>
      </c>
      <c r="DA23" s="249">
        <f>IF(C23="Skema 3",Stamoplysninger!$H$30/200,0)</f>
        <v>0</v>
      </c>
      <c r="DB23" s="249">
        <f>IF(C23="Skema 4",Stamoplysninger!$H$30/200,0)</f>
        <v>0</v>
      </c>
      <c r="DC23" s="249">
        <f>IF(C23="fagdag",Stamoplysninger!$H$30/200,0)</f>
        <v>0</v>
      </c>
      <c r="DD23" s="249">
        <f>IF(C23="emnedag",Stamoplysninger!$H$30/200,0)</f>
        <v>0</v>
      </c>
      <c r="DE23" s="249">
        <f>IF(C23="lejrskole",Stamoplysninger!$H$30/200,0)</f>
        <v>0</v>
      </c>
      <c r="DF23" s="249">
        <f>IF(C23="ekskursion",Stamoplysninger!$H$30/200,0)</f>
        <v>0</v>
      </c>
      <c r="DG23" s="249">
        <f t="shared" si="26"/>
        <v>0</v>
      </c>
      <c r="DH23" t="str">
        <f t="shared" si="27"/>
        <v/>
      </c>
      <c r="DI23" t="str">
        <f t="shared" si="28"/>
        <v>Efterårsferie</v>
      </c>
      <c r="DJ23" t="str">
        <f t="shared" si="29"/>
        <v/>
      </c>
      <c r="DK23" t="str">
        <f t="shared" si="14"/>
        <v/>
      </c>
      <c r="DL23" t="str">
        <f t="shared" si="14"/>
        <v>Efterårsferie</v>
      </c>
      <c r="DM23" t="str">
        <f t="shared" si="14"/>
        <v/>
      </c>
      <c r="DN23" t="str">
        <f t="shared" si="30"/>
        <v>Efterårsferie</v>
      </c>
      <c r="DO23" s="652">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71">
        <f>IF(AND(Stamoplysninger!$B$22="Ulempetillæg udbetales med 25% af nettotimelønnen.",C23="ikke relevant"),(R23)/4,0)</f>
        <v>0</v>
      </c>
      <c r="DT23" s="671">
        <f>IF(AND(AND(Stamoplysninger!$B$22="Ulempetillæg udbetales med 25% af nettotimelønnen.",I23="X",C23="Ikke relevant")),K23/4,0)</f>
        <v>0</v>
      </c>
      <c r="DU23" s="671">
        <f>IF(AND(AND(Stamoplysninger!$B$22="Ulempetillæg udbetales med 25% af nettotimelønnen.",C23="ikke relevant",U23="X")),(X23/4),0)</f>
        <v>0</v>
      </c>
      <c r="DV23" s="672">
        <f>IF(AND(AND(AND(Stamoplysninger!$B$22="Ulempetillæg udbetales med 25% af nettotimelønnen.",I23="X",C23="Ikke relevant",S23="X"))),V23/4,0)</f>
        <v>0</v>
      </c>
      <c r="DW23" s="652"/>
      <c r="DZ23" s="671"/>
      <c r="EA23" s="671"/>
      <c r="EB23" s="672"/>
      <c r="EC23" s="652">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71">
        <f>IF(AND(Stamoplysninger!$B$22="Ulempetillæg afspadseres med 25%(Kræver en aftale imellem ledelsen og den ansatte)",C23="ikke relevant"),(R23)/4,0)</f>
        <v>0</v>
      </c>
      <c r="EH23" s="671">
        <f>IF(AND(AND(Stamoplysninger!$B$22="Ulempetillæg afspadseres med 25%(Kræver en aftale imellem ledelsen og den ansatte)",I23="X",C23="Ikke relevant")),K23/4,0)</f>
        <v>0</v>
      </c>
      <c r="EI23" s="671">
        <f>IF(AND(AND(Stamoplysninger!$B$22="Ulempetillæg afspadseres med 25%(Kræver en aftale imellem ledelsen og den ansatte)",U23="X",C23="Ikke relevant")),X23/4,0)</f>
        <v>0</v>
      </c>
      <c r="EJ23" s="671">
        <f>IF(AND(AND(AND(Stamoplysninger!$B$22="Ulempetillæg afspadseres med 25%(Kræver en aftale imellem ledelsen og den ansatte)",I23="X",C23="Ikke relevant",S23="X"))),V23/4,0)</f>
        <v>0</v>
      </c>
      <c r="EK23" s="283">
        <f>IF(AND(Stamoplysninger!$B$26="Weekendtimer og weekendtillæg afspadseres.",I23="X"),K23*1.5,0)</f>
        <v>0</v>
      </c>
      <c r="EL23" s="251">
        <f>IF(AND(AND(Stamoplysninger!$B$26="Weekendtimer og weekendtillæg afspadseres.",I23="X",S23="X")),V23*1.5,0)</f>
        <v>0</v>
      </c>
      <c r="EM23" s="674">
        <f>IF(AND(AND(Stamoplysninger!$B$26="Weekendtimer og weekendtillæg afspadseres.",I23="X",C23="ikke relevant")),K23*1.5,0)</f>
        <v>0</v>
      </c>
      <c r="EN23" s="675">
        <f>IF(AND(AND(AND(Stamoplysninger!$B$26="Weekendtimer og weekendtillæg afspadseres.",I23="X",C23="ikke relevant",S23="X"))),(V23*1.5),0)</f>
        <v>0</v>
      </c>
      <c r="EO23" s="283">
        <f>IF(AND(Stamoplysninger!$B$26="Weekendtimer og weekendtillæg udbetales.",I23="X"),K23*1.5,0)</f>
        <v>0</v>
      </c>
      <c r="EP23" s="251">
        <f>IF(AND(AND(Stamoplysninger!$B$26="Weekendtimer og weekendtillæg udbetales.",I23="X",S23="X")),V23*1.5,0)</f>
        <v>0</v>
      </c>
      <c r="EQ23" s="674">
        <f>IF(AND(AND(Stamoplysninger!$B$26="Weekendtimer og weekendtillæg udbetales.",I23="X",C23="ikke relevant")),K23*1.5,0)</f>
        <v>0</v>
      </c>
      <c r="ER23" s="675">
        <f>IF(AND(AND(AND(Stamoplysninger!$B$26="Weekendtimer og weekendtillæg udbetales.",I23="X",C23="ikke relevant",S23="X"))),(V23*1.5),0)</f>
        <v>0</v>
      </c>
      <c r="ES23" s="283">
        <f>IF(AND(Stamoplysninger!$B$26="Der er indgået lokalaftale omkring weekendtimer.(Kræver aftale med TR/FSL) Weekendtillæg afspadseres.",I23="X"),K23*0.5,0)</f>
        <v>0</v>
      </c>
      <c r="ET23" s="251">
        <f>IF(AND(AND(Stamoplysninger!$B$26="Der er indgået lokalaftale omkring weekendtimer.(Kræver aftale med TR/FSL) Weekendtillæg afspadseres.",I23="X",S23="X")),V23*0.5,0)</f>
        <v>0</v>
      </c>
      <c r="EU23" s="674">
        <f>IF(AND(AND(Stamoplysninger!$B$26="Der er indgået lokalaftale omkring weekendtimer.(Kræver aftale med TR/FSL) Weekendtillæg afspadseres.",I23="X",C23="ikke relevant")),K23*0.5,0)</f>
        <v>0</v>
      </c>
      <c r="EV23" s="675">
        <f>IF(AND(AND(AND(Stamoplysninger!$B$26="Der er indgået lokalaftale omkring weekendtimer.(Kræver aftale med TR/FSL) Weekendtillæg afspadseres.",I23="X",C23="ikke relevant",S23="X"))),(V23*0.5),0)</f>
        <v>0</v>
      </c>
      <c r="EW23" s="283">
        <f>IF(AND(Stamoplysninger!$B$26="Der er indgået lokalaftale omkring weekendtimer(Kræver aftale med TR/FSL). Weekendtillæg udbetales.",I23="X"),K23*0.5,0)</f>
        <v>0</v>
      </c>
      <c r="EX23" s="251">
        <f>IF(AND(AND(Stamoplysninger!$B$26="Der er indgået lokalaftale omkring weekendtimer(Kræver aftale med TR/FSL). Weekendtillæg udbetales.",I23="X",S23="X")),V23*0.5,0)</f>
        <v>0</v>
      </c>
      <c r="EY23" s="674">
        <f>IF(AND(AND(Stamoplysninger!$B$26="Der er indgået lokalaftale omkring weekendtimer(Kræver aftale med TR/FSL). Weekendtillæg udbetales.",I23="X",C23="ikke relevant")),K23*0.5,0)</f>
        <v>0</v>
      </c>
      <c r="EZ23" s="675">
        <f>IF(AND(AND(AND(Stamoplysninger!$B$26="Der er indgået lokalaftale omkring weekendtimer(Kræver aftale med TR/FSL). Weekendtillæg udbetales.",I23="X",C23="ikke relevant",S23="X"))),(V23*0.5),0)</f>
        <v>0</v>
      </c>
      <c r="FA23" s="283">
        <f>IF(AND(Stamoplysninger!$B$26="Der er indgået lokalaftale omkring weekendtillæg(Kræver aftale med TR/FSL). Weekendtimerne afspadseres.",I23="X"),K23,0)</f>
        <v>0</v>
      </c>
      <c r="FB23" s="251">
        <f>IF(AND(AND(Stamoplysninger!$B$26="Der er indgået lokalaftale omkring weekendtillæg(Kræver aftale med TR/FSL). Weekendtimerne afspadseres.",I23="X",S23="X")),V23,0)</f>
        <v>0</v>
      </c>
      <c r="FC23" s="674">
        <f>IF(AND(AND(Stamoplysninger!$B$26="Der er indgået lokalaftale omkring weekendtillæg(Kræver aftale med TR/FSL). Weekendtimerne afspadseres..",I23="X",C23="ikke relevant")),K23,0)</f>
        <v>0</v>
      </c>
      <c r="FD23" s="675">
        <f>IF(AND(AND(AND(Stamoplysninger!$B$26="Der er indgået lokalaftale omkring weekendtillæg(Kræver aftale med TR/FSL). Weekendtimerne afspadseres.",I23="X",C23="ikke relevant",S23="X"))),(V23),0)</f>
        <v>0</v>
      </c>
      <c r="FE23" s="283">
        <f>IF(AND(Stamoplysninger!$B$26="Der er indgået lokalaftale omkring weekendtillæg(Kræver aftale med TR/FSL). Weekendtimerne udbetales.",I23="X"),K23,0)</f>
        <v>0</v>
      </c>
      <c r="FF23" s="251">
        <f>IF(AND(AND(Stamoplysninger!$B$26="Der er indgået lokalaftale omkring weekendtillæg(Kræver aftale med TR/FSL). Weekendtimerne udbetales.",I23="X",S23="X")),V23,0)</f>
        <v>0</v>
      </c>
      <c r="FG23" s="674">
        <f>IF(AND(AND(Stamoplysninger!$B$26="Der er indgået lokalaftale omkring weekendtillæg(Kræver aftale med TR/FSL). Weekendtimerne udbetales.",I23="X",C23="ikke relevant")),K23,0)</f>
        <v>0</v>
      </c>
      <c r="FH23" s="675">
        <f>IF(AND(AND(AND(Stamoplysninger!$B$26="Der er indgået lokalaftale omkring weekendtillæg(Kræver aftale med TR/FSL). Weekendtimerne udbetales.",I23="X",C23="ikke relevant",S23="X"))),(V23),0)</f>
        <v>0</v>
      </c>
      <c r="FI23" s="283">
        <f>IF(AND(Stamoplysninger!$B$26="Weekendtimer og weekendtillæg afspadseres.",I23="X"),K23,0)</f>
        <v>0</v>
      </c>
      <c r="FJ23" s="251">
        <f>IF(AND(Stamoplysninger!$B$26="Weekendtimer og weekendtillæg afspadseres.",Y23="X"),(AA23+AL23)/2,0)</f>
        <v>0</v>
      </c>
      <c r="FK23" s="674">
        <f>IF(AND(AND(Stamoplysninger!$B$26="Weekendtimer og weekendtillæg afspadseres.",I23="X",C23="ikke relevant")),K23,0)</f>
        <v>0</v>
      </c>
      <c r="FL23" s="675">
        <f>IF(AND(AND(Stamoplysninger!$B$26="Weekendtimer og weekendtillæg afspadseres.",Y23="X",S23="ikke relevant")),(AA23+AL23)/2,0)</f>
        <v>0</v>
      </c>
      <c r="FM23" s="283">
        <f>IF(AND(Stamoplysninger!$B$26="Der er indgået lokalaftale omkring weekendtillæg(Kræver aftale med TR/FSL). Weekendtimerne afspadseres.",I23="X"),K23,0)</f>
        <v>0</v>
      </c>
      <c r="FN23" s="674">
        <f>IF(AND(AND(Stamoplysninger!$B$26="Der er indgået lokalaftale omkring weekendtillæg(Kræver aftale med TR/FSL). Weekendtimerne afspadseres.",I23="X",C23="ikke relevant")),K23,0)</f>
        <v>0</v>
      </c>
      <c r="FO23" s="283">
        <f>IF(AND(Stamoplysninger!$B$26="Weekendtimer og weekendtillæg udbetales.",I23="X"),K23,0)</f>
        <v>0</v>
      </c>
      <c r="FP23" s="251">
        <f>IF(AND(Stamoplysninger!$B$26="Weekendtimer og weekendtillæg udbetales.",AA23="X"),(AC23+AN23)/2,0)</f>
        <v>0</v>
      </c>
      <c r="FQ23" s="674">
        <f>IF(AND(AND(Stamoplysninger!$B$26="Weekendtimer og weekendtillæg udbetales.",I23="X",C23="ikke relevant")),K23,0)</f>
        <v>0</v>
      </c>
      <c r="FR23" s="688">
        <f>IF(AND(AND(Stamoplysninger!$B$26="Weekendtimer og weekendtillæg udbetales.",AA23="X",U23="ikke relevant")),(AC23+AN23)/2,0)</f>
        <v>0</v>
      </c>
      <c r="FS23" s="283">
        <f t="shared" si="15"/>
        <v>0</v>
      </c>
      <c r="FT23" s="658">
        <f t="shared" si="16"/>
        <v>0</v>
      </c>
      <c r="FU23">
        <f t="shared" si="17"/>
        <v>0</v>
      </c>
      <c r="FV23" s="283">
        <f>IF(AND(Stamoplysninger!$B$26="Der er indgået lokalaftale omkring weekendtimer.(Kræver aftale med TR/FSL) Weekendtillæg afspadseres.",I23="X"),K23,0)</f>
        <v>0</v>
      </c>
      <c r="FW23" s="674">
        <f>IF(AND(AND(Stamoplysninger!$B$26="Der er indgået lokalaftale omkring weekendtimer.(Kræver aftale med TR/FSL) Weekendtillæg afspadseres.",I23="X",C23="ikke relevant")),K23,0)</f>
        <v>0</v>
      </c>
      <c r="FX23" s="283">
        <f>IF(AND(Stamoplysninger!$B$26="Der er indgået lokalaftale omkring weekendtimer(Kræver aftale med TR/FSL). Weekendtillæg udbetales.",I23="X"),K23,0)</f>
        <v>0</v>
      </c>
      <c r="FY23" s="674">
        <f>IF(AND(AND(Stamoplysninger!$B$26="Der er indgået lokalaftale omkring weekendtimer(Kræver aftale med TR/FSL). Weekendtillæg udbetales.",I23="X",C23="ikke relevant")),K23,0)</f>
        <v>0</v>
      </c>
      <c r="FZ23" s="283">
        <f>IF(AND(Stamoplysninger!$B$26="Der er indgået lokalaftale omkring weekendtillæg(Kræver aftale med TR/FSL). Weekendtimerne udbetales.",I23="X"),K23,0)</f>
        <v>0</v>
      </c>
      <c r="GA23" s="674">
        <f>IF(AND(AND(Stamoplysninger!$B$26="Der er indgået lokalaftale omkring weekendtillæg(Kræver aftale med TR/FSL). Weekendtimerne udbetales.",I23="X",C23="ikke relevant")),K23,0)</f>
        <v>0</v>
      </c>
      <c r="GB23" s="283">
        <f>IF(AND(Stamoplysninger!$B$26="Der er indgået lokalaftale omkring weekendtimer og weekendtillæg.(Kræver aftale med TR/FSL).",I23="X"),K23,0)</f>
        <v>0</v>
      </c>
      <c r="GC23" s="674">
        <f>IF(AND(AND(Stamoplysninger!$B$26="Der er indgået lokalaftale omkring weekendtimer og weekendtillæg.(Kræver aftale med TR/FSL).",I23="X",C23="ikke relevant")),K23,0)</f>
        <v>0</v>
      </c>
    </row>
    <row r="24" spans="1:185">
      <c r="A24" s="245">
        <f>IF(ISNUMBER(A23),A23+1,1)</f>
        <v>16</v>
      </c>
      <c r="B24" s="128" t="str">
        <f t="shared" si="0"/>
        <v>on</v>
      </c>
      <c r="C24" s="129" t="s">
        <v>210</v>
      </c>
      <c r="D24" s="130" t="str">
        <f t="shared" si="1"/>
        <v/>
      </c>
      <c r="E24" s="917" t="s">
        <v>140</v>
      </c>
      <c r="F24" s="918"/>
      <c r="G24" s="919"/>
      <c r="H24" s="298"/>
      <c r="I24" s="527"/>
      <c r="J24" s="413"/>
      <c r="K24" s="380"/>
      <c r="L24" s="380"/>
      <c r="M24" s="380"/>
      <c r="N24" s="318">
        <f t="shared" si="19"/>
        <v>0</v>
      </c>
      <c r="O24" s="318">
        <f t="shared" si="20"/>
        <v>0</v>
      </c>
      <c r="P24" s="318">
        <f>IF(Stamoplysninger!$H$29="JA",Oktober!DG24,CX24)</f>
        <v>0</v>
      </c>
      <c r="Q24" s="318">
        <f t="shared" si="21"/>
        <v>0</v>
      </c>
      <c r="R24" s="319"/>
      <c r="S24" s="324"/>
      <c r="T24" s="325"/>
      <c r="U24" s="325"/>
      <c r="V24" s="435"/>
      <c r="W24" s="412"/>
      <c r="X24" s="642"/>
      <c r="Y24">
        <f t="shared" si="22"/>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9">
        <f t="shared" si="8"/>
        <v>0</v>
      </c>
      <c r="BC24" s="1">
        <f t="shared" si="24"/>
        <v>0</v>
      </c>
      <c r="BD24" s="1">
        <f t="shared" si="9"/>
        <v>0</v>
      </c>
      <c r="BE24" s="1">
        <f t="shared" si="10"/>
        <v>0</v>
      </c>
      <c r="BF24" s="1">
        <f t="shared" si="11"/>
        <v>0</v>
      </c>
      <c r="BG24" s="210" t="str">
        <f>IF(AND(C24="Skema 1",B24="ma"),Skemaoplysninger!$E$30,"")</f>
        <v/>
      </c>
      <c r="BH24" s="210" t="str">
        <f>IF(AND(C24="Skema 1",B24="ti"),Skemaoplysninger!$G$30,"")</f>
        <v/>
      </c>
      <c r="BI24" s="210" t="str">
        <f>IF(AND(C24="Skema 1",B24="on"),Skemaoplysninger!$I$30,"")</f>
        <v/>
      </c>
      <c r="BJ24" s="210" t="str">
        <f>IF(AND(C24="Skema 1",B24="to"),Skemaoplysninger!$K$30,"")</f>
        <v/>
      </c>
      <c r="BK24" s="210" t="str">
        <f>IF(AND(C24="Skema 1",B24="fr"),Skemaoplysninger!$M$30,"")</f>
        <v/>
      </c>
      <c r="BL24" s="210" t="str">
        <f>IF(AND(C24="Skema 2",B24="ma"),Skemaoplysninger!$S$30,"")</f>
        <v/>
      </c>
      <c r="BM24" s="210" t="str">
        <f>IF(AND(C24="Skema 2",B24="ti"),Skemaoplysninger!$U$30,"")</f>
        <v/>
      </c>
      <c r="BN24" s="210" t="str">
        <f>IF(AND(C24="Skema 2",B24="on"),Skemaoplysninger!$W$30,"")</f>
        <v/>
      </c>
      <c r="BO24" s="210" t="str">
        <f>IF(AND(C24="Skema 2",B24="to"),Skemaoplysninger!$Y$30,"")</f>
        <v/>
      </c>
      <c r="BP24" s="210" t="str">
        <f>IF(AND(C24="Skema 2",B24="fr"),Skemaoplysninger!$AA$30,"")</f>
        <v/>
      </c>
      <c r="BQ24" s="210" t="str">
        <f>IF(AND(C24="Skema 3",B24="ma"),Skemaoplysninger!$AG$30,"")</f>
        <v/>
      </c>
      <c r="BR24" s="210" t="str">
        <f>IF(AND(C24="Skema 3",B24="ti"),Skemaoplysninger!$AI$30,"")</f>
        <v/>
      </c>
      <c r="BS24" s="210" t="str">
        <f>IF(AND(C24="Skema 3",B24="on"),Skemaoplysninger!$AK$30,"")</f>
        <v/>
      </c>
      <c r="BT24" s="210" t="str">
        <f>IF(AND(C24="Skema 3",B24="to"),Skemaoplysninger!$AM$30,"")</f>
        <v/>
      </c>
      <c r="BU24" s="210" t="str">
        <f>IF(AND(C24="Skema 3",B24="fr"),Skemaoplysninger!$AO$30,"")</f>
        <v/>
      </c>
      <c r="BV24" s="210" t="str">
        <f>IF(AND(C24="Skema 4",B24="ma"),Skemaoplysninger!$AU$30,"")</f>
        <v/>
      </c>
      <c r="BW24" s="210" t="str">
        <f>IF(AND(C24="Skema 4",B24="ti"),Skemaoplysninger!$AW$30,"")</f>
        <v/>
      </c>
      <c r="BX24" s="210" t="str">
        <f>IF(AND(C24="Skema 4",B24="on"),Skemaoplysninger!$AY$30,"")</f>
        <v/>
      </c>
      <c r="BY24" s="210" t="str">
        <f>IF(AND(C24="Skema 4",B24="to"),Skemaoplysninger!$BA$30,"")</f>
        <v/>
      </c>
      <c r="BZ24" s="210" t="str">
        <f>IF(AND(C24="Skema 4",B24="fr"),Skemaoplysninger!$BC$30,"")</f>
        <v/>
      </c>
      <c r="CA24" s="1">
        <f t="shared" si="25"/>
        <v>0</v>
      </c>
      <c r="CB24" s="1">
        <f t="shared" si="12"/>
        <v>0</v>
      </c>
      <c r="CC24" s="1">
        <f t="shared" si="13"/>
        <v>0</v>
      </c>
      <c r="CD24" s="210" t="str">
        <f>IF(AND(C24="Skema 1",B24="ma"),Skemaoplysninger!$E$31,"")</f>
        <v/>
      </c>
      <c r="CE24" s="210" t="str">
        <f>IF(AND(C24="Skema 1",B24="ti"),Skemaoplysninger!$G$31,"")</f>
        <v/>
      </c>
      <c r="CF24" s="210" t="str">
        <f>IF(AND(C24="Skema 1",B24="on"),Skemaoplysninger!$I$31,"")</f>
        <v/>
      </c>
      <c r="CG24" s="210" t="str">
        <f>IF(AND(C24="Skema 1",B24="to"),Skemaoplysninger!$K$31,"")</f>
        <v/>
      </c>
      <c r="CH24" s="210" t="str">
        <f>IF(AND(C24="Skema 1",B24="fr"),Skemaoplysninger!$M$31,"")</f>
        <v/>
      </c>
      <c r="CI24" s="210" t="str">
        <f>IF(AND(C24="Skema 2",B24="ma"),Skemaoplysninger!$S$31,"")</f>
        <v/>
      </c>
      <c r="CJ24" s="210" t="str">
        <f>IF(AND(C24="Skema 2",B24="ti"),Skemaoplysninger!$U$31,"")</f>
        <v/>
      </c>
      <c r="CK24" s="210" t="str">
        <f>IF(AND(C24="Skema 2",B24="on"),Skemaoplysninger!$W$31,"")</f>
        <v/>
      </c>
      <c r="CL24" s="210" t="str">
        <f>IF(AND(C24="Skema 2",B24="to"),Skemaoplysninger!$Y$31,"")</f>
        <v/>
      </c>
      <c r="CM24" s="210" t="str">
        <f>IF(AND(C24="Skema 2",B24="fr"),Skemaoplysninger!$AA$31,"")</f>
        <v/>
      </c>
      <c r="CN24" s="210" t="str">
        <f>IF(AND(C24="Skema 3",B24="ma"),Skemaoplysninger!$AG$31,"")</f>
        <v/>
      </c>
      <c r="CO24" s="210" t="str">
        <f>IF(AND(C24="Skema 3",B24="ti"),Skemaoplysninger!$AI$31,"")</f>
        <v/>
      </c>
      <c r="CP24" s="210" t="str">
        <f>IF(AND(C24="Skema 3",B24="on"),Skemaoplysninger!$AK$31,"")</f>
        <v/>
      </c>
      <c r="CQ24" s="210" t="str">
        <f>IF(AND(C24="Skema 3",B24="to"),Skemaoplysninger!$AM$31,"")</f>
        <v/>
      </c>
      <c r="CR24" s="210" t="str">
        <f>IF(AND(C24="Skema 3",B24="fr"),Skemaoplysninger!$AO$31,"")</f>
        <v/>
      </c>
      <c r="CS24" s="210" t="str">
        <f>IF(AND(C24="Skema 4",B24="ma"),Skemaoplysninger!$AU$31,"")</f>
        <v/>
      </c>
      <c r="CT24" s="210" t="str">
        <f>IF(AND(C24="Skema 4",B24="ti"),Skemaoplysninger!$AW$31,"")</f>
        <v/>
      </c>
      <c r="CU24" s="210" t="str">
        <f>IF(AND(C24="Skema 4",B24="on"),Skemaoplysninger!$AY$31,"")</f>
        <v/>
      </c>
      <c r="CV24" s="210" t="str">
        <f>IF(AND(C24="Skema 4",B24="to"),Skemaoplysninger!$BA$31,"")</f>
        <v/>
      </c>
      <c r="CW24" s="210" t="str">
        <f>IF(AND(C24="Skema 4",B24="fr"),Skemaoplysninger!$BC$31,"")</f>
        <v/>
      </c>
      <c r="CX24" s="249">
        <f>IF(Stamoplysninger!$H$29="NEJ",SUM(CD24:CW24)*24+CB24+CC24,0)</f>
        <v>0</v>
      </c>
      <c r="CY24" s="249">
        <f>IF(C24="Skema 1",Stamoplysninger!$H$30/200,0)</f>
        <v>0</v>
      </c>
      <c r="CZ24" s="249">
        <f>IF(C24="Skema 2",Stamoplysninger!$H$30/200,0)</f>
        <v>0</v>
      </c>
      <c r="DA24" s="249">
        <f>IF(C24="Skema 3",Stamoplysninger!$H$30/200,0)</f>
        <v>0</v>
      </c>
      <c r="DB24" s="249">
        <f>IF(C24="Skema 4",Stamoplysninger!$H$30/200,0)</f>
        <v>0</v>
      </c>
      <c r="DC24" s="249">
        <f>IF(C24="fagdag",Stamoplysninger!$H$30/200,0)</f>
        <v>0</v>
      </c>
      <c r="DD24" s="249">
        <f>IF(C24="emnedag",Stamoplysninger!$H$30/200,0)</f>
        <v>0</v>
      </c>
      <c r="DE24" s="249">
        <f>IF(C24="lejrskole",Stamoplysninger!$H$30/200,0)</f>
        <v>0</v>
      </c>
      <c r="DF24" s="249">
        <f>IF(C24="ekskursion",Stamoplysninger!$H$30/200,0)</f>
        <v>0</v>
      </c>
      <c r="DG24" s="249">
        <f t="shared" si="26"/>
        <v>0</v>
      </c>
      <c r="DH24" t="str">
        <f t="shared" si="27"/>
        <v/>
      </c>
      <c r="DI24" t="str">
        <f t="shared" si="28"/>
        <v>Efterårsferie</v>
      </c>
      <c r="DJ24" t="str">
        <f t="shared" si="29"/>
        <v/>
      </c>
      <c r="DK24" t="str">
        <f t="shared" si="14"/>
        <v/>
      </c>
      <c r="DL24" t="str">
        <f t="shared" si="14"/>
        <v>Efterårsferie</v>
      </c>
      <c r="DM24" t="str">
        <f t="shared" si="14"/>
        <v/>
      </c>
      <c r="DN24" t="str">
        <f t="shared" si="30"/>
        <v>Efterårsferie</v>
      </c>
      <c r="DO24" s="652">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71">
        <f>IF(AND(Stamoplysninger!$B$22="Ulempetillæg udbetales med 25% af nettotimelønnen.",C24="ikke relevant"),(R24)/4,0)</f>
        <v>0</v>
      </c>
      <c r="DT24" s="671">
        <f>IF(AND(AND(Stamoplysninger!$B$22="Ulempetillæg udbetales med 25% af nettotimelønnen.",I24="X",C24="Ikke relevant")),K24/4,0)</f>
        <v>0</v>
      </c>
      <c r="DU24" s="671">
        <f>IF(AND(AND(Stamoplysninger!$B$22="Ulempetillæg udbetales med 25% af nettotimelønnen.",C24="ikke relevant",U24="X")),(X24/4),0)</f>
        <v>0</v>
      </c>
      <c r="DV24" s="672">
        <f>IF(AND(AND(AND(Stamoplysninger!$B$22="Ulempetillæg udbetales med 25% af nettotimelønnen.",I24="X",C24="Ikke relevant",S24="X"))),V24/4,0)</f>
        <v>0</v>
      </c>
      <c r="DW24" s="652"/>
      <c r="DZ24" s="671"/>
      <c r="EA24" s="671"/>
      <c r="EB24" s="672"/>
      <c r="EC24" s="652">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71">
        <f>IF(AND(Stamoplysninger!$B$22="Ulempetillæg afspadseres med 25%(Kræver en aftale imellem ledelsen og den ansatte)",C24="ikke relevant"),(R24)/4,0)</f>
        <v>0</v>
      </c>
      <c r="EH24" s="671">
        <f>IF(AND(AND(Stamoplysninger!$B$22="Ulempetillæg afspadseres med 25%(Kræver en aftale imellem ledelsen og den ansatte)",I24="X",C24="Ikke relevant")),K24/4,0)</f>
        <v>0</v>
      </c>
      <c r="EI24" s="671">
        <f>IF(AND(AND(Stamoplysninger!$B$22="Ulempetillæg afspadseres med 25%(Kræver en aftale imellem ledelsen og den ansatte)",U24="X",C24="Ikke relevant")),X24/4,0)</f>
        <v>0</v>
      </c>
      <c r="EJ24" s="671">
        <f>IF(AND(AND(AND(Stamoplysninger!$B$22="Ulempetillæg afspadseres med 25%(Kræver en aftale imellem ledelsen og den ansatte)",I24="X",C24="Ikke relevant",S24="X"))),V24/4,0)</f>
        <v>0</v>
      </c>
      <c r="EK24" s="283">
        <f>IF(AND(Stamoplysninger!$B$26="Weekendtimer og weekendtillæg afspadseres.",I24="X"),K24*1.5,0)</f>
        <v>0</v>
      </c>
      <c r="EL24" s="251">
        <f>IF(AND(AND(Stamoplysninger!$B$26="Weekendtimer og weekendtillæg afspadseres.",I24="X",S24="X")),V24*1.5,0)</f>
        <v>0</v>
      </c>
      <c r="EM24" s="674">
        <f>IF(AND(AND(Stamoplysninger!$B$26="Weekendtimer og weekendtillæg afspadseres.",I24="X",C24="ikke relevant")),K24*1.5,0)</f>
        <v>0</v>
      </c>
      <c r="EN24" s="675">
        <f>IF(AND(AND(AND(Stamoplysninger!$B$26="Weekendtimer og weekendtillæg afspadseres.",I24="X",C24="ikke relevant",S24="X"))),(V24*1.5),0)</f>
        <v>0</v>
      </c>
      <c r="EO24" s="283">
        <f>IF(AND(Stamoplysninger!$B$26="Weekendtimer og weekendtillæg udbetales.",I24="X"),K24*1.5,0)</f>
        <v>0</v>
      </c>
      <c r="EP24" s="251">
        <f>IF(AND(AND(Stamoplysninger!$B$26="Weekendtimer og weekendtillæg udbetales.",I24="X",S24="X")),V24*1.5,0)</f>
        <v>0</v>
      </c>
      <c r="EQ24" s="674">
        <f>IF(AND(AND(Stamoplysninger!$B$26="Weekendtimer og weekendtillæg udbetales.",I24="X",C24="ikke relevant")),K24*1.5,0)</f>
        <v>0</v>
      </c>
      <c r="ER24" s="675">
        <f>IF(AND(AND(AND(Stamoplysninger!$B$26="Weekendtimer og weekendtillæg udbetales.",I24="X",C24="ikke relevant",S24="X"))),(V24*1.5),0)</f>
        <v>0</v>
      </c>
      <c r="ES24" s="283">
        <f>IF(AND(Stamoplysninger!$B$26="Der er indgået lokalaftale omkring weekendtimer.(Kræver aftale med TR/FSL) Weekendtillæg afspadseres.",I24="X"),K24*0.5,0)</f>
        <v>0</v>
      </c>
      <c r="ET24" s="251">
        <f>IF(AND(AND(Stamoplysninger!$B$26="Der er indgået lokalaftale omkring weekendtimer.(Kræver aftale med TR/FSL) Weekendtillæg afspadseres.",I24="X",S24="X")),V24*0.5,0)</f>
        <v>0</v>
      </c>
      <c r="EU24" s="674">
        <f>IF(AND(AND(Stamoplysninger!$B$26="Der er indgået lokalaftale omkring weekendtimer.(Kræver aftale med TR/FSL) Weekendtillæg afspadseres.",I24="X",C24="ikke relevant")),K24*0.5,0)</f>
        <v>0</v>
      </c>
      <c r="EV24" s="675">
        <f>IF(AND(AND(AND(Stamoplysninger!$B$26="Der er indgået lokalaftale omkring weekendtimer.(Kræver aftale med TR/FSL) Weekendtillæg afspadseres.",I24="X",C24="ikke relevant",S24="X"))),(V24*0.5),0)</f>
        <v>0</v>
      </c>
      <c r="EW24" s="283">
        <f>IF(AND(Stamoplysninger!$B$26="Der er indgået lokalaftale omkring weekendtimer(Kræver aftale med TR/FSL). Weekendtillæg udbetales.",I24="X"),K24*0.5,0)</f>
        <v>0</v>
      </c>
      <c r="EX24" s="251">
        <f>IF(AND(AND(Stamoplysninger!$B$26="Der er indgået lokalaftale omkring weekendtimer(Kræver aftale med TR/FSL). Weekendtillæg udbetales.",I24="X",S24="X")),V24*0.5,0)</f>
        <v>0</v>
      </c>
      <c r="EY24" s="674">
        <f>IF(AND(AND(Stamoplysninger!$B$26="Der er indgået lokalaftale omkring weekendtimer(Kræver aftale med TR/FSL). Weekendtillæg udbetales.",I24="X",C24="ikke relevant")),K24*0.5,0)</f>
        <v>0</v>
      </c>
      <c r="EZ24" s="675">
        <f>IF(AND(AND(AND(Stamoplysninger!$B$26="Der er indgået lokalaftale omkring weekendtimer(Kræver aftale med TR/FSL). Weekendtillæg udbetales.",I24="X",C24="ikke relevant",S24="X"))),(V24*0.5),0)</f>
        <v>0</v>
      </c>
      <c r="FA24" s="283">
        <f>IF(AND(Stamoplysninger!$B$26="Der er indgået lokalaftale omkring weekendtillæg(Kræver aftale med TR/FSL). Weekendtimerne afspadseres.",I24="X"),K24,0)</f>
        <v>0</v>
      </c>
      <c r="FB24" s="251">
        <f>IF(AND(AND(Stamoplysninger!$B$26="Der er indgået lokalaftale omkring weekendtillæg(Kræver aftale med TR/FSL). Weekendtimerne afspadseres.",I24="X",S24="X")),V24,0)</f>
        <v>0</v>
      </c>
      <c r="FC24" s="674">
        <f>IF(AND(AND(Stamoplysninger!$B$26="Der er indgået lokalaftale omkring weekendtillæg(Kræver aftale med TR/FSL). Weekendtimerne afspadseres..",I24="X",C24="ikke relevant")),K24,0)</f>
        <v>0</v>
      </c>
      <c r="FD24" s="675">
        <f>IF(AND(AND(AND(Stamoplysninger!$B$26="Der er indgået lokalaftale omkring weekendtillæg(Kræver aftale med TR/FSL). Weekendtimerne afspadseres.",I24="X",C24="ikke relevant",S24="X"))),(V24),0)</f>
        <v>0</v>
      </c>
      <c r="FE24" s="283">
        <f>IF(AND(Stamoplysninger!$B$26="Der er indgået lokalaftale omkring weekendtillæg(Kræver aftale med TR/FSL). Weekendtimerne udbetales.",I24="X"),K24,0)</f>
        <v>0</v>
      </c>
      <c r="FF24" s="251">
        <f>IF(AND(AND(Stamoplysninger!$B$26="Der er indgået lokalaftale omkring weekendtillæg(Kræver aftale med TR/FSL). Weekendtimerne udbetales.",I24="X",S24="X")),V24,0)</f>
        <v>0</v>
      </c>
      <c r="FG24" s="674">
        <f>IF(AND(AND(Stamoplysninger!$B$26="Der er indgået lokalaftale omkring weekendtillæg(Kræver aftale med TR/FSL). Weekendtimerne udbetales.",I24="X",C24="ikke relevant")),K24,0)</f>
        <v>0</v>
      </c>
      <c r="FH24" s="675">
        <f>IF(AND(AND(AND(Stamoplysninger!$B$26="Der er indgået lokalaftale omkring weekendtillæg(Kræver aftale med TR/FSL). Weekendtimerne udbetales.",I24="X",C24="ikke relevant",S24="X"))),(V24),0)</f>
        <v>0</v>
      </c>
      <c r="FI24" s="283">
        <f>IF(AND(Stamoplysninger!$B$26="Weekendtimer og weekendtillæg afspadseres.",I24="X"),K24,0)</f>
        <v>0</v>
      </c>
      <c r="FJ24" s="251">
        <f>IF(AND(Stamoplysninger!$B$26="Weekendtimer og weekendtillæg afspadseres.",Y24="X"),(AA24+AL24)/2,0)</f>
        <v>0</v>
      </c>
      <c r="FK24" s="674">
        <f>IF(AND(AND(Stamoplysninger!$B$26="Weekendtimer og weekendtillæg afspadseres.",I24="X",C24="ikke relevant")),K24,0)</f>
        <v>0</v>
      </c>
      <c r="FL24" s="675">
        <f>IF(AND(AND(Stamoplysninger!$B$26="Weekendtimer og weekendtillæg afspadseres.",Y24="X",S24="ikke relevant")),(AA24+AL24)/2,0)</f>
        <v>0</v>
      </c>
      <c r="FM24" s="283">
        <f>IF(AND(Stamoplysninger!$B$26="Der er indgået lokalaftale omkring weekendtillæg(Kræver aftale med TR/FSL). Weekendtimerne afspadseres.",I24="X"),K24,0)</f>
        <v>0</v>
      </c>
      <c r="FN24" s="674">
        <f>IF(AND(AND(Stamoplysninger!$B$26="Der er indgået lokalaftale omkring weekendtillæg(Kræver aftale med TR/FSL). Weekendtimerne afspadseres.",I24="X",C24="ikke relevant")),K24,0)</f>
        <v>0</v>
      </c>
      <c r="FO24" s="283">
        <f>IF(AND(Stamoplysninger!$B$26="Weekendtimer og weekendtillæg udbetales.",I24="X"),K24,0)</f>
        <v>0</v>
      </c>
      <c r="FP24" s="251">
        <f>IF(AND(Stamoplysninger!$B$26="Weekendtimer og weekendtillæg udbetales.",AA24="X"),(AC24+AN24)/2,0)</f>
        <v>0</v>
      </c>
      <c r="FQ24" s="674">
        <f>IF(AND(AND(Stamoplysninger!$B$26="Weekendtimer og weekendtillæg udbetales.",I24="X",C24="ikke relevant")),K24,0)</f>
        <v>0</v>
      </c>
      <c r="FR24" s="688">
        <f>IF(AND(AND(Stamoplysninger!$B$26="Weekendtimer og weekendtillæg udbetales.",AA24="X",U24="ikke relevant")),(AC24+AN24)/2,0)</f>
        <v>0</v>
      </c>
      <c r="FS24" s="283">
        <f t="shared" si="15"/>
        <v>0</v>
      </c>
      <c r="FT24" s="658">
        <f t="shared" si="16"/>
        <v>0</v>
      </c>
      <c r="FU24">
        <f t="shared" si="17"/>
        <v>0</v>
      </c>
      <c r="FV24" s="283">
        <f>IF(AND(Stamoplysninger!$B$26="Der er indgået lokalaftale omkring weekendtimer.(Kræver aftale med TR/FSL) Weekendtillæg afspadseres.",I24="X"),K24,0)</f>
        <v>0</v>
      </c>
      <c r="FW24" s="674">
        <f>IF(AND(AND(Stamoplysninger!$B$26="Der er indgået lokalaftale omkring weekendtimer.(Kræver aftale med TR/FSL) Weekendtillæg afspadseres.",I24="X",C24="ikke relevant")),K24,0)</f>
        <v>0</v>
      </c>
      <c r="FX24" s="283">
        <f>IF(AND(Stamoplysninger!$B$26="Der er indgået lokalaftale omkring weekendtimer(Kræver aftale med TR/FSL). Weekendtillæg udbetales.",I24="X"),K24,0)</f>
        <v>0</v>
      </c>
      <c r="FY24" s="674">
        <f>IF(AND(AND(Stamoplysninger!$B$26="Der er indgået lokalaftale omkring weekendtimer(Kræver aftale med TR/FSL). Weekendtillæg udbetales.",I24="X",C24="ikke relevant")),K24,0)</f>
        <v>0</v>
      </c>
      <c r="FZ24" s="283">
        <f>IF(AND(Stamoplysninger!$B$26="Der er indgået lokalaftale omkring weekendtillæg(Kræver aftale med TR/FSL). Weekendtimerne udbetales.",I24="X"),K24,0)</f>
        <v>0</v>
      </c>
      <c r="GA24" s="674">
        <f>IF(AND(AND(Stamoplysninger!$B$26="Der er indgået lokalaftale omkring weekendtillæg(Kræver aftale med TR/FSL). Weekendtimerne udbetales.",I24="X",C24="ikke relevant")),K24,0)</f>
        <v>0</v>
      </c>
      <c r="GB24" s="283">
        <f>IF(AND(Stamoplysninger!$B$26="Der er indgået lokalaftale omkring weekendtimer og weekendtillæg.(Kræver aftale med TR/FSL).",I24="X"),K24,0)</f>
        <v>0</v>
      </c>
      <c r="GC24" s="674">
        <f>IF(AND(AND(Stamoplysninger!$B$26="Der er indgået lokalaftale omkring weekendtimer og weekendtillæg.(Kræver aftale med TR/FSL).",I24="X",C24="ikke relevant")),K24,0)</f>
        <v>0</v>
      </c>
    </row>
    <row r="25" spans="1:185">
      <c r="A25" s="245">
        <f t="shared" si="18"/>
        <v>17</v>
      </c>
      <c r="B25" s="128" t="str">
        <f t="shared" si="0"/>
        <v>to</v>
      </c>
      <c r="C25" s="129" t="s">
        <v>210</v>
      </c>
      <c r="D25" s="130" t="str">
        <f t="shared" si="1"/>
        <v/>
      </c>
      <c r="E25" s="917" t="s">
        <v>140</v>
      </c>
      <c r="F25" s="918"/>
      <c r="G25" s="919"/>
      <c r="H25" s="298"/>
      <c r="I25" s="527"/>
      <c r="J25" s="413"/>
      <c r="K25" s="380"/>
      <c r="L25" s="380"/>
      <c r="M25" s="380"/>
      <c r="N25" s="318">
        <f t="shared" si="19"/>
        <v>0</v>
      </c>
      <c r="O25" s="318">
        <f t="shared" si="20"/>
        <v>0</v>
      </c>
      <c r="P25" s="318">
        <f>IF(Stamoplysninger!$H$29="JA",Oktober!DG25,CX25)</f>
        <v>0</v>
      </c>
      <c r="Q25" s="318">
        <f t="shared" si="21"/>
        <v>0</v>
      </c>
      <c r="R25" s="319"/>
      <c r="S25" s="324"/>
      <c r="T25" s="325"/>
      <c r="U25" s="325"/>
      <c r="V25" s="435"/>
      <c r="W25" s="412"/>
      <c r="X25" s="642"/>
      <c r="Y25">
        <f t="shared" si="22"/>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9">
        <f t="shared" si="8"/>
        <v>0</v>
      </c>
      <c r="BC25" s="1">
        <f t="shared" si="24"/>
        <v>0</v>
      </c>
      <c r="BD25" s="1">
        <f t="shared" si="9"/>
        <v>0</v>
      </c>
      <c r="BE25" s="1">
        <f t="shared" si="10"/>
        <v>0</v>
      </c>
      <c r="BF25" s="1">
        <f t="shared" si="11"/>
        <v>0</v>
      </c>
      <c r="BG25" s="210" t="str">
        <f>IF(AND(C25="Skema 1",B25="ma"),Skemaoplysninger!$E$30,"")</f>
        <v/>
      </c>
      <c r="BH25" s="210" t="str">
        <f>IF(AND(C25="Skema 1",B25="ti"),Skemaoplysninger!$G$30,"")</f>
        <v/>
      </c>
      <c r="BI25" s="210" t="str">
        <f>IF(AND(C25="Skema 1",B25="on"),Skemaoplysninger!$I$30,"")</f>
        <v/>
      </c>
      <c r="BJ25" s="210" t="str">
        <f>IF(AND(C25="Skema 1",B25="to"),Skemaoplysninger!$K$30,"")</f>
        <v/>
      </c>
      <c r="BK25" s="210" t="str">
        <f>IF(AND(C25="Skema 1",B25="fr"),Skemaoplysninger!$M$30,"")</f>
        <v/>
      </c>
      <c r="BL25" s="210" t="str">
        <f>IF(AND(C25="Skema 2",B25="ma"),Skemaoplysninger!$S$30,"")</f>
        <v/>
      </c>
      <c r="BM25" s="210" t="str">
        <f>IF(AND(C25="Skema 2",B25="ti"),Skemaoplysninger!$U$30,"")</f>
        <v/>
      </c>
      <c r="BN25" s="210" t="str">
        <f>IF(AND(C25="Skema 2",B25="on"),Skemaoplysninger!$W$30,"")</f>
        <v/>
      </c>
      <c r="BO25" s="210" t="str">
        <f>IF(AND(C25="Skema 2",B25="to"),Skemaoplysninger!$Y$30,"")</f>
        <v/>
      </c>
      <c r="BP25" s="210" t="str">
        <f>IF(AND(C25="Skema 2",B25="fr"),Skemaoplysninger!$AA$30,"")</f>
        <v/>
      </c>
      <c r="BQ25" s="210" t="str">
        <f>IF(AND(C25="Skema 3",B25="ma"),Skemaoplysninger!$AG$30,"")</f>
        <v/>
      </c>
      <c r="BR25" s="210" t="str">
        <f>IF(AND(C25="Skema 3",B25="ti"),Skemaoplysninger!$AI$30,"")</f>
        <v/>
      </c>
      <c r="BS25" s="210" t="str">
        <f>IF(AND(C25="Skema 3",B25="on"),Skemaoplysninger!$AK$30,"")</f>
        <v/>
      </c>
      <c r="BT25" s="210" t="str">
        <f>IF(AND(C25="Skema 3",B25="to"),Skemaoplysninger!$AM$30,"")</f>
        <v/>
      </c>
      <c r="BU25" s="210" t="str">
        <f>IF(AND(C25="Skema 3",B25="fr"),Skemaoplysninger!$AO$30,"")</f>
        <v/>
      </c>
      <c r="BV25" s="210" t="str">
        <f>IF(AND(C25="Skema 4",B25="ma"),Skemaoplysninger!$AU$30,"")</f>
        <v/>
      </c>
      <c r="BW25" s="210" t="str">
        <f>IF(AND(C25="Skema 4",B25="ti"),Skemaoplysninger!$AW$30,"")</f>
        <v/>
      </c>
      <c r="BX25" s="210" t="str">
        <f>IF(AND(C25="Skema 4",B25="on"),Skemaoplysninger!$AY$30,"")</f>
        <v/>
      </c>
      <c r="BY25" s="210" t="str">
        <f>IF(AND(C25="Skema 4",B25="to"),Skemaoplysninger!$BA$30,"")</f>
        <v/>
      </c>
      <c r="BZ25" s="210" t="str">
        <f>IF(AND(C25="Skema 4",B25="fr"),Skemaoplysninger!$BC$30,"")</f>
        <v/>
      </c>
      <c r="CA25" s="1">
        <f t="shared" si="25"/>
        <v>0</v>
      </c>
      <c r="CB25" s="1">
        <f t="shared" si="12"/>
        <v>0</v>
      </c>
      <c r="CC25" s="1">
        <f t="shared" si="13"/>
        <v>0</v>
      </c>
      <c r="CD25" s="210" t="str">
        <f>IF(AND(C25="Skema 1",B25="ma"),Skemaoplysninger!$E$31,"")</f>
        <v/>
      </c>
      <c r="CE25" s="210" t="str">
        <f>IF(AND(C25="Skema 1",B25="ti"),Skemaoplysninger!$G$31,"")</f>
        <v/>
      </c>
      <c r="CF25" s="210" t="str">
        <f>IF(AND(C25="Skema 1",B25="on"),Skemaoplysninger!$I$31,"")</f>
        <v/>
      </c>
      <c r="CG25" s="210" t="str">
        <f>IF(AND(C25="Skema 1",B25="to"),Skemaoplysninger!$K$31,"")</f>
        <v/>
      </c>
      <c r="CH25" s="210" t="str">
        <f>IF(AND(C25="Skema 1",B25="fr"),Skemaoplysninger!$M$31,"")</f>
        <v/>
      </c>
      <c r="CI25" s="210" t="str">
        <f>IF(AND(C25="Skema 2",B25="ma"),Skemaoplysninger!$S$31,"")</f>
        <v/>
      </c>
      <c r="CJ25" s="210" t="str">
        <f>IF(AND(C25="Skema 2",B25="ti"),Skemaoplysninger!$U$31,"")</f>
        <v/>
      </c>
      <c r="CK25" s="210" t="str">
        <f>IF(AND(C25="Skema 2",B25="on"),Skemaoplysninger!$W$31,"")</f>
        <v/>
      </c>
      <c r="CL25" s="210" t="str">
        <f>IF(AND(C25="Skema 2",B25="to"),Skemaoplysninger!$Y$31,"")</f>
        <v/>
      </c>
      <c r="CM25" s="210" t="str">
        <f>IF(AND(C25="Skema 2",B25="fr"),Skemaoplysninger!$AA$31,"")</f>
        <v/>
      </c>
      <c r="CN25" s="210" t="str">
        <f>IF(AND(C25="Skema 3",B25="ma"),Skemaoplysninger!$AG$31,"")</f>
        <v/>
      </c>
      <c r="CO25" s="210" t="str">
        <f>IF(AND(C25="Skema 3",B25="ti"),Skemaoplysninger!$AI$31,"")</f>
        <v/>
      </c>
      <c r="CP25" s="210" t="str">
        <f>IF(AND(C25="Skema 3",B25="on"),Skemaoplysninger!$AK$31,"")</f>
        <v/>
      </c>
      <c r="CQ25" s="210" t="str">
        <f>IF(AND(C25="Skema 3",B25="to"),Skemaoplysninger!$AM$31,"")</f>
        <v/>
      </c>
      <c r="CR25" s="210" t="str">
        <f>IF(AND(C25="Skema 3",B25="fr"),Skemaoplysninger!$AO$31,"")</f>
        <v/>
      </c>
      <c r="CS25" s="210" t="str">
        <f>IF(AND(C25="Skema 4",B25="ma"),Skemaoplysninger!$AU$31,"")</f>
        <v/>
      </c>
      <c r="CT25" s="210" t="str">
        <f>IF(AND(C25="Skema 4",B25="ti"),Skemaoplysninger!$AW$31,"")</f>
        <v/>
      </c>
      <c r="CU25" s="210" t="str">
        <f>IF(AND(C25="Skema 4",B25="on"),Skemaoplysninger!$AY$31,"")</f>
        <v/>
      </c>
      <c r="CV25" s="210" t="str">
        <f>IF(AND(C25="Skema 4",B25="to"),Skemaoplysninger!$BA$31,"")</f>
        <v/>
      </c>
      <c r="CW25" s="210" t="str">
        <f>IF(AND(C25="Skema 4",B25="fr"),Skemaoplysninger!$BC$31,"")</f>
        <v/>
      </c>
      <c r="CX25" s="249">
        <f>IF(Stamoplysninger!$H$29="NEJ",SUM(CD25:CW25)*24+CB25+CC25,0)</f>
        <v>0</v>
      </c>
      <c r="CY25" s="249">
        <f>IF(C25="Skema 1",Stamoplysninger!$H$30/200,0)</f>
        <v>0</v>
      </c>
      <c r="CZ25" s="249">
        <f>IF(C25="Skema 2",Stamoplysninger!$H$30/200,0)</f>
        <v>0</v>
      </c>
      <c r="DA25" s="249">
        <f>IF(C25="Skema 3",Stamoplysninger!$H$30/200,0)</f>
        <v>0</v>
      </c>
      <c r="DB25" s="249">
        <f>IF(C25="Skema 4",Stamoplysninger!$H$30/200,0)</f>
        <v>0</v>
      </c>
      <c r="DC25" s="249">
        <f>IF(C25="fagdag",Stamoplysninger!$H$30/200,0)</f>
        <v>0</v>
      </c>
      <c r="DD25" s="249">
        <f>IF(C25="emnedag",Stamoplysninger!$H$30/200,0)</f>
        <v>0</v>
      </c>
      <c r="DE25" s="249">
        <f>IF(C25="lejrskole",Stamoplysninger!$H$30/200,0)</f>
        <v>0</v>
      </c>
      <c r="DF25" s="249">
        <f>IF(C25="ekskursion",Stamoplysninger!$H$30/200,0)</f>
        <v>0</v>
      </c>
      <c r="DG25" s="249">
        <f t="shared" si="26"/>
        <v>0</v>
      </c>
      <c r="DH25" t="str">
        <f t="shared" si="27"/>
        <v/>
      </c>
      <c r="DI25" t="str">
        <f t="shared" si="28"/>
        <v>Efterårsferie</v>
      </c>
      <c r="DJ25" t="str">
        <f t="shared" si="29"/>
        <v/>
      </c>
      <c r="DK25" t="str">
        <f t="shared" si="14"/>
        <v/>
      </c>
      <c r="DL25" t="str">
        <f t="shared" si="14"/>
        <v>Efterårsferie</v>
      </c>
      <c r="DM25" t="str">
        <f t="shared" si="14"/>
        <v/>
      </c>
      <c r="DN25" t="str">
        <f t="shared" si="30"/>
        <v>Efterårsferie</v>
      </c>
      <c r="DO25" s="652">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71">
        <f>IF(AND(Stamoplysninger!$B$22="Ulempetillæg udbetales med 25% af nettotimelønnen.",C25="ikke relevant"),(R25)/4,0)</f>
        <v>0</v>
      </c>
      <c r="DT25" s="671">
        <f>IF(AND(AND(Stamoplysninger!$B$22="Ulempetillæg udbetales med 25% af nettotimelønnen.",I25="X",C25="Ikke relevant")),K25/4,0)</f>
        <v>0</v>
      </c>
      <c r="DU25" s="671">
        <f>IF(AND(AND(Stamoplysninger!$B$22="Ulempetillæg udbetales med 25% af nettotimelønnen.",C25="ikke relevant",U25="X")),(X25/4),0)</f>
        <v>0</v>
      </c>
      <c r="DV25" s="672">
        <f>IF(AND(AND(AND(Stamoplysninger!$B$22="Ulempetillæg udbetales med 25% af nettotimelønnen.",I25="X",C25="Ikke relevant",S25="X"))),V25/4,0)</f>
        <v>0</v>
      </c>
      <c r="DW25" s="652"/>
      <c r="DZ25" s="671"/>
      <c r="EA25" s="671"/>
      <c r="EB25" s="672"/>
      <c r="EC25" s="652">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71">
        <f>IF(AND(Stamoplysninger!$B$22="Ulempetillæg afspadseres med 25%(Kræver en aftale imellem ledelsen og den ansatte)",C25="ikke relevant"),(R25)/4,0)</f>
        <v>0</v>
      </c>
      <c r="EH25" s="671">
        <f>IF(AND(AND(Stamoplysninger!$B$22="Ulempetillæg afspadseres med 25%(Kræver en aftale imellem ledelsen og den ansatte)",I25="X",C25="Ikke relevant")),K25/4,0)</f>
        <v>0</v>
      </c>
      <c r="EI25" s="671">
        <f>IF(AND(AND(Stamoplysninger!$B$22="Ulempetillæg afspadseres med 25%(Kræver en aftale imellem ledelsen og den ansatte)",U25="X",C25="Ikke relevant")),X25/4,0)</f>
        <v>0</v>
      </c>
      <c r="EJ25" s="671">
        <f>IF(AND(AND(AND(Stamoplysninger!$B$22="Ulempetillæg afspadseres med 25%(Kræver en aftale imellem ledelsen og den ansatte)",I25="X",C25="Ikke relevant",S25="X"))),V25/4,0)</f>
        <v>0</v>
      </c>
      <c r="EK25" s="283">
        <f>IF(AND(Stamoplysninger!$B$26="Weekendtimer og weekendtillæg afspadseres.",I25="X"),K25*1.5,0)</f>
        <v>0</v>
      </c>
      <c r="EL25" s="251">
        <f>IF(AND(AND(Stamoplysninger!$B$26="Weekendtimer og weekendtillæg afspadseres.",I25="X",S25="X")),V25*1.5,0)</f>
        <v>0</v>
      </c>
      <c r="EM25" s="674">
        <f>IF(AND(AND(Stamoplysninger!$B$26="Weekendtimer og weekendtillæg afspadseres.",I25="X",C25="ikke relevant")),K25*1.5,0)</f>
        <v>0</v>
      </c>
      <c r="EN25" s="675">
        <f>IF(AND(AND(AND(Stamoplysninger!$B$26="Weekendtimer og weekendtillæg afspadseres.",I25="X",C25="ikke relevant",S25="X"))),(V25*1.5),0)</f>
        <v>0</v>
      </c>
      <c r="EO25" s="283">
        <f>IF(AND(Stamoplysninger!$B$26="Weekendtimer og weekendtillæg udbetales.",I25="X"),K25*1.5,0)</f>
        <v>0</v>
      </c>
      <c r="EP25" s="251">
        <f>IF(AND(AND(Stamoplysninger!$B$26="Weekendtimer og weekendtillæg udbetales.",I25="X",S25="X")),V25*1.5,0)</f>
        <v>0</v>
      </c>
      <c r="EQ25" s="674">
        <f>IF(AND(AND(Stamoplysninger!$B$26="Weekendtimer og weekendtillæg udbetales.",I25="X",C25="ikke relevant")),K25*1.5,0)</f>
        <v>0</v>
      </c>
      <c r="ER25" s="675">
        <f>IF(AND(AND(AND(Stamoplysninger!$B$26="Weekendtimer og weekendtillæg udbetales.",I25="X",C25="ikke relevant",S25="X"))),(V25*1.5),0)</f>
        <v>0</v>
      </c>
      <c r="ES25" s="283">
        <f>IF(AND(Stamoplysninger!$B$26="Der er indgået lokalaftale omkring weekendtimer.(Kræver aftale med TR/FSL) Weekendtillæg afspadseres.",I25="X"),K25*0.5,0)</f>
        <v>0</v>
      </c>
      <c r="ET25" s="251">
        <f>IF(AND(AND(Stamoplysninger!$B$26="Der er indgået lokalaftale omkring weekendtimer.(Kræver aftale med TR/FSL) Weekendtillæg afspadseres.",I25="X",S25="X")),V25*0.5,0)</f>
        <v>0</v>
      </c>
      <c r="EU25" s="674">
        <f>IF(AND(AND(Stamoplysninger!$B$26="Der er indgået lokalaftale omkring weekendtimer.(Kræver aftale med TR/FSL) Weekendtillæg afspadseres.",I25="X",C25="ikke relevant")),K25*0.5,0)</f>
        <v>0</v>
      </c>
      <c r="EV25" s="675">
        <f>IF(AND(AND(AND(Stamoplysninger!$B$26="Der er indgået lokalaftale omkring weekendtimer.(Kræver aftale med TR/FSL) Weekendtillæg afspadseres.",I25="X",C25="ikke relevant",S25="X"))),(V25*0.5),0)</f>
        <v>0</v>
      </c>
      <c r="EW25" s="283">
        <f>IF(AND(Stamoplysninger!$B$26="Der er indgået lokalaftale omkring weekendtimer(Kræver aftale med TR/FSL). Weekendtillæg udbetales.",I25="X"),K25*0.5,0)</f>
        <v>0</v>
      </c>
      <c r="EX25" s="251">
        <f>IF(AND(AND(Stamoplysninger!$B$26="Der er indgået lokalaftale omkring weekendtimer(Kræver aftale med TR/FSL). Weekendtillæg udbetales.",I25="X",S25="X")),V25*0.5,0)</f>
        <v>0</v>
      </c>
      <c r="EY25" s="674">
        <f>IF(AND(AND(Stamoplysninger!$B$26="Der er indgået lokalaftale omkring weekendtimer(Kræver aftale med TR/FSL). Weekendtillæg udbetales.",I25="X",C25="ikke relevant")),K25*0.5,0)</f>
        <v>0</v>
      </c>
      <c r="EZ25" s="675">
        <f>IF(AND(AND(AND(Stamoplysninger!$B$26="Der er indgået lokalaftale omkring weekendtimer(Kræver aftale med TR/FSL). Weekendtillæg udbetales.",I25="X",C25="ikke relevant",S25="X"))),(V25*0.5),0)</f>
        <v>0</v>
      </c>
      <c r="FA25" s="283">
        <f>IF(AND(Stamoplysninger!$B$26="Der er indgået lokalaftale omkring weekendtillæg(Kræver aftale med TR/FSL). Weekendtimerne afspadseres.",I25="X"),K25,0)</f>
        <v>0</v>
      </c>
      <c r="FB25" s="251">
        <f>IF(AND(AND(Stamoplysninger!$B$26="Der er indgået lokalaftale omkring weekendtillæg(Kræver aftale med TR/FSL). Weekendtimerne afspadseres.",I25="X",S25="X")),V25,0)</f>
        <v>0</v>
      </c>
      <c r="FC25" s="674">
        <f>IF(AND(AND(Stamoplysninger!$B$26="Der er indgået lokalaftale omkring weekendtillæg(Kræver aftale med TR/FSL). Weekendtimerne afspadseres..",I25="X",C25="ikke relevant")),K25,0)</f>
        <v>0</v>
      </c>
      <c r="FD25" s="675">
        <f>IF(AND(AND(AND(Stamoplysninger!$B$26="Der er indgået lokalaftale omkring weekendtillæg(Kræver aftale med TR/FSL). Weekendtimerne afspadseres.",I25="X",C25="ikke relevant",S25="X"))),(V25),0)</f>
        <v>0</v>
      </c>
      <c r="FE25" s="283">
        <f>IF(AND(Stamoplysninger!$B$26="Der er indgået lokalaftale omkring weekendtillæg(Kræver aftale med TR/FSL). Weekendtimerne udbetales.",I25="X"),K25,0)</f>
        <v>0</v>
      </c>
      <c r="FF25" s="251">
        <f>IF(AND(AND(Stamoplysninger!$B$26="Der er indgået lokalaftale omkring weekendtillæg(Kræver aftale med TR/FSL). Weekendtimerne udbetales.",I25="X",S25="X")),V25,0)</f>
        <v>0</v>
      </c>
      <c r="FG25" s="674">
        <f>IF(AND(AND(Stamoplysninger!$B$26="Der er indgået lokalaftale omkring weekendtillæg(Kræver aftale med TR/FSL). Weekendtimerne udbetales.",I25="X",C25="ikke relevant")),K25,0)</f>
        <v>0</v>
      </c>
      <c r="FH25" s="675">
        <f>IF(AND(AND(AND(Stamoplysninger!$B$26="Der er indgået lokalaftale omkring weekendtillæg(Kræver aftale med TR/FSL). Weekendtimerne udbetales.",I25="X",C25="ikke relevant",S25="X"))),(V25),0)</f>
        <v>0</v>
      </c>
      <c r="FI25" s="283">
        <f>IF(AND(Stamoplysninger!$B$26="Weekendtimer og weekendtillæg afspadseres.",I25="X"),K25,0)</f>
        <v>0</v>
      </c>
      <c r="FJ25" s="251">
        <f>IF(AND(Stamoplysninger!$B$26="Weekendtimer og weekendtillæg afspadseres.",Y25="X"),(AA25+AL25)/2,0)</f>
        <v>0</v>
      </c>
      <c r="FK25" s="674">
        <f>IF(AND(AND(Stamoplysninger!$B$26="Weekendtimer og weekendtillæg afspadseres.",I25="X",C25="ikke relevant")),K25,0)</f>
        <v>0</v>
      </c>
      <c r="FL25" s="675">
        <f>IF(AND(AND(Stamoplysninger!$B$26="Weekendtimer og weekendtillæg afspadseres.",Y25="X",S25="ikke relevant")),(AA25+AL25)/2,0)</f>
        <v>0</v>
      </c>
      <c r="FM25" s="283">
        <f>IF(AND(Stamoplysninger!$B$26="Der er indgået lokalaftale omkring weekendtillæg(Kræver aftale med TR/FSL). Weekendtimerne afspadseres.",I25="X"),K25,0)</f>
        <v>0</v>
      </c>
      <c r="FN25" s="674">
        <f>IF(AND(AND(Stamoplysninger!$B$26="Der er indgået lokalaftale omkring weekendtillæg(Kræver aftale med TR/FSL). Weekendtimerne afspadseres.",I25="X",C25="ikke relevant")),K25,0)</f>
        <v>0</v>
      </c>
      <c r="FO25" s="283">
        <f>IF(AND(Stamoplysninger!$B$26="Weekendtimer og weekendtillæg udbetales.",I25="X"),K25,0)</f>
        <v>0</v>
      </c>
      <c r="FP25" s="251">
        <f>IF(AND(Stamoplysninger!$B$26="Weekendtimer og weekendtillæg udbetales.",AA25="X"),(AC25+AN25)/2,0)</f>
        <v>0</v>
      </c>
      <c r="FQ25" s="674">
        <f>IF(AND(AND(Stamoplysninger!$B$26="Weekendtimer og weekendtillæg udbetales.",I25="X",C25="ikke relevant")),K25,0)</f>
        <v>0</v>
      </c>
      <c r="FR25" s="688">
        <f>IF(AND(AND(Stamoplysninger!$B$26="Weekendtimer og weekendtillæg udbetales.",AA25="X",U25="ikke relevant")),(AC25+AN25)/2,0)</f>
        <v>0</v>
      </c>
      <c r="FS25" s="283">
        <f t="shared" si="15"/>
        <v>0</v>
      </c>
      <c r="FT25" s="658">
        <f t="shared" si="16"/>
        <v>0</v>
      </c>
      <c r="FU25">
        <f t="shared" si="17"/>
        <v>0</v>
      </c>
      <c r="FV25" s="283">
        <f>IF(AND(Stamoplysninger!$B$26="Der er indgået lokalaftale omkring weekendtimer.(Kræver aftale med TR/FSL) Weekendtillæg afspadseres.",I25="X"),K25,0)</f>
        <v>0</v>
      </c>
      <c r="FW25" s="674">
        <f>IF(AND(AND(Stamoplysninger!$B$26="Der er indgået lokalaftale omkring weekendtimer.(Kræver aftale med TR/FSL) Weekendtillæg afspadseres.",I25="X",C25="ikke relevant")),K25,0)</f>
        <v>0</v>
      </c>
      <c r="FX25" s="283">
        <f>IF(AND(Stamoplysninger!$B$26="Der er indgået lokalaftale omkring weekendtimer(Kræver aftale med TR/FSL). Weekendtillæg udbetales.",I25="X"),K25,0)</f>
        <v>0</v>
      </c>
      <c r="FY25" s="674">
        <f>IF(AND(AND(Stamoplysninger!$B$26="Der er indgået lokalaftale omkring weekendtimer(Kræver aftale med TR/FSL). Weekendtillæg udbetales.",I25="X",C25="ikke relevant")),K25,0)</f>
        <v>0</v>
      </c>
      <c r="FZ25" s="283">
        <f>IF(AND(Stamoplysninger!$B$26="Der er indgået lokalaftale omkring weekendtillæg(Kræver aftale med TR/FSL). Weekendtimerne udbetales.",I25="X"),K25,0)</f>
        <v>0</v>
      </c>
      <c r="GA25" s="674">
        <f>IF(AND(AND(Stamoplysninger!$B$26="Der er indgået lokalaftale omkring weekendtillæg(Kræver aftale med TR/FSL). Weekendtimerne udbetales.",I25="X",C25="ikke relevant")),K25,0)</f>
        <v>0</v>
      </c>
      <c r="GB25" s="283">
        <f>IF(AND(Stamoplysninger!$B$26="Der er indgået lokalaftale omkring weekendtimer og weekendtillæg.(Kræver aftale med TR/FSL).",I25="X"),K25,0)</f>
        <v>0</v>
      </c>
      <c r="GC25" s="674">
        <f>IF(AND(AND(Stamoplysninger!$B$26="Der er indgået lokalaftale omkring weekendtimer og weekendtillæg.(Kræver aftale med TR/FSL).",I25="X",C25="ikke relevant")),K25,0)</f>
        <v>0</v>
      </c>
    </row>
    <row r="26" spans="1:185">
      <c r="A26" s="245">
        <f t="shared" si="18"/>
        <v>18</v>
      </c>
      <c r="B26" s="128" t="str">
        <f t="shared" si="0"/>
        <v>fr</v>
      </c>
      <c r="C26" s="129" t="s">
        <v>210</v>
      </c>
      <c r="D26" s="130" t="str">
        <f t="shared" si="1"/>
        <v/>
      </c>
      <c r="E26" s="917" t="s">
        <v>140</v>
      </c>
      <c r="F26" s="918"/>
      <c r="G26" s="919"/>
      <c r="H26" s="298"/>
      <c r="I26" s="527"/>
      <c r="J26" s="413"/>
      <c r="K26" s="380"/>
      <c r="L26" s="380"/>
      <c r="M26" s="380"/>
      <c r="N26" s="318">
        <f t="shared" si="19"/>
        <v>0</v>
      </c>
      <c r="O26" s="318">
        <f t="shared" si="20"/>
        <v>0</v>
      </c>
      <c r="P26" s="318">
        <f>IF(Stamoplysninger!$H$29="JA",Oktober!DG26,CX26)</f>
        <v>0</v>
      </c>
      <c r="Q26" s="318">
        <f t="shared" si="21"/>
        <v>0</v>
      </c>
      <c r="R26" s="319"/>
      <c r="S26" s="324"/>
      <c r="T26" s="325"/>
      <c r="U26" s="325"/>
      <c r="V26" s="435"/>
      <c r="W26" s="412"/>
      <c r="X26" s="642"/>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9">
        <f t="shared" si="8"/>
        <v>0</v>
      </c>
      <c r="BC26" s="1">
        <f t="shared" si="24"/>
        <v>0</v>
      </c>
      <c r="BD26" s="1">
        <f t="shared" si="9"/>
        <v>0</v>
      </c>
      <c r="BE26" s="1">
        <f t="shared" si="10"/>
        <v>0</v>
      </c>
      <c r="BF26" s="1">
        <f t="shared" si="11"/>
        <v>0</v>
      </c>
      <c r="BG26" s="210" t="str">
        <f>IF(AND(C26="Skema 1",B26="ma"),Skemaoplysninger!$E$30,"")</f>
        <v/>
      </c>
      <c r="BH26" s="210" t="str">
        <f>IF(AND(C26="Skema 1",B26="ti"),Skemaoplysninger!$G$30,"")</f>
        <v/>
      </c>
      <c r="BI26" s="210" t="str">
        <f>IF(AND(C26="Skema 1",B26="on"),Skemaoplysninger!$I$30,"")</f>
        <v/>
      </c>
      <c r="BJ26" s="210" t="str">
        <f>IF(AND(C26="Skema 1",B26="to"),Skemaoplysninger!$K$30,"")</f>
        <v/>
      </c>
      <c r="BK26" s="210" t="str">
        <f>IF(AND(C26="Skema 1",B26="fr"),Skemaoplysninger!$M$30,"")</f>
        <v/>
      </c>
      <c r="BL26" s="210" t="str">
        <f>IF(AND(C26="Skema 2",B26="ma"),Skemaoplysninger!$S$30,"")</f>
        <v/>
      </c>
      <c r="BM26" s="210" t="str">
        <f>IF(AND(C26="Skema 2",B26="ti"),Skemaoplysninger!$U$30,"")</f>
        <v/>
      </c>
      <c r="BN26" s="210" t="str">
        <f>IF(AND(C26="Skema 2",B26="on"),Skemaoplysninger!$W$30,"")</f>
        <v/>
      </c>
      <c r="BO26" s="210" t="str">
        <f>IF(AND(C26="Skema 2",B26="to"),Skemaoplysninger!$Y$30,"")</f>
        <v/>
      </c>
      <c r="BP26" s="210" t="str">
        <f>IF(AND(C26="Skema 2",B26="fr"),Skemaoplysninger!$AA$30,"")</f>
        <v/>
      </c>
      <c r="BQ26" s="210" t="str">
        <f>IF(AND(C26="Skema 3",B26="ma"),Skemaoplysninger!$AG$30,"")</f>
        <v/>
      </c>
      <c r="BR26" s="210" t="str">
        <f>IF(AND(C26="Skema 3",B26="ti"),Skemaoplysninger!$AI$30,"")</f>
        <v/>
      </c>
      <c r="BS26" s="210" t="str">
        <f>IF(AND(C26="Skema 3",B26="on"),Skemaoplysninger!$AK$30,"")</f>
        <v/>
      </c>
      <c r="BT26" s="210" t="str">
        <f>IF(AND(C26="Skema 3",B26="to"),Skemaoplysninger!$AM$30,"")</f>
        <v/>
      </c>
      <c r="BU26" s="210" t="str">
        <f>IF(AND(C26="Skema 3",B26="fr"),Skemaoplysninger!$AO$30,"")</f>
        <v/>
      </c>
      <c r="BV26" s="210" t="str">
        <f>IF(AND(C26="Skema 4",B26="ma"),Skemaoplysninger!$AU$30,"")</f>
        <v/>
      </c>
      <c r="BW26" s="210" t="str">
        <f>IF(AND(C26="Skema 4",B26="ti"),Skemaoplysninger!$AW$30,"")</f>
        <v/>
      </c>
      <c r="BX26" s="210" t="str">
        <f>IF(AND(C26="Skema 4",B26="on"),Skemaoplysninger!$AY$30,"")</f>
        <v/>
      </c>
      <c r="BY26" s="210" t="str">
        <f>IF(AND(C26="Skema 4",B26="to"),Skemaoplysninger!$BA$30,"")</f>
        <v/>
      </c>
      <c r="BZ26" s="210" t="str">
        <f>IF(AND(C26="Skema 4",B26="fr"),Skemaoplysninger!$BC$30,"")</f>
        <v/>
      </c>
      <c r="CA26" s="1">
        <f t="shared" si="25"/>
        <v>0</v>
      </c>
      <c r="CB26" s="1">
        <f t="shared" si="12"/>
        <v>0</v>
      </c>
      <c r="CC26" s="1">
        <f t="shared" si="13"/>
        <v>0</v>
      </c>
      <c r="CD26" s="210" t="str">
        <f>IF(AND(C26="Skema 1",B26="ma"),Skemaoplysninger!$E$31,"")</f>
        <v/>
      </c>
      <c r="CE26" s="210" t="str">
        <f>IF(AND(C26="Skema 1",B26="ti"),Skemaoplysninger!$G$31,"")</f>
        <v/>
      </c>
      <c r="CF26" s="210" t="str">
        <f>IF(AND(C26="Skema 1",B26="on"),Skemaoplysninger!$I$31,"")</f>
        <v/>
      </c>
      <c r="CG26" s="210" t="str">
        <f>IF(AND(C26="Skema 1",B26="to"),Skemaoplysninger!$K$31,"")</f>
        <v/>
      </c>
      <c r="CH26" s="210" t="str">
        <f>IF(AND(C26="Skema 1",B26="fr"),Skemaoplysninger!$M$31,"")</f>
        <v/>
      </c>
      <c r="CI26" s="210" t="str">
        <f>IF(AND(C26="Skema 2",B26="ma"),Skemaoplysninger!$S$31,"")</f>
        <v/>
      </c>
      <c r="CJ26" s="210" t="str">
        <f>IF(AND(C26="Skema 2",B26="ti"),Skemaoplysninger!$U$31,"")</f>
        <v/>
      </c>
      <c r="CK26" s="210" t="str">
        <f>IF(AND(C26="Skema 2",B26="on"),Skemaoplysninger!$W$31,"")</f>
        <v/>
      </c>
      <c r="CL26" s="210" t="str">
        <f>IF(AND(C26="Skema 2",B26="to"),Skemaoplysninger!$Y$31,"")</f>
        <v/>
      </c>
      <c r="CM26" s="210" t="str">
        <f>IF(AND(C26="Skema 2",B26="fr"),Skemaoplysninger!$AA$31,"")</f>
        <v/>
      </c>
      <c r="CN26" s="210" t="str">
        <f>IF(AND(C26="Skema 3",B26="ma"),Skemaoplysninger!$AG$31,"")</f>
        <v/>
      </c>
      <c r="CO26" s="210" t="str">
        <f>IF(AND(C26="Skema 3",B26="ti"),Skemaoplysninger!$AI$31,"")</f>
        <v/>
      </c>
      <c r="CP26" s="210" t="str">
        <f>IF(AND(C26="Skema 3",B26="on"),Skemaoplysninger!$AK$31,"")</f>
        <v/>
      </c>
      <c r="CQ26" s="210" t="str">
        <f>IF(AND(C26="Skema 3",B26="to"),Skemaoplysninger!$AM$31,"")</f>
        <v/>
      </c>
      <c r="CR26" s="210" t="str">
        <f>IF(AND(C26="Skema 3",B26="fr"),Skemaoplysninger!$AO$31,"")</f>
        <v/>
      </c>
      <c r="CS26" s="210" t="str">
        <f>IF(AND(C26="Skema 4",B26="ma"),Skemaoplysninger!$AU$31,"")</f>
        <v/>
      </c>
      <c r="CT26" s="210" t="str">
        <f>IF(AND(C26="Skema 4",B26="ti"),Skemaoplysninger!$AW$31,"")</f>
        <v/>
      </c>
      <c r="CU26" s="210" t="str">
        <f>IF(AND(C26="Skema 4",B26="on"),Skemaoplysninger!$AY$31,"")</f>
        <v/>
      </c>
      <c r="CV26" s="210" t="str">
        <f>IF(AND(C26="Skema 4",B26="to"),Skemaoplysninger!$BA$31,"")</f>
        <v/>
      </c>
      <c r="CW26" s="210" t="str">
        <f>IF(AND(C26="Skema 4",B26="fr"),Skemaoplysninger!$BC$31,"")</f>
        <v/>
      </c>
      <c r="CX26" s="249">
        <f>IF(Stamoplysninger!$H$29="NEJ",SUM(CD26:CW26)*24+CB26+CC26,0)</f>
        <v>0</v>
      </c>
      <c r="CY26" s="249">
        <f>IF(C26="Skema 1",Stamoplysninger!$H$30/200,0)</f>
        <v>0</v>
      </c>
      <c r="CZ26" s="249">
        <f>IF(C26="Skema 2",Stamoplysninger!$H$30/200,0)</f>
        <v>0</v>
      </c>
      <c r="DA26" s="249">
        <f>IF(C26="Skema 3",Stamoplysninger!$H$30/200,0)</f>
        <v>0</v>
      </c>
      <c r="DB26" s="249">
        <f>IF(C26="Skema 4",Stamoplysninger!$H$30/200,0)</f>
        <v>0</v>
      </c>
      <c r="DC26" s="249">
        <f>IF(C26="fagdag",Stamoplysninger!$H$30/200,0)</f>
        <v>0</v>
      </c>
      <c r="DD26" s="249">
        <f>IF(C26="emnedag",Stamoplysninger!$H$30/200,0)</f>
        <v>0</v>
      </c>
      <c r="DE26" s="249">
        <f>IF(C26="lejrskole",Stamoplysninger!$H$30/200,0)</f>
        <v>0</v>
      </c>
      <c r="DF26" s="249">
        <f>IF(C26="ekskursion",Stamoplysninger!$H$30/200,0)</f>
        <v>0</v>
      </c>
      <c r="DG26" s="249">
        <f t="shared" si="26"/>
        <v>0</v>
      </c>
      <c r="DH26" t="str">
        <f t="shared" si="27"/>
        <v/>
      </c>
      <c r="DI26" t="str">
        <f t="shared" si="28"/>
        <v>Efterårsferie</v>
      </c>
      <c r="DJ26" t="str">
        <f t="shared" si="29"/>
        <v/>
      </c>
      <c r="DK26" t="str">
        <f t="shared" si="14"/>
        <v/>
      </c>
      <c r="DL26" t="str">
        <f t="shared" si="14"/>
        <v>Efterårsferie</v>
      </c>
      <c r="DM26" t="str">
        <f t="shared" si="14"/>
        <v/>
      </c>
      <c r="DN26" t="str">
        <f t="shared" si="30"/>
        <v>Efterårsferie</v>
      </c>
      <c r="DO26" s="652">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71">
        <f>IF(AND(Stamoplysninger!$B$22="Ulempetillæg udbetales med 25% af nettotimelønnen.",C26="ikke relevant"),(R26)/4,0)</f>
        <v>0</v>
      </c>
      <c r="DT26" s="671">
        <f>IF(AND(AND(Stamoplysninger!$B$22="Ulempetillæg udbetales med 25% af nettotimelønnen.",I26="X",C26="Ikke relevant")),K26/4,0)</f>
        <v>0</v>
      </c>
      <c r="DU26" s="671">
        <f>IF(AND(AND(Stamoplysninger!$B$22="Ulempetillæg udbetales med 25% af nettotimelønnen.",C26="ikke relevant",U26="X")),(X26/4),0)</f>
        <v>0</v>
      </c>
      <c r="DV26" s="672">
        <f>IF(AND(AND(AND(Stamoplysninger!$B$22="Ulempetillæg udbetales med 25% af nettotimelønnen.",I26="X",C26="Ikke relevant",S26="X"))),V26/4,0)</f>
        <v>0</v>
      </c>
      <c r="DW26" s="652"/>
      <c r="DZ26" s="671"/>
      <c r="EA26" s="671"/>
      <c r="EB26" s="672"/>
      <c r="EC26" s="652">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71">
        <f>IF(AND(Stamoplysninger!$B$22="Ulempetillæg afspadseres med 25%(Kræver en aftale imellem ledelsen og den ansatte)",C26="ikke relevant"),(R26)/4,0)</f>
        <v>0</v>
      </c>
      <c r="EH26" s="671">
        <f>IF(AND(AND(Stamoplysninger!$B$22="Ulempetillæg afspadseres med 25%(Kræver en aftale imellem ledelsen og den ansatte)",I26="X",C26="Ikke relevant")),K26/4,0)</f>
        <v>0</v>
      </c>
      <c r="EI26" s="671">
        <f>IF(AND(AND(Stamoplysninger!$B$22="Ulempetillæg afspadseres med 25%(Kræver en aftale imellem ledelsen og den ansatte)",U26="X",C26="Ikke relevant")),X26/4,0)</f>
        <v>0</v>
      </c>
      <c r="EJ26" s="671">
        <f>IF(AND(AND(AND(Stamoplysninger!$B$22="Ulempetillæg afspadseres med 25%(Kræver en aftale imellem ledelsen og den ansatte)",I26="X",C26="Ikke relevant",S26="X"))),V26/4,0)</f>
        <v>0</v>
      </c>
      <c r="EK26" s="283">
        <f>IF(AND(Stamoplysninger!$B$26="Weekendtimer og weekendtillæg afspadseres.",I26="X"),K26*1.5,0)</f>
        <v>0</v>
      </c>
      <c r="EL26" s="251">
        <f>IF(AND(AND(Stamoplysninger!$B$26="Weekendtimer og weekendtillæg afspadseres.",I26="X",S26="X")),V26*1.5,0)</f>
        <v>0</v>
      </c>
      <c r="EM26" s="674">
        <f>IF(AND(AND(Stamoplysninger!$B$26="Weekendtimer og weekendtillæg afspadseres.",I26="X",C26="ikke relevant")),K26*1.5,0)</f>
        <v>0</v>
      </c>
      <c r="EN26" s="675">
        <f>IF(AND(AND(AND(Stamoplysninger!$B$26="Weekendtimer og weekendtillæg afspadseres.",I26="X",C26="ikke relevant",S26="X"))),(V26*1.5),0)</f>
        <v>0</v>
      </c>
      <c r="EO26" s="283">
        <f>IF(AND(Stamoplysninger!$B$26="Weekendtimer og weekendtillæg udbetales.",I26="X"),K26*1.5,0)</f>
        <v>0</v>
      </c>
      <c r="EP26" s="251">
        <f>IF(AND(AND(Stamoplysninger!$B$26="Weekendtimer og weekendtillæg udbetales.",I26="X",S26="X")),V26*1.5,0)</f>
        <v>0</v>
      </c>
      <c r="EQ26" s="674">
        <f>IF(AND(AND(Stamoplysninger!$B$26="Weekendtimer og weekendtillæg udbetales.",I26="X",C26="ikke relevant")),K26*1.5,0)</f>
        <v>0</v>
      </c>
      <c r="ER26" s="675">
        <f>IF(AND(AND(AND(Stamoplysninger!$B$26="Weekendtimer og weekendtillæg udbetales.",I26="X",C26="ikke relevant",S26="X"))),(V26*1.5),0)</f>
        <v>0</v>
      </c>
      <c r="ES26" s="283">
        <f>IF(AND(Stamoplysninger!$B$26="Der er indgået lokalaftale omkring weekendtimer.(Kræver aftale med TR/FSL) Weekendtillæg afspadseres.",I26="X"),K26*0.5,0)</f>
        <v>0</v>
      </c>
      <c r="ET26" s="251">
        <f>IF(AND(AND(Stamoplysninger!$B$26="Der er indgået lokalaftale omkring weekendtimer.(Kræver aftale med TR/FSL) Weekendtillæg afspadseres.",I26="X",S26="X")),V26*0.5,0)</f>
        <v>0</v>
      </c>
      <c r="EU26" s="674">
        <f>IF(AND(AND(Stamoplysninger!$B$26="Der er indgået lokalaftale omkring weekendtimer.(Kræver aftale med TR/FSL) Weekendtillæg afspadseres.",I26="X",C26="ikke relevant")),K26*0.5,0)</f>
        <v>0</v>
      </c>
      <c r="EV26" s="675">
        <f>IF(AND(AND(AND(Stamoplysninger!$B$26="Der er indgået lokalaftale omkring weekendtimer.(Kræver aftale med TR/FSL) Weekendtillæg afspadseres.",I26="X",C26="ikke relevant",S26="X"))),(V26*0.5),0)</f>
        <v>0</v>
      </c>
      <c r="EW26" s="283">
        <f>IF(AND(Stamoplysninger!$B$26="Der er indgået lokalaftale omkring weekendtimer(Kræver aftale med TR/FSL). Weekendtillæg udbetales.",I26="X"),K26*0.5,0)</f>
        <v>0</v>
      </c>
      <c r="EX26" s="251">
        <f>IF(AND(AND(Stamoplysninger!$B$26="Der er indgået lokalaftale omkring weekendtimer(Kræver aftale med TR/FSL). Weekendtillæg udbetales.",I26="X",S26="X")),V26*0.5,0)</f>
        <v>0</v>
      </c>
      <c r="EY26" s="674">
        <f>IF(AND(AND(Stamoplysninger!$B$26="Der er indgået lokalaftale omkring weekendtimer(Kræver aftale med TR/FSL). Weekendtillæg udbetales.",I26="X",C26="ikke relevant")),K26*0.5,0)</f>
        <v>0</v>
      </c>
      <c r="EZ26" s="675">
        <f>IF(AND(AND(AND(Stamoplysninger!$B$26="Der er indgået lokalaftale omkring weekendtimer(Kræver aftale med TR/FSL). Weekendtillæg udbetales.",I26="X",C26="ikke relevant",S26="X"))),(V26*0.5),0)</f>
        <v>0</v>
      </c>
      <c r="FA26" s="283">
        <f>IF(AND(Stamoplysninger!$B$26="Der er indgået lokalaftale omkring weekendtillæg(Kræver aftale med TR/FSL). Weekendtimerne afspadseres.",I26="X"),K26,0)</f>
        <v>0</v>
      </c>
      <c r="FB26" s="251">
        <f>IF(AND(AND(Stamoplysninger!$B$26="Der er indgået lokalaftale omkring weekendtillæg(Kræver aftale med TR/FSL). Weekendtimerne afspadseres.",I26="X",S26="X")),V26,0)</f>
        <v>0</v>
      </c>
      <c r="FC26" s="674">
        <f>IF(AND(AND(Stamoplysninger!$B$26="Der er indgået lokalaftale omkring weekendtillæg(Kræver aftale med TR/FSL). Weekendtimerne afspadseres..",I26="X",C26="ikke relevant")),K26,0)</f>
        <v>0</v>
      </c>
      <c r="FD26" s="675">
        <f>IF(AND(AND(AND(Stamoplysninger!$B$26="Der er indgået lokalaftale omkring weekendtillæg(Kræver aftale med TR/FSL). Weekendtimerne afspadseres.",I26="X",C26="ikke relevant",S26="X"))),(V26),0)</f>
        <v>0</v>
      </c>
      <c r="FE26" s="283">
        <f>IF(AND(Stamoplysninger!$B$26="Der er indgået lokalaftale omkring weekendtillæg(Kræver aftale med TR/FSL). Weekendtimerne udbetales.",I26="X"),K26,0)</f>
        <v>0</v>
      </c>
      <c r="FF26" s="251">
        <f>IF(AND(AND(Stamoplysninger!$B$26="Der er indgået lokalaftale omkring weekendtillæg(Kræver aftale med TR/FSL). Weekendtimerne udbetales.",I26="X",S26="X")),V26,0)</f>
        <v>0</v>
      </c>
      <c r="FG26" s="674">
        <f>IF(AND(AND(Stamoplysninger!$B$26="Der er indgået lokalaftale omkring weekendtillæg(Kræver aftale med TR/FSL). Weekendtimerne udbetales.",I26="X",C26="ikke relevant")),K26,0)</f>
        <v>0</v>
      </c>
      <c r="FH26" s="675">
        <f>IF(AND(AND(AND(Stamoplysninger!$B$26="Der er indgået lokalaftale omkring weekendtillæg(Kræver aftale med TR/FSL). Weekendtimerne udbetales.",I26="X",C26="ikke relevant",S26="X"))),(V26),0)</f>
        <v>0</v>
      </c>
      <c r="FI26" s="283">
        <f>IF(AND(Stamoplysninger!$B$26="Weekendtimer og weekendtillæg afspadseres.",I26="X"),K26,0)</f>
        <v>0</v>
      </c>
      <c r="FJ26" s="251">
        <f>IF(AND(Stamoplysninger!$B$26="Weekendtimer og weekendtillæg afspadseres.",Y26="X"),(AA26+AL26)/2,0)</f>
        <v>0</v>
      </c>
      <c r="FK26" s="674">
        <f>IF(AND(AND(Stamoplysninger!$B$26="Weekendtimer og weekendtillæg afspadseres.",I26="X",C26="ikke relevant")),K26,0)</f>
        <v>0</v>
      </c>
      <c r="FL26" s="675">
        <f>IF(AND(AND(Stamoplysninger!$B$26="Weekendtimer og weekendtillæg afspadseres.",Y26="X",S26="ikke relevant")),(AA26+AL26)/2,0)</f>
        <v>0</v>
      </c>
      <c r="FM26" s="283">
        <f>IF(AND(Stamoplysninger!$B$26="Der er indgået lokalaftale omkring weekendtillæg(Kræver aftale med TR/FSL). Weekendtimerne afspadseres.",I26="X"),K26,0)</f>
        <v>0</v>
      </c>
      <c r="FN26" s="674">
        <f>IF(AND(AND(Stamoplysninger!$B$26="Der er indgået lokalaftale omkring weekendtillæg(Kræver aftale med TR/FSL). Weekendtimerne afspadseres.",I26="X",C26="ikke relevant")),K26,0)</f>
        <v>0</v>
      </c>
      <c r="FO26" s="283">
        <f>IF(AND(Stamoplysninger!$B$26="Weekendtimer og weekendtillæg udbetales.",I26="X"),K26,0)</f>
        <v>0</v>
      </c>
      <c r="FP26" s="251">
        <f>IF(AND(Stamoplysninger!$B$26="Weekendtimer og weekendtillæg udbetales.",AA26="X"),(AC26+AN26)/2,0)</f>
        <v>0</v>
      </c>
      <c r="FQ26" s="674">
        <f>IF(AND(AND(Stamoplysninger!$B$26="Weekendtimer og weekendtillæg udbetales.",I26="X",C26="ikke relevant")),K26,0)</f>
        <v>0</v>
      </c>
      <c r="FR26" s="688">
        <f>IF(AND(AND(Stamoplysninger!$B$26="Weekendtimer og weekendtillæg udbetales.",AA26="X",U26="ikke relevant")),(AC26+AN26)/2,0)</f>
        <v>0</v>
      </c>
      <c r="FS26" s="283">
        <f t="shared" si="15"/>
        <v>0</v>
      </c>
      <c r="FT26" s="658">
        <f t="shared" si="16"/>
        <v>0</v>
      </c>
      <c r="FU26">
        <f t="shared" si="17"/>
        <v>0</v>
      </c>
      <c r="FV26" s="283">
        <f>IF(AND(Stamoplysninger!$B$26="Der er indgået lokalaftale omkring weekendtimer.(Kræver aftale med TR/FSL) Weekendtillæg afspadseres.",I26="X"),K26,0)</f>
        <v>0</v>
      </c>
      <c r="FW26" s="674">
        <f>IF(AND(AND(Stamoplysninger!$B$26="Der er indgået lokalaftale omkring weekendtimer.(Kræver aftale med TR/FSL) Weekendtillæg afspadseres.",I26="X",C26="ikke relevant")),K26,0)</f>
        <v>0</v>
      </c>
      <c r="FX26" s="283">
        <f>IF(AND(Stamoplysninger!$B$26="Der er indgået lokalaftale omkring weekendtimer(Kræver aftale med TR/FSL). Weekendtillæg udbetales.",I26="X"),K26,0)</f>
        <v>0</v>
      </c>
      <c r="FY26" s="674">
        <f>IF(AND(AND(Stamoplysninger!$B$26="Der er indgået lokalaftale omkring weekendtimer(Kræver aftale med TR/FSL). Weekendtillæg udbetales.",I26="X",C26="ikke relevant")),K26,0)</f>
        <v>0</v>
      </c>
      <c r="FZ26" s="283">
        <f>IF(AND(Stamoplysninger!$B$26="Der er indgået lokalaftale omkring weekendtillæg(Kræver aftale med TR/FSL). Weekendtimerne udbetales.",I26="X"),K26,0)</f>
        <v>0</v>
      </c>
      <c r="GA26" s="674">
        <f>IF(AND(AND(Stamoplysninger!$B$26="Der er indgået lokalaftale omkring weekendtillæg(Kræver aftale med TR/FSL). Weekendtimerne udbetales.",I26="X",C26="ikke relevant")),K26,0)</f>
        <v>0</v>
      </c>
      <c r="GB26" s="283">
        <f>IF(AND(Stamoplysninger!$B$26="Der er indgået lokalaftale omkring weekendtimer og weekendtillæg.(Kræver aftale med TR/FSL).",I26="X"),K26,0)</f>
        <v>0</v>
      </c>
      <c r="GC26" s="674">
        <f>IF(AND(AND(Stamoplysninger!$B$26="Der er indgået lokalaftale omkring weekendtimer og weekendtillæg.(Kræver aftale med TR/FSL).",I26="X",C26="ikke relevant")),K26,0)</f>
        <v>0</v>
      </c>
    </row>
    <row r="27" spans="1:185">
      <c r="A27" s="245">
        <f t="shared" si="18"/>
        <v>19</v>
      </c>
      <c r="B27" s="128" t="str">
        <f t="shared" si="0"/>
        <v>lø</v>
      </c>
      <c r="C27" s="129" t="s">
        <v>120</v>
      </c>
      <c r="D27" s="130" t="str">
        <f t="shared" si="1"/>
        <v/>
      </c>
      <c r="E27" s="917"/>
      <c r="F27" s="918"/>
      <c r="G27" s="919"/>
      <c r="H27" s="298"/>
      <c r="I27" s="413"/>
      <c r="J27" s="413"/>
      <c r="K27" s="380"/>
      <c r="L27" s="380"/>
      <c r="M27" s="380"/>
      <c r="N27" s="318">
        <f t="shared" si="19"/>
        <v>0</v>
      </c>
      <c r="O27" s="318">
        <f t="shared" si="20"/>
        <v>0</v>
      </c>
      <c r="P27" s="318">
        <f>IF(Stamoplysninger!$H$29="JA",Oktober!DG27,CX27)</f>
        <v>0</v>
      </c>
      <c r="Q27" s="318">
        <f t="shared" si="21"/>
        <v>0</v>
      </c>
      <c r="R27" s="319"/>
      <c r="S27" s="324"/>
      <c r="T27" s="325"/>
      <c r="U27" s="325"/>
      <c r="V27" s="435"/>
      <c r="W27" s="412"/>
      <c r="X27" s="642"/>
      <c r="Y27">
        <f t="shared" si="22"/>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9">
        <f t="shared" si="8"/>
        <v>0</v>
      </c>
      <c r="BC27" s="1">
        <f t="shared" si="24"/>
        <v>0</v>
      </c>
      <c r="BD27" s="1">
        <f t="shared" si="9"/>
        <v>0</v>
      </c>
      <c r="BE27" s="1">
        <f t="shared" si="10"/>
        <v>0</v>
      </c>
      <c r="BF27" s="1">
        <f t="shared" si="11"/>
        <v>0</v>
      </c>
      <c r="BG27" s="210" t="str">
        <f>IF(AND(C27="Skema 1",B27="ma"),Skemaoplysninger!$E$30,"")</f>
        <v/>
      </c>
      <c r="BH27" s="210" t="str">
        <f>IF(AND(C27="Skema 1",B27="ti"),Skemaoplysninger!$G$30,"")</f>
        <v/>
      </c>
      <c r="BI27" s="210" t="str">
        <f>IF(AND(C27="Skema 1",B27="on"),Skemaoplysninger!$I$30,"")</f>
        <v/>
      </c>
      <c r="BJ27" s="210" t="str">
        <f>IF(AND(C27="Skema 1",B27="to"),Skemaoplysninger!$K$30,"")</f>
        <v/>
      </c>
      <c r="BK27" s="210" t="str">
        <f>IF(AND(C27="Skema 1",B27="fr"),Skemaoplysninger!$M$30,"")</f>
        <v/>
      </c>
      <c r="BL27" s="210" t="str">
        <f>IF(AND(C27="Skema 2",B27="ma"),Skemaoplysninger!$S$30,"")</f>
        <v/>
      </c>
      <c r="BM27" s="210" t="str">
        <f>IF(AND(C27="Skema 2",B27="ti"),Skemaoplysninger!$U$30,"")</f>
        <v/>
      </c>
      <c r="BN27" s="210" t="str">
        <f>IF(AND(C27="Skema 2",B27="on"),Skemaoplysninger!$W$30,"")</f>
        <v/>
      </c>
      <c r="BO27" s="210" t="str">
        <f>IF(AND(C27="Skema 2",B27="to"),Skemaoplysninger!$Y$30,"")</f>
        <v/>
      </c>
      <c r="BP27" s="210" t="str">
        <f>IF(AND(C27="Skema 2",B27="fr"),Skemaoplysninger!$AA$30,"")</f>
        <v/>
      </c>
      <c r="BQ27" s="210" t="str">
        <f>IF(AND(C27="Skema 3",B27="ma"),Skemaoplysninger!$AG$30,"")</f>
        <v/>
      </c>
      <c r="BR27" s="210" t="str">
        <f>IF(AND(C27="Skema 3",B27="ti"),Skemaoplysninger!$AI$30,"")</f>
        <v/>
      </c>
      <c r="BS27" s="210" t="str">
        <f>IF(AND(C27="Skema 3",B27="on"),Skemaoplysninger!$AK$30,"")</f>
        <v/>
      </c>
      <c r="BT27" s="210" t="str">
        <f>IF(AND(C27="Skema 3",B27="to"),Skemaoplysninger!$AM$30,"")</f>
        <v/>
      </c>
      <c r="BU27" s="210" t="str">
        <f>IF(AND(C27="Skema 3",B27="fr"),Skemaoplysninger!$AO$30,"")</f>
        <v/>
      </c>
      <c r="BV27" s="210" t="str">
        <f>IF(AND(C27="Skema 4",B27="ma"),Skemaoplysninger!$AU$30,"")</f>
        <v/>
      </c>
      <c r="BW27" s="210" t="str">
        <f>IF(AND(C27="Skema 4",B27="ti"),Skemaoplysninger!$AW$30,"")</f>
        <v/>
      </c>
      <c r="BX27" s="210" t="str">
        <f>IF(AND(C27="Skema 4",B27="on"),Skemaoplysninger!$AY$30,"")</f>
        <v/>
      </c>
      <c r="BY27" s="210" t="str">
        <f>IF(AND(C27="Skema 4",B27="to"),Skemaoplysninger!$BA$30,"")</f>
        <v/>
      </c>
      <c r="BZ27" s="210" t="str">
        <f>IF(AND(C27="Skema 4",B27="fr"),Skemaoplysninger!$BC$30,"")</f>
        <v/>
      </c>
      <c r="CA27" s="1">
        <f t="shared" si="25"/>
        <v>0</v>
      </c>
      <c r="CB27" s="1">
        <f t="shared" si="12"/>
        <v>0</v>
      </c>
      <c r="CC27" s="1">
        <f t="shared" si="13"/>
        <v>0</v>
      </c>
      <c r="CD27" s="210" t="str">
        <f>IF(AND(C27="Skema 1",B27="ma"),Skemaoplysninger!$E$31,"")</f>
        <v/>
      </c>
      <c r="CE27" s="210" t="str">
        <f>IF(AND(C27="Skema 1",B27="ti"),Skemaoplysninger!$G$31,"")</f>
        <v/>
      </c>
      <c r="CF27" s="210" t="str">
        <f>IF(AND(C27="Skema 1",B27="on"),Skemaoplysninger!$I$31,"")</f>
        <v/>
      </c>
      <c r="CG27" s="210" t="str">
        <f>IF(AND(C27="Skema 1",B27="to"),Skemaoplysninger!$K$31,"")</f>
        <v/>
      </c>
      <c r="CH27" s="210" t="str">
        <f>IF(AND(C27="Skema 1",B27="fr"),Skemaoplysninger!$M$31,"")</f>
        <v/>
      </c>
      <c r="CI27" s="210" t="str">
        <f>IF(AND(C27="Skema 2",B27="ma"),Skemaoplysninger!$S$31,"")</f>
        <v/>
      </c>
      <c r="CJ27" s="210" t="str">
        <f>IF(AND(C27="Skema 2",B27="ti"),Skemaoplysninger!$U$31,"")</f>
        <v/>
      </c>
      <c r="CK27" s="210" t="str">
        <f>IF(AND(C27="Skema 2",B27="on"),Skemaoplysninger!$W$31,"")</f>
        <v/>
      </c>
      <c r="CL27" s="210" t="str">
        <f>IF(AND(C27="Skema 2",B27="to"),Skemaoplysninger!$Y$31,"")</f>
        <v/>
      </c>
      <c r="CM27" s="210" t="str">
        <f>IF(AND(C27="Skema 2",B27="fr"),Skemaoplysninger!$AA$31,"")</f>
        <v/>
      </c>
      <c r="CN27" s="210" t="str">
        <f>IF(AND(C27="Skema 3",B27="ma"),Skemaoplysninger!$AG$31,"")</f>
        <v/>
      </c>
      <c r="CO27" s="210" t="str">
        <f>IF(AND(C27="Skema 3",B27="ti"),Skemaoplysninger!$AI$31,"")</f>
        <v/>
      </c>
      <c r="CP27" s="210" t="str">
        <f>IF(AND(C27="Skema 3",B27="on"),Skemaoplysninger!$AK$31,"")</f>
        <v/>
      </c>
      <c r="CQ27" s="210" t="str">
        <f>IF(AND(C27="Skema 3",B27="to"),Skemaoplysninger!$AM$31,"")</f>
        <v/>
      </c>
      <c r="CR27" s="210" t="str">
        <f>IF(AND(C27="Skema 3",B27="fr"),Skemaoplysninger!$AO$31,"")</f>
        <v/>
      </c>
      <c r="CS27" s="210" t="str">
        <f>IF(AND(C27="Skema 4",B27="ma"),Skemaoplysninger!$AU$31,"")</f>
        <v/>
      </c>
      <c r="CT27" s="210" t="str">
        <f>IF(AND(C27="Skema 4",B27="ti"),Skemaoplysninger!$AW$31,"")</f>
        <v/>
      </c>
      <c r="CU27" s="210" t="str">
        <f>IF(AND(C27="Skema 4",B27="on"),Skemaoplysninger!$AY$31,"")</f>
        <v/>
      </c>
      <c r="CV27" s="210" t="str">
        <f>IF(AND(C27="Skema 4",B27="to"),Skemaoplysninger!$BA$31,"")</f>
        <v/>
      </c>
      <c r="CW27" s="210" t="str">
        <f>IF(AND(C27="Skema 4",B27="fr"),Skemaoplysninger!$BC$31,"")</f>
        <v/>
      </c>
      <c r="CX27" s="249">
        <f>IF(Stamoplysninger!$H$29="NEJ",SUM(CD27:CW27)*24+CB27+CC27,0)</f>
        <v>0</v>
      </c>
      <c r="CY27" s="249">
        <f>IF(C27="Skema 1",Stamoplysninger!$H$30/200,0)</f>
        <v>0</v>
      </c>
      <c r="CZ27" s="249">
        <f>IF(C27="Skema 2",Stamoplysninger!$H$30/200,0)</f>
        <v>0</v>
      </c>
      <c r="DA27" s="249">
        <f>IF(C27="Skema 3",Stamoplysninger!$H$30/200,0)</f>
        <v>0</v>
      </c>
      <c r="DB27" s="249">
        <f>IF(C27="Skema 4",Stamoplysninger!$H$30/200,0)</f>
        <v>0</v>
      </c>
      <c r="DC27" s="249">
        <f>IF(C27="fagdag",Stamoplysninger!$H$30/200,0)</f>
        <v>0</v>
      </c>
      <c r="DD27" s="249">
        <f>IF(C27="emnedag",Stamoplysninger!$H$30/200,0)</f>
        <v>0</v>
      </c>
      <c r="DE27" s="249">
        <f>IF(C27="lejrskole",Stamoplysninger!$H$30/200,0)</f>
        <v>0</v>
      </c>
      <c r="DF27" s="249">
        <f>IF(C27="ekskursion",Stamoplysninger!$H$30/200,0)</f>
        <v>0</v>
      </c>
      <c r="DG27" s="249">
        <f t="shared" si="26"/>
        <v>0</v>
      </c>
      <c r="DH27" t="str">
        <f t="shared" si="27"/>
        <v/>
      </c>
      <c r="DI27">
        <f t="shared" si="28"/>
        <v>0</v>
      </c>
      <c r="DJ27">
        <f t="shared" si="29"/>
        <v>0</v>
      </c>
      <c r="DK27" t="str">
        <f t="shared" si="14"/>
        <v/>
      </c>
      <c r="DL27" t="str">
        <f t="shared" si="14"/>
        <v/>
      </c>
      <c r="DM27" t="str">
        <f t="shared" si="14"/>
        <v/>
      </c>
      <c r="DN27" t="str">
        <f t="shared" si="30"/>
        <v/>
      </c>
      <c r="DO27" s="652">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71">
        <f>IF(AND(Stamoplysninger!$B$22="Ulempetillæg udbetales med 25% af nettotimelønnen.",C27="ikke relevant"),(R27)/4,0)</f>
        <v>0</v>
      </c>
      <c r="DT27" s="671">
        <f>IF(AND(AND(Stamoplysninger!$B$22="Ulempetillæg udbetales med 25% af nettotimelønnen.",I27="X",C27="Ikke relevant")),K27/4,0)</f>
        <v>0</v>
      </c>
      <c r="DU27" s="671">
        <f>IF(AND(AND(Stamoplysninger!$B$22="Ulempetillæg udbetales med 25% af nettotimelønnen.",C27="ikke relevant",U27="X")),(X27/4),0)</f>
        <v>0</v>
      </c>
      <c r="DV27" s="672">
        <f>IF(AND(AND(AND(Stamoplysninger!$B$22="Ulempetillæg udbetales med 25% af nettotimelønnen.",I27="X",C27="Ikke relevant",S27="X"))),V27/4,0)</f>
        <v>0</v>
      </c>
      <c r="DW27" s="652"/>
      <c r="DZ27" s="671"/>
      <c r="EA27" s="671"/>
      <c r="EB27" s="672"/>
      <c r="EC27" s="652">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71">
        <f>IF(AND(Stamoplysninger!$B$22="Ulempetillæg afspadseres med 25%(Kræver en aftale imellem ledelsen og den ansatte)",C27="ikke relevant"),(R27)/4,0)</f>
        <v>0</v>
      </c>
      <c r="EH27" s="671">
        <f>IF(AND(AND(Stamoplysninger!$B$22="Ulempetillæg afspadseres med 25%(Kræver en aftale imellem ledelsen og den ansatte)",I27="X",C27="Ikke relevant")),K27/4,0)</f>
        <v>0</v>
      </c>
      <c r="EI27" s="671">
        <f>IF(AND(AND(Stamoplysninger!$B$22="Ulempetillæg afspadseres med 25%(Kræver en aftale imellem ledelsen og den ansatte)",U27="X",C27="Ikke relevant")),X27/4,0)</f>
        <v>0</v>
      </c>
      <c r="EJ27" s="671">
        <f>IF(AND(AND(AND(Stamoplysninger!$B$22="Ulempetillæg afspadseres med 25%(Kræver en aftale imellem ledelsen og den ansatte)",I27="X",C27="Ikke relevant",S27="X"))),V27/4,0)</f>
        <v>0</v>
      </c>
      <c r="EK27" s="283">
        <f>IF(AND(Stamoplysninger!$B$26="Weekendtimer og weekendtillæg afspadseres.",I27="X"),K27*1.5,0)</f>
        <v>0</v>
      </c>
      <c r="EL27" s="251">
        <f>IF(AND(AND(Stamoplysninger!$B$26="Weekendtimer og weekendtillæg afspadseres.",I27="X",S27="X")),V27*1.5,0)</f>
        <v>0</v>
      </c>
      <c r="EM27" s="674">
        <f>IF(AND(AND(Stamoplysninger!$B$26="Weekendtimer og weekendtillæg afspadseres.",I27="X",C27="ikke relevant")),K27*1.5,0)</f>
        <v>0</v>
      </c>
      <c r="EN27" s="675">
        <f>IF(AND(AND(AND(Stamoplysninger!$B$26="Weekendtimer og weekendtillæg afspadseres.",I27="X",C27="ikke relevant",S27="X"))),(V27*1.5),0)</f>
        <v>0</v>
      </c>
      <c r="EO27" s="283">
        <f>IF(AND(Stamoplysninger!$B$26="Weekendtimer og weekendtillæg udbetales.",I27="X"),K27*1.5,0)</f>
        <v>0</v>
      </c>
      <c r="EP27" s="251">
        <f>IF(AND(AND(Stamoplysninger!$B$26="Weekendtimer og weekendtillæg udbetales.",I27="X",S27="X")),V27*1.5,0)</f>
        <v>0</v>
      </c>
      <c r="EQ27" s="674">
        <f>IF(AND(AND(Stamoplysninger!$B$26="Weekendtimer og weekendtillæg udbetales.",I27="X",C27="ikke relevant")),K27*1.5,0)</f>
        <v>0</v>
      </c>
      <c r="ER27" s="675">
        <f>IF(AND(AND(AND(Stamoplysninger!$B$26="Weekendtimer og weekendtillæg udbetales.",I27="X",C27="ikke relevant",S27="X"))),(V27*1.5),0)</f>
        <v>0</v>
      </c>
      <c r="ES27" s="283">
        <f>IF(AND(Stamoplysninger!$B$26="Der er indgået lokalaftale omkring weekendtimer.(Kræver aftale med TR/FSL) Weekendtillæg afspadseres.",I27="X"),K27*0.5,0)</f>
        <v>0</v>
      </c>
      <c r="ET27" s="251">
        <f>IF(AND(AND(Stamoplysninger!$B$26="Der er indgået lokalaftale omkring weekendtimer.(Kræver aftale med TR/FSL) Weekendtillæg afspadseres.",I27="X",S27="X")),V27*0.5,0)</f>
        <v>0</v>
      </c>
      <c r="EU27" s="674">
        <f>IF(AND(AND(Stamoplysninger!$B$26="Der er indgået lokalaftale omkring weekendtimer.(Kræver aftale med TR/FSL) Weekendtillæg afspadseres.",I27="X",C27="ikke relevant")),K27*0.5,0)</f>
        <v>0</v>
      </c>
      <c r="EV27" s="675">
        <f>IF(AND(AND(AND(Stamoplysninger!$B$26="Der er indgået lokalaftale omkring weekendtimer.(Kræver aftale med TR/FSL) Weekendtillæg afspadseres.",I27="X",C27="ikke relevant",S27="X"))),(V27*0.5),0)</f>
        <v>0</v>
      </c>
      <c r="EW27" s="283">
        <f>IF(AND(Stamoplysninger!$B$26="Der er indgået lokalaftale omkring weekendtimer(Kræver aftale med TR/FSL). Weekendtillæg udbetales.",I27="X"),K27*0.5,0)</f>
        <v>0</v>
      </c>
      <c r="EX27" s="251">
        <f>IF(AND(AND(Stamoplysninger!$B$26="Der er indgået lokalaftale omkring weekendtimer(Kræver aftale med TR/FSL). Weekendtillæg udbetales.",I27="X",S27="X")),V27*0.5,0)</f>
        <v>0</v>
      </c>
      <c r="EY27" s="674">
        <f>IF(AND(AND(Stamoplysninger!$B$26="Der er indgået lokalaftale omkring weekendtimer(Kræver aftale med TR/FSL). Weekendtillæg udbetales.",I27="X",C27="ikke relevant")),K27*0.5,0)</f>
        <v>0</v>
      </c>
      <c r="EZ27" s="675">
        <f>IF(AND(AND(AND(Stamoplysninger!$B$26="Der er indgået lokalaftale omkring weekendtimer(Kræver aftale med TR/FSL). Weekendtillæg udbetales.",I27="X",C27="ikke relevant",S27="X"))),(V27*0.5),0)</f>
        <v>0</v>
      </c>
      <c r="FA27" s="283">
        <f>IF(AND(Stamoplysninger!$B$26="Der er indgået lokalaftale omkring weekendtillæg(Kræver aftale med TR/FSL). Weekendtimerne afspadseres.",I27="X"),K27,0)</f>
        <v>0</v>
      </c>
      <c r="FB27" s="251">
        <f>IF(AND(AND(Stamoplysninger!$B$26="Der er indgået lokalaftale omkring weekendtillæg(Kræver aftale med TR/FSL). Weekendtimerne afspadseres.",I27="X",S27="X")),V27,0)</f>
        <v>0</v>
      </c>
      <c r="FC27" s="674">
        <f>IF(AND(AND(Stamoplysninger!$B$26="Der er indgået lokalaftale omkring weekendtillæg(Kræver aftale med TR/FSL). Weekendtimerne afspadseres..",I27="X",C27="ikke relevant")),K27,0)</f>
        <v>0</v>
      </c>
      <c r="FD27" s="675">
        <f>IF(AND(AND(AND(Stamoplysninger!$B$26="Der er indgået lokalaftale omkring weekendtillæg(Kræver aftale med TR/FSL). Weekendtimerne afspadseres.",I27="X",C27="ikke relevant",S27="X"))),(V27),0)</f>
        <v>0</v>
      </c>
      <c r="FE27" s="283">
        <f>IF(AND(Stamoplysninger!$B$26="Der er indgået lokalaftale omkring weekendtillæg(Kræver aftale med TR/FSL). Weekendtimerne udbetales.",I27="X"),K27,0)</f>
        <v>0</v>
      </c>
      <c r="FF27" s="251">
        <f>IF(AND(AND(Stamoplysninger!$B$26="Der er indgået lokalaftale omkring weekendtillæg(Kræver aftale med TR/FSL). Weekendtimerne udbetales.",I27="X",S27="X")),V27,0)</f>
        <v>0</v>
      </c>
      <c r="FG27" s="674">
        <f>IF(AND(AND(Stamoplysninger!$B$26="Der er indgået lokalaftale omkring weekendtillæg(Kræver aftale med TR/FSL). Weekendtimerne udbetales.",I27="X",C27="ikke relevant")),K27,0)</f>
        <v>0</v>
      </c>
      <c r="FH27" s="675">
        <f>IF(AND(AND(AND(Stamoplysninger!$B$26="Der er indgået lokalaftale omkring weekendtillæg(Kræver aftale med TR/FSL). Weekendtimerne udbetales.",I27="X",C27="ikke relevant",S27="X"))),(V27),0)</f>
        <v>0</v>
      </c>
      <c r="FI27" s="283">
        <f>IF(AND(Stamoplysninger!$B$26="Weekendtimer og weekendtillæg afspadseres.",I27="X"),K27,0)</f>
        <v>0</v>
      </c>
      <c r="FJ27" s="251">
        <f>IF(AND(Stamoplysninger!$B$26="Weekendtimer og weekendtillæg afspadseres.",Y27="X"),(AA27+AL27)/2,0)</f>
        <v>0</v>
      </c>
      <c r="FK27" s="674">
        <f>IF(AND(AND(Stamoplysninger!$B$26="Weekendtimer og weekendtillæg afspadseres.",I27="X",C27="ikke relevant")),K27,0)</f>
        <v>0</v>
      </c>
      <c r="FL27" s="675">
        <f>IF(AND(AND(Stamoplysninger!$B$26="Weekendtimer og weekendtillæg afspadseres.",Y27="X",S27="ikke relevant")),(AA27+AL27)/2,0)</f>
        <v>0</v>
      </c>
      <c r="FM27" s="283">
        <f>IF(AND(Stamoplysninger!$B$26="Der er indgået lokalaftale omkring weekendtillæg(Kræver aftale med TR/FSL). Weekendtimerne afspadseres.",I27="X"),K27,0)</f>
        <v>0</v>
      </c>
      <c r="FN27" s="674">
        <f>IF(AND(AND(Stamoplysninger!$B$26="Der er indgået lokalaftale omkring weekendtillæg(Kræver aftale med TR/FSL). Weekendtimerne afspadseres.",I27="X",C27="ikke relevant")),K27,0)</f>
        <v>0</v>
      </c>
      <c r="FO27" s="283">
        <f>IF(AND(Stamoplysninger!$B$26="Weekendtimer og weekendtillæg udbetales.",I27="X"),K27,0)</f>
        <v>0</v>
      </c>
      <c r="FP27" s="251">
        <f>IF(AND(Stamoplysninger!$B$26="Weekendtimer og weekendtillæg udbetales.",AA27="X"),(AC27+AN27)/2,0)</f>
        <v>0</v>
      </c>
      <c r="FQ27" s="674">
        <f>IF(AND(AND(Stamoplysninger!$B$26="Weekendtimer og weekendtillæg udbetales.",I27="X",C27="ikke relevant")),K27,0)</f>
        <v>0</v>
      </c>
      <c r="FR27" s="688">
        <f>IF(AND(AND(Stamoplysninger!$B$26="Weekendtimer og weekendtillæg udbetales.",AA27="X",U27="ikke relevant")),(AC27+AN27)/2,0)</f>
        <v>0</v>
      </c>
      <c r="FS27" s="283">
        <f t="shared" si="15"/>
        <v>0</v>
      </c>
      <c r="FT27" s="658">
        <f t="shared" si="16"/>
        <v>0</v>
      </c>
      <c r="FU27">
        <f t="shared" si="17"/>
        <v>0</v>
      </c>
      <c r="FV27" s="283">
        <f>IF(AND(Stamoplysninger!$B$26="Der er indgået lokalaftale omkring weekendtimer.(Kræver aftale med TR/FSL) Weekendtillæg afspadseres.",I27="X"),K27,0)</f>
        <v>0</v>
      </c>
      <c r="FW27" s="674">
        <f>IF(AND(AND(Stamoplysninger!$B$26="Der er indgået lokalaftale omkring weekendtimer.(Kræver aftale med TR/FSL) Weekendtillæg afspadseres.",I27="X",C27="ikke relevant")),K27,0)</f>
        <v>0</v>
      </c>
      <c r="FX27" s="283">
        <f>IF(AND(Stamoplysninger!$B$26="Der er indgået lokalaftale omkring weekendtimer(Kræver aftale med TR/FSL). Weekendtillæg udbetales.",I27="X"),K27,0)</f>
        <v>0</v>
      </c>
      <c r="FY27" s="674">
        <f>IF(AND(AND(Stamoplysninger!$B$26="Der er indgået lokalaftale omkring weekendtimer(Kræver aftale med TR/FSL). Weekendtillæg udbetales.",I27="X",C27="ikke relevant")),K27,0)</f>
        <v>0</v>
      </c>
      <c r="FZ27" s="283">
        <f>IF(AND(Stamoplysninger!$B$26="Der er indgået lokalaftale omkring weekendtillæg(Kræver aftale med TR/FSL). Weekendtimerne udbetales.",I27="X"),K27,0)</f>
        <v>0</v>
      </c>
      <c r="GA27" s="674">
        <f>IF(AND(AND(Stamoplysninger!$B$26="Der er indgået lokalaftale omkring weekendtillæg(Kræver aftale med TR/FSL). Weekendtimerne udbetales.",I27="X",C27="ikke relevant")),K27,0)</f>
        <v>0</v>
      </c>
      <c r="GB27" s="283">
        <f>IF(AND(Stamoplysninger!$B$26="Der er indgået lokalaftale omkring weekendtimer og weekendtillæg.(Kræver aftale med TR/FSL).",I27="X"),K27,0)</f>
        <v>0</v>
      </c>
      <c r="GC27" s="674">
        <f>IF(AND(AND(Stamoplysninger!$B$26="Der er indgået lokalaftale omkring weekendtimer og weekendtillæg.(Kræver aftale med TR/FSL).",I27="X",C27="ikke relevant")),K27,0)</f>
        <v>0</v>
      </c>
    </row>
    <row r="28" spans="1:185">
      <c r="A28" s="245">
        <f t="shared" si="18"/>
        <v>20</v>
      </c>
      <c r="B28" s="128" t="str">
        <f t="shared" si="0"/>
        <v>sø</v>
      </c>
      <c r="C28" s="129" t="s">
        <v>120</v>
      </c>
      <c r="D28" s="130" t="str">
        <f t="shared" si="1"/>
        <v/>
      </c>
      <c r="E28" s="917"/>
      <c r="F28" s="918"/>
      <c r="G28" s="919"/>
      <c r="H28" s="298"/>
      <c r="I28" s="413"/>
      <c r="J28" s="413"/>
      <c r="K28" s="380"/>
      <c r="L28" s="380"/>
      <c r="M28" s="380"/>
      <c r="N28" s="318">
        <f t="shared" si="19"/>
        <v>0</v>
      </c>
      <c r="O28" s="318">
        <f t="shared" si="20"/>
        <v>0</v>
      </c>
      <c r="P28" s="318">
        <f>IF(Stamoplysninger!$H$29="JA",Oktober!DG28,CX28)</f>
        <v>0</v>
      </c>
      <c r="Q28" s="318">
        <f t="shared" si="21"/>
        <v>0</v>
      </c>
      <c r="R28" s="319"/>
      <c r="S28" s="324"/>
      <c r="T28" s="325"/>
      <c r="U28" s="325"/>
      <c r="V28" s="435"/>
      <c r="W28" s="412"/>
      <c r="X28" s="642"/>
      <c r="Y28">
        <f t="shared" si="22"/>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9">
        <f t="shared" si="8"/>
        <v>0</v>
      </c>
      <c r="BC28" s="1">
        <f t="shared" si="24"/>
        <v>0</v>
      </c>
      <c r="BD28" s="1">
        <f t="shared" si="9"/>
        <v>0</v>
      </c>
      <c r="BE28" s="1">
        <f t="shared" si="10"/>
        <v>0</v>
      </c>
      <c r="BF28" s="1">
        <f t="shared" si="11"/>
        <v>0</v>
      </c>
      <c r="BG28" s="210" t="str">
        <f>IF(AND(C28="Skema 1",B28="ma"),Skemaoplysninger!$E$30,"")</f>
        <v/>
      </c>
      <c r="BH28" s="210" t="str">
        <f>IF(AND(C28="Skema 1",B28="ti"),Skemaoplysninger!$G$30,"")</f>
        <v/>
      </c>
      <c r="BI28" s="210" t="str">
        <f>IF(AND(C28="Skema 1",B28="on"),Skemaoplysninger!$I$30,"")</f>
        <v/>
      </c>
      <c r="BJ28" s="210" t="str">
        <f>IF(AND(C28="Skema 1",B28="to"),Skemaoplysninger!$K$30,"")</f>
        <v/>
      </c>
      <c r="BK28" s="210" t="str">
        <f>IF(AND(C28="Skema 1",B28="fr"),Skemaoplysninger!$M$30,"")</f>
        <v/>
      </c>
      <c r="BL28" s="210" t="str">
        <f>IF(AND(C28="Skema 2",B28="ma"),Skemaoplysninger!$S$30,"")</f>
        <v/>
      </c>
      <c r="BM28" s="210" t="str">
        <f>IF(AND(C28="Skema 2",B28="ti"),Skemaoplysninger!$U$30,"")</f>
        <v/>
      </c>
      <c r="BN28" s="210" t="str">
        <f>IF(AND(C28="Skema 2",B28="on"),Skemaoplysninger!$W$30,"")</f>
        <v/>
      </c>
      <c r="BO28" s="210" t="str">
        <f>IF(AND(C28="Skema 2",B28="to"),Skemaoplysninger!$Y$30,"")</f>
        <v/>
      </c>
      <c r="BP28" s="210" t="str">
        <f>IF(AND(C28="Skema 2",B28="fr"),Skemaoplysninger!$AA$30,"")</f>
        <v/>
      </c>
      <c r="BQ28" s="210" t="str">
        <f>IF(AND(C28="Skema 3",B28="ma"),Skemaoplysninger!$AG$30,"")</f>
        <v/>
      </c>
      <c r="BR28" s="210" t="str">
        <f>IF(AND(C28="Skema 3",B28="ti"),Skemaoplysninger!$AI$30,"")</f>
        <v/>
      </c>
      <c r="BS28" s="210" t="str">
        <f>IF(AND(C28="Skema 3",B28="on"),Skemaoplysninger!$AK$30,"")</f>
        <v/>
      </c>
      <c r="BT28" s="210" t="str">
        <f>IF(AND(C28="Skema 3",B28="to"),Skemaoplysninger!$AM$30,"")</f>
        <v/>
      </c>
      <c r="BU28" s="210" t="str">
        <f>IF(AND(C28="Skema 3",B28="fr"),Skemaoplysninger!$AO$30,"")</f>
        <v/>
      </c>
      <c r="BV28" s="210" t="str">
        <f>IF(AND(C28="Skema 4",B28="ma"),Skemaoplysninger!$AU$30,"")</f>
        <v/>
      </c>
      <c r="BW28" s="210" t="str">
        <f>IF(AND(C28="Skema 4",B28="ti"),Skemaoplysninger!$AW$30,"")</f>
        <v/>
      </c>
      <c r="BX28" s="210" t="str">
        <f>IF(AND(C28="Skema 4",B28="on"),Skemaoplysninger!$AY$30,"")</f>
        <v/>
      </c>
      <c r="BY28" s="210" t="str">
        <f>IF(AND(C28="Skema 4",B28="to"),Skemaoplysninger!$BA$30,"")</f>
        <v/>
      </c>
      <c r="BZ28" s="210" t="str">
        <f>IF(AND(C28="Skema 4",B28="fr"),Skemaoplysninger!$BC$30,"")</f>
        <v/>
      </c>
      <c r="CA28" s="1">
        <f t="shared" si="25"/>
        <v>0</v>
      </c>
      <c r="CB28" s="1">
        <f t="shared" si="12"/>
        <v>0</v>
      </c>
      <c r="CC28" s="1">
        <f t="shared" si="13"/>
        <v>0</v>
      </c>
      <c r="CD28" s="210" t="str">
        <f>IF(AND(C28="Skema 1",B28="ma"),Skemaoplysninger!$E$31,"")</f>
        <v/>
      </c>
      <c r="CE28" s="210" t="str">
        <f>IF(AND(C28="Skema 1",B28="ti"),Skemaoplysninger!$G$31,"")</f>
        <v/>
      </c>
      <c r="CF28" s="210" t="str">
        <f>IF(AND(C28="Skema 1",B28="on"),Skemaoplysninger!$I$31,"")</f>
        <v/>
      </c>
      <c r="CG28" s="210" t="str">
        <f>IF(AND(C28="Skema 1",B28="to"),Skemaoplysninger!$K$31,"")</f>
        <v/>
      </c>
      <c r="CH28" s="210" t="str">
        <f>IF(AND(C28="Skema 1",B28="fr"),Skemaoplysninger!$M$31,"")</f>
        <v/>
      </c>
      <c r="CI28" s="210" t="str">
        <f>IF(AND(C28="Skema 2",B28="ma"),Skemaoplysninger!$S$31,"")</f>
        <v/>
      </c>
      <c r="CJ28" s="210" t="str">
        <f>IF(AND(C28="Skema 2",B28="ti"),Skemaoplysninger!$U$31,"")</f>
        <v/>
      </c>
      <c r="CK28" s="210" t="str">
        <f>IF(AND(C28="Skema 2",B28="on"),Skemaoplysninger!$W$31,"")</f>
        <v/>
      </c>
      <c r="CL28" s="210" t="str">
        <f>IF(AND(C28="Skema 2",B28="to"),Skemaoplysninger!$Y$31,"")</f>
        <v/>
      </c>
      <c r="CM28" s="210" t="str">
        <f>IF(AND(C28="Skema 2",B28="fr"),Skemaoplysninger!$AA$31,"")</f>
        <v/>
      </c>
      <c r="CN28" s="210" t="str">
        <f>IF(AND(C28="Skema 3",B28="ma"),Skemaoplysninger!$AG$31,"")</f>
        <v/>
      </c>
      <c r="CO28" s="210" t="str">
        <f>IF(AND(C28="Skema 3",B28="ti"),Skemaoplysninger!$AI$31,"")</f>
        <v/>
      </c>
      <c r="CP28" s="210" t="str">
        <f>IF(AND(C28="Skema 3",B28="on"),Skemaoplysninger!$AK$31,"")</f>
        <v/>
      </c>
      <c r="CQ28" s="210" t="str">
        <f>IF(AND(C28="Skema 3",B28="to"),Skemaoplysninger!$AM$31,"")</f>
        <v/>
      </c>
      <c r="CR28" s="210" t="str">
        <f>IF(AND(C28="Skema 3",B28="fr"),Skemaoplysninger!$AO$31,"")</f>
        <v/>
      </c>
      <c r="CS28" s="210" t="str">
        <f>IF(AND(C28="Skema 4",B28="ma"),Skemaoplysninger!$AU$31,"")</f>
        <v/>
      </c>
      <c r="CT28" s="210" t="str">
        <f>IF(AND(C28="Skema 4",B28="ti"),Skemaoplysninger!$AW$31,"")</f>
        <v/>
      </c>
      <c r="CU28" s="210" t="str">
        <f>IF(AND(C28="Skema 4",B28="on"),Skemaoplysninger!$AY$31,"")</f>
        <v/>
      </c>
      <c r="CV28" s="210" t="str">
        <f>IF(AND(C28="Skema 4",B28="to"),Skemaoplysninger!$BA$31,"")</f>
        <v/>
      </c>
      <c r="CW28" s="210" t="str">
        <f>IF(AND(C28="Skema 4",B28="fr"),Skemaoplysninger!$BC$31,"")</f>
        <v/>
      </c>
      <c r="CX28" s="249">
        <f>IF(Stamoplysninger!$H$29="NEJ",SUM(CD28:CW28)*24+CB28+CC28,0)</f>
        <v>0</v>
      </c>
      <c r="CY28" s="249">
        <f>IF(C28="Skema 1",Stamoplysninger!$H$30/200,0)</f>
        <v>0</v>
      </c>
      <c r="CZ28" s="249">
        <f>IF(C28="Skema 2",Stamoplysninger!$H$30/200,0)</f>
        <v>0</v>
      </c>
      <c r="DA28" s="249">
        <f>IF(C28="Skema 3",Stamoplysninger!$H$30/200,0)</f>
        <v>0</v>
      </c>
      <c r="DB28" s="249">
        <f>IF(C28="Skema 4",Stamoplysninger!$H$30/200,0)</f>
        <v>0</v>
      </c>
      <c r="DC28" s="249">
        <f>IF(C28="fagdag",Stamoplysninger!$H$30/200,0)</f>
        <v>0</v>
      </c>
      <c r="DD28" s="249">
        <f>IF(C28="emnedag",Stamoplysninger!$H$30/200,0)</f>
        <v>0</v>
      </c>
      <c r="DE28" s="249">
        <f>IF(C28="lejrskole",Stamoplysninger!$H$30/200,0)</f>
        <v>0</v>
      </c>
      <c r="DF28" s="249">
        <f>IF(C28="ekskursion",Stamoplysninger!$H$30/200,0)</f>
        <v>0</v>
      </c>
      <c r="DG28" s="249">
        <f t="shared" si="26"/>
        <v>0</v>
      </c>
      <c r="DH28" t="str">
        <f t="shared" si="27"/>
        <v/>
      </c>
      <c r="DI28">
        <f t="shared" si="28"/>
        <v>0</v>
      </c>
      <c r="DJ28">
        <f t="shared" si="29"/>
        <v>0</v>
      </c>
      <c r="DK28" t="str">
        <f t="shared" si="14"/>
        <v/>
      </c>
      <c r="DL28" t="str">
        <f t="shared" si="14"/>
        <v/>
      </c>
      <c r="DM28" t="str">
        <f t="shared" si="14"/>
        <v/>
      </c>
      <c r="DN28" t="str">
        <f t="shared" si="30"/>
        <v/>
      </c>
      <c r="DO28" s="652">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71">
        <f>IF(AND(Stamoplysninger!$B$22="Ulempetillæg udbetales med 25% af nettotimelønnen.",C28="ikke relevant"),(R28)/4,0)</f>
        <v>0</v>
      </c>
      <c r="DT28" s="671">
        <f>IF(AND(AND(Stamoplysninger!$B$22="Ulempetillæg udbetales med 25% af nettotimelønnen.",I28="X",C28="Ikke relevant")),K28/4,0)</f>
        <v>0</v>
      </c>
      <c r="DU28" s="671">
        <f>IF(AND(AND(Stamoplysninger!$B$22="Ulempetillæg udbetales med 25% af nettotimelønnen.",C28="ikke relevant",U28="X")),(X28/4),0)</f>
        <v>0</v>
      </c>
      <c r="DV28" s="672">
        <f>IF(AND(AND(AND(Stamoplysninger!$B$22="Ulempetillæg udbetales med 25% af nettotimelønnen.",I28="X",C28="Ikke relevant",S28="X"))),V28/4,0)</f>
        <v>0</v>
      </c>
      <c r="DW28" s="652"/>
      <c r="DZ28" s="671"/>
      <c r="EA28" s="671"/>
      <c r="EB28" s="672"/>
      <c r="EC28" s="652">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71">
        <f>IF(AND(Stamoplysninger!$B$22="Ulempetillæg afspadseres med 25%(Kræver en aftale imellem ledelsen og den ansatte)",C28="ikke relevant"),(R28)/4,0)</f>
        <v>0</v>
      </c>
      <c r="EH28" s="671">
        <f>IF(AND(AND(Stamoplysninger!$B$22="Ulempetillæg afspadseres med 25%(Kræver en aftale imellem ledelsen og den ansatte)",I28="X",C28="Ikke relevant")),K28/4,0)</f>
        <v>0</v>
      </c>
      <c r="EI28" s="671">
        <f>IF(AND(AND(Stamoplysninger!$B$22="Ulempetillæg afspadseres med 25%(Kræver en aftale imellem ledelsen og den ansatte)",U28="X",C28="Ikke relevant")),X28/4,0)</f>
        <v>0</v>
      </c>
      <c r="EJ28" s="671">
        <f>IF(AND(AND(AND(Stamoplysninger!$B$22="Ulempetillæg afspadseres med 25%(Kræver en aftale imellem ledelsen og den ansatte)",I28="X",C28="Ikke relevant",S28="X"))),V28/4,0)</f>
        <v>0</v>
      </c>
      <c r="EK28" s="283">
        <f>IF(AND(Stamoplysninger!$B$26="Weekendtimer og weekendtillæg afspadseres.",I28="X"),K28*1.5,0)</f>
        <v>0</v>
      </c>
      <c r="EL28" s="251">
        <f>IF(AND(AND(Stamoplysninger!$B$26="Weekendtimer og weekendtillæg afspadseres.",I28="X",S28="X")),V28*1.5,0)</f>
        <v>0</v>
      </c>
      <c r="EM28" s="674">
        <f>IF(AND(AND(Stamoplysninger!$B$26="Weekendtimer og weekendtillæg afspadseres.",I28="X",C28="ikke relevant")),K28*1.5,0)</f>
        <v>0</v>
      </c>
      <c r="EN28" s="675">
        <f>IF(AND(AND(AND(Stamoplysninger!$B$26="Weekendtimer og weekendtillæg afspadseres.",I28="X",C28="ikke relevant",S28="X"))),(V28*1.5),0)</f>
        <v>0</v>
      </c>
      <c r="EO28" s="283">
        <f>IF(AND(Stamoplysninger!$B$26="Weekendtimer og weekendtillæg udbetales.",I28="X"),K28*1.5,0)</f>
        <v>0</v>
      </c>
      <c r="EP28" s="251">
        <f>IF(AND(AND(Stamoplysninger!$B$26="Weekendtimer og weekendtillæg udbetales.",I28="X",S28="X")),V28*1.5,0)</f>
        <v>0</v>
      </c>
      <c r="EQ28" s="674">
        <f>IF(AND(AND(Stamoplysninger!$B$26="Weekendtimer og weekendtillæg udbetales.",I28="X",C28="ikke relevant")),K28*1.5,0)</f>
        <v>0</v>
      </c>
      <c r="ER28" s="675">
        <f>IF(AND(AND(AND(Stamoplysninger!$B$26="Weekendtimer og weekendtillæg udbetales.",I28="X",C28="ikke relevant",S28="X"))),(V28*1.5),0)</f>
        <v>0</v>
      </c>
      <c r="ES28" s="283">
        <f>IF(AND(Stamoplysninger!$B$26="Der er indgået lokalaftale omkring weekendtimer.(Kræver aftale med TR/FSL) Weekendtillæg afspadseres.",I28="X"),K28*0.5,0)</f>
        <v>0</v>
      </c>
      <c r="ET28" s="251">
        <f>IF(AND(AND(Stamoplysninger!$B$26="Der er indgået lokalaftale omkring weekendtimer.(Kræver aftale med TR/FSL) Weekendtillæg afspadseres.",I28="X",S28="X")),V28*0.5,0)</f>
        <v>0</v>
      </c>
      <c r="EU28" s="674">
        <f>IF(AND(AND(Stamoplysninger!$B$26="Der er indgået lokalaftale omkring weekendtimer.(Kræver aftale med TR/FSL) Weekendtillæg afspadseres.",I28="X",C28="ikke relevant")),K28*0.5,0)</f>
        <v>0</v>
      </c>
      <c r="EV28" s="675">
        <f>IF(AND(AND(AND(Stamoplysninger!$B$26="Der er indgået lokalaftale omkring weekendtimer.(Kræver aftale med TR/FSL) Weekendtillæg afspadseres.",I28="X",C28="ikke relevant",S28="X"))),(V28*0.5),0)</f>
        <v>0</v>
      </c>
      <c r="EW28" s="283">
        <f>IF(AND(Stamoplysninger!$B$26="Der er indgået lokalaftale omkring weekendtimer(Kræver aftale med TR/FSL). Weekendtillæg udbetales.",I28="X"),K28*0.5,0)</f>
        <v>0</v>
      </c>
      <c r="EX28" s="251">
        <f>IF(AND(AND(Stamoplysninger!$B$26="Der er indgået lokalaftale omkring weekendtimer(Kræver aftale med TR/FSL). Weekendtillæg udbetales.",I28="X",S28="X")),V28*0.5,0)</f>
        <v>0</v>
      </c>
      <c r="EY28" s="674">
        <f>IF(AND(AND(Stamoplysninger!$B$26="Der er indgået lokalaftale omkring weekendtimer(Kræver aftale med TR/FSL). Weekendtillæg udbetales.",I28="X",C28="ikke relevant")),K28*0.5,0)</f>
        <v>0</v>
      </c>
      <c r="EZ28" s="675">
        <f>IF(AND(AND(AND(Stamoplysninger!$B$26="Der er indgået lokalaftale omkring weekendtimer(Kræver aftale med TR/FSL). Weekendtillæg udbetales.",I28="X",C28="ikke relevant",S28="X"))),(V28*0.5),0)</f>
        <v>0</v>
      </c>
      <c r="FA28" s="283">
        <f>IF(AND(Stamoplysninger!$B$26="Der er indgået lokalaftale omkring weekendtillæg(Kræver aftale med TR/FSL). Weekendtimerne afspadseres.",I28="X"),K28,0)</f>
        <v>0</v>
      </c>
      <c r="FB28" s="251">
        <f>IF(AND(AND(Stamoplysninger!$B$26="Der er indgået lokalaftale omkring weekendtillæg(Kræver aftale med TR/FSL). Weekendtimerne afspadseres.",I28="X",S28="X")),V28,0)</f>
        <v>0</v>
      </c>
      <c r="FC28" s="674">
        <f>IF(AND(AND(Stamoplysninger!$B$26="Der er indgået lokalaftale omkring weekendtillæg(Kræver aftale med TR/FSL). Weekendtimerne afspadseres..",I28="X",C28="ikke relevant")),K28,0)</f>
        <v>0</v>
      </c>
      <c r="FD28" s="675">
        <f>IF(AND(AND(AND(Stamoplysninger!$B$26="Der er indgået lokalaftale omkring weekendtillæg(Kræver aftale med TR/FSL). Weekendtimerne afspadseres.",I28="X",C28="ikke relevant",S28="X"))),(V28),0)</f>
        <v>0</v>
      </c>
      <c r="FE28" s="283">
        <f>IF(AND(Stamoplysninger!$B$26="Der er indgået lokalaftale omkring weekendtillæg(Kræver aftale med TR/FSL). Weekendtimerne udbetales.",I28="X"),K28,0)</f>
        <v>0</v>
      </c>
      <c r="FF28" s="251">
        <f>IF(AND(AND(Stamoplysninger!$B$26="Der er indgået lokalaftale omkring weekendtillæg(Kræver aftale med TR/FSL). Weekendtimerne udbetales.",I28="X",S28="X")),V28,0)</f>
        <v>0</v>
      </c>
      <c r="FG28" s="674">
        <f>IF(AND(AND(Stamoplysninger!$B$26="Der er indgået lokalaftale omkring weekendtillæg(Kræver aftale med TR/FSL). Weekendtimerne udbetales.",I28="X",C28="ikke relevant")),K28,0)</f>
        <v>0</v>
      </c>
      <c r="FH28" s="675">
        <f>IF(AND(AND(AND(Stamoplysninger!$B$26="Der er indgået lokalaftale omkring weekendtillæg(Kræver aftale med TR/FSL). Weekendtimerne udbetales.",I28="X",C28="ikke relevant",S28="X"))),(V28),0)</f>
        <v>0</v>
      </c>
      <c r="FI28" s="283">
        <f>IF(AND(Stamoplysninger!$B$26="Weekendtimer og weekendtillæg afspadseres.",I28="X"),K28,0)</f>
        <v>0</v>
      </c>
      <c r="FJ28" s="251">
        <f>IF(AND(Stamoplysninger!$B$26="Weekendtimer og weekendtillæg afspadseres.",Y28="X"),(AA28+AL28)/2,0)</f>
        <v>0</v>
      </c>
      <c r="FK28" s="674">
        <f>IF(AND(AND(Stamoplysninger!$B$26="Weekendtimer og weekendtillæg afspadseres.",I28="X",C28="ikke relevant")),K28,0)</f>
        <v>0</v>
      </c>
      <c r="FL28" s="675">
        <f>IF(AND(AND(Stamoplysninger!$B$26="Weekendtimer og weekendtillæg afspadseres.",Y28="X",S28="ikke relevant")),(AA28+AL28)/2,0)</f>
        <v>0</v>
      </c>
      <c r="FM28" s="283">
        <f>IF(AND(Stamoplysninger!$B$26="Der er indgået lokalaftale omkring weekendtillæg(Kræver aftale med TR/FSL). Weekendtimerne afspadseres.",I28="X"),K28,0)</f>
        <v>0</v>
      </c>
      <c r="FN28" s="674">
        <f>IF(AND(AND(Stamoplysninger!$B$26="Der er indgået lokalaftale omkring weekendtillæg(Kræver aftale med TR/FSL). Weekendtimerne afspadseres.",I28="X",C28="ikke relevant")),K28,0)</f>
        <v>0</v>
      </c>
      <c r="FO28" s="283">
        <f>IF(AND(Stamoplysninger!$B$26="Weekendtimer og weekendtillæg udbetales.",I28="X"),K28,0)</f>
        <v>0</v>
      </c>
      <c r="FP28" s="251">
        <f>IF(AND(Stamoplysninger!$B$26="Weekendtimer og weekendtillæg udbetales.",AA28="X"),(AC28+AN28)/2,0)</f>
        <v>0</v>
      </c>
      <c r="FQ28" s="674">
        <f>IF(AND(AND(Stamoplysninger!$B$26="Weekendtimer og weekendtillæg udbetales.",I28="X",C28="ikke relevant")),K28,0)</f>
        <v>0</v>
      </c>
      <c r="FR28" s="688">
        <f>IF(AND(AND(Stamoplysninger!$B$26="Weekendtimer og weekendtillæg udbetales.",AA28="X",U28="ikke relevant")),(AC28+AN28)/2,0)</f>
        <v>0</v>
      </c>
      <c r="FS28" s="283">
        <f t="shared" si="15"/>
        <v>0</v>
      </c>
      <c r="FT28" s="658">
        <f t="shared" si="16"/>
        <v>0</v>
      </c>
      <c r="FU28">
        <f t="shared" si="17"/>
        <v>0</v>
      </c>
      <c r="FV28" s="283">
        <f>IF(AND(Stamoplysninger!$B$26="Der er indgået lokalaftale omkring weekendtimer.(Kræver aftale med TR/FSL) Weekendtillæg afspadseres.",I28="X"),K28,0)</f>
        <v>0</v>
      </c>
      <c r="FW28" s="674">
        <f>IF(AND(AND(Stamoplysninger!$B$26="Der er indgået lokalaftale omkring weekendtimer.(Kræver aftale med TR/FSL) Weekendtillæg afspadseres.",I28="X",C28="ikke relevant")),K28,0)</f>
        <v>0</v>
      </c>
      <c r="FX28" s="283">
        <f>IF(AND(Stamoplysninger!$B$26="Der er indgået lokalaftale omkring weekendtimer(Kræver aftale med TR/FSL). Weekendtillæg udbetales.",I28="X"),K28,0)</f>
        <v>0</v>
      </c>
      <c r="FY28" s="674">
        <f>IF(AND(AND(Stamoplysninger!$B$26="Der er indgået lokalaftale omkring weekendtimer(Kræver aftale med TR/FSL). Weekendtillæg udbetales.",I28="X",C28="ikke relevant")),K28,0)</f>
        <v>0</v>
      </c>
      <c r="FZ28" s="283">
        <f>IF(AND(Stamoplysninger!$B$26="Der er indgået lokalaftale omkring weekendtillæg(Kræver aftale med TR/FSL). Weekendtimerne udbetales.",I28="X"),K28,0)</f>
        <v>0</v>
      </c>
      <c r="GA28" s="674">
        <f>IF(AND(AND(Stamoplysninger!$B$26="Der er indgået lokalaftale omkring weekendtillæg(Kræver aftale med TR/FSL). Weekendtimerne udbetales.",I28="X",C28="ikke relevant")),K28,0)</f>
        <v>0</v>
      </c>
      <c r="GB28" s="283">
        <f>IF(AND(Stamoplysninger!$B$26="Der er indgået lokalaftale omkring weekendtimer og weekendtillæg.(Kræver aftale med TR/FSL).",I28="X"),K28,0)</f>
        <v>0</v>
      </c>
      <c r="GC28" s="674">
        <f>IF(AND(AND(Stamoplysninger!$B$26="Der er indgået lokalaftale omkring weekendtimer og weekendtillæg.(Kræver aftale med TR/FSL).",I28="X",C28="ikke relevant")),K28,0)</f>
        <v>0</v>
      </c>
    </row>
    <row r="29" spans="1:185">
      <c r="A29" s="245">
        <f t="shared" si="18"/>
        <v>21</v>
      </c>
      <c r="B29" s="128" t="str">
        <f t="shared" si="0"/>
        <v>ma</v>
      </c>
      <c r="C29" s="129" t="s">
        <v>206</v>
      </c>
      <c r="D29" s="130">
        <f t="shared" si="1"/>
        <v>43</v>
      </c>
      <c r="E29" s="917"/>
      <c r="F29" s="918"/>
      <c r="G29" s="919"/>
      <c r="H29" s="298"/>
      <c r="I29" s="527"/>
      <c r="J29" s="413"/>
      <c r="K29" s="380"/>
      <c r="L29" s="380"/>
      <c r="M29" s="380"/>
      <c r="N29" s="318">
        <f t="shared" si="19"/>
        <v>7.75</v>
      </c>
      <c r="O29" s="318">
        <f t="shared" si="20"/>
        <v>3.916666666666667</v>
      </c>
      <c r="P29" s="318">
        <f>IF(Stamoplysninger!$H$29="JA",Oktober!DG29,CX29)</f>
        <v>0.83333333333333337</v>
      </c>
      <c r="Q29" s="318">
        <f t="shared" si="21"/>
        <v>2.9999999999999996</v>
      </c>
      <c r="R29" s="319"/>
      <c r="S29" s="324"/>
      <c r="T29" s="325"/>
      <c r="U29" s="325"/>
      <c r="V29" s="435"/>
      <c r="W29" s="412"/>
      <c r="X29" s="642"/>
      <c r="Y29">
        <f t="shared" si="22"/>
        <v>0</v>
      </c>
      <c r="Z29">
        <f t="shared" si="2"/>
        <v>0</v>
      </c>
      <c r="AA29" s="1">
        <f t="shared" si="3"/>
        <v>0</v>
      </c>
      <c r="AB29" s="1">
        <f t="shared" si="4"/>
        <v>0</v>
      </c>
      <c r="AC29" s="1">
        <f t="shared" si="5"/>
        <v>0</v>
      </c>
      <c r="AD29" s="1">
        <f t="shared" si="6"/>
        <v>0</v>
      </c>
      <c r="AE29" s="1">
        <f t="shared" si="7"/>
        <v>0</v>
      </c>
      <c r="AF29" s="1">
        <f>IF(C29="Orlov",7.4*Stamoplysninger!$E$15,0)</f>
        <v>0</v>
      </c>
      <c r="AG29">
        <f>IF(AND(C29="Skema 1",B29="ma"),Arbejdstidsoversigt!$E$72,"")</f>
        <v>7.75</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7.75</v>
      </c>
      <c r="BB29" s="229">
        <f t="shared" si="8"/>
        <v>186</v>
      </c>
      <c r="BC29" s="1">
        <f t="shared" si="24"/>
        <v>0</v>
      </c>
      <c r="BD29" s="1">
        <f t="shared" si="9"/>
        <v>0</v>
      </c>
      <c r="BE29" s="1">
        <f t="shared" si="10"/>
        <v>0</v>
      </c>
      <c r="BF29" s="1">
        <f t="shared" si="11"/>
        <v>0</v>
      </c>
      <c r="BG29" s="210">
        <f>IF(AND(C29="Skema 1",B29="ma"),Skemaoplysninger!$E$30,"")</f>
        <v>0.16319444444444445</v>
      </c>
      <c r="BH29" s="210" t="str">
        <f>IF(AND(C29="Skema 1",B29="ti"),Skemaoplysninger!$G$30,"")</f>
        <v/>
      </c>
      <c r="BI29" s="210" t="str">
        <f>IF(AND(C29="Skema 1",B29="on"),Skemaoplysninger!$I$30,"")</f>
        <v/>
      </c>
      <c r="BJ29" s="210" t="str">
        <f>IF(AND(C29="Skema 1",B29="to"),Skemaoplysninger!$K$30,"")</f>
        <v/>
      </c>
      <c r="BK29" s="210" t="str">
        <f>IF(AND(C29="Skema 1",B29="fr"),Skemaoplysninger!$M$30,"")</f>
        <v/>
      </c>
      <c r="BL29" s="210" t="str">
        <f>IF(AND(C29="Skema 2",B29="ma"),Skemaoplysninger!$S$30,"")</f>
        <v/>
      </c>
      <c r="BM29" s="210" t="str">
        <f>IF(AND(C29="Skema 2",B29="ti"),Skemaoplysninger!$U$30,"")</f>
        <v/>
      </c>
      <c r="BN29" s="210" t="str">
        <f>IF(AND(C29="Skema 2",B29="on"),Skemaoplysninger!$W$30,"")</f>
        <v/>
      </c>
      <c r="BO29" s="210" t="str">
        <f>IF(AND(C29="Skema 2",B29="to"),Skemaoplysninger!$Y$30,"")</f>
        <v/>
      </c>
      <c r="BP29" s="210" t="str">
        <f>IF(AND(C29="Skema 2",B29="fr"),Skemaoplysninger!$AA$30,"")</f>
        <v/>
      </c>
      <c r="BQ29" s="210" t="str">
        <f>IF(AND(C29="Skema 3",B29="ma"),Skemaoplysninger!$AG$30,"")</f>
        <v/>
      </c>
      <c r="BR29" s="210" t="str">
        <f>IF(AND(C29="Skema 3",B29="ti"),Skemaoplysninger!$AI$30,"")</f>
        <v/>
      </c>
      <c r="BS29" s="210" t="str">
        <f>IF(AND(C29="Skema 3",B29="on"),Skemaoplysninger!$AK$30,"")</f>
        <v/>
      </c>
      <c r="BT29" s="210" t="str">
        <f>IF(AND(C29="Skema 3",B29="to"),Skemaoplysninger!$AM$30,"")</f>
        <v/>
      </c>
      <c r="BU29" s="210" t="str">
        <f>IF(AND(C29="Skema 3",B29="fr"),Skemaoplysninger!$AO$30,"")</f>
        <v/>
      </c>
      <c r="BV29" s="210" t="str">
        <f>IF(AND(C29="Skema 4",B29="ma"),Skemaoplysninger!$AU$30,"")</f>
        <v/>
      </c>
      <c r="BW29" s="210" t="str">
        <f>IF(AND(C29="Skema 4",B29="ti"),Skemaoplysninger!$AW$30,"")</f>
        <v/>
      </c>
      <c r="BX29" s="210" t="str">
        <f>IF(AND(C29="Skema 4",B29="on"),Skemaoplysninger!$AY$30,"")</f>
        <v/>
      </c>
      <c r="BY29" s="210" t="str">
        <f>IF(AND(C29="Skema 4",B29="to"),Skemaoplysninger!$BA$30,"")</f>
        <v/>
      </c>
      <c r="BZ29" s="210" t="str">
        <f>IF(AND(C29="Skema 4",B29="fr"),Skemaoplysninger!$BC$30,"")</f>
        <v/>
      </c>
      <c r="CA29" s="1">
        <f t="shared" si="25"/>
        <v>3.916666666666667</v>
      </c>
      <c r="CB29" s="1">
        <f t="shared" si="12"/>
        <v>0</v>
      </c>
      <c r="CC29" s="1">
        <f t="shared" si="13"/>
        <v>0</v>
      </c>
      <c r="CD29" s="210">
        <f>IF(AND(C29="Skema 1",B29="ma"),Skemaoplysninger!$E$31,"")</f>
        <v>3.4722222222222224E-2</v>
      </c>
      <c r="CE29" s="210" t="str">
        <f>IF(AND(C29="Skema 1",B29="ti"),Skemaoplysninger!$G$31,"")</f>
        <v/>
      </c>
      <c r="CF29" s="210" t="str">
        <f>IF(AND(C29="Skema 1",B29="on"),Skemaoplysninger!$I$31,"")</f>
        <v/>
      </c>
      <c r="CG29" s="210" t="str">
        <f>IF(AND(C29="Skema 1",B29="to"),Skemaoplysninger!$K$31,"")</f>
        <v/>
      </c>
      <c r="CH29" s="210" t="str">
        <f>IF(AND(C29="Skema 1",B29="fr"),Skemaoplysninger!$M$31,"")</f>
        <v/>
      </c>
      <c r="CI29" s="210" t="str">
        <f>IF(AND(C29="Skema 2",B29="ma"),Skemaoplysninger!$S$31,"")</f>
        <v/>
      </c>
      <c r="CJ29" s="210" t="str">
        <f>IF(AND(C29="Skema 2",B29="ti"),Skemaoplysninger!$U$31,"")</f>
        <v/>
      </c>
      <c r="CK29" s="210" t="str">
        <f>IF(AND(C29="Skema 2",B29="on"),Skemaoplysninger!$W$31,"")</f>
        <v/>
      </c>
      <c r="CL29" s="210" t="str">
        <f>IF(AND(C29="Skema 2",B29="to"),Skemaoplysninger!$Y$31,"")</f>
        <v/>
      </c>
      <c r="CM29" s="210" t="str">
        <f>IF(AND(C29="Skema 2",B29="fr"),Skemaoplysninger!$AA$31,"")</f>
        <v/>
      </c>
      <c r="CN29" s="210" t="str">
        <f>IF(AND(C29="Skema 3",B29="ma"),Skemaoplysninger!$AG$31,"")</f>
        <v/>
      </c>
      <c r="CO29" s="210" t="str">
        <f>IF(AND(C29="Skema 3",B29="ti"),Skemaoplysninger!$AI$31,"")</f>
        <v/>
      </c>
      <c r="CP29" s="210" t="str">
        <f>IF(AND(C29="Skema 3",B29="on"),Skemaoplysninger!$AK$31,"")</f>
        <v/>
      </c>
      <c r="CQ29" s="210" t="str">
        <f>IF(AND(C29="Skema 3",B29="to"),Skemaoplysninger!$AM$31,"")</f>
        <v/>
      </c>
      <c r="CR29" s="210" t="str">
        <f>IF(AND(C29="Skema 3",B29="fr"),Skemaoplysninger!$AO$31,"")</f>
        <v/>
      </c>
      <c r="CS29" s="210" t="str">
        <f>IF(AND(C29="Skema 4",B29="ma"),Skemaoplysninger!$AU$31,"")</f>
        <v/>
      </c>
      <c r="CT29" s="210" t="str">
        <f>IF(AND(C29="Skema 4",B29="ti"),Skemaoplysninger!$AW$31,"")</f>
        <v/>
      </c>
      <c r="CU29" s="210" t="str">
        <f>IF(AND(C29="Skema 4",B29="on"),Skemaoplysninger!$AY$31,"")</f>
        <v/>
      </c>
      <c r="CV29" s="210" t="str">
        <f>IF(AND(C29="Skema 4",B29="to"),Skemaoplysninger!$BA$31,"")</f>
        <v/>
      </c>
      <c r="CW29" s="210" t="str">
        <f>IF(AND(C29="Skema 4",B29="fr"),Skemaoplysninger!$BC$31,"")</f>
        <v/>
      </c>
      <c r="CX29" s="249">
        <f>IF(Stamoplysninger!$H$29="NEJ",SUM(CD29:CW29)*24+CB29+CC29,0)</f>
        <v>0.83333333333333337</v>
      </c>
      <c r="CY29" s="249">
        <f>IF(C29="Skema 1",Stamoplysninger!$H$30/200,0)</f>
        <v>0</v>
      </c>
      <c r="CZ29" s="249">
        <f>IF(C29="Skema 2",Stamoplysninger!$H$30/200,0)</f>
        <v>0</v>
      </c>
      <c r="DA29" s="249">
        <f>IF(C29="Skema 3",Stamoplysninger!$H$30/200,0)</f>
        <v>0</v>
      </c>
      <c r="DB29" s="249">
        <f>IF(C29="Skema 4",Stamoplysninger!$H$30/200,0)</f>
        <v>0</v>
      </c>
      <c r="DC29" s="249">
        <f>IF(C29="fagdag",Stamoplysninger!$H$30/200,0)</f>
        <v>0</v>
      </c>
      <c r="DD29" s="249">
        <f>IF(C29="emnedag",Stamoplysninger!$H$30/200,0)</f>
        <v>0</v>
      </c>
      <c r="DE29" s="249">
        <f>IF(C29="lejrskole",Stamoplysninger!$H$30/200,0)</f>
        <v>0</v>
      </c>
      <c r="DF29" s="249">
        <f>IF(C29="ekskursion",Stamoplysninger!$H$30/200,0)</f>
        <v>0</v>
      </c>
      <c r="DG29" s="249">
        <f t="shared" si="26"/>
        <v>0</v>
      </c>
      <c r="DH29" t="str">
        <f t="shared" si="27"/>
        <v/>
      </c>
      <c r="DI29">
        <f t="shared" si="28"/>
        <v>0</v>
      </c>
      <c r="DJ29">
        <f t="shared" si="29"/>
        <v>0</v>
      </c>
      <c r="DK29" t="str">
        <f t="shared" si="14"/>
        <v/>
      </c>
      <c r="DL29" t="str">
        <f t="shared" si="14"/>
        <v/>
      </c>
      <c r="DM29" t="str">
        <f t="shared" si="14"/>
        <v/>
      </c>
      <c r="DN29" t="str">
        <f t="shared" si="30"/>
        <v/>
      </c>
      <c r="DO29" s="652">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71">
        <f>IF(AND(Stamoplysninger!$B$22="Ulempetillæg udbetales med 25% af nettotimelønnen.",C29="ikke relevant"),(R29)/4,0)</f>
        <v>0</v>
      </c>
      <c r="DT29" s="671">
        <f>IF(AND(AND(Stamoplysninger!$B$22="Ulempetillæg udbetales med 25% af nettotimelønnen.",I29="X",C29="Ikke relevant")),K29/4,0)</f>
        <v>0</v>
      </c>
      <c r="DU29" s="671">
        <f>IF(AND(AND(Stamoplysninger!$B$22="Ulempetillæg udbetales med 25% af nettotimelønnen.",C29="ikke relevant",U29="X")),(X29/4),0)</f>
        <v>0</v>
      </c>
      <c r="DV29" s="672">
        <f>IF(AND(AND(AND(Stamoplysninger!$B$22="Ulempetillæg udbetales med 25% af nettotimelønnen.",I29="X",C29="Ikke relevant",S29="X"))),V29/4,0)</f>
        <v>0</v>
      </c>
      <c r="DW29" s="652"/>
      <c r="DZ29" s="671"/>
      <c r="EA29" s="671"/>
      <c r="EB29" s="672"/>
      <c r="EC29" s="652">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71">
        <f>IF(AND(Stamoplysninger!$B$22="Ulempetillæg afspadseres med 25%(Kræver en aftale imellem ledelsen og den ansatte)",C29="ikke relevant"),(R29)/4,0)</f>
        <v>0</v>
      </c>
      <c r="EH29" s="671">
        <f>IF(AND(AND(Stamoplysninger!$B$22="Ulempetillæg afspadseres med 25%(Kræver en aftale imellem ledelsen og den ansatte)",I29="X",C29="Ikke relevant")),K29/4,0)</f>
        <v>0</v>
      </c>
      <c r="EI29" s="671">
        <f>IF(AND(AND(Stamoplysninger!$B$22="Ulempetillæg afspadseres med 25%(Kræver en aftale imellem ledelsen og den ansatte)",U29="X",C29="Ikke relevant")),X29/4,0)</f>
        <v>0</v>
      </c>
      <c r="EJ29" s="671">
        <f>IF(AND(AND(AND(Stamoplysninger!$B$22="Ulempetillæg afspadseres med 25%(Kræver en aftale imellem ledelsen og den ansatte)",I29="X",C29="Ikke relevant",S29="X"))),V29/4,0)</f>
        <v>0</v>
      </c>
      <c r="EK29" s="283">
        <f>IF(AND(Stamoplysninger!$B$26="Weekendtimer og weekendtillæg afspadseres.",I29="X"),K29*1.5,0)</f>
        <v>0</v>
      </c>
      <c r="EL29" s="251">
        <f>IF(AND(AND(Stamoplysninger!$B$26="Weekendtimer og weekendtillæg afspadseres.",I29="X",S29="X")),V29*1.5,0)</f>
        <v>0</v>
      </c>
      <c r="EM29" s="674">
        <f>IF(AND(AND(Stamoplysninger!$B$26="Weekendtimer og weekendtillæg afspadseres.",I29="X",C29="ikke relevant")),K29*1.5,0)</f>
        <v>0</v>
      </c>
      <c r="EN29" s="675">
        <f>IF(AND(AND(AND(Stamoplysninger!$B$26="Weekendtimer og weekendtillæg afspadseres.",I29="X",C29="ikke relevant",S29="X"))),(V29*1.5),0)</f>
        <v>0</v>
      </c>
      <c r="EO29" s="283">
        <f>IF(AND(Stamoplysninger!$B$26="Weekendtimer og weekendtillæg udbetales.",I29="X"),K29*1.5,0)</f>
        <v>0</v>
      </c>
      <c r="EP29" s="251">
        <f>IF(AND(AND(Stamoplysninger!$B$26="Weekendtimer og weekendtillæg udbetales.",I29="X",S29="X")),V29*1.5,0)</f>
        <v>0</v>
      </c>
      <c r="EQ29" s="674">
        <f>IF(AND(AND(Stamoplysninger!$B$26="Weekendtimer og weekendtillæg udbetales.",I29="X",C29="ikke relevant")),K29*1.5,0)</f>
        <v>0</v>
      </c>
      <c r="ER29" s="675">
        <f>IF(AND(AND(AND(Stamoplysninger!$B$26="Weekendtimer og weekendtillæg udbetales.",I29="X",C29="ikke relevant",S29="X"))),(V29*1.5),0)</f>
        <v>0</v>
      </c>
      <c r="ES29" s="283">
        <f>IF(AND(Stamoplysninger!$B$26="Der er indgået lokalaftale omkring weekendtimer.(Kræver aftale med TR/FSL) Weekendtillæg afspadseres.",I29="X"),K29*0.5,0)</f>
        <v>0</v>
      </c>
      <c r="ET29" s="251">
        <f>IF(AND(AND(Stamoplysninger!$B$26="Der er indgået lokalaftale omkring weekendtimer.(Kræver aftale med TR/FSL) Weekendtillæg afspadseres.",I29="X",S29="X")),V29*0.5,0)</f>
        <v>0</v>
      </c>
      <c r="EU29" s="674">
        <f>IF(AND(AND(Stamoplysninger!$B$26="Der er indgået lokalaftale omkring weekendtimer.(Kræver aftale med TR/FSL) Weekendtillæg afspadseres.",I29="X",C29="ikke relevant")),K29*0.5,0)</f>
        <v>0</v>
      </c>
      <c r="EV29" s="675">
        <f>IF(AND(AND(AND(Stamoplysninger!$B$26="Der er indgået lokalaftale omkring weekendtimer.(Kræver aftale med TR/FSL) Weekendtillæg afspadseres.",I29="X",C29="ikke relevant",S29="X"))),(V29*0.5),0)</f>
        <v>0</v>
      </c>
      <c r="EW29" s="283">
        <f>IF(AND(Stamoplysninger!$B$26="Der er indgået lokalaftale omkring weekendtimer(Kræver aftale med TR/FSL). Weekendtillæg udbetales.",I29="X"),K29*0.5,0)</f>
        <v>0</v>
      </c>
      <c r="EX29" s="251">
        <f>IF(AND(AND(Stamoplysninger!$B$26="Der er indgået lokalaftale omkring weekendtimer(Kræver aftale med TR/FSL). Weekendtillæg udbetales.",I29="X",S29="X")),V29*0.5,0)</f>
        <v>0</v>
      </c>
      <c r="EY29" s="674">
        <f>IF(AND(AND(Stamoplysninger!$B$26="Der er indgået lokalaftale omkring weekendtimer(Kræver aftale med TR/FSL). Weekendtillæg udbetales.",I29="X",C29="ikke relevant")),K29*0.5,0)</f>
        <v>0</v>
      </c>
      <c r="EZ29" s="675">
        <f>IF(AND(AND(AND(Stamoplysninger!$B$26="Der er indgået lokalaftale omkring weekendtimer(Kræver aftale med TR/FSL). Weekendtillæg udbetales.",I29="X",C29="ikke relevant",S29="X"))),(V29*0.5),0)</f>
        <v>0</v>
      </c>
      <c r="FA29" s="283">
        <f>IF(AND(Stamoplysninger!$B$26="Der er indgået lokalaftale omkring weekendtillæg(Kræver aftale med TR/FSL). Weekendtimerne afspadseres.",I29="X"),K29,0)</f>
        <v>0</v>
      </c>
      <c r="FB29" s="251">
        <f>IF(AND(AND(Stamoplysninger!$B$26="Der er indgået lokalaftale omkring weekendtillæg(Kræver aftale med TR/FSL). Weekendtimerne afspadseres.",I29="X",S29="X")),V29,0)</f>
        <v>0</v>
      </c>
      <c r="FC29" s="674">
        <f>IF(AND(AND(Stamoplysninger!$B$26="Der er indgået lokalaftale omkring weekendtillæg(Kræver aftale med TR/FSL). Weekendtimerne afspadseres..",I29="X",C29="ikke relevant")),K29,0)</f>
        <v>0</v>
      </c>
      <c r="FD29" s="675">
        <f>IF(AND(AND(AND(Stamoplysninger!$B$26="Der er indgået lokalaftale omkring weekendtillæg(Kræver aftale med TR/FSL). Weekendtimerne afspadseres.",I29="X",C29="ikke relevant",S29="X"))),(V29),0)</f>
        <v>0</v>
      </c>
      <c r="FE29" s="283">
        <f>IF(AND(Stamoplysninger!$B$26="Der er indgået lokalaftale omkring weekendtillæg(Kræver aftale med TR/FSL). Weekendtimerne udbetales.",I29="X"),K29,0)</f>
        <v>0</v>
      </c>
      <c r="FF29" s="251">
        <f>IF(AND(AND(Stamoplysninger!$B$26="Der er indgået lokalaftale omkring weekendtillæg(Kræver aftale med TR/FSL). Weekendtimerne udbetales.",I29="X",S29="X")),V29,0)</f>
        <v>0</v>
      </c>
      <c r="FG29" s="674">
        <f>IF(AND(AND(Stamoplysninger!$B$26="Der er indgået lokalaftale omkring weekendtillæg(Kræver aftale med TR/FSL). Weekendtimerne udbetales.",I29="X",C29="ikke relevant")),K29,0)</f>
        <v>0</v>
      </c>
      <c r="FH29" s="675">
        <f>IF(AND(AND(AND(Stamoplysninger!$B$26="Der er indgået lokalaftale omkring weekendtillæg(Kræver aftale med TR/FSL). Weekendtimerne udbetales.",I29="X",C29="ikke relevant",S29="X"))),(V29),0)</f>
        <v>0</v>
      </c>
      <c r="FI29" s="283">
        <f>IF(AND(Stamoplysninger!$B$26="Weekendtimer og weekendtillæg afspadseres.",I29="X"),K29,0)</f>
        <v>0</v>
      </c>
      <c r="FJ29" s="251">
        <f>IF(AND(Stamoplysninger!$B$26="Weekendtimer og weekendtillæg afspadseres.",Y29="X"),(AA29+AL29)/2,0)</f>
        <v>0</v>
      </c>
      <c r="FK29" s="674">
        <f>IF(AND(AND(Stamoplysninger!$B$26="Weekendtimer og weekendtillæg afspadseres.",I29="X",C29="ikke relevant")),K29,0)</f>
        <v>0</v>
      </c>
      <c r="FL29" s="675">
        <f>IF(AND(AND(Stamoplysninger!$B$26="Weekendtimer og weekendtillæg afspadseres.",Y29="X",S29="ikke relevant")),(AA29+AL29)/2,0)</f>
        <v>0</v>
      </c>
      <c r="FM29" s="283">
        <f>IF(AND(Stamoplysninger!$B$26="Der er indgået lokalaftale omkring weekendtillæg(Kræver aftale med TR/FSL). Weekendtimerne afspadseres.",I29="X"),K29,0)</f>
        <v>0</v>
      </c>
      <c r="FN29" s="674">
        <f>IF(AND(AND(Stamoplysninger!$B$26="Der er indgået lokalaftale omkring weekendtillæg(Kræver aftale med TR/FSL). Weekendtimerne afspadseres.",I29="X",C29="ikke relevant")),K29,0)</f>
        <v>0</v>
      </c>
      <c r="FO29" s="283">
        <f>IF(AND(Stamoplysninger!$B$26="Weekendtimer og weekendtillæg udbetales.",I29="X"),K29,0)</f>
        <v>0</v>
      </c>
      <c r="FP29" s="251">
        <f>IF(AND(Stamoplysninger!$B$26="Weekendtimer og weekendtillæg udbetales.",AA29="X"),(AC29+AN29)/2,0)</f>
        <v>0</v>
      </c>
      <c r="FQ29" s="674">
        <f>IF(AND(AND(Stamoplysninger!$B$26="Weekendtimer og weekendtillæg udbetales.",I29="X",C29="ikke relevant")),K29,0)</f>
        <v>0</v>
      </c>
      <c r="FR29" s="688">
        <f>IF(AND(AND(Stamoplysninger!$B$26="Weekendtimer og weekendtillæg udbetales.",AA29="X",U29="ikke relevant")),(AC29+AN29)/2,0)</f>
        <v>0</v>
      </c>
      <c r="FS29" s="283">
        <f t="shared" si="15"/>
        <v>0</v>
      </c>
      <c r="FT29" s="658">
        <f t="shared" si="16"/>
        <v>0</v>
      </c>
      <c r="FU29">
        <f>IF(AND(C29="weekend",I29="X"),K29,0)</f>
        <v>0</v>
      </c>
      <c r="FV29" s="283">
        <f>IF(AND(Stamoplysninger!$B$26="Der er indgået lokalaftale omkring weekendtimer.(Kræver aftale med TR/FSL) Weekendtillæg afspadseres.",I29="X"),K29,0)</f>
        <v>0</v>
      </c>
      <c r="FW29" s="674">
        <f>IF(AND(AND(Stamoplysninger!$B$26="Der er indgået lokalaftale omkring weekendtimer.(Kræver aftale med TR/FSL) Weekendtillæg afspadseres.",I29="X",C29="ikke relevant")),K29,0)</f>
        <v>0</v>
      </c>
      <c r="FX29" s="283">
        <f>IF(AND(Stamoplysninger!$B$26="Der er indgået lokalaftale omkring weekendtimer(Kræver aftale med TR/FSL). Weekendtillæg udbetales.",I29="X"),K29,0)</f>
        <v>0</v>
      </c>
      <c r="FY29" s="674">
        <f>IF(AND(AND(Stamoplysninger!$B$26="Der er indgået lokalaftale omkring weekendtimer(Kræver aftale med TR/FSL). Weekendtillæg udbetales.",I29="X",C29="ikke relevant")),K29,0)</f>
        <v>0</v>
      </c>
      <c r="FZ29" s="283">
        <f>IF(AND(Stamoplysninger!$B$26="Der er indgået lokalaftale omkring weekendtillæg(Kræver aftale med TR/FSL). Weekendtimerne udbetales.",I29="X"),K29,0)</f>
        <v>0</v>
      </c>
      <c r="GA29" s="674">
        <f>IF(AND(AND(Stamoplysninger!$B$26="Der er indgået lokalaftale omkring weekendtillæg(Kræver aftale med TR/FSL). Weekendtimerne udbetales.",I29="X",C29="ikke relevant")),K29,0)</f>
        <v>0</v>
      </c>
      <c r="GB29" s="283">
        <f>IF(AND(Stamoplysninger!$B$26="Der er indgået lokalaftale omkring weekendtimer og weekendtillæg.(Kræver aftale med TR/FSL).",I29="X"),K29,0)</f>
        <v>0</v>
      </c>
      <c r="GC29" s="674">
        <f>IF(AND(AND(Stamoplysninger!$B$26="Der er indgået lokalaftale omkring weekendtimer og weekendtillæg.(Kræver aftale med TR/FSL).",I29="X",C29="ikke relevant")),K29,0)</f>
        <v>0</v>
      </c>
    </row>
    <row r="30" spans="1:185">
      <c r="A30" s="245">
        <f t="shared" si="18"/>
        <v>22</v>
      </c>
      <c r="B30" s="128" t="str">
        <f t="shared" si="0"/>
        <v>ti</v>
      </c>
      <c r="C30" s="129" t="s">
        <v>206</v>
      </c>
      <c r="D30" s="130" t="str">
        <f t="shared" si="1"/>
        <v/>
      </c>
      <c r="E30" s="917"/>
      <c r="F30" s="918"/>
      <c r="G30" s="919"/>
      <c r="H30" s="298"/>
      <c r="I30" s="527"/>
      <c r="J30" s="413"/>
      <c r="K30" s="380"/>
      <c r="L30" s="380"/>
      <c r="M30" s="380"/>
      <c r="N30" s="318">
        <f t="shared" si="19"/>
        <v>7.75</v>
      </c>
      <c r="O30" s="318">
        <f t="shared" si="20"/>
        <v>4.5</v>
      </c>
      <c r="P30" s="318">
        <f>IF(Stamoplysninger!$H$29="JA",Oktober!DG30,CX30)</f>
        <v>1</v>
      </c>
      <c r="Q30" s="318">
        <f t="shared" si="21"/>
        <v>2.25</v>
      </c>
      <c r="R30" s="319"/>
      <c r="S30" s="324"/>
      <c r="T30" s="325"/>
      <c r="U30" s="325"/>
      <c r="V30" s="435"/>
      <c r="W30" s="412"/>
      <c r="X30" s="642"/>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f>IF(AND(C30="Skema 1",B30="ti"),Arbejdstidsoversigt!$E$73,"")</f>
        <v>7.75</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7.75</v>
      </c>
      <c r="BB30" s="229">
        <f t="shared" si="8"/>
        <v>186</v>
      </c>
      <c r="BC30" s="1">
        <f t="shared" si="24"/>
        <v>0</v>
      </c>
      <c r="BD30" s="1">
        <f t="shared" si="9"/>
        <v>0</v>
      </c>
      <c r="BE30" s="1">
        <f t="shared" si="10"/>
        <v>0</v>
      </c>
      <c r="BF30" s="1">
        <f t="shared" si="11"/>
        <v>0</v>
      </c>
      <c r="BG30" s="210" t="str">
        <f>IF(AND(C30="Skema 1",B30="ma"),Skemaoplysninger!$E$30,"")</f>
        <v/>
      </c>
      <c r="BH30" s="210">
        <f>IF(AND(C30="Skema 1",B30="ti"),Skemaoplysninger!$G$30,"")</f>
        <v>0.1875</v>
      </c>
      <c r="BI30" s="210" t="str">
        <f>IF(AND(C30="Skema 1",B30="on"),Skemaoplysninger!$I$30,"")</f>
        <v/>
      </c>
      <c r="BJ30" s="210" t="str">
        <f>IF(AND(C30="Skema 1",B30="to"),Skemaoplysninger!$K$30,"")</f>
        <v/>
      </c>
      <c r="BK30" s="210" t="str">
        <f>IF(AND(C30="Skema 1",B30="fr"),Skemaoplysninger!$M$30,"")</f>
        <v/>
      </c>
      <c r="BL30" s="210" t="str">
        <f>IF(AND(C30="Skema 2",B30="ma"),Skemaoplysninger!$S$30,"")</f>
        <v/>
      </c>
      <c r="BM30" s="210" t="str">
        <f>IF(AND(C30="Skema 2",B30="ti"),Skemaoplysninger!$U$30,"")</f>
        <v/>
      </c>
      <c r="BN30" s="210" t="str">
        <f>IF(AND(C30="Skema 2",B30="on"),Skemaoplysninger!$W$30,"")</f>
        <v/>
      </c>
      <c r="BO30" s="210" t="str">
        <f>IF(AND(C30="Skema 2",B30="to"),Skemaoplysninger!$Y$30,"")</f>
        <v/>
      </c>
      <c r="BP30" s="210" t="str">
        <f>IF(AND(C30="Skema 2",B30="fr"),Skemaoplysninger!$AA$30,"")</f>
        <v/>
      </c>
      <c r="BQ30" s="210" t="str">
        <f>IF(AND(C30="Skema 3",B30="ma"),Skemaoplysninger!$AG$30,"")</f>
        <v/>
      </c>
      <c r="BR30" s="210" t="str">
        <f>IF(AND(C30="Skema 3",B30="ti"),Skemaoplysninger!$AI$30,"")</f>
        <v/>
      </c>
      <c r="BS30" s="210" t="str">
        <f>IF(AND(C30="Skema 3",B30="on"),Skemaoplysninger!$AK$30,"")</f>
        <v/>
      </c>
      <c r="BT30" s="210" t="str">
        <f>IF(AND(C30="Skema 3",B30="to"),Skemaoplysninger!$AM$30,"")</f>
        <v/>
      </c>
      <c r="BU30" s="210" t="str">
        <f>IF(AND(C30="Skema 3",B30="fr"),Skemaoplysninger!$AO$30,"")</f>
        <v/>
      </c>
      <c r="BV30" s="210" t="str">
        <f>IF(AND(C30="Skema 4",B30="ma"),Skemaoplysninger!$AU$30,"")</f>
        <v/>
      </c>
      <c r="BW30" s="210" t="str">
        <f>IF(AND(C30="Skema 4",B30="ti"),Skemaoplysninger!$AW$30,"")</f>
        <v/>
      </c>
      <c r="BX30" s="210" t="str">
        <f>IF(AND(C30="Skema 4",B30="on"),Skemaoplysninger!$AY$30,"")</f>
        <v/>
      </c>
      <c r="BY30" s="210" t="str">
        <f>IF(AND(C30="Skema 4",B30="to"),Skemaoplysninger!$BA$30,"")</f>
        <v/>
      </c>
      <c r="BZ30" s="210" t="str">
        <f>IF(AND(C30="Skema 4",B30="fr"),Skemaoplysninger!$BC$30,"")</f>
        <v/>
      </c>
      <c r="CA30" s="1">
        <f t="shared" si="25"/>
        <v>4.5</v>
      </c>
      <c r="CB30" s="1">
        <f t="shared" si="12"/>
        <v>0</v>
      </c>
      <c r="CC30" s="1">
        <f t="shared" si="13"/>
        <v>0</v>
      </c>
      <c r="CD30" s="210" t="str">
        <f>IF(AND(C30="Skema 1",B30="ma"),Skemaoplysninger!$E$31,"")</f>
        <v/>
      </c>
      <c r="CE30" s="210">
        <f>IF(AND(C30="Skema 1",B30="ti"),Skemaoplysninger!$G$31,"")</f>
        <v>4.1666666666666671E-2</v>
      </c>
      <c r="CF30" s="210" t="str">
        <f>IF(AND(C30="Skema 1",B30="on"),Skemaoplysninger!$I$31,"")</f>
        <v/>
      </c>
      <c r="CG30" s="210" t="str">
        <f>IF(AND(C30="Skema 1",B30="to"),Skemaoplysninger!$K$31,"")</f>
        <v/>
      </c>
      <c r="CH30" s="210" t="str">
        <f>IF(AND(C30="Skema 1",B30="fr"),Skemaoplysninger!$M$31,"")</f>
        <v/>
      </c>
      <c r="CI30" s="210" t="str">
        <f>IF(AND(C30="Skema 2",B30="ma"),Skemaoplysninger!$S$31,"")</f>
        <v/>
      </c>
      <c r="CJ30" s="210" t="str">
        <f>IF(AND(C30="Skema 2",B30="ti"),Skemaoplysninger!$U$31,"")</f>
        <v/>
      </c>
      <c r="CK30" s="210" t="str">
        <f>IF(AND(C30="Skema 2",B30="on"),Skemaoplysninger!$W$31,"")</f>
        <v/>
      </c>
      <c r="CL30" s="210" t="str">
        <f>IF(AND(C30="Skema 2",B30="to"),Skemaoplysninger!$Y$31,"")</f>
        <v/>
      </c>
      <c r="CM30" s="210" t="str">
        <f>IF(AND(C30="Skema 2",B30="fr"),Skemaoplysninger!$AA$31,"")</f>
        <v/>
      </c>
      <c r="CN30" s="210" t="str">
        <f>IF(AND(C30="Skema 3",B30="ma"),Skemaoplysninger!$AG$31,"")</f>
        <v/>
      </c>
      <c r="CO30" s="210" t="str">
        <f>IF(AND(C30="Skema 3",B30="ti"),Skemaoplysninger!$AI$31,"")</f>
        <v/>
      </c>
      <c r="CP30" s="210" t="str">
        <f>IF(AND(C30="Skema 3",B30="on"),Skemaoplysninger!$AK$31,"")</f>
        <v/>
      </c>
      <c r="CQ30" s="210" t="str">
        <f>IF(AND(C30="Skema 3",B30="to"),Skemaoplysninger!$AM$31,"")</f>
        <v/>
      </c>
      <c r="CR30" s="210" t="str">
        <f>IF(AND(C30="Skema 3",B30="fr"),Skemaoplysninger!$AO$31,"")</f>
        <v/>
      </c>
      <c r="CS30" s="210" t="str">
        <f>IF(AND(C30="Skema 4",B30="ma"),Skemaoplysninger!$AU$31,"")</f>
        <v/>
      </c>
      <c r="CT30" s="210" t="str">
        <f>IF(AND(C30="Skema 4",B30="ti"),Skemaoplysninger!$AW$31,"")</f>
        <v/>
      </c>
      <c r="CU30" s="210" t="str">
        <f>IF(AND(C30="Skema 4",B30="on"),Skemaoplysninger!$AY$31,"")</f>
        <v/>
      </c>
      <c r="CV30" s="210" t="str">
        <f>IF(AND(C30="Skema 4",B30="to"),Skemaoplysninger!$BA$31,"")</f>
        <v/>
      </c>
      <c r="CW30" s="210" t="str">
        <f>IF(AND(C30="Skema 4",B30="fr"),Skemaoplysninger!$BC$31,"")</f>
        <v/>
      </c>
      <c r="CX30" s="249">
        <f>IF(Stamoplysninger!$H$29="NEJ",SUM(CD30:CW30)*24+CB30+CC30,0)</f>
        <v>1</v>
      </c>
      <c r="CY30" s="249">
        <f>IF(C30="Skema 1",Stamoplysninger!$H$30/200,0)</f>
        <v>0</v>
      </c>
      <c r="CZ30" s="249">
        <f>IF(C30="Skema 2",Stamoplysninger!$H$30/200,0)</f>
        <v>0</v>
      </c>
      <c r="DA30" s="249">
        <f>IF(C30="Skema 3",Stamoplysninger!$H$30/200,0)</f>
        <v>0</v>
      </c>
      <c r="DB30" s="249">
        <f>IF(C30="Skema 4",Stamoplysninger!$H$30/200,0)</f>
        <v>0</v>
      </c>
      <c r="DC30" s="249">
        <f>IF(C30="fagdag",Stamoplysninger!$H$30/200,0)</f>
        <v>0</v>
      </c>
      <c r="DD30" s="249">
        <f>IF(C30="emnedag",Stamoplysninger!$H$30/200,0)</f>
        <v>0</v>
      </c>
      <c r="DE30" s="249">
        <f>IF(C30="lejrskole",Stamoplysninger!$H$30/200,0)</f>
        <v>0</v>
      </c>
      <c r="DF30" s="249">
        <f>IF(C30="ekskursion",Stamoplysninger!$H$30/200,0)</f>
        <v>0</v>
      </c>
      <c r="DG30" s="249">
        <f t="shared" si="26"/>
        <v>0</v>
      </c>
      <c r="DH30" t="str">
        <f t="shared" si="27"/>
        <v/>
      </c>
      <c r="DI30">
        <f t="shared" si="28"/>
        <v>0</v>
      </c>
      <c r="DJ30">
        <f t="shared" si="29"/>
        <v>0</v>
      </c>
      <c r="DK30" t="str">
        <f t="shared" si="14"/>
        <v/>
      </c>
      <c r="DL30" t="str">
        <f t="shared" si="14"/>
        <v/>
      </c>
      <c r="DM30" t="str">
        <f t="shared" si="14"/>
        <v/>
      </c>
      <c r="DN30" t="str">
        <f t="shared" si="30"/>
        <v/>
      </c>
      <c r="DO30" s="652">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71">
        <f>IF(AND(Stamoplysninger!$B$22="Ulempetillæg udbetales med 25% af nettotimelønnen.",C30="ikke relevant"),(R30)/4,0)</f>
        <v>0</v>
      </c>
      <c r="DT30" s="671">
        <f>IF(AND(AND(Stamoplysninger!$B$22="Ulempetillæg udbetales med 25% af nettotimelønnen.",I30="X",C30="Ikke relevant")),K30/4,0)</f>
        <v>0</v>
      </c>
      <c r="DU30" s="671">
        <f>IF(AND(AND(Stamoplysninger!$B$22="Ulempetillæg udbetales med 25% af nettotimelønnen.",C30="ikke relevant",U30="X")),(X30/4),0)</f>
        <v>0</v>
      </c>
      <c r="DV30" s="672">
        <f>IF(AND(AND(AND(Stamoplysninger!$B$22="Ulempetillæg udbetales med 25% af nettotimelønnen.",I30="X",C30="Ikke relevant",S30="X"))),V30/4,0)</f>
        <v>0</v>
      </c>
      <c r="DW30" s="652"/>
      <c r="DZ30" s="671"/>
      <c r="EA30" s="671"/>
      <c r="EB30" s="672"/>
      <c r="EC30" s="652">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71">
        <f>IF(AND(Stamoplysninger!$B$22="Ulempetillæg afspadseres med 25%(Kræver en aftale imellem ledelsen og den ansatte)",C30="ikke relevant"),(R30)/4,0)</f>
        <v>0</v>
      </c>
      <c r="EH30" s="671">
        <f>IF(AND(AND(Stamoplysninger!$B$22="Ulempetillæg afspadseres med 25%(Kræver en aftale imellem ledelsen og den ansatte)",I30="X",C30="Ikke relevant")),K30/4,0)</f>
        <v>0</v>
      </c>
      <c r="EI30" s="671">
        <f>IF(AND(AND(Stamoplysninger!$B$22="Ulempetillæg afspadseres med 25%(Kræver en aftale imellem ledelsen og den ansatte)",U30="X",C30="Ikke relevant")),X30/4,0)</f>
        <v>0</v>
      </c>
      <c r="EJ30" s="671">
        <f>IF(AND(AND(AND(Stamoplysninger!$B$22="Ulempetillæg afspadseres med 25%(Kræver en aftale imellem ledelsen og den ansatte)",I30="X",C30="Ikke relevant",S30="X"))),V30/4,0)</f>
        <v>0</v>
      </c>
      <c r="EK30" s="283">
        <f>IF(AND(Stamoplysninger!$B$26="Weekendtimer og weekendtillæg afspadseres.",I30="X"),K30*1.5,0)</f>
        <v>0</v>
      </c>
      <c r="EL30" s="251">
        <f>IF(AND(AND(Stamoplysninger!$B$26="Weekendtimer og weekendtillæg afspadseres.",I30="X",S30="X")),V30*1.5,0)</f>
        <v>0</v>
      </c>
      <c r="EM30" s="674">
        <f>IF(AND(AND(Stamoplysninger!$B$26="Weekendtimer og weekendtillæg afspadseres.",I30="X",C30="ikke relevant")),K30*1.5,0)</f>
        <v>0</v>
      </c>
      <c r="EN30" s="675">
        <f>IF(AND(AND(AND(Stamoplysninger!$B$26="Weekendtimer og weekendtillæg afspadseres.",I30="X",C30="ikke relevant",S30="X"))),(V30*1.5),0)</f>
        <v>0</v>
      </c>
      <c r="EO30" s="283">
        <f>IF(AND(Stamoplysninger!$B$26="Weekendtimer og weekendtillæg udbetales.",I30="X"),K30*1.5,0)</f>
        <v>0</v>
      </c>
      <c r="EP30" s="251">
        <f>IF(AND(AND(Stamoplysninger!$B$26="Weekendtimer og weekendtillæg udbetales.",I30="X",S30="X")),V30*1.5,0)</f>
        <v>0</v>
      </c>
      <c r="EQ30" s="674">
        <f>IF(AND(AND(Stamoplysninger!$B$26="Weekendtimer og weekendtillæg udbetales.",I30="X",C30="ikke relevant")),K30*1.5,0)</f>
        <v>0</v>
      </c>
      <c r="ER30" s="675">
        <f>IF(AND(AND(AND(Stamoplysninger!$B$26="Weekendtimer og weekendtillæg udbetales.",I30="X",C30="ikke relevant",S30="X"))),(V30*1.5),0)</f>
        <v>0</v>
      </c>
      <c r="ES30" s="283">
        <f>IF(AND(Stamoplysninger!$B$26="Der er indgået lokalaftale omkring weekendtimer.(Kræver aftale med TR/FSL) Weekendtillæg afspadseres.",I30="X"),K30*0.5,0)</f>
        <v>0</v>
      </c>
      <c r="ET30" s="251">
        <f>IF(AND(AND(Stamoplysninger!$B$26="Der er indgået lokalaftale omkring weekendtimer.(Kræver aftale med TR/FSL) Weekendtillæg afspadseres.",I30="X",S30="X")),V30*0.5,0)</f>
        <v>0</v>
      </c>
      <c r="EU30" s="674">
        <f>IF(AND(AND(Stamoplysninger!$B$26="Der er indgået lokalaftale omkring weekendtimer.(Kræver aftale med TR/FSL) Weekendtillæg afspadseres.",I30="X",C30="ikke relevant")),K30*0.5,0)</f>
        <v>0</v>
      </c>
      <c r="EV30" s="675">
        <f>IF(AND(AND(AND(Stamoplysninger!$B$26="Der er indgået lokalaftale omkring weekendtimer.(Kræver aftale med TR/FSL) Weekendtillæg afspadseres.",I30="X",C30="ikke relevant",S30="X"))),(V30*0.5),0)</f>
        <v>0</v>
      </c>
      <c r="EW30" s="283">
        <f>IF(AND(Stamoplysninger!$B$26="Der er indgået lokalaftale omkring weekendtimer(Kræver aftale med TR/FSL). Weekendtillæg udbetales.",I30="X"),K30*0.5,0)</f>
        <v>0</v>
      </c>
      <c r="EX30" s="251">
        <f>IF(AND(AND(Stamoplysninger!$B$26="Der er indgået lokalaftale omkring weekendtimer(Kræver aftale med TR/FSL). Weekendtillæg udbetales.",I30="X",S30="X")),V30*0.5,0)</f>
        <v>0</v>
      </c>
      <c r="EY30" s="674">
        <f>IF(AND(AND(Stamoplysninger!$B$26="Der er indgået lokalaftale omkring weekendtimer(Kræver aftale med TR/FSL). Weekendtillæg udbetales.",I30="X",C30="ikke relevant")),K30*0.5,0)</f>
        <v>0</v>
      </c>
      <c r="EZ30" s="675">
        <f>IF(AND(AND(AND(Stamoplysninger!$B$26="Der er indgået lokalaftale omkring weekendtimer(Kræver aftale med TR/FSL). Weekendtillæg udbetales.",I30="X",C30="ikke relevant",S30="X"))),(V30*0.5),0)</f>
        <v>0</v>
      </c>
      <c r="FA30" s="283">
        <f>IF(AND(Stamoplysninger!$B$26="Der er indgået lokalaftale omkring weekendtillæg(Kræver aftale med TR/FSL). Weekendtimerne afspadseres.",I30="X"),K30,0)</f>
        <v>0</v>
      </c>
      <c r="FB30" s="251">
        <f>IF(AND(AND(Stamoplysninger!$B$26="Der er indgået lokalaftale omkring weekendtillæg(Kræver aftale med TR/FSL). Weekendtimerne afspadseres.",I30="X",S30="X")),V30,0)</f>
        <v>0</v>
      </c>
      <c r="FC30" s="674">
        <f>IF(AND(AND(Stamoplysninger!$B$26="Der er indgået lokalaftale omkring weekendtillæg(Kræver aftale med TR/FSL). Weekendtimerne afspadseres..",I30="X",C30="ikke relevant")),K30,0)</f>
        <v>0</v>
      </c>
      <c r="FD30" s="675">
        <f>IF(AND(AND(AND(Stamoplysninger!$B$26="Der er indgået lokalaftale omkring weekendtillæg(Kræver aftale med TR/FSL). Weekendtimerne afspadseres.",I30="X",C30="ikke relevant",S30="X"))),(V30),0)</f>
        <v>0</v>
      </c>
      <c r="FE30" s="283">
        <f>IF(AND(Stamoplysninger!$B$26="Der er indgået lokalaftale omkring weekendtillæg(Kræver aftale med TR/FSL). Weekendtimerne udbetales.",I30="X"),K30,0)</f>
        <v>0</v>
      </c>
      <c r="FF30" s="251">
        <f>IF(AND(AND(Stamoplysninger!$B$26="Der er indgået lokalaftale omkring weekendtillæg(Kræver aftale med TR/FSL). Weekendtimerne udbetales.",I30="X",S30="X")),V30,0)</f>
        <v>0</v>
      </c>
      <c r="FG30" s="674">
        <f>IF(AND(AND(Stamoplysninger!$B$26="Der er indgået lokalaftale omkring weekendtillæg(Kræver aftale med TR/FSL). Weekendtimerne udbetales.",I30="X",C30="ikke relevant")),K30,0)</f>
        <v>0</v>
      </c>
      <c r="FH30" s="675">
        <f>IF(AND(AND(AND(Stamoplysninger!$B$26="Der er indgået lokalaftale omkring weekendtillæg(Kræver aftale med TR/FSL). Weekendtimerne udbetales.",I30="X",C30="ikke relevant",S30="X"))),(V30),0)</f>
        <v>0</v>
      </c>
      <c r="FI30" s="283">
        <f>IF(AND(Stamoplysninger!$B$26="Weekendtimer og weekendtillæg afspadseres.",I30="X"),K30,0)</f>
        <v>0</v>
      </c>
      <c r="FJ30" s="251">
        <f>IF(AND(Stamoplysninger!$B$26="Weekendtimer og weekendtillæg afspadseres.",Y30="X"),(AA30+AL30)/2,0)</f>
        <v>0</v>
      </c>
      <c r="FK30" s="674">
        <f>IF(AND(AND(Stamoplysninger!$B$26="Weekendtimer og weekendtillæg afspadseres.",I30="X",C30="ikke relevant")),K30,0)</f>
        <v>0</v>
      </c>
      <c r="FL30" s="675">
        <f>IF(AND(AND(Stamoplysninger!$B$26="Weekendtimer og weekendtillæg afspadseres.",Y30="X",S30="ikke relevant")),(AA30+AL30)/2,0)</f>
        <v>0</v>
      </c>
      <c r="FM30" s="283">
        <f>IF(AND(Stamoplysninger!$B$26="Der er indgået lokalaftale omkring weekendtillæg(Kræver aftale med TR/FSL). Weekendtimerne afspadseres.",I30="X"),K30,0)</f>
        <v>0</v>
      </c>
      <c r="FN30" s="674">
        <f>IF(AND(AND(Stamoplysninger!$B$26="Der er indgået lokalaftale omkring weekendtillæg(Kræver aftale med TR/FSL). Weekendtimerne afspadseres.",I30="X",C30="ikke relevant")),K30,0)</f>
        <v>0</v>
      </c>
      <c r="FO30" s="283">
        <f>IF(AND(Stamoplysninger!$B$26="Weekendtimer og weekendtillæg udbetales.",I30="X"),K30,0)</f>
        <v>0</v>
      </c>
      <c r="FP30" s="251">
        <f>IF(AND(Stamoplysninger!$B$26="Weekendtimer og weekendtillæg udbetales.",AA30="X"),(AC30+AN30)/2,0)</f>
        <v>0</v>
      </c>
      <c r="FQ30" s="674">
        <f>IF(AND(AND(Stamoplysninger!$B$26="Weekendtimer og weekendtillæg udbetales.",I30="X",C30="ikke relevant")),K30,0)</f>
        <v>0</v>
      </c>
      <c r="FR30" s="688">
        <f>IF(AND(AND(Stamoplysninger!$B$26="Weekendtimer og weekendtillæg udbetales.",AA30="X",U30="ikke relevant")),(AC30+AN30)/2,0)</f>
        <v>0</v>
      </c>
      <c r="FS30" s="283">
        <f t="shared" si="15"/>
        <v>0</v>
      </c>
      <c r="FT30" s="658">
        <f t="shared" si="16"/>
        <v>0</v>
      </c>
      <c r="FU30">
        <f t="shared" ref="FU30:FU39" si="31">IF(AND(C30="weekend",I30="X"),K30,0)</f>
        <v>0</v>
      </c>
      <c r="FV30" s="283">
        <f>IF(AND(Stamoplysninger!$B$26="Der er indgået lokalaftale omkring weekendtimer.(Kræver aftale med TR/FSL) Weekendtillæg afspadseres.",I30="X"),K30,0)</f>
        <v>0</v>
      </c>
      <c r="FW30" s="674">
        <f>IF(AND(AND(Stamoplysninger!$B$26="Der er indgået lokalaftale omkring weekendtimer.(Kræver aftale med TR/FSL) Weekendtillæg afspadseres.",I30="X",C30="ikke relevant")),K30,0)</f>
        <v>0</v>
      </c>
      <c r="FX30" s="283">
        <f>IF(AND(Stamoplysninger!$B$26="Der er indgået lokalaftale omkring weekendtimer(Kræver aftale med TR/FSL). Weekendtillæg udbetales.",I30="X"),K30,0)</f>
        <v>0</v>
      </c>
      <c r="FY30" s="674">
        <f>IF(AND(AND(Stamoplysninger!$B$26="Der er indgået lokalaftale omkring weekendtimer(Kræver aftale med TR/FSL). Weekendtillæg udbetales.",I30="X",C30="ikke relevant")),K30,0)</f>
        <v>0</v>
      </c>
      <c r="FZ30" s="283">
        <f>IF(AND(Stamoplysninger!$B$26="Der er indgået lokalaftale omkring weekendtillæg(Kræver aftale med TR/FSL). Weekendtimerne udbetales.",I30="X"),K30,0)</f>
        <v>0</v>
      </c>
      <c r="GA30" s="674">
        <f>IF(AND(AND(Stamoplysninger!$B$26="Der er indgået lokalaftale omkring weekendtillæg(Kræver aftale med TR/FSL). Weekendtimerne udbetales.",I30="X",C30="ikke relevant")),K30,0)</f>
        <v>0</v>
      </c>
      <c r="GB30" s="283">
        <f>IF(AND(Stamoplysninger!$B$26="Der er indgået lokalaftale omkring weekendtimer og weekendtillæg.(Kræver aftale med TR/FSL).",I30="X"),K30,0)</f>
        <v>0</v>
      </c>
      <c r="GC30" s="674">
        <f>IF(AND(AND(Stamoplysninger!$B$26="Der er indgået lokalaftale omkring weekendtimer og weekendtillæg.(Kræver aftale med TR/FSL).",I30="X",C30="ikke relevant")),K30,0)</f>
        <v>0</v>
      </c>
    </row>
    <row r="31" spans="1:185">
      <c r="A31" s="245">
        <f t="shared" si="18"/>
        <v>23</v>
      </c>
      <c r="B31" s="128" t="str">
        <f t="shared" si="0"/>
        <v>on</v>
      </c>
      <c r="C31" s="129" t="s">
        <v>206</v>
      </c>
      <c r="D31" s="130" t="str">
        <f t="shared" si="1"/>
        <v/>
      </c>
      <c r="E31" s="917"/>
      <c r="F31" s="918"/>
      <c r="G31" s="919"/>
      <c r="H31" s="298"/>
      <c r="I31" s="527"/>
      <c r="J31" s="413"/>
      <c r="K31" s="380"/>
      <c r="L31" s="380"/>
      <c r="M31" s="380"/>
      <c r="N31" s="318">
        <f t="shared" si="19"/>
        <v>7.75</v>
      </c>
      <c r="O31" s="318">
        <f t="shared" si="20"/>
        <v>5</v>
      </c>
      <c r="P31" s="318">
        <f>IF(Stamoplysninger!$H$29="JA",Oktober!DG31,CX31)</f>
        <v>1.1666666666666665</v>
      </c>
      <c r="Q31" s="318">
        <f t="shared" si="21"/>
        <v>1.5833333333333335</v>
      </c>
      <c r="R31" s="319"/>
      <c r="S31" s="324"/>
      <c r="T31" s="325"/>
      <c r="U31" s="325"/>
      <c r="V31" s="435"/>
      <c r="W31" s="412"/>
      <c r="X31" s="642"/>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f>IF(AND(C31="Skema 1",B31="on"),Arbejdstidsoversigt!$E$74,"")</f>
        <v>7.75</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7.75</v>
      </c>
      <c r="BB31" s="229">
        <f t="shared" si="8"/>
        <v>186</v>
      </c>
      <c r="BC31" s="1">
        <f t="shared" si="24"/>
        <v>0</v>
      </c>
      <c r="BD31" s="1">
        <f t="shared" si="9"/>
        <v>0</v>
      </c>
      <c r="BE31" s="1">
        <f t="shared" si="10"/>
        <v>0</v>
      </c>
      <c r="BF31" s="1">
        <f t="shared" si="11"/>
        <v>0</v>
      </c>
      <c r="BG31" s="210" t="str">
        <f>IF(AND(C31="Skema 1",B31="ma"),Skemaoplysninger!$E$30,"")</f>
        <v/>
      </c>
      <c r="BH31" s="210" t="str">
        <f>IF(AND(C31="Skema 1",B31="ti"),Skemaoplysninger!$G$30,"")</f>
        <v/>
      </c>
      <c r="BI31" s="210">
        <f>IF(AND(C31="Skema 1",B31="on"),Skemaoplysninger!$I$30,"")</f>
        <v>0.20833333333333331</v>
      </c>
      <c r="BJ31" s="210" t="str">
        <f>IF(AND(C31="Skema 1",B31="to"),Skemaoplysninger!$K$30,"")</f>
        <v/>
      </c>
      <c r="BK31" s="210" t="str">
        <f>IF(AND(C31="Skema 1",B31="fr"),Skemaoplysninger!$M$30,"")</f>
        <v/>
      </c>
      <c r="BL31" s="210" t="str">
        <f>IF(AND(C31="Skema 2",B31="ma"),Skemaoplysninger!$S$30,"")</f>
        <v/>
      </c>
      <c r="BM31" s="210" t="str">
        <f>IF(AND(C31="Skema 2",B31="ti"),Skemaoplysninger!$U$30,"")</f>
        <v/>
      </c>
      <c r="BN31" s="210" t="str">
        <f>IF(AND(C31="Skema 2",B31="on"),Skemaoplysninger!$W$30,"")</f>
        <v/>
      </c>
      <c r="BO31" s="210" t="str">
        <f>IF(AND(C31="Skema 2",B31="to"),Skemaoplysninger!$Y$30,"")</f>
        <v/>
      </c>
      <c r="BP31" s="210" t="str">
        <f>IF(AND(C31="Skema 2",B31="fr"),Skemaoplysninger!$AA$30,"")</f>
        <v/>
      </c>
      <c r="BQ31" s="210" t="str">
        <f>IF(AND(C31="Skema 3",B31="ma"),Skemaoplysninger!$AG$30,"")</f>
        <v/>
      </c>
      <c r="BR31" s="210" t="str">
        <f>IF(AND(C31="Skema 3",B31="ti"),Skemaoplysninger!$AI$30,"")</f>
        <v/>
      </c>
      <c r="BS31" s="210" t="str">
        <f>IF(AND(C31="Skema 3",B31="on"),Skemaoplysninger!$AK$30,"")</f>
        <v/>
      </c>
      <c r="BT31" s="210" t="str">
        <f>IF(AND(C31="Skema 3",B31="to"),Skemaoplysninger!$AM$30,"")</f>
        <v/>
      </c>
      <c r="BU31" s="210" t="str">
        <f>IF(AND(C31="Skema 3",B31="fr"),Skemaoplysninger!$AO$30,"")</f>
        <v/>
      </c>
      <c r="BV31" s="210" t="str">
        <f>IF(AND(C31="Skema 4",B31="ma"),Skemaoplysninger!$AU$30,"")</f>
        <v/>
      </c>
      <c r="BW31" s="210" t="str">
        <f>IF(AND(C31="Skema 4",B31="ti"),Skemaoplysninger!$AW$30,"")</f>
        <v/>
      </c>
      <c r="BX31" s="210" t="str">
        <f>IF(AND(C31="Skema 4",B31="on"),Skemaoplysninger!$AY$30,"")</f>
        <v/>
      </c>
      <c r="BY31" s="210" t="str">
        <f>IF(AND(C31="Skema 4",B31="to"),Skemaoplysninger!$BA$30,"")</f>
        <v/>
      </c>
      <c r="BZ31" s="210" t="str">
        <f>IF(AND(C31="Skema 4",B31="fr"),Skemaoplysninger!$BC$30,"")</f>
        <v/>
      </c>
      <c r="CA31" s="1">
        <f t="shared" si="25"/>
        <v>5</v>
      </c>
      <c r="CB31" s="1">
        <f t="shared" si="12"/>
        <v>0</v>
      </c>
      <c r="CC31" s="1">
        <f t="shared" si="13"/>
        <v>0</v>
      </c>
      <c r="CD31" s="210" t="str">
        <f>IF(AND(C31="Skema 1",B31="ma"),Skemaoplysninger!$E$31,"")</f>
        <v/>
      </c>
      <c r="CE31" s="210" t="str">
        <f>IF(AND(C31="Skema 1",B31="ti"),Skemaoplysninger!$G$31,"")</f>
        <v/>
      </c>
      <c r="CF31" s="210">
        <f>IF(AND(C31="Skema 1",B31="on"),Skemaoplysninger!$I$31,"")</f>
        <v>4.8611111111111105E-2</v>
      </c>
      <c r="CG31" s="210" t="str">
        <f>IF(AND(C31="Skema 1",B31="to"),Skemaoplysninger!$K$31,"")</f>
        <v/>
      </c>
      <c r="CH31" s="210" t="str">
        <f>IF(AND(C31="Skema 1",B31="fr"),Skemaoplysninger!$M$31,"")</f>
        <v/>
      </c>
      <c r="CI31" s="210" t="str">
        <f>IF(AND(C31="Skema 2",B31="ma"),Skemaoplysninger!$S$31,"")</f>
        <v/>
      </c>
      <c r="CJ31" s="210" t="str">
        <f>IF(AND(C31="Skema 2",B31="ti"),Skemaoplysninger!$U$31,"")</f>
        <v/>
      </c>
      <c r="CK31" s="210" t="str">
        <f>IF(AND(C31="Skema 2",B31="on"),Skemaoplysninger!$W$31,"")</f>
        <v/>
      </c>
      <c r="CL31" s="210" t="str">
        <f>IF(AND(C31="Skema 2",B31="to"),Skemaoplysninger!$Y$31,"")</f>
        <v/>
      </c>
      <c r="CM31" s="210" t="str">
        <f>IF(AND(C31="Skema 2",B31="fr"),Skemaoplysninger!$AA$31,"")</f>
        <v/>
      </c>
      <c r="CN31" s="210" t="str">
        <f>IF(AND(C31="Skema 3",B31="ma"),Skemaoplysninger!$AG$31,"")</f>
        <v/>
      </c>
      <c r="CO31" s="210" t="str">
        <f>IF(AND(C31="Skema 3",B31="ti"),Skemaoplysninger!$AI$31,"")</f>
        <v/>
      </c>
      <c r="CP31" s="210" t="str">
        <f>IF(AND(C31="Skema 3",B31="on"),Skemaoplysninger!$AK$31,"")</f>
        <v/>
      </c>
      <c r="CQ31" s="210" t="str">
        <f>IF(AND(C31="Skema 3",B31="to"),Skemaoplysninger!$AM$31,"")</f>
        <v/>
      </c>
      <c r="CR31" s="210" t="str">
        <f>IF(AND(C31="Skema 3",B31="fr"),Skemaoplysninger!$AO$31,"")</f>
        <v/>
      </c>
      <c r="CS31" s="210" t="str">
        <f>IF(AND(C31="Skema 4",B31="ma"),Skemaoplysninger!$AU$31,"")</f>
        <v/>
      </c>
      <c r="CT31" s="210" t="str">
        <f>IF(AND(C31="Skema 4",B31="ti"),Skemaoplysninger!$AW$31,"")</f>
        <v/>
      </c>
      <c r="CU31" s="210" t="str">
        <f>IF(AND(C31="Skema 4",B31="on"),Skemaoplysninger!$AY$31,"")</f>
        <v/>
      </c>
      <c r="CV31" s="210" t="str">
        <f>IF(AND(C31="Skema 4",B31="to"),Skemaoplysninger!$BA$31,"")</f>
        <v/>
      </c>
      <c r="CW31" s="210" t="str">
        <f>IF(AND(C31="Skema 4",B31="fr"),Skemaoplysninger!$BC$31,"")</f>
        <v/>
      </c>
      <c r="CX31" s="249">
        <f>IF(Stamoplysninger!$H$29="NEJ",SUM(CD31:CW31)*24+CB31+CC31,0)</f>
        <v>1.1666666666666665</v>
      </c>
      <c r="CY31" s="249">
        <f>IF(C31="Skema 1",Stamoplysninger!$H$30/200,0)</f>
        <v>0</v>
      </c>
      <c r="CZ31" s="249">
        <f>IF(C31="Skema 2",Stamoplysninger!$H$30/200,0)</f>
        <v>0</v>
      </c>
      <c r="DA31" s="249">
        <f>IF(C31="Skema 3",Stamoplysninger!$H$30/200,0)</f>
        <v>0</v>
      </c>
      <c r="DB31" s="249">
        <f>IF(C31="Skema 4",Stamoplysninger!$H$30/200,0)</f>
        <v>0</v>
      </c>
      <c r="DC31" s="249">
        <f>IF(C31="fagdag",Stamoplysninger!$H$30/200,0)</f>
        <v>0</v>
      </c>
      <c r="DD31" s="249">
        <f>IF(C31="emnedag",Stamoplysninger!$H$30/200,0)</f>
        <v>0</v>
      </c>
      <c r="DE31" s="249">
        <f>IF(C31="lejrskole",Stamoplysninger!$H$30/200,0)</f>
        <v>0</v>
      </c>
      <c r="DF31" s="249">
        <f>IF(C31="ekskursion",Stamoplysninger!$H$30/200,0)</f>
        <v>0</v>
      </c>
      <c r="DG31" s="249">
        <f t="shared" si="26"/>
        <v>0</v>
      </c>
      <c r="DH31" t="str">
        <f t="shared" si="27"/>
        <v/>
      </c>
      <c r="DI31">
        <f t="shared" si="28"/>
        <v>0</v>
      </c>
      <c r="DJ31">
        <f t="shared" si="29"/>
        <v>0</v>
      </c>
      <c r="DK31" t="str">
        <f t="shared" si="14"/>
        <v/>
      </c>
      <c r="DL31" t="str">
        <f t="shared" si="14"/>
        <v/>
      </c>
      <c r="DM31" t="str">
        <f t="shared" si="14"/>
        <v/>
      </c>
      <c r="DN31" t="str">
        <f t="shared" si="30"/>
        <v/>
      </c>
      <c r="DO31" s="652">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71">
        <f>IF(AND(Stamoplysninger!$B$22="Ulempetillæg udbetales med 25% af nettotimelønnen.",C31="ikke relevant"),(R31)/4,0)</f>
        <v>0</v>
      </c>
      <c r="DT31" s="671">
        <f>IF(AND(AND(Stamoplysninger!$B$22="Ulempetillæg udbetales med 25% af nettotimelønnen.",I31="X",C31="Ikke relevant")),K31/4,0)</f>
        <v>0</v>
      </c>
      <c r="DU31" s="671">
        <f>IF(AND(AND(Stamoplysninger!$B$22="Ulempetillæg udbetales med 25% af nettotimelønnen.",C31="ikke relevant",U31="X")),(X31/4),0)</f>
        <v>0</v>
      </c>
      <c r="DV31" s="672">
        <f>IF(AND(AND(AND(Stamoplysninger!$B$22="Ulempetillæg udbetales med 25% af nettotimelønnen.",I31="X",C31="Ikke relevant",S31="X"))),V31/4,0)</f>
        <v>0</v>
      </c>
      <c r="DW31" s="652"/>
      <c r="DZ31" s="671"/>
      <c r="EA31" s="671"/>
      <c r="EB31" s="672"/>
      <c r="EC31" s="652">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71">
        <f>IF(AND(Stamoplysninger!$B$22="Ulempetillæg afspadseres med 25%(Kræver en aftale imellem ledelsen og den ansatte)",C31="ikke relevant"),(R31)/4,0)</f>
        <v>0</v>
      </c>
      <c r="EH31" s="671">
        <f>IF(AND(AND(Stamoplysninger!$B$22="Ulempetillæg afspadseres med 25%(Kræver en aftale imellem ledelsen og den ansatte)",I31="X",C31="Ikke relevant")),K31/4,0)</f>
        <v>0</v>
      </c>
      <c r="EI31" s="671">
        <f>IF(AND(AND(Stamoplysninger!$B$22="Ulempetillæg afspadseres med 25%(Kræver en aftale imellem ledelsen og den ansatte)",U31="X",C31="Ikke relevant")),X31/4,0)</f>
        <v>0</v>
      </c>
      <c r="EJ31" s="671">
        <f>IF(AND(AND(AND(Stamoplysninger!$B$22="Ulempetillæg afspadseres med 25%(Kræver en aftale imellem ledelsen og den ansatte)",I31="X",C31="Ikke relevant",S31="X"))),V31/4,0)</f>
        <v>0</v>
      </c>
      <c r="EK31" s="283">
        <f>IF(AND(Stamoplysninger!$B$26="Weekendtimer og weekendtillæg afspadseres.",I31="X"),K31*1.5,0)</f>
        <v>0</v>
      </c>
      <c r="EL31" s="251">
        <f>IF(AND(AND(Stamoplysninger!$B$26="Weekendtimer og weekendtillæg afspadseres.",I31="X",S31="X")),V31*1.5,0)</f>
        <v>0</v>
      </c>
      <c r="EM31" s="674">
        <f>IF(AND(AND(Stamoplysninger!$B$26="Weekendtimer og weekendtillæg afspadseres.",I31="X",C31="ikke relevant")),K31*1.5,0)</f>
        <v>0</v>
      </c>
      <c r="EN31" s="675">
        <f>IF(AND(AND(AND(Stamoplysninger!$B$26="Weekendtimer og weekendtillæg afspadseres.",I31="X",C31="ikke relevant",S31="X"))),(V31*1.5),0)</f>
        <v>0</v>
      </c>
      <c r="EO31" s="283">
        <f>IF(AND(Stamoplysninger!$B$26="Weekendtimer og weekendtillæg udbetales.",I31="X"),K31*1.5,0)</f>
        <v>0</v>
      </c>
      <c r="EP31" s="251">
        <f>IF(AND(AND(Stamoplysninger!$B$26="Weekendtimer og weekendtillæg udbetales.",I31="X",S31="X")),V31*1.5,0)</f>
        <v>0</v>
      </c>
      <c r="EQ31" s="674">
        <f>IF(AND(AND(Stamoplysninger!$B$26="Weekendtimer og weekendtillæg udbetales.",I31="X",C31="ikke relevant")),K31*1.5,0)</f>
        <v>0</v>
      </c>
      <c r="ER31" s="675">
        <f>IF(AND(AND(AND(Stamoplysninger!$B$26="Weekendtimer og weekendtillæg udbetales.",I31="X",C31="ikke relevant",S31="X"))),(V31*1.5),0)</f>
        <v>0</v>
      </c>
      <c r="ES31" s="283">
        <f>IF(AND(Stamoplysninger!$B$26="Der er indgået lokalaftale omkring weekendtimer.(Kræver aftale med TR/FSL) Weekendtillæg afspadseres.",I31="X"),K31*0.5,0)</f>
        <v>0</v>
      </c>
      <c r="ET31" s="251">
        <f>IF(AND(AND(Stamoplysninger!$B$26="Der er indgået lokalaftale omkring weekendtimer.(Kræver aftale med TR/FSL) Weekendtillæg afspadseres.",I31="X",S31="X")),V31*0.5,0)</f>
        <v>0</v>
      </c>
      <c r="EU31" s="674">
        <f>IF(AND(AND(Stamoplysninger!$B$26="Der er indgået lokalaftale omkring weekendtimer.(Kræver aftale med TR/FSL) Weekendtillæg afspadseres.",I31="X",C31="ikke relevant")),K31*0.5,0)</f>
        <v>0</v>
      </c>
      <c r="EV31" s="675">
        <f>IF(AND(AND(AND(Stamoplysninger!$B$26="Der er indgået lokalaftale omkring weekendtimer.(Kræver aftale med TR/FSL) Weekendtillæg afspadseres.",I31="X",C31="ikke relevant",S31="X"))),(V31*0.5),0)</f>
        <v>0</v>
      </c>
      <c r="EW31" s="283">
        <f>IF(AND(Stamoplysninger!$B$26="Der er indgået lokalaftale omkring weekendtimer(Kræver aftale med TR/FSL). Weekendtillæg udbetales.",I31="X"),K31*0.5,0)</f>
        <v>0</v>
      </c>
      <c r="EX31" s="251">
        <f>IF(AND(AND(Stamoplysninger!$B$26="Der er indgået lokalaftale omkring weekendtimer(Kræver aftale med TR/FSL). Weekendtillæg udbetales.",I31="X",S31="X")),V31*0.5,0)</f>
        <v>0</v>
      </c>
      <c r="EY31" s="674">
        <f>IF(AND(AND(Stamoplysninger!$B$26="Der er indgået lokalaftale omkring weekendtimer(Kræver aftale med TR/FSL). Weekendtillæg udbetales.",I31="X",C31="ikke relevant")),K31*0.5,0)</f>
        <v>0</v>
      </c>
      <c r="EZ31" s="675">
        <f>IF(AND(AND(AND(Stamoplysninger!$B$26="Der er indgået lokalaftale omkring weekendtimer(Kræver aftale med TR/FSL). Weekendtillæg udbetales.",I31="X",C31="ikke relevant",S31="X"))),(V31*0.5),0)</f>
        <v>0</v>
      </c>
      <c r="FA31" s="283">
        <f>IF(AND(Stamoplysninger!$B$26="Der er indgået lokalaftale omkring weekendtillæg(Kræver aftale med TR/FSL). Weekendtimerne afspadseres.",I31="X"),K31,0)</f>
        <v>0</v>
      </c>
      <c r="FB31" s="251">
        <f>IF(AND(AND(Stamoplysninger!$B$26="Der er indgået lokalaftale omkring weekendtillæg(Kræver aftale med TR/FSL). Weekendtimerne afspadseres.",I31="X",S31="X")),V31,0)</f>
        <v>0</v>
      </c>
      <c r="FC31" s="674">
        <f>IF(AND(AND(Stamoplysninger!$B$26="Der er indgået lokalaftale omkring weekendtillæg(Kræver aftale med TR/FSL). Weekendtimerne afspadseres..",I31="X",C31="ikke relevant")),K31,0)</f>
        <v>0</v>
      </c>
      <c r="FD31" s="675">
        <f>IF(AND(AND(AND(Stamoplysninger!$B$26="Der er indgået lokalaftale omkring weekendtillæg(Kræver aftale med TR/FSL). Weekendtimerne afspadseres.",I31="X",C31="ikke relevant",S31="X"))),(V31),0)</f>
        <v>0</v>
      </c>
      <c r="FE31" s="283">
        <f>IF(AND(Stamoplysninger!$B$26="Der er indgået lokalaftale omkring weekendtillæg(Kræver aftale med TR/FSL). Weekendtimerne udbetales.",I31="X"),K31,0)</f>
        <v>0</v>
      </c>
      <c r="FF31" s="251">
        <f>IF(AND(AND(Stamoplysninger!$B$26="Der er indgået lokalaftale omkring weekendtillæg(Kræver aftale med TR/FSL). Weekendtimerne udbetales.",I31="X",S31="X")),V31,0)</f>
        <v>0</v>
      </c>
      <c r="FG31" s="674">
        <f>IF(AND(AND(Stamoplysninger!$B$26="Der er indgået lokalaftale omkring weekendtillæg(Kræver aftale med TR/FSL). Weekendtimerne udbetales.",I31="X",C31="ikke relevant")),K31,0)</f>
        <v>0</v>
      </c>
      <c r="FH31" s="675">
        <f>IF(AND(AND(AND(Stamoplysninger!$B$26="Der er indgået lokalaftale omkring weekendtillæg(Kræver aftale med TR/FSL). Weekendtimerne udbetales.",I31="X",C31="ikke relevant",S31="X"))),(V31),0)</f>
        <v>0</v>
      </c>
      <c r="FI31" s="283">
        <f>IF(AND(Stamoplysninger!$B$26="Weekendtimer og weekendtillæg afspadseres.",I31="X"),K31,0)</f>
        <v>0</v>
      </c>
      <c r="FJ31" s="251">
        <f>IF(AND(Stamoplysninger!$B$26="Weekendtimer og weekendtillæg afspadseres.",Y31="X"),(AA31+AL31)/2,0)</f>
        <v>0</v>
      </c>
      <c r="FK31" s="674">
        <f>IF(AND(AND(Stamoplysninger!$B$26="Weekendtimer og weekendtillæg afspadseres.",I31="X",C31="ikke relevant")),K31,0)</f>
        <v>0</v>
      </c>
      <c r="FL31" s="675">
        <f>IF(AND(AND(Stamoplysninger!$B$26="Weekendtimer og weekendtillæg afspadseres.",Y31="X",S31="ikke relevant")),(AA31+AL31)/2,0)</f>
        <v>0</v>
      </c>
      <c r="FM31" s="283">
        <f>IF(AND(Stamoplysninger!$B$26="Der er indgået lokalaftale omkring weekendtillæg(Kræver aftale med TR/FSL). Weekendtimerne afspadseres.",I31="X"),K31,0)</f>
        <v>0</v>
      </c>
      <c r="FN31" s="674">
        <f>IF(AND(AND(Stamoplysninger!$B$26="Der er indgået lokalaftale omkring weekendtillæg(Kræver aftale med TR/FSL). Weekendtimerne afspadseres.",I31="X",C31="ikke relevant")),K31,0)</f>
        <v>0</v>
      </c>
      <c r="FO31" s="283">
        <f>IF(AND(Stamoplysninger!$B$26="Weekendtimer og weekendtillæg udbetales.",I31="X"),K31,0)</f>
        <v>0</v>
      </c>
      <c r="FP31" s="251">
        <f>IF(AND(Stamoplysninger!$B$26="Weekendtimer og weekendtillæg udbetales.",AA31="X"),(AC31+AN31)/2,0)</f>
        <v>0</v>
      </c>
      <c r="FQ31" s="674">
        <f>IF(AND(AND(Stamoplysninger!$B$26="Weekendtimer og weekendtillæg udbetales.",I31="X",C31="ikke relevant")),K31,0)</f>
        <v>0</v>
      </c>
      <c r="FR31" s="688">
        <f>IF(AND(AND(Stamoplysninger!$B$26="Weekendtimer og weekendtillæg udbetales.",AA31="X",U31="ikke relevant")),(AC31+AN31)/2,0)</f>
        <v>0</v>
      </c>
      <c r="FS31" s="283">
        <f t="shared" si="15"/>
        <v>0</v>
      </c>
      <c r="FT31" s="658">
        <f t="shared" si="16"/>
        <v>0</v>
      </c>
      <c r="FU31">
        <f t="shared" si="31"/>
        <v>0</v>
      </c>
      <c r="FV31" s="283">
        <f>IF(AND(Stamoplysninger!$B$26="Der er indgået lokalaftale omkring weekendtimer.(Kræver aftale med TR/FSL) Weekendtillæg afspadseres.",I31="X"),K31,0)</f>
        <v>0</v>
      </c>
      <c r="FW31" s="674">
        <f>IF(AND(AND(Stamoplysninger!$B$26="Der er indgået lokalaftale omkring weekendtimer.(Kræver aftale med TR/FSL) Weekendtillæg afspadseres.",I31="X",C31="ikke relevant")),K31,0)</f>
        <v>0</v>
      </c>
      <c r="FX31" s="283">
        <f>IF(AND(Stamoplysninger!$B$26="Der er indgået lokalaftale omkring weekendtimer(Kræver aftale med TR/FSL). Weekendtillæg udbetales.",I31="X"),K31,0)</f>
        <v>0</v>
      </c>
      <c r="FY31" s="674">
        <f>IF(AND(AND(Stamoplysninger!$B$26="Der er indgået lokalaftale omkring weekendtimer(Kræver aftale med TR/FSL). Weekendtillæg udbetales.",I31="X",C31="ikke relevant")),K31,0)</f>
        <v>0</v>
      </c>
      <c r="FZ31" s="283">
        <f>IF(AND(Stamoplysninger!$B$26="Der er indgået lokalaftale omkring weekendtillæg(Kræver aftale med TR/FSL). Weekendtimerne udbetales.",I31="X"),K31,0)</f>
        <v>0</v>
      </c>
      <c r="GA31" s="674">
        <f>IF(AND(AND(Stamoplysninger!$B$26="Der er indgået lokalaftale omkring weekendtillæg(Kræver aftale med TR/FSL). Weekendtimerne udbetales.",I31="X",C31="ikke relevant")),K31,0)</f>
        <v>0</v>
      </c>
      <c r="GB31" s="283">
        <f>IF(AND(Stamoplysninger!$B$26="Der er indgået lokalaftale omkring weekendtimer og weekendtillæg.(Kræver aftale med TR/FSL).",I31="X"),K31,0)</f>
        <v>0</v>
      </c>
      <c r="GC31" s="674">
        <f>IF(AND(AND(Stamoplysninger!$B$26="Der er indgået lokalaftale omkring weekendtimer og weekendtillæg.(Kræver aftale med TR/FSL).",I31="X",C31="ikke relevant")),K31,0)</f>
        <v>0</v>
      </c>
    </row>
    <row r="32" spans="1:185">
      <c r="A32" s="245">
        <f t="shared" si="18"/>
        <v>24</v>
      </c>
      <c r="B32" s="128" t="str">
        <f t="shared" si="0"/>
        <v>to</v>
      </c>
      <c r="C32" s="129" t="s">
        <v>206</v>
      </c>
      <c r="D32" s="130" t="str">
        <f t="shared" si="1"/>
        <v/>
      </c>
      <c r="E32" s="949"/>
      <c r="F32" s="950"/>
      <c r="G32" s="951"/>
      <c r="H32" s="298"/>
      <c r="I32" s="527"/>
      <c r="J32" s="413"/>
      <c r="K32" s="380"/>
      <c r="L32" s="380"/>
      <c r="M32" s="380"/>
      <c r="N32" s="318">
        <f t="shared" si="19"/>
        <v>8.5</v>
      </c>
      <c r="O32" s="318">
        <f t="shared" si="20"/>
        <v>3</v>
      </c>
      <c r="P32" s="318">
        <f>IF(Stamoplysninger!$H$29="JA",Oktober!DG32,CX32)</f>
        <v>1.5</v>
      </c>
      <c r="Q32" s="318">
        <f t="shared" si="21"/>
        <v>4</v>
      </c>
      <c r="R32" s="319"/>
      <c r="S32" s="324"/>
      <c r="T32" s="325"/>
      <c r="U32" s="325"/>
      <c r="V32" s="435"/>
      <c r="W32" s="412"/>
      <c r="X32" s="642"/>
      <c r="Y32">
        <f t="shared" si="22"/>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1",B32="ma"),Arbejdstidsoversigt!$E$72,"")</f>
        <v/>
      </c>
      <c r="AH32" t="str">
        <f>IF(AND(C32="Skema 1",B32="ti"),Arbejdstidsoversigt!$E$73,"")</f>
        <v/>
      </c>
      <c r="AI32" t="str">
        <f>IF(AND(C32="Skema 1",B32="on"),Arbejdstidsoversigt!$E$74,"")</f>
        <v/>
      </c>
      <c r="AJ32">
        <f>IF(AND(C32="Skema 1",B32="to"),Arbejdstidsoversigt!$E$75,"")</f>
        <v>8.5</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8.5</v>
      </c>
      <c r="BB32" s="229">
        <f t="shared" si="8"/>
        <v>204</v>
      </c>
      <c r="BC32" s="1">
        <f t="shared" si="24"/>
        <v>0</v>
      </c>
      <c r="BD32" s="1">
        <f t="shared" si="9"/>
        <v>0</v>
      </c>
      <c r="BE32" s="1">
        <f t="shared" si="10"/>
        <v>0</v>
      </c>
      <c r="BF32" s="1">
        <f t="shared" si="11"/>
        <v>0</v>
      </c>
      <c r="BG32" s="210" t="str">
        <f>IF(AND(C32="Skema 1",B32="ma"),Skemaoplysninger!$E$30,"")</f>
        <v/>
      </c>
      <c r="BH32" s="210" t="str">
        <f>IF(AND(C32="Skema 1",B32="ti"),Skemaoplysninger!$G$30,"")</f>
        <v/>
      </c>
      <c r="BI32" s="210" t="str">
        <f>IF(AND(C32="Skema 1",B32="on"),Skemaoplysninger!$I$30,"")</f>
        <v/>
      </c>
      <c r="BJ32" s="210">
        <f>IF(AND(C32="Skema 1",B32="to"),Skemaoplysninger!$K$30,"")</f>
        <v>0.125</v>
      </c>
      <c r="BK32" s="210" t="str">
        <f>IF(AND(C32="Skema 1",B32="fr"),Skemaoplysninger!$M$30,"")</f>
        <v/>
      </c>
      <c r="BL32" s="210" t="str">
        <f>IF(AND(C32="Skema 2",B32="ma"),Skemaoplysninger!$S$30,"")</f>
        <v/>
      </c>
      <c r="BM32" s="210" t="str">
        <f>IF(AND(C32="Skema 2",B32="ti"),Skemaoplysninger!$U$30,"")</f>
        <v/>
      </c>
      <c r="BN32" s="210" t="str">
        <f>IF(AND(C32="Skema 2",B32="on"),Skemaoplysninger!$W$30,"")</f>
        <v/>
      </c>
      <c r="BO32" s="210" t="str">
        <f>IF(AND(C32="Skema 2",B32="to"),Skemaoplysninger!$Y$30,"")</f>
        <v/>
      </c>
      <c r="BP32" s="210" t="str">
        <f>IF(AND(C32="Skema 2",B32="fr"),Skemaoplysninger!$AA$30,"")</f>
        <v/>
      </c>
      <c r="BQ32" s="210" t="str">
        <f>IF(AND(C32="Skema 3",B32="ma"),Skemaoplysninger!$AG$30,"")</f>
        <v/>
      </c>
      <c r="BR32" s="210" t="str">
        <f>IF(AND(C32="Skema 3",B32="ti"),Skemaoplysninger!$AI$30,"")</f>
        <v/>
      </c>
      <c r="BS32" s="210" t="str">
        <f>IF(AND(C32="Skema 3",B32="on"),Skemaoplysninger!$AK$30,"")</f>
        <v/>
      </c>
      <c r="BT32" s="210" t="str">
        <f>IF(AND(C32="Skema 3",B32="to"),Skemaoplysninger!$AM$30,"")</f>
        <v/>
      </c>
      <c r="BU32" s="210" t="str">
        <f>IF(AND(C32="Skema 3",B32="fr"),Skemaoplysninger!$AO$30,"")</f>
        <v/>
      </c>
      <c r="BV32" s="210" t="str">
        <f>IF(AND(C32="Skema 4",B32="ma"),Skemaoplysninger!$AU$30,"")</f>
        <v/>
      </c>
      <c r="BW32" s="210" t="str">
        <f>IF(AND(C32="Skema 4",B32="ti"),Skemaoplysninger!$AW$30,"")</f>
        <v/>
      </c>
      <c r="BX32" s="210" t="str">
        <f>IF(AND(C32="Skema 4",B32="on"),Skemaoplysninger!$AY$30,"")</f>
        <v/>
      </c>
      <c r="BY32" s="210" t="str">
        <f>IF(AND(C32="Skema 4",B32="to"),Skemaoplysninger!$BA$30,"")</f>
        <v/>
      </c>
      <c r="BZ32" s="210" t="str">
        <f>IF(AND(C32="Skema 4",B32="fr"),Skemaoplysninger!$BC$30,"")</f>
        <v/>
      </c>
      <c r="CA32" s="1">
        <f t="shared" si="25"/>
        <v>3</v>
      </c>
      <c r="CB32" s="1">
        <f t="shared" si="12"/>
        <v>0</v>
      </c>
      <c r="CC32" s="1">
        <f t="shared" si="13"/>
        <v>0</v>
      </c>
      <c r="CD32" s="210" t="str">
        <f>IF(AND(C32="Skema 1",B32="ma"),Skemaoplysninger!$E$31,"")</f>
        <v/>
      </c>
      <c r="CE32" s="210" t="str">
        <f>IF(AND(C32="Skema 1",B32="ti"),Skemaoplysninger!$G$31,"")</f>
        <v/>
      </c>
      <c r="CF32" s="210" t="str">
        <f>IF(AND(C32="Skema 1",B32="on"),Skemaoplysninger!$I$31,"")</f>
        <v/>
      </c>
      <c r="CG32" s="210">
        <f>IF(AND(C32="Skema 1",B32="to"),Skemaoplysninger!$K$31,"")</f>
        <v>6.25E-2</v>
      </c>
      <c r="CH32" s="210" t="str">
        <f>IF(AND(C32="Skema 1",B32="fr"),Skemaoplysninger!$M$31,"")</f>
        <v/>
      </c>
      <c r="CI32" s="210" t="str">
        <f>IF(AND(C32="Skema 2",B32="ma"),Skemaoplysninger!$S$31,"")</f>
        <v/>
      </c>
      <c r="CJ32" s="210" t="str">
        <f>IF(AND(C32="Skema 2",B32="ti"),Skemaoplysninger!$U$31,"")</f>
        <v/>
      </c>
      <c r="CK32" s="210" t="str">
        <f>IF(AND(C32="Skema 2",B32="on"),Skemaoplysninger!$W$31,"")</f>
        <v/>
      </c>
      <c r="CL32" s="210" t="str">
        <f>IF(AND(C32="Skema 2",B32="to"),Skemaoplysninger!$Y$31,"")</f>
        <v/>
      </c>
      <c r="CM32" s="210" t="str">
        <f>IF(AND(C32="Skema 2",B32="fr"),Skemaoplysninger!$AA$31,"")</f>
        <v/>
      </c>
      <c r="CN32" s="210" t="str">
        <f>IF(AND(C32="Skema 3",B32="ma"),Skemaoplysninger!$AG$31,"")</f>
        <v/>
      </c>
      <c r="CO32" s="210" t="str">
        <f>IF(AND(C32="Skema 3",B32="ti"),Skemaoplysninger!$AI$31,"")</f>
        <v/>
      </c>
      <c r="CP32" s="210" t="str">
        <f>IF(AND(C32="Skema 3",B32="on"),Skemaoplysninger!$AK$31,"")</f>
        <v/>
      </c>
      <c r="CQ32" s="210" t="str">
        <f>IF(AND(C32="Skema 3",B32="to"),Skemaoplysninger!$AM$31,"")</f>
        <v/>
      </c>
      <c r="CR32" s="210" t="str">
        <f>IF(AND(C32="Skema 3",B32="fr"),Skemaoplysninger!$AO$31,"")</f>
        <v/>
      </c>
      <c r="CS32" s="210" t="str">
        <f>IF(AND(C32="Skema 4",B32="ma"),Skemaoplysninger!$AU$31,"")</f>
        <v/>
      </c>
      <c r="CT32" s="210" t="str">
        <f>IF(AND(C32="Skema 4",B32="ti"),Skemaoplysninger!$AW$31,"")</f>
        <v/>
      </c>
      <c r="CU32" s="210" t="str">
        <f>IF(AND(C32="Skema 4",B32="on"),Skemaoplysninger!$AY$31,"")</f>
        <v/>
      </c>
      <c r="CV32" s="210" t="str">
        <f>IF(AND(C32="Skema 4",B32="to"),Skemaoplysninger!$BA$31,"")</f>
        <v/>
      </c>
      <c r="CW32" s="210" t="str">
        <f>IF(AND(C32="Skema 4",B32="fr"),Skemaoplysninger!$BC$31,"")</f>
        <v/>
      </c>
      <c r="CX32" s="249">
        <f>IF(Stamoplysninger!$H$29="NEJ",SUM(CD32:CW32)*24+CB32+CC32,0)</f>
        <v>1.5</v>
      </c>
      <c r="CY32" s="249">
        <f>IF(C32="Skema 1",Stamoplysninger!$H$30/200,0)</f>
        <v>0</v>
      </c>
      <c r="CZ32" s="249">
        <f>IF(C32="Skema 2",Stamoplysninger!$H$30/200,0)</f>
        <v>0</v>
      </c>
      <c r="DA32" s="249">
        <f>IF(C32="Skema 3",Stamoplysninger!$H$30/200,0)</f>
        <v>0</v>
      </c>
      <c r="DB32" s="249">
        <f>IF(C32="Skema 4",Stamoplysninger!$H$30/200,0)</f>
        <v>0</v>
      </c>
      <c r="DC32" s="249">
        <f>IF(C32="fagdag",Stamoplysninger!$H$30/200,0)</f>
        <v>0</v>
      </c>
      <c r="DD32" s="249">
        <f>IF(C32="emnedag",Stamoplysninger!$H$30/200,0)</f>
        <v>0</v>
      </c>
      <c r="DE32" s="249">
        <f>IF(C32="lejrskole",Stamoplysninger!$H$30/200,0)</f>
        <v>0</v>
      </c>
      <c r="DF32" s="249">
        <f>IF(C32="ekskursion",Stamoplysninger!$H$30/200,0)</f>
        <v>0</v>
      </c>
      <c r="DG32" s="249">
        <f t="shared" si="26"/>
        <v>0</v>
      </c>
      <c r="DH32" t="str">
        <f t="shared" si="27"/>
        <v/>
      </c>
      <c r="DI32">
        <f t="shared" si="28"/>
        <v>0</v>
      </c>
      <c r="DJ32">
        <f t="shared" si="29"/>
        <v>0</v>
      </c>
      <c r="DK32" t="str">
        <f t="shared" si="14"/>
        <v/>
      </c>
      <c r="DL32" t="str">
        <f t="shared" si="14"/>
        <v/>
      </c>
      <c r="DM32" t="str">
        <f t="shared" si="14"/>
        <v/>
      </c>
      <c r="DN32" t="str">
        <f t="shared" si="30"/>
        <v/>
      </c>
      <c r="DO32" s="652">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71">
        <f>IF(AND(Stamoplysninger!$B$22="Ulempetillæg udbetales med 25% af nettotimelønnen.",C32="ikke relevant"),(R32)/4,0)</f>
        <v>0</v>
      </c>
      <c r="DT32" s="671">
        <f>IF(AND(AND(Stamoplysninger!$B$22="Ulempetillæg udbetales med 25% af nettotimelønnen.",I32="X",C32="Ikke relevant")),K32/4,0)</f>
        <v>0</v>
      </c>
      <c r="DU32" s="671">
        <f>IF(AND(AND(Stamoplysninger!$B$22="Ulempetillæg udbetales med 25% af nettotimelønnen.",C32="ikke relevant",U32="X")),(X32/4),0)</f>
        <v>0</v>
      </c>
      <c r="DV32" s="672">
        <f>IF(AND(AND(AND(Stamoplysninger!$B$22="Ulempetillæg udbetales med 25% af nettotimelønnen.",I32="X",C32="Ikke relevant",S32="X"))),V32/4,0)</f>
        <v>0</v>
      </c>
      <c r="DW32" s="652"/>
      <c r="DZ32" s="671"/>
      <c r="EA32" s="671"/>
      <c r="EB32" s="672"/>
      <c r="EC32" s="652">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71">
        <f>IF(AND(Stamoplysninger!$B$22="Ulempetillæg afspadseres med 25%(Kræver en aftale imellem ledelsen og den ansatte)",C32="ikke relevant"),(R32)/4,0)</f>
        <v>0</v>
      </c>
      <c r="EH32" s="671">
        <f>IF(AND(AND(Stamoplysninger!$B$22="Ulempetillæg afspadseres med 25%(Kræver en aftale imellem ledelsen og den ansatte)",I32="X",C32="Ikke relevant")),K32/4,0)</f>
        <v>0</v>
      </c>
      <c r="EI32" s="671">
        <f>IF(AND(AND(Stamoplysninger!$B$22="Ulempetillæg afspadseres med 25%(Kræver en aftale imellem ledelsen og den ansatte)",U32="X",C32="Ikke relevant")),X32/4,0)</f>
        <v>0</v>
      </c>
      <c r="EJ32" s="671">
        <f>IF(AND(AND(AND(Stamoplysninger!$B$22="Ulempetillæg afspadseres med 25%(Kræver en aftale imellem ledelsen og den ansatte)",I32="X",C32="Ikke relevant",S32="X"))),V32/4,0)</f>
        <v>0</v>
      </c>
      <c r="EK32" s="283">
        <f>IF(AND(Stamoplysninger!$B$26="Weekendtimer og weekendtillæg afspadseres.",I32="X"),K32*1.5,0)</f>
        <v>0</v>
      </c>
      <c r="EL32" s="251">
        <f>IF(AND(AND(Stamoplysninger!$B$26="Weekendtimer og weekendtillæg afspadseres.",I32="X",S32="X")),V32*1.5,0)</f>
        <v>0</v>
      </c>
      <c r="EM32" s="674">
        <f>IF(AND(AND(Stamoplysninger!$B$26="Weekendtimer og weekendtillæg afspadseres.",I32="X",C32="ikke relevant")),K32*1.5,0)</f>
        <v>0</v>
      </c>
      <c r="EN32" s="675">
        <f>IF(AND(AND(AND(Stamoplysninger!$B$26="Weekendtimer og weekendtillæg afspadseres.",I32="X",C32="ikke relevant",S32="X"))),(V32*1.5),0)</f>
        <v>0</v>
      </c>
      <c r="EO32" s="283">
        <f>IF(AND(Stamoplysninger!$B$26="Weekendtimer og weekendtillæg udbetales.",I32="X"),K32*1.5,0)</f>
        <v>0</v>
      </c>
      <c r="EP32" s="251">
        <f>IF(AND(AND(Stamoplysninger!$B$26="Weekendtimer og weekendtillæg udbetales.",I32="X",S32="X")),V32*1.5,0)</f>
        <v>0</v>
      </c>
      <c r="EQ32" s="674">
        <f>IF(AND(AND(Stamoplysninger!$B$26="Weekendtimer og weekendtillæg udbetales.",I32="X",C32="ikke relevant")),K32*1.5,0)</f>
        <v>0</v>
      </c>
      <c r="ER32" s="675">
        <f>IF(AND(AND(AND(Stamoplysninger!$B$26="Weekendtimer og weekendtillæg udbetales.",I32="X",C32="ikke relevant",S32="X"))),(V32*1.5),0)</f>
        <v>0</v>
      </c>
      <c r="ES32" s="283">
        <f>IF(AND(Stamoplysninger!$B$26="Der er indgået lokalaftale omkring weekendtimer.(Kræver aftale med TR/FSL) Weekendtillæg afspadseres.",I32="X"),K32*0.5,0)</f>
        <v>0</v>
      </c>
      <c r="ET32" s="251">
        <f>IF(AND(AND(Stamoplysninger!$B$26="Der er indgået lokalaftale omkring weekendtimer.(Kræver aftale med TR/FSL) Weekendtillæg afspadseres.",I32="X",S32="X")),V32*0.5,0)</f>
        <v>0</v>
      </c>
      <c r="EU32" s="674">
        <f>IF(AND(AND(Stamoplysninger!$B$26="Der er indgået lokalaftale omkring weekendtimer.(Kræver aftale med TR/FSL) Weekendtillæg afspadseres.",I32="X",C32="ikke relevant")),K32*0.5,0)</f>
        <v>0</v>
      </c>
      <c r="EV32" s="675">
        <f>IF(AND(AND(AND(Stamoplysninger!$B$26="Der er indgået lokalaftale omkring weekendtimer.(Kræver aftale med TR/FSL) Weekendtillæg afspadseres.",I32="X",C32="ikke relevant",S32="X"))),(V32*0.5),0)</f>
        <v>0</v>
      </c>
      <c r="EW32" s="283">
        <f>IF(AND(Stamoplysninger!$B$26="Der er indgået lokalaftale omkring weekendtimer(Kræver aftale med TR/FSL). Weekendtillæg udbetales.",I32="X"),K32*0.5,0)</f>
        <v>0</v>
      </c>
      <c r="EX32" s="251">
        <f>IF(AND(AND(Stamoplysninger!$B$26="Der er indgået lokalaftale omkring weekendtimer(Kræver aftale med TR/FSL). Weekendtillæg udbetales.",I32="X",S32="X")),V32*0.5,0)</f>
        <v>0</v>
      </c>
      <c r="EY32" s="674">
        <f>IF(AND(AND(Stamoplysninger!$B$26="Der er indgået lokalaftale omkring weekendtimer(Kræver aftale med TR/FSL). Weekendtillæg udbetales.",I32="X",C32="ikke relevant")),K32*0.5,0)</f>
        <v>0</v>
      </c>
      <c r="EZ32" s="675">
        <f>IF(AND(AND(AND(Stamoplysninger!$B$26="Der er indgået lokalaftale omkring weekendtimer(Kræver aftale med TR/FSL). Weekendtillæg udbetales.",I32="X",C32="ikke relevant",S32="X"))),(V32*0.5),0)</f>
        <v>0</v>
      </c>
      <c r="FA32" s="283">
        <f>IF(AND(Stamoplysninger!$B$26="Der er indgået lokalaftale omkring weekendtillæg(Kræver aftale med TR/FSL). Weekendtimerne afspadseres.",I32="X"),K32,0)</f>
        <v>0</v>
      </c>
      <c r="FB32" s="251">
        <f>IF(AND(AND(Stamoplysninger!$B$26="Der er indgået lokalaftale omkring weekendtillæg(Kræver aftale med TR/FSL). Weekendtimerne afspadseres.",I32="X",S32="X")),V32,0)</f>
        <v>0</v>
      </c>
      <c r="FC32" s="674">
        <f>IF(AND(AND(Stamoplysninger!$B$26="Der er indgået lokalaftale omkring weekendtillæg(Kræver aftale med TR/FSL). Weekendtimerne afspadseres..",I32="X",C32="ikke relevant")),K32,0)</f>
        <v>0</v>
      </c>
      <c r="FD32" s="675">
        <f>IF(AND(AND(AND(Stamoplysninger!$B$26="Der er indgået lokalaftale omkring weekendtillæg(Kræver aftale med TR/FSL). Weekendtimerne afspadseres.",I32="X",C32="ikke relevant",S32="X"))),(V32),0)</f>
        <v>0</v>
      </c>
      <c r="FE32" s="283">
        <f>IF(AND(Stamoplysninger!$B$26="Der er indgået lokalaftale omkring weekendtillæg(Kræver aftale med TR/FSL). Weekendtimerne udbetales.",I32="X"),K32,0)</f>
        <v>0</v>
      </c>
      <c r="FF32" s="251">
        <f>IF(AND(AND(Stamoplysninger!$B$26="Der er indgået lokalaftale omkring weekendtillæg(Kræver aftale med TR/FSL). Weekendtimerne udbetales.",I32="X",S32="X")),V32,0)</f>
        <v>0</v>
      </c>
      <c r="FG32" s="674">
        <f>IF(AND(AND(Stamoplysninger!$B$26="Der er indgået lokalaftale omkring weekendtillæg(Kræver aftale med TR/FSL). Weekendtimerne udbetales.",I32="X",C32="ikke relevant")),K32,0)</f>
        <v>0</v>
      </c>
      <c r="FH32" s="675">
        <f>IF(AND(AND(AND(Stamoplysninger!$B$26="Der er indgået lokalaftale omkring weekendtillæg(Kræver aftale med TR/FSL). Weekendtimerne udbetales.",I32="X",C32="ikke relevant",S32="X"))),(V32),0)</f>
        <v>0</v>
      </c>
      <c r="FI32" s="283">
        <f>IF(AND(Stamoplysninger!$B$26="Weekendtimer og weekendtillæg afspadseres.",I32="X"),K32,0)</f>
        <v>0</v>
      </c>
      <c r="FJ32" s="251">
        <f>IF(AND(Stamoplysninger!$B$26="Weekendtimer og weekendtillæg afspadseres.",Y32="X"),(AA32+AL32)/2,0)</f>
        <v>0</v>
      </c>
      <c r="FK32" s="674">
        <f>IF(AND(AND(Stamoplysninger!$B$26="Weekendtimer og weekendtillæg afspadseres.",I32="X",C32="ikke relevant")),K32,0)</f>
        <v>0</v>
      </c>
      <c r="FL32" s="675">
        <f>IF(AND(AND(Stamoplysninger!$B$26="Weekendtimer og weekendtillæg afspadseres.",Y32="X",S32="ikke relevant")),(AA32+AL32)/2,0)</f>
        <v>0</v>
      </c>
      <c r="FM32" s="283">
        <f>IF(AND(Stamoplysninger!$B$26="Der er indgået lokalaftale omkring weekendtillæg(Kræver aftale med TR/FSL). Weekendtimerne afspadseres.",I32="X"),K32,0)</f>
        <v>0</v>
      </c>
      <c r="FN32" s="674">
        <f>IF(AND(AND(Stamoplysninger!$B$26="Der er indgået lokalaftale omkring weekendtillæg(Kræver aftale med TR/FSL). Weekendtimerne afspadseres.",I32="X",C32="ikke relevant")),K32,0)</f>
        <v>0</v>
      </c>
      <c r="FO32" s="283">
        <f>IF(AND(Stamoplysninger!$B$26="Weekendtimer og weekendtillæg udbetales.",I32="X"),K32,0)</f>
        <v>0</v>
      </c>
      <c r="FP32" s="251">
        <f>IF(AND(Stamoplysninger!$B$26="Weekendtimer og weekendtillæg udbetales.",AA32="X"),(AC32+AN32)/2,0)</f>
        <v>0</v>
      </c>
      <c r="FQ32" s="674">
        <f>IF(AND(AND(Stamoplysninger!$B$26="Weekendtimer og weekendtillæg udbetales.",I32="X",C32="ikke relevant")),K32,0)</f>
        <v>0</v>
      </c>
      <c r="FR32" s="688">
        <f>IF(AND(AND(Stamoplysninger!$B$26="Weekendtimer og weekendtillæg udbetales.",AA32="X",U32="ikke relevant")),(AC32+AN32)/2,0)</f>
        <v>0</v>
      </c>
      <c r="FS32" s="283">
        <f t="shared" si="15"/>
        <v>0</v>
      </c>
      <c r="FT32" s="658">
        <f t="shared" si="16"/>
        <v>0</v>
      </c>
      <c r="FU32">
        <f t="shared" si="31"/>
        <v>0</v>
      </c>
      <c r="FV32" s="283">
        <f>IF(AND(Stamoplysninger!$B$26="Der er indgået lokalaftale omkring weekendtimer.(Kræver aftale med TR/FSL) Weekendtillæg afspadseres.",I32="X"),K32,0)</f>
        <v>0</v>
      </c>
      <c r="FW32" s="674">
        <f>IF(AND(AND(Stamoplysninger!$B$26="Der er indgået lokalaftale omkring weekendtimer.(Kræver aftale med TR/FSL) Weekendtillæg afspadseres.",I32="X",C32="ikke relevant")),K32,0)</f>
        <v>0</v>
      </c>
      <c r="FX32" s="283">
        <f>IF(AND(Stamoplysninger!$B$26="Der er indgået lokalaftale omkring weekendtimer(Kræver aftale med TR/FSL). Weekendtillæg udbetales.",I32="X"),K32,0)</f>
        <v>0</v>
      </c>
      <c r="FY32" s="674">
        <f>IF(AND(AND(Stamoplysninger!$B$26="Der er indgået lokalaftale omkring weekendtimer(Kræver aftale med TR/FSL). Weekendtillæg udbetales.",I32="X",C32="ikke relevant")),K32,0)</f>
        <v>0</v>
      </c>
      <c r="FZ32" s="283">
        <f>IF(AND(Stamoplysninger!$B$26="Der er indgået lokalaftale omkring weekendtillæg(Kræver aftale med TR/FSL). Weekendtimerne udbetales.",I32="X"),K32,0)</f>
        <v>0</v>
      </c>
      <c r="GA32" s="674">
        <f>IF(AND(AND(Stamoplysninger!$B$26="Der er indgået lokalaftale omkring weekendtillæg(Kræver aftale med TR/FSL). Weekendtimerne udbetales.",I32="X",C32="ikke relevant")),K32,0)</f>
        <v>0</v>
      </c>
      <c r="GB32" s="283">
        <f>IF(AND(Stamoplysninger!$B$26="Der er indgået lokalaftale omkring weekendtimer og weekendtillæg.(Kræver aftale med TR/FSL).",I32="X"),K32,0)</f>
        <v>0</v>
      </c>
      <c r="GC32" s="674">
        <f>IF(AND(AND(Stamoplysninger!$B$26="Der er indgået lokalaftale omkring weekendtimer og weekendtillæg.(Kræver aftale med TR/FSL).",I32="X",C32="ikke relevant")),K32,0)</f>
        <v>0</v>
      </c>
    </row>
    <row r="33" spans="1:185">
      <c r="A33" s="245">
        <f t="shared" si="18"/>
        <v>25</v>
      </c>
      <c r="B33" s="128" t="str">
        <f t="shared" si="0"/>
        <v>fr</v>
      </c>
      <c r="C33" s="129" t="s">
        <v>206</v>
      </c>
      <c r="D33" s="130" t="str">
        <f t="shared" si="1"/>
        <v/>
      </c>
      <c r="E33" s="917"/>
      <c r="F33" s="918"/>
      <c r="G33" s="919"/>
      <c r="H33" s="298"/>
      <c r="I33" s="527"/>
      <c r="J33" s="413"/>
      <c r="K33" s="380"/>
      <c r="L33" s="380"/>
      <c r="M33" s="380"/>
      <c r="N33" s="318">
        <f t="shared" si="19"/>
        <v>6.75</v>
      </c>
      <c r="O33" s="318">
        <f t="shared" si="20"/>
        <v>3</v>
      </c>
      <c r="P33" s="318">
        <f>IF(Stamoplysninger!$H$29="JA",Oktober!DG33,CX33)</f>
        <v>1.5</v>
      </c>
      <c r="Q33" s="318">
        <f t="shared" si="21"/>
        <v>2.25</v>
      </c>
      <c r="R33" s="319"/>
      <c r="S33" s="324"/>
      <c r="T33" s="325"/>
      <c r="U33" s="325"/>
      <c r="V33" s="435"/>
      <c r="W33" s="412"/>
      <c r="X33" s="642"/>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f>IF(AND(C33="Skema 1",B33="fr"),Arbejdstidsoversigt!$E$76,"")</f>
        <v>6.75</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6.75</v>
      </c>
      <c r="BB33" s="229">
        <f t="shared" si="8"/>
        <v>162</v>
      </c>
      <c r="BC33" s="1">
        <f t="shared" si="24"/>
        <v>0</v>
      </c>
      <c r="BD33" s="1">
        <f t="shared" si="9"/>
        <v>0</v>
      </c>
      <c r="BE33" s="1">
        <f t="shared" si="10"/>
        <v>0</v>
      </c>
      <c r="BF33" s="1">
        <f t="shared" si="11"/>
        <v>0</v>
      </c>
      <c r="BG33" s="210" t="str">
        <f>IF(AND(C33="Skema 1",B33="ma"),Skemaoplysninger!$E$30,"")</f>
        <v/>
      </c>
      <c r="BH33" s="210" t="str">
        <f>IF(AND(C33="Skema 1",B33="ti"),Skemaoplysninger!$G$30,"")</f>
        <v/>
      </c>
      <c r="BI33" s="210" t="str">
        <f>IF(AND(C33="Skema 1",B33="on"),Skemaoplysninger!$I$30,"")</f>
        <v/>
      </c>
      <c r="BJ33" s="210" t="str">
        <f>IF(AND(C33="Skema 1",B33="to"),Skemaoplysninger!$K$30,"")</f>
        <v/>
      </c>
      <c r="BK33" s="210">
        <f>IF(AND(C33="Skema 1",B33="fr"),Skemaoplysninger!$M$30,"")</f>
        <v>0.125</v>
      </c>
      <c r="BL33" s="210" t="str">
        <f>IF(AND(C33="Skema 2",B33="ma"),Skemaoplysninger!$S$30,"")</f>
        <v/>
      </c>
      <c r="BM33" s="210" t="str">
        <f>IF(AND(C33="Skema 2",B33="ti"),Skemaoplysninger!$U$30,"")</f>
        <v/>
      </c>
      <c r="BN33" s="210" t="str">
        <f>IF(AND(C33="Skema 2",B33="on"),Skemaoplysninger!$W$30,"")</f>
        <v/>
      </c>
      <c r="BO33" s="210" t="str">
        <f>IF(AND(C33="Skema 2",B33="to"),Skemaoplysninger!$Y$30,"")</f>
        <v/>
      </c>
      <c r="BP33" s="210" t="str">
        <f>IF(AND(C33="Skema 2",B33="fr"),Skemaoplysninger!$AA$30,"")</f>
        <v/>
      </c>
      <c r="BQ33" s="210" t="str">
        <f>IF(AND(C33="Skema 3",B33="ma"),Skemaoplysninger!$AG$30,"")</f>
        <v/>
      </c>
      <c r="BR33" s="210" t="str">
        <f>IF(AND(C33="Skema 3",B33="ti"),Skemaoplysninger!$AI$30,"")</f>
        <v/>
      </c>
      <c r="BS33" s="210" t="str">
        <f>IF(AND(C33="Skema 3",B33="on"),Skemaoplysninger!$AK$30,"")</f>
        <v/>
      </c>
      <c r="BT33" s="210" t="str">
        <f>IF(AND(C33="Skema 3",B33="to"),Skemaoplysninger!$AM$30,"")</f>
        <v/>
      </c>
      <c r="BU33" s="210" t="str">
        <f>IF(AND(C33="Skema 3",B33="fr"),Skemaoplysninger!$AO$30,"")</f>
        <v/>
      </c>
      <c r="BV33" s="210" t="str">
        <f>IF(AND(C33="Skema 4",B33="ma"),Skemaoplysninger!$AU$30,"")</f>
        <v/>
      </c>
      <c r="BW33" s="210" t="str">
        <f>IF(AND(C33="Skema 4",B33="ti"),Skemaoplysninger!$AW$30,"")</f>
        <v/>
      </c>
      <c r="BX33" s="210" t="str">
        <f>IF(AND(C33="Skema 4",B33="on"),Skemaoplysninger!$AY$30,"")</f>
        <v/>
      </c>
      <c r="BY33" s="210" t="str">
        <f>IF(AND(C33="Skema 4",B33="to"),Skemaoplysninger!$BA$30,"")</f>
        <v/>
      </c>
      <c r="BZ33" s="210" t="str">
        <f>IF(AND(C33="Skema 4",B33="fr"),Skemaoplysninger!$BC$30,"")</f>
        <v/>
      </c>
      <c r="CA33" s="1">
        <f t="shared" si="25"/>
        <v>3</v>
      </c>
      <c r="CB33" s="1">
        <f t="shared" si="12"/>
        <v>0</v>
      </c>
      <c r="CC33" s="1">
        <f t="shared" si="13"/>
        <v>0</v>
      </c>
      <c r="CD33" s="210" t="str">
        <f>IF(AND(C33="Skema 1",B33="ma"),Skemaoplysninger!$E$31,"")</f>
        <v/>
      </c>
      <c r="CE33" s="210" t="str">
        <f>IF(AND(C33="Skema 1",B33="ti"),Skemaoplysninger!$G$31,"")</f>
        <v/>
      </c>
      <c r="CF33" s="210" t="str">
        <f>IF(AND(C33="Skema 1",B33="on"),Skemaoplysninger!$I$31,"")</f>
        <v/>
      </c>
      <c r="CG33" s="210" t="str">
        <f>IF(AND(C33="Skema 1",B33="to"),Skemaoplysninger!$K$31,"")</f>
        <v/>
      </c>
      <c r="CH33" s="210">
        <f>IF(AND(C33="Skema 1",B33="fr"),Skemaoplysninger!$M$31,"")</f>
        <v>6.25E-2</v>
      </c>
      <c r="CI33" s="210" t="str">
        <f>IF(AND(C33="Skema 2",B33="ma"),Skemaoplysninger!$S$31,"")</f>
        <v/>
      </c>
      <c r="CJ33" s="210" t="str">
        <f>IF(AND(C33="Skema 2",B33="ti"),Skemaoplysninger!$U$31,"")</f>
        <v/>
      </c>
      <c r="CK33" s="210" t="str">
        <f>IF(AND(C33="Skema 2",B33="on"),Skemaoplysninger!$W$31,"")</f>
        <v/>
      </c>
      <c r="CL33" s="210" t="str">
        <f>IF(AND(C33="Skema 2",B33="to"),Skemaoplysninger!$Y$31,"")</f>
        <v/>
      </c>
      <c r="CM33" s="210" t="str">
        <f>IF(AND(C33="Skema 2",B33="fr"),Skemaoplysninger!$AA$31,"")</f>
        <v/>
      </c>
      <c r="CN33" s="210" t="str">
        <f>IF(AND(C33="Skema 3",B33="ma"),Skemaoplysninger!$AG$31,"")</f>
        <v/>
      </c>
      <c r="CO33" s="210" t="str">
        <f>IF(AND(C33="Skema 3",B33="ti"),Skemaoplysninger!$AI$31,"")</f>
        <v/>
      </c>
      <c r="CP33" s="210" t="str">
        <f>IF(AND(C33="Skema 3",B33="on"),Skemaoplysninger!$AK$31,"")</f>
        <v/>
      </c>
      <c r="CQ33" s="210" t="str">
        <f>IF(AND(C33="Skema 3",B33="to"),Skemaoplysninger!$AM$31,"")</f>
        <v/>
      </c>
      <c r="CR33" s="210" t="str">
        <f>IF(AND(C33="Skema 3",B33="fr"),Skemaoplysninger!$AO$31,"")</f>
        <v/>
      </c>
      <c r="CS33" s="210" t="str">
        <f>IF(AND(C33="Skema 4",B33="ma"),Skemaoplysninger!$AU$31,"")</f>
        <v/>
      </c>
      <c r="CT33" s="210" t="str">
        <f>IF(AND(C33="Skema 4",B33="ti"),Skemaoplysninger!$AW$31,"")</f>
        <v/>
      </c>
      <c r="CU33" s="210" t="str">
        <f>IF(AND(C33="Skema 4",B33="on"),Skemaoplysninger!$AY$31,"")</f>
        <v/>
      </c>
      <c r="CV33" s="210" t="str">
        <f>IF(AND(C33="Skema 4",B33="to"),Skemaoplysninger!$BA$31,"")</f>
        <v/>
      </c>
      <c r="CW33" s="210" t="str">
        <f>IF(AND(C33="Skema 4",B33="fr"),Skemaoplysninger!$BC$31,"")</f>
        <v/>
      </c>
      <c r="CX33" s="249">
        <f>IF(Stamoplysninger!$H$29="NEJ",SUM(CD33:CW33)*24+CB33+CC33,0)</f>
        <v>1.5</v>
      </c>
      <c r="CY33" s="249">
        <f>IF(C33="Skema 1",Stamoplysninger!$H$30/200,0)</f>
        <v>0</v>
      </c>
      <c r="CZ33" s="249">
        <f>IF(C33="Skema 2",Stamoplysninger!$H$30/200,0)</f>
        <v>0</v>
      </c>
      <c r="DA33" s="249">
        <f>IF(C33="Skema 3",Stamoplysninger!$H$30/200,0)</f>
        <v>0</v>
      </c>
      <c r="DB33" s="249">
        <f>IF(C33="Skema 4",Stamoplysninger!$H$30/200,0)</f>
        <v>0</v>
      </c>
      <c r="DC33" s="249">
        <f>IF(C33="fagdag",Stamoplysninger!$H$30/200,0)</f>
        <v>0</v>
      </c>
      <c r="DD33" s="249">
        <f>IF(C33="emnedag",Stamoplysninger!$H$30/200,0)</f>
        <v>0</v>
      </c>
      <c r="DE33" s="249">
        <f>IF(C33="lejrskole",Stamoplysninger!$H$30/200,0)</f>
        <v>0</v>
      </c>
      <c r="DF33" s="249">
        <f>IF(C33="ekskursion",Stamoplysninger!$H$30/200,0)</f>
        <v>0</v>
      </c>
      <c r="DG33" s="249">
        <f t="shared" si="26"/>
        <v>0</v>
      </c>
      <c r="DH33" t="str">
        <f t="shared" si="27"/>
        <v/>
      </c>
      <c r="DI33">
        <f t="shared" si="28"/>
        <v>0</v>
      </c>
      <c r="DJ33">
        <f t="shared" si="29"/>
        <v>0</v>
      </c>
      <c r="DK33" t="str">
        <f t="shared" si="14"/>
        <v/>
      </c>
      <c r="DL33" t="str">
        <f t="shared" si="14"/>
        <v/>
      </c>
      <c r="DM33" t="str">
        <f t="shared" si="14"/>
        <v/>
      </c>
      <c r="DN33" t="str">
        <f t="shared" si="30"/>
        <v/>
      </c>
      <c r="DO33" s="652">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71">
        <f>IF(AND(Stamoplysninger!$B$22="Ulempetillæg udbetales med 25% af nettotimelønnen.",C33="ikke relevant"),(R33)/4,0)</f>
        <v>0</v>
      </c>
      <c r="DT33" s="671">
        <f>IF(AND(AND(Stamoplysninger!$B$22="Ulempetillæg udbetales med 25% af nettotimelønnen.",I33="X",C33="Ikke relevant")),K33/4,0)</f>
        <v>0</v>
      </c>
      <c r="DU33" s="671">
        <f>IF(AND(AND(Stamoplysninger!$B$22="Ulempetillæg udbetales med 25% af nettotimelønnen.",C33="ikke relevant",U33="X")),(X33/4),0)</f>
        <v>0</v>
      </c>
      <c r="DV33" s="672">
        <f>IF(AND(AND(AND(Stamoplysninger!$B$22="Ulempetillæg udbetales med 25% af nettotimelønnen.",I33="X",C33="Ikke relevant",S33="X"))),V33/4,0)</f>
        <v>0</v>
      </c>
      <c r="DW33" s="652"/>
      <c r="DZ33" s="671"/>
      <c r="EA33" s="671"/>
      <c r="EB33" s="672"/>
      <c r="EC33" s="652">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71">
        <f>IF(AND(Stamoplysninger!$B$22="Ulempetillæg afspadseres med 25%(Kræver en aftale imellem ledelsen og den ansatte)",C33="ikke relevant"),(R33)/4,0)</f>
        <v>0</v>
      </c>
      <c r="EH33" s="671">
        <f>IF(AND(AND(Stamoplysninger!$B$22="Ulempetillæg afspadseres med 25%(Kræver en aftale imellem ledelsen og den ansatte)",I33="X",C33="Ikke relevant")),K33/4,0)</f>
        <v>0</v>
      </c>
      <c r="EI33" s="671">
        <f>IF(AND(AND(Stamoplysninger!$B$22="Ulempetillæg afspadseres med 25%(Kræver en aftale imellem ledelsen og den ansatte)",U33="X",C33="Ikke relevant")),X33/4,0)</f>
        <v>0</v>
      </c>
      <c r="EJ33" s="671">
        <f>IF(AND(AND(AND(Stamoplysninger!$B$22="Ulempetillæg afspadseres med 25%(Kræver en aftale imellem ledelsen og den ansatte)",I33="X",C33="Ikke relevant",S33="X"))),V33/4,0)</f>
        <v>0</v>
      </c>
      <c r="EK33" s="283">
        <f>IF(AND(Stamoplysninger!$B$26="Weekendtimer og weekendtillæg afspadseres.",I33="X"),K33*1.5,0)</f>
        <v>0</v>
      </c>
      <c r="EL33" s="251">
        <f>IF(AND(AND(Stamoplysninger!$B$26="Weekendtimer og weekendtillæg afspadseres.",I33="X",S33="X")),V33*1.5,0)</f>
        <v>0</v>
      </c>
      <c r="EM33" s="674">
        <f>IF(AND(AND(Stamoplysninger!$B$26="Weekendtimer og weekendtillæg afspadseres.",I33="X",C33="ikke relevant")),K33*1.5,0)</f>
        <v>0</v>
      </c>
      <c r="EN33" s="675">
        <f>IF(AND(AND(AND(Stamoplysninger!$B$26="Weekendtimer og weekendtillæg afspadseres.",I33="X",C33="ikke relevant",S33="X"))),(V33*1.5),0)</f>
        <v>0</v>
      </c>
      <c r="EO33" s="283">
        <f>IF(AND(Stamoplysninger!$B$26="Weekendtimer og weekendtillæg udbetales.",I33="X"),K33*1.5,0)</f>
        <v>0</v>
      </c>
      <c r="EP33" s="251">
        <f>IF(AND(AND(Stamoplysninger!$B$26="Weekendtimer og weekendtillæg udbetales.",I33="X",S33="X")),V33*1.5,0)</f>
        <v>0</v>
      </c>
      <c r="EQ33" s="674">
        <f>IF(AND(AND(Stamoplysninger!$B$26="Weekendtimer og weekendtillæg udbetales.",I33="X",C33="ikke relevant")),K33*1.5,0)</f>
        <v>0</v>
      </c>
      <c r="ER33" s="675">
        <f>IF(AND(AND(AND(Stamoplysninger!$B$26="Weekendtimer og weekendtillæg udbetales.",I33="X",C33="ikke relevant",S33="X"))),(V33*1.5),0)</f>
        <v>0</v>
      </c>
      <c r="ES33" s="283">
        <f>IF(AND(Stamoplysninger!$B$26="Der er indgået lokalaftale omkring weekendtimer.(Kræver aftale med TR/FSL) Weekendtillæg afspadseres.",I33="X"),K33*0.5,0)</f>
        <v>0</v>
      </c>
      <c r="ET33" s="251">
        <f>IF(AND(AND(Stamoplysninger!$B$26="Der er indgået lokalaftale omkring weekendtimer.(Kræver aftale med TR/FSL) Weekendtillæg afspadseres.",I33="X",S33="X")),V33*0.5,0)</f>
        <v>0</v>
      </c>
      <c r="EU33" s="674">
        <f>IF(AND(AND(Stamoplysninger!$B$26="Der er indgået lokalaftale omkring weekendtimer.(Kræver aftale med TR/FSL) Weekendtillæg afspadseres.",I33="X",C33="ikke relevant")),K33*0.5,0)</f>
        <v>0</v>
      </c>
      <c r="EV33" s="675">
        <f>IF(AND(AND(AND(Stamoplysninger!$B$26="Der er indgået lokalaftale omkring weekendtimer.(Kræver aftale med TR/FSL) Weekendtillæg afspadseres.",I33="X",C33="ikke relevant",S33="X"))),(V33*0.5),0)</f>
        <v>0</v>
      </c>
      <c r="EW33" s="283">
        <f>IF(AND(Stamoplysninger!$B$26="Der er indgået lokalaftale omkring weekendtimer(Kræver aftale med TR/FSL). Weekendtillæg udbetales.",I33="X"),K33*0.5,0)</f>
        <v>0</v>
      </c>
      <c r="EX33" s="251">
        <f>IF(AND(AND(Stamoplysninger!$B$26="Der er indgået lokalaftale omkring weekendtimer(Kræver aftale med TR/FSL). Weekendtillæg udbetales.",I33="X",S33="X")),V33*0.5,0)</f>
        <v>0</v>
      </c>
      <c r="EY33" s="674">
        <f>IF(AND(AND(Stamoplysninger!$B$26="Der er indgået lokalaftale omkring weekendtimer(Kræver aftale med TR/FSL). Weekendtillæg udbetales.",I33="X",C33="ikke relevant")),K33*0.5,0)</f>
        <v>0</v>
      </c>
      <c r="EZ33" s="675">
        <f>IF(AND(AND(AND(Stamoplysninger!$B$26="Der er indgået lokalaftale omkring weekendtimer(Kræver aftale med TR/FSL). Weekendtillæg udbetales.",I33="X",C33="ikke relevant",S33="X"))),(V33*0.5),0)</f>
        <v>0</v>
      </c>
      <c r="FA33" s="283">
        <f>IF(AND(Stamoplysninger!$B$26="Der er indgået lokalaftale omkring weekendtillæg(Kræver aftale med TR/FSL). Weekendtimerne afspadseres.",I33="X"),K33,0)</f>
        <v>0</v>
      </c>
      <c r="FB33" s="251">
        <f>IF(AND(AND(Stamoplysninger!$B$26="Der er indgået lokalaftale omkring weekendtillæg(Kræver aftale med TR/FSL). Weekendtimerne afspadseres.",I33="X",S33="X")),V33,0)</f>
        <v>0</v>
      </c>
      <c r="FC33" s="674">
        <f>IF(AND(AND(Stamoplysninger!$B$26="Der er indgået lokalaftale omkring weekendtillæg(Kræver aftale med TR/FSL). Weekendtimerne afspadseres..",I33="X",C33="ikke relevant")),K33,0)</f>
        <v>0</v>
      </c>
      <c r="FD33" s="675">
        <f>IF(AND(AND(AND(Stamoplysninger!$B$26="Der er indgået lokalaftale omkring weekendtillæg(Kræver aftale med TR/FSL). Weekendtimerne afspadseres.",I33="X",C33="ikke relevant",S33="X"))),(V33),0)</f>
        <v>0</v>
      </c>
      <c r="FE33" s="283">
        <f>IF(AND(Stamoplysninger!$B$26="Der er indgået lokalaftale omkring weekendtillæg(Kræver aftale med TR/FSL). Weekendtimerne udbetales.",I33="X"),K33,0)</f>
        <v>0</v>
      </c>
      <c r="FF33" s="251">
        <f>IF(AND(AND(Stamoplysninger!$B$26="Der er indgået lokalaftale omkring weekendtillæg(Kræver aftale med TR/FSL). Weekendtimerne udbetales.",I33="X",S33="X")),V33,0)</f>
        <v>0</v>
      </c>
      <c r="FG33" s="674">
        <f>IF(AND(AND(Stamoplysninger!$B$26="Der er indgået lokalaftale omkring weekendtillæg(Kræver aftale med TR/FSL). Weekendtimerne udbetales.",I33="X",C33="ikke relevant")),K33,0)</f>
        <v>0</v>
      </c>
      <c r="FH33" s="675">
        <f>IF(AND(AND(AND(Stamoplysninger!$B$26="Der er indgået lokalaftale omkring weekendtillæg(Kræver aftale med TR/FSL). Weekendtimerne udbetales.",I33="X",C33="ikke relevant",S33="X"))),(V33),0)</f>
        <v>0</v>
      </c>
      <c r="FI33" s="283">
        <f>IF(AND(Stamoplysninger!$B$26="Weekendtimer og weekendtillæg afspadseres.",I33="X"),K33,0)</f>
        <v>0</v>
      </c>
      <c r="FJ33" s="251">
        <f>IF(AND(Stamoplysninger!$B$26="Weekendtimer og weekendtillæg afspadseres.",Y33="X"),(AA33+AL33)/2,0)</f>
        <v>0</v>
      </c>
      <c r="FK33" s="674">
        <f>IF(AND(AND(Stamoplysninger!$B$26="Weekendtimer og weekendtillæg afspadseres.",I33="X",C33="ikke relevant")),K33,0)</f>
        <v>0</v>
      </c>
      <c r="FL33" s="675">
        <f>IF(AND(AND(Stamoplysninger!$B$26="Weekendtimer og weekendtillæg afspadseres.",Y33="X",S33="ikke relevant")),(AA33+AL33)/2,0)</f>
        <v>0</v>
      </c>
      <c r="FM33" s="283">
        <f>IF(AND(Stamoplysninger!$B$26="Der er indgået lokalaftale omkring weekendtillæg(Kræver aftale med TR/FSL). Weekendtimerne afspadseres.",I33="X"),K33,0)</f>
        <v>0</v>
      </c>
      <c r="FN33" s="674">
        <f>IF(AND(AND(Stamoplysninger!$B$26="Der er indgået lokalaftale omkring weekendtillæg(Kræver aftale med TR/FSL). Weekendtimerne afspadseres.",I33="X",C33="ikke relevant")),K33,0)</f>
        <v>0</v>
      </c>
      <c r="FO33" s="283">
        <f>IF(AND(Stamoplysninger!$B$26="Weekendtimer og weekendtillæg udbetales.",I33="X"),K33,0)</f>
        <v>0</v>
      </c>
      <c r="FP33" s="251">
        <f>IF(AND(Stamoplysninger!$B$26="Weekendtimer og weekendtillæg udbetales.",AA33="X"),(AC33+AN33)/2,0)</f>
        <v>0</v>
      </c>
      <c r="FQ33" s="674">
        <f>IF(AND(AND(Stamoplysninger!$B$26="Weekendtimer og weekendtillæg udbetales.",I33="X",C33="ikke relevant")),K33,0)</f>
        <v>0</v>
      </c>
      <c r="FR33" s="688">
        <f>IF(AND(AND(Stamoplysninger!$B$26="Weekendtimer og weekendtillæg udbetales.",AA33="X",U33="ikke relevant")),(AC33+AN33)/2,0)</f>
        <v>0</v>
      </c>
      <c r="FS33" s="283">
        <f t="shared" si="15"/>
        <v>0</v>
      </c>
      <c r="FT33" s="658">
        <f t="shared" si="16"/>
        <v>0</v>
      </c>
      <c r="FU33">
        <f t="shared" si="31"/>
        <v>0</v>
      </c>
      <c r="FV33" s="283">
        <f>IF(AND(Stamoplysninger!$B$26="Der er indgået lokalaftale omkring weekendtimer.(Kræver aftale med TR/FSL) Weekendtillæg afspadseres.",I33="X"),K33,0)</f>
        <v>0</v>
      </c>
      <c r="FW33" s="674">
        <f>IF(AND(AND(Stamoplysninger!$B$26="Der er indgået lokalaftale omkring weekendtimer.(Kræver aftale med TR/FSL) Weekendtillæg afspadseres.",I33="X",C33="ikke relevant")),K33,0)</f>
        <v>0</v>
      </c>
      <c r="FX33" s="283">
        <f>IF(AND(Stamoplysninger!$B$26="Der er indgået lokalaftale omkring weekendtimer(Kræver aftale med TR/FSL). Weekendtillæg udbetales.",I33="X"),K33,0)</f>
        <v>0</v>
      </c>
      <c r="FY33" s="674">
        <f>IF(AND(AND(Stamoplysninger!$B$26="Der er indgået lokalaftale omkring weekendtimer(Kræver aftale med TR/FSL). Weekendtillæg udbetales.",I33="X",C33="ikke relevant")),K33,0)</f>
        <v>0</v>
      </c>
      <c r="FZ33" s="283">
        <f>IF(AND(Stamoplysninger!$B$26="Der er indgået lokalaftale omkring weekendtillæg(Kræver aftale med TR/FSL). Weekendtimerne udbetales.",I33="X"),K33,0)</f>
        <v>0</v>
      </c>
      <c r="GA33" s="674">
        <f>IF(AND(AND(Stamoplysninger!$B$26="Der er indgået lokalaftale omkring weekendtillæg(Kræver aftale med TR/FSL). Weekendtimerne udbetales.",I33="X",C33="ikke relevant")),K33,0)</f>
        <v>0</v>
      </c>
      <c r="GB33" s="283">
        <f>IF(AND(Stamoplysninger!$B$26="Der er indgået lokalaftale omkring weekendtimer og weekendtillæg.(Kræver aftale med TR/FSL).",I33="X"),K33,0)</f>
        <v>0</v>
      </c>
      <c r="GC33" s="674">
        <f>IF(AND(AND(Stamoplysninger!$B$26="Der er indgået lokalaftale omkring weekendtimer og weekendtillæg.(Kræver aftale med TR/FSL).",I33="X",C33="ikke relevant")),K33,0)</f>
        <v>0</v>
      </c>
    </row>
    <row r="34" spans="1:185">
      <c r="A34" s="245">
        <f t="shared" si="18"/>
        <v>26</v>
      </c>
      <c r="B34" s="128" t="str">
        <f t="shared" si="0"/>
        <v>lø</v>
      </c>
      <c r="C34" s="129" t="s">
        <v>120</v>
      </c>
      <c r="D34" s="130" t="str">
        <f t="shared" si="1"/>
        <v/>
      </c>
      <c r="E34" s="917"/>
      <c r="F34" s="918"/>
      <c r="G34" s="919"/>
      <c r="H34" s="298"/>
      <c r="I34" s="617"/>
      <c r="J34" s="413"/>
      <c r="K34" s="380"/>
      <c r="L34" s="380"/>
      <c r="M34" s="380"/>
      <c r="N34" s="318">
        <f t="shared" si="19"/>
        <v>0</v>
      </c>
      <c r="O34" s="318">
        <f t="shared" si="20"/>
        <v>0</v>
      </c>
      <c r="P34" s="318">
        <f>IF(Stamoplysninger!$H$29="JA",Oktober!DG34,CX34)</f>
        <v>0</v>
      </c>
      <c r="Q34" s="318">
        <f t="shared" si="21"/>
        <v>0</v>
      </c>
      <c r="R34" s="319"/>
      <c r="S34" s="324"/>
      <c r="T34" s="325"/>
      <c r="U34" s="325"/>
      <c r="V34" s="435"/>
      <c r="W34" s="412"/>
      <c r="X34" s="642"/>
      <c r="Y34">
        <f t="shared" si="22"/>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9">
        <f t="shared" si="8"/>
        <v>0</v>
      </c>
      <c r="BC34" s="1">
        <f t="shared" si="24"/>
        <v>0</v>
      </c>
      <c r="BD34" s="1">
        <f t="shared" si="9"/>
        <v>0</v>
      </c>
      <c r="BE34" s="1">
        <f t="shared" si="10"/>
        <v>0</v>
      </c>
      <c r="BF34" s="1">
        <f t="shared" si="11"/>
        <v>0</v>
      </c>
      <c r="BG34" s="210" t="str">
        <f>IF(AND(C34="Skema 1",B34="ma"),Skemaoplysninger!$E$30,"")</f>
        <v/>
      </c>
      <c r="BH34" s="210" t="str">
        <f>IF(AND(C34="Skema 1",B34="ti"),Skemaoplysninger!$G$30,"")</f>
        <v/>
      </c>
      <c r="BI34" s="210" t="str">
        <f>IF(AND(C34="Skema 1",B34="on"),Skemaoplysninger!$I$30,"")</f>
        <v/>
      </c>
      <c r="BJ34" s="210" t="str">
        <f>IF(AND(C34="Skema 1",B34="to"),Skemaoplysninger!$K$30,"")</f>
        <v/>
      </c>
      <c r="BK34" s="210" t="str">
        <f>IF(AND(C34="Skema 1",B34="fr"),Skemaoplysninger!$M$30,"")</f>
        <v/>
      </c>
      <c r="BL34" s="210" t="str">
        <f>IF(AND(C34="Skema 2",B34="ma"),Skemaoplysninger!$S$30,"")</f>
        <v/>
      </c>
      <c r="BM34" s="210" t="str">
        <f>IF(AND(C34="Skema 2",B34="ti"),Skemaoplysninger!$U$30,"")</f>
        <v/>
      </c>
      <c r="BN34" s="210" t="str">
        <f>IF(AND(C34="Skema 2",B34="on"),Skemaoplysninger!$W$30,"")</f>
        <v/>
      </c>
      <c r="BO34" s="210" t="str">
        <f>IF(AND(C34="Skema 2",B34="to"),Skemaoplysninger!$Y$30,"")</f>
        <v/>
      </c>
      <c r="BP34" s="210" t="str">
        <f>IF(AND(C34="Skema 2",B34="fr"),Skemaoplysninger!$AA$30,"")</f>
        <v/>
      </c>
      <c r="BQ34" s="210" t="str">
        <f>IF(AND(C34="Skema 3",B34="ma"),Skemaoplysninger!$AG$30,"")</f>
        <v/>
      </c>
      <c r="BR34" s="210" t="str">
        <f>IF(AND(C34="Skema 3",B34="ti"),Skemaoplysninger!$AI$30,"")</f>
        <v/>
      </c>
      <c r="BS34" s="210" t="str">
        <f>IF(AND(C34="Skema 3",B34="on"),Skemaoplysninger!$AK$30,"")</f>
        <v/>
      </c>
      <c r="BT34" s="210" t="str">
        <f>IF(AND(C34="Skema 3",B34="to"),Skemaoplysninger!$AM$30,"")</f>
        <v/>
      </c>
      <c r="BU34" s="210" t="str">
        <f>IF(AND(C34="Skema 3",B34="fr"),Skemaoplysninger!$AO$30,"")</f>
        <v/>
      </c>
      <c r="BV34" s="210" t="str">
        <f>IF(AND(C34="Skema 4",B34="ma"),Skemaoplysninger!$AU$30,"")</f>
        <v/>
      </c>
      <c r="BW34" s="210" t="str">
        <f>IF(AND(C34="Skema 4",B34="ti"),Skemaoplysninger!$AW$30,"")</f>
        <v/>
      </c>
      <c r="BX34" s="210" t="str">
        <f>IF(AND(C34="Skema 4",B34="on"),Skemaoplysninger!$AY$30,"")</f>
        <v/>
      </c>
      <c r="BY34" s="210" t="str">
        <f>IF(AND(C34="Skema 4",B34="to"),Skemaoplysninger!$BA$30,"")</f>
        <v/>
      </c>
      <c r="BZ34" s="210" t="str">
        <f>IF(AND(C34="Skema 4",B34="fr"),Skemaoplysninger!$BC$30,"")</f>
        <v/>
      </c>
      <c r="CA34" s="1">
        <f t="shared" si="25"/>
        <v>0</v>
      </c>
      <c r="CB34" s="1">
        <f t="shared" si="12"/>
        <v>0</v>
      </c>
      <c r="CC34" s="1">
        <f t="shared" si="13"/>
        <v>0</v>
      </c>
      <c r="CD34" s="210" t="str">
        <f>IF(AND(C34="Skema 1",B34="ma"),Skemaoplysninger!$E$31,"")</f>
        <v/>
      </c>
      <c r="CE34" s="210" t="str">
        <f>IF(AND(C34="Skema 1",B34="ti"),Skemaoplysninger!$G$31,"")</f>
        <v/>
      </c>
      <c r="CF34" s="210" t="str">
        <f>IF(AND(C34="Skema 1",B34="on"),Skemaoplysninger!$I$31,"")</f>
        <v/>
      </c>
      <c r="CG34" s="210" t="str">
        <f>IF(AND(C34="Skema 1",B34="to"),Skemaoplysninger!$K$31,"")</f>
        <v/>
      </c>
      <c r="CH34" s="210" t="str">
        <f>IF(AND(C34="Skema 1",B34="fr"),Skemaoplysninger!$M$31,"")</f>
        <v/>
      </c>
      <c r="CI34" s="210" t="str">
        <f>IF(AND(C34="Skema 2",B34="ma"),Skemaoplysninger!$S$31,"")</f>
        <v/>
      </c>
      <c r="CJ34" s="210" t="str">
        <f>IF(AND(C34="Skema 2",B34="ti"),Skemaoplysninger!$U$31,"")</f>
        <v/>
      </c>
      <c r="CK34" s="210" t="str">
        <f>IF(AND(C34="Skema 2",B34="on"),Skemaoplysninger!$W$31,"")</f>
        <v/>
      </c>
      <c r="CL34" s="210" t="str">
        <f>IF(AND(C34="Skema 2",B34="to"),Skemaoplysninger!$Y$31,"")</f>
        <v/>
      </c>
      <c r="CM34" s="210" t="str">
        <f>IF(AND(C34="Skema 2",B34="fr"),Skemaoplysninger!$AA$31,"")</f>
        <v/>
      </c>
      <c r="CN34" s="210" t="str">
        <f>IF(AND(C34="Skema 3",B34="ma"),Skemaoplysninger!$AG$31,"")</f>
        <v/>
      </c>
      <c r="CO34" s="210" t="str">
        <f>IF(AND(C34="Skema 3",B34="ti"),Skemaoplysninger!$AI$31,"")</f>
        <v/>
      </c>
      <c r="CP34" s="210" t="str">
        <f>IF(AND(C34="Skema 3",B34="on"),Skemaoplysninger!$AK$31,"")</f>
        <v/>
      </c>
      <c r="CQ34" s="210" t="str">
        <f>IF(AND(C34="Skema 3",B34="to"),Skemaoplysninger!$AM$31,"")</f>
        <v/>
      </c>
      <c r="CR34" s="210" t="str">
        <f>IF(AND(C34="Skema 3",B34="fr"),Skemaoplysninger!$AO$31,"")</f>
        <v/>
      </c>
      <c r="CS34" s="210" t="str">
        <f>IF(AND(C34="Skema 4",B34="ma"),Skemaoplysninger!$AU$31,"")</f>
        <v/>
      </c>
      <c r="CT34" s="210" t="str">
        <f>IF(AND(C34="Skema 4",B34="ti"),Skemaoplysninger!$AW$31,"")</f>
        <v/>
      </c>
      <c r="CU34" s="210" t="str">
        <f>IF(AND(C34="Skema 4",B34="on"),Skemaoplysninger!$AY$31,"")</f>
        <v/>
      </c>
      <c r="CV34" s="210" t="str">
        <f>IF(AND(C34="Skema 4",B34="to"),Skemaoplysninger!$BA$31,"")</f>
        <v/>
      </c>
      <c r="CW34" s="210" t="str">
        <f>IF(AND(C34="Skema 4",B34="fr"),Skemaoplysninger!$BC$31,"")</f>
        <v/>
      </c>
      <c r="CX34" s="249">
        <f>IF(Stamoplysninger!$H$29="NEJ",SUM(CD34:CW34)*24+CB34+CC34,0)</f>
        <v>0</v>
      </c>
      <c r="CY34" s="249">
        <f>IF(C34="Skema 1",Stamoplysninger!$H$30/200,0)</f>
        <v>0</v>
      </c>
      <c r="CZ34" s="249">
        <f>IF(C34="Skema 2",Stamoplysninger!$H$30/200,0)</f>
        <v>0</v>
      </c>
      <c r="DA34" s="249">
        <f>IF(C34="Skema 3",Stamoplysninger!$H$30/200,0)</f>
        <v>0</v>
      </c>
      <c r="DB34" s="249">
        <f>IF(C34="Skema 4",Stamoplysninger!$H$30/200,0)</f>
        <v>0</v>
      </c>
      <c r="DC34" s="249">
        <f>IF(C34="fagdag",Stamoplysninger!$H$30/200,0)</f>
        <v>0</v>
      </c>
      <c r="DD34" s="249">
        <f>IF(C34="emnedag",Stamoplysninger!$H$30/200,0)</f>
        <v>0</v>
      </c>
      <c r="DE34" s="249">
        <f>IF(C34="lejrskole",Stamoplysninger!$H$30/200,0)</f>
        <v>0</v>
      </c>
      <c r="DF34" s="249">
        <f>IF(C34="ekskursion",Stamoplysninger!$H$30/200,0)</f>
        <v>0</v>
      </c>
      <c r="DG34" s="249">
        <f t="shared" si="26"/>
        <v>0</v>
      </c>
      <c r="DH34" t="str">
        <f t="shared" si="27"/>
        <v/>
      </c>
      <c r="DI34">
        <f t="shared" si="28"/>
        <v>0</v>
      </c>
      <c r="DJ34">
        <f t="shared" si="29"/>
        <v>0</v>
      </c>
      <c r="DK34" t="str">
        <f t="shared" si="14"/>
        <v/>
      </c>
      <c r="DL34" t="str">
        <f t="shared" si="14"/>
        <v/>
      </c>
      <c r="DM34" t="str">
        <f t="shared" si="14"/>
        <v/>
      </c>
      <c r="DN34" t="str">
        <f t="shared" si="30"/>
        <v/>
      </c>
      <c r="DO34" s="652">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71">
        <f>IF(AND(Stamoplysninger!$B$22="Ulempetillæg udbetales med 25% af nettotimelønnen.",C34="ikke relevant"),(R34)/4,0)</f>
        <v>0</v>
      </c>
      <c r="DT34" s="671">
        <f>IF(AND(AND(Stamoplysninger!$B$22="Ulempetillæg udbetales med 25% af nettotimelønnen.",I34="X",C34="Ikke relevant")),K34/4,0)</f>
        <v>0</v>
      </c>
      <c r="DU34" s="671">
        <f>IF(AND(AND(Stamoplysninger!$B$22="Ulempetillæg udbetales med 25% af nettotimelønnen.",C34="ikke relevant",U34="X")),(X34/4),0)</f>
        <v>0</v>
      </c>
      <c r="DV34" s="672">
        <f>IF(AND(AND(AND(Stamoplysninger!$B$22="Ulempetillæg udbetales med 25% af nettotimelønnen.",I34="X",C34="Ikke relevant",S34="X"))),V34/4,0)</f>
        <v>0</v>
      </c>
      <c r="DW34" s="652"/>
      <c r="DZ34" s="671"/>
      <c r="EA34" s="671"/>
      <c r="EB34" s="672"/>
      <c r="EC34" s="652">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71">
        <f>IF(AND(Stamoplysninger!$B$22="Ulempetillæg afspadseres med 25%(Kræver en aftale imellem ledelsen og den ansatte)",C34="ikke relevant"),(R34)/4,0)</f>
        <v>0</v>
      </c>
      <c r="EH34" s="671">
        <f>IF(AND(AND(Stamoplysninger!$B$22="Ulempetillæg afspadseres med 25%(Kræver en aftale imellem ledelsen og den ansatte)",I34="X",C34="Ikke relevant")),K34/4,0)</f>
        <v>0</v>
      </c>
      <c r="EI34" s="671">
        <f>IF(AND(AND(Stamoplysninger!$B$22="Ulempetillæg afspadseres med 25%(Kræver en aftale imellem ledelsen og den ansatte)",U34="X",C34="Ikke relevant")),X34/4,0)</f>
        <v>0</v>
      </c>
      <c r="EJ34" s="671">
        <f>IF(AND(AND(AND(Stamoplysninger!$B$22="Ulempetillæg afspadseres med 25%(Kræver en aftale imellem ledelsen og den ansatte)",I34="X",C34="Ikke relevant",S34="X"))),V34/4,0)</f>
        <v>0</v>
      </c>
      <c r="EK34" s="283">
        <f>IF(AND(Stamoplysninger!$B$26="Weekendtimer og weekendtillæg afspadseres.",I34="X"),K34*1.5,0)</f>
        <v>0</v>
      </c>
      <c r="EL34" s="251">
        <f>IF(AND(AND(Stamoplysninger!$B$26="Weekendtimer og weekendtillæg afspadseres.",I34="X",S34="X")),V34*1.5,0)</f>
        <v>0</v>
      </c>
      <c r="EM34" s="674">
        <f>IF(AND(AND(Stamoplysninger!$B$26="Weekendtimer og weekendtillæg afspadseres.",I34="X",C34="ikke relevant")),K34*1.5,0)</f>
        <v>0</v>
      </c>
      <c r="EN34" s="675">
        <f>IF(AND(AND(AND(Stamoplysninger!$B$26="Weekendtimer og weekendtillæg afspadseres.",I34="X",C34="ikke relevant",S34="X"))),(V34*1.5),0)</f>
        <v>0</v>
      </c>
      <c r="EO34" s="283">
        <f>IF(AND(Stamoplysninger!$B$26="Weekendtimer og weekendtillæg udbetales.",I34="X"),K34*1.5,0)</f>
        <v>0</v>
      </c>
      <c r="EP34" s="251">
        <f>IF(AND(AND(Stamoplysninger!$B$26="Weekendtimer og weekendtillæg udbetales.",I34="X",S34="X")),V34*1.5,0)</f>
        <v>0</v>
      </c>
      <c r="EQ34" s="674">
        <f>IF(AND(AND(Stamoplysninger!$B$26="Weekendtimer og weekendtillæg udbetales.",I34="X",C34="ikke relevant")),K34*1.5,0)</f>
        <v>0</v>
      </c>
      <c r="ER34" s="675">
        <f>IF(AND(AND(AND(Stamoplysninger!$B$26="Weekendtimer og weekendtillæg udbetales.",I34="X",C34="ikke relevant",S34="X"))),(V34*1.5),0)</f>
        <v>0</v>
      </c>
      <c r="ES34" s="283">
        <f>IF(AND(Stamoplysninger!$B$26="Der er indgået lokalaftale omkring weekendtimer.(Kræver aftale med TR/FSL) Weekendtillæg afspadseres.",I34="X"),K34*0.5,0)</f>
        <v>0</v>
      </c>
      <c r="ET34" s="251">
        <f>IF(AND(AND(Stamoplysninger!$B$26="Der er indgået lokalaftale omkring weekendtimer.(Kræver aftale med TR/FSL) Weekendtillæg afspadseres.",I34="X",S34="X")),V34*0.5,0)</f>
        <v>0</v>
      </c>
      <c r="EU34" s="674">
        <f>IF(AND(AND(Stamoplysninger!$B$26="Der er indgået lokalaftale omkring weekendtimer.(Kræver aftale med TR/FSL) Weekendtillæg afspadseres.",I34="X",C34="ikke relevant")),K34*0.5,0)</f>
        <v>0</v>
      </c>
      <c r="EV34" s="675">
        <f>IF(AND(AND(AND(Stamoplysninger!$B$26="Der er indgået lokalaftale omkring weekendtimer.(Kræver aftale med TR/FSL) Weekendtillæg afspadseres.",I34="X",C34="ikke relevant",S34="X"))),(V34*0.5),0)</f>
        <v>0</v>
      </c>
      <c r="EW34" s="283">
        <f>IF(AND(Stamoplysninger!$B$26="Der er indgået lokalaftale omkring weekendtimer(Kræver aftale med TR/FSL). Weekendtillæg udbetales.",I34="X"),K34*0.5,0)</f>
        <v>0</v>
      </c>
      <c r="EX34" s="251">
        <f>IF(AND(AND(Stamoplysninger!$B$26="Der er indgået lokalaftale omkring weekendtimer(Kræver aftale med TR/FSL). Weekendtillæg udbetales.",I34="X",S34="X")),V34*0.5,0)</f>
        <v>0</v>
      </c>
      <c r="EY34" s="674">
        <f>IF(AND(AND(Stamoplysninger!$B$26="Der er indgået lokalaftale omkring weekendtimer(Kræver aftale med TR/FSL). Weekendtillæg udbetales.",I34="X",C34="ikke relevant")),K34*0.5,0)</f>
        <v>0</v>
      </c>
      <c r="EZ34" s="675">
        <f>IF(AND(AND(AND(Stamoplysninger!$B$26="Der er indgået lokalaftale omkring weekendtimer(Kræver aftale med TR/FSL). Weekendtillæg udbetales.",I34="X",C34="ikke relevant",S34="X"))),(V34*0.5),0)</f>
        <v>0</v>
      </c>
      <c r="FA34" s="283">
        <f>IF(AND(Stamoplysninger!$B$26="Der er indgået lokalaftale omkring weekendtillæg(Kræver aftale med TR/FSL). Weekendtimerne afspadseres.",I34="X"),K34,0)</f>
        <v>0</v>
      </c>
      <c r="FB34" s="251">
        <f>IF(AND(AND(Stamoplysninger!$B$26="Der er indgået lokalaftale omkring weekendtillæg(Kræver aftale med TR/FSL). Weekendtimerne afspadseres.",I34="X",S34="X")),V34,0)</f>
        <v>0</v>
      </c>
      <c r="FC34" s="674">
        <f>IF(AND(AND(Stamoplysninger!$B$26="Der er indgået lokalaftale omkring weekendtillæg(Kræver aftale med TR/FSL). Weekendtimerne afspadseres..",I34="X",C34="ikke relevant")),K34,0)</f>
        <v>0</v>
      </c>
      <c r="FD34" s="675">
        <f>IF(AND(AND(AND(Stamoplysninger!$B$26="Der er indgået lokalaftale omkring weekendtillæg(Kræver aftale med TR/FSL). Weekendtimerne afspadseres.",I34="X",C34="ikke relevant",S34="X"))),(V34),0)</f>
        <v>0</v>
      </c>
      <c r="FE34" s="283">
        <f>IF(AND(Stamoplysninger!$B$26="Der er indgået lokalaftale omkring weekendtillæg(Kræver aftale med TR/FSL). Weekendtimerne udbetales.",I34="X"),K34,0)</f>
        <v>0</v>
      </c>
      <c r="FF34" s="251">
        <f>IF(AND(AND(Stamoplysninger!$B$26="Der er indgået lokalaftale omkring weekendtillæg(Kræver aftale med TR/FSL). Weekendtimerne udbetales.",I34="X",S34="X")),V34,0)</f>
        <v>0</v>
      </c>
      <c r="FG34" s="674">
        <f>IF(AND(AND(Stamoplysninger!$B$26="Der er indgået lokalaftale omkring weekendtillæg(Kræver aftale med TR/FSL). Weekendtimerne udbetales.",I34="X",C34="ikke relevant")),K34,0)</f>
        <v>0</v>
      </c>
      <c r="FH34" s="675">
        <f>IF(AND(AND(AND(Stamoplysninger!$B$26="Der er indgået lokalaftale omkring weekendtillæg(Kræver aftale med TR/FSL). Weekendtimerne udbetales.",I34="X",C34="ikke relevant",S34="X"))),(V34),0)</f>
        <v>0</v>
      </c>
      <c r="FI34" s="283">
        <f>IF(AND(Stamoplysninger!$B$26="Weekendtimer og weekendtillæg afspadseres.",I34="X"),K34,0)</f>
        <v>0</v>
      </c>
      <c r="FJ34" s="251">
        <f>IF(AND(Stamoplysninger!$B$26="Weekendtimer og weekendtillæg afspadseres.",Y34="X"),(AA34+AL34)/2,0)</f>
        <v>0</v>
      </c>
      <c r="FK34" s="674">
        <f>IF(AND(AND(Stamoplysninger!$B$26="Weekendtimer og weekendtillæg afspadseres.",I34="X",C34="ikke relevant")),K34,0)</f>
        <v>0</v>
      </c>
      <c r="FL34" s="675">
        <f>IF(AND(AND(Stamoplysninger!$B$26="Weekendtimer og weekendtillæg afspadseres.",Y34="X",S34="ikke relevant")),(AA34+AL34)/2,0)</f>
        <v>0</v>
      </c>
      <c r="FM34" s="283">
        <f>IF(AND(Stamoplysninger!$B$26="Der er indgået lokalaftale omkring weekendtillæg(Kræver aftale med TR/FSL). Weekendtimerne afspadseres.",I34="X"),K34,0)</f>
        <v>0</v>
      </c>
      <c r="FN34" s="674">
        <f>IF(AND(AND(Stamoplysninger!$B$26="Der er indgået lokalaftale omkring weekendtillæg(Kræver aftale med TR/FSL). Weekendtimerne afspadseres.",I34="X",C34="ikke relevant")),K34,0)</f>
        <v>0</v>
      </c>
      <c r="FO34" s="283">
        <f>IF(AND(Stamoplysninger!$B$26="Weekendtimer og weekendtillæg udbetales.",I34="X"),K34,0)</f>
        <v>0</v>
      </c>
      <c r="FP34" s="251">
        <f>IF(AND(Stamoplysninger!$B$26="Weekendtimer og weekendtillæg udbetales.",AA34="X"),(AC34+AN34)/2,0)</f>
        <v>0</v>
      </c>
      <c r="FQ34" s="674">
        <f>IF(AND(AND(Stamoplysninger!$B$26="Weekendtimer og weekendtillæg udbetales.",I34="X",C34="ikke relevant")),K34,0)</f>
        <v>0</v>
      </c>
      <c r="FR34" s="688">
        <f>IF(AND(AND(Stamoplysninger!$B$26="Weekendtimer og weekendtillæg udbetales.",AA34="X",U34="ikke relevant")),(AC34+AN34)/2,0)</f>
        <v>0</v>
      </c>
      <c r="FS34" s="283">
        <f t="shared" si="15"/>
        <v>0</v>
      </c>
      <c r="FT34" s="658">
        <f t="shared" si="16"/>
        <v>0</v>
      </c>
      <c r="FU34">
        <f>IF(AND(C34="weekend",I34="X"),K34,0)</f>
        <v>0</v>
      </c>
      <c r="FV34" s="283">
        <f>IF(AND(Stamoplysninger!$B$26="Der er indgået lokalaftale omkring weekendtimer.(Kræver aftale med TR/FSL) Weekendtillæg afspadseres.",I34="X"),K34,0)</f>
        <v>0</v>
      </c>
      <c r="FW34" s="674">
        <f>IF(AND(AND(Stamoplysninger!$B$26="Der er indgået lokalaftale omkring weekendtimer.(Kræver aftale med TR/FSL) Weekendtillæg afspadseres.",I34="X",C34="ikke relevant")),K34,0)</f>
        <v>0</v>
      </c>
      <c r="FX34" s="283">
        <f>IF(AND(Stamoplysninger!$B$26="Der er indgået lokalaftale omkring weekendtimer(Kræver aftale med TR/FSL). Weekendtillæg udbetales.",I34="X"),K34,0)</f>
        <v>0</v>
      </c>
      <c r="FY34" s="674">
        <f>IF(AND(AND(Stamoplysninger!$B$26="Der er indgået lokalaftale omkring weekendtimer(Kræver aftale med TR/FSL). Weekendtillæg udbetales.",I34="X",C34="ikke relevant")),K34,0)</f>
        <v>0</v>
      </c>
      <c r="FZ34" s="283">
        <f>IF(AND(Stamoplysninger!$B$26="Der er indgået lokalaftale omkring weekendtillæg(Kræver aftale med TR/FSL). Weekendtimerne udbetales.",I34="X"),K34,0)</f>
        <v>0</v>
      </c>
      <c r="GA34" s="674">
        <f>IF(AND(AND(Stamoplysninger!$B$26="Der er indgået lokalaftale omkring weekendtillæg(Kræver aftale med TR/FSL). Weekendtimerne udbetales.",I34="X",C34="ikke relevant")),K34,0)</f>
        <v>0</v>
      </c>
      <c r="GB34" s="283">
        <f>IF(AND(Stamoplysninger!$B$26="Der er indgået lokalaftale omkring weekendtimer og weekendtillæg.(Kræver aftale med TR/FSL).",I34="X"),K34,0)</f>
        <v>0</v>
      </c>
      <c r="GC34" s="674">
        <f>IF(AND(AND(Stamoplysninger!$B$26="Der er indgået lokalaftale omkring weekendtimer og weekendtillæg.(Kræver aftale med TR/FSL).",I34="X",C34="ikke relevant")),K34,0)</f>
        <v>0</v>
      </c>
    </row>
    <row r="35" spans="1:185">
      <c r="A35" s="245">
        <f t="shared" si="18"/>
        <v>27</v>
      </c>
      <c r="B35" s="128" t="str">
        <f t="shared" si="0"/>
        <v>sø</v>
      </c>
      <c r="C35" s="129" t="s">
        <v>120</v>
      </c>
      <c r="D35" s="130" t="str">
        <f t="shared" si="1"/>
        <v/>
      </c>
      <c r="E35" s="917"/>
      <c r="F35" s="918"/>
      <c r="G35" s="919"/>
      <c r="H35" s="298"/>
      <c r="I35" s="413"/>
      <c r="J35" s="413"/>
      <c r="K35" s="380"/>
      <c r="L35" s="380"/>
      <c r="M35" s="380"/>
      <c r="N35" s="318">
        <f t="shared" si="19"/>
        <v>0</v>
      </c>
      <c r="O35" s="318">
        <f t="shared" si="20"/>
        <v>0</v>
      </c>
      <c r="P35" s="318">
        <f>IF(Stamoplysninger!$H$29="JA",Oktober!DG35,CX35)</f>
        <v>0</v>
      </c>
      <c r="Q35" s="318">
        <f t="shared" si="21"/>
        <v>0</v>
      </c>
      <c r="R35" s="319"/>
      <c r="S35" s="324"/>
      <c r="T35" s="325"/>
      <c r="U35" s="325"/>
      <c r="V35" s="435"/>
      <c r="W35" s="412"/>
      <c r="X35" s="642"/>
      <c r="Y35">
        <f t="shared" si="22"/>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9">
        <f t="shared" si="8"/>
        <v>0</v>
      </c>
      <c r="BC35" s="1">
        <f t="shared" si="24"/>
        <v>0</v>
      </c>
      <c r="BD35" s="1">
        <f t="shared" si="9"/>
        <v>0</v>
      </c>
      <c r="BE35" s="1">
        <f t="shared" si="10"/>
        <v>0</v>
      </c>
      <c r="BF35" s="1">
        <f t="shared" si="11"/>
        <v>0</v>
      </c>
      <c r="BG35" s="210" t="str">
        <f>IF(AND(C35="Skema 1",B35="ma"),Skemaoplysninger!$E$30,"")</f>
        <v/>
      </c>
      <c r="BH35" s="210" t="str">
        <f>IF(AND(C35="Skema 1",B35="ti"),Skemaoplysninger!$G$30,"")</f>
        <v/>
      </c>
      <c r="BI35" s="210" t="str">
        <f>IF(AND(C35="Skema 1",B35="on"),Skemaoplysninger!$I$30,"")</f>
        <v/>
      </c>
      <c r="BJ35" s="210" t="str">
        <f>IF(AND(C35="Skema 1",B35="to"),Skemaoplysninger!$K$30,"")</f>
        <v/>
      </c>
      <c r="BK35" s="210" t="str">
        <f>IF(AND(C35="Skema 1",B35="fr"),Skemaoplysninger!$M$30,"")</f>
        <v/>
      </c>
      <c r="BL35" s="210" t="str">
        <f>IF(AND(C35="Skema 2",B35="ma"),Skemaoplysninger!$S$30,"")</f>
        <v/>
      </c>
      <c r="BM35" s="210" t="str">
        <f>IF(AND(C35="Skema 2",B35="ti"),Skemaoplysninger!$U$30,"")</f>
        <v/>
      </c>
      <c r="BN35" s="210" t="str">
        <f>IF(AND(C35="Skema 2",B35="on"),Skemaoplysninger!$W$30,"")</f>
        <v/>
      </c>
      <c r="BO35" s="210" t="str">
        <f>IF(AND(C35="Skema 2",B35="to"),Skemaoplysninger!$Y$30,"")</f>
        <v/>
      </c>
      <c r="BP35" s="210" t="str">
        <f>IF(AND(C35="Skema 2",B35="fr"),Skemaoplysninger!$AA$30,"")</f>
        <v/>
      </c>
      <c r="BQ35" s="210" t="str">
        <f>IF(AND(C35="Skema 3",B35="ma"),Skemaoplysninger!$AG$30,"")</f>
        <v/>
      </c>
      <c r="BR35" s="210" t="str">
        <f>IF(AND(C35="Skema 3",B35="ti"),Skemaoplysninger!$AI$30,"")</f>
        <v/>
      </c>
      <c r="BS35" s="210" t="str">
        <f>IF(AND(C35="Skema 3",B35="on"),Skemaoplysninger!$AK$30,"")</f>
        <v/>
      </c>
      <c r="BT35" s="210" t="str">
        <f>IF(AND(C35="Skema 3",B35="to"),Skemaoplysninger!$AM$30,"")</f>
        <v/>
      </c>
      <c r="BU35" s="210" t="str">
        <f>IF(AND(C35="Skema 3",B35="fr"),Skemaoplysninger!$AO$30,"")</f>
        <v/>
      </c>
      <c r="BV35" s="210" t="str">
        <f>IF(AND(C35="Skema 4",B35="ma"),Skemaoplysninger!$AU$30,"")</f>
        <v/>
      </c>
      <c r="BW35" s="210" t="str">
        <f>IF(AND(C35="Skema 4",B35="ti"),Skemaoplysninger!$AW$30,"")</f>
        <v/>
      </c>
      <c r="BX35" s="210" t="str">
        <f>IF(AND(C35="Skema 4",B35="on"),Skemaoplysninger!$AY$30,"")</f>
        <v/>
      </c>
      <c r="BY35" s="210" t="str">
        <f>IF(AND(C35="Skema 4",B35="to"),Skemaoplysninger!$BA$30,"")</f>
        <v/>
      </c>
      <c r="BZ35" s="210" t="str">
        <f>IF(AND(C35="Skema 4",B35="fr"),Skemaoplysninger!$BC$30,"")</f>
        <v/>
      </c>
      <c r="CA35" s="1">
        <f t="shared" si="25"/>
        <v>0</v>
      </c>
      <c r="CB35" s="1">
        <f t="shared" si="12"/>
        <v>0</v>
      </c>
      <c r="CC35" s="1">
        <f t="shared" si="13"/>
        <v>0</v>
      </c>
      <c r="CD35" s="210" t="str">
        <f>IF(AND(C35="Skema 1",B35="ma"),Skemaoplysninger!$E$31,"")</f>
        <v/>
      </c>
      <c r="CE35" s="210" t="str">
        <f>IF(AND(C35="Skema 1",B35="ti"),Skemaoplysninger!$G$31,"")</f>
        <v/>
      </c>
      <c r="CF35" s="210" t="str">
        <f>IF(AND(C35="Skema 1",B35="on"),Skemaoplysninger!$I$31,"")</f>
        <v/>
      </c>
      <c r="CG35" s="210" t="str">
        <f>IF(AND(C35="Skema 1",B35="to"),Skemaoplysninger!$K$31,"")</f>
        <v/>
      </c>
      <c r="CH35" s="210" t="str">
        <f>IF(AND(C35="Skema 1",B35="fr"),Skemaoplysninger!$M$31,"")</f>
        <v/>
      </c>
      <c r="CI35" s="210" t="str">
        <f>IF(AND(C35="Skema 2",B35="ma"),Skemaoplysninger!$S$31,"")</f>
        <v/>
      </c>
      <c r="CJ35" s="210" t="str">
        <f>IF(AND(C35="Skema 2",B35="ti"),Skemaoplysninger!$U$31,"")</f>
        <v/>
      </c>
      <c r="CK35" s="210" t="str">
        <f>IF(AND(C35="Skema 2",B35="on"),Skemaoplysninger!$W$31,"")</f>
        <v/>
      </c>
      <c r="CL35" s="210" t="str">
        <f>IF(AND(C35="Skema 2",B35="to"),Skemaoplysninger!$Y$31,"")</f>
        <v/>
      </c>
      <c r="CM35" s="210" t="str">
        <f>IF(AND(C35="Skema 2",B35="fr"),Skemaoplysninger!$AA$31,"")</f>
        <v/>
      </c>
      <c r="CN35" s="210" t="str">
        <f>IF(AND(C35="Skema 3",B35="ma"),Skemaoplysninger!$AG$31,"")</f>
        <v/>
      </c>
      <c r="CO35" s="210" t="str">
        <f>IF(AND(C35="Skema 3",B35="ti"),Skemaoplysninger!$AI$31,"")</f>
        <v/>
      </c>
      <c r="CP35" s="210" t="str">
        <f>IF(AND(C35="Skema 3",B35="on"),Skemaoplysninger!$AK$31,"")</f>
        <v/>
      </c>
      <c r="CQ35" s="210" t="str">
        <f>IF(AND(C35="Skema 3",B35="to"),Skemaoplysninger!$AM$31,"")</f>
        <v/>
      </c>
      <c r="CR35" s="210" t="str">
        <f>IF(AND(C35="Skema 3",B35="fr"),Skemaoplysninger!$AO$31,"")</f>
        <v/>
      </c>
      <c r="CS35" s="210" t="str">
        <f>IF(AND(C35="Skema 4",B35="ma"),Skemaoplysninger!$AU$31,"")</f>
        <v/>
      </c>
      <c r="CT35" s="210" t="str">
        <f>IF(AND(C35="Skema 4",B35="ti"),Skemaoplysninger!$AW$31,"")</f>
        <v/>
      </c>
      <c r="CU35" s="210" t="str">
        <f>IF(AND(C35="Skema 4",B35="on"),Skemaoplysninger!$AY$31,"")</f>
        <v/>
      </c>
      <c r="CV35" s="210" t="str">
        <f>IF(AND(C35="Skema 4",B35="to"),Skemaoplysninger!$BA$31,"")</f>
        <v/>
      </c>
      <c r="CW35" s="210" t="str">
        <f>IF(AND(C35="Skema 4",B35="fr"),Skemaoplysninger!$BC$31,"")</f>
        <v/>
      </c>
      <c r="CX35" s="249">
        <f>IF(Stamoplysninger!$H$29="NEJ",SUM(CD35:CW35)*24+CB35+CC35,0)</f>
        <v>0</v>
      </c>
      <c r="CY35" s="249">
        <f>IF(C35="Skema 1",Stamoplysninger!$H$30/200,0)</f>
        <v>0</v>
      </c>
      <c r="CZ35" s="249">
        <f>IF(C35="Skema 2",Stamoplysninger!$H$30/200,0)</f>
        <v>0</v>
      </c>
      <c r="DA35" s="249">
        <f>IF(C35="Skema 3",Stamoplysninger!$H$30/200,0)</f>
        <v>0</v>
      </c>
      <c r="DB35" s="249">
        <f>IF(C35="Skema 4",Stamoplysninger!$H$30/200,0)</f>
        <v>0</v>
      </c>
      <c r="DC35" s="249">
        <f>IF(C35="fagdag",Stamoplysninger!$H$30/200,0)</f>
        <v>0</v>
      </c>
      <c r="DD35" s="249">
        <f>IF(C35="emnedag",Stamoplysninger!$H$30/200,0)</f>
        <v>0</v>
      </c>
      <c r="DE35" s="249">
        <f>IF(C35="lejrskole",Stamoplysninger!$H$30/200,0)</f>
        <v>0</v>
      </c>
      <c r="DF35" s="249">
        <f>IF(C35="ekskursion",Stamoplysninger!$H$30/200,0)</f>
        <v>0</v>
      </c>
      <c r="DG35" s="249">
        <f t="shared" si="26"/>
        <v>0</v>
      </c>
      <c r="DH35" t="str">
        <f t="shared" si="27"/>
        <v/>
      </c>
      <c r="DI35">
        <f t="shared" si="28"/>
        <v>0</v>
      </c>
      <c r="DJ35">
        <f t="shared" si="29"/>
        <v>0</v>
      </c>
      <c r="DK35" t="str">
        <f t="shared" si="14"/>
        <v/>
      </c>
      <c r="DL35" t="str">
        <f t="shared" si="14"/>
        <v/>
      </c>
      <c r="DM35" t="str">
        <f t="shared" si="14"/>
        <v/>
      </c>
      <c r="DN35" t="str">
        <f t="shared" si="30"/>
        <v/>
      </c>
      <c r="DO35" s="652">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71">
        <f>IF(AND(Stamoplysninger!$B$22="Ulempetillæg udbetales med 25% af nettotimelønnen.",C35="ikke relevant"),(R35)/4,0)</f>
        <v>0</v>
      </c>
      <c r="DT35" s="671">
        <f>IF(AND(AND(Stamoplysninger!$B$22="Ulempetillæg udbetales med 25% af nettotimelønnen.",I35="X",C35="Ikke relevant")),K35/4,0)</f>
        <v>0</v>
      </c>
      <c r="DU35" s="671">
        <f>IF(AND(AND(Stamoplysninger!$B$22="Ulempetillæg udbetales med 25% af nettotimelønnen.",C35="ikke relevant",U35="X")),(X35/4),0)</f>
        <v>0</v>
      </c>
      <c r="DV35" s="672">
        <f>IF(AND(AND(AND(Stamoplysninger!$B$22="Ulempetillæg udbetales med 25% af nettotimelønnen.",I35="X",C35="Ikke relevant",S35="X"))),V35/4,0)</f>
        <v>0</v>
      </c>
      <c r="DW35" s="652"/>
      <c r="DZ35" s="671"/>
      <c r="EA35" s="671"/>
      <c r="EB35" s="672"/>
      <c r="EC35" s="652">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71">
        <f>IF(AND(Stamoplysninger!$B$22="Ulempetillæg afspadseres med 25%(Kræver en aftale imellem ledelsen og den ansatte)",C35="ikke relevant"),(R35)/4,0)</f>
        <v>0</v>
      </c>
      <c r="EH35" s="671">
        <f>IF(AND(AND(Stamoplysninger!$B$22="Ulempetillæg afspadseres med 25%(Kræver en aftale imellem ledelsen og den ansatte)",I35="X",C35="Ikke relevant")),K35/4,0)</f>
        <v>0</v>
      </c>
      <c r="EI35" s="671">
        <f>IF(AND(AND(Stamoplysninger!$B$22="Ulempetillæg afspadseres med 25%(Kræver en aftale imellem ledelsen og den ansatte)",U35="X",C35="Ikke relevant")),X35/4,0)</f>
        <v>0</v>
      </c>
      <c r="EJ35" s="671">
        <f>IF(AND(AND(AND(Stamoplysninger!$B$22="Ulempetillæg afspadseres med 25%(Kræver en aftale imellem ledelsen og den ansatte)",I35="X",C35="Ikke relevant",S35="X"))),V35/4,0)</f>
        <v>0</v>
      </c>
      <c r="EK35" s="283">
        <f>IF(AND(Stamoplysninger!$B$26="Weekendtimer og weekendtillæg afspadseres.",I35="X"),K35*1.5,0)</f>
        <v>0</v>
      </c>
      <c r="EL35" s="251">
        <f>IF(AND(AND(Stamoplysninger!$B$26="Weekendtimer og weekendtillæg afspadseres.",I35="X",S35="X")),V35*1.5,0)</f>
        <v>0</v>
      </c>
      <c r="EM35" s="674">
        <f>IF(AND(AND(Stamoplysninger!$B$26="Weekendtimer og weekendtillæg afspadseres.",I35="X",C35="ikke relevant")),K35*1.5,0)</f>
        <v>0</v>
      </c>
      <c r="EN35" s="675">
        <f>IF(AND(AND(AND(Stamoplysninger!$B$26="Weekendtimer og weekendtillæg afspadseres.",I35="X",C35="ikke relevant",S35="X"))),(V35*1.5),0)</f>
        <v>0</v>
      </c>
      <c r="EO35" s="283">
        <f>IF(AND(Stamoplysninger!$B$26="Weekendtimer og weekendtillæg udbetales.",I35="X"),K35*1.5,0)</f>
        <v>0</v>
      </c>
      <c r="EP35" s="251">
        <f>IF(AND(AND(Stamoplysninger!$B$26="Weekendtimer og weekendtillæg udbetales.",I35="X",S35="X")),V35*1.5,0)</f>
        <v>0</v>
      </c>
      <c r="EQ35" s="674">
        <f>IF(AND(AND(Stamoplysninger!$B$26="Weekendtimer og weekendtillæg udbetales.",I35="X",C35="ikke relevant")),K35*1.5,0)</f>
        <v>0</v>
      </c>
      <c r="ER35" s="675">
        <f>IF(AND(AND(AND(Stamoplysninger!$B$26="Weekendtimer og weekendtillæg udbetales.",I35="X",C35="ikke relevant",S35="X"))),(V35*1.5),0)</f>
        <v>0</v>
      </c>
      <c r="ES35" s="283">
        <f>IF(AND(Stamoplysninger!$B$26="Der er indgået lokalaftale omkring weekendtimer.(Kræver aftale med TR/FSL) Weekendtillæg afspadseres.",I35="X"),K35*0.5,0)</f>
        <v>0</v>
      </c>
      <c r="ET35" s="251">
        <f>IF(AND(AND(Stamoplysninger!$B$26="Der er indgået lokalaftale omkring weekendtimer.(Kræver aftale med TR/FSL) Weekendtillæg afspadseres.",I35="X",S35="X")),V35*0.5,0)</f>
        <v>0</v>
      </c>
      <c r="EU35" s="674">
        <f>IF(AND(AND(Stamoplysninger!$B$26="Der er indgået lokalaftale omkring weekendtimer.(Kræver aftale med TR/FSL) Weekendtillæg afspadseres.",I35="X",C35="ikke relevant")),K35*0.5,0)</f>
        <v>0</v>
      </c>
      <c r="EV35" s="675">
        <f>IF(AND(AND(AND(Stamoplysninger!$B$26="Der er indgået lokalaftale omkring weekendtimer.(Kræver aftale med TR/FSL) Weekendtillæg afspadseres.",I35="X",C35="ikke relevant",S35="X"))),(V35*0.5),0)</f>
        <v>0</v>
      </c>
      <c r="EW35" s="283">
        <f>IF(AND(Stamoplysninger!$B$26="Der er indgået lokalaftale omkring weekendtimer(Kræver aftale med TR/FSL). Weekendtillæg udbetales.",I35="X"),K35*0.5,0)</f>
        <v>0</v>
      </c>
      <c r="EX35" s="251">
        <f>IF(AND(AND(Stamoplysninger!$B$26="Der er indgået lokalaftale omkring weekendtimer(Kræver aftale med TR/FSL). Weekendtillæg udbetales.",I35="X",S35="X")),V35*0.5,0)</f>
        <v>0</v>
      </c>
      <c r="EY35" s="674">
        <f>IF(AND(AND(Stamoplysninger!$B$26="Der er indgået lokalaftale omkring weekendtimer(Kræver aftale med TR/FSL). Weekendtillæg udbetales.",I35="X",C35="ikke relevant")),K35*0.5,0)</f>
        <v>0</v>
      </c>
      <c r="EZ35" s="675">
        <f>IF(AND(AND(AND(Stamoplysninger!$B$26="Der er indgået lokalaftale omkring weekendtimer(Kræver aftale med TR/FSL). Weekendtillæg udbetales.",I35="X",C35="ikke relevant",S35="X"))),(V35*0.5),0)</f>
        <v>0</v>
      </c>
      <c r="FA35" s="283">
        <f>IF(AND(Stamoplysninger!$B$26="Der er indgået lokalaftale omkring weekendtillæg(Kræver aftale med TR/FSL). Weekendtimerne afspadseres.",I35="X"),K35,0)</f>
        <v>0</v>
      </c>
      <c r="FB35" s="251">
        <f>IF(AND(AND(Stamoplysninger!$B$26="Der er indgået lokalaftale omkring weekendtillæg(Kræver aftale med TR/FSL). Weekendtimerne afspadseres.",I35="X",S35="X")),V35,0)</f>
        <v>0</v>
      </c>
      <c r="FC35" s="674">
        <f>IF(AND(AND(Stamoplysninger!$B$26="Der er indgået lokalaftale omkring weekendtillæg(Kræver aftale med TR/FSL). Weekendtimerne afspadseres..",I35="X",C35="ikke relevant")),K35,0)</f>
        <v>0</v>
      </c>
      <c r="FD35" s="675">
        <f>IF(AND(AND(AND(Stamoplysninger!$B$26="Der er indgået lokalaftale omkring weekendtillæg(Kræver aftale med TR/FSL). Weekendtimerne afspadseres.",I35="X",C35="ikke relevant",S35="X"))),(V35),0)</f>
        <v>0</v>
      </c>
      <c r="FE35" s="283">
        <f>IF(AND(Stamoplysninger!$B$26="Der er indgået lokalaftale omkring weekendtillæg(Kræver aftale med TR/FSL). Weekendtimerne udbetales.",I35="X"),K35,0)</f>
        <v>0</v>
      </c>
      <c r="FF35" s="251">
        <f>IF(AND(AND(Stamoplysninger!$B$26="Der er indgået lokalaftale omkring weekendtillæg(Kræver aftale med TR/FSL). Weekendtimerne udbetales.",I35="X",S35="X")),V35,0)</f>
        <v>0</v>
      </c>
      <c r="FG35" s="674">
        <f>IF(AND(AND(Stamoplysninger!$B$26="Der er indgået lokalaftale omkring weekendtillæg(Kræver aftale med TR/FSL). Weekendtimerne udbetales.",I35="X",C35="ikke relevant")),K35,0)</f>
        <v>0</v>
      </c>
      <c r="FH35" s="675">
        <f>IF(AND(AND(AND(Stamoplysninger!$B$26="Der er indgået lokalaftale omkring weekendtillæg(Kræver aftale med TR/FSL). Weekendtimerne udbetales.",I35="X",C35="ikke relevant",S35="X"))),(V35),0)</f>
        <v>0</v>
      </c>
      <c r="FI35" s="283">
        <f>IF(AND(Stamoplysninger!$B$26="Weekendtimer og weekendtillæg afspadseres.",I35="X"),K35,0)</f>
        <v>0</v>
      </c>
      <c r="FJ35" s="251">
        <f>IF(AND(Stamoplysninger!$B$26="Weekendtimer og weekendtillæg afspadseres.",Y35="X"),(AA35+AL35)/2,0)</f>
        <v>0</v>
      </c>
      <c r="FK35" s="674">
        <f>IF(AND(AND(Stamoplysninger!$B$26="Weekendtimer og weekendtillæg afspadseres.",I35="X",C35="ikke relevant")),K35,0)</f>
        <v>0</v>
      </c>
      <c r="FL35" s="675">
        <f>IF(AND(AND(Stamoplysninger!$B$26="Weekendtimer og weekendtillæg afspadseres.",Y35="X",S35="ikke relevant")),(AA35+AL35)/2,0)</f>
        <v>0</v>
      </c>
      <c r="FM35" s="283">
        <f>IF(AND(Stamoplysninger!$B$26="Der er indgået lokalaftale omkring weekendtillæg(Kræver aftale med TR/FSL). Weekendtimerne afspadseres.",I35="X"),K35,0)</f>
        <v>0</v>
      </c>
      <c r="FN35" s="674">
        <f>IF(AND(AND(Stamoplysninger!$B$26="Der er indgået lokalaftale omkring weekendtillæg(Kræver aftale med TR/FSL). Weekendtimerne afspadseres.",I35="X",C35="ikke relevant")),K35,0)</f>
        <v>0</v>
      </c>
      <c r="FO35" s="283">
        <f>IF(AND(Stamoplysninger!$B$26="Weekendtimer og weekendtillæg udbetales.",I35="X"),K35,0)</f>
        <v>0</v>
      </c>
      <c r="FP35" s="251">
        <f>IF(AND(Stamoplysninger!$B$26="Weekendtimer og weekendtillæg udbetales.",AA35="X"),(AC35+AN35)/2,0)</f>
        <v>0</v>
      </c>
      <c r="FQ35" s="674">
        <f>IF(AND(AND(Stamoplysninger!$B$26="Weekendtimer og weekendtillæg udbetales.",I35="X",C35="ikke relevant")),K35,0)</f>
        <v>0</v>
      </c>
      <c r="FR35" s="688">
        <f>IF(AND(AND(Stamoplysninger!$B$26="Weekendtimer og weekendtillæg udbetales.",AA35="X",U35="ikke relevant")),(AC35+AN35)/2,0)</f>
        <v>0</v>
      </c>
      <c r="FS35" s="283">
        <f t="shared" si="15"/>
        <v>0</v>
      </c>
      <c r="FT35" s="658">
        <f t="shared" si="16"/>
        <v>0</v>
      </c>
      <c r="FU35">
        <f t="shared" si="31"/>
        <v>0</v>
      </c>
      <c r="FV35" s="283">
        <f>IF(AND(Stamoplysninger!$B$26="Der er indgået lokalaftale omkring weekendtimer.(Kræver aftale med TR/FSL) Weekendtillæg afspadseres.",I35="X"),K35,0)</f>
        <v>0</v>
      </c>
      <c r="FW35" s="674">
        <f>IF(AND(AND(Stamoplysninger!$B$26="Der er indgået lokalaftale omkring weekendtimer.(Kræver aftale med TR/FSL) Weekendtillæg afspadseres.",I35="X",C35="ikke relevant")),K35,0)</f>
        <v>0</v>
      </c>
      <c r="FX35" s="283">
        <f>IF(AND(Stamoplysninger!$B$26="Der er indgået lokalaftale omkring weekendtimer(Kræver aftale med TR/FSL). Weekendtillæg udbetales.",I35="X"),K35,0)</f>
        <v>0</v>
      </c>
      <c r="FY35" s="674">
        <f>IF(AND(AND(Stamoplysninger!$B$26="Der er indgået lokalaftale omkring weekendtimer(Kræver aftale med TR/FSL). Weekendtillæg udbetales.",I35="X",C35="ikke relevant")),K35,0)</f>
        <v>0</v>
      </c>
      <c r="FZ35" s="283">
        <f>IF(AND(Stamoplysninger!$B$26="Der er indgået lokalaftale omkring weekendtillæg(Kræver aftale med TR/FSL). Weekendtimerne udbetales.",I35="X"),K35,0)</f>
        <v>0</v>
      </c>
      <c r="GA35" s="674">
        <f>IF(AND(AND(Stamoplysninger!$B$26="Der er indgået lokalaftale omkring weekendtillæg(Kræver aftale med TR/FSL). Weekendtimerne udbetales.",I35="X",C35="ikke relevant")),K35,0)</f>
        <v>0</v>
      </c>
      <c r="GB35" s="283">
        <f>IF(AND(Stamoplysninger!$B$26="Der er indgået lokalaftale omkring weekendtimer og weekendtillæg.(Kræver aftale med TR/FSL).",I35="X"),K35,0)</f>
        <v>0</v>
      </c>
      <c r="GC35" s="674">
        <f>IF(AND(AND(Stamoplysninger!$B$26="Der er indgået lokalaftale omkring weekendtimer og weekendtillæg.(Kræver aftale med TR/FSL).",I35="X",C35="ikke relevant")),K35,0)</f>
        <v>0</v>
      </c>
    </row>
    <row r="36" spans="1:185">
      <c r="A36" s="245">
        <f t="shared" si="18"/>
        <v>28</v>
      </c>
      <c r="B36" s="128" t="str">
        <f t="shared" si="0"/>
        <v>ma</v>
      </c>
      <c r="C36" s="129" t="s">
        <v>206</v>
      </c>
      <c r="D36" s="130">
        <f t="shared" si="1"/>
        <v>44</v>
      </c>
      <c r="E36" s="917"/>
      <c r="F36" s="918"/>
      <c r="G36" s="919"/>
      <c r="H36" s="298"/>
      <c r="I36" s="527"/>
      <c r="J36" s="413"/>
      <c r="K36" s="380"/>
      <c r="L36" s="380"/>
      <c r="M36" s="380"/>
      <c r="N36" s="318">
        <f t="shared" si="19"/>
        <v>7.75</v>
      </c>
      <c r="O36" s="318">
        <f t="shared" si="20"/>
        <v>3.916666666666667</v>
      </c>
      <c r="P36" s="318">
        <f>IF(Stamoplysninger!$H$29="JA",Oktober!DG36,CX36)</f>
        <v>0.83333333333333337</v>
      </c>
      <c r="Q36" s="318">
        <f t="shared" si="21"/>
        <v>2.9999999999999996</v>
      </c>
      <c r="R36" s="319"/>
      <c r="S36" s="324"/>
      <c r="T36" s="325"/>
      <c r="U36" s="325"/>
      <c r="V36" s="435"/>
      <c r="W36" s="412"/>
      <c r="X36" s="642"/>
      <c r="Y36">
        <f t="shared" si="22"/>
        <v>0</v>
      </c>
      <c r="Z36">
        <f t="shared" si="2"/>
        <v>0</v>
      </c>
      <c r="AA36" s="1">
        <f t="shared" si="3"/>
        <v>0</v>
      </c>
      <c r="AB36" s="1">
        <f t="shared" si="4"/>
        <v>0</v>
      </c>
      <c r="AC36" s="1">
        <f t="shared" si="5"/>
        <v>0</v>
      </c>
      <c r="AD36" s="1">
        <f t="shared" si="6"/>
        <v>0</v>
      </c>
      <c r="AE36" s="1">
        <f t="shared" si="7"/>
        <v>0</v>
      </c>
      <c r="AF36" s="1">
        <f>IF(C36="Orlov",7.4*Stamoplysninger!$E$15,0)</f>
        <v>0</v>
      </c>
      <c r="AG36">
        <f>IF(AND(C36="Skema 1",B36="ma"),Arbejdstidsoversigt!$E$72,"")</f>
        <v>7.75</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7.75</v>
      </c>
      <c r="BB36" s="229">
        <f t="shared" si="8"/>
        <v>186</v>
      </c>
      <c r="BC36" s="1">
        <f t="shared" si="24"/>
        <v>0</v>
      </c>
      <c r="BD36" s="1">
        <f t="shared" si="9"/>
        <v>0</v>
      </c>
      <c r="BE36" s="1">
        <f t="shared" si="10"/>
        <v>0</v>
      </c>
      <c r="BF36" s="1">
        <f t="shared" si="11"/>
        <v>0</v>
      </c>
      <c r="BG36" s="210">
        <f>IF(AND(C36="Skema 1",B36="ma"),Skemaoplysninger!$E$30,"")</f>
        <v>0.16319444444444445</v>
      </c>
      <c r="BH36" s="210" t="str">
        <f>IF(AND(C36="Skema 1",B36="ti"),Skemaoplysninger!$G$30,"")</f>
        <v/>
      </c>
      <c r="BI36" s="210" t="str">
        <f>IF(AND(C36="Skema 1",B36="on"),Skemaoplysninger!$I$30,"")</f>
        <v/>
      </c>
      <c r="BJ36" s="210" t="str">
        <f>IF(AND(C36="Skema 1",B36="to"),Skemaoplysninger!$K$30,"")</f>
        <v/>
      </c>
      <c r="BK36" s="210" t="str">
        <f>IF(AND(C36="Skema 1",B36="fr"),Skemaoplysninger!$M$30,"")</f>
        <v/>
      </c>
      <c r="BL36" s="210" t="str">
        <f>IF(AND(C36="Skema 2",B36="ma"),Skemaoplysninger!$S$30,"")</f>
        <v/>
      </c>
      <c r="BM36" s="210" t="str">
        <f>IF(AND(C36="Skema 2",B36="ti"),Skemaoplysninger!$U$30,"")</f>
        <v/>
      </c>
      <c r="BN36" s="210" t="str">
        <f>IF(AND(C36="Skema 2",B36="on"),Skemaoplysninger!$W$30,"")</f>
        <v/>
      </c>
      <c r="BO36" s="210" t="str">
        <f>IF(AND(C36="Skema 2",B36="to"),Skemaoplysninger!$Y$30,"")</f>
        <v/>
      </c>
      <c r="BP36" s="210" t="str">
        <f>IF(AND(C36="Skema 2",B36="fr"),Skemaoplysninger!$AA$30,"")</f>
        <v/>
      </c>
      <c r="BQ36" s="210" t="str">
        <f>IF(AND(C36="Skema 3",B36="ma"),Skemaoplysninger!$AG$30,"")</f>
        <v/>
      </c>
      <c r="BR36" s="210" t="str">
        <f>IF(AND(C36="Skema 3",B36="ti"),Skemaoplysninger!$AI$30,"")</f>
        <v/>
      </c>
      <c r="BS36" s="210" t="str">
        <f>IF(AND(C36="Skema 3",B36="on"),Skemaoplysninger!$AK$30,"")</f>
        <v/>
      </c>
      <c r="BT36" s="210" t="str">
        <f>IF(AND(C36="Skema 3",B36="to"),Skemaoplysninger!$AM$30,"")</f>
        <v/>
      </c>
      <c r="BU36" s="210" t="str">
        <f>IF(AND(C36="Skema 3",B36="fr"),Skemaoplysninger!$AO$30,"")</f>
        <v/>
      </c>
      <c r="BV36" s="210" t="str">
        <f>IF(AND(C36="Skema 4",B36="ma"),Skemaoplysninger!$AU$30,"")</f>
        <v/>
      </c>
      <c r="BW36" s="210" t="str">
        <f>IF(AND(C36="Skema 4",B36="ti"),Skemaoplysninger!$AW$30,"")</f>
        <v/>
      </c>
      <c r="BX36" s="210" t="str">
        <f>IF(AND(C36="Skema 4",B36="on"),Skemaoplysninger!$AY$30,"")</f>
        <v/>
      </c>
      <c r="BY36" s="210" t="str">
        <f>IF(AND(C36="Skema 4",B36="to"),Skemaoplysninger!$BA$30,"")</f>
        <v/>
      </c>
      <c r="BZ36" s="210" t="str">
        <f>IF(AND(C36="Skema 4",B36="fr"),Skemaoplysninger!$BC$30,"")</f>
        <v/>
      </c>
      <c r="CA36" s="1">
        <f t="shared" si="25"/>
        <v>3.916666666666667</v>
      </c>
      <c r="CB36" s="1">
        <f t="shared" si="12"/>
        <v>0</v>
      </c>
      <c r="CC36" s="1">
        <f t="shared" si="13"/>
        <v>0</v>
      </c>
      <c r="CD36" s="210">
        <f>IF(AND(C36="Skema 1",B36="ma"),Skemaoplysninger!$E$31,"")</f>
        <v>3.4722222222222224E-2</v>
      </c>
      <c r="CE36" s="210" t="str">
        <f>IF(AND(C36="Skema 1",B36="ti"),Skemaoplysninger!$G$31,"")</f>
        <v/>
      </c>
      <c r="CF36" s="210" t="str">
        <f>IF(AND(C36="Skema 1",B36="on"),Skemaoplysninger!$I$31,"")</f>
        <v/>
      </c>
      <c r="CG36" s="210" t="str">
        <f>IF(AND(C36="Skema 1",B36="to"),Skemaoplysninger!$K$31,"")</f>
        <v/>
      </c>
      <c r="CH36" s="210" t="str">
        <f>IF(AND(C36="Skema 1",B36="fr"),Skemaoplysninger!$M$31,"")</f>
        <v/>
      </c>
      <c r="CI36" s="210" t="str">
        <f>IF(AND(C36="Skema 2",B36="ma"),Skemaoplysninger!$S$31,"")</f>
        <v/>
      </c>
      <c r="CJ36" s="210" t="str">
        <f>IF(AND(C36="Skema 2",B36="ti"),Skemaoplysninger!$U$31,"")</f>
        <v/>
      </c>
      <c r="CK36" s="210" t="str">
        <f>IF(AND(C36="Skema 2",B36="on"),Skemaoplysninger!$W$31,"")</f>
        <v/>
      </c>
      <c r="CL36" s="210" t="str">
        <f>IF(AND(C36="Skema 2",B36="to"),Skemaoplysninger!$Y$31,"")</f>
        <v/>
      </c>
      <c r="CM36" s="210" t="str">
        <f>IF(AND(C36="Skema 2",B36="fr"),Skemaoplysninger!$AA$31,"")</f>
        <v/>
      </c>
      <c r="CN36" s="210" t="str">
        <f>IF(AND(C36="Skema 3",B36="ma"),Skemaoplysninger!$AG$31,"")</f>
        <v/>
      </c>
      <c r="CO36" s="210" t="str">
        <f>IF(AND(C36="Skema 3",B36="ti"),Skemaoplysninger!$AI$31,"")</f>
        <v/>
      </c>
      <c r="CP36" s="210" t="str">
        <f>IF(AND(C36="Skema 3",B36="on"),Skemaoplysninger!$AK$31,"")</f>
        <v/>
      </c>
      <c r="CQ36" s="210" t="str">
        <f>IF(AND(C36="Skema 3",B36="to"),Skemaoplysninger!$AM$31,"")</f>
        <v/>
      </c>
      <c r="CR36" s="210" t="str">
        <f>IF(AND(C36="Skema 3",B36="fr"),Skemaoplysninger!$AO$31,"")</f>
        <v/>
      </c>
      <c r="CS36" s="210" t="str">
        <f>IF(AND(C36="Skema 4",B36="ma"),Skemaoplysninger!$AU$31,"")</f>
        <v/>
      </c>
      <c r="CT36" s="210" t="str">
        <f>IF(AND(C36="Skema 4",B36="ti"),Skemaoplysninger!$AW$31,"")</f>
        <v/>
      </c>
      <c r="CU36" s="210" t="str">
        <f>IF(AND(C36="Skema 4",B36="on"),Skemaoplysninger!$AY$31,"")</f>
        <v/>
      </c>
      <c r="CV36" s="210" t="str">
        <f>IF(AND(C36="Skema 4",B36="to"),Skemaoplysninger!$BA$31,"")</f>
        <v/>
      </c>
      <c r="CW36" s="210" t="str">
        <f>IF(AND(C36="Skema 4",B36="fr"),Skemaoplysninger!$BC$31,"")</f>
        <v/>
      </c>
      <c r="CX36" s="249">
        <f>IF(Stamoplysninger!$H$29="NEJ",SUM(CD36:CW36)*24+CB36+CC36,0)</f>
        <v>0.83333333333333337</v>
      </c>
      <c r="CY36" s="249">
        <f>IF(C36="Skema 1",Stamoplysninger!$H$30/200,0)</f>
        <v>0</v>
      </c>
      <c r="CZ36" s="249">
        <f>IF(C36="Skema 2",Stamoplysninger!$H$30/200,0)</f>
        <v>0</v>
      </c>
      <c r="DA36" s="249">
        <f>IF(C36="Skema 3",Stamoplysninger!$H$30/200,0)</f>
        <v>0</v>
      </c>
      <c r="DB36" s="249">
        <f>IF(C36="Skema 4",Stamoplysninger!$H$30/200,0)</f>
        <v>0</v>
      </c>
      <c r="DC36" s="249">
        <f>IF(C36="fagdag",Stamoplysninger!$H$30/200,0)</f>
        <v>0</v>
      </c>
      <c r="DD36" s="249">
        <f>IF(C36="emnedag",Stamoplysninger!$H$30/200,0)</f>
        <v>0</v>
      </c>
      <c r="DE36" s="249">
        <f>IF(C36="lejrskole",Stamoplysninger!$H$30/200,0)</f>
        <v>0</v>
      </c>
      <c r="DF36" s="249">
        <f>IF(C36="ekskursion",Stamoplysninger!$H$30/200,0)</f>
        <v>0</v>
      </c>
      <c r="DG36" s="249">
        <f t="shared" si="26"/>
        <v>0</v>
      </c>
      <c r="DH36" t="str">
        <f t="shared" si="27"/>
        <v/>
      </c>
      <c r="DI36">
        <f t="shared" si="28"/>
        <v>0</v>
      </c>
      <c r="DJ36">
        <f t="shared" si="29"/>
        <v>0</v>
      </c>
      <c r="DK36" t="str">
        <f t="shared" si="14"/>
        <v/>
      </c>
      <c r="DL36" t="str">
        <f t="shared" si="14"/>
        <v/>
      </c>
      <c r="DM36" t="str">
        <f t="shared" si="14"/>
        <v/>
      </c>
      <c r="DN36" t="str">
        <f t="shared" si="30"/>
        <v/>
      </c>
      <c r="DO36" s="652">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71">
        <f>IF(AND(Stamoplysninger!$B$22="Ulempetillæg udbetales med 25% af nettotimelønnen.",C36="ikke relevant"),(R36)/4,0)</f>
        <v>0</v>
      </c>
      <c r="DT36" s="671">
        <f>IF(AND(AND(Stamoplysninger!$B$22="Ulempetillæg udbetales med 25% af nettotimelønnen.",I36="X",C36="Ikke relevant")),K36/4,0)</f>
        <v>0</v>
      </c>
      <c r="DU36" s="671">
        <f>IF(AND(AND(Stamoplysninger!$B$22="Ulempetillæg udbetales med 25% af nettotimelønnen.",C36="ikke relevant",U36="X")),(X36/4),0)</f>
        <v>0</v>
      </c>
      <c r="DV36" s="672">
        <f>IF(AND(AND(AND(Stamoplysninger!$B$22="Ulempetillæg udbetales med 25% af nettotimelønnen.",I36="X",C36="Ikke relevant",S36="X"))),V36/4,0)</f>
        <v>0</v>
      </c>
      <c r="DW36" s="652"/>
      <c r="DZ36" s="671"/>
      <c r="EA36" s="671"/>
      <c r="EB36" s="672"/>
      <c r="EC36" s="652">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71">
        <f>IF(AND(Stamoplysninger!$B$22="Ulempetillæg afspadseres med 25%(Kræver en aftale imellem ledelsen og den ansatte)",C36="ikke relevant"),(R36)/4,0)</f>
        <v>0</v>
      </c>
      <c r="EH36" s="671">
        <f>IF(AND(AND(Stamoplysninger!$B$22="Ulempetillæg afspadseres med 25%(Kræver en aftale imellem ledelsen og den ansatte)",I36="X",C36="Ikke relevant")),K36/4,0)</f>
        <v>0</v>
      </c>
      <c r="EI36" s="671">
        <f>IF(AND(AND(Stamoplysninger!$B$22="Ulempetillæg afspadseres med 25%(Kræver en aftale imellem ledelsen og den ansatte)",U36="X",C36="Ikke relevant")),X36/4,0)</f>
        <v>0</v>
      </c>
      <c r="EJ36" s="671">
        <f>IF(AND(AND(AND(Stamoplysninger!$B$22="Ulempetillæg afspadseres med 25%(Kræver en aftale imellem ledelsen og den ansatte)",I36="X",C36="Ikke relevant",S36="X"))),V36/4,0)</f>
        <v>0</v>
      </c>
      <c r="EK36" s="283">
        <f>IF(AND(Stamoplysninger!$B$26="Weekendtimer og weekendtillæg afspadseres.",I36="X"),K36*1.5,0)</f>
        <v>0</v>
      </c>
      <c r="EL36" s="251">
        <f>IF(AND(AND(Stamoplysninger!$B$26="Weekendtimer og weekendtillæg afspadseres.",I36="X",S36="X")),V36*1.5,0)</f>
        <v>0</v>
      </c>
      <c r="EM36" s="674">
        <f>IF(AND(AND(Stamoplysninger!$B$26="Weekendtimer og weekendtillæg afspadseres.",I36="X",C36="ikke relevant")),K36*1.5,0)</f>
        <v>0</v>
      </c>
      <c r="EN36" s="675">
        <f>IF(AND(AND(AND(Stamoplysninger!$B$26="Weekendtimer og weekendtillæg afspadseres.",I36="X",C36="ikke relevant",S36="X"))),(V36*1.5),0)</f>
        <v>0</v>
      </c>
      <c r="EO36" s="283">
        <f>IF(AND(Stamoplysninger!$B$26="Weekendtimer og weekendtillæg udbetales.",I36="X"),K36*1.5,0)</f>
        <v>0</v>
      </c>
      <c r="EP36" s="251">
        <f>IF(AND(AND(Stamoplysninger!$B$26="Weekendtimer og weekendtillæg udbetales.",I36="X",S36="X")),V36*1.5,0)</f>
        <v>0</v>
      </c>
      <c r="EQ36" s="674">
        <f>IF(AND(AND(Stamoplysninger!$B$26="Weekendtimer og weekendtillæg udbetales.",I36="X",C36="ikke relevant")),K36*1.5,0)</f>
        <v>0</v>
      </c>
      <c r="ER36" s="675">
        <f>IF(AND(AND(AND(Stamoplysninger!$B$26="Weekendtimer og weekendtillæg udbetales.",I36="X",C36="ikke relevant",S36="X"))),(V36*1.5),0)</f>
        <v>0</v>
      </c>
      <c r="ES36" s="283">
        <f>IF(AND(Stamoplysninger!$B$26="Der er indgået lokalaftale omkring weekendtimer.(Kræver aftale med TR/FSL) Weekendtillæg afspadseres.",I36="X"),K36*0.5,0)</f>
        <v>0</v>
      </c>
      <c r="ET36" s="251">
        <f>IF(AND(AND(Stamoplysninger!$B$26="Der er indgået lokalaftale omkring weekendtimer.(Kræver aftale med TR/FSL) Weekendtillæg afspadseres.",I36="X",S36="X")),V36*0.5,0)</f>
        <v>0</v>
      </c>
      <c r="EU36" s="674">
        <f>IF(AND(AND(Stamoplysninger!$B$26="Der er indgået lokalaftale omkring weekendtimer.(Kræver aftale med TR/FSL) Weekendtillæg afspadseres.",I36="X",C36="ikke relevant")),K36*0.5,0)</f>
        <v>0</v>
      </c>
      <c r="EV36" s="675">
        <f>IF(AND(AND(AND(Stamoplysninger!$B$26="Der er indgået lokalaftale omkring weekendtimer.(Kræver aftale med TR/FSL) Weekendtillæg afspadseres.",I36="X",C36="ikke relevant",S36="X"))),(V36*0.5),0)</f>
        <v>0</v>
      </c>
      <c r="EW36" s="283">
        <f>IF(AND(Stamoplysninger!$B$26="Der er indgået lokalaftale omkring weekendtimer(Kræver aftale med TR/FSL). Weekendtillæg udbetales.",I36="X"),K36*0.5,0)</f>
        <v>0</v>
      </c>
      <c r="EX36" s="251">
        <f>IF(AND(AND(Stamoplysninger!$B$26="Der er indgået lokalaftale omkring weekendtimer(Kræver aftale med TR/FSL). Weekendtillæg udbetales.",I36="X",S36="X")),V36*0.5,0)</f>
        <v>0</v>
      </c>
      <c r="EY36" s="674">
        <f>IF(AND(AND(Stamoplysninger!$B$26="Der er indgået lokalaftale omkring weekendtimer(Kræver aftale med TR/FSL). Weekendtillæg udbetales.",I36="X",C36="ikke relevant")),K36*0.5,0)</f>
        <v>0</v>
      </c>
      <c r="EZ36" s="675">
        <f>IF(AND(AND(AND(Stamoplysninger!$B$26="Der er indgået lokalaftale omkring weekendtimer(Kræver aftale med TR/FSL). Weekendtillæg udbetales.",I36="X",C36="ikke relevant",S36="X"))),(V36*0.5),0)</f>
        <v>0</v>
      </c>
      <c r="FA36" s="283">
        <f>IF(AND(Stamoplysninger!$B$26="Der er indgået lokalaftale omkring weekendtillæg(Kræver aftale med TR/FSL). Weekendtimerne afspadseres.",I36="X"),K36,0)</f>
        <v>0</v>
      </c>
      <c r="FB36" s="251">
        <f>IF(AND(AND(Stamoplysninger!$B$26="Der er indgået lokalaftale omkring weekendtillæg(Kræver aftale med TR/FSL). Weekendtimerne afspadseres.",I36="X",S36="X")),V36,0)</f>
        <v>0</v>
      </c>
      <c r="FC36" s="674">
        <f>IF(AND(AND(Stamoplysninger!$B$26="Der er indgået lokalaftale omkring weekendtillæg(Kræver aftale med TR/FSL). Weekendtimerne afspadseres..",I36="X",C36="ikke relevant")),K36,0)</f>
        <v>0</v>
      </c>
      <c r="FD36" s="675">
        <f>IF(AND(AND(AND(Stamoplysninger!$B$26="Der er indgået lokalaftale omkring weekendtillæg(Kræver aftale med TR/FSL). Weekendtimerne afspadseres.",I36="X",C36="ikke relevant",S36="X"))),(V36),0)</f>
        <v>0</v>
      </c>
      <c r="FE36" s="283">
        <f>IF(AND(Stamoplysninger!$B$26="Der er indgået lokalaftale omkring weekendtillæg(Kræver aftale med TR/FSL). Weekendtimerne udbetales.",I36="X"),K36,0)</f>
        <v>0</v>
      </c>
      <c r="FF36" s="251">
        <f>IF(AND(AND(Stamoplysninger!$B$26="Der er indgået lokalaftale omkring weekendtillæg(Kræver aftale med TR/FSL). Weekendtimerne udbetales.",I36="X",S36="X")),V36,0)</f>
        <v>0</v>
      </c>
      <c r="FG36" s="674">
        <f>IF(AND(AND(Stamoplysninger!$B$26="Der er indgået lokalaftale omkring weekendtillæg(Kræver aftale med TR/FSL). Weekendtimerne udbetales.",I36="X",C36="ikke relevant")),K36,0)</f>
        <v>0</v>
      </c>
      <c r="FH36" s="675">
        <f>IF(AND(AND(AND(Stamoplysninger!$B$26="Der er indgået lokalaftale omkring weekendtillæg(Kræver aftale med TR/FSL). Weekendtimerne udbetales.",I36="X",C36="ikke relevant",S36="X"))),(V36),0)</f>
        <v>0</v>
      </c>
      <c r="FI36" s="283">
        <f>IF(AND(Stamoplysninger!$B$26="Weekendtimer og weekendtillæg afspadseres.",I36="X"),K36,0)</f>
        <v>0</v>
      </c>
      <c r="FJ36" s="251">
        <f>IF(AND(Stamoplysninger!$B$26="Weekendtimer og weekendtillæg afspadseres.",Y36="X"),(AA36+AL36)/2,0)</f>
        <v>0</v>
      </c>
      <c r="FK36" s="674">
        <f>IF(AND(AND(Stamoplysninger!$B$26="Weekendtimer og weekendtillæg afspadseres.",I36="X",C36="ikke relevant")),K36,0)</f>
        <v>0</v>
      </c>
      <c r="FL36" s="675">
        <f>IF(AND(AND(Stamoplysninger!$B$26="Weekendtimer og weekendtillæg afspadseres.",Y36="X",S36="ikke relevant")),(AA36+AL36)/2,0)</f>
        <v>0</v>
      </c>
      <c r="FM36" s="283">
        <f>IF(AND(Stamoplysninger!$B$26="Der er indgået lokalaftale omkring weekendtillæg(Kræver aftale med TR/FSL). Weekendtimerne afspadseres.",I36="X"),K36,0)</f>
        <v>0</v>
      </c>
      <c r="FN36" s="674">
        <f>IF(AND(AND(Stamoplysninger!$B$26="Der er indgået lokalaftale omkring weekendtillæg(Kræver aftale med TR/FSL). Weekendtimerne afspadseres.",I36="X",C36="ikke relevant")),K36,0)</f>
        <v>0</v>
      </c>
      <c r="FO36" s="283">
        <f>IF(AND(Stamoplysninger!$B$26="Weekendtimer og weekendtillæg udbetales.",I36="X"),K36,0)</f>
        <v>0</v>
      </c>
      <c r="FP36" s="251">
        <f>IF(AND(Stamoplysninger!$B$26="Weekendtimer og weekendtillæg udbetales.",AA36="X"),(AC36+AN36)/2,0)</f>
        <v>0</v>
      </c>
      <c r="FQ36" s="674">
        <f>IF(AND(AND(Stamoplysninger!$B$26="Weekendtimer og weekendtillæg udbetales.",I36="X",C36="ikke relevant")),K36,0)</f>
        <v>0</v>
      </c>
      <c r="FR36" s="688">
        <f>IF(AND(AND(Stamoplysninger!$B$26="Weekendtimer og weekendtillæg udbetales.",AA36="X",U36="ikke relevant")),(AC36+AN36)/2,0)</f>
        <v>0</v>
      </c>
      <c r="FS36" s="283">
        <f t="shared" si="15"/>
        <v>0</v>
      </c>
      <c r="FT36" s="658">
        <f t="shared" si="16"/>
        <v>0</v>
      </c>
      <c r="FU36">
        <f t="shared" si="31"/>
        <v>0</v>
      </c>
      <c r="FV36" s="283">
        <f>IF(AND(Stamoplysninger!$B$26="Der er indgået lokalaftale omkring weekendtimer.(Kræver aftale med TR/FSL) Weekendtillæg afspadseres.",I36="X"),K36,0)</f>
        <v>0</v>
      </c>
      <c r="FW36" s="674">
        <f>IF(AND(AND(Stamoplysninger!$B$26="Der er indgået lokalaftale omkring weekendtimer.(Kræver aftale med TR/FSL) Weekendtillæg afspadseres.",I36="X",C36="ikke relevant")),K36,0)</f>
        <v>0</v>
      </c>
      <c r="FX36" s="283">
        <f>IF(AND(Stamoplysninger!$B$26="Der er indgået lokalaftale omkring weekendtimer(Kræver aftale med TR/FSL). Weekendtillæg udbetales.",I36="X"),K36,0)</f>
        <v>0</v>
      </c>
      <c r="FY36" s="674">
        <f>IF(AND(AND(Stamoplysninger!$B$26="Der er indgået lokalaftale omkring weekendtimer(Kræver aftale med TR/FSL). Weekendtillæg udbetales.",I36="X",C36="ikke relevant")),K36,0)</f>
        <v>0</v>
      </c>
      <c r="FZ36" s="283">
        <f>IF(AND(Stamoplysninger!$B$26="Der er indgået lokalaftale omkring weekendtillæg(Kræver aftale med TR/FSL). Weekendtimerne udbetales.",I36="X"),K36,0)</f>
        <v>0</v>
      </c>
      <c r="GA36" s="674">
        <f>IF(AND(AND(Stamoplysninger!$B$26="Der er indgået lokalaftale omkring weekendtillæg(Kræver aftale med TR/FSL). Weekendtimerne udbetales.",I36="X",C36="ikke relevant")),K36,0)</f>
        <v>0</v>
      </c>
      <c r="GB36" s="283">
        <f>IF(AND(Stamoplysninger!$B$26="Der er indgået lokalaftale omkring weekendtimer og weekendtillæg.(Kræver aftale med TR/FSL).",I36="X"),K36,0)</f>
        <v>0</v>
      </c>
      <c r="GC36" s="674">
        <f>IF(AND(AND(Stamoplysninger!$B$26="Der er indgået lokalaftale omkring weekendtimer og weekendtillæg.(Kræver aftale med TR/FSL).",I36="X",C36="ikke relevant")),K36,0)</f>
        <v>0</v>
      </c>
    </row>
    <row r="37" spans="1:185">
      <c r="A37" s="245">
        <f>IF(ISNUMBER(A36),A36+1,1)</f>
        <v>29</v>
      </c>
      <c r="B37" s="128" t="str">
        <f t="shared" si="0"/>
        <v>ti</v>
      </c>
      <c r="C37" s="129" t="s">
        <v>136</v>
      </c>
      <c r="D37" s="130" t="str">
        <f t="shared" si="1"/>
        <v/>
      </c>
      <c r="E37" s="917" t="s">
        <v>8</v>
      </c>
      <c r="F37" s="918"/>
      <c r="G37" s="919"/>
      <c r="H37" s="298"/>
      <c r="I37" s="527"/>
      <c r="J37" s="413"/>
      <c r="K37" s="380">
        <v>6.5</v>
      </c>
      <c r="L37" s="380">
        <v>4.5</v>
      </c>
      <c r="M37" s="380">
        <v>1</v>
      </c>
      <c r="N37" s="318">
        <f t="shared" si="19"/>
        <v>6.5</v>
      </c>
      <c r="O37" s="318">
        <f t="shared" si="20"/>
        <v>4.5</v>
      </c>
      <c r="P37" s="318">
        <f>IF(Stamoplysninger!$H$29="JA",Oktober!DG37,CX37)</f>
        <v>1</v>
      </c>
      <c r="Q37" s="318">
        <f t="shared" si="21"/>
        <v>1</v>
      </c>
      <c r="R37" s="319"/>
      <c r="S37" s="324"/>
      <c r="T37" s="325"/>
      <c r="U37" s="325"/>
      <c r="V37" s="435"/>
      <c r="W37" s="412"/>
      <c r="X37" s="642"/>
      <c r="Y37">
        <f t="shared" si="22"/>
        <v>0</v>
      </c>
      <c r="Z37">
        <f t="shared" si="2"/>
        <v>0</v>
      </c>
      <c r="AA37" s="1">
        <f t="shared" si="3"/>
        <v>0</v>
      </c>
      <c r="AB37" s="1">
        <f t="shared" si="4"/>
        <v>6.5</v>
      </c>
      <c r="AC37" s="1">
        <f t="shared" si="5"/>
        <v>0</v>
      </c>
      <c r="AD37" s="1">
        <f t="shared" si="6"/>
        <v>0</v>
      </c>
      <c r="AE37" s="1">
        <f t="shared" si="7"/>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6.5</v>
      </c>
      <c r="BB37" s="229">
        <f t="shared" si="8"/>
        <v>0</v>
      </c>
      <c r="BC37" s="1">
        <f t="shared" si="24"/>
        <v>0</v>
      </c>
      <c r="BD37" s="1">
        <f t="shared" si="9"/>
        <v>0</v>
      </c>
      <c r="BE37" s="1">
        <f t="shared" si="10"/>
        <v>4.5</v>
      </c>
      <c r="BF37" s="1">
        <f t="shared" si="11"/>
        <v>0</v>
      </c>
      <c r="BG37" s="210" t="str">
        <f>IF(AND(C37="Skema 1",B37="ma"),Skemaoplysninger!$E$30,"")</f>
        <v/>
      </c>
      <c r="BH37" s="210" t="str">
        <f>IF(AND(C37="Skema 1",B37="ti"),Skemaoplysninger!$G$30,"")</f>
        <v/>
      </c>
      <c r="BI37" s="210" t="str">
        <f>IF(AND(C37="Skema 1",B37="on"),Skemaoplysninger!$I$30,"")</f>
        <v/>
      </c>
      <c r="BJ37" s="210" t="str">
        <f>IF(AND(C37="Skema 1",B37="to"),Skemaoplysninger!$K$30,"")</f>
        <v/>
      </c>
      <c r="BK37" s="210" t="str">
        <f>IF(AND(C37="Skema 1",B37="fr"),Skemaoplysninger!$M$30,"")</f>
        <v/>
      </c>
      <c r="BL37" s="210" t="str">
        <f>IF(AND(C37="Skema 2",B37="ma"),Skemaoplysninger!$S$30,"")</f>
        <v/>
      </c>
      <c r="BM37" s="210" t="str">
        <f>IF(AND(C37="Skema 2",B37="ti"),Skemaoplysninger!$U$30,"")</f>
        <v/>
      </c>
      <c r="BN37" s="210" t="str">
        <f>IF(AND(C37="Skema 2",B37="on"),Skemaoplysninger!$W$30,"")</f>
        <v/>
      </c>
      <c r="BO37" s="210" t="str">
        <f>IF(AND(C37="Skema 2",B37="to"),Skemaoplysninger!$Y$30,"")</f>
        <v/>
      </c>
      <c r="BP37" s="210" t="str">
        <f>IF(AND(C37="Skema 2",B37="fr"),Skemaoplysninger!$AA$30,"")</f>
        <v/>
      </c>
      <c r="BQ37" s="210" t="str">
        <f>IF(AND(C37="Skema 3",B37="ma"),Skemaoplysninger!$AG$30,"")</f>
        <v/>
      </c>
      <c r="BR37" s="210" t="str">
        <f>IF(AND(C37="Skema 3",B37="ti"),Skemaoplysninger!$AI$30,"")</f>
        <v/>
      </c>
      <c r="BS37" s="210" t="str">
        <f>IF(AND(C37="Skema 3",B37="on"),Skemaoplysninger!$AK$30,"")</f>
        <v/>
      </c>
      <c r="BT37" s="210" t="str">
        <f>IF(AND(C37="Skema 3",B37="to"),Skemaoplysninger!$AM$30,"")</f>
        <v/>
      </c>
      <c r="BU37" s="210" t="str">
        <f>IF(AND(C37="Skema 3",B37="fr"),Skemaoplysninger!$AO$30,"")</f>
        <v/>
      </c>
      <c r="BV37" s="210" t="str">
        <f>IF(AND(C37="Skema 4",B37="ma"),Skemaoplysninger!$AU$30,"")</f>
        <v/>
      </c>
      <c r="BW37" s="210" t="str">
        <f>IF(AND(C37="Skema 4",B37="ti"),Skemaoplysninger!$AW$30,"")</f>
        <v/>
      </c>
      <c r="BX37" s="210" t="str">
        <f>IF(AND(C37="Skema 4",B37="on"),Skemaoplysninger!$AY$30,"")</f>
        <v/>
      </c>
      <c r="BY37" s="210" t="str">
        <f>IF(AND(C37="Skema 4",B37="to"),Skemaoplysninger!$BA$30,"")</f>
        <v/>
      </c>
      <c r="BZ37" s="210" t="str">
        <f>IF(AND(C37="Skema 4",B37="fr"),Skemaoplysninger!$BC$30,"")</f>
        <v/>
      </c>
      <c r="CA37" s="1">
        <f t="shared" si="25"/>
        <v>4.5</v>
      </c>
      <c r="CB37" s="1">
        <f t="shared" si="12"/>
        <v>1</v>
      </c>
      <c r="CC37" s="1">
        <f t="shared" si="13"/>
        <v>0</v>
      </c>
      <c r="CD37" s="210" t="str">
        <f>IF(AND(C37="Skema 1",B37="ma"),Skemaoplysninger!$E$31,"")</f>
        <v/>
      </c>
      <c r="CE37" s="210" t="str">
        <f>IF(AND(C37="Skema 1",B37="ti"),Skemaoplysninger!$G$31,"")</f>
        <v/>
      </c>
      <c r="CF37" s="210" t="str">
        <f>IF(AND(C37="Skema 1",B37="on"),Skemaoplysninger!$I$31,"")</f>
        <v/>
      </c>
      <c r="CG37" s="210" t="str">
        <f>IF(AND(C37="Skema 1",B37="to"),Skemaoplysninger!$K$31,"")</f>
        <v/>
      </c>
      <c r="CH37" s="210" t="str">
        <f>IF(AND(C37="Skema 1",B37="fr"),Skemaoplysninger!$M$31,"")</f>
        <v/>
      </c>
      <c r="CI37" s="210" t="str">
        <f>IF(AND(C37="Skema 2",B37="ma"),Skemaoplysninger!$S$31,"")</f>
        <v/>
      </c>
      <c r="CJ37" s="210" t="str">
        <f>IF(AND(C37="Skema 2",B37="ti"),Skemaoplysninger!$U$31,"")</f>
        <v/>
      </c>
      <c r="CK37" s="210" t="str">
        <f>IF(AND(C37="Skema 2",B37="on"),Skemaoplysninger!$W$31,"")</f>
        <v/>
      </c>
      <c r="CL37" s="210" t="str">
        <f>IF(AND(C37="Skema 2",B37="to"),Skemaoplysninger!$Y$31,"")</f>
        <v/>
      </c>
      <c r="CM37" s="210" t="str">
        <f>IF(AND(C37="Skema 2",B37="fr"),Skemaoplysninger!$AA$31,"")</f>
        <v/>
      </c>
      <c r="CN37" s="210" t="str">
        <f>IF(AND(C37="Skema 3",B37="ma"),Skemaoplysninger!$AG$31,"")</f>
        <v/>
      </c>
      <c r="CO37" s="210" t="str">
        <f>IF(AND(C37="Skema 3",B37="ti"),Skemaoplysninger!$AI$31,"")</f>
        <v/>
      </c>
      <c r="CP37" s="210" t="str">
        <f>IF(AND(C37="Skema 3",B37="on"),Skemaoplysninger!$AK$31,"")</f>
        <v/>
      </c>
      <c r="CQ37" s="210" t="str">
        <f>IF(AND(C37="Skema 3",B37="to"),Skemaoplysninger!$AM$31,"")</f>
        <v/>
      </c>
      <c r="CR37" s="210" t="str">
        <f>IF(AND(C37="Skema 3",B37="fr"),Skemaoplysninger!$AO$31,"")</f>
        <v/>
      </c>
      <c r="CS37" s="210" t="str">
        <f>IF(AND(C37="Skema 4",B37="ma"),Skemaoplysninger!$AU$31,"")</f>
        <v/>
      </c>
      <c r="CT37" s="210" t="str">
        <f>IF(AND(C37="Skema 4",B37="ti"),Skemaoplysninger!$AW$31,"")</f>
        <v/>
      </c>
      <c r="CU37" s="210" t="str">
        <f>IF(AND(C37="Skema 4",B37="on"),Skemaoplysninger!$AY$31,"")</f>
        <v/>
      </c>
      <c r="CV37" s="210" t="str">
        <f>IF(AND(C37="Skema 4",B37="to"),Skemaoplysninger!$BA$31,"")</f>
        <v/>
      </c>
      <c r="CW37" s="210" t="str">
        <f>IF(AND(C37="Skema 4",B37="fr"),Skemaoplysninger!$BC$31,"")</f>
        <v/>
      </c>
      <c r="CX37" s="249">
        <f>IF(Stamoplysninger!$H$29="NEJ",SUM(CD37:CW37)*24+CB37+CC37,0)</f>
        <v>1</v>
      </c>
      <c r="CY37" s="249">
        <f>IF(C37="Skema 1",Stamoplysninger!$H$30/200,0)</f>
        <v>0</v>
      </c>
      <c r="CZ37" s="249">
        <f>IF(C37="Skema 2",Stamoplysninger!$H$30/200,0)</f>
        <v>0</v>
      </c>
      <c r="DA37" s="249">
        <f>IF(C37="Skema 3",Stamoplysninger!$H$30/200,0)</f>
        <v>0</v>
      </c>
      <c r="DB37" s="249">
        <f>IF(C37="Skema 4",Stamoplysninger!$H$30/200,0)</f>
        <v>0</v>
      </c>
      <c r="DC37" s="249">
        <f>IF(C37="fagdag",Stamoplysninger!$H$30/200,0)</f>
        <v>0</v>
      </c>
      <c r="DD37" s="249">
        <f>IF(C37="emnedag",Stamoplysninger!$H$30/200,0)</f>
        <v>0</v>
      </c>
      <c r="DE37" s="249">
        <f>IF(C37="lejrskole",Stamoplysninger!$H$30/200,0)</f>
        <v>0</v>
      </c>
      <c r="DF37" s="249">
        <f>IF(C37="ekskursion",Stamoplysninger!$H$30/200,0)</f>
        <v>0</v>
      </c>
      <c r="DG37" s="249">
        <f t="shared" si="26"/>
        <v>0</v>
      </c>
      <c r="DH37" t="str">
        <f t="shared" si="27"/>
        <v/>
      </c>
      <c r="DI37" t="str">
        <f t="shared" si="28"/>
        <v>Engelsk</v>
      </c>
      <c r="DJ37" t="str">
        <f t="shared" si="29"/>
        <v/>
      </c>
      <c r="DK37" t="str">
        <f t="shared" si="14"/>
        <v/>
      </c>
      <c r="DL37" t="str">
        <f t="shared" si="14"/>
        <v>Engelsk</v>
      </c>
      <c r="DM37" t="str">
        <f t="shared" si="14"/>
        <v/>
      </c>
      <c r="DN37" t="str">
        <f t="shared" si="30"/>
        <v>Engelsk</v>
      </c>
      <c r="DO37" s="652">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71">
        <f>IF(AND(Stamoplysninger!$B$22="Ulempetillæg udbetales med 25% af nettotimelønnen.",C37="ikke relevant"),(R37)/4,0)</f>
        <v>0</v>
      </c>
      <c r="DT37" s="671">
        <f>IF(AND(AND(Stamoplysninger!$B$22="Ulempetillæg udbetales med 25% af nettotimelønnen.",I37="X",C37="Ikke relevant")),K37/4,0)</f>
        <v>0</v>
      </c>
      <c r="DU37" s="671">
        <f>IF(AND(AND(Stamoplysninger!$B$22="Ulempetillæg udbetales med 25% af nettotimelønnen.",C37="ikke relevant",U37="X")),(X37/4),0)</f>
        <v>0</v>
      </c>
      <c r="DV37" s="672">
        <f>IF(AND(AND(AND(Stamoplysninger!$B$22="Ulempetillæg udbetales med 25% af nettotimelønnen.",I37="X",C37="Ikke relevant",U37="X"))),X37/4,0)</f>
        <v>0</v>
      </c>
      <c r="DW37" s="652"/>
      <c r="DZ37" s="671"/>
      <c r="EA37" s="671"/>
      <c r="EB37" s="672"/>
      <c r="EC37" s="652">
        <f>IF(Stamoplysninger!$B$22="Ulempetillæg afspadseres med 25%(Kræver en aftale imellem ledelsen og den ansatte)",(R37+X37)/4,0)</f>
        <v>0</v>
      </c>
      <c r="ED37">
        <f>IF(AND(Stamoplysninger!$B$22="Ulempetillæg afspadseres med 25%(Kræver en aftale imellem ledelsen og den ansatte)",I37="X"),K37/4,0)</f>
        <v>0</v>
      </c>
      <c r="EE37">
        <f>IF(AND(Stamoplysninger!$B$22="Ulempetillæg afspadseres med 25%(Kræver en aftale imellem ledelsen og den ansatte)",I37="X"),V37/4,0)</f>
        <v>0</v>
      </c>
      <c r="EF37">
        <f>IF(AND(AND(Stamoplysninger!$B$22="Ulempetillæg udbetales med 25% af nettotimelønnen.",AG37="X",W37="X")),AJ37/4,0)</f>
        <v>0</v>
      </c>
      <c r="EG37" s="671">
        <f>IF(AND(Stamoplysninger!$B$22="Ulempetillæg afspadseres med 25%(Kræver en aftale imellem ledelsen og den ansatte)",C37="ikke relevant"),(R37+X37)/4,0)</f>
        <v>0</v>
      </c>
      <c r="EH37" s="671">
        <f>IF(AND(AND(Stamoplysninger!$B$22="Ulempetillæg afspadseres med 25%(Kræver en aftale imellem ledelsen og den ansatte)",I37="X",C37="Ikke relevant")),K37/4,0)</f>
        <v>0</v>
      </c>
      <c r="EI37" s="671">
        <f>IF(AND(AND(Stamoplysninger!$B$22="Ulempetillæg afspadseres med 25%(Kræver en aftale imellem ledelsen og den ansatte)",I37="X",C37="Ikke relevant")),V37/4,0)</f>
        <v>0</v>
      </c>
      <c r="EJ37" s="671">
        <f>IF(AND(AND(Stamoplysninger!$B$22="Ulempetillæg afspadseres med 25%(Kræver en aftale imellem ledelsen og den ansatte)",J37="X",D37="Ikke relevant")),W37/4,0)</f>
        <v>0</v>
      </c>
      <c r="EK37" s="283">
        <f>IF(AND(Stamoplysninger!$B$26="Weekendtimer og weekendtillæg afspadseres.",I37="X"),K37+V37,0)</f>
        <v>0</v>
      </c>
      <c r="EL37" s="251">
        <f>IF(AND(Stamoplysninger!$B$26="Weekendtimer og weekendtillæg afspadseres.",J37="X"),(L37+W37)/2,0)</f>
        <v>0</v>
      </c>
      <c r="EM37" s="674">
        <f>IF(AND(AND(Stamoplysninger!$B$26="Weekendtimer og weekendtillæg afspadseres.",I37="X",C37="ikke relevant")),K37+V37,0)</f>
        <v>0</v>
      </c>
      <c r="EN37" s="675">
        <f>IF(AND(AND(Stamoplysninger!$B$26="Weekendtimer og weekendtillæg afspadseres.",I37="X",C37="ikke relevant")),(K37+V37)/2,0)</f>
        <v>0</v>
      </c>
      <c r="EO37" s="283">
        <f>IF(AND(Stamoplysninger!$B$26="Weekendtimer og weekendtillæg udbetales.",I37="X"),K37+V37,0)</f>
        <v>0</v>
      </c>
      <c r="EP37" s="251">
        <f>IF(AND(Stamoplysninger!$B$26="Weekendtimer og weekendtillæg udbetales.",I37="X"),(K37+V37)/2,0)</f>
        <v>0</v>
      </c>
      <c r="EQ37" s="674">
        <f>IF(AND(AND(Stamoplysninger!$B$26="Weekendtimer og weekendtillæg udbetales.",I37="X",C37="ikke relevant")),K37+V37,0)</f>
        <v>0</v>
      </c>
      <c r="ER37" s="675">
        <f>IF(AND(AND(Stamoplysninger!$B$26="Weekendtimer og weekendtillæg udbetales.",I37="X",C37="ikke relevant")),(K37+V37)/2,0)</f>
        <v>0</v>
      </c>
      <c r="ES37" s="283">
        <f>IF(AND(Stamoplysninger!$B$26="Weekendtimer og weekendtillæg udbetales.",M37="X"),O37+Z37,0)</f>
        <v>0</v>
      </c>
      <c r="ET37" s="251">
        <f>IF(AND(Stamoplysninger!$B$26="Weekendtimer og weekendtillæg udbetales.",M37="X"),(O37+Z37)/2,0)</f>
        <v>0</v>
      </c>
      <c r="EU37" s="674">
        <f>IF(AND(AND(Stamoplysninger!$B$26="Weekendtimer og weekendtillæg udbetales.",M37="X",G37="ikke relevant")),O37+Z37,0)</f>
        <v>0</v>
      </c>
      <c r="EV37" s="675">
        <f>IF(AND(AND(Stamoplysninger!$B$26="Weekendtimer og weekendtillæg udbetales.",M37="X",G37="ikke relevant")),(O37+Z37)/2,0)</f>
        <v>0</v>
      </c>
      <c r="EW37" s="283">
        <f>IF(AND(Stamoplysninger!$B$26="Der er indgået lokalaftale omkring weekendtimer(Kræver aftale med TR/FSL). Weekendtillæg udbetales.",I37="X"),K37*0.5,0)</f>
        <v>0</v>
      </c>
      <c r="EX37" s="251">
        <f>IF(AND(AND(Stamoplysninger!$B$26="Der er indgået lokalaftale omkring weekendtimer(Kræver aftale med TR/FSL). Weekendtillæg udbetales.",I37="X",S37="X")),V37*0.5,0)</f>
        <v>0</v>
      </c>
      <c r="EY37" s="674">
        <f>IF(AND(AND(Stamoplysninger!$B$26="Der er indgået lokalaftale omkring weekendtimer(Kræver aftale med TR/FSL). Weekendtillæg udbetales.",I37="X",C37="ikke relevant")),K37*0.5,0)</f>
        <v>0</v>
      </c>
      <c r="EZ37" s="675">
        <f>IF(AND(AND(AND(Stamoplysninger!$B$26="Der er indgået lokalaftale omkring weekendtimer(Kræver aftale med TR/FSL). Weekendtillæg udbetales.",I37="X",C37="ikke relevant",S37="X"))),(V37*0.5),0)</f>
        <v>0</v>
      </c>
      <c r="FA37" s="283">
        <f>IF(AND(Stamoplysninger!$B$26="Der er indgået lokalaftale omkring weekendtimer(Kræver aftale med TR/FSL). Weekendtillæg udbetales.",M37="X"),O37*0.5,0)</f>
        <v>0</v>
      </c>
      <c r="FB37" s="251">
        <f>IF(AND(AND(Stamoplysninger!$B$26="Der er indgået lokalaftale omkring weekendtimer(Kræver aftale med TR/FSL). Weekendtillæg udbetales.",M37="X",W37="X")),Z37*0.5,0)</f>
        <v>0</v>
      </c>
      <c r="FC37" s="674">
        <f>IF(AND(AND(Stamoplysninger!$B$26="Der er indgået lokalaftale omkring weekendtimer(Kræver aftale med TR/FSL). Weekendtillæg udbetales.",M37="X",G37="ikke relevant")),O37*0.5,0)</f>
        <v>0</v>
      </c>
      <c r="FD37" s="675">
        <f>IF(AND(AND(AND(Stamoplysninger!$B$26="Der er indgået lokalaftale omkring weekendtimer(Kræver aftale med TR/FSL). Weekendtillæg udbetales.",M37="X",G37="ikke relevant",W37="X"))),(Z37*0.5),0)</f>
        <v>0</v>
      </c>
      <c r="FE37" s="283">
        <f>IF(AND(Stamoplysninger!$B$26="Der er indgået lokalaftale omkring weekendtimer(Kræver aftale med TR/FSL). Weekendtillæg udbetales.",Q37="X"),S37*0.5,0)</f>
        <v>0</v>
      </c>
      <c r="FF37" s="251">
        <f>IF(AND(AND(Stamoplysninger!$B$26="Der er indgået lokalaftale omkring weekendtimer(Kræver aftale med TR/FSL). Weekendtillæg udbetales.",Q37="X",AA37="X")),AD37*0.5,0)</f>
        <v>0</v>
      </c>
      <c r="FG37" s="674">
        <f>IF(AND(AND(Stamoplysninger!$B$26="Der er indgået lokalaftale omkring weekendtimer(Kræver aftale med TR/FSL). Weekendtillæg udbetales.",Q37="X",K37="ikke relevant")),S37*0.5,0)</f>
        <v>0</v>
      </c>
      <c r="FH37" s="675">
        <f>IF(AND(AND(AND(Stamoplysninger!$B$26="Der er indgået lokalaftale omkring weekendtimer(Kræver aftale med TR/FSL). Weekendtillæg udbetales.",Q37="X",K37="ikke relevant",AA37="X"))),(AD37*0.5),0)</f>
        <v>0</v>
      </c>
      <c r="FI37" s="283">
        <f>IF(AND(Stamoplysninger!$B$26="Weekendtimer og weekendtillæg afspadseres.",I37="X"),K37,0)</f>
        <v>0</v>
      </c>
      <c r="FJ37" s="251">
        <f>IF(AND(Stamoplysninger!$B$26="Weekendtimer og weekendtillæg afspadseres.",Y37="X"),(AA37+AL37)/2,0)</f>
        <v>0</v>
      </c>
      <c r="FK37" s="674">
        <f>IF(AND(AND(Stamoplysninger!$B$26="Weekendtimer og weekendtillæg afspadseres.",I37="X",C37="ikke relevant")),K37,0)</f>
        <v>0</v>
      </c>
      <c r="FL37" s="675">
        <f>IF(AND(AND(Stamoplysninger!$B$26="Weekendtimer og weekendtillæg afspadseres.",Y37="X",S37="ikke relevant")),(AA37+AL37)/2,0)</f>
        <v>0</v>
      </c>
      <c r="FM37" s="283">
        <f>IF(AND(Stamoplysninger!$B$26="Der er indgået lokalaftale omkring weekendtillæg(Kræver aftale med TR/FSL). Weekendtimerne afspadseres.",I37="X"),K37,0)</f>
        <v>0</v>
      </c>
      <c r="FN37" s="674">
        <f>IF(AND(AND(Stamoplysninger!$B$26="Der er indgået lokalaftale omkring weekendtillæg(Kræver aftale med TR/FSL). Weekendtimerne afspadseres.",I37="X",C37="ikke relevant")),K37,0)</f>
        <v>0</v>
      </c>
      <c r="FO37" s="283">
        <f>IF(AND(Stamoplysninger!$B$26="Weekendtimer og weekendtillæg udbetales.",I37="X"),K37,0)</f>
        <v>0</v>
      </c>
      <c r="FP37" s="251">
        <f>IF(AND(Stamoplysninger!$B$26="Weekendtimer og weekendtillæg udbetales.",AA37="X"),(AC37+AN37)/2,0)</f>
        <v>0</v>
      </c>
      <c r="FQ37" s="674">
        <f>IF(AND(AND(Stamoplysninger!$B$26="Weekendtimer og weekendtillæg udbetales.",I37="X",C37="ikke relevant")),K37,0)</f>
        <v>0</v>
      </c>
      <c r="FR37" s="688">
        <f>IF(AND(AND(Stamoplysninger!$B$26="Weekendtimer og weekendtillæg udbetales.",AA37="X",U37="ikke relevant")),(AC37+AN37)/2,0)</f>
        <v>0</v>
      </c>
      <c r="FS37" s="283">
        <f t="shared" si="15"/>
        <v>0</v>
      </c>
      <c r="FT37" s="658">
        <f t="shared" si="16"/>
        <v>0</v>
      </c>
      <c r="FU37">
        <f t="shared" si="31"/>
        <v>0</v>
      </c>
      <c r="FV37" s="283">
        <f>IF(AND(Stamoplysninger!$B$26="Der er indgået lokalaftale omkring weekendtimer.(Kræver aftale med TR/FSL) Weekendtillæg afspadseres.",I37="X"),K37,0)</f>
        <v>0</v>
      </c>
      <c r="FW37" s="674">
        <f>IF(AND(AND(Stamoplysninger!$B$26="Der er indgået lokalaftale omkring weekendtimer.(Kræver aftale med TR/FSL) Weekendtillæg afspadseres.",I37="X",C37="ikke relevant")),K37,0)</f>
        <v>0</v>
      </c>
      <c r="FX37" s="283">
        <f>IF(AND(Stamoplysninger!$B$26="Der er indgået lokalaftale omkring weekendtimer(Kræver aftale med TR/FSL). Weekendtillæg udbetales.",I37="X"),K37,0)</f>
        <v>0</v>
      </c>
      <c r="FY37" s="674">
        <f>IF(AND(AND(Stamoplysninger!$B$26="Der er indgået lokalaftale omkring weekendtimer(Kræver aftale med TR/FSL). Weekendtillæg udbetales.",I37="X",C37="ikke relevant")),K37,0)</f>
        <v>0</v>
      </c>
      <c r="FZ37" s="283">
        <f>IF(AND(Stamoplysninger!$B$26="Der er indgået lokalaftale omkring weekendtillæg(Kræver aftale med TR/FSL). Weekendtimerne udbetales.",I37="X"),K37,0)</f>
        <v>0</v>
      </c>
      <c r="GA37" s="674">
        <f>IF(AND(AND(Stamoplysninger!$B$26="Der er indgået lokalaftale omkring weekendtillæg(Kræver aftale med TR/FSL). Weekendtimerne udbetales.",I37="X",C37="ikke relevant")),K37,0)</f>
        <v>0</v>
      </c>
      <c r="GB37" s="283">
        <f>IF(AND(Stamoplysninger!$B$26="Der er indgået lokalaftale omkring weekendtimer og weekendtillæg.(Kræver aftale med TR/FSL).",I37="X"),K37,0)</f>
        <v>0</v>
      </c>
      <c r="GC37" s="674">
        <f>IF(AND(AND(Stamoplysninger!$B$26="Der er indgået lokalaftale omkring weekendtimer og weekendtillæg.(Kræver aftale med TR/FSL).",I37="X",C37="ikke relevant")),K37,0)</f>
        <v>0</v>
      </c>
    </row>
    <row r="38" spans="1:185">
      <c r="A38" s="245">
        <f t="shared" si="18"/>
        <v>30</v>
      </c>
      <c r="B38" s="128" t="str">
        <f t="shared" si="0"/>
        <v>on</v>
      </c>
      <c r="C38" s="129" t="s">
        <v>206</v>
      </c>
      <c r="D38" s="130" t="str">
        <f t="shared" si="1"/>
        <v/>
      </c>
      <c r="E38" s="917"/>
      <c r="F38" s="918"/>
      <c r="G38" s="919"/>
      <c r="H38" s="298"/>
      <c r="I38" s="527"/>
      <c r="J38" s="413"/>
      <c r="K38" s="380"/>
      <c r="L38" s="380"/>
      <c r="M38" s="380"/>
      <c r="N38" s="318">
        <f t="shared" si="19"/>
        <v>7.75</v>
      </c>
      <c r="O38" s="318">
        <f t="shared" si="20"/>
        <v>5</v>
      </c>
      <c r="P38" s="318">
        <f>IF(Stamoplysninger!$H$29="JA",Oktober!DG38,CX38)</f>
        <v>1.1666666666666665</v>
      </c>
      <c r="Q38" s="318">
        <f t="shared" si="21"/>
        <v>1.5833333333333335</v>
      </c>
      <c r="R38" s="319"/>
      <c r="S38" s="324"/>
      <c r="T38" s="325"/>
      <c r="U38" s="441"/>
      <c r="V38" s="435"/>
      <c r="W38" s="412"/>
      <c r="X38" s="642"/>
      <c r="Y38">
        <f t="shared" si="22"/>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1",B38="ma"),Arbejdstidsoversigt!$E$72,"")</f>
        <v/>
      </c>
      <c r="AH38" t="str">
        <f>IF(AND(C38="Skema 1",B38="ti"),Arbejdstidsoversigt!$E$73,"")</f>
        <v/>
      </c>
      <c r="AI38">
        <f>IF(AND(C38="Skema 1",B38="on"),Arbejdstidsoversigt!$E$74,"")</f>
        <v>7.75</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7.75</v>
      </c>
      <c r="BB38" s="229">
        <f t="shared" si="8"/>
        <v>186</v>
      </c>
      <c r="BC38" s="1">
        <f t="shared" si="24"/>
        <v>0</v>
      </c>
      <c r="BD38" s="1">
        <f t="shared" si="9"/>
        <v>0</v>
      </c>
      <c r="BE38" s="1">
        <f t="shared" si="10"/>
        <v>0</v>
      </c>
      <c r="BF38" s="1">
        <f t="shared" si="11"/>
        <v>0</v>
      </c>
      <c r="BG38" s="210" t="str">
        <f>IF(AND(C38="Skema 1",B38="ma"),Skemaoplysninger!$E$30,"")</f>
        <v/>
      </c>
      <c r="BH38" s="210" t="str">
        <f>IF(AND(C38="Skema 1",B38="ti"),Skemaoplysninger!$G$30,"")</f>
        <v/>
      </c>
      <c r="BI38" s="210">
        <f>IF(AND(C38="Skema 1",B38="on"),Skemaoplysninger!$I$30,"")</f>
        <v>0.20833333333333331</v>
      </c>
      <c r="BJ38" s="210" t="str">
        <f>IF(AND(C38="Skema 1",B38="to"),Skemaoplysninger!$K$30,"")</f>
        <v/>
      </c>
      <c r="BK38" s="210" t="str">
        <f>IF(AND(C38="Skema 1",B38="fr"),Skemaoplysninger!$M$30,"")</f>
        <v/>
      </c>
      <c r="BL38" s="210" t="str">
        <f>IF(AND(C38="Skema 2",B38="ma"),Skemaoplysninger!$S$30,"")</f>
        <v/>
      </c>
      <c r="BM38" s="210" t="str">
        <f>IF(AND(C38="Skema 2",B38="ti"),Skemaoplysninger!$U$30,"")</f>
        <v/>
      </c>
      <c r="BN38" s="210" t="str">
        <f>IF(AND(C38="Skema 2",B38="on"),Skemaoplysninger!$W$30,"")</f>
        <v/>
      </c>
      <c r="BO38" s="210" t="str">
        <f>IF(AND(C38="Skema 2",B38="to"),Skemaoplysninger!$Y$30,"")</f>
        <v/>
      </c>
      <c r="BP38" s="210" t="str">
        <f>IF(AND(C38="Skema 2",B38="fr"),Skemaoplysninger!$AA$30,"")</f>
        <v/>
      </c>
      <c r="BQ38" s="210" t="str">
        <f>IF(AND(C38="Skema 3",B38="ma"),Skemaoplysninger!$AG$30,"")</f>
        <v/>
      </c>
      <c r="BR38" s="210" t="str">
        <f>IF(AND(C38="Skema 3",B38="ti"),Skemaoplysninger!$AI$30,"")</f>
        <v/>
      </c>
      <c r="BS38" s="210" t="str">
        <f>IF(AND(C38="Skema 3",B38="on"),Skemaoplysninger!$AK$30,"")</f>
        <v/>
      </c>
      <c r="BT38" s="210" t="str">
        <f>IF(AND(C38="Skema 3",B38="to"),Skemaoplysninger!$AM$30,"")</f>
        <v/>
      </c>
      <c r="BU38" s="210" t="str">
        <f>IF(AND(C38="Skema 3",B38="fr"),Skemaoplysninger!$AO$30,"")</f>
        <v/>
      </c>
      <c r="BV38" s="210" t="str">
        <f>IF(AND(C38="Skema 4",B38="ma"),Skemaoplysninger!$AU$30,"")</f>
        <v/>
      </c>
      <c r="BW38" s="210" t="str">
        <f>IF(AND(C38="Skema 4",B38="ti"),Skemaoplysninger!$AW$30,"")</f>
        <v/>
      </c>
      <c r="BX38" s="210" t="str">
        <f>IF(AND(C38="Skema 4",B38="on"),Skemaoplysninger!$AY$30,"")</f>
        <v/>
      </c>
      <c r="BY38" s="210" t="str">
        <f>IF(AND(C38="Skema 4",B38="to"),Skemaoplysninger!$BA$30,"")</f>
        <v/>
      </c>
      <c r="BZ38" s="210" t="str">
        <f>IF(AND(C38="Skema 4",B38="fr"),Skemaoplysninger!$BC$30,"")</f>
        <v/>
      </c>
      <c r="CA38" s="1">
        <f t="shared" si="25"/>
        <v>5</v>
      </c>
      <c r="CB38" s="1">
        <f t="shared" si="12"/>
        <v>0</v>
      </c>
      <c r="CC38" s="1">
        <f t="shared" si="13"/>
        <v>0</v>
      </c>
      <c r="CD38" s="210" t="str">
        <f>IF(AND(C38="Skema 1",B38="ma"),Skemaoplysninger!$E$31,"")</f>
        <v/>
      </c>
      <c r="CE38" s="210" t="str">
        <f>IF(AND(C38="Skema 1",B38="ti"),Skemaoplysninger!$G$31,"")</f>
        <v/>
      </c>
      <c r="CF38" s="210">
        <f>IF(AND(C38="Skema 1",B38="on"),Skemaoplysninger!$I$31,"")</f>
        <v>4.8611111111111105E-2</v>
      </c>
      <c r="CG38" s="210" t="str">
        <f>IF(AND(C38="Skema 1",B38="to"),Skemaoplysninger!$K$31,"")</f>
        <v/>
      </c>
      <c r="CH38" s="210" t="str">
        <f>IF(AND(C38="Skema 1",B38="fr"),Skemaoplysninger!$M$31,"")</f>
        <v/>
      </c>
      <c r="CI38" s="210" t="str">
        <f>IF(AND(C38="Skema 2",B38="ma"),Skemaoplysninger!$S$31,"")</f>
        <v/>
      </c>
      <c r="CJ38" s="210" t="str">
        <f>IF(AND(C38="Skema 2",B38="ti"),Skemaoplysninger!$U$31,"")</f>
        <v/>
      </c>
      <c r="CK38" s="210" t="str">
        <f>IF(AND(C38="Skema 2",B38="on"),Skemaoplysninger!$W$31,"")</f>
        <v/>
      </c>
      <c r="CL38" s="210" t="str">
        <f>IF(AND(C38="Skema 2",B38="to"),Skemaoplysninger!$Y$31,"")</f>
        <v/>
      </c>
      <c r="CM38" s="210" t="str">
        <f>IF(AND(C38="Skema 2",B38="fr"),Skemaoplysninger!$AA$31,"")</f>
        <v/>
      </c>
      <c r="CN38" s="210" t="str">
        <f>IF(AND(C38="Skema 3",B38="ma"),Skemaoplysninger!$AG$31,"")</f>
        <v/>
      </c>
      <c r="CO38" s="210" t="str">
        <f>IF(AND(C38="Skema 3",B38="ti"),Skemaoplysninger!$AI$31,"")</f>
        <v/>
      </c>
      <c r="CP38" s="210" t="str">
        <f>IF(AND(C38="Skema 3",B38="on"),Skemaoplysninger!$AK$31,"")</f>
        <v/>
      </c>
      <c r="CQ38" s="210" t="str">
        <f>IF(AND(C38="Skema 3",B38="to"),Skemaoplysninger!$AM$31,"")</f>
        <v/>
      </c>
      <c r="CR38" s="210" t="str">
        <f>IF(AND(C38="Skema 3",B38="fr"),Skemaoplysninger!$AO$31,"")</f>
        <v/>
      </c>
      <c r="CS38" s="210" t="str">
        <f>IF(AND(C38="Skema 4",B38="ma"),Skemaoplysninger!$AU$31,"")</f>
        <v/>
      </c>
      <c r="CT38" s="210" t="str">
        <f>IF(AND(C38="Skema 4",B38="ti"),Skemaoplysninger!$AW$31,"")</f>
        <v/>
      </c>
      <c r="CU38" s="210" t="str">
        <f>IF(AND(C38="Skema 4",B38="on"),Skemaoplysninger!$AY$31,"")</f>
        <v/>
      </c>
      <c r="CV38" s="210" t="str">
        <f>IF(AND(C38="Skema 4",B38="to"),Skemaoplysninger!$BA$31,"")</f>
        <v/>
      </c>
      <c r="CW38" s="210" t="str">
        <f>IF(AND(C38="Skema 4",B38="fr"),Skemaoplysninger!$BC$31,"")</f>
        <v/>
      </c>
      <c r="CX38" s="249">
        <f>IF(Stamoplysninger!$H$29="NEJ",SUM(CD38:CW38)*24+CB38+CC38,0)</f>
        <v>1.1666666666666665</v>
      </c>
      <c r="CY38" s="249">
        <f>IF(C38="Skema 1",Stamoplysninger!$H$30/200,0)</f>
        <v>0</v>
      </c>
      <c r="CZ38" s="249">
        <f>IF(C38="Skema 2",Stamoplysninger!$H$30/200,0)</f>
        <v>0</v>
      </c>
      <c r="DA38" s="249">
        <f>IF(C38="Skema 3",Stamoplysninger!$H$30/200,0)</f>
        <v>0</v>
      </c>
      <c r="DB38" s="249">
        <f>IF(C38="Skema 4",Stamoplysninger!$H$30/200,0)</f>
        <v>0</v>
      </c>
      <c r="DC38" s="249">
        <f>IF(C38="fagdag",Stamoplysninger!$H$30/200,0)</f>
        <v>0</v>
      </c>
      <c r="DD38" s="249">
        <f>IF(C38="emnedag",Stamoplysninger!$H$30/200,0)</f>
        <v>0</v>
      </c>
      <c r="DE38" s="249">
        <f>IF(C38="lejrskole",Stamoplysninger!$H$30/200,0)</f>
        <v>0</v>
      </c>
      <c r="DF38" s="249">
        <f>IF(C38="ekskursion",Stamoplysninger!$H$30/200,0)</f>
        <v>0</v>
      </c>
      <c r="DG38" s="249">
        <f t="shared" si="26"/>
        <v>0</v>
      </c>
      <c r="DH38" t="str">
        <f t="shared" si="27"/>
        <v/>
      </c>
      <c r="DI38">
        <f t="shared" si="28"/>
        <v>0</v>
      </c>
      <c r="DJ38">
        <f t="shared" si="29"/>
        <v>0</v>
      </c>
      <c r="DK38" t="str">
        <f t="shared" si="14"/>
        <v/>
      </c>
      <c r="DL38" t="str">
        <f t="shared" si="14"/>
        <v/>
      </c>
      <c r="DM38" t="str">
        <f t="shared" si="14"/>
        <v/>
      </c>
      <c r="DN38" t="str">
        <f t="shared" si="30"/>
        <v/>
      </c>
      <c r="DO38" s="652">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71">
        <f>IF(AND(Stamoplysninger!$B$22="Ulempetillæg udbetales med 25% af nettotimelønnen.",C38="ikke relevant"),(R38)/4,0)</f>
        <v>0</v>
      </c>
      <c r="DT38" s="671">
        <f>IF(AND(AND(Stamoplysninger!$B$22="Ulempetillæg udbetales med 25% af nettotimelønnen.",I38="X",C38="Ikke relevant")),K38/4,0)</f>
        <v>0</v>
      </c>
      <c r="DU38" s="671">
        <f>IF(AND(AND(Stamoplysninger!$B$22="Ulempetillæg udbetales med 25% af nettotimelønnen.",C38="ikke relevant",U38="X")),(X38/4),0)</f>
        <v>0</v>
      </c>
      <c r="DV38" s="672">
        <f>IF(AND(AND(AND(Stamoplysninger!$B$22="Ulempetillæg udbetales med 25% af nettotimelønnen.",I38="X",C38="Ikke relevant",U38="X"))),X38/4,0)</f>
        <v>0</v>
      </c>
      <c r="DW38" s="652"/>
      <c r="DZ38" s="671"/>
      <c r="EA38" s="671"/>
      <c r="EB38" s="672"/>
      <c r="EC38" s="652">
        <f>IF(Stamoplysninger!$B$22="Ulempetillæg afspadseres med 25%(Kræver en aftale imellem ledelsen og den ansatte)",(R38+X38)/4,0)</f>
        <v>0</v>
      </c>
      <c r="ED38">
        <f>IF(AND(Stamoplysninger!$B$22="Ulempetillæg afspadseres med 25%(Kræver en aftale imellem ledelsen og den ansatte)",I38="X"),K38/4,0)</f>
        <v>0</v>
      </c>
      <c r="EE38">
        <f>IF(AND(Stamoplysninger!$B$22="Ulempetillæg afspadseres med 25%(Kræver en aftale imellem ledelsen og den ansatte)",I38="X"),V38/4,0)</f>
        <v>0</v>
      </c>
      <c r="EF38">
        <f>IF(AND(AND(Stamoplysninger!$B$22="Ulempetillæg udbetales med 25% af nettotimelønnen.",AG38="X",W38="X")),AJ38/4,0)</f>
        <v>0</v>
      </c>
      <c r="EG38" s="671">
        <f>IF(AND(Stamoplysninger!$B$22="Ulempetillæg afspadseres med 25%(Kræver en aftale imellem ledelsen og den ansatte)",C38="ikke relevant"),(R38+X38)/4,0)</f>
        <v>0</v>
      </c>
      <c r="EH38" s="671">
        <f>IF(AND(AND(Stamoplysninger!$B$22="Ulempetillæg afspadseres med 25%(Kræver en aftale imellem ledelsen og den ansatte)",I38="X",C38="Ikke relevant")),K38/4,0)</f>
        <v>0</v>
      </c>
      <c r="EI38" s="671">
        <f>IF(AND(AND(Stamoplysninger!$B$22="Ulempetillæg afspadseres med 25%(Kræver en aftale imellem ledelsen og den ansatte)",I38="X",C38="Ikke relevant")),V38/4,0)</f>
        <v>0</v>
      </c>
      <c r="EJ38" s="671">
        <f>IF(AND(AND(Stamoplysninger!$B$22="Ulempetillæg afspadseres med 25%(Kræver en aftale imellem ledelsen og den ansatte)",J38="X",D38="Ikke relevant")),W38/4,0)</f>
        <v>0</v>
      </c>
      <c r="EK38" s="283">
        <f>IF(AND(Stamoplysninger!$B$26="Weekendtimer og weekendtillæg afspadseres.",I38="X"),K38+V38,0)</f>
        <v>0</v>
      </c>
      <c r="EL38" s="251">
        <f>IF(AND(Stamoplysninger!$B$26="Weekendtimer og weekendtillæg afspadseres.",J38="X"),(L38+W38)/2,0)</f>
        <v>0</v>
      </c>
      <c r="EM38" s="674">
        <f>IF(AND(AND(Stamoplysninger!$B$26="Weekendtimer og weekendtillæg afspadseres.",I38="X",C38="ikke relevant")),K38+V38,0)</f>
        <v>0</v>
      </c>
      <c r="EN38" s="675">
        <f>IF(AND(AND(Stamoplysninger!$B$26="Weekendtimer og weekendtillæg afspadseres.",I38="X",C38="ikke relevant")),(K38+V38)/2,0)</f>
        <v>0</v>
      </c>
      <c r="EO38" s="283">
        <f>IF(AND(Stamoplysninger!$B$26="Weekendtimer og weekendtillæg udbetales.",I38="X"),K38+V38,0)</f>
        <v>0</v>
      </c>
      <c r="EP38" s="251">
        <f>IF(AND(Stamoplysninger!$B$26="Weekendtimer og weekendtillæg udbetales.",I38="X"),(K38+V38)/2,0)</f>
        <v>0</v>
      </c>
      <c r="EQ38" s="674">
        <f>IF(AND(AND(Stamoplysninger!$B$26="Weekendtimer og weekendtillæg udbetales.",I38="X",C38="ikke relevant")),K38+V38,0)</f>
        <v>0</v>
      </c>
      <c r="ER38" s="675">
        <f>IF(AND(AND(Stamoplysninger!$B$26="Weekendtimer og weekendtillæg udbetales.",I38="X",C38="ikke relevant")),(K38+V38)/2,0)</f>
        <v>0</v>
      </c>
      <c r="ES38" s="283">
        <f>IF(AND(Stamoplysninger!$B$26="Weekendtimer og weekendtillæg udbetales.",M38="X"),O38+Z38,0)</f>
        <v>0</v>
      </c>
      <c r="ET38" s="251">
        <f>IF(AND(Stamoplysninger!$B$26="Weekendtimer og weekendtillæg udbetales.",M38="X"),(O38+Z38)/2,0)</f>
        <v>0</v>
      </c>
      <c r="EU38" s="674">
        <f>IF(AND(AND(Stamoplysninger!$B$26="Weekendtimer og weekendtillæg udbetales.",M38="X",G38="ikke relevant")),O38+Z38,0)</f>
        <v>0</v>
      </c>
      <c r="EV38" s="675">
        <f>IF(AND(AND(Stamoplysninger!$B$26="Weekendtimer og weekendtillæg udbetales.",M38="X",G38="ikke relevant")),(O38+Z38)/2,0)</f>
        <v>0</v>
      </c>
      <c r="EW38" s="283">
        <f>IF(AND(Stamoplysninger!$B$26="Der er indgået lokalaftale omkring weekendtimer(Kræver aftale med TR/FSL). Weekendtillæg udbetales.",I38="X"),K38*0.5,0)</f>
        <v>0</v>
      </c>
      <c r="EX38" s="251">
        <f>IF(AND(AND(Stamoplysninger!$B$26="Der er indgået lokalaftale omkring weekendtimer(Kræver aftale med TR/FSL). Weekendtillæg udbetales.",I38="X",S38="X")),V38*0.5,0)</f>
        <v>0</v>
      </c>
      <c r="EY38" s="674">
        <f>IF(AND(AND(Stamoplysninger!$B$26="Der er indgået lokalaftale omkring weekendtimer(Kræver aftale med TR/FSL). Weekendtillæg udbetales.",I38="X",C38="ikke relevant")),K38*0.5,0)</f>
        <v>0</v>
      </c>
      <c r="EZ38" s="675">
        <f>IF(AND(AND(AND(Stamoplysninger!$B$26="Der er indgået lokalaftale omkring weekendtimer(Kræver aftale med TR/FSL). Weekendtillæg udbetales.",I38="X",C38="ikke relevant",S38="X"))),(V38*0.5),0)</f>
        <v>0</v>
      </c>
      <c r="FA38" s="283">
        <f>IF(AND(Stamoplysninger!$B$26="Der er indgået lokalaftale omkring weekendtimer(Kræver aftale med TR/FSL). Weekendtillæg udbetales.",M38="X"),O38*0.5,0)</f>
        <v>0</v>
      </c>
      <c r="FB38" s="251">
        <f>IF(AND(AND(Stamoplysninger!$B$26="Der er indgået lokalaftale omkring weekendtimer(Kræver aftale med TR/FSL). Weekendtillæg udbetales.",M38="X",W38="X")),Z38*0.5,0)</f>
        <v>0</v>
      </c>
      <c r="FC38" s="674">
        <f>IF(AND(AND(Stamoplysninger!$B$26="Der er indgået lokalaftale omkring weekendtimer(Kræver aftale med TR/FSL). Weekendtillæg udbetales.",M38="X",G38="ikke relevant")),O38*0.5,0)</f>
        <v>0</v>
      </c>
      <c r="FD38" s="675">
        <f>IF(AND(AND(AND(Stamoplysninger!$B$26="Der er indgået lokalaftale omkring weekendtimer(Kræver aftale med TR/FSL). Weekendtillæg udbetales.",M38="X",G38="ikke relevant",W38="X"))),(Z38*0.5),0)</f>
        <v>0</v>
      </c>
      <c r="FE38" s="283">
        <f>IF(AND(Stamoplysninger!$B$26="Der er indgået lokalaftale omkring weekendtimer(Kræver aftale med TR/FSL). Weekendtillæg udbetales.",Q38="X"),S38*0.5,0)</f>
        <v>0</v>
      </c>
      <c r="FF38" s="251">
        <f>IF(AND(AND(Stamoplysninger!$B$26="Der er indgået lokalaftale omkring weekendtimer(Kræver aftale med TR/FSL). Weekendtillæg udbetales.",Q38="X",AA38="X")),AD38*0.5,0)</f>
        <v>0</v>
      </c>
      <c r="FG38" s="674">
        <f>IF(AND(AND(Stamoplysninger!$B$26="Der er indgået lokalaftale omkring weekendtimer(Kræver aftale med TR/FSL). Weekendtillæg udbetales.",Q38="X",K38="ikke relevant")),S38*0.5,0)</f>
        <v>0</v>
      </c>
      <c r="FH38" s="675">
        <f>IF(AND(AND(AND(Stamoplysninger!$B$26="Der er indgået lokalaftale omkring weekendtimer(Kræver aftale med TR/FSL). Weekendtillæg udbetales.",Q38="X",K38="ikke relevant",AA38="X"))),(AD38*0.5),0)</f>
        <v>0</v>
      </c>
      <c r="FI38" s="283">
        <f>IF(AND(Stamoplysninger!$B$26="Weekendtimer og weekendtillæg afspadseres.",I38="X"),K38,0)</f>
        <v>0</v>
      </c>
      <c r="FJ38" s="251">
        <f>IF(AND(Stamoplysninger!$B$26="Weekendtimer og weekendtillæg afspadseres.",Y38="X"),(AA38+AL38)/2,0)</f>
        <v>0</v>
      </c>
      <c r="FK38" s="674">
        <f>IF(AND(AND(Stamoplysninger!$B$26="Weekendtimer og weekendtillæg afspadseres.",I38="X",C38="ikke relevant")),K38,0)</f>
        <v>0</v>
      </c>
      <c r="FL38" s="675">
        <f>IF(AND(AND(Stamoplysninger!$B$26="Weekendtimer og weekendtillæg afspadseres.",Y38="X",S38="ikke relevant")),(AA38+AL38)/2,0)</f>
        <v>0</v>
      </c>
      <c r="FM38" s="283">
        <f>IF(AND(Stamoplysninger!$B$26="Der er indgået lokalaftale omkring weekendtillæg(Kræver aftale med TR/FSL). Weekendtimerne afspadseres.",I38="X"),K38,0)</f>
        <v>0</v>
      </c>
      <c r="FN38" s="674">
        <f>IF(AND(AND(Stamoplysninger!$B$26="Der er indgået lokalaftale omkring weekendtillæg(Kræver aftale med TR/FSL). Weekendtimerne afspadseres.",I38="X",C38="ikke relevant")),K38,0)</f>
        <v>0</v>
      </c>
      <c r="FO38" s="283">
        <f>IF(AND(Stamoplysninger!$B$26="Weekendtimer og weekendtillæg udbetales.",I38="X"),K38,0)</f>
        <v>0</v>
      </c>
      <c r="FP38" s="251">
        <f>IF(AND(Stamoplysninger!$B$26="Weekendtimer og weekendtillæg udbetales.",AA38="X"),(AC38+AN38)/2,0)</f>
        <v>0</v>
      </c>
      <c r="FQ38" s="674">
        <f>IF(AND(AND(Stamoplysninger!$B$26="Weekendtimer og weekendtillæg udbetales.",I38="X",C38="ikke relevant")),K38,0)</f>
        <v>0</v>
      </c>
      <c r="FR38" s="688">
        <f>IF(AND(AND(Stamoplysninger!$B$26="Weekendtimer og weekendtillæg udbetales.",AA38="X",U38="ikke relevant")),(AC38+AN38)/2,0)</f>
        <v>0</v>
      </c>
      <c r="FS38" s="283">
        <f>IF(AND(I38="X",S38="X"),V38,0)</f>
        <v>0</v>
      </c>
      <c r="FT38" s="658">
        <f>IF(AND(AND(C38="ikke relevant",I38="X",S38="X")),V38,0)</f>
        <v>0</v>
      </c>
      <c r="FU38">
        <f t="shared" si="31"/>
        <v>0</v>
      </c>
      <c r="FV38" s="283">
        <f>IF(AND(Stamoplysninger!$B$26="Der er indgået lokalaftale omkring weekendtimer.(Kræver aftale med TR/FSL) Weekendtillæg afspadseres.",I38="X"),K38,0)</f>
        <v>0</v>
      </c>
      <c r="FW38" s="674">
        <f>IF(AND(AND(Stamoplysninger!$B$26="Der er indgået lokalaftale omkring weekendtimer.(Kræver aftale med TR/FSL) Weekendtillæg afspadseres.",I38="X",C38="ikke relevant")),K38,0)</f>
        <v>0</v>
      </c>
      <c r="FX38" s="283">
        <f>IF(AND(Stamoplysninger!$B$26="Der er indgået lokalaftale omkring weekendtimer(Kræver aftale med TR/FSL). Weekendtillæg udbetales.",I38="X"),K38,0)</f>
        <v>0</v>
      </c>
      <c r="FY38" s="674">
        <f>IF(AND(AND(Stamoplysninger!$B$26="Der er indgået lokalaftale omkring weekendtimer(Kræver aftale med TR/FSL). Weekendtillæg udbetales.",I38="X",C38="ikke relevant")),K38,0)</f>
        <v>0</v>
      </c>
      <c r="FZ38" s="283">
        <f>IF(AND(Stamoplysninger!$B$26="Der er indgået lokalaftale omkring weekendtillæg(Kræver aftale med TR/FSL). Weekendtimerne udbetales.",I38="X"),K38,0)</f>
        <v>0</v>
      </c>
      <c r="GA38" s="674">
        <f>IF(AND(AND(Stamoplysninger!$B$26="Der er indgået lokalaftale omkring weekendtillæg(Kræver aftale med TR/FSL). Weekendtimerne udbetales.",I38="X",C38="ikke relevant")),K38,0)</f>
        <v>0</v>
      </c>
      <c r="GB38" s="283">
        <f>IF(AND(Stamoplysninger!$B$26="Der er indgået lokalaftale omkring weekendtimer og weekendtillæg.(Kræver aftale med TR/FSL).",I38="X"),K38,0)</f>
        <v>0</v>
      </c>
      <c r="GC38" s="674">
        <f>IF(AND(AND(Stamoplysninger!$B$26="Der er indgået lokalaftale omkring weekendtimer og weekendtillæg.(Kræver aftale med TR/FSL).",I38="X",C38="ikke relevant")),K38,0)</f>
        <v>0</v>
      </c>
    </row>
    <row r="39" spans="1:185" ht="17" thickBot="1">
      <c r="A39" s="245">
        <f>IF(ISNUMBER(A38),A38+1,1)</f>
        <v>31</v>
      </c>
      <c r="B39" s="128" t="str">
        <f t="shared" si="0"/>
        <v>to</v>
      </c>
      <c r="C39" s="129" t="s">
        <v>206</v>
      </c>
      <c r="D39" s="130" t="str">
        <f t="shared" si="1"/>
        <v/>
      </c>
      <c r="E39" s="949"/>
      <c r="F39" s="950"/>
      <c r="G39" s="951"/>
      <c r="H39" s="297"/>
      <c r="I39" s="527"/>
      <c r="J39" s="413"/>
      <c r="K39" s="380"/>
      <c r="L39" s="380"/>
      <c r="M39" s="380"/>
      <c r="N39" s="318">
        <f t="shared" si="19"/>
        <v>8.5</v>
      </c>
      <c r="O39" s="318">
        <f t="shared" si="20"/>
        <v>3</v>
      </c>
      <c r="P39" s="318">
        <f>IF(Stamoplysninger!$H$29="JA",Oktober!DG39,CX39)</f>
        <v>1.5</v>
      </c>
      <c r="Q39" s="318">
        <f t="shared" si="21"/>
        <v>4</v>
      </c>
      <c r="R39" s="319"/>
      <c r="S39" s="324"/>
      <c r="T39" s="325"/>
      <c r="U39" s="214"/>
      <c r="V39" s="435"/>
      <c r="W39" s="412"/>
      <c r="X39" s="643"/>
      <c r="Y39">
        <f t="shared" si="22"/>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1",B39="ma"),Arbejdstidsoversigt!$E$72,"")</f>
        <v/>
      </c>
      <c r="AH39" t="str">
        <f>IF(AND(C39="Skema 1",B39="ti"),Arbejdstidsoversigt!$E$73,"")</f>
        <v/>
      </c>
      <c r="AI39" t="str">
        <f>IF(AND(C39="Skema 1",B39="on"),Arbejdstidsoversigt!$E$74,"")</f>
        <v/>
      </c>
      <c r="AJ39">
        <f>IF(AND(C39="Skema 1",B39="to"),Arbejdstidsoversigt!$E$75,"")</f>
        <v>8.5</v>
      </c>
      <c r="AK39" t="str">
        <f>IF(AND(C39="Skema 1",B39="fr"),Arbejdstidsoversigt!$E$76,"")</f>
        <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23"/>
        <v>8.5</v>
      </c>
      <c r="BB39" s="229">
        <f t="shared" si="8"/>
        <v>204</v>
      </c>
      <c r="BC39" s="1">
        <f t="shared" si="24"/>
        <v>0</v>
      </c>
      <c r="BD39" s="1">
        <f t="shared" si="9"/>
        <v>0</v>
      </c>
      <c r="BE39" s="1">
        <f t="shared" si="10"/>
        <v>0</v>
      </c>
      <c r="BF39" s="1">
        <f t="shared" si="11"/>
        <v>0</v>
      </c>
      <c r="BG39" s="210" t="str">
        <f>IF(AND(C39="Skema 1",B39="ma"),Skemaoplysninger!$E$30,"")</f>
        <v/>
      </c>
      <c r="BH39" s="210" t="str">
        <f>IF(AND(C39="Skema 1",B39="ti"),Skemaoplysninger!$G$30,"")</f>
        <v/>
      </c>
      <c r="BI39" s="210" t="str">
        <f>IF(AND(C39="Skema 1",B39="on"),Skemaoplysninger!$I$30,"")</f>
        <v/>
      </c>
      <c r="BJ39" s="210">
        <f>IF(AND(C39="Skema 1",B39="to"),Skemaoplysninger!$K$30,"")</f>
        <v>0.125</v>
      </c>
      <c r="BK39" s="210" t="str">
        <f>IF(AND(C39="Skema 1",B39="fr"),Skemaoplysninger!$M$30,"")</f>
        <v/>
      </c>
      <c r="BL39" s="210" t="str">
        <f>IF(AND(C39="Skema 2",B39="ma"),Skemaoplysninger!$S$30,"")</f>
        <v/>
      </c>
      <c r="BM39" s="210" t="str">
        <f>IF(AND(C39="Skema 2",B39="ti"),Skemaoplysninger!$U$30,"")</f>
        <v/>
      </c>
      <c r="BN39" s="210" t="str">
        <f>IF(AND(C39="Skema 2",B39="on"),Skemaoplysninger!$W$30,"")</f>
        <v/>
      </c>
      <c r="BO39" s="210" t="str">
        <f>IF(AND(C39="Skema 2",B39="to"),Skemaoplysninger!$Y$30,"")</f>
        <v/>
      </c>
      <c r="BP39" s="210" t="str">
        <f>IF(AND(C39="Skema 2",B39="fr"),Skemaoplysninger!$AA$30,"")</f>
        <v/>
      </c>
      <c r="BQ39" s="210" t="str">
        <f>IF(AND(C39="Skema 3",B39="ma"),Skemaoplysninger!$AG$30,"")</f>
        <v/>
      </c>
      <c r="BR39" s="210" t="str">
        <f>IF(AND(C39="Skema 3",B39="ti"),Skemaoplysninger!$AI$30,"")</f>
        <v/>
      </c>
      <c r="BS39" s="210" t="str">
        <f>IF(AND(C39="Skema 3",B39="on"),Skemaoplysninger!$AK$30,"")</f>
        <v/>
      </c>
      <c r="BT39" s="210" t="str">
        <f>IF(AND(C39="Skema 3",B39="to"),Skemaoplysninger!$AM$30,"")</f>
        <v/>
      </c>
      <c r="BU39" s="210" t="str">
        <f>IF(AND(C39="Skema 3",B39="fr"),Skemaoplysninger!$AO$30,"")</f>
        <v/>
      </c>
      <c r="BV39" s="210" t="str">
        <f>IF(AND(C39="Skema 4",B39="ma"),Skemaoplysninger!$AU$30,"")</f>
        <v/>
      </c>
      <c r="BW39" s="210" t="str">
        <f>IF(AND(C39="Skema 4",B39="ti"),Skemaoplysninger!$AW$30,"")</f>
        <v/>
      </c>
      <c r="BX39" s="210" t="str">
        <f>IF(AND(C39="Skema 4",B39="on"),Skemaoplysninger!$AY$30,"")</f>
        <v/>
      </c>
      <c r="BY39" s="210" t="str">
        <f>IF(AND(C39="Skema 4",B39="to"),Skemaoplysninger!$BA$30,"")</f>
        <v/>
      </c>
      <c r="BZ39" s="210" t="str">
        <f>IF(AND(C39="Skema 4",B39="fr"),Skemaoplysninger!$BC$30,"")</f>
        <v/>
      </c>
      <c r="CA39" s="1">
        <f t="shared" si="25"/>
        <v>3</v>
      </c>
      <c r="CB39" s="1">
        <f t="shared" si="12"/>
        <v>0</v>
      </c>
      <c r="CC39" s="1">
        <f t="shared" si="13"/>
        <v>0</v>
      </c>
      <c r="CD39" s="210" t="str">
        <f>IF(AND(C39="Skema 1",B39="ma"),Skemaoplysninger!$E$31,"")</f>
        <v/>
      </c>
      <c r="CE39" s="210" t="str">
        <f>IF(AND(C39="Skema 1",B39="ti"),Skemaoplysninger!$G$31,"")</f>
        <v/>
      </c>
      <c r="CF39" s="210" t="str">
        <f>IF(AND(C39="Skema 1",B39="on"),Skemaoplysninger!$I$31,"")</f>
        <v/>
      </c>
      <c r="CG39" s="210">
        <f>IF(AND(C39="Skema 1",B39="to"),Skemaoplysninger!$K$31,"")</f>
        <v>6.25E-2</v>
      </c>
      <c r="CH39" s="210" t="str">
        <f>IF(AND(C39="Skema 1",B39="fr"),Skemaoplysninger!$M$31,"")</f>
        <v/>
      </c>
      <c r="CI39" s="210" t="str">
        <f>IF(AND(C39="Skema 2",B39="ma"),Skemaoplysninger!$S$31,"")</f>
        <v/>
      </c>
      <c r="CJ39" s="210" t="str">
        <f>IF(AND(C39="Skema 2",B39="ti"),Skemaoplysninger!$U$31,"")</f>
        <v/>
      </c>
      <c r="CK39" s="210" t="str">
        <f>IF(AND(C39="Skema 2",B39="on"),Skemaoplysninger!$W$31,"")</f>
        <v/>
      </c>
      <c r="CL39" s="210" t="str">
        <f>IF(AND(C39="Skema 2",B39="to"),Skemaoplysninger!$Y$31,"")</f>
        <v/>
      </c>
      <c r="CM39" s="210" t="str">
        <f>IF(AND(C39="Skema 2",B39="fr"),Skemaoplysninger!$AA$31,"")</f>
        <v/>
      </c>
      <c r="CN39" s="210" t="str">
        <f>IF(AND(C39="Skema 3",B39="ma"),Skemaoplysninger!$AG$31,"")</f>
        <v/>
      </c>
      <c r="CO39" s="210" t="str">
        <f>IF(AND(C39="Skema 3",B39="ti"),Skemaoplysninger!$AI$31,"")</f>
        <v/>
      </c>
      <c r="CP39" s="210" t="str">
        <f>IF(AND(C39="Skema 3",B39="on"),Skemaoplysninger!$AK$31,"")</f>
        <v/>
      </c>
      <c r="CQ39" s="210" t="str">
        <f>IF(AND(C39="Skema 3",B39="to"),Skemaoplysninger!$AM$31,"")</f>
        <v/>
      </c>
      <c r="CR39" s="210" t="str">
        <f>IF(AND(C39="Skema 3",B39="fr"),Skemaoplysninger!$AO$31,"")</f>
        <v/>
      </c>
      <c r="CS39" s="210" t="str">
        <f>IF(AND(C39="Skema 4",B39="ma"),Skemaoplysninger!$AU$31,"")</f>
        <v/>
      </c>
      <c r="CT39" s="210" t="str">
        <f>IF(AND(C39="Skema 4",B39="ti"),Skemaoplysninger!$AW$31,"")</f>
        <v/>
      </c>
      <c r="CU39" s="210" t="str">
        <f>IF(AND(C39="Skema 4",B39="on"),Skemaoplysninger!$AY$31,"")</f>
        <v/>
      </c>
      <c r="CV39" s="210" t="str">
        <f>IF(AND(C39="Skema 4",B39="to"),Skemaoplysninger!$BA$31,"")</f>
        <v/>
      </c>
      <c r="CW39" s="210" t="str">
        <f>IF(AND(C39="Skema 4",B39="fr"),Skemaoplysninger!$BC$31,"")</f>
        <v/>
      </c>
      <c r="CX39" s="249">
        <f>IF(Stamoplysninger!$H$29="NEJ",SUM(CD39:CW39)*24+CB39+CC39,0)</f>
        <v>1.5</v>
      </c>
      <c r="CY39" s="249">
        <f>IF(C39="Skema 1",Stamoplysninger!$H$30/200,0)</f>
        <v>0</v>
      </c>
      <c r="CZ39" s="249">
        <f>IF(C39="Skema 2",Stamoplysninger!$H$30/200,0)</f>
        <v>0</v>
      </c>
      <c r="DA39" s="249">
        <f>IF(C39="Skema 3",Stamoplysninger!$H$30/200,0)</f>
        <v>0</v>
      </c>
      <c r="DB39" s="249">
        <f>IF(C39="Skema 4",Stamoplysninger!$H$30/200,0)</f>
        <v>0</v>
      </c>
      <c r="DC39" s="249">
        <f>IF(C39="fagdag",Stamoplysninger!$H$30/200,0)</f>
        <v>0</v>
      </c>
      <c r="DD39" s="249">
        <f>IF(C39="emnedag",Stamoplysninger!$H$30/200,0)</f>
        <v>0</v>
      </c>
      <c r="DE39" s="249">
        <f>IF(C39="lejrskole",Stamoplysninger!$H$30/200,0)</f>
        <v>0</v>
      </c>
      <c r="DF39" s="249">
        <f>IF(C39="ekskursion",Stamoplysninger!$H$30/200,0)</f>
        <v>0</v>
      </c>
      <c r="DG39" s="249">
        <f t="shared" si="26"/>
        <v>0</v>
      </c>
      <c r="DH39" t="str">
        <f t="shared" si="27"/>
        <v/>
      </c>
      <c r="DI39">
        <f t="shared" si="28"/>
        <v>0</v>
      </c>
      <c r="DJ39">
        <f t="shared" si="29"/>
        <v>0</v>
      </c>
      <c r="DK39" t="str">
        <f t="shared" si="14"/>
        <v/>
      </c>
      <c r="DL39" t="str">
        <f t="shared" si="14"/>
        <v/>
      </c>
      <c r="DM39" t="str">
        <f t="shared" si="14"/>
        <v/>
      </c>
      <c r="DN39" t="str">
        <f t="shared" si="30"/>
        <v/>
      </c>
      <c r="DO39" s="652">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71">
        <f>IF(AND(Stamoplysninger!$B$22="Ulempetillæg udbetales med 25% af nettotimelønnen.",C39="ikke relevant"),(R39)/4,0)</f>
        <v>0</v>
      </c>
      <c r="DT39" s="671">
        <f>IF(AND(AND(Stamoplysninger!$B$22="Ulempetillæg udbetales med 25% af nettotimelønnen.",I39="X",C39="Ikke relevant")),K39/4,0)</f>
        <v>0</v>
      </c>
      <c r="DU39" s="671">
        <f>IF(AND(AND(Stamoplysninger!$B$22="Ulempetillæg udbetales med 25% af nettotimelønnen.",C39="ikke relevant",U39="X")),(X39/4),0)</f>
        <v>0</v>
      </c>
      <c r="DV39" s="672">
        <f>IF(AND(AND(AND(Stamoplysninger!$B$22="Ulempetillæg udbetales med 25% af nettotimelønnen.",I39="X",C39="Ikke relevant",U39="X"))),X39/4,0)</f>
        <v>0</v>
      </c>
      <c r="DW39" s="652"/>
      <c r="DZ39" s="671"/>
      <c r="EA39" s="671"/>
      <c r="EB39" s="672"/>
      <c r="EC39" s="652">
        <f>IF(Stamoplysninger!$B$22="Ulempetillæg afspadseres med 25%(Kræver en aftale imellem ledelsen og den ansatte)",(R39+X39)/4,0)</f>
        <v>0</v>
      </c>
      <c r="ED39">
        <f>IF(AND(Stamoplysninger!$B$22="Ulempetillæg afspadseres med 25%(Kræver en aftale imellem ledelsen og den ansatte)",I39="X"),K39/4,0)</f>
        <v>0</v>
      </c>
      <c r="EE39">
        <f>IF(AND(Stamoplysninger!$B$22="Ulempetillæg afspadseres med 25%(Kræver en aftale imellem ledelsen og den ansatte)",I39="X"),V39/4,0)</f>
        <v>0</v>
      </c>
      <c r="EF39">
        <f>IF(AND(AND(Stamoplysninger!$B$22="Ulempetillæg udbetales med 25% af nettotimelønnen.",AG39="X",W39="X")),AJ39/4,0)</f>
        <v>0</v>
      </c>
      <c r="EG39" s="671">
        <f>IF(AND(Stamoplysninger!$B$22="Ulempetillæg afspadseres med 25%(Kræver en aftale imellem ledelsen og den ansatte)",C39="ikke relevant"),(R39+X39)/4,0)</f>
        <v>0</v>
      </c>
      <c r="EH39" s="671">
        <f>IF(AND(AND(Stamoplysninger!$B$22="Ulempetillæg afspadseres med 25%(Kræver en aftale imellem ledelsen og den ansatte)",I39="X",C39="Ikke relevant")),K39/4,0)</f>
        <v>0</v>
      </c>
      <c r="EI39" s="671">
        <f>IF(AND(AND(Stamoplysninger!$B$22="Ulempetillæg afspadseres med 25%(Kræver en aftale imellem ledelsen og den ansatte)",I39="X",C39="Ikke relevant")),V39/4,0)</f>
        <v>0</v>
      </c>
      <c r="EJ39" s="671">
        <f>IF(AND(AND(Stamoplysninger!$B$22="Ulempetillæg afspadseres med 25%(Kræver en aftale imellem ledelsen og den ansatte)",J39="X",D39="Ikke relevant")),W39/4,0)</f>
        <v>0</v>
      </c>
      <c r="EK39" s="283">
        <f>IF(AND(Stamoplysninger!$B$26="Weekendtimer og weekendtillæg afspadseres.",I39="X"),K39+V39,0)</f>
        <v>0</v>
      </c>
      <c r="EL39" s="251">
        <f>IF(AND(Stamoplysninger!$B$26="Weekendtimer og weekendtillæg afspadseres.",J39="X"),(L39+W39)/2,0)</f>
        <v>0</v>
      </c>
      <c r="EM39" s="674">
        <f>IF(AND(AND(Stamoplysninger!$B$26="Weekendtimer og weekendtillæg afspadseres.",I39="X",C39="ikke relevant")),K39+V39,0)</f>
        <v>0</v>
      </c>
      <c r="EN39" s="675">
        <f>IF(AND(AND(Stamoplysninger!$B$26="Weekendtimer og weekendtillæg afspadseres.",I39="X",C39="ikke relevant")),(K39+V39)/2,0)</f>
        <v>0</v>
      </c>
      <c r="EO39" s="283">
        <f>IF(AND(Stamoplysninger!$B$26="Weekendtimer og weekendtillæg udbetales.",I39="X"),K39+V39,0)</f>
        <v>0</v>
      </c>
      <c r="EP39" s="251">
        <f>IF(AND(Stamoplysninger!$B$26="Weekendtimer og weekendtillæg udbetales.",I39="X"),(K39+V39)/2,0)</f>
        <v>0</v>
      </c>
      <c r="EQ39" s="674">
        <f>IF(AND(AND(Stamoplysninger!$B$26="Weekendtimer og weekendtillæg udbetales.",I39="X",C39="ikke relevant")),K39+V39,0)</f>
        <v>0</v>
      </c>
      <c r="ER39" s="675">
        <f>IF(AND(AND(Stamoplysninger!$B$26="Weekendtimer og weekendtillæg udbetales.",I39="X",C39="ikke relevant")),(K39+V39)/2,0)</f>
        <v>0</v>
      </c>
      <c r="ES39" s="283">
        <f>IF(AND(Stamoplysninger!$B$26="Weekendtimer og weekendtillæg udbetales.",M39="X"),O39+Z39,0)</f>
        <v>0</v>
      </c>
      <c r="ET39" s="251">
        <f>IF(AND(Stamoplysninger!$B$26="Weekendtimer og weekendtillæg udbetales.",M39="X"),(O39+Z39)/2,0)</f>
        <v>0</v>
      </c>
      <c r="EU39" s="674">
        <f>IF(AND(AND(Stamoplysninger!$B$26="Weekendtimer og weekendtillæg udbetales.",M39="X",G39="ikke relevant")),O39+Z39,0)</f>
        <v>0</v>
      </c>
      <c r="EV39" s="675">
        <f>IF(AND(AND(Stamoplysninger!$B$26="Weekendtimer og weekendtillæg udbetales.",M39="X",G39="ikke relevant")),(O39+Z39)/2,0)</f>
        <v>0</v>
      </c>
      <c r="EW39" s="283">
        <f>IF(AND(Stamoplysninger!$B$26="Der er indgået lokalaftale omkring weekendtimer(Kræver aftale med TR/FSL). Weekendtillæg udbetales.",I39="X"),K39*0.5,0)</f>
        <v>0</v>
      </c>
      <c r="EX39" s="251">
        <f>IF(AND(AND(Stamoplysninger!$B$26="Der er indgået lokalaftale omkring weekendtimer(Kræver aftale med TR/FSL). Weekendtillæg udbetales.",I39="X",S39="X")),V39*0.5,0)</f>
        <v>0</v>
      </c>
      <c r="EY39" s="674">
        <f>IF(AND(AND(Stamoplysninger!$B$26="Der er indgået lokalaftale omkring weekendtimer(Kræver aftale med TR/FSL). Weekendtillæg udbetales.",I39="X",C39="ikke relevant")),K39*0.5,0)</f>
        <v>0</v>
      </c>
      <c r="EZ39" s="675">
        <f>IF(AND(AND(AND(Stamoplysninger!$B$26="Der er indgået lokalaftale omkring weekendtimer(Kræver aftale med TR/FSL). Weekendtillæg udbetales.",I39="X",C39="ikke relevant",S39="X"))),(V39*0.5),0)</f>
        <v>0</v>
      </c>
      <c r="FA39" s="283">
        <f>IF(AND(Stamoplysninger!$B$26="Der er indgået lokalaftale omkring weekendtimer(Kræver aftale med TR/FSL). Weekendtillæg udbetales.",M39="X"),O39*0.5,0)</f>
        <v>0</v>
      </c>
      <c r="FB39" s="251">
        <f>IF(AND(AND(Stamoplysninger!$B$26="Der er indgået lokalaftale omkring weekendtimer(Kræver aftale med TR/FSL). Weekendtillæg udbetales.",M39="X",W39="X")),Z39*0.5,0)</f>
        <v>0</v>
      </c>
      <c r="FC39" s="674">
        <f>IF(AND(AND(Stamoplysninger!$B$26="Der er indgået lokalaftale omkring weekendtimer(Kræver aftale med TR/FSL). Weekendtillæg udbetales.",M39="X",G39="ikke relevant")),O39*0.5,0)</f>
        <v>0</v>
      </c>
      <c r="FD39" s="675">
        <f>IF(AND(AND(AND(Stamoplysninger!$B$26="Der er indgået lokalaftale omkring weekendtimer(Kræver aftale med TR/FSL). Weekendtillæg udbetales.",M39="X",G39="ikke relevant",W39="X"))),(Z39*0.5),0)</f>
        <v>0</v>
      </c>
      <c r="FE39" s="283">
        <f>IF(AND(Stamoplysninger!$B$26="Der er indgået lokalaftale omkring weekendtimer(Kræver aftale med TR/FSL). Weekendtillæg udbetales.",Q39="X"),S39*0.5,0)</f>
        <v>0</v>
      </c>
      <c r="FF39" s="251">
        <f>IF(AND(AND(Stamoplysninger!$B$26="Der er indgået lokalaftale omkring weekendtimer(Kræver aftale med TR/FSL). Weekendtillæg udbetales.",Q39="X",AA39="X")),AD39*0.5,0)</f>
        <v>0</v>
      </c>
      <c r="FG39" s="674">
        <f>IF(AND(AND(Stamoplysninger!$B$26="Der er indgået lokalaftale omkring weekendtimer(Kræver aftale med TR/FSL). Weekendtillæg udbetales.",Q39="X",K39="ikke relevant")),S39*0.5,0)</f>
        <v>0</v>
      </c>
      <c r="FH39" s="675">
        <f>IF(AND(AND(AND(Stamoplysninger!$B$26="Der er indgået lokalaftale omkring weekendtimer(Kræver aftale med TR/FSL). Weekendtillæg udbetales.",Q39="X",K39="ikke relevant",AA39="X"))),(AD39*0.5),0)</f>
        <v>0</v>
      </c>
      <c r="FI39" s="283">
        <f>IF(AND(Stamoplysninger!$B$26="Weekendtimer og weekendtillæg afspadseres.",I39="X"),K39,0)</f>
        <v>0</v>
      </c>
      <c r="FJ39" s="251">
        <f>IF(AND(Stamoplysninger!$B$26="Weekendtimer og weekendtillæg afspadseres.",Y39="X"),(AA39+AL39)/2,0)</f>
        <v>0</v>
      </c>
      <c r="FK39" s="674">
        <f>IF(AND(AND(Stamoplysninger!$B$26="Weekendtimer og weekendtillæg afspadseres.",I39="X",C39="ikke relevant")),K39,0)</f>
        <v>0</v>
      </c>
      <c r="FL39" s="675">
        <f>IF(AND(AND(Stamoplysninger!$B$26="Weekendtimer og weekendtillæg afspadseres.",Y39="X",S39="ikke relevant")),(AA39+AL39)/2,0)</f>
        <v>0</v>
      </c>
      <c r="FM39" s="283">
        <f>IF(AND(Stamoplysninger!$B$26="Der er indgået lokalaftale omkring weekendtillæg(Kræver aftale med TR/FSL). Weekendtimerne afspadseres.",I39="X"),K39,0)</f>
        <v>0</v>
      </c>
      <c r="FN39" s="674">
        <f>IF(AND(AND(Stamoplysninger!$B$26="Der er indgået lokalaftale omkring weekendtillæg(Kræver aftale med TR/FSL). Weekendtimerne afspadseres.",I39="X",C39="ikke relevant")),K39,0)</f>
        <v>0</v>
      </c>
      <c r="FO39" s="283">
        <f>IF(AND(Stamoplysninger!$B$26="Weekendtimer og weekendtillæg udbetales.",I39="X"),K39,0)</f>
        <v>0</v>
      </c>
      <c r="FP39" s="251">
        <f>IF(AND(Stamoplysninger!$B$26="Weekendtimer og weekendtillæg udbetales.",AA39="X"),(AC39+AN39)/2,0)</f>
        <v>0</v>
      </c>
      <c r="FQ39" s="674">
        <f>IF(AND(AND(Stamoplysninger!$B$26="Weekendtimer og weekendtillæg udbetales.",I39="X",C39="ikke relevant")),K39,0)</f>
        <v>0</v>
      </c>
      <c r="FR39" s="688">
        <f>IF(AND(AND(Stamoplysninger!$B$26="Weekendtimer og weekendtillæg udbetales.",AA39="X",U39="ikke relevant")),(AC39+AN39)/2,0)</f>
        <v>0</v>
      </c>
      <c r="FS39" s="283">
        <f>IF(AND(I39="X",S39="X"),V39,0)</f>
        <v>0</v>
      </c>
      <c r="FT39" s="658">
        <f>IF(AND(AND(C39="ikke relevant",I39="X",S39="X")),V39,0)</f>
        <v>0</v>
      </c>
      <c r="FU39">
        <f t="shared" si="31"/>
        <v>0</v>
      </c>
      <c r="FV39" s="283">
        <f>IF(AND(Stamoplysninger!$B$26="Der er indgået lokalaftale omkring weekendtimer.(Kræver aftale med TR/FSL) Weekendtillæg afspadseres.",I39="X"),K39,0)</f>
        <v>0</v>
      </c>
      <c r="FW39" s="674">
        <f>IF(AND(AND(Stamoplysninger!$B$26="Der er indgået lokalaftale omkring weekendtimer.(Kræver aftale med TR/FSL) Weekendtillæg afspadseres.",I39="X",C39="ikke relevant")),K39,0)</f>
        <v>0</v>
      </c>
      <c r="FX39" s="283">
        <f>IF(AND(Stamoplysninger!$B$26="Der er indgået lokalaftale omkring weekendtimer(Kræver aftale med TR/FSL). Weekendtillæg udbetales.",I39="X"),K39,0)</f>
        <v>0</v>
      </c>
      <c r="FY39" s="674">
        <f>IF(AND(AND(Stamoplysninger!$B$26="Der er indgået lokalaftale omkring weekendtimer(Kræver aftale med TR/FSL). Weekendtillæg udbetales.",I39="X",C39="ikke relevant")),K39,0)</f>
        <v>0</v>
      </c>
      <c r="FZ39" s="283">
        <f>IF(AND(Stamoplysninger!$B$26="Der er indgået lokalaftale omkring weekendtillæg(Kræver aftale med TR/FSL). Weekendtimerne udbetales.",I39="X"),K39,0)</f>
        <v>0</v>
      </c>
      <c r="GA39" s="674">
        <f>IF(AND(AND(Stamoplysninger!$B$26="Der er indgået lokalaftale omkring weekendtillæg(Kræver aftale med TR/FSL). Weekendtimerne udbetales.",I39="X",C39="ikke relevant")),K39,0)</f>
        <v>0</v>
      </c>
      <c r="GB39" s="283">
        <f>IF(AND(Stamoplysninger!$B$26="Der er indgået lokalaftale omkring weekendtimer og weekendtillæg.(Kræver aftale med TR/FSL).",I39="X"),K39,0)</f>
        <v>0</v>
      </c>
      <c r="GC39" s="674">
        <f>IF(AND(AND(Stamoplysninger!$B$26="Der er indgået lokalaftale omkring weekendtimer og weekendtillæg.(Kræver aftale med TR/FSL).",I39="X",C39="ikke relevant")),K39,0)</f>
        <v>0</v>
      </c>
    </row>
    <row r="40" spans="1:185" ht="17" thickBot="1">
      <c r="A40" s="972" t="s">
        <v>260</v>
      </c>
      <c r="B40" s="973"/>
      <c r="C40" s="973"/>
      <c r="D40" s="973"/>
      <c r="E40" s="973"/>
      <c r="F40" s="973"/>
      <c r="G40" s="973"/>
      <c r="H40" s="973"/>
      <c r="I40" s="974"/>
      <c r="J40" s="313"/>
      <c r="K40" s="322"/>
      <c r="L40" s="322"/>
      <c r="M40" s="322"/>
      <c r="N40" s="322">
        <f>SUM(N9:N39)</f>
        <v>131.75</v>
      </c>
      <c r="O40" s="322">
        <f>SUM(O9:O39)</f>
        <v>73.333333333333329</v>
      </c>
      <c r="P40" s="322">
        <f>SUM(P9:P39)</f>
        <v>20.666666666666664</v>
      </c>
      <c r="Q40" s="322">
        <f>SUM(Q9:Q39)</f>
        <v>37.75</v>
      </c>
      <c r="R40" s="336">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32"/>
      <c r="T40" s="433"/>
      <c r="U40" s="433"/>
      <c r="V40" s="433">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33">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34">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1">
        <f>SUM(Y9:Y39)</f>
        <v>0</v>
      </c>
      <c r="Z40" s="398">
        <f>Z9+Z10+Z11+Z12+Z13+Z14+Z15+Z16+Z17+Z18+Z19+Z20+Z21+Z22+Z23+Z24+Z25+Z26+Z27+Z28+Z29+Z30+Z31+Z32+Z33+Z34+Z35+Z36+Z37+Z38+Z39</f>
        <v>0</v>
      </c>
      <c r="AA40" s="235">
        <f t="shared" ref="AA40:AF40" si="32">SUM(AA9:AA39)</f>
        <v>0</v>
      </c>
      <c r="AB40" s="235">
        <f t="shared" si="32"/>
        <v>38.5</v>
      </c>
      <c r="AC40" s="235">
        <f t="shared" si="32"/>
        <v>0</v>
      </c>
      <c r="AD40" s="235">
        <f t="shared" si="32"/>
        <v>0</v>
      </c>
      <c r="AE40" s="235">
        <f t="shared" si="32"/>
        <v>0</v>
      </c>
      <c r="AF40" s="235">
        <f t="shared" si="32"/>
        <v>0</v>
      </c>
      <c r="BA40" s="1">
        <f>SUM(BA9:BA39)</f>
        <v>131.75</v>
      </c>
      <c r="BB40" s="112"/>
      <c r="BC40" s="235">
        <f>SUM(BC9:BC39)</f>
        <v>0</v>
      </c>
      <c r="BD40" s="235">
        <f>SUM(BD9:BD39)</f>
        <v>0</v>
      </c>
      <c r="BE40" s="235">
        <f>SUM(BE9:BE39)</f>
        <v>26.5</v>
      </c>
      <c r="BF40" s="235">
        <f>SUM(BF9:BF39)</f>
        <v>0</v>
      </c>
      <c r="CA40" s="235">
        <f>SUM(CA9:CA39)</f>
        <v>73.333333333333329</v>
      </c>
      <c r="CB40" s="235">
        <f>SUM(CB9:CB39)</f>
        <v>6</v>
      </c>
      <c r="CC40" s="235">
        <f>SUM(CC9:CC39)</f>
        <v>0</v>
      </c>
      <c r="CX40" s="249"/>
      <c r="CY40" s="249">
        <f>SUM(CY9:CY39)</f>
        <v>0</v>
      </c>
      <c r="CZ40" s="249">
        <f>SUM(CZ9:CZ39)</f>
        <v>0</v>
      </c>
      <c r="DA40" s="249">
        <f t="shared" ref="DA40:DG40" si="33">SUM(DA9:DA39)</f>
        <v>0</v>
      </c>
      <c r="DB40" s="249">
        <f t="shared" si="33"/>
        <v>0</v>
      </c>
      <c r="DC40" s="249">
        <f t="shared" si="33"/>
        <v>0</v>
      </c>
      <c r="DD40" s="249">
        <f t="shared" si="33"/>
        <v>0</v>
      </c>
      <c r="DE40" s="249">
        <f t="shared" si="33"/>
        <v>0</v>
      </c>
      <c r="DF40" s="249">
        <f t="shared" si="33"/>
        <v>0</v>
      </c>
      <c r="DG40" s="249">
        <f t="shared" si="33"/>
        <v>0</v>
      </c>
      <c r="DO40" s="669">
        <f>SUM(DO9:DO39)</f>
        <v>0</v>
      </c>
      <c r="DP40" s="670">
        <f t="shared" ref="DP40:GC40" si="34">SUM(DP9:DP39)</f>
        <v>0</v>
      </c>
      <c r="DQ40" s="670">
        <f t="shared" si="34"/>
        <v>0</v>
      </c>
      <c r="DR40" s="670">
        <f t="shared" si="34"/>
        <v>0</v>
      </c>
      <c r="DS40" s="673">
        <f t="shared" si="34"/>
        <v>0</v>
      </c>
      <c r="DT40" s="673">
        <f t="shared" si="34"/>
        <v>0</v>
      </c>
      <c r="DU40" s="670">
        <f t="shared" si="34"/>
        <v>0</v>
      </c>
      <c r="DV40" s="673">
        <f t="shared" si="34"/>
        <v>0</v>
      </c>
      <c r="DW40" s="669">
        <f t="shared" ref="DW40:EB40" si="35">SUM(DW9:DW39)</f>
        <v>0</v>
      </c>
      <c r="DX40" s="670">
        <f t="shared" si="35"/>
        <v>0</v>
      </c>
      <c r="DY40" s="670">
        <f t="shared" si="35"/>
        <v>0</v>
      </c>
      <c r="DZ40" s="673">
        <f t="shared" si="35"/>
        <v>0</v>
      </c>
      <c r="EA40" s="673">
        <f t="shared" si="35"/>
        <v>0</v>
      </c>
      <c r="EB40" s="673">
        <f t="shared" si="35"/>
        <v>0</v>
      </c>
      <c r="EC40" s="670">
        <f t="shared" si="34"/>
        <v>0</v>
      </c>
      <c r="ED40" s="670">
        <f t="shared" si="34"/>
        <v>0</v>
      </c>
      <c r="EE40" s="670">
        <f t="shared" si="34"/>
        <v>0</v>
      </c>
      <c r="EF40" s="670">
        <f t="shared" si="34"/>
        <v>0</v>
      </c>
      <c r="EG40" s="673">
        <f t="shared" si="34"/>
        <v>0</v>
      </c>
      <c r="EH40" s="673">
        <f t="shared" si="34"/>
        <v>0</v>
      </c>
      <c r="EI40" s="673">
        <f t="shared" si="34"/>
        <v>0</v>
      </c>
      <c r="EJ40" s="673">
        <f t="shared" si="34"/>
        <v>0</v>
      </c>
      <c r="EK40" s="670">
        <f t="shared" si="34"/>
        <v>0</v>
      </c>
      <c r="EL40" s="670">
        <f t="shared" si="34"/>
        <v>0</v>
      </c>
      <c r="EM40" s="673">
        <f t="shared" si="34"/>
        <v>0</v>
      </c>
      <c r="EN40" s="673">
        <f t="shared" si="34"/>
        <v>0</v>
      </c>
      <c r="EO40" s="670">
        <f t="shared" si="34"/>
        <v>0</v>
      </c>
      <c r="EP40" s="670">
        <f t="shared" si="34"/>
        <v>0</v>
      </c>
      <c r="EQ40" s="673">
        <f t="shared" si="34"/>
        <v>0</v>
      </c>
      <c r="ER40" s="676">
        <f t="shared" si="34"/>
        <v>0</v>
      </c>
      <c r="ES40" s="670">
        <f t="shared" si="34"/>
        <v>0</v>
      </c>
      <c r="ET40" s="670">
        <f t="shared" si="34"/>
        <v>0</v>
      </c>
      <c r="EU40" s="673">
        <f t="shared" si="34"/>
        <v>0</v>
      </c>
      <c r="EV40" s="676">
        <f t="shared" si="34"/>
        <v>0</v>
      </c>
      <c r="EW40" s="670">
        <f t="shared" si="34"/>
        <v>0</v>
      </c>
      <c r="EX40" s="670">
        <f t="shared" si="34"/>
        <v>0</v>
      </c>
      <c r="EY40" s="673">
        <f t="shared" si="34"/>
        <v>0</v>
      </c>
      <c r="EZ40" s="676">
        <f t="shared" si="34"/>
        <v>0</v>
      </c>
      <c r="FA40" s="670">
        <f t="shared" si="34"/>
        <v>0</v>
      </c>
      <c r="FB40" s="670">
        <f t="shared" si="34"/>
        <v>0</v>
      </c>
      <c r="FC40" s="673">
        <f t="shared" si="34"/>
        <v>0</v>
      </c>
      <c r="FD40" s="676">
        <f t="shared" si="34"/>
        <v>0</v>
      </c>
      <c r="FE40" s="670">
        <f t="shared" si="34"/>
        <v>0</v>
      </c>
      <c r="FF40" s="670">
        <f t="shared" si="34"/>
        <v>0</v>
      </c>
      <c r="FG40" s="673">
        <f t="shared" si="34"/>
        <v>0</v>
      </c>
      <c r="FH40" s="676">
        <f t="shared" si="34"/>
        <v>0</v>
      </c>
      <c r="FI40" s="685">
        <f t="shared" si="34"/>
        <v>0</v>
      </c>
      <c r="FJ40" s="670">
        <f t="shared" si="34"/>
        <v>0</v>
      </c>
      <c r="FK40" s="685">
        <f t="shared" si="34"/>
        <v>0</v>
      </c>
      <c r="FL40" s="673">
        <f t="shared" si="34"/>
        <v>0</v>
      </c>
      <c r="FM40" s="685">
        <f t="shared" si="34"/>
        <v>0</v>
      </c>
      <c r="FN40" s="685">
        <f t="shared" si="34"/>
        <v>0</v>
      </c>
      <c r="FO40" s="685">
        <f t="shared" si="34"/>
        <v>0</v>
      </c>
      <c r="FP40" s="670">
        <f t="shared" si="34"/>
        <v>0</v>
      </c>
      <c r="FQ40" s="685">
        <f t="shared" si="34"/>
        <v>0</v>
      </c>
      <c r="FR40" s="676">
        <f t="shared" si="34"/>
        <v>0</v>
      </c>
      <c r="FS40" s="689">
        <f t="shared" si="34"/>
        <v>0</v>
      </c>
      <c r="FT40" s="690">
        <f t="shared" si="34"/>
        <v>0</v>
      </c>
      <c r="FU40" s="690">
        <f t="shared" si="34"/>
        <v>0</v>
      </c>
      <c r="FV40" s="689">
        <f>SUM(FV9:FV39)</f>
        <v>0</v>
      </c>
      <c r="FW40" s="690">
        <f t="shared" si="34"/>
        <v>0</v>
      </c>
      <c r="FX40" s="689">
        <f t="shared" si="34"/>
        <v>0</v>
      </c>
      <c r="FY40" s="690">
        <f t="shared" si="34"/>
        <v>0</v>
      </c>
      <c r="FZ40" s="685">
        <f t="shared" si="34"/>
        <v>0</v>
      </c>
      <c r="GA40" s="685">
        <f t="shared" si="34"/>
        <v>0</v>
      </c>
      <c r="GB40" s="685">
        <f t="shared" si="34"/>
        <v>0</v>
      </c>
      <c r="GC40" s="685">
        <f t="shared" si="34"/>
        <v>0</v>
      </c>
    </row>
    <row r="41" spans="1:185" ht="26" thickBot="1">
      <c r="A41" s="232"/>
      <c r="B41" s="232"/>
      <c r="C41" s="232"/>
      <c r="D41" s="232"/>
      <c r="E41" s="232"/>
      <c r="F41" s="232"/>
      <c r="G41" s="232"/>
      <c r="H41" s="232"/>
      <c r="I41" s="232"/>
      <c r="J41" s="232"/>
      <c r="K41" s="239"/>
      <c r="L41" s="239"/>
      <c r="M41" s="239"/>
      <c r="N41" s="239"/>
      <c r="O41" s="239"/>
      <c r="P41" s="239"/>
      <c r="Q41" s="239"/>
      <c r="R41" s="239"/>
      <c r="S41" s="446"/>
      <c r="T41" s="446"/>
      <c r="U41" s="446"/>
      <c r="V41" s="446"/>
      <c r="W41" s="446"/>
      <c r="X41" s="446"/>
      <c r="Y41" s="235"/>
      <c r="Z41" s="211"/>
      <c r="AA41" s="211"/>
      <c r="AB41" s="235"/>
      <c r="AC41" s="235"/>
      <c r="AD41" s="235"/>
      <c r="BA41" s="235"/>
      <c r="BB41" s="235"/>
      <c r="BC41" s="235"/>
      <c r="BD41" s="235"/>
      <c r="BE41" s="112"/>
      <c r="BZ41" s="235"/>
      <c r="CA41" s="235"/>
      <c r="CB41" s="112"/>
      <c r="CV41" s="248"/>
      <c r="CW41" s="248"/>
      <c r="CY41"/>
      <c r="CZ41"/>
    </row>
    <row r="42" spans="1:185" ht="70" customHeight="1">
      <c r="A42" s="958" t="str">
        <f>"Arbejdstid for "&amp;A7&amp;" måned:"</f>
        <v>Arbejdstid for Oktober måned:</v>
      </c>
      <c r="B42" s="959"/>
      <c r="C42" s="959"/>
      <c r="D42" s="959"/>
      <c r="E42" s="959"/>
      <c r="F42" s="959"/>
      <c r="G42" s="959"/>
      <c r="H42" s="330" t="s">
        <v>255</v>
      </c>
      <c r="I42" s="959" t="s">
        <v>221</v>
      </c>
      <c r="J42" s="960"/>
      <c r="K42" s="961"/>
      <c r="L42" s="262"/>
      <c r="M42" s="1011" t="str">
        <f>"Ulempetimer og weekendtimer i "&amp;A5&amp;""</f>
        <v>Ulempetimer og weekendtimer i Oktober måneds kalender for: Beate Simonsen. Måneden vedr. normperioden: 01.08.2024 - 31.07.2025.</v>
      </c>
      <c r="N42" s="989"/>
      <c r="O42" s="989"/>
      <c r="P42" s="989"/>
      <c r="Q42" s="989"/>
      <c r="R42" s="989"/>
      <c r="S42" s="989"/>
      <c r="T42" s="989"/>
      <c r="U42" s="989"/>
      <c r="V42" s="989"/>
      <c r="W42" s="989"/>
      <c r="X42" s="990"/>
      <c r="Y42" s="239"/>
      <c r="Z42" s="239"/>
      <c r="AD42" s="90"/>
      <c r="AE42" s="90"/>
      <c r="BM42" s="1"/>
      <c r="CJ42" s="1"/>
      <c r="CU42" s="248"/>
      <c r="CV42" s="248"/>
      <c r="CY42"/>
      <c r="CZ42"/>
    </row>
    <row r="43" spans="1:185">
      <c r="A43" s="962" t="s">
        <v>534</v>
      </c>
      <c r="B43" s="963"/>
      <c r="C43" s="963"/>
      <c r="D43" s="963"/>
      <c r="E43" s="963"/>
      <c r="F43" s="963"/>
      <c r="G43" s="963"/>
      <c r="H43" s="256">
        <f>D78</f>
        <v>23</v>
      </c>
      <c r="I43" s="975">
        <f>IF(Stamoplysninger!$E$12="Ja",1924/Arbejdstidsoversigt!$K$9*Stamoplysninger!$E$15*$H$43,H43*7.4*Stamoplysninger!$E$15)</f>
        <v>169.54789272030652</v>
      </c>
      <c r="J43" s="976"/>
      <c r="K43" s="977"/>
      <c r="L43" s="258"/>
      <c r="M43" s="1012" t="s">
        <v>497</v>
      </c>
      <c r="N43" s="1013"/>
      <c r="O43" s="1013"/>
      <c r="P43" s="1013"/>
      <c r="Q43" s="1013"/>
      <c r="R43" s="1013"/>
      <c r="S43" s="1013"/>
      <c r="T43" s="1013"/>
      <c r="U43" s="1014"/>
      <c r="V43" s="1093">
        <f>P65+P69+P72+P74</f>
        <v>0</v>
      </c>
      <c r="W43" s="1093"/>
      <c r="X43" s="1094"/>
      <c r="Y43" s="239"/>
      <c r="Z43" s="239"/>
      <c r="AD43" s="90"/>
      <c r="AE43" s="90"/>
      <c r="BM43" s="1"/>
      <c r="CJ43" s="1"/>
      <c r="CU43" s="248"/>
      <c r="CV43" s="248"/>
      <c r="CY43"/>
      <c r="CZ43"/>
    </row>
    <row r="44" spans="1:185">
      <c r="A44" s="962" t="str">
        <f>"Ferie "&amp;A7&amp;" måned"</f>
        <v>Ferie Oktober måned</v>
      </c>
      <c r="B44" s="963"/>
      <c r="C44" s="963"/>
      <c r="D44" s="963"/>
      <c r="E44" s="963"/>
      <c r="F44" s="963"/>
      <c r="G44" s="963"/>
      <c r="H44" s="257">
        <f>IF(D73&gt;0,$D$73,"0")</f>
        <v>5</v>
      </c>
      <c r="I44" s="964">
        <f>H44*7.4*Stamoplysninger!$E$15</f>
        <v>37</v>
      </c>
      <c r="J44" s="965"/>
      <c r="K44" s="966"/>
      <c r="L44" s="258"/>
      <c r="M44" s="1099" t="s">
        <v>259</v>
      </c>
      <c r="N44" s="1100"/>
      <c r="O44" s="1100"/>
      <c r="P44" s="1100"/>
      <c r="Q44" s="1100"/>
      <c r="R44" s="1100"/>
      <c r="S44" s="1100"/>
      <c r="T44" s="1100"/>
      <c r="U44" s="1100"/>
      <c r="V44" s="1095">
        <f>Q66+Q68+Q71+Q73</f>
        <v>0</v>
      </c>
      <c r="W44" s="1095"/>
      <c r="X44" s="1096"/>
      <c r="Y44" s="239"/>
      <c r="Z44" s="239"/>
      <c r="AD44" s="90"/>
      <c r="AE44" s="90"/>
      <c r="BM44" s="1"/>
      <c r="CJ44" s="1"/>
      <c r="CU44" s="248"/>
      <c r="CV44" s="248"/>
      <c r="CY44"/>
      <c r="CZ44"/>
    </row>
    <row r="45" spans="1:185">
      <c r="A45" s="962" t="str">
        <f>"Søgnehelligdage i "&amp;A7&amp;" måned"</f>
        <v>Søgnehelligdage i Oktober måned</v>
      </c>
      <c r="B45" s="963"/>
      <c r="C45" s="963"/>
      <c r="D45" s="963"/>
      <c r="E45" s="963"/>
      <c r="F45" s="963"/>
      <c r="G45" s="963"/>
      <c r="H45" s="257">
        <f>IF(D72&gt;0,D72,0)</f>
        <v>0</v>
      </c>
      <c r="I45" s="964">
        <f>H45*7.4*Stamoplysninger!$E$15</f>
        <v>0</v>
      </c>
      <c r="J45" s="965"/>
      <c r="K45" s="966"/>
      <c r="L45" s="259"/>
      <c r="M45" s="1024" t="s">
        <v>295</v>
      </c>
      <c r="N45" s="1025"/>
      <c r="O45" s="1025"/>
      <c r="P45" s="1025"/>
      <c r="Q45" s="1025"/>
      <c r="R45" s="1025"/>
      <c r="S45" s="1025"/>
      <c r="T45" s="1025"/>
      <c r="U45" s="1025"/>
      <c r="V45" s="1097">
        <f>September!V52</f>
        <v>0</v>
      </c>
      <c r="W45" s="1097"/>
      <c r="X45" s="1098"/>
      <c r="Y45" s="239"/>
      <c r="Z45" s="239"/>
      <c r="AD45" s="90"/>
      <c r="AE45" s="90"/>
      <c r="BM45" s="1"/>
      <c r="CJ45" s="1"/>
      <c r="CU45" s="248"/>
      <c r="CV45" s="248"/>
      <c r="CY45"/>
      <c r="CZ45"/>
    </row>
    <row r="46" spans="1:185">
      <c r="A46" s="962" t="str">
        <f>"Nettoarbejdstid ialt i "&amp;A7&amp;" måned"</f>
        <v>Nettoarbejdstid ialt i Oktober måned</v>
      </c>
      <c r="B46" s="963"/>
      <c r="C46" s="963"/>
      <c r="D46" s="963"/>
      <c r="E46" s="963"/>
      <c r="F46" s="963"/>
      <c r="G46" s="963"/>
      <c r="H46" s="260">
        <f>H43-H44-H45</f>
        <v>18</v>
      </c>
      <c r="I46" s="964">
        <f>I43-I44-I45</f>
        <v>132.54789272030652</v>
      </c>
      <c r="J46" s="965"/>
      <c r="K46" s="966"/>
      <c r="L46" s="259"/>
      <c r="M46" s="1106" t="s">
        <v>302</v>
      </c>
      <c r="N46" s="1107"/>
      <c r="O46" s="1107"/>
      <c r="P46" s="1107"/>
      <c r="Q46" s="1107"/>
      <c r="R46" s="1107"/>
      <c r="S46" s="1107"/>
      <c r="T46" s="1107"/>
      <c r="U46" s="1107"/>
      <c r="V46" s="1101">
        <f>V44+V45</f>
        <v>0</v>
      </c>
      <c r="W46" s="1101"/>
      <c r="X46" s="1102"/>
      <c r="Y46" s="239"/>
      <c r="Z46" s="239"/>
      <c r="AD46" s="90"/>
      <c r="AE46" s="90"/>
      <c r="BM46" s="1"/>
      <c r="CJ46" s="1"/>
      <c r="CU46" s="248"/>
      <c r="CV46" s="248"/>
      <c r="CY46"/>
      <c r="CZ46"/>
    </row>
    <row r="47" spans="1:185">
      <c r="A47" s="978" t="str">
        <f>"Planlagt arbejdstid efter ovennstående "&amp;A7&amp;" måned kalender"</f>
        <v>Planlagt arbejdstid efter ovennstående Oktober måned kalender</v>
      </c>
      <c r="B47" s="979"/>
      <c r="C47" s="979"/>
      <c r="D47" s="979"/>
      <c r="E47" s="979"/>
      <c r="F47" s="979"/>
      <c r="G47" s="979"/>
      <c r="H47" s="475">
        <f>D64+D65+D66+D67+D68+D69+D70</f>
        <v>18</v>
      </c>
      <c r="I47" s="980">
        <f>N40+R40+V106</f>
        <v>131.75</v>
      </c>
      <c r="J47" s="981"/>
      <c r="K47" s="982"/>
      <c r="L47" s="387"/>
      <c r="M47" s="1103" t="s">
        <v>293</v>
      </c>
      <c r="N47" s="1104"/>
      <c r="O47" s="1104"/>
      <c r="P47" s="1104"/>
      <c r="Q47" s="1104"/>
      <c r="R47" s="1104"/>
      <c r="S47" s="1104"/>
      <c r="T47" s="1104"/>
      <c r="U47" s="1104"/>
      <c r="V47" s="1104"/>
      <c r="W47" s="1104"/>
      <c r="X47" s="1105"/>
      <c r="Y47" s="239"/>
      <c r="Z47" s="239"/>
      <c r="AD47" s="90"/>
      <c r="AE47" s="90"/>
      <c r="BM47" s="1"/>
      <c r="CJ47" s="1"/>
      <c r="CU47" s="248"/>
      <c r="CV47" s="248"/>
      <c r="CY47"/>
      <c r="CZ47"/>
    </row>
    <row r="48" spans="1:185">
      <c r="A48" s="986" t="s">
        <v>452</v>
      </c>
      <c r="B48" s="987"/>
      <c r="C48" s="987"/>
      <c r="D48" s="987"/>
      <c r="E48" s="987"/>
      <c r="F48" s="987"/>
      <c r="G48" s="987"/>
      <c r="H48" s="988"/>
      <c r="I48" s="983">
        <f>(FI40+FM40+FO40+FV40+FX40+FZ40+GB40)*-1+FK40+FN40+FQ40+FW40+FY40+GA40+GC40+FU40</f>
        <v>0</v>
      </c>
      <c r="J48" s="984"/>
      <c r="K48" s="985"/>
      <c r="L48" s="388"/>
      <c r="M48" s="1108" t="s">
        <v>463</v>
      </c>
      <c r="N48" s="1109"/>
      <c r="O48" s="1109"/>
      <c r="P48" s="1109"/>
      <c r="Q48" s="1109"/>
      <c r="R48" s="1109"/>
      <c r="S48" s="1109"/>
      <c r="T48" s="1109"/>
      <c r="U48" s="1109"/>
      <c r="V48" s="1084" t="s">
        <v>221</v>
      </c>
      <c r="W48" s="1084"/>
      <c r="X48" s="1085"/>
      <c r="Y48" s="239"/>
      <c r="Z48" s="239"/>
      <c r="AD48" s="90"/>
      <c r="AE48" s="90"/>
      <c r="BM48" s="1"/>
      <c r="CJ48" s="1"/>
      <c r="CU48" s="248"/>
      <c r="CV48" s="248"/>
      <c r="CY48"/>
      <c r="CZ48"/>
    </row>
    <row r="49" spans="1:110">
      <c r="A49" s="1005" t="str">
        <f>"Arbejde særligt planlagt for "&amp;A7&amp;" måned efter fanen skemaoplysninger"</f>
        <v>Arbejde særligt planlagt for Oktober måned efter fanen skemaoplysninger</v>
      </c>
      <c r="B49" s="1006"/>
      <c r="C49" s="1006"/>
      <c r="D49" s="1006"/>
      <c r="E49" s="1006"/>
      <c r="F49" s="1006"/>
      <c r="G49" s="1006"/>
      <c r="H49" s="1007"/>
      <c r="I49" s="981">
        <f>Skemaoplysninger!M91</f>
        <v>2</v>
      </c>
      <c r="J49" s="1003"/>
      <c r="K49" s="1004"/>
      <c r="L49" s="241"/>
      <c r="M49" s="1110"/>
      <c r="N49" s="1111"/>
      <c r="O49" s="1111"/>
      <c r="P49" s="1111"/>
      <c r="Q49" s="1111"/>
      <c r="R49" s="1111"/>
      <c r="S49" s="1111"/>
      <c r="T49" s="1111"/>
      <c r="U49" s="1112"/>
      <c r="V49" s="1047"/>
      <c r="W49" s="1047"/>
      <c r="X49" s="1048"/>
      <c r="Y49"/>
      <c r="Z49" s="239"/>
      <c r="AA49" s="239"/>
      <c r="AG49" s="90"/>
      <c r="AH49" s="90"/>
      <c r="BA49" s="239"/>
      <c r="BO49" s="1"/>
      <c r="CL49" s="1"/>
      <c r="CV49" s="248"/>
      <c r="CW49" s="248"/>
      <c r="CY49"/>
      <c r="CZ49"/>
    </row>
    <row r="50" spans="1:110">
      <c r="A50" s="967" t="s">
        <v>451</v>
      </c>
      <c r="B50" s="968"/>
      <c r="C50" s="968"/>
      <c r="D50" s="968"/>
      <c r="E50" s="968"/>
      <c r="F50" s="968"/>
      <c r="G50" s="968"/>
      <c r="H50" s="968"/>
      <c r="I50" s="969">
        <f>V40+X40-FA40+R106</f>
        <v>0</v>
      </c>
      <c r="J50" s="970"/>
      <c r="K50" s="971"/>
      <c r="L50" s="241"/>
      <c r="M50" s="1067"/>
      <c r="N50" s="1068"/>
      <c r="O50" s="1068"/>
      <c r="P50" s="1068"/>
      <c r="Q50" s="1068"/>
      <c r="R50" s="1068"/>
      <c r="S50" s="1068"/>
      <c r="T50" s="1068"/>
      <c r="U50" s="1068"/>
      <c r="V50" s="870"/>
      <c r="W50" s="871"/>
      <c r="X50" s="872"/>
      <c r="Y50"/>
      <c r="Z50" s="239"/>
      <c r="AA50" s="239"/>
      <c r="AE50" s="90"/>
      <c r="AF50" s="247"/>
      <c r="AG50" s="90"/>
      <c r="BN50" s="1"/>
      <c r="CK50" s="1"/>
      <c r="CV50" s="248"/>
      <c r="CW50" s="248"/>
      <c r="CY50"/>
      <c r="CZ50"/>
    </row>
    <row r="51" spans="1:110" ht="17" thickBot="1">
      <c r="A51" s="261" t="str">
        <f>"Faktisk arbejdstid ialt i "&amp;A7&amp;" måned"</f>
        <v>Faktisk arbejdstid ialt i Oktober måned</v>
      </c>
      <c r="B51" s="314"/>
      <c r="C51" s="315"/>
      <c r="D51" s="315"/>
      <c r="E51" s="315"/>
      <c r="F51" s="315"/>
      <c r="G51" s="315"/>
      <c r="H51" s="316"/>
      <c r="I51" s="1008">
        <f>I47+I50+I49+I48</f>
        <v>133.75</v>
      </c>
      <c r="J51" s="1009"/>
      <c r="K51" s="1010"/>
      <c r="L51" s="241"/>
      <c r="M51" s="1067"/>
      <c r="N51" s="1068"/>
      <c r="O51" s="1068"/>
      <c r="P51" s="1068"/>
      <c r="Q51" s="1068"/>
      <c r="R51" s="1068"/>
      <c r="S51" s="1068"/>
      <c r="T51" s="1068"/>
      <c r="U51" s="1068"/>
      <c r="V51" s="870"/>
      <c r="W51" s="871"/>
      <c r="X51" s="872"/>
      <c r="Y51" s="239"/>
      <c r="Z51" s="239"/>
      <c r="AA51" s="214"/>
      <c r="AB51" s="247"/>
      <c r="AC51" s="247"/>
      <c r="AD51" s="247"/>
      <c r="AE51" s="239"/>
      <c r="AF51" s="247"/>
      <c r="AH51" s="239"/>
      <c r="AI51" s="239"/>
      <c r="AM51" s="90"/>
      <c r="AN51" s="90"/>
      <c r="BU51" s="1"/>
      <c r="CR51" s="1"/>
      <c r="CY51"/>
      <c r="CZ51"/>
      <c r="DC51" s="248"/>
      <c r="DD51" s="248"/>
    </row>
    <row r="52" spans="1:110" ht="17" thickBot="1">
      <c r="A52" s="255"/>
      <c r="B52" s="255"/>
      <c r="C52" s="255"/>
      <c r="D52" s="255"/>
      <c r="E52" s="255"/>
      <c r="F52" s="255"/>
      <c r="G52" s="255"/>
      <c r="H52" s="255"/>
      <c r="I52" s="522"/>
      <c r="J52" s="522"/>
      <c r="K52" s="522"/>
      <c r="L52" s="500"/>
      <c r="M52" s="1067"/>
      <c r="N52" s="1068"/>
      <c r="O52" s="1068"/>
      <c r="P52" s="1068"/>
      <c r="Q52" s="1068"/>
      <c r="R52" s="1068"/>
      <c r="S52" s="1068"/>
      <c r="T52" s="1068"/>
      <c r="U52" s="1068"/>
      <c r="V52" s="870"/>
      <c r="W52" s="871"/>
      <c r="X52" s="872"/>
      <c r="Y52" s="239"/>
      <c r="Z52" s="239"/>
      <c r="AA52" s="239"/>
      <c r="AB52" s="239"/>
      <c r="AC52" s="214"/>
      <c r="AD52" s="247"/>
      <c r="AE52" s="247"/>
      <c r="AF52" s="247"/>
      <c r="AG52" s="247"/>
      <c r="AH52" s="239"/>
      <c r="AJ52" s="239"/>
      <c r="AK52" s="239"/>
      <c r="AO52" s="90"/>
      <c r="AP52" s="90"/>
      <c r="BW52" s="1"/>
      <c r="CT52" s="1"/>
      <c r="CY52"/>
      <c r="CZ52"/>
      <c r="DE52" s="248"/>
      <c r="DF52" s="248"/>
    </row>
    <row r="53" spans="1:110" ht="25" thickBot="1">
      <c r="A53" s="958" t="s">
        <v>479</v>
      </c>
      <c r="B53" s="959"/>
      <c r="C53" s="959"/>
      <c r="D53" s="959"/>
      <c r="E53" s="959"/>
      <c r="F53" s="959"/>
      <c r="G53" s="959"/>
      <c r="H53" s="707" t="s">
        <v>740</v>
      </c>
      <c r="I53" s="1118" t="s">
        <v>478</v>
      </c>
      <c r="J53" s="1118"/>
      <c r="K53" s="1119"/>
      <c r="L53" s="500"/>
      <c r="M53" s="1078" t="s">
        <v>294</v>
      </c>
      <c r="N53" s="1079"/>
      <c r="O53" s="1079"/>
      <c r="P53" s="1079"/>
      <c r="Q53" s="1079"/>
      <c r="R53" s="1079"/>
      <c r="S53" s="1079"/>
      <c r="T53" s="1079"/>
      <c r="U53" s="1080"/>
      <c r="V53" s="1081">
        <f>V46-SUM(V49:X52)</f>
        <v>0</v>
      </c>
      <c r="W53" s="1082"/>
      <c r="X53" s="1083"/>
      <c r="Y53" s="239"/>
      <c r="Z53" s="239"/>
      <c r="AA53" s="239"/>
      <c r="AB53" s="239"/>
      <c r="AC53" s="214"/>
      <c r="AD53" s="247"/>
      <c r="AE53" s="247"/>
      <c r="AF53" s="247"/>
      <c r="AG53" s="247"/>
      <c r="AH53" s="239"/>
      <c r="AJ53" s="239"/>
      <c r="AK53" s="239"/>
      <c r="AO53" s="90"/>
      <c r="AP53" s="90"/>
      <c r="BW53" s="1"/>
      <c r="CT53" s="1"/>
      <c r="CY53"/>
      <c r="CZ53"/>
      <c r="DE53" s="248"/>
      <c r="DF53" s="248"/>
    </row>
    <row r="54" spans="1:110" ht="16" customHeight="1">
      <c r="A54" s="993"/>
      <c r="B54" s="994"/>
      <c r="C54" s="994"/>
      <c r="D54" s="994"/>
      <c r="E54" s="994"/>
      <c r="F54" s="994"/>
      <c r="G54" s="994"/>
      <c r="H54" s="605">
        <f>September!H61</f>
        <v>0</v>
      </c>
      <c r="I54" s="1120">
        <f>September!I61</f>
        <v>0</v>
      </c>
      <c r="J54" s="1121"/>
      <c r="K54" s="1122"/>
      <c r="L54" s="500"/>
      <c r="M54" s="239"/>
      <c r="N54" s="239"/>
      <c r="O54" s="239"/>
      <c r="P54" s="239"/>
      <c r="Q54" s="214"/>
      <c r="R54" s="247"/>
      <c r="S54" s="247"/>
      <c r="T54" s="247"/>
      <c r="U54" s="247"/>
      <c r="V54" s="239"/>
      <c r="X54" s="239"/>
      <c r="Y54" s="239"/>
      <c r="Z54"/>
      <c r="AC54" s="90"/>
      <c r="AD54" s="90"/>
      <c r="BK54" s="1"/>
      <c r="CH54" s="1"/>
      <c r="CS54" s="248"/>
      <c r="CT54" s="248"/>
      <c r="CY54"/>
      <c r="CZ54"/>
    </row>
    <row r="55" spans="1:110" ht="16" customHeight="1">
      <c r="A55" s="1069" t="s">
        <v>482</v>
      </c>
      <c r="B55" s="1070"/>
      <c r="C55" s="1070"/>
      <c r="D55" s="1070"/>
      <c r="E55" s="1070"/>
      <c r="F55" s="1070"/>
      <c r="G55" s="1071"/>
      <c r="H55" s="603"/>
      <c r="I55" s="1072"/>
      <c r="J55" s="1073"/>
      <c r="K55" s="1074"/>
      <c r="L55" s="500"/>
      <c r="M55" s="239"/>
      <c r="N55" s="239"/>
      <c r="O55" s="239"/>
      <c r="P55" s="239"/>
      <c r="Q55" s="214"/>
      <c r="R55" s="247"/>
      <c r="S55" s="247"/>
      <c r="T55" s="247"/>
      <c r="U55" s="247"/>
      <c r="V55" s="239"/>
      <c r="X55" s="239"/>
      <c r="Y55" s="239"/>
      <c r="Z55"/>
      <c r="AC55" s="90"/>
      <c r="AD55" s="90"/>
      <c r="BK55" s="1"/>
      <c r="CH55" s="1"/>
      <c r="CS55" s="248"/>
      <c r="CT55" s="248"/>
      <c r="CY55"/>
      <c r="CZ55"/>
    </row>
    <row r="56" spans="1:110" ht="37" customHeight="1">
      <c r="A56" s="864" t="s">
        <v>741</v>
      </c>
      <c r="B56" s="865"/>
      <c r="C56" s="865"/>
      <c r="D56" s="865"/>
      <c r="E56" s="865"/>
      <c r="F56" s="865"/>
      <c r="G56" s="865"/>
      <c r="H56" s="865"/>
      <c r="I56" s="865"/>
      <c r="J56" s="865"/>
      <c r="K56" s="866"/>
      <c r="L56" s="500"/>
      <c r="M56" s="523"/>
      <c r="N56" s="523"/>
      <c r="O56" s="523"/>
      <c r="P56" s="523"/>
      <c r="Q56" s="524"/>
      <c r="R56" s="525"/>
      <c r="S56" s="525"/>
      <c r="T56" s="525"/>
      <c r="U56" s="525"/>
      <c r="V56" s="523"/>
      <c r="W56" s="526"/>
      <c r="X56" s="523"/>
      <c r="Y56" s="239"/>
      <c r="Z56" s="239"/>
      <c r="AA56" s="239"/>
      <c r="AB56" s="239"/>
      <c r="AC56" s="214"/>
      <c r="AD56" s="247"/>
      <c r="AE56" s="247"/>
      <c r="AF56" s="247"/>
      <c r="AG56" s="247"/>
      <c r="AH56" s="239"/>
      <c r="AJ56" s="239"/>
      <c r="AK56" s="239"/>
      <c r="AO56" s="90"/>
      <c r="AP56" s="90"/>
      <c r="BW56" s="1"/>
      <c r="CT56" s="1"/>
      <c r="CY56"/>
      <c r="CZ56"/>
      <c r="DE56" s="248"/>
      <c r="DF56" s="248"/>
    </row>
    <row r="57" spans="1:110" ht="35" customHeight="1">
      <c r="A57" s="995" t="s">
        <v>742</v>
      </c>
      <c r="B57" s="996"/>
      <c r="C57" s="898" t="s">
        <v>510</v>
      </c>
      <c r="D57" s="899"/>
      <c r="E57" s="900" t="s">
        <v>511</v>
      </c>
      <c r="F57" s="865"/>
      <c r="G57" s="901"/>
      <c r="H57" s="910" t="s">
        <v>480</v>
      </c>
      <c r="I57" s="910"/>
      <c r="J57" s="910"/>
      <c r="K57" s="911"/>
      <c r="L57" s="500"/>
      <c r="M57" s="523"/>
      <c r="N57" s="523"/>
      <c r="O57" s="523"/>
      <c r="P57" s="523"/>
      <c r="Q57" s="524"/>
      <c r="R57" s="525"/>
      <c r="S57" s="525"/>
      <c r="T57" s="525"/>
      <c r="U57" s="525"/>
      <c r="V57" s="523"/>
      <c r="W57" s="526"/>
      <c r="X57" s="523"/>
      <c r="Y57" s="239"/>
      <c r="Z57" s="239"/>
      <c r="AA57" s="239"/>
      <c r="AB57" s="239"/>
      <c r="AC57" s="214"/>
      <c r="AD57" s="247"/>
      <c r="AE57" s="247"/>
      <c r="AF57" s="247"/>
      <c r="AG57" s="247"/>
      <c r="AH57" s="239"/>
      <c r="AJ57" s="239"/>
      <c r="AK57" s="239"/>
      <c r="AO57" s="90"/>
      <c r="AP57" s="90"/>
      <c r="BW57" s="1"/>
      <c r="CT57" s="1"/>
      <c r="CY57"/>
      <c r="CZ57"/>
      <c r="DE57" s="248"/>
      <c r="DF57" s="248"/>
    </row>
    <row r="58" spans="1:110">
      <c r="A58" s="902"/>
      <c r="B58" s="903"/>
      <c r="C58" s="906"/>
      <c r="D58" s="905"/>
      <c r="E58" s="907"/>
      <c r="F58" s="908"/>
      <c r="G58" s="909"/>
      <c r="H58" s="604"/>
      <c r="I58" s="896"/>
      <c r="J58" s="896"/>
      <c r="K58" s="897"/>
      <c r="L58" s="500"/>
      <c r="M58" s="523"/>
      <c r="N58" s="523"/>
      <c r="O58" s="523"/>
      <c r="P58" s="523"/>
      <c r="Q58" s="524"/>
      <c r="R58" s="525"/>
      <c r="S58" s="525"/>
      <c r="T58" s="525"/>
      <c r="U58" s="525"/>
      <c r="V58" s="523"/>
      <c r="W58" s="526"/>
      <c r="X58" s="523"/>
      <c r="Y58" s="239"/>
      <c r="Z58" s="239"/>
      <c r="AA58" s="239"/>
      <c r="AB58" s="239"/>
      <c r="AC58" s="214"/>
      <c r="AD58" s="247"/>
      <c r="AE58" s="247"/>
      <c r="AF58" s="247"/>
      <c r="AG58" s="247"/>
      <c r="AH58" s="239"/>
      <c r="AJ58" s="239"/>
      <c r="AK58" s="239"/>
      <c r="AO58" s="90"/>
      <c r="AP58" s="90"/>
      <c r="BW58" s="1"/>
      <c r="CT58" s="1"/>
      <c r="CY58"/>
      <c r="CZ58"/>
      <c r="DE58" s="248"/>
      <c r="DF58" s="248"/>
    </row>
    <row r="59" spans="1:110">
      <c r="A59" s="904"/>
      <c r="B59" s="905"/>
      <c r="C59" s="906"/>
      <c r="D59" s="905"/>
      <c r="E59" s="907"/>
      <c r="F59" s="908"/>
      <c r="G59" s="909"/>
      <c r="H59" s="604"/>
      <c r="I59" s="896"/>
      <c r="J59" s="896"/>
      <c r="K59" s="897"/>
      <c r="L59" s="500"/>
      <c r="M59" s="523"/>
      <c r="N59" s="523"/>
      <c r="O59" s="523"/>
      <c r="P59" s="523"/>
      <c r="Q59" s="524"/>
      <c r="R59" s="525"/>
      <c r="S59" s="525"/>
      <c r="T59" s="525"/>
      <c r="U59" s="525"/>
      <c r="V59" s="523"/>
      <c r="W59" s="526"/>
      <c r="X59" s="523"/>
      <c r="Y59" s="239"/>
      <c r="Z59" s="239"/>
      <c r="AA59" s="239"/>
      <c r="AB59" s="239"/>
      <c r="AC59" s="214"/>
      <c r="AD59" s="247"/>
      <c r="AE59" s="247"/>
      <c r="AF59" s="247"/>
      <c r="AG59" s="247"/>
      <c r="AH59" s="239"/>
      <c r="AJ59" s="239"/>
      <c r="AK59" s="239"/>
      <c r="AO59" s="90"/>
      <c r="AP59" s="90"/>
      <c r="BW59" s="1"/>
      <c r="CT59" s="1"/>
      <c r="CY59"/>
      <c r="CZ59"/>
      <c r="DE59" s="248"/>
      <c r="DF59" s="248"/>
    </row>
    <row r="60" spans="1:110">
      <c r="A60" s="904"/>
      <c r="B60" s="905"/>
      <c r="C60" s="906"/>
      <c r="D60" s="905"/>
      <c r="E60" s="907"/>
      <c r="F60" s="908"/>
      <c r="G60" s="909"/>
      <c r="H60" s="604"/>
      <c r="I60" s="896"/>
      <c r="J60" s="896"/>
      <c r="K60" s="897"/>
      <c r="L60" s="500"/>
      <c r="M60" s="523"/>
      <c r="N60" s="523"/>
      <c r="O60" s="523"/>
      <c r="P60" s="523"/>
      <c r="Q60" s="524"/>
      <c r="R60" s="525"/>
      <c r="S60" s="525"/>
      <c r="T60" s="525"/>
      <c r="U60" s="525"/>
      <c r="V60" s="523"/>
      <c r="W60" s="526"/>
      <c r="X60" s="523"/>
      <c r="Y60" s="239"/>
      <c r="Z60" s="239"/>
      <c r="AA60" s="239"/>
      <c r="AB60" s="239"/>
      <c r="AC60" s="214"/>
      <c r="AD60" s="247"/>
      <c r="AE60" s="247"/>
      <c r="AF60" s="247"/>
      <c r="AG60" s="247"/>
      <c r="AH60" s="239"/>
      <c r="AJ60" s="239"/>
      <c r="AK60" s="239"/>
      <c r="AO60" s="90"/>
      <c r="AP60" s="90"/>
      <c r="BW60" s="1"/>
      <c r="CT60" s="1"/>
      <c r="CY60"/>
      <c r="CZ60"/>
      <c r="DE60" s="248"/>
      <c r="DF60" s="248"/>
    </row>
    <row r="61" spans="1:110">
      <c r="A61" s="904"/>
      <c r="B61" s="905"/>
      <c r="C61" s="906"/>
      <c r="D61" s="905"/>
      <c r="E61" s="907"/>
      <c r="F61" s="908"/>
      <c r="G61" s="909"/>
      <c r="H61" s="604"/>
      <c r="I61" s="896"/>
      <c r="J61" s="896"/>
      <c r="K61" s="897"/>
      <c r="L61" s="500"/>
      <c r="M61" s="523"/>
      <c r="N61" s="523"/>
      <c r="O61" s="523"/>
      <c r="P61" s="523"/>
      <c r="Q61" s="524"/>
      <c r="R61" s="525"/>
      <c r="S61" s="525"/>
      <c r="T61" s="525"/>
      <c r="U61" s="525"/>
      <c r="V61" s="523"/>
      <c r="W61" s="526"/>
      <c r="X61" s="523"/>
      <c r="Y61" s="239"/>
      <c r="Z61" s="239"/>
      <c r="AA61" s="239"/>
      <c r="AB61" s="239"/>
      <c r="AC61" s="214"/>
      <c r="AD61" s="247"/>
      <c r="AE61" s="247"/>
      <c r="AF61" s="247"/>
      <c r="AG61" s="247"/>
      <c r="AH61" s="239"/>
      <c r="AJ61" s="239"/>
      <c r="AK61" s="239"/>
      <c r="AO61" s="90"/>
      <c r="AP61" s="90"/>
      <c r="BW61" s="1"/>
      <c r="CT61" s="1"/>
      <c r="CY61"/>
      <c r="CZ61"/>
      <c r="DE61" s="248"/>
      <c r="DF61" s="248"/>
    </row>
    <row r="62" spans="1:110" ht="18" customHeight="1" thickBot="1">
      <c r="A62" s="893" t="s">
        <v>481</v>
      </c>
      <c r="B62" s="894"/>
      <c r="C62" s="895"/>
      <c r="D62" s="895"/>
      <c r="E62" s="895"/>
      <c r="F62" s="895"/>
      <c r="G62" s="895"/>
      <c r="H62" s="606">
        <f>H55+H54-SUM(H58:H61)</f>
        <v>0</v>
      </c>
      <c r="I62" s="912">
        <f>I54+I55-SUM(I58:K61)</f>
        <v>0</v>
      </c>
      <c r="J62" s="913"/>
      <c r="K62" s="914"/>
      <c r="L62" s="500"/>
      <c r="M62" s="523"/>
      <c r="N62" s="523"/>
      <c r="O62" s="523"/>
      <c r="P62" s="523"/>
      <c r="Q62" s="524"/>
      <c r="R62" s="525"/>
      <c r="S62" s="525"/>
      <c r="T62" s="525"/>
      <c r="U62" s="525"/>
      <c r="V62" s="523"/>
      <c r="W62" s="526"/>
      <c r="X62" s="523"/>
      <c r="Y62" s="239"/>
      <c r="Z62" s="239"/>
      <c r="AA62" s="239"/>
      <c r="AB62" s="239"/>
      <c r="AC62" s="214"/>
      <c r="AD62" s="247"/>
      <c r="AE62" s="247"/>
      <c r="AF62" s="247"/>
      <c r="AG62" s="247"/>
      <c r="AH62" s="239"/>
      <c r="AJ62" s="239"/>
      <c r="AK62" s="239"/>
      <c r="AO62" s="90"/>
      <c r="AP62" s="90"/>
      <c r="BW62" s="1"/>
      <c r="CT62" s="1"/>
      <c r="CY62"/>
      <c r="CZ62"/>
      <c r="DE62" s="248"/>
      <c r="DF62" s="248"/>
    </row>
    <row r="63" spans="1:110" hidden="1">
      <c r="A63" s="496"/>
      <c r="B63" s="496"/>
      <c r="C63" s="496"/>
      <c r="D63" s="496"/>
      <c r="E63" s="496"/>
      <c r="F63" s="496"/>
      <c r="G63" s="496"/>
      <c r="H63" s="450"/>
      <c r="I63" s="506"/>
      <c r="J63" s="506"/>
      <c r="K63" s="496"/>
      <c r="L63" s="659"/>
      <c r="M63" s="659"/>
      <c r="N63" s="659"/>
      <c r="O63" s="659"/>
      <c r="P63" s="659"/>
      <c r="Q63" s="524"/>
      <c r="R63" s="525"/>
      <c r="S63" s="525"/>
      <c r="T63" s="525"/>
      <c r="U63" s="525"/>
      <c r="V63" s="523" t="s">
        <v>583</v>
      </c>
      <c r="W63" s="526"/>
      <c r="X63" s="523"/>
      <c r="Y63"/>
      <c r="Z63"/>
      <c r="AA63" s="90"/>
      <c r="AB63" s="90"/>
      <c r="BI63" s="1"/>
      <c r="CF63" s="1"/>
      <c r="CQ63" s="248"/>
      <c r="CR63" s="248"/>
      <c r="CY63"/>
      <c r="CZ63"/>
    </row>
    <row r="64" spans="1:110" hidden="1">
      <c r="A64" s="506" t="s">
        <v>206</v>
      </c>
      <c r="B64" s="506"/>
      <c r="C64" s="506"/>
      <c r="D64" s="506">
        <f>COUNTIF([0]!Oktober,"Skema 1")</f>
        <v>12</v>
      </c>
      <c r="E64" s="507"/>
      <c r="F64" s="506" t="s">
        <v>186</v>
      </c>
      <c r="G64" s="506">
        <f>COUNTIFS($B$9:$B$39,"ma",[0]!Oktober,"Skema 1")</f>
        <v>2</v>
      </c>
      <c r="H64" s="123"/>
      <c r="I64" s="511"/>
      <c r="J64" s="659"/>
      <c r="K64" s="659"/>
      <c r="L64" s="511"/>
      <c r="M64" s="660"/>
      <c r="N64" s="659"/>
      <c r="O64" s="660"/>
      <c r="P64" s="678" t="s">
        <v>601</v>
      </c>
      <c r="Q64" s="680" t="s">
        <v>612</v>
      </c>
      <c r="R64" s="230"/>
      <c r="S64" s="230"/>
      <c r="T64" s="230"/>
      <c r="U64" s="230"/>
      <c r="V64" s="230"/>
      <c r="W64" s="118"/>
      <c r="X64" s="118"/>
      <c r="Y64"/>
      <c r="Z64"/>
      <c r="AA64" s="90"/>
      <c r="AB64" s="90"/>
      <c r="BI64" s="1"/>
      <c r="CF64" s="1"/>
      <c r="CQ64" s="248"/>
      <c r="CR64" s="248"/>
      <c r="CY64"/>
      <c r="CZ64"/>
    </row>
    <row r="65" spans="1:111" hidden="1">
      <c r="A65" s="957" t="s">
        <v>207</v>
      </c>
      <c r="B65" s="957"/>
      <c r="C65" s="957"/>
      <c r="D65" s="506">
        <f>COUNTIF([0]!Oktober,"Skema 2")</f>
        <v>0</v>
      </c>
      <c r="E65" s="507"/>
      <c r="F65" s="506" t="s">
        <v>187</v>
      </c>
      <c r="G65" s="506">
        <f>COUNTIFS($B$9:$B$39,"ti",[0]!Oktober,"Skema 1")</f>
        <v>2</v>
      </c>
      <c r="H65" s="123"/>
      <c r="I65" s="511" t="s">
        <v>602</v>
      </c>
      <c r="J65" s="659"/>
      <c r="K65" s="511"/>
      <c r="L65" s="662"/>
      <c r="M65" s="660"/>
      <c r="N65" s="660"/>
      <c r="O65" s="663"/>
      <c r="P65" s="678">
        <f>IF(Stamoplysninger!$B$22="Ulempetillæg udbetales med 25% af nettotimelønnen.",SUM(DO40:DR40)-SUM(DS40:DV40),0)</f>
        <v>0</v>
      </c>
      <c r="Q65" s="680"/>
      <c r="R65" s="230"/>
      <c r="S65" s="230"/>
      <c r="T65" s="230"/>
      <c r="U65" s="230"/>
      <c r="V65" s="230"/>
      <c r="W65" s="118"/>
      <c r="X65" s="118"/>
      <c r="Y65"/>
      <c r="Z65"/>
      <c r="AA65" s="90"/>
      <c r="AB65" s="90"/>
      <c r="BI65" s="1"/>
      <c r="CF65" s="1"/>
      <c r="CQ65" s="248"/>
      <c r="CR65" s="248"/>
      <c r="CY65"/>
      <c r="CZ65"/>
    </row>
    <row r="66" spans="1:111" hidden="1">
      <c r="A66" s="957" t="s">
        <v>208</v>
      </c>
      <c r="B66" s="957"/>
      <c r="C66" s="957"/>
      <c r="D66" s="506">
        <f>COUNTIF([0]!Oktober,"Skema 3")</f>
        <v>0</v>
      </c>
      <c r="E66" s="507"/>
      <c r="F66" s="506" t="s">
        <v>188</v>
      </c>
      <c r="G66" s="506">
        <f>COUNTIFS($B$9:$B$39,"on",[0]!Oktober,"Skema 1")</f>
        <v>3</v>
      </c>
      <c r="H66" s="498"/>
      <c r="I66" s="677" t="s">
        <v>603</v>
      </c>
      <c r="J66" s="659"/>
      <c r="K66" s="511"/>
      <c r="L66" s="662"/>
      <c r="M66" s="660"/>
      <c r="N66" s="660"/>
      <c r="O66" s="660"/>
      <c r="P66" s="678"/>
      <c r="Q66" s="680">
        <f>IF(Stamoplysninger!$B$22="Ulempetillæg afspadseres med 25%(Kræver en aftale imellem ledelsen og den ansatte)",EC40+ED40+EE40+EF40-EG40-EH40-EI40-EJ40,0)</f>
        <v>0</v>
      </c>
      <c r="R66" s="230"/>
      <c r="S66" s="230"/>
      <c r="T66" s="230"/>
      <c r="U66" s="230"/>
      <c r="V66" s="230"/>
      <c r="W66" s="118"/>
      <c r="X66" s="118"/>
      <c r="Y66"/>
      <c r="Z66"/>
      <c r="AA66" s="90"/>
      <c r="AB66" s="90"/>
      <c r="BI66" s="1"/>
      <c r="CF66" s="1"/>
      <c r="CQ66" s="248"/>
      <c r="CR66" s="248"/>
      <c r="CY66"/>
      <c r="CZ66"/>
    </row>
    <row r="67" spans="1:111" hidden="1">
      <c r="A67" s="957" t="s">
        <v>209</v>
      </c>
      <c r="B67" s="957"/>
      <c r="C67" s="957"/>
      <c r="D67" s="506">
        <f>COUNTIF([0]!Oktober,"Skema 4")</f>
        <v>0</v>
      </c>
      <c r="E67" s="507"/>
      <c r="F67" s="506" t="s">
        <v>190</v>
      </c>
      <c r="G67" s="506">
        <f>COUNTIFS($B$9:$B$39,"to",[0]!Oktober,"Skema 1")</f>
        <v>3</v>
      </c>
      <c r="H67" s="498"/>
      <c r="I67" s="677" t="s">
        <v>604</v>
      </c>
      <c r="J67" s="659"/>
      <c r="K67" s="511"/>
      <c r="L67" s="662"/>
      <c r="M67" s="665"/>
      <c r="N67" s="665"/>
      <c r="O67" s="4"/>
      <c r="P67" s="678"/>
      <c r="Q67" s="680"/>
      <c r="R67" s="230"/>
      <c r="S67" s="230"/>
      <c r="T67" s="230"/>
      <c r="U67" s="230"/>
      <c r="V67" s="230"/>
      <c r="W67" s="118"/>
      <c r="X67" s="118"/>
      <c r="Y67" s="239"/>
      <c r="Z67" s="239"/>
      <c r="AA67" s="239"/>
      <c r="AB67" s="239"/>
      <c r="AC67" s="239"/>
      <c r="AD67" s="214"/>
      <c r="AE67" s="247"/>
      <c r="AF67" s="214"/>
      <c r="AG67" s="247"/>
      <c r="AH67" s="247"/>
      <c r="AI67" s="239"/>
      <c r="AK67" s="239"/>
      <c r="AL67" s="239"/>
      <c r="AP67" s="90"/>
      <c r="AQ67" s="90"/>
      <c r="BX67" s="1"/>
      <c r="CU67" s="1"/>
      <c r="CY67"/>
      <c r="CZ67"/>
      <c r="DF67" s="248"/>
      <c r="DG67" s="248"/>
    </row>
    <row r="68" spans="1:111" hidden="1">
      <c r="A68" s="506" t="s">
        <v>112</v>
      </c>
      <c r="B68" s="506"/>
      <c r="C68" s="506"/>
      <c r="D68" s="506">
        <f>COUNTIF([0]!Oktober,"Fagdag")+COUNTIF([0]!Oktober,"emnedag")</f>
        <v>6</v>
      </c>
      <c r="E68" s="507"/>
      <c r="F68" s="506" t="s">
        <v>189</v>
      </c>
      <c r="G68" s="506">
        <f>COUNTIFS($B$9:$B$39,"fr",[0]!Oktober,"Skema 1")</f>
        <v>2</v>
      </c>
      <c r="H68" s="498"/>
      <c r="I68" s="662" t="s">
        <v>605</v>
      </c>
      <c r="J68" s="659"/>
      <c r="K68" s="511"/>
      <c r="L68" s="662"/>
      <c r="M68" s="665"/>
      <c r="N68" s="665"/>
      <c r="O68" s="4"/>
      <c r="P68" s="678"/>
      <c r="Q68" s="680">
        <f>IF(Stamoplysninger!$B$26="Weekendtimer og weekendtillæg afspadseres.",EK40+EL40-EM40-EN40,0)</f>
        <v>0</v>
      </c>
      <c r="R68" s="230"/>
      <c r="S68" s="230"/>
      <c r="T68" s="230"/>
      <c r="U68" s="230"/>
      <c r="V68" s="230"/>
      <c r="W68" s="118"/>
      <c r="X68" s="118"/>
      <c r="Y68" s="239"/>
      <c r="Z68" s="239"/>
      <c r="AA68" s="239"/>
      <c r="AB68" s="239"/>
      <c r="AC68" s="239"/>
      <c r="AD68" s="214"/>
      <c r="AE68" s="247"/>
      <c r="AF68" s="214"/>
      <c r="AG68" s="247"/>
      <c r="AH68" s="247"/>
      <c r="AI68" s="239"/>
      <c r="AK68" s="239"/>
      <c r="AL68" s="239"/>
      <c r="AP68" s="90"/>
      <c r="AQ68" s="90"/>
      <c r="BX68" s="1"/>
      <c r="CU68" s="1"/>
      <c r="CY68"/>
      <c r="CZ68"/>
      <c r="DF68" s="248"/>
      <c r="DG68" s="248"/>
    </row>
    <row r="69" spans="1:111" hidden="1">
      <c r="A69" s="508" t="s">
        <v>111</v>
      </c>
      <c r="B69" s="506"/>
      <c r="C69" s="506"/>
      <c r="D69" s="506">
        <f>COUNTIF([0]!Oktober,"Lejrskole")+COUNTIF([0]!Oktober,"Ekskursion")</f>
        <v>0</v>
      </c>
      <c r="E69" s="507"/>
      <c r="F69" s="506"/>
      <c r="G69" s="506"/>
      <c r="H69" s="498"/>
      <c r="I69" s="662" t="s">
        <v>606</v>
      </c>
      <c r="J69" s="662"/>
      <c r="K69" s="662"/>
      <c r="L69" s="662"/>
      <c r="M69" s="666"/>
      <c r="N69" s="666"/>
      <c r="O69" s="4"/>
      <c r="P69" s="679">
        <f>IF(Stamoplysninger!$B$26="Weekendtimer og weekendtillæg udbetales.",EO40+EP40-EQ40-ER40,0)</f>
        <v>0</v>
      </c>
      <c r="Q69" s="680"/>
      <c r="R69" s="230"/>
      <c r="S69" s="230"/>
      <c r="T69" s="230"/>
      <c r="U69" s="230"/>
      <c r="V69" s="230"/>
      <c r="W69" s="118"/>
      <c r="X69" s="118"/>
      <c r="Y69" s="239"/>
      <c r="Z69" s="239"/>
      <c r="AA69" s="239"/>
      <c r="AB69" s="239"/>
      <c r="AC69" s="239"/>
      <c r="AD69" s="214"/>
      <c r="AE69" s="247"/>
      <c r="AF69" s="214"/>
      <c r="AG69" s="247"/>
      <c r="AH69" s="247"/>
      <c r="AI69" s="239"/>
      <c r="AK69" s="239"/>
      <c r="AL69" s="239"/>
      <c r="AP69" s="90"/>
      <c r="AQ69" s="90"/>
      <c r="BX69" s="1"/>
      <c r="CU69" s="1"/>
      <c r="CY69"/>
      <c r="CZ69"/>
      <c r="DF69" s="248"/>
      <c r="DG69" s="248"/>
    </row>
    <row r="70" spans="1:111" hidden="1">
      <c r="A70" s="506" t="s">
        <v>110</v>
      </c>
      <c r="B70" s="506"/>
      <c r="C70" s="506"/>
      <c r="D70" s="506">
        <f>COUNTIF([0]!Oktober,"Pæd.dag")</f>
        <v>0</v>
      </c>
      <c r="E70" s="507"/>
      <c r="F70" s="506" t="s">
        <v>191</v>
      </c>
      <c r="G70" s="506">
        <f>COUNTIFS($B$9:$B$39,"ma",[0]!Oktober,"Skema 2")</f>
        <v>0</v>
      </c>
      <c r="H70" s="498"/>
      <c r="I70" s="662" t="s">
        <v>607</v>
      </c>
      <c r="J70" s="662"/>
      <c r="K70" s="662"/>
      <c r="L70" s="662"/>
      <c r="M70" s="666"/>
      <c r="N70" s="666"/>
      <c r="O70" s="4"/>
      <c r="P70" s="678"/>
      <c r="Q70" s="680"/>
      <c r="R70" s="230"/>
      <c r="S70" s="230"/>
      <c r="T70" s="230"/>
      <c r="U70" s="230"/>
      <c r="V70" s="230"/>
      <c r="W70" s="118"/>
      <c r="X70" s="118"/>
      <c r="Y70" s="239"/>
      <c r="Z70" s="239"/>
      <c r="AA70" s="239"/>
      <c r="AB70" s="239"/>
      <c r="AC70" s="239"/>
      <c r="AD70" s="214"/>
      <c r="AE70" s="247"/>
      <c r="AG70" s="247"/>
      <c r="AH70" s="247"/>
      <c r="AI70" s="239"/>
      <c r="AK70" s="239"/>
      <c r="AL70" s="239"/>
      <c r="AP70" s="90"/>
      <c r="AQ70" s="90"/>
      <c r="BX70" s="1"/>
      <c r="CU70" s="1"/>
      <c r="CY70"/>
      <c r="CZ70"/>
      <c r="DF70" s="248"/>
      <c r="DG70" s="248"/>
    </row>
    <row r="71" spans="1:111" hidden="1">
      <c r="A71" s="506" t="s">
        <v>120</v>
      </c>
      <c r="B71" s="506"/>
      <c r="C71" s="506"/>
      <c r="D71" s="506">
        <f>COUNTIF([0]!Oktober,"Weekend")</f>
        <v>8</v>
      </c>
      <c r="E71" s="507"/>
      <c r="F71" s="506" t="s">
        <v>192</v>
      </c>
      <c r="G71" s="506">
        <f>COUNTIFS($B$9:$B$39,"ti",[0]!Oktober,"Skema 2")</f>
        <v>0</v>
      </c>
      <c r="H71" s="498"/>
      <c r="I71" s="662" t="s">
        <v>608</v>
      </c>
      <c r="J71" s="662"/>
      <c r="K71" s="662"/>
      <c r="L71" s="662"/>
      <c r="M71" s="667"/>
      <c r="N71" s="667"/>
      <c r="O71" s="4"/>
      <c r="P71" s="678"/>
      <c r="Q71" s="681">
        <f>IF(Stamoplysninger!$B$26="Der er indgået lokalaftale omkring weekendtimer.(Kræver aftale med TR/FSL) Weekendtillæg afspadseres.",ES40+ET40-EU40-EV40,0)</f>
        <v>0</v>
      </c>
      <c r="R71" s="230"/>
      <c r="S71" s="230"/>
      <c r="T71" s="230"/>
      <c r="U71" s="230"/>
      <c r="V71" s="230"/>
      <c r="W71" s="118"/>
      <c r="X71" s="118"/>
      <c r="Y71"/>
      <c r="Z71"/>
      <c r="AO71" s="1"/>
      <c r="BL71" s="1"/>
      <c r="BW71" s="248"/>
      <c r="BX71" s="248"/>
      <c r="CY71"/>
      <c r="CZ71"/>
    </row>
    <row r="72" spans="1:111" hidden="1">
      <c r="A72" s="506" t="s">
        <v>127</v>
      </c>
      <c r="B72" s="506"/>
      <c r="C72" s="506"/>
      <c r="D72" s="506">
        <f>COUNTIF([0]!Oktober,"SH-dag")</f>
        <v>0</v>
      </c>
      <c r="E72" s="507"/>
      <c r="F72" s="506" t="s">
        <v>193</v>
      </c>
      <c r="G72" s="506">
        <f>COUNTIFS($B$9:$B$39,"on",[0]!Oktober,"Skema 2")</f>
        <v>0</v>
      </c>
      <c r="H72" s="498"/>
      <c r="I72" s="662" t="s">
        <v>609</v>
      </c>
      <c r="J72" s="662"/>
      <c r="K72" s="662"/>
      <c r="L72" s="662"/>
      <c r="M72" s="667"/>
      <c r="N72" s="667"/>
      <c r="O72" s="4"/>
      <c r="P72" s="678">
        <f>IF(Stamoplysninger!$B$26="Der er indgået lokalaftale omkring weekendtimer(Kræver aftale med TR/FSL). Weekendtillæg udbetales.",EW40+EX40-EY40-EZ40,0)</f>
        <v>0</v>
      </c>
      <c r="Q72" s="680"/>
      <c r="R72" s="230"/>
      <c r="S72" s="230"/>
      <c r="T72" s="230"/>
      <c r="U72" s="230"/>
      <c r="V72" s="230"/>
      <c r="W72" s="118"/>
      <c r="X72" s="118"/>
      <c r="Y72"/>
      <c r="Z72"/>
      <c r="AO72" s="1"/>
      <c r="BL72" s="1"/>
      <c r="BW72" s="248"/>
      <c r="BX72" s="248"/>
      <c r="CY72"/>
      <c r="CZ72"/>
    </row>
    <row r="73" spans="1:111" hidden="1">
      <c r="A73" s="506" t="s">
        <v>109</v>
      </c>
      <c r="B73" s="506"/>
      <c r="C73" s="506"/>
      <c r="D73" s="506">
        <f>COUNTIF([0]!Oktober,"Feriedag")</f>
        <v>5</v>
      </c>
      <c r="E73" s="507"/>
      <c r="F73" s="506" t="s">
        <v>194</v>
      </c>
      <c r="G73" s="506">
        <f>COUNTIFS($B$9:$B$39,"to",[0]!Oktober,"Skema 2")</f>
        <v>0</v>
      </c>
      <c r="H73" s="498"/>
      <c r="I73" s="662" t="s">
        <v>610</v>
      </c>
      <c r="J73" s="662"/>
      <c r="K73" s="662"/>
      <c r="L73" s="662"/>
      <c r="M73" s="667"/>
      <c r="N73" s="667"/>
      <c r="O73" s="4"/>
      <c r="P73" s="678"/>
      <c r="Q73" s="629">
        <f>IF(Stamoplysninger!$B$26="Der er indgået lokalaftale omkring weekendtillæg(Kræver aftale med TR/FSL). Weekendtimerne afspadseres.",FA40+FB40-FC40-FD40,0)</f>
        <v>0</v>
      </c>
      <c r="R73" s="41"/>
      <c r="S73" s="41"/>
      <c r="T73" s="41"/>
      <c r="Y73"/>
      <c r="Z73"/>
      <c r="AO73" s="1"/>
      <c r="BL73" s="1"/>
      <c r="BW73" s="248"/>
      <c r="BX73" s="248"/>
      <c r="CY73"/>
      <c r="CZ73"/>
    </row>
    <row r="74" spans="1:111" hidden="1">
      <c r="A74" s="506" t="s">
        <v>178</v>
      </c>
      <c r="B74" s="506"/>
      <c r="C74" s="506"/>
      <c r="D74" s="506">
        <f>COUNTIF([0]!Oktober,"Nul-dag")</f>
        <v>0</v>
      </c>
      <c r="E74" s="507"/>
      <c r="F74" s="506" t="s">
        <v>195</v>
      </c>
      <c r="G74" s="506">
        <f>COUNTIFS($B$9:$B$39,"fr",[0]!Oktober,"Skema 2")</f>
        <v>0</v>
      </c>
      <c r="H74" s="498"/>
      <c r="I74" s="662" t="s">
        <v>611</v>
      </c>
      <c r="J74" s="662"/>
      <c r="K74" s="662"/>
      <c r="L74" s="662"/>
      <c r="M74" s="667"/>
      <c r="N74" s="667"/>
      <c r="O74" s="4"/>
      <c r="P74" s="678">
        <f>IF(Stamoplysninger!$B$26="Der er indgået lokalaftale omkring weekendtillæg(Kræver aftale med TR/FSL). Weekendtimerne udbetales.",FE40+FF40-FG40-FH40,0)</f>
        <v>0</v>
      </c>
      <c r="Q74" s="629"/>
      <c r="V74" t="s">
        <v>618</v>
      </c>
      <c r="Y74"/>
      <c r="Z74"/>
      <c r="AO74" s="1"/>
      <c r="BL74" s="1"/>
      <c r="BW74" s="248"/>
      <c r="BX74" s="248"/>
      <c r="CY74"/>
      <c r="CZ74"/>
    </row>
    <row r="75" spans="1:111" hidden="1">
      <c r="A75" s="503" t="s">
        <v>416</v>
      </c>
      <c r="B75" s="506"/>
      <c r="C75" s="506"/>
      <c r="D75" s="506">
        <f>COUNTIF([0]!Oktober,"Orlov")</f>
        <v>0</v>
      </c>
      <c r="E75" s="507"/>
      <c r="F75" s="509"/>
      <c r="G75" s="509"/>
      <c r="H75" s="504"/>
      <c r="I75" s="662" t="s">
        <v>617</v>
      </c>
      <c r="J75" s="662"/>
      <c r="K75" s="662"/>
      <c r="L75" s="662"/>
      <c r="M75" s="668"/>
      <c r="N75" s="668"/>
      <c r="O75" s="4"/>
      <c r="P75" s="661"/>
      <c r="R75">
        <f>IF(C10="ikke relevant",V10*-1+X10*-1,0)</f>
        <v>0</v>
      </c>
      <c r="S75" t="s">
        <v>623</v>
      </c>
      <c r="V75">
        <f>IF(C10="ikke relevant",R10*-1,0)</f>
        <v>0</v>
      </c>
      <c r="Y75"/>
      <c r="Z75"/>
      <c r="AO75" s="1"/>
      <c r="BL75" s="1"/>
      <c r="BW75" s="248"/>
      <c r="BX75" s="248"/>
      <c r="CY75"/>
      <c r="CZ75"/>
    </row>
    <row r="76" spans="1:111" hidden="1">
      <c r="A76" s="506" t="s">
        <v>160</v>
      </c>
      <c r="B76" s="506"/>
      <c r="C76" s="506"/>
      <c r="D76" s="506">
        <f>COUNTIF([0]!Oktober,"Ikke relevant")</f>
        <v>0</v>
      </c>
      <c r="E76" s="507"/>
      <c r="F76" s="506" t="s">
        <v>196</v>
      </c>
      <c r="G76" s="506">
        <f>COUNTIFS($B$9:$B$39,"ma",[0]!Oktober,"Skema 3")</f>
        <v>0</v>
      </c>
      <c r="H76" s="498"/>
      <c r="I76" s="662"/>
      <c r="J76" s="662"/>
      <c r="K76" s="662"/>
      <c r="L76" s="511"/>
      <c r="M76" s="668"/>
      <c r="N76" s="668"/>
      <c r="O76" s="4"/>
      <c r="P76" s="661"/>
      <c r="R76">
        <f>IF(C11="ikke relevant",V11*-1+X11*-1,0)</f>
        <v>0</v>
      </c>
      <c r="V76">
        <f>IF(C11="ikke relevant",R11*-1,0)</f>
        <v>0</v>
      </c>
      <c r="Y76"/>
      <c r="Z76"/>
      <c r="AO76" s="1"/>
      <c r="BL76" s="1"/>
      <c r="BW76" s="248"/>
      <c r="BX76" s="248"/>
      <c r="CY76"/>
      <c r="CZ76"/>
    </row>
    <row r="77" spans="1:111" hidden="1">
      <c r="A77" s="506" t="s">
        <v>108</v>
      </c>
      <c r="B77" s="506"/>
      <c r="C77" s="506"/>
      <c r="D77" s="506">
        <f>SUM(D64:D76)</f>
        <v>31</v>
      </c>
      <c r="E77" s="506"/>
      <c r="F77" s="506" t="s">
        <v>197</v>
      </c>
      <c r="G77" s="506">
        <f>COUNTIFS($B$9:$B$39,"ti",[0]!Oktober,"Skema 3")</f>
        <v>0</v>
      </c>
      <c r="H77" s="498"/>
      <c r="I77" s="662"/>
      <c r="J77" s="662"/>
      <c r="K77" s="662"/>
      <c r="L77" s="511"/>
      <c r="M77" s="668"/>
      <c r="N77" s="668"/>
      <c r="O77" s="4"/>
      <c r="P77" s="661"/>
      <c r="R77">
        <f t="shared" ref="R77:R105" si="36">IF(C12="ikke relevant",V12*-1+X12*-1,0)</f>
        <v>0</v>
      </c>
      <c r="V77">
        <f t="shared" ref="V77:V105" si="37">IF(C12="ikke relevant",R12*-1,0)</f>
        <v>0</v>
      </c>
      <c r="Y77"/>
      <c r="Z77"/>
      <c r="AO77" s="1"/>
      <c r="BL77" s="1"/>
      <c r="BW77" s="248"/>
      <c r="BX77" s="248"/>
      <c r="CY77"/>
      <c r="CZ77"/>
    </row>
    <row r="78" spans="1:111" hidden="1">
      <c r="A78" s="506" t="s">
        <v>239</v>
      </c>
      <c r="B78" s="506"/>
      <c r="C78" s="506"/>
      <c r="D78" s="506">
        <f>D77-D71-A87-D76</f>
        <v>23</v>
      </c>
      <c r="E78" s="510"/>
      <c r="F78" s="506" t="s">
        <v>198</v>
      </c>
      <c r="G78" s="506">
        <f>COUNTIFS($B$9:$B$39,"on",[0]!Oktober,"Skema 3")</f>
        <v>0</v>
      </c>
      <c r="H78" s="498"/>
      <c r="I78" s="662"/>
      <c r="J78" s="662"/>
      <c r="K78" s="662"/>
      <c r="L78" s="511"/>
      <c r="M78" s="668"/>
      <c r="N78" s="668"/>
      <c r="O78" s="4"/>
      <c r="P78" s="661"/>
      <c r="R78">
        <f t="shared" si="36"/>
        <v>0</v>
      </c>
      <c r="V78">
        <f t="shared" si="37"/>
        <v>0</v>
      </c>
      <c r="Y78"/>
      <c r="Z78"/>
      <c r="AO78" s="1"/>
      <c r="BL78" s="1"/>
      <c r="BW78" s="248"/>
      <c r="BX78" s="248"/>
      <c r="CY78"/>
      <c r="CZ78"/>
    </row>
    <row r="79" spans="1:111" hidden="1">
      <c r="A79" s="506"/>
      <c r="B79" s="506"/>
      <c r="C79" s="506"/>
      <c r="D79" s="506"/>
      <c r="E79" s="506"/>
      <c r="F79" s="506" t="s">
        <v>199</v>
      </c>
      <c r="G79" s="506">
        <f>COUNTIFS($B$9:$B$39,"to",[0]!Oktober,"Skema 3")</f>
        <v>0</v>
      </c>
      <c r="H79" s="498"/>
      <c r="I79" s="664"/>
      <c r="J79" s="662"/>
      <c r="K79" s="662"/>
      <c r="L79" s="511"/>
      <c r="M79" s="660"/>
      <c r="N79" s="660"/>
      <c r="O79" s="4"/>
      <c r="P79" s="661"/>
      <c r="R79">
        <f t="shared" si="36"/>
        <v>0</v>
      </c>
      <c r="V79">
        <f t="shared" si="37"/>
        <v>0</v>
      </c>
      <c r="Y79"/>
      <c r="Z79"/>
      <c r="AO79" s="1"/>
      <c r="BL79" s="1"/>
      <c r="BW79" s="248"/>
      <c r="BX79" s="248"/>
      <c r="CY79"/>
      <c r="CZ79"/>
    </row>
    <row r="80" spans="1:111" hidden="1">
      <c r="A80" s="506"/>
      <c r="B80" s="506"/>
      <c r="C80" s="506"/>
      <c r="D80" s="506"/>
      <c r="E80" s="506"/>
      <c r="F80" s="506" t="s">
        <v>200</v>
      </c>
      <c r="G80" s="506">
        <f>COUNTIFS($B$9:$B$39,"fr",[0]!Oktober,"Skema 3")</f>
        <v>0</v>
      </c>
      <c r="H80" s="498"/>
      <c r="I80" s="506"/>
      <c r="J80" s="511"/>
      <c r="K80" s="511"/>
      <c r="L80" s="511"/>
      <c r="M80" s="4"/>
      <c r="N80" s="4"/>
      <c r="O80" s="4"/>
      <c r="P80" s="4"/>
      <c r="R80">
        <f t="shared" si="36"/>
        <v>0</v>
      </c>
      <c r="V80">
        <f t="shared" si="37"/>
        <v>0</v>
      </c>
      <c r="Y80"/>
      <c r="Z80"/>
      <c r="AO80" s="1"/>
      <c r="BL80" s="1"/>
      <c r="BW80" s="248"/>
      <c r="BX80" s="248"/>
      <c r="CY80"/>
      <c r="CZ80"/>
    </row>
    <row r="81" spans="1:111" hidden="1">
      <c r="A81" s="506" t="s">
        <v>292</v>
      </c>
      <c r="B81" s="506"/>
      <c r="C81" s="506"/>
      <c r="D81" s="506"/>
      <c r="E81" s="506"/>
      <c r="F81" s="506"/>
      <c r="G81" s="506"/>
      <c r="H81" s="498"/>
      <c r="I81" s="506"/>
      <c r="J81" s="511"/>
      <c r="K81" s="511"/>
      <c r="L81" s="511"/>
      <c r="M81" s="4"/>
      <c r="N81" s="4"/>
      <c r="O81" s="4"/>
      <c r="P81" s="4"/>
      <c r="R81">
        <f t="shared" si="36"/>
        <v>0</v>
      </c>
      <c r="V81">
        <f t="shared" si="37"/>
        <v>0</v>
      </c>
      <c r="Y81"/>
      <c r="Z81"/>
      <c r="AO81" s="1"/>
      <c r="BL81" s="1"/>
      <c r="BW81" s="248"/>
      <c r="BX81" s="248"/>
      <c r="CY81"/>
      <c r="CZ81"/>
    </row>
    <row r="82" spans="1:111" hidden="1">
      <c r="A82" s="506">
        <f>COUNTIF($C$13:$C$14,"Skema 1")+COUNTIF($C$13:$C$14,"Skema 2")+COUNTIF($C$13:$C$14,"Skema 3")+COUNTIF($C$13:$C$14,"Skema 4")+COUNTIF($C$13:$C$14,"Fagdag")+COUNTIF($C$13:$C$14,"Emnedag")+COUNTIF($C$13:$C$14,"Lejrskole")+COUNTIF($C$13:$C$14,"Ekskursion")+COUNTIF($C$13:$C$14,"Pæd.dag")</f>
        <v>0</v>
      </c>
      <c r="B82" s="506"/>
      <c r="C82" s="506"/>
      <c r="D82" s="506"/>
      <c r="E82" s="506"/>
      <c r="F82" s="506" t="s">
        <v>201</v>
      </c>
      <c r="G82" s="506">
        <f>COUNTIFS($B$9:$B$39,"ma",[0]!Oktober,"Skema 4")</f>
        <v>0</v>
      </c>
      <c r="H82" s="498"/>
      <c r="I82" s="506"/>
      <c r="J82" s="511"/>
      <c r="K82" s="511"/>
      <c r="L82" s="511"/>
      <c r="M82" s="4"/>
      <c r="N82" s="4"/>
      <c r="O82" s="4"/>
      <c r="P82" s="4"/>
      <c r="R82">
        <f t="shared" si="36"/>
        <v>0</v>
      </c>
      <c r="V82">
        <f t="shared" si="37"/>
        <v>0</v>
      </c>
      <c r="Y82"/>
      <c r="Z82"/>
      <c r="AO82" s="1"/>
      <c r="BL82" s="1"/>
      <c r="BW82" s="248"/>
      <c r="BX82" s="248"/>
      <c r="CY82"/>
      <c r="CZ82"/>
    </row>
    <row r="83" spans="1:111" hidden="1">
      <c r="A83" s="506">
        <f>COUNTIF($C$20:$C$21,"Skema 1")+COUNTIF($C$20:$C$21,"Skema 2")+COUNTIF($C$20:$C$21,"Skema 3")+COUNTIF($C$20:$C$21,"Skema 4")+COUNTIF($C$20:$C$21,"Fagdag")+COUNTIF($C$20:$C$21,"Emnedag")+COUNTIF($C$20:$C$21,"Lejrskole")+COUNTIF($C$20:$C$21,"Ekskursion")+COUNTIF($C$20:$C$21,"Pæd.dag")</f>
        <v>0</v>
      </c>
      <c r="B83" s="506"/>
      <c r="C83" s="506"/>
      <c r="D83" s="506"/>
      <c r="E83" s="506"/>
      <c r="F83" s="506" t="s">
        <v>202</v>
      </c>
      <c r="G83" s="506">
        <f>COUNTIFS($B$9:$B$39,"ti",[0]!Oktober,"Skema 4")</f>
        <v>0</v>
      </c>
      <c r="H83" s="498"/>
      <c r="I83" s="506"/>
      <c r="J83" s="511"/>
      <c r="K83" s="511"/>
      <c r="L83" s="511"/>
      <c r="M83" s="4"/>
      <c r="N83" s="4"/>
      <c r="O83" s="4"/>
      <c r="P83" s="4"/>
      <c r="R83">
        <f t="shared" si="36"/>
        <v>0</v>
      </c>
      <c r="V83">
        <f t="shared" si="37"/>
        <v>0</v>
      </c>
      <c r="Y83"/>
      <c r="Z83"/>
      <c r="AO83" s="1"/>
      <c r="BL83" s="1"/>
      <c r="BW83" s="248"/>
      <c r="BX83" s="248"/>
      <c r="CY83"/>
      <c r="CZ83"/>
    </row>
    <row r="84" spans="1:111" hidden="1">
      <c r="A84" s="506">
        <f>COUNTIF($C$27:$C$28,"Skema 1")+COUNTIF($C$27:$C$28,"Skema 2")+COUNTIF($C$27:$C$28,"Skema 3")+COUNTIF($C$27:$C$28,"Skema 4")+COUNTIF($C$27:$C$28,"Fagdag")+COUNTIF($C$27:$C$28,"Emnedag")+COUNTIF($C$27:$C$28,"Lejrskole")+COUNTIF($C$27:$C$28,"Ekskursion")+COUNTIF($C$27:$C$28,"Pæd.dag")</f>
        <v>0</v>
      </c>
      <c r="B84" s="506"/>
      <c r="C84" s="506"/>
      <c r="D84" s="506"/>
      <c r="E84" s="506"/>
      <c r="F84" s="506" t="s">
        <v>203</v>
      </c>
      <c r="G84" s="506">
        <f>COUNTIFS($B$9:$B$39,"on",[0]!Oktober,"Skema 4")</f>
        <v>0</v>
      </c>
      <c r="H84" s="498"/>
      <c r="I84" s="506"/>
      <c r="J84" s="511"/>
      <c r="K84" s="511"/>
      <c r="L84" s="511"/>
      <c r="M84" s="4"/>
      <c r="N84" s="4"/>
      <c r="O84" s="4"/>
      <c r="P84" s="4"/>
      <c r="R84">
        <f t="shared" si="36"/>
        <v>0</v>
      </c>
      <c r="V84">
        <f t="shared" si="37"/>
        <v>0</v>
      </c>
      <c r="Y84"/>
      <c r="Z84"/>
      <c r="AO84" s="1"/>
      <c r="BL84" s="1"/>
      <c r="BW84" s="248"/>
      <c r="BX84" s="248"/>
      <c r="CY84"/>
      <c r="CZ84"/>
    </row>
    <row r="85" spans="1:111" hidden="1">
      <c r="A85" s="506">
        <f>COUNTIF($C$34:$C$35,"Skema 1")+COUNTIF($C$34:$C$35,"Skema 2")+COUNTIF($C$34:$C$35,"Skema 3")+COUNTIF($C$34:$C$35,"Skema 4")+COUNTIF($C$34:$C$35,"Fagdag")+COUNTIF($C$34:$C$35,"Emnedag")+COUNTIF($C$34:$C$35,"Lejrskole")+COUNTIF($C$34:$C$35,"Ekskursion")+COUNTIF($C$34:$C$35,"Pæd.dag")</f>
        <v>0</v>
      </c>
      <c r="B85" s="506"/>
      <c r="C85" s="506"/>
      <c r="D85" s="506"/>
      <c r="E85" s="506"/>
      <c r="F85" s="506" t="s">
        <v>204</v>
      </c>
      <c r="G85" s="506">
        <f>COUNTIFS($B$9:$B$39,"to",[0]!Oktober,"Skema 4")</f>
        <v>0</v>
      </c>
      <c r="H85" s="498"/>
      <c r="I85" s="506"/>
      <c r="J85" s="511"/>
      <c r="K85" s="511"/>
      <c r="L85" s="511"/>
      <c r="M85" s="4"/>
      <c r="N85" s="4"/>
      <c r="O85" s="4"/>
      <c r="P85" s="4"/>
      <c r="R85">
        <f t="shared" si="36"/>
        <v>0</v>
      </c>
      <c r="V85">
        <f t="shared" si="37"/>
        <v>0</v>
      </c>
      <c r="Y85"/>
      <c r="Z85"/>
      <c r="AO85" s="1">
        <f>SUM(N85:AN85)</f>
        <v>0</v>
      </c>
      <c r="BL85" s="1">
        <f>SUM(AI85:BK85)</f>
        <v>0</v>
      </c>
      <c r="BW85" s="248"/>
      <c r="BX85" s="248"/>
      <c r="CY85"/>
      <c r="CZ85"/>
    </row>
    <row r="86" spans="1:111" hidden="1">
      <c r="A86" s="506"/>
      <c r="B86" s="506"/>
      <c r="C86" s="506"/>
      <c r="D86" s="506"/>
      <c r="E86" s="506"/>
      <c r="F86" s="506" t="s">
        <v>205</v>
      </c>
      <c r="G86" s="506">
        <f>COUNTIFS($B$9:$B$39,"fr",[0]!Oktober,"Skema 4")</f>
        <v>0</v>
      </c>
      <c r="H86" s="498"/>
      <c r="I86" s="498"/>
      <c r="J86" s="501"/>
      <c r="K86" s="501"/>
      <c r="L86" s="41"/>
      <c r="R86">
        <f t="shared" si="36"/>
        <v>0</v>
      </c>
      <c r="V86">
        <f t="shared" si="37"/>
        <v>0</v>
      </c>
      <c r="Y86"/>
      <c r="Z86"/>
      <c r="AO86" s="1">
        <f>SUM(N86:AN86)</f>
        <v>0</v>
      </c>
      <c r="BL86" s="1">
        <f>SUM(AI86:BK86)</f>
        <v>0</v>
      </c>
      <c r="BW86" s="248"/>
      <c r="BX86" s="248"/>
      <c r="CY86"/>
      <c r="CZ86"/>
    </row>
    <row r="87" spans="1:111" hidden="1">
      <c r="A87" s="506">
        <f>SUM(A82:A86)</f>
        <v>0</v>
      </c>
      <c r="B87" s="506"/>
      <c r="C87" s="506"/>
      <c r="D87" s="506"/>
      <c r="E87" s="506"/>
      <c r="F87" s="506"/>
      <c r="G87" s="519">
        <f>SUM(G64:G86)</f>
        <v>12</v>
      </c>
      <c r="H87" s="501"/>
      <c r="I87" s="498"/>
      <c r="J87" s="501"/>
      <c r="K87" s="501"/>
      <c r="L87" s="41"/>
      <c r="R87">
        <f t="shared" si="36"/>
        <v>0</v>
      </c>
      <c r="V87">
        <f t="shared" si="37"/>
        <v>0</v>
      </c>
      <c r="Y87"/>
      <c r="Z87"/>
      <c r="AO87" s="1">
        <f>SUM(N87:AN87)</f>
        <v>0</v>
      </c>
      <c r="BL87" s="1">
        <f>SUM(AI87:BK87)</f>
        <v>0</v>
      </c>
      <c r="BW87" s="248"/>
      <c r="BX87" s="248"/>
      <c r="CY87"/>
      <c r="CZ87"/>
    </row>
    <row r="88" spans="1:111" hidden="1">
      <c r="A88" s="511"/>
      <c r="B88" s="511"/>
      <c r="C88" s="511"/>
      <c r="D88" s="511"/>
      <c r="E88" s="506"/>
      <c r="F88" s="506"/>
      <c r="G88" s="506"/>
      <c r="H88" s="41"/>
      <c r="I88" s="501"/>
      <c r="J88" s="501"/>
      <c r="K88" s="501"/>
      <c r="L88" s="41"/>
      <c r="R88">
        <f t="shared" si="36"/>
        <v>0</v>
      </c>
      <c r="V88">
        <f t="shared" si="37"/>
        <v>0</v>
      </c>
      <c r="Y88"/>
      <c r="Z88"/>
      <c r="AO88" s="1">
        <f>SUM(N88:AN88)</f>
        <v>0</v>
      </c>
      <c r="BL88" s="1">
        <f>SUM(AI88:BK88)</f>
        <v>0</v>
      </c>
      <c r="BW88" s="248"/>
      <c r="BX88" s="248"/>
      <c r="CY88"/>
      <c r="CZ88"/>
    </row>
    <row r="89" spans="1:111" hidden="1">
      <c r="A89" s="511"/>
      <c r="B89" s="511"/>
      <c r="C89" s="511"/>
      <c r="D89" s="511"/>
      <c r="E89" s="506"/>
      <c r="F89" s="506"/>
      <c r="G89" s="506"/>
      <c r="H89" s="41"/>
      <c r="I89" s="41"/>
      <c r="J89" s="501"/>
      <c r="K89" s="501"/>
      <c r="L89" s="41"/>
      <c r="R89">
        <f t="shared" si="36"/>
        <v>0</v>
      </c>
      <c r="V89">
        <f t="shared" si="37"/>
        <v>0</v>
      </c>
      <c r="Y89"/>
      <c r="Z89"/>
      <c r="BW89" s="248"/>
      <c r="BX89" s="248"/>
      <c r="CY89"/>
      <c r="CZ89"/>
    </row>
    <row r="90" spans="1:111" hidden="1">
      <c r="A90" s="511"/>
      <c r="B90" s="511"/>
      <c r="C90" s="511"/>
      <c r="D90" s="511"/>
      <c r="E90" s="506"/>
      <c r="F90" s="506"/>
      <c r="G90" s="506"/>
      <c r="H90" s="41"/>
      <c r="I90" s="41"/>
      <c r="J90" s="41"/>
      <c r="K90" s="41"/>
      <c r="L90" s="41"/>
      <c r="R90">
        <f t="shared" si="36"/>
        <v>0</v>
      </c>
      <c r="V90">
        <f t="shared" si="37"/>
        <v>0</v>
      </c>
      <c r="Y90"/>
      <c r="Z90"/>
      <c r="BW90" s="248"/>
      <c r="BX90" s="248"/>
      <c r="CY90"/>
      <c r="CZ90"/>
    </row>
    <row r="91" spans="1:111" hidden="1">
      <c r="A91" s="511"/>
      <c r="B91" s="511"/>
      <c r="C91" s="511"/>
      <c r="D91" s="511"/>
      <c r="E91" s="506"/>
      <c r="F91" s="506"/>
      <c r="G91" s="506"/>
      <c r="H91" s="41"/>
      <c r="I91" s="41"/>
      <c r="J91" s="41"/>
      <c r="K91" s="41"/>
      <c r="L91" s="41"/>
      <c r="R91">
        <f t="shared" si="36"/>
        <v>0</v>
      </c>
      <c r="V91">
        <f t="shared" si="37"/>
        <v>0</v>
      </c>
      <c r="Y91"/>
      <c r="Z91"/>
      <c r="BW91" s="248"/>
      <c r="BX91" s="248"/>
      <c r="CY91"/>
      <c r="CZ91"/>
    </row>
    <row r="92" spans="1:111" hidden="1">
      <c r="A92" s="511"/>
      <c r="B92" s="511"/>
      <c r="C92" s="511"/>
      <c r="D92" s="511"/>
      <c r="E92" s="498"/>
      <c r="F92" s="498"/>
      <c r="G92" s="498"/>
      <c r="I92" s="41"/>
      <c r="J92" s="41"/>
      <c r="K92" s="41"/>
      <c r="L92" s="41"/>
      <c r="R92">
        <f t="shared" si="36"/>
        <v>0</v>
      </c>
      <c r="V92">
        <f t="shared" si="37"/>
        <v>0</v>
      </c>
      <c r="Y92"/>
      <c r="Z92"/>
      <c r="BW92" s="248"/>
      <c r="BX92" s="248"/>
      <c r="CY92"/>
      <c r="CZ92"/>
    </row>
    <row r="93" spans="1:111" hidden="1">
      <c r="A93" s="501"/>
      <c r="B93" s="501"/>
      <c r="C93" s="501"/>
      <c r="D93" s="501"/>
      <c r="E93" s="498"/>
      <c r="F93" s="498"/>
      <c r="G93" s="498"/>
      <c r="I93" s="41"/>
      <c r="J93" s="41"/>
      <c r="K93" s="41"/>
      <c r="L93" s="41"/>
      <c r="R93">
        <f t="shared" si="36"/>
        <v>0</v>
      </c>
      <c r="V93">
        <f t="shared" si="37"/>
        <v>0</v>
      </c>
      <c r="Y93"/>
      <c r="Z93"/>
      <c r="AF93" s="231"/>
      <c r="BW93" s="248"/>
      <c r="BX93" s="248"/>
      <c r="CY93"/>
      <c r="CZ93"/>
    </row>
    <row r="94" spans="1:111" hidden="1">
      <c r="A94" s="501"/>
      <c r="B94" s="501"/>
      <c r="C94" s="501"/>
      <c r="D94" s="501"/>
      <c r="E94" s="498"/>
      <c r="F94" s="498"/>
      <c r="G94" s="498"/>
      <c r="I94" s="41"/>
      <c r="J94" s="41"/>
      <c r="K94" s="41"/>
      <c r="L94" s="41"/>
      <c r="R94">
        <f t="shared" si="36"/>
        <v>0</v>
      </c>
      <c r="V94">
        <f t="shared" si="37"/>
        <v>0</v>
      </c>
      <c r="Y94"/>
      <c r="Z94"/>
      <c r="AD94" s="4"/>
      <c r="AE94" s="231"/>
      <c r="AF94" s="231"/>
      <c r="AG94" s="231"/>
      <c r="AH94" s="231"/>
      <c r="CY94"/>
      <c r="CZ94"/>
      <c r="DF94" s="248"/>
      <c r="DG94" s="248"/>
    </row>
    <row r="95" spans="1:111" hidden="1">
      <c r="A95" s="501"/>
      <c r="B95" s="501"/>
      <c r="C95" s="501"/>
      <c r="D95" s="501"/>
      <c r="E95" s="498"/>
      <c r="F95" s="498"/>
      <c r="G95" s="498"/>
      <c r="I95" s="41"/>
      <c r="J95" s="41"/>
      <c r="K95" s="41"/>
      <c r="L95" s="41"/>
      <c r="R95">
        <f t="shared" si="36"/>
        <v>0</v>
      </c>
      <c r="V95">
        <f t="shared" si="37"/>
        <v>0</v>
      </c>
      <c r="Y95"/>
      <c r="Z95"/>
      <c r="AD95" s="4"/>
      <c r="AE95" s="231"/>
      <c r="AG95" s="231"/>
      <c r="AH95" s="231"/>
      <c r="CY95"/>
      <c r="CZ95"/>
      <c r="DF95" s="248"/>
      <c r="DG95" s="248"/>
    </row>
    <row r="96" spans="1:111" hidden="1">
      <c r="A96" s="445"/>
      <c r="B96" s="445"/>
      <c r="C96" s="445"/>
      <c r="D96" s="445"/>
      <c r="E96" s="118"/>
      <c r="F96" s="118"/>
      <c r="G96" s="118"/>
      <c r="I96" s="41"/>
      <c r="J96" s="41"/>
      <c r="K96" s="41"/>
      <c r="L96" s="41"/>
      <c r="R96">
        <f t="shared" si="36"/>
        <v>0</v>
      </c>
      <c r="V96">
        <f t="shared" si="37"/>
        <v>0</v>
      </c>
    </row>
    <row r="97" spans="1:22" hidden="1">
      <c r="A97" s="445"/>
      <c r="B97" s="445"/>
      <c r="C97" s="445"/>
      <c r="D97" s="445"/>
      <c r="E97" s="118"/>
      <c r="F97" s="118"/>
      <c r="G97" s="118"/>
      <c r="I97" s="41"/>
      <c r="J97" s="41"/>
      <c r="K97" s="41"/>
      <c r="L97" s="41"/>
      <c r="R97">
        <f t="shared" si="36"/>
        <v>0</v>
      </c>
      <c r="V97">
        <f t="shared" si="37"/>
        <v>0</v>
      </c>
    </row>
    <row r="98" spans="1:22" hidden="1">
      <c r="A98" s="445"/>
      <c r="B98" s="445"/>
      <c r="C98" s="445"/>
      <c r="D98" s="445"/>
      <c r="E98" s="445"/>
      <c r="F98" s="445"/>
      <c r="G98" s="445"/>
      <c r="I98" s="41"/>
      <c r="J98" s="41"/>
      <c r="K98" s="41"/>
      <c r="L98" s="41"/>
      <c r="R98">
        <f t="shared" si="36"/>
        <v>0</v>
      </c>
      <c r="V98">
        <f t="shared" si="37"/>
        <v>0</v>
      </c>
    </row>
    <row r="99" spans="1:22" hidden="1">
      <c r="A99" s="445"/>
      <c r="B99" s="445"/>
      <c r="C99" s="445"/>
      <c r="D99" s="445"/>
      <c r="E99" s="445"/>
      <c r="F99" s="445"/>
      <c r="G99" s="445"/>
      <c r="I99" s="41"/>
      <c r="J99" s="41"/>
      <c r="K99" s="41"/>
      <c r="L99" s="41"/>
      <c r="R99">
        <f t="shared" si="36"/>
        <v>0</v>
      </c>
      <c r="V99">
        <f t="shared" si="37"/>
        <v>0</v>
      </c>
    </row>
    <row r="100" spans="1:22" hidden="1">
      <c r="A100" s="445"/>
      <c r="B100" s="445"/>
      <c r="C100" s="445"/>
      <c r="D100" s="445"/>
      <c r="E100" s="445"/>
      <c r="F100" s="445"/>
      <c r="G100" s="445"/>
      <c r="I100" s="41"/>
      <c r="J100" s="41"/>
      <c r="K100" s="41"/>
      <c r="L100" s="445"/>
      <c r="R100">
        <f t="shared" si="36"/>
        <v>0</v>
      </c>
      <c r="V100">
        <f t="shared" si="37"/>
        <v>0</v>
      </c>
    </row>
    <row r="101" spans="1:22" hidden="1">
      <c r="A101" s="445"/>
      <c r="B101" s="445"/>
      <c r="C101" s="445"/>
      <c r="D101" s="445"/>
      <c r="I101" s="41"/>
      <c r="J101" s="41"/>
      <c r="K101" s="41"/>
      <c r="L101" s="445"/>
      <c r="R101">
        <f t="shared" si="36"/>
        <v>0</v>
      </c>
      <c r="V101">
        <f t="shared" si="37"/>
        <v>0</v>
      </c>
    </row>
    <row r="102" spans="1:22" hidden="1">
      <c r="I102" s="41"/>
      <c r="J102" s="41"/>
      <c r="K102" s="41"/>
      <c r="L102" s="445"/>
      <c r="R102">
        <f t="shared" si="36"/>
        <v>0</v>
      </c>
      <c r="V102">
        <f t="shared" si="37"/>
        <v>0</v>
      </c>
    </row>
    <row r="103" spans="1:22" hidden="1">
      <c r="I103" s="445"/>
      <c r="J103" s="41"/>
      <c r="K103" s="41"/>
      <c r="L103" s="445"/>
      <c r="R103">
        <f t="shared" si="36"/>
        <v>0</v>
      </c>
      <c r="V103">
        <f t="shared" si="37"/>
        <v>0</v>
      </c>
    </row>
    <row r="104" spans="1:22" hidden="1">
      <c r="I104" s="445"/>
      <c r="J104" s="445"/>
      <c r="K104" s="445"/>
      <c r="L104" s="445"/>
      <c r="R104">
        <f t="shared" si="36"/>
        <v>0</v>
      </c>
      <c r="V104">
        <f t="shared" si="37"/>
        <v>0</v>
      </c>
    </row>
    <row r="105" spans="1:22" ht="17" hidden="1" thickBot="1">
      <c r="I105" s="445"/>
      <c r="J105" s="445"/>
      <c r="K105" s="445"/>
      <c r="L105" s="445"/>
      <c r="R105">
        <f t="shared" si="36"/>
        <v>0</v>
      </c>
      <c r="V105">
        <f t="shared" si="37"/>
        <v>0</v>
      </c>
    </row>
    <row r="106" spans="1:22" ht="17" hidden="1" thickBot="1">
      <c r="I106" s="445"/>
      <c r="J106" s="445"/>
      <c r="K106" s="445"/>
      <c r="L106" s="445"/>
      <c r="R106" s="693">
        <f>SUM(R75:R105)+FB40</f>
        <v>0</v>
      </c>
      <c r="V106">
        <f>SUM(V75:V105)</f>
        <v>0</v>
      </c>
    </row>
    <row r="107" spans="1:22" hidden="1">
      <c r="I107" s="445"/>
      <c r="J107" s="445"/>
      <c r="K107" s="445"/>
      <c r="L107" s="445"/>
    </row>
    <row r="108" spans="1:22" hidden="1"/>
  </sheetData>
  <sheetProtection sheet="1" objects="1" scenarios="1"/>
  <mergeCells count="174">
    <mergeCell ref="GB6:GC6"/>
    <mergeCell ref="FQ8:FR8"/>
    <mergeCell ref="DS8:DV8"/>
    <mergeCell ref="DZ8:EB8"/>
    <mergeCell ref="EG8:EI8"/>
    <mergeCell ref="EM8:EN8"/>
    <mergeCell ref="EQ8:ER8"/>
    <mergeCell ref="EU8:EV8"/>
    <mergeCell ref="FC8:FD8"/>
    <mergeCell ref="FG8:FH8"/>
    <mergeCell ref="FK8:FL8"/>
    <mergeCell ref="I49:K49"/>
    <mergeCell ref="A50:H50"/>
    <mergeCell ref="I50:K50"/>
    <mergeCell ref="A46:G46"/>
    <mergeCell ref="I46:K46"/>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M42:X42"/>
    <mergeCell ref="M43:U43"/>
    <mergeCell ref="V43:X43"/>
    <mergeCell ref="M44:U44"/>
    <mergeCell ref="V44:X44"/>
    <mergeCell ref="M45:U45"/>
    <mergeCell ref="V45:X45"/>
    <mergeCell ref="M50:U50"/>
    <mergeCell ref="V50:X50"/>
    <mergeCell ref="M46:U46"/>
    <mergeCell ref="V46:X46"/>
    <mergeCell ref="M47:X47"/>
    <mergeCell ref="M48:U48"/>
    <mergeCell ref="V48:X48"/>
    <mergeCell ref="M49:U49"/>
    <mergeCell ref="V49:X49"/>
    <mergeCell ref="M51:U51"/>
    <mergeCell ref="V51:X51"/>
    <mergeCell ref="M52:U52"/>
    <mergeCell ref="V52:X52"/>
    <mergeCell ref="A53:G54"/>
    <mergeCell ref="I53:K53"/>
    <mergeCell ref="M53:U53"/>
    <mergeCell ref="V53:X53"/>
    <mergeCell ref="I54:K54"/>
    <mergeCell ref="A48:H48"/>
    <mergeCell ref="I48:K48"/>
    <mergeCell ref="A42:G42"/>
    <mergeCell ref="I42:K42"/>
    <mergeCell ref="A43:G43"/>
    <mergeCell ref="I43:K43"/>
    <mergeCell ref="A67:C67"/>
    <mergeCell ref="A65:C65"/>
    <mergeCell ref="A66:C66"/>
    <mergeCell ref="I51:K51"/>
    <mergeCell ref="A55:G55"/>
    <mergeCell ref="A56:K56"/>
    <mergeCell ref="A57:B57"/>
    <mergeCell ref="C57:D57"/>
    <mergeCell ref="E57:G57"/>
    <mergeCell ref="H57:K57"/>
    <mergeCell ref="A58:B58"/>
    <mergeCell ref="C58:D58"/>
    <mergeCell ref="E58:G58"/>
    <mergeCell ref="I58:K58"/>
    <mergeCell ref="A59:B59"/>
    <mergeCell ref="A62:G62"/>
    <mergeCell ref="I62:K62"/>
    <mergeCell ref="A49:H49"/>
    <mergeCell ref="E39:G39"/>
    <mergeCell ref="A40:I40"/>
    <mergeCell ref="E29:G29"/>
    <mergeCell ref="E30:G30"/>
    <mergeCell ref="E31:G31"/>
    <mergeCell ref="E33:G33"/>
    <mergeCell ref="E34:G34"/>
    <mergeCell ref="E35:G35"/>
    <mergeCell ref="A47:G47"/>
    <mergeCell ref="I47:K47"/>
    <mergeCell ref="A44:G44"/>
    <mergeCell ref="I44:K44"/>
    <mergeCell ref="A45:G45"/>
    <mergeCell ref="I45:K45"/>
    <mergeCell ref="E17:G17"/>
    <mergeCell ref="E18:G18"/>
    <mergeCell ref="E19:G19"/>
    <mergeCell ref="E20:G20"/>
    <mergeCell ref="E21:G21"/>
    <mergeCell ref="E22:G22"/>
    <mergeCell ref="E36:G36"/>
    <mergeCell ref="E37:G37"/>
    <mergeCell ref="E38:G38"/>
    <mergeCell ref="A61:B61"/>
    <mergeCell ref="C61:D61"/>
    <mergeCell ref="E61:G61"/>
    <mergeCell ref="I61:K61"/>
    <mergeCell ref="S5:X5"/>
    <mergeCell ref="B2:E2"/>
    <mergeCell ref="E4:G4"/>
    <mergeCell ref="K4:L4"/>
    <mergeCell ref="A5:R5"/>
    <mergeCell ref="P6:P7"/>
    <mergeCell ref="Q6:Q7"/>
    <mergeCell ref="R6:R7"/>
    <mergeCell ref="A4:D4"/>
    <mergeCell ref="A3:X3"/>
    <mergeCell ref="S6:X6"/>
    <mergeCell ref="E6:G8"/>
    <mergeCell ref="K6:L6"/>
    <mergeCell ref="N6:N7"/>
    <mergeCell ref="O6:O7"/>
    <mergeCell ref="E11:G11"/>
    <mergeCell ref="I8:J8"/>
    <mergeCell ref="I6:I7"/>
    <mergeCell ref="J6:J7"/>
    <mergeCell ref="S8:U8"/>
    <mergeCell ref="I55:K55"/>
    <mergeCell ref="C59:D59"/>
    <mergeCell ref="E59:G59"/>
    <mergeCell ref="I59:K59"/>
    <mergeCell ref="A60:B60"/>
    <mergeCell ref="C60:D60"/>
    <mergeCell ref="E60:G60"/>
    <mergeCell ref="I60:K60"/>
    <mergeCell ref="AG6:AK6"/>
    <mergeCell ref="V8:X8"/>
    <mergeCell ref="E12:G12"/>
    <mergeCell ref="E13:G13"/>
    <mergeCell ref="E14:G14"/>
    <mergeCell ref="E15:G15"/>
    <mergeCell ref="E16:G16"/>
    <mergeCell ref="K8:R8"/>
    <mergeCell ref="AA6:AE6"/>
    <mergeCell ref="E23:G23"/>
    <mergeCell ref="E24:G24"/>
    <mergeCell ref="E25:G25"/>
    <mergeCell ref="E26:G26"/>
    <mergeCell ref="E27:G27"/>
    <mergeCell ref="E28:G28"/>
    <mergeCell ref="E32:G32"/>
    <mergeCell ref="DA6:DE6"/>
    <mergeCell ref="A7:D8"/>
    <mergeCell ref="H7:H8"/>
    <mergeCell ref="E9:G9"/>
    <mergeCell ref="E10:G10"/>
    <mergeCell ref="BQ6:BU6"/>
    <mergeCell ref="BV6:BZ6"/>
    <mergeCell ref="EY8:EZ8"/>
    <mergeCell ref="EW6:EZ6"/>
    <mergeCell ref="CD6:CH6"/>
    <mergeCell ref="CI6:CM6"/>
    <mergeCell ref="CN6:CR6"/>
    <mergeCell ref="CS6:CW6"/>
    <mergeCell ref="AL6:AP6"/>
    <mergeCell ref="AQ6:AU6"/>
    <mergeCell ref="AV6:AZ6"/>
    <mergeCell ref="BC6:BF6"/>
    <mergeCell ref="BG6:BK6"/>
    <mergeCell ref="BL6:BP6"/>
  </mergeCells>
  <phoneticPr fontId="5" type="noConversion"/>
  <conditionalFormatting sqref="A9:H39">
    <cfRule type="expression" dxfId="784" priority="55">
      <formula>OR($C9="SH-dag")</formula>
    </cfRule>
    <cfRule type="expression" dxfId="783" priority="62" stopIfTrue="1">
      <formula>OR($C9="skoledag")</formula>
    </cfRule>
    <cfRule type="expression" dxfId="782" priority="61">
      <formula>OR($C9="weekend")</formula>
    </cfRule>
    <cfRule type="expression" dxfId="781" priority="7">
      <formula>OR($C9="Orlov")</formula>
    </cfRule>
    <cfRule type="expression" dxfId="780" priority="60">
      <formula>OR($C9="feriedag")</formula>
    </cfRule>
    <cfRule type="expression" dxfId="779" priority="59">
      <formula>OR($C9="fagdag")</formula>
    </cfRule>
    <cfRule type="expression" dxfId="778" priority="58">
      <formula>OR($C9="emnedag")</formula>
    </cfRule>
    <cfRule type="expression" dxfId="777" priority="57">
      <formula>OR($C9="lejrskole")</formula>
    </cfRule>
    <cfRule type="expression" dxfId="776" priority="56">
      <formula>OR($C9="ekskursion")</formula>
    </cfRule>
    <cfRule type="expression" dxfId="775" priority="54">
      <formula>OR($C9="nul-dag")</formula>
    </cfRule>
    <cfRule type="expression" dxfId="774" priority="53">
      <formula>OR($C9="pæd.dag")</formula>
    </cfRule>
    <cfRule type="expression" dxfId="773" priority="52">
      <formula>OR($C9="Ikke relevant")</formula>
    </cfRule>
    <cfRule type="expression" dxfId="772" priority="48">
      <formula>OR($C9="Skema 1")</formula>
    </cfRule>
    <cfRule type="expression" dxfId="771" priority="49">
      <formula>OR($C9="skema 2")</formula>
    </cfRule>
    <cfRule type="expression" dxfId="770" priority="50">
      <formula>OR($C9="Skema 3")</formula>
    </cfRule>
    <cfRule type="expression" dxfId="769" priority="51">
      <formula>OR($C9="Skema 4")</formula>
    </cfRule>
  </conditionalFormatting>
  <conditionalFormatting sqref="E20">
    <cfRule type="expression" dxfId="768" priority="64">
      <formula>OR($D19="nul-dag")</formula>
    </cfRule>
    <cfRule type="expression" dxfId="767" priority="65">
      <formula>OR($D19="SH-dag")</formula>
    </cfRule>
    <cfRule type="expression" dxfId="766" priority="66">
      <formula>OR($D19="ekskursion")</formula>
    </cfRule>
    <cfRule type="expression" dxfId="765" priority="63">
      <formula>OR($D19="pæd.dag")</formula>
    </cfRule>
    <cfRule type="expression" dxfId="764" priority="67">
      <formula>OR($D19="lejrskole")</formula>
    </cfRule>
    <cfRule type="expression" dxfId="763" priority="68">
      <formula>OR($D19="emnedag")</formula>
    </cfRule>
    <cfRule type="expression" dxfId="762" priority="69">
      <formula>OR($D19="fagdag")</formula>
    </cfRule>
    <cfRule type="expression" dxfId="761" priority="70">
      <formula>OR($D19="feriedag")</formula>
    </cfRule>
    <cfRule type="expression" dxfId="760" priority="71">
      <formula>OR($D19="weekend")</formula>
    </cfRule>
    <cfRule type="expression" dxfId="759" priority="72" stopIfTrue="1">
      <formula>OR($D19="skoledag")</formula>
    </cfRule>
    <cfRule type="expression" dxfId="758" priority="73">
      <formula>OR($D19="Ikke relevant")</formula>
    </cfRule>
  </conditionalFormatting>
  <conditionalFormatting sqref="H58:H61">
    <cfRule type="expression" dxfId="757" priority="1">
      <formula>OR($A58&gt;0,)</formula>
    </cfRule>
  </conditionalFormatting>
  <conditionalFormatting sqref="I58:I61">
    <cfRule type="expression" dxfId="756" priority="2">
      <formula>OR($C58&gt;0,)</formula>
    </cfRule>
  </conditionalFormatting>
  <conditionalFormatting sqref="K9:K39">
    <cfRule type="expression" dxfId="755" priority="45">
      <formula>OR($C9="Pæd.dag",)</formula>
    </cfRule>
  </conditionalFormatting>
  <conditionalFormatting sqref="K9:L39">
    <cfRule type="expression" dxfId="754" priority="47">
      <formula>OR($C9="Ekskursion",)</formula>
    </cfRule>
    <cfRule type="expression" dxfId="753" priority="46">
      <formula>OR($C9="Lejrskole",)</formula>
    </cfRule>
  </conditionalFormatting>
  <conditionalFormatting sqref="K9:M39">
    <cfRule type="expression" dxfId="752" priority="44">
      <formula>OR($C9="emnedag",)</formula>
    </cfRule>
    <cfRule type="expression" dxfId="751" priority="43">
      <formula>OR($C9="fagdag",)</formula>
    </cfRule>
  </conditionalFormatting>
  <conditionalFormatting sqref="R9:R39">
    <cfRule type="expression" dxfId="750" priority="74">
      <formula>OR($H9&gt;"0",)</formula>
    </cfRule>
  </conditionalFormatting>
  <conditionalFormatting sqref="V9:V39">
    <cfRule type="expression" dxfId="749" priority="10">
      <formula>OR($S9="X",)</formula>
    </cfRule>
  </conditionalFormatting>
  <conditionalFormatting sqref="V49:X52">
    <cfRule type="expression" dxfId="748" priority="3">
      <formula>OR($M49&gt;0,)</formula>
    </cfRule>
  </conditionalFormatting>
  <conditionalFormatting sqref="W9:W39">
    <cfRule type="expression" dxfId="747" priority="9">
      <formula>OR($T9="X",)</formula>
    </cfRule>
  </conditionalFormatting>
  <conditionalFormatting sqref="X9:X39">
    <cfRule type="expression" dxfId="746" priority="8">
      <formula>OR($U9="X",)</formula>
    </cfRule>
  </conditionalFormatting>
  <dataValidations count="3">
    <dataValidation type="list" allowBlank="1" showInputMessage="1" showErrorMessage="1" sqref="S9:T39 U9:U37 A58:D61" xr:uid="{ECCDBE0B-63A5-D941-A839-278727B57393}">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7:I28 I20:I21 I13:I14 I34:I35" xr:uid="{32F8270C-CA1A-9F41-822E-96F1713992C0}">
      <formula1>$W$1:$W$2</formula1>
    </dataValidation>
    <dataValidation type="list" allowBlank="1" showInputMessage="1" showErrorMessage="1" promptTitle="OBS:" prompt="Ved arrangementer med overnatning ydes istedet for ulempe- og weekendgodtgørelse på hhv. 25% og 50% faste tillæg pr. påbegyndt dag. " sqref="J9:J39" xr:uid="{E02F1D85-9CBE-FC4C-9228-6804B1F905AB}">
      <formula1>$W$1:$W$2</formula1>
    </dataValidation>
  </dataValidation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8D76BD34-0930-1540-819C-0F4CA3C0AFED}">
          <x14:formula1>
            <xm:f>August!$A$89:$A$103</xm:f>
          </x14:formula1>
          <xm:sqref>C9:C39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36</vt:i4>
      </vt:variant>
      <vt:variant>
        <vt:lpstr>Navngivne områder</vt:lpstr>
      </vt:variant>
      <vt:variant>
        <vt:i4>61</vt:i4>
      </vt:variant>
    </vt:vector>
  </HeadingPairs>
  <TitlesOfParts>
    <vt:vector size="97" baseType="lpstr">
      <vt:lpstr>Vejledning</vt:lpstr>
      <vt:lpstr>Ændringer i forhold til 23-24</vt:lpstr>
      <vt:lpstr>Gode råd til check</vt:lpstr>
      <vt:lpstr>Opgørelse af arbejdstiden</vt:lpstr>
      <vt:lpstr>Stamoplysninger</vt:lpstr>
      <vt:lpstr>Skemaoplysninger</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Opgaver</vt:lpstr>
      <vt:lpstr>Opgørelse</vt:lpstr>
      <vt:lpstr>Undervisningstillæg</vt:lpstr>
      <vt:lpstr>Ulempe-weekendtillæg</vt:lpstr>
      <vt:lpstr>Vejledning til arb.tidsoversigt</vt:lpstr>
      <vt:lpstr>Opgaveoversigt</vt:lpstr>
      <vt:lpstr>Aften-weekendtillæg</vt:lpstr>
      <vt:lpstr>Aar</vt:lpstr>
      <vt:lpstr>1.halvaar</vt:lpstr>
      <vt:lpstr>2.halvaar</vt:lpstr>
      <vt:lpstr>Skema 1 til print</vt:lpstr>
      <vt:lpstr>Skema 2 til print</vt:lpstr>
      <vt:lpstr>Skema 3 til print</vt:lpstr>
      <vt:lpstr>Skema 4 til print</vt:lpstr>
      <vt:lpstr>TOMT ÅR</vt:lpstr>
      <vt:lpstr>TOMT 1. HALVÅR</vt:lpstr>
      <vt:lpstr>TOMT 2. HALVÅR</vt:lpstr>
      <vt:lpstr>April</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vt:lpstr>
      <vt:lpstr>Februar</vt:lpstr>
      <vt:lpstr>Januar</vt:lpstr>
      <vt:lpstr>Juli</vt:lpstr>
      <vt:lpstr>Juni</vt:lpstr>
      <vt:lpstr>Maj</vt:lpstr>
      <vt:lpstr>Marts</vt:lpstr>
      <vt:lpstr>November</vt:lpstr>
      <vt:lpstr>Oktober</vt:lpstr>
      <vt:lpstr>SEPTEMBER</vt:lpstr>
      <vt:lpstr>Skema_1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November!Udskriftsområde</vt:lpstr>
      <vt:lpstr>Oktober!Udskriftsområde</vt:lpstr>
      <vt:lpstr>Opgaver!Udskriftsområde</vt:lpstr>
      <vt:lpstr>Opgørelse!Udskriftsområde</vt:lpstr>
      <vt:lpstr>September!Udskriftsområde</vt:lpstr>
      <vt:lpstr>Skemaoplysninger!Udskriftsområde</vt:lpstr>
      <vt:lpstr>Stamoplysninger!Udskriftsområde</vt:lpstr>
      <vt:lpstr>'TOMT 2. HALVÅR'!Udskriftsområde</vt:lpstr>
      <vt:lpstr>'Ulempe-weekendtillæg'!Udskriftsområde</vt:lpstr>
      <vt:lpstr>Undervisningstillæg!Udskriftsområde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2024-03-19T07:36:41Z</cp:lastPrinted>
  <dcterms:created xsi:type="dcterms:W3CDTF">2014-04-09T06:24:54Z</dcterms:created>
  <dcterms:modified xsi:type="dcterms:W3CDTF">2024-03-21T13:31:50Z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